
<file path=[Content_Types].xml><?xml version="1.0" encoding="utf-8"?>
<Types xmlns="http://schemas.openxmlformats.org/package/2006/content-types">
  <Default Extension="xml" ContentType="application/xml"/>
  <Default Extension="vml" ContentType="application/vnd.openxmlformats-officedocument.vmlDrawing"/>
  <Default Extension="png" ContentType="image/png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1.xml" ContentType="application/vnd.openxmlformats-officedocument.drawing+xml"/>
  <Override PartName="/xl/comments3.xml" ContentType="application/vnd.openxmlformats-officedocument.spreadsheetml.comments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drawings/drawing2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26207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/Users/Jaanus/Dropbox/01_Töö Arengufond/01_ENMAK2030/Legomaja/"/>
    </mc:Choice>
  </mc:AlternateContent>
  <bookViews>
    <workbookView xWindow="1100" yWindow="460" windowWidth="27700" windowHeight="17040" tabRatio="604" firstSheet="3" activeTab="7"/>
  </bookViews>
  <sheets>
    <sheet name="Maj.Mõju" sheetId="13" state="hidden" r:id="rId1"/>
    <sheet name="KuluTulu" sheetId="14" state="hidden" r:id="rId2"/>
    <sheet name="Piirangud" sheetId="15" state="hidden" r:id="rId3"/>
    <sheet name="Muudatused" sheetId="16" r:id="rId4"/>
    <sheet name="PJ" sheetId="17" state="hidden" r:id="rId5"/>
    <sheet name="Tulem" sheetId="9" state="hidden" r:id="rId6"/>
    <sheet name="data" sheetId="10" state="hidden" r:id="rId7"/>
    <sheet name="Tulemused" sheetId="1" r:id="rId8"/>
    <sheet name="KSH järjestus" sheetId="18" r:id="rId9"/>
    <sheet name="KOMBI" sheetId="8" r:id="rId10"/>
    <sheet name="VK-Hooned-Soojus" sheetId="3" r:id="rId11"/>
    <sheet name="VK-Transport" sheetId="2" r:id="rId12"/>
    <sheet name="VK-Elekter" sheetId="4" r:id="rId13"/>
    <sheet name="Kütuste tabel" sheetId="19" state="hidden" r:id="rId14"/>
    <sheet name="VK-Võrgud" sheetId="7" r:id="rId15"/>
    <sheet name="VK-Biokütused" sheetId="6" r:id="rId16"/>
    <sheet name="VK-Põlevkivi" sheetId="11" r:id="rId17"/>
    <sheet name="Vahetabelid" sheetId="12" state="hidden" r:id="rId18"/>
  </sheets>
  <externalReferences>
    <externalReference r:id="rId19"/>
  </externalReferences>
  <definedNames>
    <definedName name="_xlnm._FilterDatabase" localSheetId="9" hidden="1">KOMBI!$A$10:$Z$145</definedName>
    <definedName name="_xlnm._FilterDatabase" localSheetId="7" hidden="1">Tulemused!$CM$22:$DM$24</definedName>
    <definedName name="_MailEndCompose" localSheetId="10">'VK-Hooned-Soojus'!$I$74</definedName>
    <definedName name="binaar">data!$D$6:$D$7</definedName>
    <definedName name="BK_M_EA">data!$J$54</definedName>
    <definedName name="CO2_non_2020">data!$D$124:$D$128</definedName>
    <definedName name="co2_non_2020_list">data!$C$124:$C$128</definedName>
    <definedName name="CO2_non_2030_val">data!$D$132:$D$138</definedName>
    <definedName name="CO2_nonETS">data!$C$132:$C$137</definedName>
    <definedName name="Elekter_1">data!$N$64:$AN$64</definedName>
    <definedName name="Elekter_2">data!$N$65:$AN$65</definedName>
    <definedName name="Elekter_3">data!$N$66:$AN$66</definedName>
    <definedName name="Elekter_4">data!$N$67:$AN$67</definedName>
    <definedName name="Elekter_5">data!$N$68:$AN$68</definedName>
    <definedName name="En_Tarb_1">data!$M$81:$U$81</definedName>
    <definedName name="En_Tarb_2">data!$M$80:$AA$80</definedName>
    <definedName name="En_Tarb_3">data!$M$79:$AA$79</definedName>
    <definedName name="En_Tarb_4">data!$M$78:$AA$78</definedName>
    <definedName name="En_Tarb_5">data!$M$77:$AA$77</definedName>
    <definedName name="En_tarb_max">data!$M$76:$AA$76</definedName>
    <definedName name="Hooned_Soojus_1">data!$N$61:$BF$61</definedName>
    <definedName name="Hooned_Soojus_2">data!$N$62:$BF$62</definedName>
    <definedName name="Hooned_Soojus_3">data!$N$63:$BF$63</definedName>
    <definedName name="importkütused">data!$E$36:$E$39</definedName>
    <definedName name="Input_kombineerimisalus" localSheetId="8">Tulemused!#REF!</definedName>
    <definedName name="Input_kombineerimisalus">Tulemused!#REF!</definedName>
    <definedName name="isNo">data!$C$51</definedName>
    <definedName name="isYES">data!$B$51:$B$53</definedName>
    <definedName name="K6iK_STS">data!$N$57</definedName>
    <definedName name="Kaal">data!$E$6:$E$16</definedName>
    <definedName name="KHG_2050">data!$F$158:$G$163</definedName>
    <definedName name="KHG_list">data!$F$158:$F$163</definedName>
    <definedName name="Kombineerimisalus">data!$C$19:$D$19</definedName>
    <definedName name="Konkurentsivõime_Koondindeks">data!$B$57:$B$59</definedName>
    <definedName name="Kütused_1">data!$N$69:$BF$69</definedName>
    <definedName name="Kütused_2">data!$N$70:$BF$70</definedName>
    <definedName name="Kütused_3">data!$N$71:$BF$71</definedName>
    <definedName name="LNG">data!$J$44:$J$45</definedName>
    <definedName name="LOU">data!$F$145:$G$148</definedName>
    <definedName name="LOU_list">data!$F$144:$F$148</definedName>
    <definedName name="lõpptarbimine">data!$M$7:$M$12</definedName>
    <definedName name="M_M6ju">data!$C$20:$C$26</definedName>
    <definedName name="Maagaas">data!$J$52:$J$53</definedName>
    <definedName name="Majanduse_seisund">data!$C$57:$C$61</definedName>
    <definedName name="NO_x">data!$F$139:$G$142</definedName>
    <definedName name="NOx_list">data!$F$139:$F$142</definedName>
    <definedName name="PK">data!$J$12:$J$14</definedName>
    <definedName name="PM_2.5">data!$F$151:$G$154</definedName>
    <definedName name="PM25_list">data!$F$151:$F$154</definedName>
    <definedName name="R_Krit">data!$D$20:$D$29</definedName>
    <definedName name="Ressursikasutus">data!$D$57:$D$60</definedName>
    <definedName name="SO_2">data!$F$132:$G$135</definedName>
    <definedName name="SO2_list">data!$F$132:$F$135</definedName>
    <definedName name="TegevusteEelarve">data!$M$19:$M$23</definedName>
    <definedName name="test">Vahetabelid!$B$34</definedName>
    <definedName name="TOP">data!$B$37:$B$46</definedName>
    <definedName name="Transport_1">data!$N$58:$BF$58</definedName>
    <definedName name="Transport_2">data!$N$59:$BF$59</definedName>
    <definedName name="Transport_3">data!$N$60:$BF$60</definedName>
    <definedName name="Võrk">data!$J$6:$J$8</definedName>
    <definedName name="Välisühendus">data!$J$48:$J$49</definedName>
  </definedNames>
  <calcPr calcId="150001" calcMode="autoNoTable" concurrentCalc="0"/>
  <extLst>
    <ext xmlns:mx="http://schemas.microsoft.com/office/mac/excel/2008/main" uri="{7523E5D3-25F3-A5E0-1632-64F254C22452}">
      <mx:ArchID Flags="2"/>
    </ext>
    <ext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O26" i="1" l="1"/>
  <c r="FE7" i="8"/>
  <c r="E113" i="3"/>
  <c r="E110" i="3"/>
  <c r="G113" i="3"/>
  <c r="G110" i="3"/>
  <c r="G111" i="3"/>
  <c r="FE6" i="8"/>
  <c r="FE9" i="8"/>
  <c r="F145" i="8"/>
  <c r="C5" i="7"/>
  <c r="I5" i="7"/>
  <c r="K5" i="7"/>
  <c r="E7" i="7"/>
  <c r="F7" i="7"/>
  <c r="G7" i="7"/>
  <c r="I7" i="7"/>
  <c r="K7" i="7"/>
  <c r="I8" i="7"/>
  <c r="K8" i="7"/>
  <c r="I9" i="7"/>
  <c r="K9" i="7"/>
  <c r="I11" i="7"/>
  <c r="K11" i="7"/>
  <c r="F12" i="7"/>
  <c r="G12" i="7"/>
  <c r="I12" i="7"/>
  <c r="K12" i="7"/>
  <c r="I13" i="7"/>
  <c r="K13" i="7"/>
  <c r="I14" i="7"/>
  <c r="K14" i="7"/>
  <c r="F15" i="7"/>
  <c r="G15" i="7"/>
  <c r="I15" i="7"/>
  <c r="K15" i="7"/>
  <c r="I16" i="7"/>
  <c r="K16" i="7"/>
  <c r="F17" i="7"/>
  <c r="G17" i="7"/>
  <c r="I17" i="7"/>
  <c r="K17" i="7"/>
  <c r="I18" i="7"/>
  <c r="K18" i="7"/>
  <c r="I19" i="7"/>
  <c r="K19" i="7"/>
  <c r="I20" i="7"/>
  <c r="K20" i="7"/>
  <c r="I21" i="7"/>
  <c r="K21" i="7"/>
  <c r="I22" i="7"/>
  <c r="K22" i="7"/>
  <c r="I23" i="7"/>
  <c r="K23" i="7"/>
  <c r="I25" i="7"/>
  <c r="K25" i="7"/>
  <c r="I26" i="7"/>
  <c r="K26" i="7"/>
  <c r="I27" i="7"/>
  <c r="K27" i="7"/>
  <c r="FE145" i="8"/>
  <c r="F113" i="3"/>
  <c r="F110" i="3"/>
  <c r="F111" i="3"/>
  <c r="E111" i="3"/>
  <c r="FF7" i="8"/>
  <c r="FF6" i="8"/>
  <c r="FF8" i="8"/>
  <c r="FF9" i="8"/>
  <c r="FF11" i="8"/>
  <c r="FD11" i="8"/>
  <c r="F11" i="8"/>
  <c r="FE11" i="8"/>
  <c r="G87" i="2"/>
  <c r="G145" i="8"/>
  <c r="CQ145" i="8"/>
  <c r="G144" i="8"/>
  <c r="CQ144" i="8"/>
  <c r="G143" i="8"/>
  <c r="CQ143" i="8"/>
  <c r="CQ142" i="8"/>
  <c r="CQ141" i="8"/>
  <c r="CQ140" i="8"/>
  <c r="CQ139" i="8"/>
  <c r="CQ138" i="8"/>
  <c r="CQ137" i="8"/>
  <c r="CQ136" i="8"/>
  <c r="CQ135" i="8"/>
  <c r="CQ134" i="8"/>
  <c r="CQ133" i="8"/>
  <c r="CQ132" i="8"/>
  <c r="CQ131" i="8"/>
  <c r="G130" i="8"/>
  <c r="CQ130" i="8"/>
  <c r="G129" i="8"/>
  <c r="CQ129" i="8"/>
  <c r="G128" i="8"/>
  <c r="CQ128" i="8"/>
  <c r="CQ127" i="8"/>
  <c r="CQ126" i="8"/>
  <c r="CQ125" i="8"/>
  <c r="CQ124" i="8"/>
  <c r="CQ123" i="8"/>
  <c r="CQ122" i="8"/>
  <c r="CQ121" i="8"/>
  <c r="CQ120" i="8"/>
  <c r="CQ119" i="8"/>
  <c r="CQ118" i="8"/>
  <c r="CQ117" i="8"/>
  <c r="CQ116" i="8"/>
  <c r="G115" i="8"/>
  <c r="CQ115" i="8"/>
  <c r="G114" i="8"/>
  <c r="CQ114" i="8"/>
  <c r="G113" i="8"/>
  <c r="CQ113" i="8"/>
  <c r="CQ112" i="8"/>
  <c r="CQ111" i="8"/>
  <c r="CQ110" i="8"/>
  <c r="CQ109" i="8"/>
  <c r="CQ108" i="8"/>
  <c r="CQ107" i="8"/>
  <c r="CQ106" i="8"/>
  <c r="CQ105" i="8"/>
  <c r="CQ104" i="8"/>
  <c r="CQ103" i="8"/>
  <c r="CQ102" i="8"/>
  <c r="CQ101" i="8"/>
  <c r="F87" i="2"/>
  <c r="G100" i="8"/>
  <c r="CQ100" i="8"/>
  <c r="G99" i="8"/>
  <c r="CQ99" i="8"/>
  <c r="G98" i="8"/>
  <c r="CQ98" i="8"/>
  <c r="CQ97" i="8"/>
  <c r="CQ96" i="8"/>
  <c r="CQ95" i="8"/>
  <c r="CQ94" i="8"/>
  <c r="CQ93" i="8"/>
  <c r="CQ92" i="8"/>
  <c r="CQ91" i="8"/>
  <c r="CQ90" i="8"/>
  <c r="CQ89" i="8"/>
  <c r="CQ88" i="8"/>
  <c r="CQ87" i="8"/>
  <c r="CQ86" i="8"/>
  <c r="G85" i="8"/>
  <c r="CQ85" i="8"/>
  <c r="G84" i="8"/>
  <c r="CQ84" i="8"/>
  <c r="G83" i="8"/>
  <c r="CQ83" i="8"/>
  <c r="CQ82" i="8"/>
  <c r="CQ81" i="8"/>
  <c r="CQ80" i="8"/>
  <c r="CQ79" i="8"/>
  <c r="CQ78" i="8"/>
  <c r="CQ77" i="8"/>
  <c r="CQ76" i="8"/>
  <c r="CQ75" i="8"/>
  <c r="CQ74" i="8"/>
  <c r="CQ73" i="8"/>
  <c r="CQ72" i="8"/>
  <c r="CQ71" i="8"/>
  <c r="G70" i="8"/>
  <c r="CQ70" i="8"/>
  <c r="G69" i="8"/>
  <c r="CQ69" i="8"/>
  <c r="G68" i="8"/>
  <c r="CQ68" i="8"/>
  <c r="CQ67" i="8"/>
  <c r="CQ66" i="8"/>
  <c r="CQ65" i="8"/>
  <c r="CQ64" i="8"/>
  <c r="CQ63" i="8"/>
  <c r="CQ62" i="8"/>
  <c r="CQ61" i="8"/>
  <c r="CQ60" i="8"/>
  <c r="CQ59" i="8"/>
  <c r="CQ58" i="8"/>
  <c r="CQ57" i="8"/>
  <c r="CQ56" i="8"/>
  <c r="E87" i="2"/>
  <c r="G55" i="8"/>
  <c r="CQ55" i="8"/>
  <c r="G54" i="8"/>
  <c r="CQ54" i="8"/>
  <c r="G53" i="8"/>
  <c r="CQ53" i="8"/>
  <c r="CQ52" i="8"/>
  <c r="CQ51" i="8"/>
  <c r="CQ50" i="8"/>
  <c r="CQ49" i="8"/>
  <c r="CQ48" i="8"/>
  <c r="CQ47" i="8"/>
  <c r="CQ46" i="8"/>
  <c r="CQ45" i="8"/>
  <c r="CQ44" i="8"/>
  <c r="CQ43" i="8"/>
  <c r="CQ42" i="8"/>
  <c r="CQ41" i="8"/>
  <c r="G40" i="8"/>
  <c r="CQ40" i="8"/>
  <c r="G39" i="8"/>
  <c r="CQ39" i="8"/>
  <c r="G38" i="8"/>
  <c r="CQ38" i="8"/>
  <c r="CQ37" i="8"/>
  <c r="CQ36" i="8"/>
  <c r="CQ35" i="8"/>
  <c r="CQ34" i="8"/>
  <c r="CQ33" i="8"/>
  <c r="CQ32" i="8"/>
  <c r="CQ31" i="8"/>
  <c r="CQ30" i="8"/>
  <c r="CQ29" i="8"/>
  <c r="CQ28" i="8"/>
  <c r="CQ27" i="8"/>
  <c r="CQ26" i="8"/>
  <c r="G25" i="8"/>
  <c r="CQ25" i="8"/>
  <c r="G24" i="8"/>
  <c r="CQ24" i="8"/>
  <c r="G23" i="8"/>
  <c r="CQ23" i="8"/>
  <c r="CQ22" i="8"/>
  <c r="CQ21" i="8"/>
  <c r="CQ20" i="8"/>
  <c r="CQ19" i="8"/>
  <c r="CQ18" i="8"/>
  <c r="CQ17" i="8"/>
  <c r="CQ16" i="8"/>
  <c r="CQ15" i="8"/>
  <c r="CQ14" i="8"/>
  <c r="CQ13" i="8"/>
  <c r="CQ12" i="8"/>
  <c r="CQ11" i="8"/>
  <c r="G93" i="2"/>
  <c r="CL145" i="8"/>
  <c r="CL144" i="8"/>
  <c r="CL143" i="8"/>
  <c r="CL142" i="8"/>
  <c r="CL141" i="8"/>
  <c r="CL140" i="8"/>
  <c r="CL139" i="8"/>
  <c r="CL138" i="8"/>
  <c r="CL137" i="8"/>
  <c r="CL136" i="8"/>
  <c r="CL135" i="8"/>
  <c r="CL134" i="8"/>
  <c r="CL133" i="8"/>
  <c r="CL132" i="8"/>
  <c r="CL131" i="8"/>
  <c r="CL130" i="8"/>
  <c r="CL129" i="8"/>
  <c r="CL128" i="8"/>
  <c r="CL127" i="8"/>
  <c r="CL126" i="8"/>
  <c r="CL125" i="8"/>
  <c r="CL124" i="8"/>
  <c r="CL123" i="8"/>
  <c r="CL122" i="8"/>
  <c r="CL121" i="8"/>
  <c r="CL120" i="8"/>
  <c r="CL119" i="8"/>
  <c r="CL118" i="8"/>
  <c r="CL117" i="8"/>
  <c r="CL116" i="8"/>
  <c r="CL115" i="8"/>
  <c r="CL114" i="8"/>
  <c r="CL113" i="8"/>
  <c r="CL112" i="8"/>
  <c r="CL111" i="8"/>
  <c r="CL110" i="8"/>
  <c r="CL109" i="8"/>
  <c r="CL108" i="8"/>
  <c r="CL107" i="8"/>
  <c r="CL106" i="8"/>
  <c r="CL105" i="8"/>
  <c r="CL104" i="8"/>
  <c r="CL103" i="8"/>
  <c r="CL102" i="8"/>
  <c r="CL101" i="8"/>
  <c r="F93" i="2"/>
  <c r="CL100" i="8"/>
  <c r="CL99" i="8"/>
  <c r="CL98" i="8"/>
  <c r="CL97" i="8"/>
  <c r="CL96" i="8"/>
  <c r="CL95" i="8"/>
  <c r="CL94" i="8"/>
  <c r="CL93" i="8"/>
  <c r="CL92" i="8"/>
  <c r="CL91" i="8"/>
  <c r="CL90" i="8"/>
  <c r="CL89" i="8"/>
  <c r="CL88" i="8"/>
  <c r="CL87" i="8"/>
  <c r="CL86" i="8"/>
  <c r="CL85" i="8"/>
  <c r="CL84" i="8"/>
  <c r="CL83" i="8"/>
  <c r="CL82" i="8"/>
  <c r="CL81" i="8"/>
  <c r="CL80" i="8"/>
  <c r="CL79" i="8"/>
  <c r="CL78" i="8"/>
  <c r="CL77" i="8"/>
  <c r="CL76" i="8"/>
  <c r="CL75" i="8"/>
  <c r="CL74" i="8"/>
  <c r="CL73" i="8"/>
  <c r="CL72" i="8"/>
  <c r="CL71" i="8"/>
  <c r="CL70" i="8"/>
  <c r="CL69" i="8"/>
  <c r="CL68" i="8"/>
  <c r="CL67" i="8"/>
  <c r="CL66" i="8"/>
  <c r="CL65" i="8"/>
  <c r="CL64" i="8"/>
  <c r="CL63" i="8"/>
  <c r="CL62" i="8"/>
  <c r="CL61" i="8"/>
  <c r="CL60" i="8"/>
  <c r="CL59" i="8"/>
  <c r="CL58" i="8"/>
  <c r="CL57" i="8"/>
  <c r="CL56" i="8"/>
  <c r="E93" i="2"/>
  <c r="CL55" i="8"/>
  <c r="CL54" i="8"/>
  <c r="CL53" i="8"/>
  <c r="CL52" i="8"/>
  <c r="CL51" i="8"/>
  <c r="CL50" i="8"/>
  <c r="CL49" i="8"/>
  <c r="CL48" i="8"/>
  <c r="CL47" i="8"/>
  <c r="CL46" i="8"/>
  <c r="CL45" i="8"/>
  <c r="CL44" i="8"/>
  <c r="CL43" i="8"/>
  <c r="CL42" i="8"/>
  <c r="CL41" i="8"/>
  <c r="CL40" i="8"/>
  <c r="CL39" i="8"/>
  <c r="CL38" i="8"/>
  <c r="CL37" i="8"/>
  <c r="CL36" i="8"/>
  <c r="CL35" i="8"/>
  <c r="CL34" i="8"/>
  <c r="CL33" i="8"/>
  <c r="CL32" i="8"/>
  <c r="CL31" i="8"/>
  <c r="CL30" i="8"/>
  <c r="CL29" i="8"/>
  <c r="CL28" i="8"/>
  <c r="CL27" i="8"/>
  <c r="CL26" i="8"/>
  <c r="CL25" i="8"/>
  <c r="CL24" i="8"/>
  <c r="CL23" i="8"/>
  <c r="CL22" i="8"/>
  <c r="CL21" i="8"/>
  <c r="CL20" i="8"/>
  <c r="CL19" i="8"/>
  <c r="CL18" i="8"/>
  <c r="CL17" i="8"/>
  <c r="CL16" i="8"/>
  <c r="CL15" i="8"/>
  <c r="CL14" i="8"/>
  <c r="CL13" i="8"/>
  <c r="CL12" i="8"/>
  <c r="CL11" i="8"/>
  <c r="I59" i="4"/>
  <c r="H59" i="4"/>
  <c r="G59" i="4"/>
  <c r="F59" i="4"/>
  <c r="E59" i="4"/>
  <c r="I53" i="4"/>
  <c r="H53" i="4"/>
  <c r="G53" i="4"/>
  <c r="F53" i="4"/>
  <c r="E53" i="4"/>
  <c r="E51" i="4"/>
  <c r="GN12" i="8"/>
  <c r="GN13" i="8"/>
  <c r="F51" i="4"/>
  <c r="GN14" i="8"/>
  <c r="GN15" i="8"/>
  <c r="GN16" i="8"/>
  <c r="G51" i="4"/>
  <c r="GN17" i="8"/>
  <c r="GN18" i="8"/>
  <c r="GN19" i="8"/>
  <c r="H51" i="4"/>
  <c r="GN20" i="8"/>
  <c r="GN21" i="8"/>
  <c r="GN22" i="8"/>
  <c r="I51" i="4"/>
  <c r="GN23" i="8"/>
  <c r="GN24" i="8"/>
  <c r="GN25" i="8"/>
  <c r="GN26" i="8"/>
  <c r="GN27" i="8"/>
  <c r="GN28" i="8"/>
  <c r="GN29" i="8"/>
  <c r="GN30" i="8"/>
  <c r="GN31" i="8"/>
  <c r="GN32" i="8"/>
  <c r="GN33" i="8"/>
  <c r="GN34" i="8"/>
  <c r="GN35" i="8"/>
  <c r="GN36" i="8"/>
  <c r="GN37" i="8"/>
  <c r="GN38" i="8"/>
  <c r="GN39" i="8"/>
  <c r="GN40" i="8"/>
  <c r="GN41" i="8"/>
  <c r="GN42" i="8"/>
  <c r="GN43" i="8"/>
  <c r="GN44" i="8"/>
  <c r="GN45" i="8"/>
  <c r="GN46" i="8"/>
  <c r="GN47" i="8"/>
  <c r="GN48" i="8"/>
  <c r="GN49" i="8"/>
  <c r="GN50" i="8"/>
  <c r="GN51" i="8"/>
  <c r="GN52" i="8"/>
  <c r="GN53" i="8"/>
  <c r="GN54" i="8"/>
  <c r="GN55" i="8"/>
  <c r="GN56" i="8"/>
  <c r="GN57" i="8"/>
  <c r="GN58" i="8"/>
  <c r="GN59" i="8"/>
  <c r="GN60" i="8"/>
  <c r="GN61" i="8"/>
  <c r="GN62" i="8"/>
  <c r="GN63" i="8"/>
  <c r="GN64" i="8"/>
  <c r="GN65" i="8"/>
  <c r="GN66" i="8"/>
  <c r="GN67" i="8"/>
  <c r="GN68" i="8"/>
  <c r="GN69" i="8"/>
  <c r="GN70" i="8"/>
  <c r="GN71" i="8"/>
  <c r="GN72" i="8"/>
  <c r="GN73" i="8"/>
  <c r="GN74" i="8"/>
  <c r="GN75" i="8"/>
  <c r="GN76" i="8"/>
  <c r="GN77" i="8"/>
  <c r="GN78" i="8"/>
  <c r="GN79" i="8"/>
  <c r="GN80" i="8"/>
  <c r="GN81" i="8"/>
  <c r="GN82" i="8"/>
  <c r="GN83" i="8"/>
  <c r="GN84" i="8"/>
  <c r="GN85" i="8"/>
  <c r="GN86" i="8"/>
  <c r="GN87" i="8"/>
  <c r="GN88" i="8"/>
  <c r="GN89" i="8"/>
  <c r="GN90" i="8"/>
  <c r="GN91" i="8"/>
  <c r="GN92" i="8"/>
  <c r="GN93" i="8"/>
  <c r="GN94" i="8"/>
  <c r="GN95" i="8"/>
  <c r="GN96" i="8"/>
  <c r="GN97" i="8"/>
  <c r="GN98" i="8"/>
  <c r="GN99" i="8"/>
  <c r="GN100" i="8"/>
  <c r="GN101" i="8"/>
  <c r="GN102" i="8"/>
  <c r="GN103" i="8"/>
  <c r="GN104" i="8"/>
  <c r="GN105" i="8"/>
  <c r="GN106" i="8"/>
  <c r="GN107" i="8"/>
  <c r="GN108" i="8"/>
  <c r="GN109" i="8"/>
  <c r="GN110" i="8"/>
  <c r="GN111" i="8"/>
  <c r="GN112" i="8"/>
  <c r="GN113" i="8"/>
  <c r="GN114" i="8"/>
  <c r="GN115" i="8"/>
  <c r="GN116" i="8"/>
  <c r="GN117" i="8"/>
  <c r="GN118" i="8"/>
  <c r="GN119" i="8"/>
  <c r="GN120" i="8"/>
  <c r="GN121" i="8"/>
  <c r="GN122" i="8"/>
  <c r="GN123" i="8"/>
  <c r="GN124" i="8"/>
  <c r="GN125" i="8"/>
  <c r="GN126" i="8"/>
  <c r="GN127" i="8"/>
  <c r="GN128" i="8"/>
  <c r="GN129" i="8"/>
  <c r="GN130" i="8"/>
  <c r="GN131" i="8"/>
  <c r="GN132" i="8"/>
  <c r="GN133" i="8"/>
  <c r="GN134" i="8"/>
  <c r="GN135" i="8"/>
  <c r="GN136" i="8"/>
  <c r="GN137" i="8"/>
  <c r="GN138" i="8"/>
  <c r="GN139" i="8"/>
  <c r="GN140" i="8"/>
  <c r="GN141" i="8"/>
  <c r="GN142" i="8"/>
  <c r="GN143" i="8"/>
  <c r="GN144" i="8"/>
  <c r="GN145" i="8"/>
  <c r="E19" i="2"/>
  <c r="E20" i="2"/>
  <c r="E30" i="2"/>
  <c r="GQ12" i="8"/>
  <c r="GQ13" i="8"/>
  <c r="GQ14" i="8"/>
  <c r="GQ15" i="8"/>
  <c r="GQ16" i="8"/>
  <c r="GQ17" i="8"/>
  <c r="GQ18" i="8"/>
  <c r="GQ19" i="8"/>
  <c r="GQ20" i="8"/>
  <c r="GQ21" i="8"/>
  <c r="GQ22" i="8"/>
  <c r="GQ23" i="8"/>
  <c r="GQ24" i="8"/>
  <c r="GQ25" i="8"/>
  <c r="GQ26" i="8"/>
  <c r="GQ27" i="8"/>
  <c r="GQ28" i="8"/>
  <c r="GQ29" i="8"/>
  <c r="GQ30" i="8"/>
  <c r="GQ31" i="8"/>
  <c r="GQ32" i="8"/>
  <c r="GQ33" i="8"/>
  <c r="GQ34" i="8"/>
  <c r="GQ35" i="8"/>
  <c r="GQ36" i="8"/>
  <c r="GQ37" i="8"/>
  <c r="GQ38" i="8"/>
  <c r="GQ39" i="8"/>
  <c r="GQ40" i="8"/>
  <c r="GQ41" i="8"/>
  <c r="GQ42" i="8"/>
  <c r="GQ43" i="8"/>
  <c r="GQ44" i="8"/>
  <c r="GQ45" i="8"/>
  <c r="GQ46" i="8"/>
  <c r="GQ47" i="8"/>
  <c r="GQ48" i="8"/>
  <c r="GQ49" i="8"/>
  <c r="GQ50" i="8"/>
  <c r="GQ51" i="8"/>
  <c r="GQ52" i="8"/>
  <c r="GQ53" i="8"/>
  <c r="GQ54" i="8"/>
  <c r="GQ55" i="8"/>
  <c r="F19" i="2"/>
  <c r="F20" i="2"/>
  <c r="F21" i="2"/>
  <c r="F30" i="2"/>
  <c r="GQ56" i="8"/>
  <c r="GQ57" i="8"/>
  <c r="GQ58" i="8"/>
  <c r="GQ59" i="8"/>
  <c r="GQ60" i="8"/>
  <c r="GQ61" i="8"/>
  <c r="GQ62" i="8"/>
  <c r="GQ63" i="8"/>
  <c r="GQ64" i="8"/>
  <c r="GQ65" i="8"/>
  <c r="GQ66" i="8"/>
  <c r="GQ67" i="8"/>
  <c r="GQ68" i="8"/>
  <c r="GQ69" i="8"/>
  <c r="GQ70" i="8"/>
  <c r="GQ71" i="8"/>
  <c r="GQ72" i="8"/>
  <c r="GQ73" i="8"/>
  <c r="GQ74" i="8"/>
  <c r="GQ75" i="8"/>
  <c r="GQ76" i="8"/>
  <c r="GQ77" i="8"/>
  <c r="GQ78" i="8"/>
  <c r="GQ79" i="8"/>
  <c r="GQ80" i="8"/>
  <c r="GQ81" i="8"/>
  <c r="GQ82" i="8"/>
  <c r="GQ83" i="8"/>
  <c r="GQ84" i="8"/>
  <c r="GQ85" i="8"/>
  <c r="GQ86" i="8"/>
  <c r="GQ87" i="8"/>
  <c r="GQ88" i="8"/>
  <c r="GQ89" i="8"/>
  <c r="GQ90" i="8"/>
  <c r="GQ91" i="8"/>
  <c r="GQ92" i="8"/>
  <c r="GQ93" i="8"/>
  <c r="GQ94" i="8"/>
  <c r="GQ95" i="8"/>
  <c r="GQ96" i="8"/>
  <c r="GQ97" i="8"/>
  <c r="GQ98" i="8"/>
  <c r="GQ99" i="8"/>
  <c r="GQ100" i="8"/>
  <c r="G19" i="2"/>
  <c r="G20" i="2"/>
  <c r="G21" i="2"/>
  <c r="G30" i="2"/>
  <c r="GQ101" i="8"/>
  <c r="GQ102" i="8"/>
  <c r="GQ103" i="8"/>
  <c r="GQ104" i="8"/>
  <c r="GQ105" i="8"/>
  <c r="GQ106" i="8"/>
  <c r="GQ107" i="8"/>
  <c r="GQ108" i="8"/>
  <c r="GQ109" i="8"/>
  <c r="GQ110" i="8"/>
  <c r="GQ111" i="8"/>
  <c r="GQ112" i="8"/>
  <c r="GQ113" i="8"/>
  <c r="GQ114" i="8"/>
  <c r="GQ115" i="8"/>
  <c r="GQ116" i="8"/>
  <c r="GQ117" i="8"/>
  <c r="GQ118" i="8"/>
  <c r="GQ119" i="8"/>
  <c r="GQ120" i="8"/>
  <c r="GQ121" i="8"/>
  <c r="GQ122" i="8"/>
  <c r="GQ123" i="8"/>
  <c r="GQ124" i="8"/>
  <c r="GQ125" i="8"/>
  <c r="GQ126" i="8"/>
  <c r="GQ127" i="8"/>
  <c r="GQ128" i="8"/>
  <c r="GQ129" i="8"/>
  <c r="GQ130" i="8"/>
  <c r="GQ131" i="8"/>
  <c r="GQ132" i="8"/>
  <c r="GQ133" i="8"/>
  <c r="GQ134" i="8"/>
  <c r="GQ135" i="8"/>
  <c r="GQ136" i="8"/>
  <c r="GQ137" i="8"/>
  <c r="GQ138" i="8"/>
  <c r="GQ139" i="8"/>
  <c r="GQ140" i="8"/>
  <c r="GQ141" i="8"/>
  <c r="GQ142" i="8"/>
  <c r="GQ143" i="8"/>
  <c r="GQ144" i="8"/>
  <c r="GQ145" i="8"/>
  <c r="GN11" i="8"/>
  <c r="GQ11" i="8"/>
  <c r="E50" i="4"/>
  <c r="GM12" i="8"/>
  <c r="GM13" i="8"/>
  <c r="F50" i="4"/>
  <c r="GM14" i="8"/>
  <c r="GM15" i="8"/>
  <c r="GM16" i="8"/>
  <c r="G50" i="4"/>
  <c r="GM17" i="8"/>
  <c r="GM18" i="8"/>
  <c r="GM19" i="8"/>
  <c r="H50" i="4"/>
  <c r="GM20" i="8"/>
  <c r="GM21" i="8"/>
  <c r="GM22" i="8"/>
  <c r="I50" i="4"/>
  <c r="GM23" i="8"/>
  <c r="GM24" i="8"/>
  <c r="GM25" i="8"/>
  <c r="GM26" i="8"/>
  <c r="GM27" i="8"/>
  <c r="GM28" i="8"/>
  <c r="GM29" i="8"/>
  <c r="GM30" i="8"/>
  <c r="GM31" i="8"/>
  <c r="GM32" i="8"/>
  <c r="GM33" i="8"/>
  <c r="GM34" i="8"/>
  <c r="GM35" i="8"/>
  <c r="GM36" i="8"/>
  <c r="GM37" i="8"/>
  <c r="GM38" i="8"/>
  <c r="GM39" i="8"/>
  <c r="GM40" i="8"/>
  <c r="GM41" i="8"/>
  <c r="GM42" i="8"/>
  <c r="GM43" i="8"/>
  <c r="GM44" i="8"/>
  <c r="GM45" i="8"/>
  <c r="GM46" i="8"/>
  <c r="GM47" i="8"/>
  <c r="GM48" i="8"/>
  <c r="GM49" i="8"/>
  <c r="GM50" i="8"/>
  <c r="GM51" i="8"/>
  <c r="GM52" i="8"/>
  <c r="GM53" i="8"/>
  <c r="GM54" i="8"/>
  <c r="GM55" i="8"/>
  <c r="GM56" i="8"/>
  <c r="GM57" i="8"/>
  <c r="GM58" i="8"/>
  <c r="GM59" i="8"/>
  <c r="GM60" i="8"/>
  <c r="GM61" i="8"/>
  <c r="GM62" i="8"/>
  <c r="GM63" i="8"/>
  <c r="GM64" i="8"/>
  <c r="GM65" i="8"/>
  <c r="GM66" i="8"/>
  <c r="GM67" i="8"/>
  <c r="GM68" i="8"/>
  <c r="GM69" i="8"/>
  <c r="GM70" i="8"/>
  <c r="GM71" i="8"/>
  <c r="GM72" i="8"/>
  <c r="GM73" i="8"/>
  <c r="GM74" i="8"/>
  <c r="GM75" i="8"/>
  <c r="GM76" i="8"/>
  <c r="GM77" i="8"/>
  <c r="GM78" i="8"/>
  <c r="GM79" i="8"/>
  <c r="GM80" i="8"/>
  <c r="GM81" i="8"/>
  <c r="GM82" i="8"/>
  <c r="GM83" i="8"/>
  <c r="GM84" i="8"/>
  <c r="GM85" i="8"/>
  <c r="GM86" i="8"/>
  <c r="GM87" i="8"/>
  <c r="GM88" i="8"/>
  <c r="GM89" i="8"/>
  <c r="GM90" i="8"/>
  <c r="GM91" i="8"/>
  <c r="GM92" i="8"/>
  <c r="GM93" i="8"/>
  <c r="GM94" i="8"/>
  <c r="GM95" i="8"/>
  <c r="GM96" i="8"/>
  <c r="GM97" i="8"/>
  <c r="GM98" i="8"/>
  <c r="GM99" i="8"/>
  <c r="GM100" i="8"/>
  <c r="GM101" i="8"/>
  <c r="GM102" i="8"/>
  <c r="GM103" i="8"/>
  <c r="GM104" i="8"/>
  <c r="GM105" i="8"/>
  <c r="GM106" i="8"/>
  <c r="GM107" i="8"/>
  <c r="GM108" i="8"/>
  <c r="GM109" i="8"/>
  <c r="GM110" i="8"/>
  <c r="GM111" i="8"/>
  <c r="GM112" i="8"/>
  <c r="GM113" i="8"/>
  <c r="GM114" i="8"/>
  <c r="GM115" i="8"/>
  <c r="GM116" i="8"/>
  <c r="GM117" i="8"/>
  <c r="GM118" i="8"/>
  <c r="GM119" i="8"/>
  <c r="GM120" i="8"/>
  <c r="GM121" i="8"/>
  <c r="GM122" i="8"/>
  <c r="GM123" i="8"/>
  <c r="GM124" i="8"/>
  <c r="GM125" i="8"/>
  <c r="GM126" i="8"/>
  <c r="GM127" i="8"/>
  <c r="GM128" i="8"/>
  <c r="GM129" i="8"/>
  <c r="GM130" i="8"/>
  <c r="GM131" i="8"/>
  <c r="GM132" i="8"/>
  <c r="GM133" i="8"/>
  <c r="GM134" i="8"/>
  <c r="GM135" i="8"/>
  <c r="GM136" i="8"/>
  <c r="GM137" i="8"/>
  <c r="GM138" i="8"/>
  <c r="GM139" i="8"/>
  <c r="GM140" i="8"/>
  <c r="GM141" i="8"/>
  <c r="GM142" i="8"/>
  <c r="GM143" i="8"/>
  <c r="GM144" i="8"/>
  <c r="GM145" i="8"/>
  <c r="GM11" i="8"/>
  <c r="F58" i="4"/>
  <c r="G58" i="4"/>
  <c r="H58" i="4"/>
  <c r="I58" i="4"/>
  <c r="E58" i="4"/>
  <c r="F56" i="4"/>
  <c r="G56" i="4"/>
  <c r="H56" i="4"/>
  <c r="I56" i="4"/>
  <c r="E56" i="4"/>
  <c r="E90" i="3"/>
  <c r="F90" i="3"/>
  <c r="G90" i="3"/>
  <c r="F89" i="3"/>
  <c r="G89" i="3"/>
  <c r="E89" i="3"/>
  <c r="E82" i="3"/>
  <c r="F82" i="3"/>
  <c r="G82" i="3"/>
  <c r="F83" i="3"/>
  <c r="G83" i="3"/>
  <c r="E83" i="3"/>
  <c r="G18" i="2"/>
  <c r="G17" i="2"/>
  <c r="G16" i="2"/>
  <c r="F18" i="2"/>
  <c r="F17" i="2"/>
  <c r="F16" i="2"/>
  <c r="E18" i="2"/>
  <c r="E17" i="2"/>
  <c r="E16" i="2"/>
  <c r="GP12" i="8"/>
  <c r="GP16" i="8"/>
  <c r="GP20" i="8"/>
  <c r="GP24" i="8"/>
  <c r="GP56" i="8"/>
  <c r="GP60" i="8"/>
  <c r="GP64" i="8"/>
  <c r="GP68" i="8"/>
  <c r="GP104" i="8"/>
  <c r="GP108" i="8"/>
  <c r="GP112" i="8"/>
  <c r="GP17" i="8"/>
  <c r="GP65" i="8"/>
  <c r="GP13" i="8"/>
  <c r="GP25" i="8"/>
  <c r="GP61" i="8"/>
  <c r="GP14" i="8"/>
  <c r="GP18" i="8"/>
  <c r="GP22" i="8"/>
  <c r="GP58" i="8"/>
  <c r="GP62" i="8"/>
  <c r="GP66" i="8"/>
  <c r="GP70" i="8"/>
  <c r="GP102" i="8"/>
  <c r="GP106" i="8"/>
  <c r="GP110" i="8"/>
  <c r="GP114" i="8"/>
  <c r="GP11" i="8"/>
  <c r="GP15" i="8"/>
  <c r="GP19" i="8"/>
  <c r="GP23" i="8"/>
  <c r="GP59" i="8"/>
  <c r="GP63" i="8"/>
  <c r="GP67" i="8"/>
  <c r="GP103" i="8"/>
  <c r="GP107" i="8"/>
  <c r="GP111" i="8"/>
  <c r="GP115" i="8"/>
  <c r="GP21" i="8"/>
  <c r="GP57" i="8"/>
  <c r="GP69" i="8"/>
  <c r="GP109" i="8"/>
  <c r="GP113" i="8"/>
  <c r="GP101" i="8"/>
  <c r="GP105" i="8"/>
  <c r="GO26" i="8"/>
  <c r="GO30" i="8"/>
  <c r="GO34" i="8"/>
  <c r="GO38" i="8"/>
  <c r="GO74" i="8"/>
  <c r="GO78" i="8"/>
  <c r="GO82" i="8"/>
  <c r="GO118" i="8"/>
  <c r="GO122" i="8"/>
  <c r="GO126" i="8"/>
  <c r="GO130" i="8"/>
  <c r="GO31" i="8"/>
  <c r="GO79" i="8"/>
  <c r="GO127" i="8"/>
  <c r="GO27" i="8"/>
  <c r="GO39" i="8"/>
  <c r="GO75" i="8"/>
  <c r="GO123" i="8"/>
  <c r="GO28" i="8"/>
  <c r="GO32" i="8"/>
  <c r="GO36" i="8"/>
  <c r="GO40" i="8"/>
  <c r="GO72" i="8"/>
  <c r="GO76" i="8"/>
  <c r="GO80" i="8"/>
  <c r="GO84" i="8"/>
  <c r="GO116" i="8"/>
  <c r="GO120" i="8"/>
  <c r="GO124" i="8"/>
  <c r="GO128" i="8"/>
  <c r="GO29" i="8"/>
  <c r="GO33" i="8"/>
  <c r="GO37" i="8"/>
  <c r="GO73" i="8"/>
  <c r="GO77" i="8"/>
  <c r="GO81" i="8"/>
  <c r="GO85" i="8"/>
  <c r="GO117" i="8"/>
  <c r="GO121" i="8"/>
  <c r="GO125" i="8"/>
  <c r="GO129" i="8"/>
  <c r="GO35" i="8"/>
  <c r="GO71" i="8"/>
  <c r="GO83" i="8"/>
  <c r="GO119" i="8"/>
  <c r="GP44" i="8"/>
  <c r="GP48" i="8"/>
  <c r="GP52" i="8"/>
  <c r="GP88" i="8"/>
  <c r="GP92" i="8"/>
  <c r="GP96" i="8"/>
  <c r="GP100" i="8"/>
  <c r="GP132" i="8"/>
  <c r="GP136" i="8"/>
  <c r="GP140" i="8"/>
  <c r="GP144" i="8"/>
  <c r="GP41" i="8"/>
  <c r="GP53" i="8"/>
  <c r="GP89" i="8"/>
  <c r="GP49" i="8"/>
  <c r="GP97" i="8"/>
  <c r="GP42" i="8"/>
  <c r="GP46" i="8"/>
  <c r="GP50" i="8"/>
  <c r="GP54" i="8"/>
  <c r="GP86" i="8"/>
  <c r="GP90" i="8"/>
  <c r="GP94" i="8"/>
  <c r="GP98" i="8"/>
  <c r="GP134" i="8"/>
  <c r="GP138" i="8"/>
  <c r="GP142" i="8"/>
  <c r="GP43" i="8"/>
  <c r="GP47" i="8"/>
  <c r="GP51" i="8"/>
  <c r="GP55" i="8"/>
  <c r="GP87" i="8"/>
  <c r="GP91" i="8"/>
  <c r="GP95" i="8"/>
  <c r="GP99" i="8"/>
  <c r="GP131" i="8"/>
  <c r="GP135" i="8"/>
  <c r="GP139" i="8"/>
  <c r="GP143" i="8"/>
  <c r="GP45" i="8"/>
  <c r="GP93" i="8"/>
  <c r="GP141" i="8"/>
  <c r="GP145" i="8"/>
  <c r="GP133" i="8"/>
  <c r="GP137" i="8"/>
  <c r="GO14" i="8"/>
  <c r="GO18" i="8"/>
  <c r="GO22" i="8"/>
  <c r="GO58" i="8"/>
  <c r="GO62" i="8"/>
  <c r="GO66" i="8"/>
  <c r="GO70" i="8"/>
  <c r="GO102" i="8"/>
  <c r="GO106" i="8"/>
  <c r="GO110" i="8"/>
  <c r="GO114" i="8"/>
  <c r="GO19" i="8"/>
  <c r="GO67" i="8"/>
  <c r="GO103" i="8"/>
  <c r="GO115" i="8"/>
  <c r="GO15" i="8"/>
  <c r="GO63" i="8"/>
  <c r="GO111" i="8"/>
  <c r="GO12" i="8"/>
  <c r="GO16" i="8"/>
  <c r="GO20" i="8"/>
  <c r="GO24" i="8"/>
  <c r="GO56" i="8"/>
  <c r="GO60" i="8"/>
  <c r="GO64" i="8"/>
  <c r="GO68" i="8"/>
  <c r="GO104" i="8"/>
  <c r="GO108" i="8"/>
  <c r="GO112" i="8"/>
  <c r="GO13" i="8"/>
  <c r="GO17" i="8"/>
  <c r="GO21" i="8"/>
  <c r="GO25" i="8"/>
  <c r="GO57" i="8"/>
  <c r="GO61" i="8"/>
  <c r="GO65" i="8"/>
  <c r="GO69" i="8"/>
  <c r="GO101" i="8"/>
  <c r="GO105" i="8"/>
  <c r="GO109" i="8"/>
  <c r="GO113" i="8"/>
  <c r="GO23" i="8"/>
  <c r="GO59" i="8"/>
  <c r="GO107" i="8"/>
  <c r="GO11" i="8"/>
  <c r="GP28" i="8"/>
  <c r="GP32" i="8"/>
  <c r="GP36" i="8"/>
  <c r="GP40" i="8"/>
  <c r="GP72" i="8"/>
  <c r="GP76" i="8"/>
  <c r="GP80" i="8"/>
  <c r="GP84" i="8"/>
  <c r="GP116" i="8"/>
  <c r="GP120" i="8"/>
  <c r="GP124" i="8"/>
  <c r="GP128" i="8"/>
  <c r="GP29" i="8"/>
  <c r="GP77" i="8"/>
  <c r="GP37" i="8"/>
  <c r="GP73" i="8"/>
  <c r="GP85" i="8"/>
  <c r="GP26" i="8"/>
  <c r="GP30" i="8"/>
  <c r="GP34" i="8"/>
  <c r="GP38" i="8"/>
  <c r="GP74" i="8"/>
  <c r="GP78" i="8"/>
  <c r="GP82" i="8"/>
  <c r="GP118" i="8"/>
  <c r="GP122" i="8"/>
  <c r="GP126" i="8"/>
  <c r="GP130" i="8"/>
  <c r="GP27" i="8"/>
  <c r="GP31" i="8"/>
  <c r="GP35" i="8"/>
  <c r="GP39" i="8"/>
  <c r="GP71" i="8"/>
  <c r="GP75" i="8"/>
  <c r="GP79" i="8"/>
  <c r="GP83" i="8"/>
  <c r="GP119" i="8"/>
  <c r="GP123" i="8"/>
  <c r="GP127" i="8"/>
  <c r="GP33" i="8"/>
  <c r="GP81" i="8"/>
  <c r="GP125" i="8"/>
  <c r="GP129" i="8"/>
  <c r="GP117" i="8"/>
  <c r="GP121" i="8"/>
  <c r="GO42" i="8"/>
  <c r="GO46" i="8"/>
  <c r="GO50" i="8"/>
  <c r="GO54" i="8"/>
  <c r="GO86" i="8"/>
  <c r="GO90" i="8"/>
  <c r="GO94" i="8"/>
  <c r="GO98" i="8"/>
  <c r="GO134" i="8"/>
  <c r="GO138" i="8"/>
  <c r="GO142" i="8"/>
  <c r="GO43" i="8"/>
  <c r="GO55" i="8"/>
  <c r="GO91" i="8"/>
  <c r="GO139" i="8"/>
  <c r="GO51" i="8"/>
  <c r="GO87" i="8"/>
  <c r="GO99" i="8"/>
  <c r="GO135" i="8"/>
  <c r="GO44" i="8"/>
  <c r="GO48" i="8"/>
  <c r="GO52" i="8"/>
  <c r="GO88" i="8"/>
  <c r="GO92" i="8"/>
  <c r="GO96" i="8"/>
  <c r="GO100" i="8"/>
  <c r="GO132" i="8"/>
  <c r="GO136" i="8"/>
  <c r="GO140" i="8"/>
  <c r="GO144" i="8"/>
  <c r="GO41" i="8"/>
  <c r="GO45" i="8"/>
  <c r="GO49" i="8"/>
  <c r="GO53" i="8"/>
  <c r="GO89" i="8"/>
  <c r="GO93" i="8"/>
  <c r="GO97" i="8"/>
  <c r="GO133" i="8"/>
  <c r="GO137" i="8"/>
  <c r="GO141" i="8"/>
  <c r="GO145" i="8"/>
  <c r="GO47" i="8"/>
  <c r="GO95" i="8"/>
  <c r="GO131" i="8"/>
  <c r="GO143" i="8"/>
  <c r="K21" i="2"/>
  <c r="I21" i="2"/>
  <c r="K20" i="2"/>
  <c r="I20" i="2"/>
  <c r="K19" i="2"/>
  <c r="I19" i="2"/>
  <c r="K18" i="2"/>
  <c r="I18" i="2"/>
  <c r="K17" i="2"/>
  <c r="I17" i="2"/>
  <c r="K16" i="2"/>
  <c r="I16" i="2"/>
  <c r="GM148" i="8"/>
  <c r="F57" i="4"/>
  <c r="G57" i="4"/>
  <c r="H57" i="4"/>
  <c r="I57" i="4"/>
  <c r="G69" i="2"/>
  <c r="F69" i="2"/>
  <c r="G67" i="2"/>
  <c r="F67" i="2"/>
  <c r="I89" i="4"/>
  <c r="H89" i="4"/>
  <c r="G89" i="4"/>
  <c r="F89" i="4"/>
  <c r="F84" i="4"/>
  <c r="G84" i="4"/>
  <c r="H84" i="4"/>
  <c r="I84" i="4"/>
  <c r="F87" i="4"/>
  <c r="G87" i="4"/>
  <c r="H87" i="4"/>
  <c r="I87" i="4"/>
  <c r="G11" i="8"/>
  <c r="S11" i="8"/>
  <c r="BL4" i="18"/>
  <c r="BC12" i="8"/>
  <c r="BD12" i="8"/>
  <c r="BC13" i="8"/>
  <c r="BD13" i="8"/>
  <c r="BC14" i="8"/>
  <c r="BD14" i="8"/>
  <c r="BC15" i="8"/>
  <c r="BD15" i="8"/>
  <c r="BC16" i="8"/>
  <c r="BD16" i="8"/>
  <c r="BC17" i="8"/>
  <c r="BD17" i="8"/>
  <c r="BC18" i="8"/>
  <c r="BD18" i="8"/>
  <c r="BC19" i="8"/>
  <c r="BD19" i="8"/>
  <c r="BC20" i="8"/>
  <c r="BD20" i="8"/>
  <c r="BC21" i="8"/>
  <c r="BD21" i="8"/>
  <c r="BC22" i="8"/>
  <c r="BD22" i="8"/>
  <c r="BC23" i="8"/>
  <c r="BD23" i="8"/>
  <c r="BC24" i="8"/>
  <c r="BD24" i="8"/>
  <c r="BC25" i="8"/>
  <c r="BD25" i="8"/>
  <c r="BC26" i="8"/>
  <c r="BD26" i="8"/>
  <c r="BC27" i="8"/>
  <c r="BD27" i="8"/>
  <c r="BC28" i="8"/>
  <c r="BD28" i="8"/>
  <c r="BC29" i="8"/>
  <c r="BD29" i="8"/>
  <c r="BC30" i="8"/>
  <c r="BD30" i="8"/>
  <c r="BC31" i="8"/>
  <c r="BD31" i="8"/>
  <c r="BC32" i="8"/>
  <c r="BD32" i="8"/>
  <c r="BC33" i="8"/>
  <c r="BD33" i="8"/>
  <c r="BC34" i="8"/>
  <c r="BD34" i="8"/>
  <c r="BC35" i="8"/>
  <c r="BD35" i="8"/>
  <c r="BC36" i="8"/>
  <c r="BD36" i="8"/>
  <c r="BC37" i="8"/>
  <c r="BD37" i="8"/>
  <c r="BC38" i="8"/>
  <c r="BD38" i="8"/>
  <c r="BC39" i="8"/>
  <c r="BD39" i="8"/>
  <c r="BC40" i="8"/>
  <c r="BD40" i="8"/>
  <c r="BC41" i="8"/>
  <c r="BD41" i="8"/>
  <c r="BC42" i="8"/>
  <c r="BD42" i="8"/>
  <c r="BC43" i="8"/>
  <c r="BD43" i="8"/>
  <c r="BC44" i="8"/>
  <c r="BD44" i="8"/>
  <c r="BC45" i="8"/>
  <c r="BD45" i="8"/>
  <c r="BC46" i="8"/>
  <c r="BD46" i="8"/>
  <c r="BC47" i="8"/>
  <c r="BD47" i="8"/>
  <c r="BC48" i="8"/>
  <c r="BD48" i="8"/>
  <c r="BC49" i="8"/>
  <c r="BD49" i="8"/>
  <c r="BC50" i="8"/>
  <c r="BD50" i="8"/>
  <c r="BC51" i="8"/>
  <c r="BD51" i="8"/>
  <c r="BC52" i="8"/>
  <c r="BD52" i="8"/>
  <c r="BC53" i="8"/>
  <c r="BD53" i="8"/>
  <c r="BC54" i="8"/>
  <c r="BD54" i="8"/>
  <c r="BC55" i="8"/>
  <c r="BD55" i="8"/>
  <c r="BC56" i="8"/>
  <c r="BD56" i="8"/>
  <c r="BC57" i="8"/>
  <c r="BD57" i="8"/>
  <c r="BC58" i="8"/>
  <c r="BD58" i="8"/>
  <c r="BC59" i="8"/>
  <c r="BD59" i="8"/>
  <c r="BC60" i="8"/>
  <c r="BD60" i="8"/>
  <c r="BC61" i="8"/>
  <c r="BD61" i="8"/>
  <c r="BC62" i="8"/>
  <c r="BD62" i="8"/>
  <c r="BC63" i="8"/>
  <c r="BD63" i="8"/>
  <c r="BC64" i="8"/>
  <c r="BD64" i="8"/>
  <c r="BC65" i="8"/>
  <c r="BD65" i="8"/>
  <c r="BC66" i="8"/>
  <c r="BD66" i="8"/>
  <c r="BC67" i="8"/>
  <c r="BD67" i="8"/>
  <c r="BC68" i="8"/>
  <c r="BD68" i="8"/>
  <c r="BC69" i="8"/>
  <c r="BD69" i="8"/>
  <c r="BC70" i="8"/>
  <c r="BD70" i="8"/>
  <c r="BC71" i="8"/>
  <c r="BD71" i="8"/>
  <c r="BC72" i="8"/>
  <c r="BD72" i="8"/>
  <c r="BC73" i="8"/>
  <c r="BD73" i="8"/>
  <c r="BC74" i="8"/>
  <c r="BD74" i="8"/>
  <c r="BC75" i="8"/>
  <c r="BD75" i="8"/>
  <c r="BC76" i="8"/>
  <c r="BD76" i="8"/>
  <c r="BC77" i="8"/>
  <c r="BD77" i="8"/>
  <c r="BC78" i="8"/>
  <c r="BD78" i="8"/>
  <c r="BC79" i="8"/>
  <c r="BD79" i="8"/>
  <c r="BC80" i="8"/>
  <c r="BD80" i="8"/>
  <c r="BC81" i="8"/>
  <c r="BD81" i="8"/>
  <c r="BC82" i="8"/>
  <c r="BD82" i="8"/>
  <c r="BC83" i="8"/>
  <c r="BD83" i="8"/>
  <c r="BC84" i="8"/>
  <c r="BD84" i="8"/>
  <c r="BC85" i="8"/>
  <c r="BD85" i="8"/>
  <c r="BC86" i="8"/>
  <c r="BD86" i="8"/>
  <c r="BC87" i="8"/>
  <c r="BD87" i="8"/>
  <c r="BC88" i="8"/>
  <c r="BD88" i="8"/>
  <c r="BC89" i="8"/>
  <c r="BD89" i="8"/>
  <c r="BC90" i="8"/>
  <c r="BD90" i="8"/>
  <c r="BC91" i="8"/>
  <c r="BD91" i="8"/>
  <c r="BC92" i="8"/>
  <c r="BD92" i="8"/>
  <c r="BC93" i="8"/>
  <c r="BD93" i="8"/>
  <c r="BC94" i="8"/>
  <c r="BD94" i="8"/>
  <c r="BC95" i="8"/>
  <c r="BD95" i="8"/>
  <c r="BC96" i="8"/>
  <c r="BD96" i="8"/>
  <c r="BC97" i="8"/>
  <c r="BD97" i="8"/>
  <c r="BC98" i="8"/>
  <c r="BD98" i="8"/>
  <c r="BC99" i="8"/>
  <c r="BD99" i="8"/>
  <c r="BC100" i="8"/>
  <c r="BD100" i="8"/>
  <c r="BC101" i="8"/>
  <c r="BD101" i="8"/>
  <c r="BC102" i="8"/>
  <c r="BD102" i="8"/>
  <c r="BC103" i="8"/>
  <c r="BD103" i="8"/>
  <c r="BC104" i="8"/>
  <c r="BD104" i="8"/>
  <c r="BC105" i="8"/>
  <c r="BD105" i="8"/>
  <c r="BC106" i="8"/>
  <c r="BD106" i="8"/>
  <c r="BC107" i="8"/>
  <c r="BD107" i="8"/>
  <c r="BC108" i="8"/>
  <c r="BD108" i="8"/>
  <c r="BC109" i="8"/>
  <c r="BD109" i="8"/>
  <c r="BC110" i="8"/>
  <c r="BD110" i="8"/>
  <c r="BC111" i="8"/>
  <c r="BD111" i="8"/>
  <c r="BC112" i="8"/>
  <c r="BD112" i="8"/>
  <c r="BC113" i="8"/>
  <c r="BD113" i="8"/>
  <c r="BC114" i="8"/>
  <c r="BD114" i="8"/>
  <c r="BC115" i="8"/>
  <c r="BD115" i="8"/>
  <c r="BC116" i="8"/>
  <c r="BD116" i="8"/>
  <c r="BC117" i="8"/>
  <c r="BD117" i="8"/>
  <c r="BC118" i="8"/>
  <c r="BD118" i="8"/>
  <c r="BC119" i="8"/>
  <c r="BD119" i="8"/>
  <c r="BC120" i="8"/>
  <c r="BD120" i="8"/>
  <c r="BC121" i="8"/>
  <c r="BD121" i="8"/>
  <c r="BC122" i="8"/>
  <c r="BD122" i="8"/>
  <c r="BC123" i="8"/>
  <c r="BD123" i="8"/>
  <c r="BC124" i="8"/>
  <c r="BD124" i="8"/>
  <c r="BC125" i="8"/>
  <c r="BD125" i="8"/>
  <c r="BC126" i="8"/>
  <c r="BD126" i="8"/>
  <c r="BC127" i="8"/>
  <c r="BD127" i="8"/>
  <c r="BC128" i="8"/>
  <c r="BD128" i="8"/>
  <c r="BC129" i="8"/>
  <c r="BD129" i="8"/>
  <c r="BC130" i="8"/>
  <c r="BD130" i="8"/>
  <c r="BC131" i="8"/>
  <c r="BD131" i="8"/>
  <c r="BC132" i="8"/>
  <c r="BD132" i="8"/>
  <c r="BC133" i="8"/>
  <c r="BD133" i="8"/>
  <c r="BC134" i="8"/>
  <c r="BD134" i="8"/>
  <c r="BC135" i="8"/>
  <c r="BD135" i="8"/>
  <c r="BC136" i="8"/>
  <c r="BD136" i="8"/>
  <c r="BC137" i="8"/>
  <c r="BD137" i="8"/>
  <c r="BC138" i="8"/>
  <c r="BD138" i="8"/>
  <c r="BC139" i="8"/>
  <c r="BD139" i="8"/>
  <c r="BC140" i="8"/>
  <c r="BD140" i="8"/>
  <c r="BC141" i="8"/>
  <c r="BD141" i="8"/>
  <c r="BC142" i="8"/>
  <c r="BD142" i="8"/>
  <c r="BC143" i="8"/>
  <c r="BD143" i="8"/>
  <c r="BC144" i="8"/>
  <c r="BD144" i="8"/>
  <c r="BC145" i="8"/>
  <c r="BD145" i="8"/>
  <c r="E57" i="4"/>
  <c r="BB12" i="8"/>
  <c r="BB13" i="8"/>
  <c r="BB14" i="8"/>
  <c r="BB15" i="8"/>
  <c r="BB16" i="8"/>
  <c r="BB17" i="8"/>
  <c r="BB18" i="8"/>
  <c r="BB19" i="8"/>
  <c r="BB20" i="8"/>
  <c r="BB21" i="8"/>
  <c r="BB22" i="8"/>
  <c r="BB23" i="8"/>
  <c r="BB24" i="8"/>
  <c r="BB25" i="8"/>
  <c r="BB26" i="8"/>
  <c r="BB27" i="8"/>
  <c r="BB28" i="8"/>
  <c r="BB29" i="8"/>
  <c r="BB30" i="8"/>
  <c r="BB31" i="8"/>
  <c r="BB32" i="8"/>
  <c r="BB33" i="8"/>
  <c r="BB34" i="8"/>
  <c r="BB35" i="8"/>
  <c r="BB36" i="8"/>
  <c r="BB37" i="8"/>
  <c r="BB38" i="8"/>
  <c r="BB39" i="8"/>
  <c r="BB40" i="8"/>
  <c r="BB41" i="8"/>
  <c r="BB42" i="8"/>
  <c r="BB43" i="8"/>
  <c r="BB44" i="8"/>
  <c r="BB45" i="8"/>
  <c r="BB46" i="8"/>
  <c r="BB47" i="8"/>
  <c r="BB48" i="8"/>
  <c r="BB49" i="8"/>
  <c r="BB50" i="8"/>
  <c r="BB51" i="8"/>
  <c r="BB52" i="8"/>
  <c r="BB53" i="8"/>
  <c r="BB54" i="8"/>
  <c r="BB55" i="8"/>
  <c r="BB56" i="8"/>
  <c r="BB57" i="8"/>
  <c r="BB58" i="8"/>
  <c r="BB59" i="8"/>
  <c r="BB60" i="8"/>
  <c r="BB61" i="8"/>
  <c r="BB62" i="8"/>
  <c r="BB63" i="8"/>
  <c r="BB64" i="8"/>
  <c r="BB65" i="8"/>
  <c r="BB66" i="8"/>
  <c r="BB67" i="8"/>
  <c r="BB68" i="8"/>
  <c r="BB69" i="8"/>
  <c r="BB70" i="8"/>
  <c r="BB71" i="8"/>
  <c r="BB72" i="8"/>
  <c r="BB73" i="8"/>
  <c r="BB74" i="8"/>
  <c r="BB75" i="8"/>
  <c r="BB76" i="8"/>
  <c r="BB77" i="8"/>
  <c r="BB78" i="8"/>
  <c r="BB79" i="8"/>
  <c r="BB80" i="8"/>
  <c r="BB81" i="8"/>
  <c r="BB82" i="8"/>
  <c r="BB83" i="8"/>
  <c r="BB84" i="8"/>
  <c r="BB85" i="8"/>
  <c r="BB86" i="8"/>
  <c r="BB87" i="8"/>
  <c r="BB88" i="8"/>
  <c r="BB89" i="8"/>
  <c r="BB90" i="8"/>
  <c r="BB91" i="8"/>
  <c r="BB92" i="8"/>
  <c r="BB93" i="8"/>
  <c r="BB94" i="8"/>
  <c r="BB95" i="8"/>
  <c r="BB96" i="8"/>
  <c r="BB97" i="8"/>
  <c r="BB98" i="8"/>
  <c r="BB99" i="8"/>
  <c r="BB100" i="8"/>
  <c r="BB101" i="8"/>
  <c r="BB102" i="8"/>
  <c r="BB103" i="8"/>
  <c r="BB104" i="8"/>
  <c r="BB105" i="8"/>
  <c r="BB106" i="8"/>
  <c r="BB107" i="8"/>
  <c r="BB108" i="8"/>
  <c r="BB109" i="8"/>
  <c r="BB110" i="8"/>
  <c r="BB111" i="8"/>
  <c r="BB112" i="8"/>
  <c r="BB113" i="8"/>
  <c r="BB114" i="8"/>
  <c r="BB115" i="8"/>
  <c r="BB116" i="8"/>
  <c r="BB117" i="8"/>
  <c r="BB118" i="8"/>
  <c r="BB119" i="8"/>
  <c r="BB120" i="8"/>
  <c r="BB121" i="8"/>
  <c r="BB122" i="8"/>
  <c r="BB123" i="8"/>
  <c r="BB124" i="8"/>
  <c r="BB125" i="8"/>
  <c r="BB126" i="8"/>
  <c r="BB127" i="8"/>
  <c r="BB128" i="8"/>
  <c r="BB129" i="8"/>
  <c r="BB130" i="8"/>
  <c r="BB131" i="8"/>
  <c r="BB132" i="8"/>
  <c r="BB133" i="8"/>
  <c r="BB134" i="8"/>
  <c r="BB135" i="8"/>
  <c r="BB136" i="8"/>
  <c r="BB137" i="8"/>
  <c r="BB138" i="8"/>
  <c r="BB139" i="8"/>
  <c r="BB140" i="8"/>
  <c r="BB141" i="8"/>
  <c r="BB142" i="8"/>
  <c r="BB143" i="8"/>
  <c r="BB144" i="8"/>
  <c r="BB145" i="8"/>
  <c r="BB11" i="8"/>
  <c r="BC11" i="8"/>
  <c r="BD11" i="8"/>
  <c r="BA12" i="8"/>
  <c r="BA13" i="8"/>
  <c r="BA14" i="8"/>
  <c r="BA15" i="8"/>
  <c r="BA16" i="8"/>
  <c r="BA17" i="8"/>
  <c r="BA18" i="8"/>
  <c r="BA19" i="8"/>
  <c r="BA20" i="8"/>
  <c r="BA21" i="8"/>
  <c r="BA22" i="8"/>
  <c r="BA23" i="8"/>
  <c r="BA24" i="8"/>
  <c r="BA25" i="8"/>
  <c r="BA26" i="8"/>
  <c r="BA27" i="8"/>
  <c r="BA28" i="8"/>
  <c r="BA29" i="8"/>
  <c r="BA30" i="8"/>
  <c r="BA31" i="8"/>
  <c r="BA32" i="8"/>
  <c r="BA33" i="8"/>
  <c r="BA34" i="8"/>
  <c r="BA35" i="8"/>
  <c r="BA36" i="8"/>
  <c r="BA37" i="8"/>
  <c r="BA38" i="8"/>
  <c r="BA39" i="8"/>
  <c r="BA40" i="8"/>
  <c r="BA41" i="8"/>
  <c r="BA42" i="8"/>
  <c r="BA43" i="8"/>
  <c r="BA44" i="8"/>
  <c r="BA45" i="8"/>
  <c r="BA46" i="8"/>
  <c r="BA47" i="8"/>
  <c r="BA48" i="8"/>
  <c r="BA49" i="8"/>
  <c r="BA50" i="8"/>
  <c r="BA51" i="8"/>
  <c r="BA52" i="8"/>
  <c r="BA53" i="8"/>
  <c r="BA54" i="8"/>
  <c r="BA55" i="8"/>
  <c r="BA56" i="8"/>
  <c r="BA57" i="8"/>
  <c r="BA58" i="8"/>
  <c r="BA59" i="8"/>
  <c r="BA60" i="8"/>
  <c r="BA61" i="8"/>
  <c r="BA62" i="8"/>
  <c r="BA63" i="8"/>
  <c r="BA64" i="8"/>
  <c r="BA65" i="8"/>
  <c r="BA66" i="8"/>
  <c r="BA67" i="8"/>
  <c r="BA68" i="8"/>
  <c r="BA69" i="8"/>
  <c r="BA70" i="8"/>
  <c r="BA71" i="8"/>
  <c r="BA72" i="8"/>
  <c r="BA73" i="8"/>
  <c r="BA74" i="8"/>
  <c r="BA75" i="8"/>
  <c r="BA76" i="8"/>
  <c r="BA77" i="8"/>
  <c r="BA78" i="8"/>
  <c r="BA79" i="8"/>
  <c r="BA80" i="8"/>
  <c r="BA81" i="8"/>
  <c r="BA82" i="8"/>
  <c r="BA83" i="8"/>
  <c r="BA84" i="8"/>
  <c r="BA85" i="8"/>
  <c r="BA86" i="8"/>
  <c r="BA87" i="8"/>
  <c r="BA88" i="8"/>
  <c r="BA89" i="8"/>
  <c r="BA90" i="8"/>
  <c r="BA91" i="8"/>
  <c r="BA92" i="8"/>
  <c r="BA93" i="8"/>
  <c r="BA94" i="8"/>
  <c r="BA95" i="8"/>
  <c r="BA96" i="8"/>
  <c r="BA97" i="8"/>
  <c r="BA98" i="8"/>
  <c r="BA99" i="8"/>
  <c r="BA100" i="8"/>
  <c r="BA101" i="8"/>
  <c r="BA102" i="8"/>
  <c r="BA103" i="8"/>
  <c r="BA104" i="8"/>
  <c r="BA105" i="8"/>
  <c r="BA106" i="8"/>
  <c r="BA107" i="8"/>
  <c r="BA108" i="8"/>
  <c r="BA109" i="8"/>
  <c r="BA110" i="8"/>
  <c r="BA111" i="8"/>
  <c r="BA112" i="8"/>
  <c r="BA113" i="8"/>
  <c r="BA114" i="8"/>
  <c r="BA115" i="8"/>
  <c r="BA116" i="8"/>
  <c r="BA117" i="8"/>
  <c r="BA118" i="8"/>
  <c r="BA119" i="8"/>
  <c r="BA120" i="8"/>
  <c r="BA121" i="8"/>
  <c r="BA122" i="8"/>
  <c r="BA123" i="8"/>
  <c r="BA124" i="8"/>
  <c r="BA125" i="8"/>
  <c r="BA126" i="8"/>
  <c r="BA127" i="8"/>
  <c r="BA128" i="8"/>
  <c r="BA129" i="8"/>
  <c r="BA130" i="8"/>
  <c r="BA131" i="8"/>
  <c r="BA132" i="8"/>
  <c r="BA133" i="8"/>
  <c r="BA134" i="8"/>
  <c r="BA135" i="8"/>
  <c r="BA136" i="8"/>
  <c r="BA137" i="8"/>
  <c r="BA138" i="8"/>
  <c r="BA139" i="8"/>
  <c r="BA140" i="8"/>
  <c r="BA141" i="8"/>
  <c r="BA142" i="8"/>
  <c r="BA143" i="8"/>
  <c r="BA144" i="8"/>
  <c r="BA145" i="8"/>
  <c r="BA11" i="8"/>
  <c r="F54" i="4"/>
  <c r="G54" i="4"/>
  <c r="H54" i="4"/>
  <c r="I54" i="4"/>
  <c r="E54" i="4"/>
  <c r="F52" i="4"/>
  <c r="G52" i="4"/>
  <c r="H52" i="4"/>
  <c r="I52" i="4"/>
  <c r="E52" i="4"/>
  <c r="BD1" i="8"/>
  <c r="M25" i="4"/>
  <c r="K25" i="4"/>
  <c r="M24" i="4"/>
  <c r="K24" i="4"/>
  <c r="M23" i="4"/>
  <c r="K23" i="4"/>
  <c r="M22" i="4"/>
  <c r="K22" i="4"/>
  <c r="M21" i="4"/>
  <c r="K21" i="4"/>
  <c r="M20" i="4"/>
  <c r="K20" i="4"/>
  <c r="M19" i="4"/>
  <c r="K19" i="4"/>
  <c r="M18" i="4"/>
  <c r="K18" i="4"/>
  <c r="M17" i="4"/>
  <c r="K17" i="4"/>
  <c r="M15" i="4"/>
  <c r="K15" i="4"/>
  <c r="M14" i="4"/>
  <c r="K14" i="4"/>
  <c r="M13" i="4"/>
  <c r="K13" i="4"/>
  <c r="M12" i="4"/>
  <c r="K12" i="4"/>
  <c r="M11" i="4"/>
  <c r="K11" i="4"/>
  <c r="M10" i="4"/>
  <c r="K10" i="4"/>
  <c r="M9" i="4"/>
  <c r="K9" i="4"/>
  <c r="M8" i="4"/>
  <c r="K8" i="4"/>
  <c r="M7" i="4"/>
  <c r="K7" i="4"/>
  <c r="M6" i="4"/>
  <c r="K6" i="4"/>
  <c r="M5" i="4"/>
  <c r="K5" i="4"/>
  <c r="M4" i="4"/>
  <c r="K4" i="4"/>
  <c r="F86" i="3"/>
  <c r="G86" i="3"/>
  <c r="E86" i="3"/>
  <c r="F85" i="3"/>
  <c r="G85" i="3"/>
  <c r="E85" i="3"/>
  <c r="F87" i="3"/>
  <c r="G87" i="3"/>
  <c r="E87" i="3"/>
  <c r="F84" i="3"/>
  <c r="G84" i="3"/>
  <c r="E84" i="3"/>
  <c r="F91" i="3"/>
  <c r="G91" i="3"/>
  <c r="E91" i="3"/>
  <c r="K55" i="3"/>
  <c r="I55" i="3"/>
  <c r="K54" i="3"/>
  <c r="I54" i="3"/>
  <c r="K53" i="3"/>
  <c r="I53" i="3"/>
  <c r="K52" i="3"/>
  <c r="I52" i="3"/>
  <c r="K51" i="3"/>
  <c r="I51" i="3"/>
  <c r="K50" i="3"/>
  <c r="I50" i="3"/>
  <c r="K49" i="3"/>
  <c r="I49" i="3"/>
  <c r="K48" i="3"/>
  <c r="I48" i="3"/>
  <c r="K47" i="3"/>
  <c r="I47" i="3"/>
  <c r="K46" i="3"/>
  <c r="I46" i="3"/>
  <c r="K45" i="3"/>
  <c r="I45" i="3"/>
  <c r="K44" i="3"/>
  <c r="I44" i="3"/>
  <c r="K42" i="3"/>
  <c r="I42" i="3"/>
  <c r="K41" i="3"/>
  <c r="I41" i="3"/>
  <c r="K40" i="3"/>
  <c r="I40" i="3"/>
  <c r="K39" i="3"/>
  <c r="I39" i="3"/>
  <c r="K38" i="3"/>
  <c r="I38" i="3"/>
  <c r="K37" i="3"/>
  <c r="I37" i="3"/>
  <c r="K36" i="3"/>
  <c r="I36" i="3"/>
  <c r="K35" i="3"/>
  <c r="I35" i="3"/>
  <c r="K34" i="3"/>
  <c r="I34" i="3"/>
  <c r="K33" i="3"/>
  <c r="I33" i="3"/>
  <c r="K32" i="3"/>
  <c r="I32" i="3"/>
  <c r="K131" i="3"/>
  <c r="K130" i="3"/>
  <c r="K129" i="3"/>
  <c r="K190" i="3"/>
  <c r="K191" i="3"/>
  <c r="K192" i="3"/>
  <c r="K193" i="3"/>
  <c r="K189" i="3"/>
  <c r="K184" i="3"/>
  <c r="K185" i="3"/>
  <c r="K186" i="3"/>
  <c r="K187" i="3"/>
  <c r="K183" i="3"/>
  <c r="K112" i="2"/>
  <c r="K113" i="2"/>
  <c r="K114" i="2"/>
  <c r="K115" i="2"/>
  <c r="K111" i="2"/>
  <c r="K106" i="2"/>
  <c r="K107" i="2"/>
  <c r="K108" i="2"/>
  <c r="K109" i="2"/>
  <c r="K105" i="2"/>
  <c r="M128" i="4"/>
  <c r="M129" i="4"/>
  <c r="M130" i="4"/>
  <c r="M131" i="4"/>
  <c r="M127" i="4"/>
  <c r="M122" i="4"/>
  <c r="M123" i="4"/>
  <c r="M124" i="4"/>
  <c r="M125" i="4"/>
  <c r="M121" i="4"/>
  <c r="K74" i="6"/>
  <c r="K73" i="6"/>
  <c r="K72" i="6"/>
  <c r="K71" i="6"/>
  <c r="K70" i="6"/>
  <c r="K65" i="6"/>
  <c r="K66" i="6"/>
  <c r="K67" i="6"/>
  <c r="K68" i="6"/>
  <c r="K64" i="6"/>
  <c r="K59" i="6"/>
  <c r="K60" i="6"/>
  <c r="K61" i="6"/>
  <c r="K62" i="6"/>
  <c r="K58" i="6"/>
  <c r="K53" i="6"/>
  <c r="K54" i="6"/>
  <c r="K55" i="6"/>
  <c r="K56" i="6"/>
  <c r="K52" i="6"/>
  <c r="E107" i="3"/>
  <c r="G107" i="3"/>
  <c r="G108" i="3"/>
  <c r="F107" i="3"/>
  <c r="F108" i="3"/>
  <c r="F69" i="4"/>
  <c r="G69" i="4"/>
  <c r="H69" i="4"/>
  <c r="I69" i="4"/>
  <c r="E69" i="4"/>
  <c r="N3" i="19"/>
  <c r="D23" i="19"/>
  <c r="E22" i="19"/>
  <c r="F22" i="19"/>
  <c r="G22" i="19"/>
  <c r="H22" i="19"/>
  <c r="E7" i="19"/>
  <c r="G7" i="19"/>
  <c r="H7" i="19"/>
  <c r="I7" i="19"/>
  <c r="H6" i="19"/>
  <c r="E6" i="19"/>
  <c r="G6" i="19"/>
  <c r="F3" i="19"/>
  <c r="G3" i="19"/>
  <c r="H3" i="19"/>
  <c r="I3" i="19"/>
  <c r="E3" i="19"/>
  <c r="E14" i="19"/>
  <c r="F14" i="19"/>
  <c r="G14" i="19"/>
  <c r="H14" i="19"/>
  <c r="I14" i="19"/>
  <c r="AU142" i="8"/>
  <c r="AU141" i="8"/>
  <c r="AU140" i="8"/>
  <c r="F26" i="19"/>
  <c r="AU139" i="8"/>
  <c r="AU138" i="8"/>
  <c r="AU137" i="8"/>
  <c r="E26" i="19"/>
  <c r="G26" i="19"/>
  <c r="K4" i="19"/>
  <c r="AU136" i="8"/>
  <c r="AU135" i="8"/>
  <c r="AU134" i="8"/>
  <c r="AU133" i="8"/>
  <c r="AU132" i="8"/>
  <c r="AU131" i="8"/>
  <c r="AU127" i="8"/>
  <c r="AU126" i="8"/>
  <c r="AU125" i="8"/>
  <c r="AU124" i="8"/>
  <c r="AU123" i="8"/>
  <c r="AU122" i="8"/>
  <c r="AU121" i="8"/>
  <c r="AU120" i="8"/>
  <c r="AU119" i="8"/>
  <c r="AU118" i="8"/>
  <c r="AU117" i="8"/>
  <c r="AU116" i="8"/>
  <c r="AU112" i="8"/>
  <c r="AU111" i="8"/>
  <c r="AU110" i="8"/>
  <c r="AU109" i="8"/>
  <c r="AU108" i="8"/>
  <c r="AU107" i="8"/>
  <c r="AU106" i="8"/>
  <c r="AU105" i="8"/>
  <c r="AU104" i="8"/>
  <c r="AU103" i="8"/>
  <c r="AU102" i="8"/>
  <c r="AU101" i="8"/>
  <c r="AU97" i="8"/>
  <c r="AU96" i="8"/>
  <c r="AU95" i="8"/>
  <c r="AU94" i="8"/>
  <c r="AU93" i="8"/>
  <c r="AU92" i="8"/>
  <c r="AU91" i="8"/>
  <c r="AU90" i="8"/>
  <c r="AU89" i="8"/>
  <c r="AU88" i="8"/>
  <c r="AU87" i="8"/>
  <c r="AU86" i="8"/>
  <c r="AU82" i="8"/>
  <c r="AU81" i="8"/>
  <c r="AU80" i="8"/>
  <c r="AU79" i="8"/>
  <c r="AU78" i="8"/>
  <c r="AU77" i="8"/>
  <c r="AU76" i="8"/>
  <c r="AU75" i="8"/>
  <c r="AU74" i="8"/>
  <c r="AU73" i="8"/>
  <c r="AU72" i="8"/>
  <c r="AU71" i="8"/>
  <c r="AU67" i="8"/>
  <c r="AU66" i="8"/>
  <c r="AU65" i="8"/>
  <c r="AU64" i="8"/>
  <c r="AU63" i="8"/>
  <c r="AU62" i="8"/>
  <c r="AU61" i="8"/>
  <c r="AU60" i="8"/>
  <c r="AU59" i="8"/>
  <c r="AU58" i="8"/>
  <c r="AU57" i="8"/>
  <c r="AU56" i="8"/>
  <c r="AU52" i="8"/>
  <c r="AU51" i="8"/>
  <c r="AU50" i="8"/>
  <c r="AU49" i="8"/>
  <c r="AU48" i="8"/>
  <c r="AU47" i="8"/>
  <c r="AU46" i="8"/>
  <c r="AU45" i="8"/>
  <c r="AU44" i="8"/>
  <c r="AU43" i="8"/>
  <c r="AU42" i="8"/>
  <c r="AU41" i="8"/>
  <c r="AU37" i="8"/>
  <c r="AU36" i="8"/>
  <c r="AU35" i="8"/>
  <c r="AU34" i="8"/>
  <c r="AU33" i="8"/>
  <c r="AU32" i="8"/>
  <c r="AU31" i="8"/>
  <c r="AU30" i="8"/>
  <c r="AU29" i="8"/>
  <c r="AU28" i="8"/>
  <c r="AU27" i="8"/>
  <c r="AU26" i="8"/>
  <c r="AU22" i="8"/>
  <c r="AU21" i="8"/>
  <c r="AU20" i="8"/>
  <c r="AU19" i="8"/>
  <c r="AU18" i="8"/>
  <c r="AU17" i="8"/>
  <c r="AU16" i="8"/>
  <c r="AU15" i="8"/>
  <c r="AU14" i="8"/>
  <c r="AU13" i="8"/>
  <c r="AU12" i="8"/>
  <c r="F9" i="11"/>
  <c r="AU23" i="8"/>
  <c r="AU24" i="8"/>
  <c r="AU25" i="8"/>
  <c r="AU38" i="8"/>
  <c r="AU39" i="8"/>
  <c r="AU40" i="8"/>
  <c r="AU53" i="8"/>
  <c r="AU54" i="8"/>
  <c r="AU55" i="8"/>
  <c r="AU68" i="8"/>
  <c r="AU69" i="8"/>
  <c r="AU70" i="8"/>
  <c r="AU83" i="8"/>
  <c r="AU84" i="8"/>
  <c r="AU85" i="8"/>
  <c r="AU98" i="8"/>
  <c r="AU99" i="8"/>
  <c r="AU100" i="8"/>
  <c r="AU113" i="8"/>
  <c r="AU114" i="8"/>
  <c r="AU115" i="8"/>
  <c r="AU128" i="8"/>
  <c r="AU129" i="8"/>
  <c r="AU130" i="8"/>
  <c r="AU143" i="8"/>
  <c r="I26" i="19"/>
  <c r="AU144" i="8"/>
  <c r="AU145" i="8"/>
  <c r="AU11" i="8"/>
  <c r="E67" i="4"/>
  <c r="F67" i="4"/>
  <c r="G67" i="4"/>
  <c r="H67" i="4"/>
  <c r="I67" i="4"/>
  <c r="F21" i="19"/>
  <c r="G21" i="19"/>
  <c r="H21" i="19"/>
  <c r="I21" i="19"/>
  <c r="E21" i="19"/>
  <c r="F20" i="19"/>
  <c r="G20" i="19"/>
  <c r="H20" i="19"/>
  <c r="I20" i="19"/>
  <c r="E20" i="19"/>
  <c r="F19" i="19"/>
  <c r="G19" i="19"/>
  <c r="H19" i="19"/>
  <c r="I19" i="19"/>
  <c r="E19" i="19"/>
  <c r="F18" i="19"/>
  <c r="G18" i="19"/>
  <c r="H18" i="19"/>
  <c r="I18" i="19"/>
  <c r="E18" i="19"/>
  <c r="H26" i="19"/>
  <c r="I6" i="19"/>
  <c r="L12" i="19"/>
  <c r="I11" i="19"/>
  <c r="Q12" i="19"/>
  <c r="H11" i="19"/>
  <c r="P12" i="19"/>
  <c r="G11" i="19"/>
  <c r="O12" i="19"/>
  <c r="F11" i="19"/>
  <c r="N12" i="19"/>
  <c r="E11" i="19"/>
  <c r="M12" i="19"/>
  <c r="K76" i="3"/>
  <c r="I76" i="3"/>
  <c r="F101" i="3"/>
  <c r="F102" i="3"/>
  <c r="G101" i="3"/>
  <c r="G102" i="3"/>
  <c r="E101" i="3"/>
  <c r="E102" i="3"/>
  <c r="F92" i="3"/>
  <c r="G92" i="3"/>
  <c r="E92" i="3"/>
  <c r="G27" i="6"/>
  <c r="F27" i="6"/>
  <c r="K27" i="6"/>
  <c r="I27" i="6"/>
  <c r="F60" i="4"/>
  <c r="G60" i="4"/>
  <c r="H60" i="4"/>
  <c r="I60" i="4"/>
  <c r="F95" i="3"/>
  <c r="G95" i="3"/>
  <c r="E95" i="3"/>
  <c r="E60" i="4"/>
  <c r="B143" i="10"/>
  <c r="G12" i="8"/>
  <c r="CJ12" i="8"/>
  <c r="CK12" i="8"/>
  <c r="CM12" i="8"/>
  <c r="CN12" i="8"/>
  <c r="CO12" i="8"/>
  <c r="CP12" i="8"/>
  <c r="CR12" i="8"/>
  <c r="CS12" i="8"/>
  <c r="G13" i="8"/>
  <c r="CJ13" i="8"/>
  <c r="CK13" i="8"/>
  <c r="CM13" i="8"/>
  <c r="CN13" i="8"/>
  <c r="CO13" i="8"/>
  <c r="CP13" i="8"/>
  <c r="CR13" i="8"/>
  <c r="CS13" i="8"/>
  <c r="G14" i="8"/>
  <c r="CJ14" i="8"/>
  <c r="CK14" i="8"/>
  <c r="CM14" i="8"/>
  <c r="CN14" i="8"/>
  <c r="CO14" i="8"/>
  <c r="CP14" i="8"/>
  <c r="CR14" i="8"/>
  <c r="CS14" i="8"/>
  <c r="G15" i="8"/>
  <c r="CJ15" i="8"/>
  <c r="CK15" i="8"/>
  <c r="CM15" i="8"/>
  <c r="CN15" i="8"/>
  <c r="CO15" i="8"/>
  <c r="CP15" i="8"/>
  <c r="CR15" i="8"/>
  <c r="CS15" i="8"/>
  <c r="G16" i="8"/>
  <c r="CJ16" i="8"/>
  <c r="CK16" i="8"/>
  <c r="CM16" i="8"/>
  <c r="CN16" i="8"/>
  <c r="CO16" i="8"/>
  <c r="CP16" i="8"/>
  <c r="CR16" i="8"/>
  <c r="CS16" i="8"/>
  <c r="G17" i="8"/>
  <c r="CJ17" i="8"/>
  <c r="CK17" i="8"/>
  <c r="CM17" i="8"/>
  <c r="CN17" i="8"/>
  <c r="CO17" i="8"/>
  <c r="CP17" i="8"/>
  <c r="CR17" i="8"/>
  <c r="CS17" i="8"/>
  <c r="G18" i="8"/>
  <c r="CJ18" i="8"/>
  <c r="CK18" i="8"/>
  <c r="CM18" i="8"/>
  <c r="CN18" i="8"/>
  <c r="CO18" i="8"/>
  <c r="CP18" i="8"/>
  <c r="CR18" i="8"/>
  <c r="CS18" i="8"/>
  <c r="G19" i="8"/>
  <c r="CJ19" i="8"/>
  <c r="CK19" i="8"/>
  <c r="CM19" i="8"/>
  <c r="CN19" i="8"/>
  <c r="CO19" i="8"/>
  <c r="CP19" i="8"/>
  <c r="CR19" i="8"/>
  <c r="CS19" i="8"/>
  <c r="G20" i="8"/>
  <c r="CJ20" i="8"/>
  <c r="CK20" i="8"/>
  <c r="CM20" i="8"/>
  <c r="CN20" i="8"/>
  <c r="CO20" i="8"/>
  <c r="CP20" i="8"/>
  <c r="CR20" i="8"/>
  <c r="CS20" i="8"/>
  <c r="G21" i="8"/>
  <c r="CJ21" i="8"/>
  <c r="CK21" i="8"/>
  <c r="CM21" i="8"/>
  <c r="CN21" i="8"/>
  <c r="CO21" i="8"/>
  <c r="CP21" i="8"/>
  <c r="CR21" i="8"/>
  <c r="CS21" i="8"/>
  <c r="G22" i="8"/>
  <c r="CJ22" i="8"/>
  <c r="CK22" i="8"/>
  <c r="CM22" i="8"/>
  <c r="CN22" i="8"/>
  <c r="CO22" i="8"/>
  <c r="CP22" i="8"/>
  <c r="CR22" i="8"/>
  <c r="CS22" i="8"/>
  <c r="CJ23" i="8"/>
  <c r="CK23" i="8"/>
  <c r="CM23" i="8"/>
  <c r="CN23" i="8"/>
  <c r="CO23" i="8"/>
  <c r="CP23" i="8"/>
  <c r="CR23" i="8"/>
  <c r="CS23" i="8"/>
  <c r="CJ24" i="8"/>
  <c r="CK24" i="8"/>
  <c r="CM24" i="8"/>
  <c r="CN24" i="8"/>
  <c r="CO24" i="8"/>
  <c r="CP24" i="8"/>
  <c r="CR24" i="8"/>
  <c r="CS24" i="8"/>
  <c r="CJ25" i="8"/>
  <c r="CK25" i="8"/>
  <c r="CM25" i="8"/>
  <c r="CN25" i="8"/>
  <c r="CO25" i="8"/>
  <c r="CP25" i="8"/>
  <c r="CR25" i="8"/>
  <c r="CS25" i="8"/>
  <c r="G26" i="8"/>
  <c r="CJ26" i="8"/>
  <c r="CK26" i="8"/>
  <c r="CM26" i="8"/>
  <c r="CN26" i="8"/>
  <c r="CO26" i="8"/>
  <c r="CP26" i="8"/>
  <c r="CR26" i="8"/>
  <c r="CS26" i="8"/>
  <c r="G27" i="8"/>
  <c r="CJ27" i="8"/>
  <c r="CK27" i="8"/>
  <c r="CM27" i="8"/>
  <c r="CN27" i="8"/>
  <c r="CO27" i="8"/>
  <c r="CP27" i="8"/>
  <c r="CR27" i="8"/>
  <c r="CS27" i="8"/>
  <c r="G28" i="8"/>
  <c r="CJ28" i="8"/>
  <c r="CK28" i="8"/>
  <c r="CM28" i="8"/>
  <c r="CN28" i="8"/>
  <c r="CO28" i="8"/>
  <c r="CP28" i="8"/>
  <c r="CR28" i="8"/>
  <c r="CS28" i="8"/>
  <c r="G29" i="8"/>
  <c r="CJ29" i="8"/>
  <c r="CK29" i="8"/>
  <c r="CM29" i="8"/>
  <c r="CN29" i="8"/>
  <c r="CO29" i="8"/>
  <c r="CP29" i="8"/>
  <c r="CR29" i="8"/>
  <c r="CS29" i="8"/>
  <c r="G30" i="8"/>
  <c r="CJ30" i="8"/>
  <c r="CK30" i="8"/>
  <c r="CM30" i="8"/>
  <c r="CN30" i="8"/>
  <c r="CO30" i="8"/>
  <c r="CP30" i="8"/>
  <c r="CR30" i="8"/>
  <c r="CS30" i="8"/>
  <c r="G31" i="8"/>
  <c r="CJ31" i="8"/>
  <c r="CK31" i="8"/>
  <c r="CM31" i="8"/>
  <c r="CN31" i="8"/>
  <c r="CO31" i="8"/>
  <c r="CP31" i="8"/>
  <c r="CR31" i="8"/>
  <c r="CS31" i="8"/>
  <c r="G32" i="8"/>
  <c r="CJ32" i="8"/>
  <c r="CK32" i="8"/>
  <c r="CM32" i="8"/>
  <c r="CN32" i="8"/>
  <c r="CO32" i="8"/>
  <c r="CP32" i="8"/>
  <c r="CR32" i="8"/>
  <c r="CS32" i="8"/>
  <c r="G33" i="8"/>
  <c r="CJ33" i="8"/>
  <c r="CK33" i="8"/>
  <c r="CM33" i="8"/>
  <c r="CN33" i="8"/>
  <c r="CO33" i="8"/>
  <c r="CP33" i="8"/>
  <c r="CR33" i="8"/>
  <c r="CS33" i="8"/>
  <c r="G34" i="8"/>
  <c r="CJ34" i="8"/>
  <c r="CK34" i="8"/>
  <c r="CM34" i="8"/>
  <c r="CN34" i="8"/>
  <c r="CO34" i="8"/>
  <c r="CP34" i="8"/>
  <c r="CR34" i="8"/>
  <c r="CS34" i="8"/>
  <c r="G35" i="8"/>
  <c r="CJ35" i="8"/>
  <c r="CK35" i="8"/>
  <c r="CM35" i="8"/>
  <c r="CN35" i="8"/>
  <c r="CO35" i="8"/>
  <c r="CP35" i="8"/>
  <c r="CR35" i="8"/>
  <c r="CS35" i="8"/>
  <c r="G36" i="8"/>
  <c r="CJ36" i="8"/>
  <c r="CK36" i="8"/>
  <c r="CM36" i="8"/>
  <c r="CN36" i="8"/>
  <c r="CO36" i="8"/>
  <c r="CP36" i="8"/>
  <c r="CR36" i="8"/>
  <c r="CS36" i="8"/>
  <c r="G37" i="8"/>
  <c r="CJ37" i="8"/>
  <c r="CK37" i="8"/>
  <c r="CM37" i="8"/>
  <c r="CN37" i="8"/>
  <c r="CO37" i="8"/>
  <c r="CP37" i="8"/>
  <c r="CR37" i="8"/>
  <c r="CS37" i="8"/>
  <c r="CJ38" i="8"/>
  <c r="CK38" i="8"/>
  <c r="CM38" i="8"/>
  <c r="CN38" i="8"/>
  <c r="CO38" i="8"/>
  <c r="CP38" i="8"/>
  <c r="CR38" i="8"/>
  <c r="CS38" i="8"/>
  <c r="CJ39" i="8"/>
  <c r="CK39" i="8"/>
  <c r="CM39" i="8"/>
  <c r="CN39" i="8"/>
  <c r="CO39" i="8"/>
  <c r="CP39" i="8"/>
  <c r="CR39" i="8"/>
  <c r="CS39" i="8"/>
  <c r="CJ40" i="8"/>
  <c r="CK40" i="8"/>
  <c r="CM40" i="8"/>
  <c r="CN40" i="8"/>
  <c r="CO40" i="8"/>
  <c r="CP40" i="8"/>
  <c r="CR40" i="8"/>
  <c r="CS40" i="8"/>
  <c r="G41" i="8"/>
  <c r="CJ41" i="8"/>
  <c r="CK41" i="8"/>
  <c r="CM41" i="8"/>
  <c r="CN41" i="8"/>
  <c r="CO41" i="8"/>
  <c r="CP41" i="8"/>
  <c r="CR41" i="8"/>
  <c r="CS41" i="8"/>
  <c r="G42" i="8"/>
  <c r="CJ42" i="8"/>
  <c r="CK42" i="8"/>
  <c r="CM42" i="8"/>
  <c r="CN42" i="8"/>
  <c r="CO42" i="8"/>
  <c r="CP42" i="8"/>
  <c r="CR42" i="8"/>
  <c r="CS42" i="8"/>
  <c r="G43" i="8"/>
  <c r="CJ43" i="8"/>
  <c r="CK43" i="8"/>
  <c r="CM43" i="8"/>
  <c r="CN43" i="8"/>
  <c r="CO43" i="8"/>
  <c r="CP43" i="8"/>
  <c r="CR43" i="8"/>
  <c r="CS43" i="8"/>
  <c r="G44" i="8"/>
  <c r="CJ44" i="8"/>
  <c r="CK44" i="8"/>
  <c r="CM44" i="8"/>
  <c r="CN44" i="8"/>
  <c r="CO44" i="8"/>
  <c r="CP44" i="8"/>
  <c r="CR44" i="8"/>
  <c r="CS44" i="8"/>
  <c r="G45" i="8"/>
  <c r="CJ45" i="8"/>
  <c r="CK45" i="8"/>
  <c r="CM45" i="8"/>
  <c r="CN45" i="8"/>
  <c r="CO45" i="8"/>
  <c r="CP45" i="8"/>
  <c r="CR45" i="8"/>
  <c r="CS45" i="8"/>
  <c r="G46" i="8"/>
  <c r="CJ46" i="8"/>
  <c r="CK46" i="8"/>
  <c r="CM46" i="8"/>
  <c r="CN46" i="8"/>
  <c r="CO46" i="8"/>
  <c r="CP46" i="8"/>
  <c r="CR46" i="8"/>
  <c r="CS46" i="8"/>
  <c r="G47" i="8"/>
  <c r="CJ47" i="8"/>
  <c r="CK47" i="8"/>
  <c r="CM47" i="8"/>
  <c r="CN47" i="8"/>
  <c r="CO47" i="8"/>
  <c r="CP47" i="8"/>
  <c r="CR47" i="8"/>
  <c r="CS47" i="8"/>
  <c r="G48" i="8"/>
  <c r="CJ48" i="8"/>
  <c r="CK48" i="8"/>
  <c r="CM48" i="8"/>
  <c r="CN48" i="8"/>
  <c r="CO48" i="8"/>
  <c r="CP48" i="8"/>
  <c r="CR48" i="8"/>
  <c r="CS48" i="8"/>
  <c r="G49" i="8"/>
  <c r="CJ49" i="8"/>
  <c r="CK49" i="8"/>
  <c r="CM49" i="8"/>
  <c r="CN49" i="8"/>
  <c r="CO49" i="8"/>
  <c r="CP49" i="8"/>
  <c r="CR49" i="8"/>
  <c r="CS49" i="8"/>
  <c r="G50" i="8"/>
  <c r="CJ50" i="8"/>
  <c r="CK50" i="8"/>
  <c r="CM50" i="8"/>
  <c r="CN50" i="8"/>
  <c r="CO50" i="8"/>
  <c r="CP50" i="8"/>
  <c r="CR50" i="8"/>
  <c r="CS50" i="8"/>
  <c r="G51" i="8"/>
  <c r="CJ51" i="8"/>
  <c r="CK51" i="8"/>
  <c r="CM51" i="8"/>
  <c r="CN51" i="8"/>
  <c r="CO51" i="8"/>
  <c r="CP51" i="8"/>
  <c r="CR51" i="8"/>
  <c r="CS51" i="8"/>
  <c r="G52" i="8"/>
  <c r="CJ52" i="8"/>
  <c r="CK52" i="8"/>
  <c r="CM52" i="8"/>
  <c r="CN52" i="8"/>
  <c r="CO52" i="8"/>
  <c r="CP52" i="8"/>
  <c r="CR52" i="8"/>
  <c r="CS52" i="8"/>
  <c r="CJ53" i="8"/>
  <c r="CK53" i="8"/>
  <c r="CM53" i="8"/>
  <c r="CN53" i="8"/>
  <c r="CO53" i="8"/>
  <c r="CP53" i="8"/>
  <c r="CR53" i="8"/>
  <c r="CS53" i="8"/>
  <c r="CJ54" i="8"/>
  <c r="CK54" i="8"/>
  <c r="CM54" i="8"/>
  <c r="CN54" i="8"/>
  <c r="CO54" i="8"/>
  <c r="CP54" i="8"/>
  <c r="CR54" i="8"/>
  <c r="CS54" i="8"/>
  <c r="CJ55" i="8"/>
  <c r="CK55" i="8"/>
  <c r="CM55" i="8"/>
  <c r="CN55" i="8"/>
  <c r="CO55" i="8"/>
  <c r="CP55" i="8"/>
  <c r="CR55" i="8"/>
  <c r="CS55" i="8"/>
  <c r="G56" i="8"/>
  <c r="CJ56" i="8"/>
  <c r="CK56" i="8"/>
  <c r="CM56" i="8"/>
  <c r="CN56" i="8"/>
  <c r="CO56" i="8"/>
  <c r="CP56" i="8"/>
  <c r="CR56" i="8"/>
  <c r="CS56" i="8"/>
  <c r="G57" i="8"/>
  <c r="CJ57" i="8"/>
  <c r="CK57" i="8"/>
  <c r="CM57" i="8"/>
  <c r="CN57" i="8"/>
  <c r="CO57" i="8"/>
  <c r="CP57" i="8"/>
  <c r="CR57" i="8"/>
  <c r="CS57" i="8"/>
  <c r="G58" i="8"/>
  <c r="CJ58" i="8"/>
  <c r="CK58" i="8"/>
  <c r="CM58" i="8"/>
  <c r="CN58" i="8"/>
  <c r="CO58" i="8"/>
  <c r="CP58" i="8"/>
  <c r="CR58" i="8"/>
  <c r="CS58" i="8"/>
  <c r="G59" i="8"/>
  <c r="CJ59" i="8"/>
  <c r="CK59" i="8"/>
  <c r="CM59" i="8"/>
  <c r="CN59" i="8"/>
  <c r="CO59" i="8"/>
  <c r="CP59" i="8"/>
  <c r="CR59" i="8"/>
  <c r="CS59" i="8"/>
  <c r="G60" i="8"/>
  <c r="CJ60" i="8"/>
  <c r="CK60" i="8"/>
  <c r="CM60" i="8"/>
  <c r="CN60" i="8"/>
  <c r="CO60" i="8"/>
  <c r="CP60" i="8"/>
  <c r="CR60" i="8"/>
  <c r="CS60" i="8"/>
  <c r="G61" i="8"/>
  <c r="CJ61" i="8"/>
  <c r="CK61" i="8"/>
  <c r="CM61" i="8"/>
  <c r="CN61" i="8"/>
  <c r="CO61" i="8"/>
  <c r="CP61" i="8"/>
  <c r="CR61" i="8"/>
  <c r="CS61" i="8"/>
  <c r="G62" i="8"/>
  <c r="CJ62" i="8"/>
  <c r="CK62" i="8"/>
  <c r="CM62" i="8"/>
  <c r="CN62" i="8"/>
  <c r="CO62" i="8"/>
  <c r="CP62" i="8"/>
  <c r="CR62" i="8"/>
  <c r="CS62" i="8"/>
  <c r="G63" i="8"/>
  <c r="CJ63" i="8"/>
  <c r="CK63" i="8"/>
  <c r="CM63" i="8"/>
  <c r="CN63" i="8"/>
  <c r="CO63" i="8"/>
  <c r="CP63" i="8"/>
  <c r="CR63" i="8"/>
  <c r="CS63" i="8"/>
  <c r="G64" i="8"/>
  <c r="CJ64" i="8"/>
  <c r="CK64" i="8"/>
  <c r="CM64" i="8"/>
  <c r="CN64" i="8"/>
  <c r="CO64" i="8"/>
  <c r="CP64" i="8"/>
  <c r="CR64" i="8"/>
  <c r="CS64" i="8"/>
  <c r="G65" i="8"/>
  <c r="CJ65" i="8"/>
  <c r="CK65" i="8"/>
  <c r="CM65" i="8"/>
  <c r="CN65" i="8"/>
  <c r="CO65" i="8"/>
  <c r="CP65" i="8"/>
  <c r="CR65" i="8"/>
  <c r="CS65" i="8"/>
  <c r="G66" i="8"/>
  <c r="CJ66" i="8"/>
  <c r="CK66" i="8"/>
  <c r="CM66" i="8"/>
  <c r="CN66" i="8"/>
  <c r="CO66" i="8"/>
  <c r="CP66" i="8"/>
  <c r="CR66" i="8"/>
  <c r="CS66" i="8"/>
  <c r="G67" i="8"/>
  <c r="CJ67" i="8"/>
  <c r="CK67" i="8"/>
  <c r="CM67" i="8"/>
  <c r="CN67" i="8"/>
  <c r="CO67" i="8"/>
  <c r="CP67" i="8"/>
  <c r="CR67" i="8"/>
  <c r="CS67" i="8"/>
  <c r="CJ68" i="8"/>
  <c r="CK68" i="8"/>
  <c r="CM68" i="8"/>
  <c r="CN68" i="8"/>
  <c r="CO68" i="8"/>
  <c r="CP68" i="8"/>
  <c r="CR68" i="8"/>
  <c r="CS68" i="8"/>
  <c r="CJ69" i="8"/>
  <c r="CK69" i="8"/>
  <c r="CM69" i="8"/>
  <c r="CN69" i="8"/>
  <c r="CO69" i="8"/>
  <c r="CP69" i="8"/>
  <c r="CR69" i="8"/>
  <c r="CS69" i="8"/>
  <c r="CJ70" i="8"/>
  <c r="CK70" i="8"/>
  <c r="CM70" i="8"/>
  <c r="CN70" i="8"/>
  <c r="CO70" i="8"/>
  <c r="CP70" i="8"/>
  <c r="CR70" i="8"/>
  <c r="CS70" i="8"/>
  <c r="G71" i="8"/>
  <c r="CJ71" i="8"/>
  <c r="CK71" i="8"/>
  <c r="CM71" i="8"/>
  <c r="CN71" i="8"/>
  <c r="CO71" i="8"/>
  <c r="CP71" i="8"/>
  <c r="CR71" i="8"/>
  <c r="CS71" i="8"/>
  <c r="G72" i="8"/>
  <c r="CJ72" i="8"/>
  <c r="CK72" i="8"/>
  <c r="CM72" i="8"/>
  <c r="CN72" i="8"/>
  <c r="CO72" i="8"/>
  <c r="CP72" i="8"/>
  <c r="CR72" i="8"/>
  <c r="CS72" i="8"/>
  <c r="G73" i="8"/>
  <c r="CJ73" i="8"/>
  <c r="CK73" i="8"/>
  <c r="CM73" i="8"/>
  <c r="CN73" i="8"/>
  <c r="CO73" i="8"/>
  <c r="CP73" i="8"/>
  <c r="CR73" i="8"/>
  <c r="CS73" i="8"/>
  <c r="G74" i="8"/>
  <c r="CJ74" i="8"/>
  <c r="CK74" i="8"/>
  <c r="CM74" i="8"/>
  <c r="CN74" i="8"/>
  <c r="CO74" i="8"/>
  <c r="CP74" i="8"/>
  <c r="CR74" i="8"/>
  <c r="CS74" i="8"/>
  <c r="G75" i="8"/>
  <c r="CJ75" i="8"/>
  <c r="CK75" i="8"/>
  <c r="CM75" i="8"/>
  <c r="CN75" i="8"/>
  <c r="CO75" i="8"/>
  <c r="CP75" i="8"/>
  <c r="CR75" i="8"/>
  <c r="CS75" i="8"/>
  <c r="G76" i="8"/>
  <c r="CJ76" i="8"/>
  <c r="CK76" i="8"/>
  <c r="CM76" i="8"/>
  <c r="CN76" i="8"/>
  <c r="CO76" i="8"/>
  <c r="CP76" i="8"/>
  <c r="CR76" i="8"/>
  <c r="CS76" i="8"/>
  <c r="G77" i="8"/>
  <c r="CJ77" i="8"/>
  <c r="CK77" i="8"/>
  <c r="CM77" i="8"/>
  <c r="CN77" i="8"/>
  <c r="CO77" i="8"/>
  <c r="CP77" i="8"/>
  <c r="CR77" i="8"/>
  <c r="CS77" i="8"/>
  <c r="G78" i="8"/>
  <c r="CJ78" i="8"/>
  <c r="CK78" i="8"/>
  <c r="CM78" i="8"/>
  <c r="CN78" i="8"/>
  <c r="CO78" i="8"/>
  <c r="CP78" i="8"/>
  <c r="CR78" i="8"/>
  <c r="CS78" i="8"/>
  <c r="G79" i="8"/>
  <c r="CJ79" i="8"/>
  <c r="CK79" i="8"/>
  <c r="CM79" i="8"/>
  <c r="CN79" i="8"/>
  <c r="CO79" i="8"/>
  <c r="CP79" i="8"/>
  <c r="CR79" i="8"/>
  <c r="CS79" i="8"/>
  <c r="G80" i="8"/>
  <c r="CJ80" i="8"/>
  <c r="CK80" i="8"/>
  <c r="CM80" i="8"/>
  <c r="CN80" i="8"/>
  <c r="CO80" i="8"/>
  <c r="CP80" i="8"/>
  <c r="CR80" i="8"/>
  <c r="CS80" i="8"/>
  <c r="G81" i="8"/>
  <c r="CJ81" i="8"/>
  <c r="CK81" i="8"/>
  <c r="CM81" i="8"/>
  <c r="CN81" i="8"/>
  <c r="CO81" i="8"/>
  <c r="CP81" i="8"/>
  <c r="CR81" i="8"/>
  <c r="CS81" i="8"/>
  <c r="G82" i="8"/>
  <c r="CJ82" i="8"/>
  <c r="CK82" i="8"/>
  <c r="CM82" i="8"/>
  <c r="CN82" i="8"/>
  <c r="CO82" i="8"/>
  <c r="CP82" i="8"/>
  <c r="CR82" i="8"/>
  <c r="CS82" i="8"/>
  <c r="CJ83" i="8"/>
  <c r="CK83" i="8"/>
  <c r="CM83" i="8"/>
  <c r="CN83" i="8"/>
  <c r="CO83" i="8"/>
  <c r="CP83" i="8"/>
  <c r="CR83" i="8"/>
  <c r="CS83" i="8"/>
  <c r="CJ84" i="8"/>
  <c r="CK84" i="8"/>
  <c r="CM84" i="8"/>
  <c r="CN84" i="8"/>
  <c r="CO84" i="8"/>
  <c r="CP84" i="8"/>
  <c r="CR84" i="8"/>
  <c r="CS84" i="8"/>
  <c r="CJ85" i="8"/>
  <c r="CK85" i="8"/>
  <c r="CM85" i="8"/>
  <c r="CN85" i="8"/>
  <c r="CO85" i="8"/>
  <c r="CP85" i="8"/>
  <c r="CR85" i="8"/>
  <c r="CS85" i="8"/>
  <c r="G86" i="8"/>
  <c r="CJ86" i="8"/>
  <c r="CK86" i="8"/>
  <c r="CM86" i="8"/>
  <c r="CN86" i="8"/>
  <c r="CO86" i="8"/>
  <c r="CP86" i="8"/>
  <c r="CR86" i="8"/>
  <c r="CS86" i="8"/>
  <c r="G87" i="8"/>
  <c r="CJ87" i="8"/>
  <c r="CK87" i="8"/>
  <c r="CM87" i="8"/>
  <c r="CN87" i="8"/>
  <c r="CO87" i="8"/>
  <c r="CP87" i="8"/>
  <c r="CR87" i="8"/>
  <c r="CS87" i="8"/>
  <c r="G88" i="8"/>
  <c r="CJ88" i="8"/>
  <c r="CK88" i="8"/>
  <c r="CM88" i="8"/>
  <c r="CN88" i="8"/>
  <c r="CO88" i="8"/>
  <c r="CP88" i="8"/>
  <c r="CR88" i="8"/>
  <c r="CS88" i="8"/>
  <c r="G89" i="8"/>
  <c r="CJ89" i="8"/>
  <c r="CK89" i="8"/>
  <c r="CM89" i="8"/>
  <c r="CN89" i="8"/>
  <c r="CO89" i="8"/>
  <c r="CP89" i="8"/>
  <c r="CR89" i="8"/>
  <c r="CS89" i="8"/>
  <c r="G90" i="8"/>
  <c r="CJ90" i="8"/>
  <c r="CK90" i="8"/>
  <c r="CM90" i="8"/>
  <c r="CN90" i="8"/>
  <c r="CO90" i="8"/>
  <c r="CP90" i="8"/>
  <c r="CR90" i="8"/>
  <c r="CS90" i="8"/>
  <c r="G91" i="8"/>
  <c r="CJ91" i="8"/>
  <c r="CK91" i="8"/>
  <c r="CM91" i="8"/>
  <c r="CN91" i="8"/>
  <c r="CO91" i="8"/>
  <c r="CP91" i="8"/>
  <c r="CR91" i="8"/>
  <c r="CS91" i="8"/>
  <c r="G92" i="8"/>
  <c r="CJ92" i="8"/>
  <c r="CK92" i="8"/>
  <c r="CM92" i="8"/>
  <c r="CN92" i="8"/>
  <c r="CO92" i="8"/>
  <c r="CP92" i="8"/>
  <c r="CR92" i="8"/>
  <c r="CS92" i="8"/>
  <c r="G93" i="8"/>
  <c r="CJ93" i="8"/>
  <c r="CK93" i="8"/>
  <c r="CM93" i="8"/>
  <c r="CN93" i="8"/>
  <c r="CO93" i="8"/>
  <c r="CP93" i="8"/>
  <c r="CR93" i="8"/>
  <c r="CS93" i="8"/>
  <c r="G94" i="8"/>
  <c r="CJ94" i="8"/>
  <c r="CK94" i="8"/>
  <c r="CM94" i="8"/>
  <c r="CN94" i="8"/>
  <c r="CO94" i="8"/>
  <c r="CP94" i="8"/>
  <c r="CR94" i="8"/>
  <c r="CS94" i="8"/>
  <c r="G95" i="8"/>
  <c r="CJ95" i="8"/>
  <c r="CK95" i="8"/>
  <c r="CM95" i="8"/>
  <c r="CN95" i="8"/>
  <c r="CO95" i="8"/>
  <c r="CP95" i="8"/>
  <c r="CR95" i="8"/>
  <c r="CS95" i="8"/>
  <c r="G96" i="8"/>
  <c r="CJ96" i="8"/>
  <c r="CK96" i="8"/>
  <c r="CM96" i="8"/>
  <c r="CN96" i="8"/>
  <c r="CO96" i="8"/>
  <c r="CP96" i="8"/>
  <c r="CR96" i="8"/>
  <c r="CS96" i="8"/>
  <c r="G97" i="8"/>
  <c r="CJ97" i="8"/>
  <c r="CK97" i="8"/>
  <c r="CM97" i="8"/>
  <c r="CN97" i="8"/>
  <c r="CO97" i="8"/>
  <c r="CP97" i="8"/>
  <c r="CR97" i="8"/>
  <c r="CS97" i="8"/>
  <c r="CJ98" i="8"/>
  <c r="CK98" i="8"/>
  <c r="CM98" i="8"/>
  <c r="CN98" i="8"/>
  <c r="CO98" i="8"/>
  <c r="CP98" i="8"/>
  <c r="CR98" i="8"/>
  <c r="CS98" i="8"/>
  <c r="CJ99" i="8"/>
  <c r="CK99" i="8"/>
  <c r="CM99" i="8"/>
  <c r="CN99" i="8"/>
  <c r="CO99" i="8"/>
  <c r="CP99" i="8"/>
  <c r="CR99" i="8"/>
  <c r="CS99" i="8"/>
  <c r="CJ100" i="8"/>
  <c r="CK100" i="8"/>
  <c r="CM100" i="8"/>
  <c r="CN100" i="8"/>
  <c r="CO100" i="8"/>
  <c r="CP100" i="8"/>
  <c r="CR100" i="8"/>
  <c r="CS100" i="8"/>
  <c r="G101" i="8"/>
  <c r="CJ101" i="8"/>
  <c r="CK101" i="8"/>
  <c r="CM101" i="8"/>
  <c r="CN101" i="8"/>
  <c r="CO101" i="8"/>
  <c r="CP101" i="8"/>
  <c r="CR101" i="8"/>
  <c r="CS101" i="8"/>
  <c r="G102" i="8"/>
  <c r="CJ102" i="8"/>
  <c r="CK102" i="8"/>
  <c r="CM102" i="8"/>
  <c r="CN102" i="8"/>
  <c r="CO102" i="8"/>
  <c r="CP102" i="8"/>
  <c r="CR102" i="8"/>
  <c r="CS102" i="8"/>
  <c r="G103" i="8"/>
  <c r="CJ103" i="8"/>
  <c r="CK103" i="8"/>
  <c r="CM103" i="8"/>
  <c r="CN103" i="8"/>
  <c r="CO103" i="8"/>
  <c r="CP103" i="8"/>
  <c r="CR103" i="8"/>
  <c r="CS103" i="8"/>
  <c r="G104" i="8"/>
  <c r="CJ104" i="8"/>
  <c r="CK104" i="8"/>
  <c r="CM104" i="8"/>
  <c r="CN104" i="8"/>
  <c r="CO104" i="8"/>
  <c r="CP104" i="8"/>
  <c r="CR104" i="8"/>
  <c r="CS104" i="8"/>
  <c r="G105" i="8"/>
  <c r="CJ105" i="8"/>
  <c r="CK105" i="8"/>
  <c r="CM105" i="8"/>
  <c r="CN105" i="8"/>
  <c r="CO105" i="8"/>
  <c r="CP105" i="8"/>
  <c r="CR105" i="8"/>
  <c r="CS105" i="8"/>
  <c r="G106" i="8"/>
  <c r="CJ106" i="8"/>
  <c r="CK106" i="8"/>
  <c r="CM106" i="8"/>
  <c r="CN106" i="8"/>
  <c r="CO106" i="8"/>
  <c r="CP106" i="8"/>
  <c r="CR106" i="8"/>
  <c r="CS106" i="8"/>
  <c r="G107" i="8"/>
  <c r="CJ107" i="8"/>
  <c r="CK107" i="8"/>
  <c r="CM107" i="8"/>
  <c r="CN107" i="8"/>
  <c r="CO107" i="8"/>
  <c r="CP107" i="8"/>
  <c r="CR107" i="8"/>
  <c r="CS107" i="8"/>
  <c r="G108" i="8"/>
  <c r="CJ108" i="8"/>
  <c r="CK108" i="8"/>
  <c r="CM108" i="8"/>
  <c r="CN108" i="8"/>
  <c r="CO108" i="8"/>
  <c r="CP108" i="8"/>
  <c r="CR108" i="8"/>
  <c r="CS108" i="8"/>
  <c r="G109" i="8"/>
  <c r="CJ109" i="8"/>
  <c r="CK109" i="8"/>
  <c r="CM109" i="8"/>
  <c r="CN109" i="8"/>
  <c r="CO109" i="8"/>
  <c r="CP109" i="8"/>
  <c r="CR109" i="8"/>
  <c r="CS109" i="8"/>
  <c r="G110" i="8"/>
  <c r="CJ110" i="8"/>
  <c r="CK110" i="8"/>
  <c r="CM110" i="8"/>
  <c r="CN110" i="8"/>
  <c r="CO110" i="8"/>
  <c r="CP110" i="8"/>
  <c r="CR110" i="8"/>
  <c r="CS110" i="8"/>
  <c r="G111" i="8"/>
  <c r="CJ111" i="8"/>
  <c r="CK111" i="8"/>
  <c r="CM111" i="8"/>
  <c r="CN111" i="8"/>
  <c r="CO111" i="8"/>
  <c r="CP111" i="8"/>
  <c r="CR111" i="8"/>
  <c r="CS111" i="8"/>
  <c r="G112" i="8"/>
  <c r="CJ112" i="8"/>
  <c r="CK112" i="8"/>
  <c r="CM112" i="8"/>
  <c r="CN112" i="8"/>
  <c r="CO112" i="8"/>
  <c r="CP112" i="8"/>
  <c r="CR112" i="8"/>
  <c r="CS112" i="8"/>
  <c r="CJ113" i="8"/>
  <c r="CK113" i="8"/>
  <c r="CM113" i="8"/>
  <c r="CN113" i="8"/>
  <c r="CO113" i="8"/>
  <c r="CP113" i="8"/>
  <c r="CR113" i="8"/>
  <c r="CS113" i="8"/>
  <c r="CJ114" i="8"/>
  <c r="CK114" i="8"/>
  <c r="CM114" i="8"/>
  <c r="CN114" i="8"/>
  <c r="CO114" i="8"/>
  <c r="CP114" i="8"/>
  <c r="CR114" i="8"/>
  <c r="CS114" i="8"/>
  <c r="CJ115" i="8"/>
  <c r="CK115" i="8"/>
  <c r="CM115" i="8"/>
  <c r="CN115" i="8"/>
  <c r="CO115" i="8"/>
  <c r="CP115" i="8"/>
  <c r="CR115" i="8"/>
  <c r="CS115" i="8"/>
  <c r="G116" i="8"/>
  <c r="CJ116" i="8"/>
  <c r="CK116" i="8"/>
  <c r="CM116" i="8"/>
  <c r="CN116" i="8"/>
  <c r="CO116" i="8"/>
  <c r="CP116" i="8"/>
  <c r="CR116" i="8"/>
  <c r="CS116" i="8"/>
  <c r="G117" i="8"/>
  <c r="CJ117" i="8"/>
  <c r="CK117" i="8"/>
  <c r="CM117" i="8"/>
  <c r="CN117" i="8"/>
  <c r="CO117" i="8"/>
  <c r="CP117" i="8"/>
  <c r="CR117" i="8"/>
  <c r="CS117" i="8"/>
  <c r="G118" i="8"/>
  <c r="CJ118" i="8"/>
  <c r="CK118" i="8"/>
  <c r="CM118" i="8"/>
  <c r="CN118" i="8"/>
  <c r="CO118" i="8"/>
  <c r="CP118" i="8"/>
  <c r="CR118" i="8"/>
  <c r="CS118" i="8"/>
  <c r="G119" i="8"/>
  <c r="CJ119" i="8"/>
  <c r="CK119" i="8"/>
  <c r="CM119" i="8"/>
  <c r="CN119" i="8"/>
  <c r="CO119" i="8"/>
  <c r="CP119" i="8"/>
  <c r="CR119" i="8"/>
  <c r="CS119" i="8"/>
  <c r="G120" i="8"/>
  <c r="CJ120" i="8"/>
  <c r="CK120" i="8"/>
  <c r="CM120" i="8"/>
  <c r="CN120" i="8"/>
  <c r="CO120" i="8"/>
  <c r="CP120" i="8"/>
  <c r="CR120" i="8"/>
  <c r="CS120" i="8"/>
  <c r="G121" i="8"/>
  <c r="CJ121" i="8"/>
  <c r="CK121" i="8"/>
  <c r="CM121" i="8"/>
  <c r="CN121" i="8"/>
  <c r="CO121" i="8"/>
  <c r="CP121" i="8"/>
  <c r="CR121" i="8"/>
  <c r="CS121" i="8"/>
  <c r="G122" i="8"/>
  <c r="CJ122" i="8"/>
  <c r="CK122" i="8"/>
  <c r="CM122" i="8"/>
  <c r="CN122" i="8"/>
  <c r="CO122" i="8"/>
  <c r="CP122" i="8"/>
  <c r="CR122" i="8"/>
  <c r="CS122" i="8"/>
  <c r="G123" i="8"/>
  <c r="CJ123" i="8"/>
  <c r="CK123" i="8"/>
  <c r="CM123" i="8"/>
  <c r="CN123" i="8"/>
  <c r="CO123" i="8"/>
  <c r="CP123" i="8"/>
  <c r="CR123" i="8"/>
  <c r="CS123" i="8"/>
  <c r="G124" i="8"/>
  <c r="CJ124" i="8"/>
  <c r="CK124" i="8"/>
  <c r="CM124" i="8"/>
  <c r="CN124" i="8"/>
  <c r="CO124" i="8"/>
  <c r="CP124" i="8"/>
  <c r="CR124" i="8"/>
  <c r="CS124" i="8"/>
  <c r="G125" i="8"/>
  <c r="CJ125" i="8"/>
  <c r="CK125" i="8"/>
  <c r="CM125" i="8"/>
  <c r="CN125" i="8"/>
  <c r="CO125" i="8"/>
  <c r="CP125" i="8"/>
  <c r="CR125" i="8"/>
  <c r="CS125" i="8"/>
  <c r="G126" i="8"/>
  <c r="CJ126" i="8"/>
  <c r="CK126" i="8"/>
  <c r="CM126" i="8"/>
  <c r="CN126" i="8"/>
  <c r="CO126" i="8"/>
  <c r="CP126" i="8"/>
  <c r="CR126" i="8"/>
  <c r="CS126" i="8"/>
  <c r="G127" i="8"/>
  <c r="CJ127" i="8"/>
  <c r="CK127" i="8"/>
  <c r="CM127" i="8"/>
  <c r="CN127" i="8"/>
  <c r="CO127" i="8"/>
  <c r="CP127" i="8"/>
  <c r="CR127" i="8"/>
  <c r="CS127" i="8"/>
  <c r="CJ128" i="8"/>
  <c r="CK128" i="8"/>
  <c r="CM128" i="8"/>
  <c r="CN128" i="8"/>
  <c r="CO128" i="8"/>
  <c r="CP128" i="8"/>
  <c r="CR128" i="8"/>
  <c r="CS128" i="8"/>
  <c r="CJ129" i="8"/>
  <c r="CK129" i="8"/>
  <c r="CM129" i="8"/>
  <c r="CN129" i="8"/>
  <c r="CO129" i="8"/>
  <c r="CP129" i="8"/>
  <c r="CR129" i="8"/>
  <c r="CS129" i="8"/>
  <c r="CJ130" i="8"/>
  <c r="CK130" i="8"/>
  <c r="CM130" i="8"/>
  <c r="CN130" i="8"/>
  <c r="CO130" i="8"/>
  <c r="CP130" i="8"/>
  <c r="CR130" i="8"/>
  <c r="CS130" i="8"/>
  <c r="G131" i="8"/>
  <c r="CJ131" i="8"/>
  <c r="CK131" i="8"/>
  <c r="CM131" i="8"/>
  <c r="CN131" i="8"/>
  <c r="CO131" i="8"/>
  <c r="CP131" i="8"/>
  <c r="CR131" i="8"/>
  <c r="CS131" i="8"/>
  <c r="G132" i="8"/>
  <c r="CJ132" i="8"/>
  <c r="CK132" i="8"/>
  <c r="CM132" i="8"/>
  <c r="CN132" i="8"/>
  <c r="CO132" i="8"/>
  <c r="CP132" i="8"/>
  <c r="CR132" i="8"/>
  <c r="CS132" i="8"/>
  <c r="G133" i="8"/>
  <c r="CJ133" i="8"/>
  <c r="CK133" i="8"/>
  <c r="CM133" i="8"/>
  <c r="CN133" i="8"/>
  <c r="CO133" i="8"/>
  <c r="CP133" i="8"/>
  <c r="CR133" i="8"/>
  <c r="CS133" i="8"/>
  <c r="G134" i="8"/>
  <c r="CJ134" i="8"/>
  <c r="CK134" i="8"/>
  <c r="CM134" i="8"/>
  <c r="CN134" i="8"/>
  <c r="CO134" i="8"/>
  <c r="CP134" i="8"/>
  <c r="CR134" i="8"/>
  <c r="CS134" i="8"/>
  <c r="G135" i="8"/>
  <c r="CJ135" i="8"/>
  <c r="CK135" i="8"/>
  <c r="CM135" i="8"/>
  <c r="CN135" i="8"/>
  <c r="CO135" i="8"/>
  <c r="CP135" i="8"/>
  <c r="CR135" i="8"/>
  <c r="CS135" i="8"/>
  <c r="G136" i="8"/>
  <c r="CJ136" i="8"/>
  <c r="CK136" i="8"/>
  <c r="CM136" i="8"/>
  <c r="CN136" i="8"/>
  <c r="CO136" i="8"/>
  <c r="CP136" i="8"/>
  <c r="CR136" i="8"/>
  <c r="CS136" i="8"/>
  <c r="G137" i="8"/>
  <c r="CJ137" i="8"/>
  <c r="CK137" i="8"/>
  <c r="CM137" i="8"/>
  <c r="CN137" i="8"/>
  <c r="CO137" i="8"/>
  <c r="CP137" i="8"/>
  <c r="CR137" i="8"/>
  <c r="CS137" i="8"/>
  <c r="G138" i="8"/>
  <c r="CJ138" i="8"/>
  <c r="CK138" i="8"/>
  <c r="CM138" i="8"/>
  <c r="CN138" i="8"/>
  <c r="CO138" i="8"/>
  <c r="CP138" i="8"/>
  <c r="CR138" i="8"/>
  <c r="CS138" i="8"/>
  <c r="G139" i="8"/>
  <c r="CJ139" i="8"/>
  <c r="CK139" i="8"/>
  <c r="CM139" i="8"/>
  <c r="CN139" i="8"/>
  <c r="CO139" i="8"/>
  <c r="CP139" i="8"/>
  <c r="CR139" i="8"/>
  <c r="CS139" i="8"/>
  <c r="G140" i="8"/>
  <c r="CJ140" i="8"/>
  <c r="CK140" i="8"/>
  <c r="CM140" i="8"/>
  <c r="CN140" i="8"/>
  <c r="CO140" i="8"/>
  <c r="CP140" i="8"/>
  <c r="CR140" i="8"/>
  <c r="CS140" i="8"/>
  <c r="G141" i="8"/>
  <c r="CJ141" i="8"/>
  <c r="CK141" i="8"/>
  <c r="CM141" i="8"/>
  <c r="CN141" i="8"/>
  <c r="CO141" i="8"/>
  <c r="CP141" i="8"/>
  <c r="CR141" i="8"/>
  <c r="CS141" i="8"/>
  <c r="G142" i="8"/>
  <c r="CJ142" i="8"/>
  <c r="CK142" i="8"/>
  <c r="CM142" i="8"/>
  <c r="CN142" i="8"/>
  <c r="CO142" i="8"/>
  <c r="CP142" i="8"/>
  <c r="CR142" i="8"/>
  <c r="CS142" i="8"/>
  <c r="CJ143" i="8"/>
  <c r="CK143" i="8"/>
  <c r="CM143" i="8"/>
  <c r="CN143" i="8"/>
  <c r="CO143" i="8"/>
  <c r="CP143" i="8"/>
  <c r="CR143" i="8"/>
  <c r="CS143" i="8"/>
  <c r="CJ144" i="8"/>
  <c r="CK144" i="8"/>
  <c r="CM144" i="8"/>
  <c r="CN144" i="8"/>
  <c r="CO144" i="8"/>
  <c r="CP144" i="8"/>
  <c r="CR144" i="8"/>
  <c r="CS144" i="8"/>
  <c r="CJ145" i="8"/>
  <c r="CK145" i="8"/>
  <c r="CM145" i="8"/>
  <c r="CN145" i="8"/>
  <c r="CO145" i="8"/>
  <c r="CP145" i="8"/>
  <c r="CR145" i="8"/>
  <c r="CS145" i="8"/>
  <c r="CK11" i="8"/>
  <c r="CM11" i="8"/>
  <c r="CN11" i="8"/>
  <c r="CO11" i="8"/>
  <c r="CP11" i="8"/>
  <c r="CR11" i="8"/>
  <c r="CS11" i="8"/>
  <c r="CJ11" i="8"/>
  <c r="AR121" i="8"/>
  <c r="AR11" i="8"/>
  <c r="AS11" i="8"/>
  <c r="K26" i="11"/>
  <c r="K25" i="11"/>
  <c r="H64" i="4"/>
  <c r="H63" i="4"/>
  <c r="D106" i="10"/>
  <c r="GE21" i="1"/>
  <c r="K118" i="2"/>
  <c r="I118" i="2"/>
  <c r="K117" i="2"/>
  <c r="I117" i="2"/>
  <c r="G117" i="2"/>
  <c r="F117" i="2"/>
  <c r="M134" i="4"/>
  <c r="K134" i="4"/>
  <c r="H133" i="4"/>
  <c r="I133" i="4"/>
  <c r="M133" i="4"/>
  <c r="K133" i="4"/>
  <c r="G133" i="4"/>
  <c r="F133" i="4"/>
  <c r="K79" i="11"/>
  <c r="I79" i="11"/>
  <c r="G79" i="11"/>
  <c r="F79" i="11"/>
  <c r="I195" i="3"/>
  <c r="K195" i="3"/>
  <c r="G195" i="3"/>
  <c r="F195" i="3"/>
  <c r="M119" i="4"/>
  <c r="M118" i="4"/>
  <c r="M117" i="4"/>
  <c r="M116" i="4"/>
  <c r="M114" i="4"/>
  <c r="M113" i="4"/>
  <c r="M112" i="4"/>
  <c r="M111" i="4"/>
  <c r="M107" i="4"/>
  <c r="M108" i="4"/>
  <c r="M109" i="4"/>
  <c r="M102" i="4"/>
  <c r="M103" i="4"/>
  <c r="M104" i="4"/>
  <c r="K77" i="11"/>
  <c r="K76" i="11"/>
  <c r="K75" i="11"/>
  <c r="K74" i="11"/>
  <c r="K73" i="11"/>
  <c r="K72" i="11"/>
  <c r="K71" i="11"/>
  <c r="K69" i="11"/>
  <c r="K68" i="11"/>
  <c r="K67" i="11"/>
  <c r="K66" i="11"/>
  <c r="K65" i="11"/>
  <c r="K64" i="11"/>
  <c r="K63" i="11"/>
  <c r="K56" i="11"/>
  <c r="K57" i="11"/>
  <c r="K58" i="11"/>
  <c r="K59" i="11"/>
  <c r="K60" i="11"/>
  <c r="K61" i="11"/>
  <c r="K48" i="11"/>
  <c r="K49" i="11"/>
  <c r="K50" i="11"/>
  <c r="K51" i="11"/>
  <c r="K52" i="11"/>
  <c r="K53" i="11"/>
  <c r="K47" i="11"/>
  <c r="K55" i="11"/>
  <c r="M106" i="4"/>
  <c r="M101" i="4"/>
  <c r="K181" i="3"/>
  <c r="K180" i="3"/>
  <c r="K179" i="3"/>
  <c r="K178" i="3"/>
  <c r="K177" i="3"/>
  <c r="K176" i="3"/>
  <c r="K175" i="3"/>
  <c r="K160" i="3"/>
  <c r="K161" i="3"/>
  <c r="K162" i="3"/>
  <c r="K163" i="3"/>
  <c r="K164" i="3"/>
  <c r="K165" i="3"/>
  <c r="K159" i="3"/>
  <c r="K173" i="3"/>
  <c r="K172" i="3"/>
  <c r="K171" i="3"/>
  <c r="K170" i="3"/>
  <c r="K169" i="3"/>
  <c r="K168" i="3"/>
  <c r="K167" i="3"/>
  <c r="K152" i="3"/>
  <c r="K153" i="3"/>
  <c r="K154" i="3"/>
  <c r="K155" i="3"/>
  <c r="K156" i="3"/>
  <c r="K157" i="3"/>
  <c r="K151" i="3"/>
  <c r="F64" i="4"/>
  <c r="G64" i="4"/>
  <c r="I64" i="4"/>
  <c r="E64" i="4"/>
  <c r="F63" i="4"/>
  <c r="G63" i="4"/>
  <c r="I63" i="4"/>
  <c r="E63" i="4"/>
  <c r="D90" i="10"/>
  <c r="DG21" i="1"/>
  <c r="EY26" i="1"/>
  <c r="F67" i="6"/>
  <c r="DB12" i="8"/>
  <c r="G67" i="6"/>
  <c r="DB13" i="8"/>
  <c r="CB6" i="18" a="1"/>
  <c r="CB6" i="18"/>
  <c r="E67" i="6"/>
  <c r="DB14" i="8"/>
  <c r="CB7" i="18" a="1"/>
  <c r="CB7" i="18"/>
  <c r="DB15" i="8"/>
  <c r="CB8" i="18" a="1"/>
  <c r="CB8" i="18"/>
  <c r="DB16" i="8"/>
  <c r="CB9" i="18" a="1"/>
  <c r="CB9" i="18"/>
  <c r="DB17" i="8"/>
  <c r="CB10" i="18" a="1"/>
  <c r="CB10" i="18"/>
  <c r="DB18" i="8"/>
  <c r="CB11" i="18" a="1"/>
  <c r="CB11" i="18"/>
  <c r="DB19" i="8"/>
  <c r="CB12" i="18" a="1"/>
  <c r="CB12" i="18"/>
  <c r="DB20" i="8"/>
  <c r="CB13" i="18" a="1"/>
  <c r="CB13" i="18"/>
  <c r="DB21" i="8"/>
  <c r="CB14" i="18" a="1"/>
  <c r="CB14" i="18"/>
  <c r="DB22" i="8"/>
  <c r="CB15" i="18" a="1"/>
  <c r="CB15" i="18"/>
  <c r="DB23" i="8"/>
  <c r="CB16" i="18" a="1"/>
  <c r="CB16" i="18"/>
  <c r="DB24" i="8"/>
  <c r="CB17" i="18" a="1"/>
  <c r="CB17" i="18"/>
  <c r="DB25" i="8"/>
  <c r="CB18" i="18" a="1"/>
  <c r="CB18" i="18"/>
  <c r="DB26" i="8"/>
  <c r="CB19" i="18" a="1"/>
  <c r="CB19" i="18"/>
  <c r="DB27" i="8"/>
  <c r="CB20" i="18" a="1"/>
  <c r="CB20" i="18"/>
  <c r="DB28" i="8"/>
  <c r="CB21" i="18" a="1"/>
  <c r="CB21" i="18"/>
  <c r="DB29" i="8"/>
  <c r="CB22" i="18" a="1"/>
  <c r="CB22" i="18"/>
  <c r="DB30" i="8"/>
  <c r="CB23" i="18" a="1"/>
  <c r="CB23" i="18"/>
  <c r="DB31" i="8"/>
  <c r="CB24" i="18" a="1"/>
  <c r="CB24" i="18"/>
  <c r="DB32" i="8"/>
  <c r="CB25" i="18" a="1"/>
  <c r="CB25" i="18"/>
  <c r="DB33" i="8"/>
  <c r="CB26" i="18" a="1"/>
  <c r="CB26" i="18"/>
  <c r="DB34" i="8"/>
  <c r="CB27" i="18" a="1"/>
  <c r="CB27" i="18"/>
  <c r="DB35" i="8"/>
  <c r="CB28" i="18" a="1"/>
  <c r="CB28" i="18"/>
  <c r="DB36" i="8"/>
  <c r="CB29" i="18" a="1"/>
  <c r="CB29" i="18"/>
  <c r="DB37" i="8"/>
  <c r="CB30" i="18" a="1"/>
  <c r="CB30" i="18"/>
  <c r="DB38" i="8"/>
  <c r="CB31" i="18" a="1"/>
  <c r="CB31" i="18"/>
  <c r="DB39" i="8"/>
  <c r="CB32" i="18" a="1"/>
  <c r="CB32" i="18"/>
  <c r="DB40" i="8"/>
  <c r="CB33" i="18" a="1"/>
  <c r="CB33" i="18"/>
  <c r="DB41" i="8"/>
  <c r="CB34" i="18" a="1"/>
  <c r="CB34" i="18"/>
  <c r="DB42" i="8"/>
  <c r="CB35" i="18" a="1"/>
  <c r="CB35" i="18"/>
  <c r="DB43" i="8"/>
  <c r="CB36" i="18" a="1"/>
  <c r="CB36" i="18"/>
  <c r="DB44" i="8"/>
  <c r="CB37" i="18" a="1"/>
  <c r="CB37" i="18"/>
  <c r="DB45" i="8"/>
  <c r="CB38" i="18" a="1"/>
  <c r="CB38" i="18"/>
  <c r="DB46" i="8"/>
  <c r="CB39" i="18" a="1"/>
  <c r="CB39" i="18"/>
  <c r="DB47" i="8"/>
  <c r="CB40" i="18" a="1"/>
  <c r="CB40" i="18"/>
  <c r="DB48" i="8"/>
  <c r="CB41" i="18" a="1"/>
  <c r="CB41" i="18"/>
  <c r="DB49" i="8"/>
  <c r="CB42" i="18" a="1"/>
  <c r="CB42" i="18"/>
  <c r="DB50" i="8"/>
  <c r="CB43" i="18" a="1"/>
  <c r="CB43" i="18"/>
  <c r="DB51" i="8"/>
  <c r="CB44" i="18" a="1"/>
  <c r="CB44" i="18"/>
  <c r="DB52" i="8"/>
  <c r="CB45" i="18" a="1"/>
  <c r="CB45" i="18"/>
  <c r="DB53" i="8"/>
  <c r="CB46" i="18" a="1"/>
  <c r="CB46" i="18"/>
  <c r="DB54" i="8"/>
  <c r="CB47" i="18" a="1"/>
  <c r="CB47" i="18"/>
  <c r="DB55" i="8"/>
  <c r="CB48" i="18" a="1"/>
  <c r="CB48" i="18"/>
  <c r="DB56" i="8"/>
  <c r="CB49" i="18" a="1"/>
  <c r="CB49" i="18"/>
  <c r="DB57" i="8"/>
  <c r="CB50" i="18" a="1"/>
  <c r="CB50" i="18"/>
  <c r="DB58" i="8"/>
  <c r="CB51" i="18" a="1"/>
  <c r="CB51" i="18"/>
  <c r="DB59" i="8"/>
  <c r="CB52" i="18" a="1"/>
  <c r="CB52" i="18"/>
  <c r="DB60" i="8"/>
  <c r="CB53" i="18" a="1"/>
  <c r="CB53" i="18"/>
  <c r="DB61" i="8"/>
  <c r="CB54" i="18" a="1"/>
  <c r="CB54" i="18"/>
  <c r="DB62" i="8"/>
  <c r="CB55" i="18" a="1"/>
  <c r="CB55" i="18"/>
  <c r="DB63" i="8"/>
  <c r="CB56" i="18" a="1"/>
  <c r="CB56" i="18"/>
  <c r="DB64" i="8"/>
  <c r="CB57" i="18" a="1"/>
  <c r="CB57" i="18"/>
  <c r="DB65" i="8"/>
  <c r="CB58" i="18" a="1"/>
  <c r="CB58" i="18"/>
  <c r="DB66" i="8"/>
  <c r="CB59" i="18" a="1"/>
  <c r="CB59" i="18"/>
  <c r="DB67" i="8"/>
  <c r="CB60" i="18" a="1"/>
  <c r="CB60" i="18"/>
  <c r="DB68" i="8"/>
  <c r="CB61" i="18" a="1"/>
  <c r="CB61" i="18"/>
  <c r="DB69" i="8"/>
  <c r="CB62" i="18" a="1"/>
  <c r="CB62" i="18"/>
  <c r="DB70" i="8"/>
  <c r="CB63" i="18" a="1"/>
  <c r="CB63" i="18"/>
  <c r="DB71" i="8"/>
  <c r="CB64" i="18" a="1"/>
  <c r="CB64" i="18"/>
  <c r="DB72" i="8"/>
  <c r="CB65" i="18" a="1"/>
  <c r="CB65" i="18"/>
  <c r="DB73" i="8"/>
  <c r="CB66" i="18" a="1"/>
  <c r="CB66" i="18"/>
  <c r="DB74" i="8"/>
  <c r="CB67" i="18" a="1"/>
  <c r="CB67" i="18"/>
  <c r="DB75" i="8"/>
  <c r="CB68" i="18" a="1"/>
  <c r="CB68" i="18"/>
  <c r="DB76" i="8"/>
  <c r="CB69" i="18" a="1"/>
  <c r="CB69" i="18"/>
  <c r="DB77" i="8"/>
  <c r="CB70" i="18" a="1"/>
  <c r="CB70" i="18"/>
  <c r="DB78" i="8"/>
  <c r="CB71" i="18" a="1"/>
  <c r="CB71" i="18"/>
  <c r="DB79" i="8"/>
  <c r="CB72" i="18" a="1"/>
  <c r="CB72" i="18"/>
  <c r="DB80" i="8"/>
  <c r="CB73" i="18" a="1"/>
  <c r="CB73" i="18"/>
  <c r="DB81" i="8"/>
  <c r="CB74" i="18" a="1"/>
  <c r="CB74" i="18"/>
  <c r="DB82" i="8"/>
  <c r="CB75" i="18" a="1"/>
  <c r="CB75" i="18"/>
  <c r="DB83" i="8"/>
  <c r="CB76" i="18" a="1"/>
  <c r="CB76" i="18"/>
  <c r="DB84" i="8"/>
  <c r="CB77" i="18" a="1"/>
  <c r="CB77" i="18"/>
  <c r="DB85" i="8"/>
  <c r="CB78" i="18" a="1"/>
  <c r="CB78" i="18"/>
  <c r="DB86" i="8"/>
  <c r="CB79" i="18" a="1"/>
  <c r="CB79" i="18"/>
  <c r="DB87" i="8"/>
  <c r="CB80" i="18" a="1"/>
  <c r="CB80" i="18"/>
  <c r="DB88" i="8"/>
  <c r="CB81" i="18" a="1"/>
  <c r="CB81" i="18"/>
  <c r="DB89" i="8"/>
  <c r="CB82" i="18" a="1"/>
  <c r="CB82" i="18"/>
  <c r="DB90" i="8"/>
  <c r="CB83" i="18" a="1"/>
  <c r="CB83" i="18"/>
  <c r="DB91" i="8"/>
  <c r="CB84" i="18" a="1"/>
  <c r="CB84" i="18"/>
  <c r="DB92" i="8"/>
  <c r="CB85" i="18" a="1"/>
  <c r="CB85" i="18"/>
  <c r="DB93" i="8"/>
  <c r="CB86" i="18" a="1"/>
  <c r="CB86" i="18"/>
  <c r="DB94" i="8"/>
  <c r="CB87" i="18" a="1"/>
  <c r="CB87" i="18"/>
  <c r="DB95" i="8"/>
  <c r="CB88" i="18" a="1"/>
  <c r="CB88" i="18"/>
  <c r="DB96" i="8"/>
  <c r="CB89" i="18" a="1"/>
  <c r="CB89" i="18"/>
  <c r="DB97" i="8"/>
  <c r="CB90" i="18" a="1"/>
  <c r="CB90" i="18"/>
  <c r="DB98" i="8"/>
  <c r="CB91" i="18" a="1"/>
  <c r="CB91" i="18"/>
  <c r="DB99" i="8"/>
  <c r="CB92" i="18" a="1"/>
  <c r="CB92" i="18"/>
  <c r="DB100" i="8"/>
  <c r="CB93" i="18" a="1"/>
  <c r="CB93" i="18"/>
  <c r="DB101" i="8"/>
  <c r="CB94" i="18" a="1"/>
  <c r="CB94" i="18"/>
  <c r="DB102" i="8"/>
  <c r="CB95" i="18" a="1"/>
  <c r="CB95" i="18"/>
  <c r="DB103" i="8"/>
  <c r="CB96" i="18" a="1"/>
  <c r="CB96" i="18"/>
  <c r="DB104" i="8"/>
  <c r="CB97" i="18" a="1"/>
  <c r="CB97" i="18"/>
  <c r="DB105" i="8"/>
  <c r="CB98" i="18" a="1"/>
  <c r="CB98" i="18"/>
  <c r="DB106" i="8"/>
  <c r="CB99" i="18" a="1"/>
  <c r="CB99" i="18"/>
  <c r="DB107" i="8"/>
  <c r="CB100" i="18" a="1"/>
  <c r="CB100" i="18"/>
  <c r="DB108" i="8"/>
  <c r="CB101" i="18" a="1"/>
  <c r="CB101" i="18"/>
  <c r="DB109" i="8"/>
  <c r="CB102" i="18" a="1"/>
  <c r="CB102" i="18"/>
  <c r="DB110" i="8"/>
  <c r="CB103" i="18" a="1"/>
  <c r="CB103" i="18"/>
  <c r="DB111" i="8"/>
  <c r="CB104" i="18" a="1"/>
  <c r="CB104" i="18"/>
  <c r="DB112" i="8"/>
  <c r="CB105" i="18" a="1"/>
  <c r="CB105" i="18"/>
  <c r="DB113" i="8"/>
  <c r="CB106" i="18" a="1"/>
  <c r="CB106" i="18"/>
  <c r="DB114" i="8"/>
  <c r="CB107" i="18" a="1"/>
  <c r="CB107" i="18"/>
  <c r="DB115" i="8"/>
  <c r="CB108" i="18" a="1"/>
  <c r="CB108" i="18"/>
  <c r="DB116" i="8"/>
  <c r="CB109" i="18" a="1"/>
  <c r="CB109" i="18"/>
  <c r="DB117" i="8"/>
  <c r="CB110" i="18" a="1"/>
  <c r="CB110" i="18"/>
  <c r="DB118" i="8"/>
  <c r="CB111" i="18" a="1"/>
  <c r="CB111" i="18"/>
  <c r="DB119" i="8"/>
  <c r="CB112" i="18" a="1"/>
  <c r="CB112" i="18"/>
  <c r="DB120" i="8"/>
  <c r="CB113" i="18" a="1"/>
  <c r="CB113" i="18"/>
  <c r="DB121" i="8"/>
  <c r="CB114" i="18" a="1"/>
  <c r="CB114" i="18"/>
  <c r="DB122" i="8"/>
  <c r="CB115" i="18" a="1"/>
  <c r="CB115" i="18"/>
  <c r="DB123" i="8"/>
  <c r="CB116" i="18" a="1"/>
  <c r="CB116" i="18"/>
  <c r="DB124" i="8"/>
  <c r="CB117" i="18" a="1"/>
  <c r="CB117" i="18"/>
  <c r="DB125" i="8"/>
  <c r="CB118" i="18" a="1"/>
  <c r="CB118" i="18"/>
  <c r="DB126" i="8"/>
  <c r="CB119" i="18" a="1"/>
  <c r="CB119" i="18"/>
  <c r="DB127" i="8"/>
  <c r="CB120" i="18" a="1"/>
  <c r="CB120" i="18"/>
  <c r="DB128" i="8"/>
  <c r="CB121" i="18" a="1"/>
  <c r="CB121" i="18"/>
  <c r="DB129" i="8"/>
  <c r="CB122" i="18" a="1"/>
  <c r="CB122" i="18"/>
  <c r="DB130" i="8"/>
  <c r="CB123" i="18" a="1"/>
  <c r="CB123" i="18"/>
  <c r="DB131" i="8"/>
  <c r="CB124" i="18" a="1"/>
  <c r="CB124" i="18"/>
  <c r="DB132" i="8"/>
  <c r="CB125" i="18" a="1"/>
  <c r="CB125" i="18"/>
  <c r="DB133" i="8"/>
  <c r="CB126" i="18" a="1"/>
  <c r="CB126" i="18"/>
  <c r="DB134" i="8"/>
  <c r="CB127" i="18" a="1"/>
  <c r="CB127" i="18"/>
  <c r="DB135" i="8"/>
  <c r="CB128" i="18" a="1"/>
  <c r="CB128" i="18"/>
  <c r="DB136" i="8"/>
  <c r="CB129" i="18" a="1"/>
  <c r="CB129" i="18"/>
  <c r="DB137" i="8"/>
  <c r="CB130" i="18" a="1"/>
  <c r="CB130" i="18"/>
  <c r="DB138" i="8"/>
  <c r="CB131" i="18" a="1"/>
  <c r="CB131" i="18"/>
  <c r="DB139" i="8"/>
  <c r="CB132" i="18" a="1"/>
  <c r="CB132" i="18"/>
  <c r="DB140" i="8"/>
  <c r="CB133" i="18" a="1"/>
  <c r="CB133" i="18"/>
  <c r="DB141" i="8"/>
  <c r="CB134" i="18" a="1"/>
  <c r="CB134" i="18"/>
  <c r="DB142" i="8"/>
  <c r="CB135" i="18" a="1"/>
  <c r="CB135" i="18"/>
  <c r="DB143" i="8"/>
  <c r="CB136" i="18" a="1"/>
  <c r="CB136" i="18"/>
  <c r="DB144" i="8"/>
  <c r="CB137" i="18" a="1"/>
  <c r="CB137" i="18"/>
  <c r="DB145" i="8"/>
  <c r="CB138" i="18" a="1"/>
  <c r="CB138" i="18"/>
  <c r="DB11" i="8"/>
  <c r="CB4" i="18" a="1"/>
  <c r="CB4" i="18"/>
  <c r="F66" i="6"/>
  <c r="DA12" i="8"/>
  <c r="G66" i="6"/>
  <c r="DA13" i="8"/>
  <c r="CA6" i="18" a="1"/>
  <c r="CA6" i="18"/>
  <c r="E66" i="6"/>
  <c r="DA14" i="8"/>
  <c r="CA7" i="18" a="1"/>
  <c r="CA7" i="18"/>
  <c r="DA15" i="8"/>
  <c r="CA8" i="18" a="1"/>
  <c r="CA8" i="18"/>
  <c r="DA16" i="8"/>
  <c r="CA9" i="18" a="1"/>
  <c r="CA9" i="18"/>
  <c r="DA17" i="8"/>
  <c r="CA10" i="18" a="1"/>
  <c r="CA10" i="18"/>
  <c r="DA18" i="8"/>
  <c r="CA11" i="18" a="1"/>
  <c r="CA11" i="18"/>
  <c r="DA19" i="8"/>
  <c r="CA12" i="18" a="1"/>
  <c r="CA12" i="18"/>
  <c r="DA20" i="8"/>
  <c r="CA13" i="18" a="1"/>
  <c r="CA13" i="18"/>
  <c r="DA21" i="8"/>
  <c r="CA14" i="18" a="1"/>
  <c r="CA14" i="18"/>
  <c r="DA22" i="8"/>
  <c r="CA15" i="18" a="1"/>
  <c r="CA15" i="18"/>
  <c r="DA23" i="8"/>
  <c r="CA16" i="18" a="1"/>
  <c r="CA16" i="18"/>
  <c r="DA24" i="8"/>
  <c r="CA17" i="18" a="1"/>
  <c r="CA17" i="18"/>
  <c r="DA25" i="8"/>
  <c r="CA18" i="18" a="1"/>
  <c r="CA18" i="18"/>
  <c r="DA26" i="8"/>
  <c r="CA19" i="18" a="1"/>
  <c r="CA19" i="18"/>
  <c r="DA27" i="8"/>
  <c r="CA20" i="18" a="1"/>
  <c r="CA20" i="18"/>
  <c r="DA28" i="8"/>
  <c r="CA21" i="18" a="1"/>
  <c r="CA21" i="18"/>
  <c r="DA29" i="8"/>
  <c r="CA22" i="18" a="1"/>
  <c r="CA22" i="18"/>
  <c r="DA30" i="8"/>
  <c r="CA23" i="18" a="1"/>
  <c r="CA23" i="18"/>
  <c r="DA31" i="8"/>
  <c r="CA24" i="18" a="1"/>
  <c r="CA24" i="18"/>
  <c r="DA32" i="8"/>
  <c r="CA25" i="18" a="1"/>
  <c r="CA25" i="18"/>
  <c r="DA33" i="8"/>
  <c r="CA26" i="18" a="1"/>
  <c r="CA26" i="18"/>
  <c r="DA34" i="8"/>
  <c r="CA27" i="18" a="1"/>
  <c r="CA27" i="18"/>
  <c r="DA35" i="8"/>
  <c r="CA28" i="18" a="1"/>
  <c r="CA28" i="18"/>
  <c r="DA36" i="8"/>
  <c r="CA29" i="18" a="1"/>
  <c r="CA29" i="18"/>
  <c r="DA37" i="8"/>
  <c r="CA30" i="18" a="1"/>
  <c r="CA30" i="18"/>
  <c r="DA38" i="8"/>
  <c r="CA31" i="18" a="1"/>
  <c r="CA31" i="18"/>
  <c r="DA39" i="8"/>
  <c r="CA32" i="18" a="1"/>
  <c r="CA32" i="18"/>
  <c r="DA40" i="8"/>
  <c r="CA33" i="18" a="1"/>
  <c r="CA33" i="18"/>
  <c r="DA41" i="8"/>
  <c r="CA34" i="18" a="1"/>
  <c r="CA34" i="18"/>
  <c r="DA42" i="8"/>
  <c r="CA35" i="18" a="1"/>
  <c r="CA35" i="18"/>
  <c r="DA43" i="8"/>
  <c r="CA36" i="18" a="1"/>
  <c r="CA36" i="18"/>
  <c r="DA44" i="8"/>
  <c r="CA37" i="18" a="1"/>
  <c r="CA37" i="18"/>
  <c r="DA45" i="8"/>
  <c r="CA38" i="18" a="1"/>
  <c r="CA38" i="18"/>
  <c r="DA46" i="8"/>
  <c r="CA39" i="18" a="1"/>
  <c r="CA39" i="18"/>
  <c r="DA47" i="8"/>
  <c r="CA40" i="18" a="1"/>
  <c r="CA40" i="18"/>
  <c r="DA48" i="8"/>
  <c r="CA41" i="18" a="1"/>
  <c r="CA41" i="18"/>
  <c r="DA49" i="8"/>
  <c r="CA42" i="18" a="1"/>
  <c r="CA42" i="18"/>
  <c r="DA50" i="8"/>
  <c r="CA43" i="18" a="1"/>
  <c r="CA43" i="18"/>
  <c r="DA51" i="8"/>
  <c r="CA44" i="18" a="1"/>
  <c r="CA44" i="18"/>
  <c r="DA52" i="8"/>
  <c r="CA45" i="18" a="1"/>
  <c r="CA45" i="18"/>
  <c r="DA53" i="8"/>
  <c r="CA46" i="18" a="1"/>
  <c r="CA46" i="18"/>
  <c r="DA54" i="8"/>
  <c r="CA47" i="18" a="1"/>
  <c r="CA47" i="18"/>
  <c r="DA55" i="8"/>
  <c r="CA48" i="18" a="1"/>
  <c r="CA48" i="18"/>
  <c r="DA56" i="8"/>
  <c r="CA49" i="18" a="1"/>
  <c r="CA49" i="18"/>
  <c r="DA57" i="8"/>
  <c r="CA50" i="18" a="1"/>
  <c r="CA50" i="18"/>
  <c r="DA58" i="8"/>
  <c r="CA51" i="18" a="1"/>
  <c r="CA51" i="18"/>
  <c r="DA59" i="8"/>
  <c r="CA52" i="18" a="1"/>
  <c r="CA52" i="18"/>
  <c r="DA60" i="8"/>
  <c r="CA53" i="18" a="1"/>
  <c r="CA53" i="18"/>
  <c r="DA61" i="8"/>
  <c r="CA54" i="18" a="1"/>
  <c r="CA54" i="18"/>
  <c r="DA62" i="8"/>
  <c r="CA55" i="18" a="1"/>
  <c r="CA55" i="18"/>
  <c r="DA63" i="8"/>
  <c r="CA56" i="18" a="1"/>
  <c r="CA56" i="18"/>
  <c r="DA64" i="8"/>
  <c r="CA57" i="18" a="1"/>
  <c r="CA57" i="18"/>
  <c r="DA65" i="8"/>
  <c r="CA58" i="18" a="1"/>
  <c r="CA58" i="18"/>
  <c r="DA66" i="8"/>
  <c r="CA59" i="18" a="1"/>
  <c r="CA59" i="18"/>
  <c r="DA67" i="8"/>
  <c r="CA60" i="18" a="1"/>
  <c r="CA60" i="18"/>
  <c r="DA68" i="8"/>
  <c r="CA61" i="18" a="1"/>
  <c r="CA61" i="18"/>
  <c r="DA69" i="8"/>
  <c r="CA62" i="18" a="1"/>
  <c r="CA62" i="18"/>
  <c r="DA70" i="8"/>
  <c r="CA63" i="18" a="1"/>
  <c r="CA63" i="18"/>
  <c r="DA71" i="8"/>
  <c r="CA64" i="18" a="1"/>
  <c r="CA64" i="18"/>
  <c r="DA72" i="8"/>
  <c r="CA65" i="18" a="1"/>
  <c r="CA65" i="18"/>
  <c r="DA73" i="8"/>
  <c r="CA66" i="18" a="1"/>
  <c r="CA66" i="18"/>
  <c r="DA74" i="8"/>
  <c r="CA67" i="18" a="1"/>
  <c r="CA67" i="18"/>
  <c r="DA75" i="8"/>
  <c r="CA68" i="18" a="1"/>
  <c r="CA68" i="18"/>
  <c r="DA76" i="8"/>
  <c r="CA69" i="18" a="1"/>
  <c r="CA69" i="18"/>
  <c r="DA77" i="8"/>
  <c r="CA70" i="18" a="1"/>
  <c r="CA70" i="18"/>
  <c r="DA78" i="8"/>
  <c r="CA71" i="18" a="1"/>
  <c r="CA71" i="18"/>
  <c r="DA79" i="8"/>
  <c r="CA72" i="18" a="1"/>
  <c r="CA72" i="18"/>
  <c r="DA80" i="8"/>
  <c r="CA73" i="18" a="1"/>
  <c r="CA73" i="18"/>
  <c r="DA81" i="8"/>
  <c r="CA74" i="18" a="1"/>
  <c r="CA74" i="18"/>
  <c r="DA82" i="8"/>
  <c r="CA75" i="18" a="1"/>
  <c r="CA75" i="18"/>
  <c r="DA83" i="8"/>
  <c r="CA76" i="18" a="1"/>
  <c r="CA76" i="18"/>
  <c r="DA84" i="8"/>
  <c r="CA77" i="18" a="1"/>
  <c r="CA77" i="18"/>
  <c r="DA85" i="8"/>
  <c r="CA78" i="18" a="1"/>
  <c r="CA78" i="18"/>
  <c r="DA86" i="8"/>
  <c r="CA79" i="18" a="1"/>
  <c r="CA79" i="18"/>
  <c r="DA87" i="8"/>
  <c r="CA80" i="18" a="1"/>
  <c r="CA80" i="18"/>
  <c r="DA88" i="8"/>
  <c r="CA81" i="18" a="1"/>
  <c r="CA81" i="18"/>
  <c r="DA89" i="8"/>
  <c r="CA82" i="18" a="1"/>
  <c r="CA82" i="18"/>
  <c r="DA90" i="8"/>
  <c r="CA83" i="18" a="1"/>
  <c r="CA83" i="18"/>
  <c r="DA91" i="8"/>
  <c r="CA84" i="18" a="1"/>
  <c r="CA84" i="18"/>
  <c r="DA92" i="8"/>
  <c r="CA85" i="18" a="1"/>
  <c r="CA85" i="18"/>
  <c r="DA93" i="8"/>
  <c r="CA86" i="18" a="1"/>
  <c r="CA86" i="18"/>
  <c r="DA94" i="8"/>
  <c r="CA87" i="18" a="1"/>
  <c r="CA87" i="18"/>
  <c r="DA95" i="8"/>
  <c r="CA88" i="18" a="1"/>
  <c r="CA88" i="18"/>
  <c r="DA96" i="8"/>
  <c r="CA89" i="18" a="1"/>
  <c r="CA89" i="18"/>
  <c r="DA97" i="8"/>
  <c r="CA90" i="18" a="1"/>
  <c r="CA90" i="18"/>
  <c r="DA98" i="8"/>
  <c r="CA91" i="18" a="1"/>
  <c r="CA91" i="18"/>
  <c r="DA99" i="8"/>
  <c r="CA92" i="18" a="1"/>
  <c r="CA92" i="18"/>
  <c r="DA100" i="8"/>
  <c r="CA93" i="18" a="1"/>
  <c r="CA93" i="18"/>
  <c r="DA101" i="8"/>
  <c r="CA94" i="18" a="1"/>
  <c r="CA94" i="18"/>
  <c r="DA102" i="8"/>
  <c r="CA95" i="18" a="1"/>
  <c r="CA95" i="18"/>
  <c r="DA103" i="8"/>
  <c r="CA96" i="18" a="1"/>
  <c r="CA96" i="18"/>
  <c r="DA104" i="8"/>
  <c r="CA97" i="18" a="1"/>
  <c r="CA97" i="18"/>
  <c r="DA105" i="8"/>
  <c r="CA98" i="18" a="1"/>
  <c r="CA98" i="18"/>
  <c r="DA106" i="8"/>
  <c r="CA99" i="18" a="1"/>
  <c r="CA99" i="18"/>
  <c r="DA107" i="8"/>
  <c r="CA100" i="18" a="1"/>
  <c r="CA100" i="18"/>
  <c r="DA108" i="8"/>
  <c r="CA101" i="18" a="1"/>
  <c r="CA101" i="18"/>
  <c r="DA109" i="8"/>
  <c r="CA102" i="18" a="1"/>
  <c r="CA102" i="18"/>
  <c r="DA110" i="8"/>
  <c r="CA103" i="18" a="1"/>
  <c r="CA103" i="18"/>
  <c r="DA111" i="8"/>
  <c r="CA104" i="18" a="1"/>
  <c r="CA104" i="18"/>
  <c r="DA112" i="8"/>
  <c r="CA105" i="18" a="1"/>
  <c r="CA105" i="18"/>
  <c r="DA113" i="8"/>
  <c r="CA106" i="18" a="1"/>
  <c r="CA106" i="18"/>
  <c r="DA114" i="8"/>
  <c r="CA107" i="18" a="1"/>
  <c r="CA107" i="18"/>
  <c r="DA115" i="8"/>
  <c r="CA108" i="18" a="1"/>
  <c r="CA108" i="18"/>
  <c r="DA116" i="8"/>
  <c r="CA109" i="18" a="1"/>
  <c r="CA109" i="18"/>
  <c r="DA117" i="8"/>
  <c r="CA110" i="18" a="1"/>
  <c r="CA110" i="18"/>
  <c r="DA118" i="8"/>
  <c r="CA111" i="18" a="1"/>
  <c r="CA111" i="18"/>
  <c r="DA119" i="8"/>
  <c r="CA112" i="18" a="1"/>
  <c r="CA112" i="18"/>
  <c r="DA120" i="8"/>
  <c r="CA113" i="18" a="1"/>
  <c r="CA113" i="18"/>
  <c r="DA121" i="8"/>
  <c r="CA114" i="18" a="1"/>
  <c r="CA114" i="18"/>
  <c r="DA122" i="8"/>
  <c r="CA115" i="18" a="1"/>
  <c r="CA115" i="18"/>
  <c r="DA123" i="8"/>
  <c r="CA116" i="18" a="1"/>
  <c r="CA116" i="18"/>
  <c r="DA124" i="8"/>
  <c r="CA117" i="18" a="1"/>
  <c r="CA117" i="18"/>
  <c r="DA125" i="8"/>
  <c r="CA118" i="18" a="1"/>
  <c r="CA118" i="18"/>
  <c r="DA126" i="8"/>
  <c r="CA119" i="18" a="1"/>
  <c r="CA119" i="18"/>
  <c r="DA127" i="8"/>
  <c r="CA120" i="18" a="1"/>
  <c r="CA120" i="18"/>
  <c r="DA128" i="8"/>
  <c r="CA121" i="18" a="1"/>
  <c r="CA121" i="18"/>
  <c r="DA129" i="8"/>
  <c r="CA122" i="18" a="1"/>
  <c r="CA122" i="18"/>
  <c r="DA130" i="8"/>
  <c r="CA123" i="18" a="1"/>
  <c r="CA123" i="18"/>
  <c r="DA131" i="8"/>
  <c r="CA124" i="18" a="1"/>
  <c r="CA124" i="18"/>
  <c r="DA132" i="8"/>
  <c r="CA125" i="18" a="1"/>
  <c r="CA125" i="18"/>
  <c r="DA133" i="8"/>
  <c r="CA126" i="18" a="1"/>
  <c r="CA126" i="18"/>
  <c r="DA134" i="8"/>
  <c r="CA127" i="18" a="1"/>
  <c r="CA127" i="18"/>
  <c r="DA135" i="8"/>
  <c r="CA128" i="18" a="1"/>
  <c r="CA128" i="18"/>
  <c r="DA136" i="8"/>
  <c r="CA129" i="18" a="1"/>
  <c r="CA129" i="18"/>
  <c r="DA137" i="8"/>
  <c r="CA130" i="18" a="1"/>
  <c r="CA130" i="18"/>
  <c r="DA138" i="8"/>
  <c r="CA131" i="18" a="1"/>
  <c r="CA131" i="18"/>
  <c r="DA139" i="8"/>
  <c r="CA132" i="18" a="1"/>
  <c r="CA132" i="18"/>
  <c r="DA140" i="8"/>
  <c r="CA133" i="18" a="1"/>
  <c r="CA133" i="18"/>
  <c r="DA141" i="8"/>
  <c r="CA134" i="18" a="1"/>
  <c r="CA134" i="18"/>
  <c r="DA142" i="8"/>
  <c r="CA135" i="18" a="1"/>
  <c r="CA135" i="18"/>
  <c r="DA143" i="8"/>
  <c r="CA136" i="18" a="1"/>
  <c r="CA136" i="18"/>
  <c r="DA144" i="8"/>
  <c r="CA137" i="18" a="1"/>
  <c r="CA137" i="18"/>
  <c r="DA145" i="8"/>
  <c r="CA138" i="18" a="1"/>
  <c r="CA138" i="18"/>
  <c r="DA11" i="8"/>
  <c r="CA4" i="18" a="1"/>
  <c r="CA4" i="18"/>
  <c r="E65" i="6"/>
  <c r="CZ14" i="8"/>
  <c r="BZ7" i="18" a="1"/>
  <c r="BZ7" i="18"/>
  <c r="CZ17" i="8"/>
  <c r="BZ10" i="18" a="1"/>
  <c r="BZ10" i="18"/>
  <c r="CZ20" i="8"/>
  <c r="BZ13" i="18" a="1"/>
  <c r="BZ13" i="18"/>
  <c r="CZ23" i="8"/>
  <c r="BZ16" i="18" a="1"/>
  <c r="BZ16" i="18"/>
  <c r="CZ26" i="8"/>
  <c r="BZ19" i="18" a="1"/>
  <c r="BZ19" i="18"/>
  <c r="CZ29" i="8"/>
  <c r="BZ22" i="18" a="1"/>
  <c r="BZ22" i="18"/>
  <c r="CZ32" i="8"/>
  <c r="BZ25" i="18" a="1"/>
  <c r="BZ25" i="18"/>
  <c r="CZ35" i="8"/>
  <c r="BZ28" i="18" a="1"/>
  <c r="BZ28" i="18"/>
  <c r="CZ38" i="8"/>
  <c r="BZ31" i="18" a="1"/>
  <c r="BZ31" i="18"/>
  <c r="CZ41" i="8"/>
  <c r="BZ34" i="18" a="1"/>
  <c r="BZ34" i="18"/>
  <c r="CZ44" i="8"/>
  <c r="BZ37" i="18" a="1"/>
  <c r="BZ37" i="18"/>
  <c r="CZ47" i="8"/>
  <c r="BZ40" i="18" a="1"/>
  <c r="BZ40" i="18"/>
  <c r="CZ50" i="8"/>
  <c r="BZ43" i="18" a="1"/>
  <c r="BZ43" i="18"/>
  <c r="CZ53" i="8"/>
  <c r="BZ46" i="18" a="1"/>
  <c r="BZ46" i="18"/>
  <c r="CZ56" i="8"/>
  <c r="BZ49" i="18" a="1"/>
  <c r="BZ49" i="18"/>
  <c r="CZ59" i="8"/>
  <c r="BZ52" i="18" a="1"/>
  <c r="BZ52" i="18"/>
  <c r="CZ62" i="8"/>
  <c r="BZ55" i="18" a="1"/>
  <c r="BZ55" i="18"/>
  <c r="CZ65" i="8"/>
  <c r="BZ58" i="18" a="1"/>
  <c r="BZ58" i="18"/>
  <c r="CZ68" i="8"/>
  <c r="BZ61" i="18" a="1"/>
  <c r="BZ61" i="18"/>
  <c r="CZ71" i="8"/>
  <c r="BZ64" i="18" a="1"/>
  <c r="BZ64" i="18"/>
  <c r="CZ74" i="8"/>
  <c r="BZ67" i="18" a="1"/>
  <c r="BZ67" i="18"/>
  <c r="CZ77" i="8"/>
  <c r="BZ70" i="18" a="1"/>
  <c r="BZ70" i="18"/>
  <c r="CZ80" i="8"/>
  <c r="BZ73" i="18" a="1"/>
  <c r="BZ73" i="18"/>
  <c r="CZ83" i="8"/>
  <c r="BZ76" i="18" a="1"/>
  <c r="BZ76" i="18"/>
  <c r="CZ86" i="8"/>
  <c r="BZ79" i="18" a="1"/>
  <c r="BZ79" i="18"/>
  <c r="CZ89" i="8"/>
  <c r="BZ82" i="18" a="1"/>
  <c r="BZ82" i="18"/>
  <c r="CZ92" i="8"/>
  <c r="BZ85" i="18" a="1"/>
  <c r="BZ85" i="18"/>
  <c r="CZ95" i="8"/>
  <c r="BZ88" i="18" a="1"/>
  <c r="BZ88" i="18"/>
  <c r="CZ98" i="8"/>
  <c r="BZ91" i="18" a="1"/>
  <c r="BZ91" i="18"/>
  <c r="CZ101" i="8"/>
  <c r="BZ94" i="18" a="1"/>
  <c r="BZ94" i="18"/>
  <c r="CZ104" i="8"/>
  <c r="BZ97" i="18" a="1"/>
  <c r="BZ97" i="18"/>
  <c r="CZ107" i="8"/>
  <c r="BZ100" i="18" a="1"/>
  <c r="BZ100" i="18"/>
  <c r="CZ110" i="8"/>
  <c r="BZ103" i="18" a="1"/>
  <c r="BZ103" i="18"/>
  <c r="CZ113" i="8"/>
  <c r="BZ106" i="18" a="1"/>
  <c r="BZ106" i="18"/>
  <c r="CZ116" i="8"/>
  <c r="BZ109" i="18" a="1"/>
  <c r="BZ109" i="18"/>
  <c r="CZ119" i="8"/>
  <c r="BZ112" i="18" a="1"/>
  <c r="BZ112" i="18"/>
  <c r="CZ122" i="8"/>
  <c r="BZ115" i="18" a="1"/>
  <c r="BZ115" i="18"/>
  <c r="CZ125" i="8"/>
  <c r="BZ118" i="18" a="1"/>
  <c r="BZ118" i="18"/>
  <c r="CZ128" i="8"/>
  <c r="BZ121" i="18" a="1"/>
  <c r="BZ121" i="18"/>
  <c r="CZ131" i="8"/>
  <c r="BZ124" i="18" a="1"/>
  <c r="BZ124" i="18"/>
  <c r="CZ134" i="8"/>
  <c r="BZ127" i="18" a="1"/>
  <c r="BZ127" i="18"/>
  <c r="CZ137" i="8"/>
  <c r="BZ130" i="18" a="1"/>
  <c r="BZ130" i="18"/>
  <c r="CZ140" i="8"/>
  <c r="BZ133" i="18" a="1"/>
  <c r="BZ133" i="18"/>
  <c r="CZ143" i="8"/>
  <c r="BZ136" i="18" a="1"/>
  <c r="BZ136" i="18"/>
  <c r="CZ11" i="8"/>
  <c r="BZ4" i="18" a="1"/>
  <c r="BZ4" i="18"/>
  <c r="G160" i="10"/>
  <c r="G161" i="10"/>
  <c r="G162" i="10"/>
  <c r="G159" i="10"/>
  <c r="D98" i="10"/>
  <c r="CI21" i="1"/>
  <c r="D97" i="10"/>
  <c r="GA21" i="1"/>
  <c r="D96" i="10"/>
  <c r="FW21" i="1"/>
  <c r="ER12" i="8"/>
  <c r="ER13" i="8"/>
  <c r="CL6" i="18" a="1"/>
  <c r="CL6" i="18"/>
  <c r="ER14" i="8"/>
  <c r="CL7" i="18" a="1"/>
  <c r="CL7" i="18"/>
  <c r="ER15" i="8"/>
  <c r="CL8" i="18" a="1"/>
  <c r="CL8" i="18"/>
  <c r="ER16" i="8"/>
  <c r="CL9" i="18" a="1"/>
  <c r="CL9" i="18"/>
  <c r="ER17" i="8"/>
  <c r="CL10" i="18" a="1"/>
  <c r="CL10" i="18"/>
  <c r="ER18" i="8"/>
  <c r="CL11" i="18" a="1"/>
  <c r="CL11" i="18"/>
  <c r="ER19" i="8"/>
  <c r="CL12" i="18" a="1"/>
  <c r="CL12" i="18"/>
  <c r="ER20" i="8"/>
  <c r="CL13" i="18" a="1"/>
  <c r="CL13" i="18"/>
  <c r="ER21" i="8"/>
  <c r="CL14" i="18" a="1"/>
  <c r="CL14" i="18"/>
  <c r="ER22" i="8"/>
  <c r="CL15" i="18" a="1"/>
  <c r="CL15" i="18"/>
  <c r="ER23" i="8"/>
  <c r="CL16" i="18" a="1"/>
  <c r="CL16" i="18"/>
  <c r="ER24" i="8"/>
  <c r="CL17" i="18" a="1"/>
  <c r="CL17" i="18"/>
  <c r="ER25" i="8"/>
  <c r="CL18" i="18" a="1"/>
  <c r="CL18" i="18"/>
  <c r="ER26" i="8"/>
  <c r="CL19" i="18" a="1"/>
  <c r="CL19" i="18"/>
  <c r="ER27" i="8"/>
  <c r="CL20" i="18" a="1"/>
  <c r="CL20" i="18"/>
  <c r="ER28" i="8"/>
  <c r="CL21" i="18" a="1"/>
  <c r="CL21" i="18"/>
  <c r="ER29" i="8"/>
  <c r="CL22" i="18" a="1"/>
  <c r="CL22" i="18"/>
  <c r="ER30" i="8"/>
  <c r="CL23" i="18" a="1"/>
  <c r="CL23" i="18"/>
  <c r="ER31" i="8"/>
  <c r="CL24" i="18" a="1"/>
  <c r="CL24" i="18"/>
  <c r="ER32" i="8"/>
  <c r="CL25" i="18" a="1"/>
  <c r="CL25" i="18"/>
  <c r="ER33" i="8"/>
  <c r="CL26" i="18" a="1"/>
  <c r="CL26" i="18"/>
  <c r="ER34" i="8"/>
  <c r="CL27" i="18" a="1"/>
  <c r="CL27" i="18"/>
  <c r="ER35" i="8"/>
  <c r="CL28" i="18" a="1"/>
  <c r="CL28" i="18"/>
  <c r="ER36" i="8"/>
  <c r="CL29" i="18" a="1"/>
  <c r="CL29" i="18"/>
  <c r="ER37" i="8"/>
  <c r="CL30" i="18" a="1"/>
  <c r="CL30" i="18"/>
  <c r="ER38" i="8"/>
  <c r="CL31" i="18" a="1"/>
  <c r="CL31" i="18"/>
  <c r="ER39" i="8"/>
  <c r="CL32" i="18" a="1"/>
  <c r="CL32" i="18"/>
  <c r="ER40" i="8"/>
  <c r="CL33" i="18" a="1"/>
  <c r="CL33" i="18"/>
  <c r="ER41" i="8"/>
  <c r="CL34" i="18" a="1"/>
  <c r="CL34" i="18"/>
  <c r="ER42" i="8"/>
  <c r="CL35" i="18" a="1"/>
  <c r="CL35" i="18"/>
  <c r="ER43" i="8"/>
  <c r="CL36" i="18" a="1"/>
  <c r="CL36" i="18"/>
  <c r="ER44" i="8"/>
  <c r="CL37" i="18" a="1"/>
  <c r="CL37" i="18"/>
  <c r="ER45" i="8"/>
  <c r="CL38" i="18" a="1"/>
  <c r="CL38" i="18"/>
  <c r="ER46" i="8"/>
  <c r="CL39" i="18" a="1"/>
  <c r="CL39" i="18"/>
  <c r="ER47" i="8"/>
  <c r="CL40" i="18" a="1"/>
  <c r="CL40" i="18"/>
  <c r="ER48" i="8"/>
  <c r="CL41" i="18" a="1"/>
  <c r="CL41" i="18"/>
  <c r="ER49" i="8"/>
  <c r="CL42" i="18" a="1"/>
  <c r="CL42" i="18"/>
  <c r="ER50" i="8"/>
  <c r="CL43" i="18" a="1"/>
  <c r="CL43" i="18"/>
  <c r="ER51" i="8"/>
  <c r="CL44" i="18" a="1"/>
  <c r="CL44" i="18"/>
  <c r="ER52" i="8"/>
  <c r="CL45" i="18" a="1"/>
  <c r="CL45" i="18"/>
  <c r="ER53" i="8"/>
  <c r="CL46" i="18" a="1"/>
  <c r="CL46" i="18"/>
  <c r="ER54" i="8"/>
  <c r="CL47" i="18" a="1"/>
  <c r="CL47" i="18"/>
  <c r="ER55" i="8"/>
  <c r="CL48" i="18" a="1"/>
  <c r="CL48" i="18"/>
  <c r="ER56" i="8"/>
  <c r="CL49" i="18" a="1"/>
  <c r="CL49" i="18"/>
  <c r="ER57" i="8"/>
  <c r="CL50" i="18" a="1"/>
  <c r="CL50" i="18"/>
  <c r="ER58" i="8"/>
  <c r="CL51" i="18" a="1"/>
  <c r="CL51" i="18"/>
  <c r="ER59" i="8"/>
  <c r="CL52" i="18" a="1"/>
  <c r="CL52" i="18"/>
  <c r="ER60" i="8"/>
  <c r="CL53" i="18" a="1"/>
  <c r="CL53" i="18"/>
  <c r="ER61" i="8"/>
  <c r="CL54" i="18" a="1"/>
  <c r="CL54" i="18"/>
  <c r="ER62" i="8"/>
  <c r="CL55" i="18" a="1"/>
  <c r="CL55" i="18"/>
  <c r="ER63" i="8"/>
  <c r="CL56" i="18" a="1"/>
  <c r="CL56" i="18"/>
  <c r="ER64" i="8"/>
  <c r="CL57" i="18" a="1"/>
  <c r="CL57" i="18"/>
  <c r="ER65" i="8"/>
  <c r="CL58" i="18" a="1"/>
  <c r="CL58" i="18"/>
  <c r="ER66" i="8"/>
  <c r="CL59" i="18" a="1"/>
  <c r="CL59" i="18"/>
  <c r="ER67" i="8"/>
  <c r="CL60" i="18" a="1"/>
  <c r="CL60" i="18"/>
  <c r="ER68" i="8"/>
  <c r="CL61" i="18" a="1"/>
  <c r="CL61" i="18"/>
  <c r="ER69" i="8"/>
  <c r="CL62" i="18" a="1"/>
  <c r="CL62" i="18"/>
  <c r="ER70" i="8"/>
  <c r="CL63" i="18" a="1"/>
  <c r="CL63" i="18"/>
  <c r="ER71" i="8"/>
  <c r="CL64" i="18" a="1"/>
  <c r="CL64" i="18"/>
  <c r="ER72" i="8"/>
  <c r="CL65" i="18" a="1"/>
  <c r="CL65" i="18"/>
  <c r="ER73" i="8"/>
  <c r="CL66" i="18" a="1"/>
  <c r="CL66" i="18"/>
  <c r="ER74" i="8"/>
  <c r="CL67" i="18" a="1"/>
  <c r="CL67" i="18"/>
  <c r="ER75" i="8"/>
  <c r="CL68" i="18" a="1"/>
  <c r="CL68" i="18"/>
  <c r="ER76" i="8"/>
  <c r="CL69" i="18" a="1"/>
  <c r="CL69" i="18"/>
  <c r="ER77" i="8"/>
  <c r="CL70" i="18" a="1"/>
  <c r="CL70" i="18"/>
  <c r="ER78" i="8"/>
  <c r="CL71" i="18" a="1"/>
  <c r="CL71" i="18"/>
  <c r="ER79" i="8"/>
  <c r="CL72" i="18" a="1"/>
  <c r="CL72" i="18"/>
  <c r="ER80" i="8"/>
  <c r="CL73" i="18" a="1"/>
  <c r="CL73" i="18"/>
  <c r="ER81" i="8"/>
  <c r="CL74" i="18" a="1"/>
  <c r="CL74" i="18"/>
  <c r="ER82" i="8"/>
  <c r="CL75" i="18" a="1"/>
  <c r="CL75" i="18"/>
  <c r="ER83" i="8"/>
  <c r="CL76" i="18" a="1"/>
  <c r="CL76" i="18"/>
  <c r="ER84" i="8"/>
  <c r="CL77" i="18" a="1"/>
  <c r="CL77" i="18"/>
  <c r="ER85" i="8"/>
  <c r="CL78" i="18" a="1"/>
  <c r="CL78" i="18"/>
  <c r="ER86" i="8"/>
  <c r="CL79" i="18" a="1"/>
  <c r="CL79" i="18"/>
  <c r="ER87" i="8"/>
  <c r="CL80" i="18" a="1"/>
  <c r="CL80" i="18"/>
  <c r="ER88" i="8"/>
  <c r="CL81" i="18" a="1"/>
  <c r="CL81" i="18"/>
  <c r="ER89" i="8"/>
  <c r="CL82" i="18" a="1"/>
  <c r="CL82" i="18"/>
  <c r="ER90" i="8"/>
  <c r="CL83" i="18" a="1"/>
  <c r="CL83" i="18"/>
  <c r="ER91" i="8"/>
  <c r="CL84" i="18" a="1"/>
  <c r="CL84" i="18"/>
  <c r="ER92" i="8"/>
  <c r="CL85" i="18" a="1"/>
  <c r="CL85" i="18"/>
  <c r="ER93" i="8"/>
  <c r="CL86" i="18" a="1"/>
  <c r="CL86" i="18"/>
  <c r="ER94" i="8"/>
  <c r="CL87" i="18" a="1"/>
  <c r="CL87" i="18"/>
  <c r="ER95" i="8"/>
  <c r="CL88" i="18" a="1"/>
  <c r="CL88" i="18"/>
  <c r="ER96" i="8"/>
  <c r="CL89" i="18" a="1"/>
  <c r="CL89" i="18"/>
  <c r="ER97" i="8"/>
  <c r="CL90" i="18" a="1"/>
  <c r="CL90" i="18"/>
  <c r="ER98" i="8"/>
  <c r="CL91" i="18" a="1"/>
  <c r="CL91" i="18"/>
  <c r="ER99" i="8"/>
  <c r="CL92" i="18" a="1"/>
  <c r="CL92" i="18"/>
  <c r="ER100" i="8"/>
  <c r="CL93" i="18" a="1"/>
  <c r="CL93" i="18"/>
  <c r="ER101" i="8"/>
  <c r="CL94" i="18" a="1"/>
  <c r="CL94" i="18"/>
  <c r="ER102" i="8"/>
  <c r="CL95" i="18" a="1"/>
  <c r="CL95" i="18"/>
  <c r="ER103" i="8"/>
  <c r="CL96" i="18" a="1"/>
  <c r="CL96" i="18"/>
  <c r="ER104" i="8"/>
  <c r="CL97" i="18" a="1"/>
  <c r="CL97" i="18"/>
  <c r="ER105" i="8"/>
  <c r="CL98" i="18" a="1"/>
  <c r="CL98" i="18"/>
  <c r="ER106" i="8"/>
  <c r="CL99" i="18" a="1"/>
  <c r="CL99" i="18"/>
  <c r="ER107" i="8"/>
  <c r="CL100" i="18" a="1"/>
  <c r="CL100" i="18"/>
  <c r="ER108" i="8"/>
  <c r="CL101" i="18" a="1"/>
  <c r="CL101" i="18"/>
  <c r="ER109" i="8"/>
  <c r="CL102" i="18" a="1"/>
  <c r="CL102" i="18"/>
  <c r="ER110" i="8"/>
  <c r="CL103" i="18" a="1"/>
  <c r="CL103" i="18"/>
  <c r="ER111" i="8"/>
  <c r="CL104" i="18" a="1"/>
  <c r="CL104" i="18"/>
  <c r="ER112" i="8"/>
  <c r="CL105" i="18" a="1"/>
  <c r="CL105" i="18"/>
  <c r="ER113" i="8"/>
  <c r="CL106" i="18" a="1"/>
  <c r="CL106" i="18"/>
  <c r="ER114" i="8"/>
  <c r="CL107" i="18" a="1"/>
  <c r="CL107" i="18"/>
  <c r="ER115" i="8"/>
  <c r="CL108" i="18" a="1"/>
  <c r="CL108" i="18"/>
  <c r="ER116" i="8"/>
  <c r="CL109" i="18" a="1"/>
  <c r="CL109" i="18"/>
  <c r="ER117" i="8"/>
  <c r="CL110" i="18" a="1"/>
  <c r="CL110" i="18"/>
  <c r="ER118" i="8"/>
  <c r="CL111" i="18" a="1"/>
  <c r="CL111" i="18"/>
  <c r="ER119" i="8"/>
  <c r="CL112" i="18" a="1"/>
  <c r="CL112" i="18"/>
  <c r="ER120" i="8"/>
  <c r="CL113" i="18" a="1"/>
  <c r="CL113" i="18"/>
  <c r="ER121" i="8"/>
  <c r="CL114" i="18" a="1"/>
  <c r="CL114" i="18"/>
  <c r="ER122" i="8"/>
  <c r="CL115" i="18" a="1"/>
  <c r="CL115" i="18"/>
  <c r="ER123" i="8"/>
  <c r="CL116" i="18" a="1"/>
  <c r="CL116" i="18"/>
  <c r="ER124" i="8"/>
  <c r="CL117" i="18" a="1"/>
  <c r="CL117" i="18"/>
  <c r="ER125" i="8"/>
  <c r="CL118" i="18" a="1"/>
  <c r="CL118" i="18"/>
  <c r="ER126" i="8"/>
  <c r="CL119" i="18" a="1"/>
  <c r="CL119" i="18"/>
  <c r="ER127" i="8"/>
  <c r="CL120" i="18" a="1"/>
  <c r="CL120" i="18"/>
  <c r="ER128" i="8"/>
  <c r="CL121" i="18" a="1"/>
  <c r="CL121" i="18"/>
  <c r="ER129" i="8"/>
  <c r="CL122" i="18" a="1"/>
  <c r="CL122" i="18"/>
  <c r="ER130" i="8"/>
  <c r="CL123" i="18" a="1"/>
  <c r="CL123" i="18"/>
  <c r="ER131" i="8"/>
  <c r="ER132" i="8"/>
  <c r="ER133" i="8"/>
  <c r="ER134" i="8"/>
  <c r="ER135" i="8"/>
  <c r="ER136" i="8"/>
  <c r="ER137" i="8"/>
  <c r="ER138" i="8"/>
  <c r="ER139" i="8"/>
  <c r="ER140" i="8"/>
  <c r="ER141" i="8"/>
  <c r="ER142" i="8"/>
  <c r="ER143" i="8"/>
  <c r="ER144" i="8"/>
  <c r="ER145" i="8"/>
  <c r="ER11" i="8"/>
  <c r="CL4" i="18" a="1"/>
  <c r="CL4" i="18"/>
  <c r="D95" i="10"/>
  <c r="CE21" i="1"/>
  <c r="D94" i="10"/>
  <c r="CA21" i="1"/>
  <c r="D93" i="10"/>
  <c r="BW21" i="1"/>
  <c r="D92" i="10"/>
  <c r="D91" i="10"/>
  <c r="EU21" i="1"/>
  <c r="F34" i="2"/>
  <c r="G34" i="2"/>
  <c r="E34" i="2"/>
  <c r="F8" i="11"/>
  <c r="G8" i="11"/>
  <c r="E8" i="11"/>
  <c r="AR15" i="8"/>
  <c r="AR12" i="8"/>
  <c r="AR13" i="8"/>
  <c r="AR14" i="8"/>
  <c r="AR16" i="8"/>
  <c r="AR17" i="8"/>
  <c r="AR18" i="8"/>
  <c r="AR20" i="8"/>
  <c r="AR21" i="8"/>
  <c r="AR22" i="8"/>
  <c r="AR24" i="8"/>
  <c r="AR25" i="8"/>
  <c r="AR26" i="8"/>
  <c r="AR27" i="8"/>
  <c r="AR28" i="8"/>
  <c r="AR29" i="8"/>
  <c r="AR30" i="8"/>
  <c r="AR31" i="8"/>
  <c r="AR32" i="8"/>
  <c r="AR33" i="8"/>
  <c r="AR34" i="8"/>
  <c r="AR35" i="8"/>
  <c r="AR36" i="8"/>
  <c r="AR37" i="8"/>
  <c r="AR38" i="8"/>
  <c r="AR39" i="8"/>
  <c r="AR40" i="8"/>
  <c r="AR41" i="8"/>
  <c r="AR42" i="8"/>
  <c r="AR43" i="8"/>
  <c r="AR44" i="8"/>
  <c r="AR45" i="8"/>
  <c r="AR46" i="8"/>
  <c r="AR47" i="8"/>
  <c r="AR48" i="8"/>
  <c r="AR49" i="8"/>
  <c r="AR50" i="8"/>
  <c r="AR51" i="8"/>
  <c r="AR52" i="8"/>
  <c r="AR53" i="8"/>
  <c r="AR54" i="8"/>
  <c r="AR55" i="8"/>
  <c r="AR56" i="8"/>
  <c r="AR57" i="8"/>
  <c r="AR58" i="8"/>
  <c r="AR60" i="8"/>
  <c r="AR61" i="8"/>
  <c r="AR62" i="8"/>
  <c r="AR64" i="8"/>
  <c r="AR65" i="8"/>
  <c r="AR66" i="8"/>
  <c r="AR68" i="8"/>
  <c r="AR69" i="8"/>
  <c r="AR70" i="8"/>
  <c r="AR71" i="8"/>
  <c r="AR72" i="8"/>
  <c r="AR73" i="8"/>
  <c r="AR74" i="8"/>
  <c r="AR75" i="8"/>
  <c r="AR76" i="8"/>
  <c r="AR77" i="8"/>
  <c r="AR78" i="8"/>
  <c r="AR79" i="8"/>
  <c r="AR80" i="8"/>
  <c r="AR81" i="8"/>
  <c r="AR82" i="8"/>
  <c r="AR83" i="8"/>
  <c r="AR84" i="8"/>
  <c r="AR85" i="8"/>
  <c r="AR86" i="8"/>
  <c r="AR87" i="8"/>
  <c r="AR88" i="8"/>
  <c r="AR89" i="8"/>
  <c r="AR90" i="8"/>
  <c r="AR91" i="8"/>
  <c r="AR92" i="8"/>
  <c r="AR93" i="8"/>
  <c r="AR94" i="8"/>
  <c r="AR95" i="8"/>
  <c r="AR96" i="8"/>
  <c r="AR97" i="8"/>
  <c r="AR98" i="8"/>
  <c r="AR99" i="8"/>
  <c r="AR100" i="8"/>
  <c r="AR101" i="8"/>
  <c r="AR102" i="8"/>
  <c r="AR104" i="8"/>
  <c r="AR105" i="8"/>
  <c r="AR106" i="8"/>
  <c r="AR108" i="8"/>
  <c r="AR109" i="8"/>
  <c r="AR110" i="8"/>
  <c r="AR112" i="8"/>
  <c r="AR113" i="8"/>
  <c r="AR114" i="8"/>
  <c r="AR116" i="8"/>
  <c r="AR117" i="8"/>
  <c r="AR118" i="8"/>
  <c r="AR119" i="8"/>
  <c r="AR120" i="8"/>
  <c r="AR122" i="8"/>
  <c r="AR123" i="8"/>
  <c r="AR124" i="8"/>
  <c r="AR125" i="8"/>
  <c r="AR126" i="8"/>
  <c r="AR127" i="8"/>
  <c r="AR128" i="8"/>
  <c r="AR129" i="8"/>
  <c r="AR130" i="8"/>
  <c r="AR131" i="8"/>
  <c r="AR132" i="8"/>
  <c r="AR133" i="8"/>
  <c r="AR134" i="8"/>
  <c r="AR135" i="8"/>
  <c r="AR136" i="8"/>
  <c r="AR137" i="8"/>
  <c r="AR138" i="8"/>
  <c r="AR139" i="8"/>
  <c r="AR140" i="8"/>
  <c r="AR141" i="8"/>
  <c r="AR142" i="8"/>
  <c r="AR143" i="8"/>
  <c r="AR144" i="8"/>
  <c r="AR145" i="8"/>
  <c r="F48" i="11"/>
  <c r="G48" i="11"/>
  <c r="F49" i="11"/>
  <c r="G49" i="11"/>
  <c r="F50" i="11"/>
  <c r="G50" i="11"/>
  <c r="F51" i="11"/>
  <c r="G51" i="11"/>
  <c r="F52" i="11"/>
  <c r="G52" i="11"/>
  <c r="F53" i="11"/>
  <c r="G53" i="11"/>
  <c r="G47" i="11"/>
  <c r="F47" i="11"/>
  <c r="AS16" i="8"/>
  <c r="AS14" i="8"/>
  <c r="AS13" i="8"/>
  <c r="AS12" i="8"/>
  <c r="AS21" i="8"/>
  <c r="AS20" i="8"/>
  <c r="AS18" i="8"/>
  <c r="AS22" i="8"/>
  <c r="AS15" i="8"/>
  <c r="AS17" i="8"/>
  <c r="CL134" i="17" a="1"/>
  <c r="CL134" i="17"/>
  <c r="CL134" i="18" a="1"/>
  <c r="CL134" i="18"/>
  <c r="CL136" i="17" a="1"/>
  <c r="CL136" i="17"/>
  <c r="CL136" i="18" a="1"/>
  <c r="CL136" i="18"/>
  <c r="CL132" i="17" a="1"/>
  <c r="CL132" i="17"/>
  <c r="CL132" i="18" a="1"/>
  <c r="CL132" i="18"/>
  <c r="CL128" i="17" a="1"/>
  <c r="CL128" i="17"/>
  <c r="CL128" i="18" a="1"/>
  <c r="CL128" i="18"/>
  <c r="CL124" i="17" a="1"/>
  <c r="CL124" i="17"/>
  <c r="CL124" i="18" a="1"/>
  <c r="CL124" i="18"/>
  <c r="CL126" i="17" a="1"/>
  <c r="CL126" i="17"/>
  <c r="CL126" i="18" a="1"/>
  <c r="CL126" i="18"/>
  <c r="CL135" i="17" a="1"/>
  <c r="CL135" i="17"/>
  <c r="CL135" i="18" a="1"/>
  <c r="CL135" i="18"/>
  <c r="CL131" i="17" a="1"/>
  <c r="CL131" i="17"/>
  <c r="CL131" i="18" a="1"/>
  <c r="CL131" i="18"/>
  <c r="CL127" i="17" a="1"/>
  <c r="CL127" i="17"/>
  <c r="CL127" i="18" a="1"/>
  <c r="CL127" i="18"/>
  <c r="CL138" i="17" a="1"/>
  <c r="CL138" i="17"/>
  <c r="CL138" i="18" a="1"/>
  <c r="CL138" i="18"/>
  <c r="CB5" i="18" a="1"/>
  <c r="CB5" i="18"/>
  <c r="CL130" i="17" a="1"/>
  <c r="CL130" i="17"/>
  <c r="CL130" i="18" a="1"/>
  <c r="CL130" i="18"/>
  <c r="CL137" i="17" a="1"/>
  <c r="CL137" i="17"/>
  <c r="CL137" i="18" a="1"/>
  <c r="CL137" i="18"/>
  <c r="CL133" i="17" a="1"/>
  <c r="CL133" i="17"/>
  <c r="CL133" i="18" a="1"/>
  <c r="CL133" i="18"/>
  <c r="CL129" i="17" a="1"/>
  <c r="CL129" i="17"/>
  <c r="CL129" i="18" a="1"/>
  <c r="CL129" i="18"/>
  <c r="CL125" i="17" a="1"/>
  <c r="CL125" i="17"/>
  <c r="CL125" i="18" a="1"/>
  <c r="CL125" i="18"/>
  <c r="CL5" i="18" a="1"/>
  <c r="CL5" i="18"/>
  <c r="CA5" i="18" a="1"/>
  <c r="CA5" i="18"/>
  <c r="GA51" i="1"/>
  <c r="AR115" i="8"/>
  <c r="AR111" i="8"/>
  <c r="AR107" i="8"/>
  <c r="AR103" i="8"/>
  <c r="AR67" i="8"/>
  <c r="AR63" i="8"/>
  <c r="AR59" i="8"/>
  <c r="AR23" i="8"/>
  <c r="AR19" i="8"/>
  <c r="F10" i="11"/>
  <c r="F11" i="11"/>
  <c r="G10" i="11"/>
  <c r="G11" i="11"/>
  <c r="E10" i="11"/>
  <c r="E11" i="11"/>
  <c r="K37" i="11"/>
  <c r="I37" i="11"/>
  <c r="I38" i="11"/>
  <c r="K38" i="11"/>
  <c r="AS19" i="8"/>
  <c r="AO124" i="17"/>
  <c r="AO126" i="17"/>
  <c r="AO128" i="17"/>
  <c r="AO130" i="17"/>
  <c r="AO132" i="17"/>
  <c r="AO134" i="17"/>
  <c r="AO136" i="17"/>
  <c r="AO138" i="17"/>
  <c r="AO125" i="17"/>
  <c r="AO127" i="17"/>
  <c r="AO129" i="17"/>
  <c r="AO131" i="17"/>
  <c r="AO133" i="17"/>
  <c r="AO135" i="17"/>
  <c r="AO137" i="17"/>
  <c r="F38" i="6"/>
  <c r="G38" i="6"/>
  <c r="K42" i="6"/>
  <c r="I42" i="6"/>
  <c r="F122" i="4"/>
  <c r="G122" i="4"/>
  <c r="H122" i="4"/>
  <c r="I122" i="4"/>
  <c r="F123" i="4"/>
  <c r="G123" i="4"/>
  <c r="H123" i="4"/>
  <c r="I123" i="4"/>
  <c r="F124" i="4"/>
  <c r="G124" i="4"/>
  <c r="H124" i="4"/>
  <c r="I124" i="4"/>
  <c r="F125" i="4"/>
  <c r="G125" i="4"/>
  <c r="H125" i="4"/>
  <c r="I125" i="4"/>
  <c r="G121" i="4"/>
  <c r="H121" i="4"/>
  <c r="I121" i="4"/>
  <c r="F121" i="4"/>
  <c r="F102" i="4"/>
  <c r="G102" i="4"/>
  <c r="H102" i="4"/>
  <c r="I102" i="4"/>
  <c r="F103" i="4"/>
  <c r="G103" i="4"/>
  <c r="H103" i="4"/>
  <c r="I103" i="4"/>
  <c r="F104" i="4"/>
  <c r="G104" i="4"/>
  <c r="H104" i="4"/>
  <c r="I104" i="4"/>
  <c r="G101" i="4"/>
  <c r="H101" i="4"/>
  <c r="I101" i="4"/>
  <c r="F101" i="4"/>
  <c r="F98" i="3"/>
  <c r="G98" i="3"/>
  <c r="E98" i="3"/>
  <c r="F62" i="4"/>
  <c r="F68" i="4"/>
  <c r="G62" i="4"/>
  <c r="G68" i="4"/>
  <c r="H62" i="4"/>
  <c r="H68" i="4"/>
  <c r="I62" i="4"/>
  <c r="I68" i="4"/>
  <c r="E62" i="4"/>
  <c r="E68" i="4"/>
  <c r="M91" i="4"/>
  <c r="K91" i="4"/>
  <c r="AO13" i="8"/>
  <c r="AQ13" i="8"/>
  <c r="AO17" i="8"/>
  <c r="AQ17" i="8"/>
  <c r="AO21" i="8"/>
  <c r="AQ21" i="8"/>
  <c r="AO25" i="8"/>
  <c r="AQ25" i="8"/>
  <c r="AO57" i="8"/>
  <c r="AQ57" i="8"/>
  <c r="AO61" i="8"/>
  <c r="AQ61" i="8"/>
  <c r="AO65" i="8"/>
  <c r="AQ65" i="8"/>
  <c r="AO69" i="8"/>
  <c r="AQ69" i="8"/>
  <c r="AO101" i="8"/>
  <c r="AQ101" i="8"/>
  <c r="AO105" i="8"/>
  <c r="AQ105" i="8"/>
  <c r="AO109" i="8"/>
  <c r="AQ109" i="8"/>
  <c r="AO113" i="8"/>
  <c r="AQ113" i="8"/>
  <c r="AO14" i="8"/>
  <c r="AQ14" i="8"/>
  <c r="AO18" i="8"/>
  <c r="AQ18" i="8"/>
  <c r="AO22" i="8"/>
  <c r="AQ22" i="8"/>
  <c r="AO58" i="8"/>
  <c r="AQ58" i="8"/>
  <c r="AO62" i="8"/>
  <c r="AQ62" i="8"/>
  <c r="AO66" i="8"/>
  <c r="AQ66" i="8"/>
  <c r="AO70" i="8"/>
  <c r="AQ70" i="8"/>
  <c r="AO102" i="8"/>
  <c r="AQ102" i="8"/>
  <c r="AO106" i="8"/>
  <c r="AQ106" i="8"/>
  <c r="AO110" i="8"/>
  <c r="AQ110" i="8"/>
  <c r="AO114" i="8"/>
  <c r="AQ114" i="8"/>
  <c r="AO11" i="8"/>
  <c r="AQ11" i="8"/>
  <c r="AO15" i="8"/>
  <c r="AQ15" i="8"/>
  <c r="AO23" i="8"/>
  <c r="AQ23" i="8"/>
  <c r="AO63" i="8"/>
  <c r="AQ63" i="8"/>
  <c r="AO103" i="8"/>
  <c r="AQ103" i="8"/>
  <c r="AO111" i="8"/>
  <c r="AQ111" i="8"/>
  <c r="AO60" i="8"/>
  <c r="AQ60" i="8"/>
  <c r="AO16" i="8"/>
  <c r="AQ16" i="8"/>
  <c r="AO24" i="8"/>
  <c r="AQ24" i="8"/>
  <c r="AO56" i="8"/>
  <c r="AQ56" i="8"/>
  <c r="AO64" i="8"/>
  <c r="AQ64" i="8"/>
  <c r="AO104" i="8"/>
  <c r="AQ104" i="8"/>
  <c r="AO112" i="8"/>
  <c r="AQ112" i="8"/>
  <c r="AO20" i="8"/>
  <c r="AQ20" i="8"/>
  <c r="AO108" i="8"/>
  <c r="AQ108" i="8"/>
  <c r="AO19" i="8"/>
  <c r="AQ19" i="8"/>
  <c r="AO59" i="8"/>
  <c r="AQ59" i="8"/>
  <c r="AO67" i="8"/>
  <c r="AQ67" i="8"/>
  <c r="AO107" i="8"/>
  <c r="AQ107" i="8"/>
  <c r="AO115" i="8"/>
  <c r="AQ115" i="8"/>
  <c r="AO68" i="8"/>
  <c r="AQ68" i="8"/>
  <c r="AO12" i="8"/>
  <c r="AQ12" i="8"/>
  <c r="E9" i="19"/>
  <c r="I9" i="19"/>
  <c r="F9" i="19"/>
  <c r="K9" i="19"/>
  <c r="G9" i="19"/>
  <c r="H9" i="19"/>
  <c r="AO41" i="8"/>
  <c r="AQ41" i="8"/>
  <c r="AO45" i="8"/>
  <c r="AQ45" i="8"/>
  <c r="AO49" i="8"/>
  <c r="AQ49" i="8"/>
  <c r="AO53" i="8"/>
  <c r="AQ53" i="8"/>
  <c r="AO89" i="8"/>
  <c r="AQ89" i="8"/>
  <c r="AO93" i="8"/>
  <c r="AQ93" i="8"/>
  <c r="AO97" i="8"/>
  <c r="AQ97" i="8"/>
  <c r="AO133" i="8"/>
  <c r="AQ133" i="8"/>
  <c r="AO137" i="8"/>
  <c r="AQ137" i="8"/>
  <c r="AO141" i="8"/>
  <c r="AQ141" i="8"/>
  <c r="AO145" i="8"/>
  <c r="AQ145" i="8"/>
  <c r="AO42" i="8"/>
  <c r="AQ42" i="8"/>
  <c r="AO46" i="8"/>
  <c r="AQ46" i="8"/>
  <c r="AO50" i="8"/>
  <c r="AQ50" i="8"/>
  <c r="AO54" i="8"/>
  <c r="AQ54" i="8"/>
  <c r="AO86" i="8"/>
  <c r="AQ86" i="8"/>
  <c r="AO90" i="8"/>
  <c r="AQ90" i="8"/>
  <c r="AO94" i="8"/>
  <c r="AQ94" i="8"/>
  <c r="AO98" i="8"/>
  <c r="AQ98" i="8"/>
  <c r="AO134" i="8"/>
  <c r="AQ134" i="8"/>
  <c r="AO138" i="8"/>
  <c r="AQ138" i="8"/>
  <c r="AO142" i="8"/>
  <c r="AQ142" i="8"/>
  <c r="AO47" i="8"/>
  <c r="AQ47" i="8"/>
  <c r="AO55" i="8"/>
  <c r="AQ55" i="8"/>
  <c r="AO87" i="8"/>
  <c r="AQ87" i="8"/>
  <c r="AO95" i="8"/>
  <c r="AQ95" i="8"/>
  <c r="AO135" i="8"/>
  <c r="AQ135" i="8"/>
  <c r="AO143" i="8"/>
  <c r="AQ143" i="8"/>
  <c r="AO144" i="8"/>
  <c r="AQ144" i="8"/>
  <c r="AO92" i="8"/>
  <c r="AQ92" i="8"/>
  <c r="AO48" i="8"/>
  <c r="AQ48" i="8"/>
  <c r="AO88" i="8"/>
  <c r="AQ88" i="8"/>
  <c r="AO96" i="8"/>
  <c r="AQ96" i="8"/>
  <c r="AO136" i="8"/>
  <c r="AQ136" i="8"/>
  <c r="AO52" i="8"/>
  <c r="AQ52" i="8"/>
  <c r="AO140" i="8"/>
  <c r="AQ140" i="8"/>
  <c r="AO43" i="8"/>
  <c r="AQ43" i="8"/>
  <c r="AO51" i="8"/>
  <c r="AQ51" i="8"/>
  <c r="AO91" i="8"/>
  <c r="AQ91" i="8"/>
  <c r="AO99" i="8"/>
  <c r="AQ99" i="8"/>
  <c r="AO131" i="8"/>
  <c r="AQ131" i="8"/>
  <c r="AO139" i="8"/>
  <c r="AQ139" i="8"/>
  <c r="AO100" i="8"/>
  <c r="AQ100" i="8"/>
  <c r="AO132" i="8"/>
  <c r="AQ132" i="8"/>
  <c r="AO44" i="8"/>
  <c r="AQ44" i="8"/>
  <c r="AO29" i="8"/>
  <c r="AQ29" i="8"/>
  <c r="AO33" i="8"/>
  <c r="AQ33" i="8"/>
  <c r="AO37" i="8"/>
  <c r="AQ37" i="8"/>
  <c r="AO73" i="8"/>
  <c r="AQ73" i="8"/>
  <c r="AO77" i="8"/>
  <c r="AQ77" i="8"/>
  <c r="AO81" i="8"/>
  <c r="AQ81" i="8"/>
  <c r="AO85" i="8"/>
  <c r="AQ85" i="8"/>
  <c r="AO117" i="8"/>
  <c r="AQ117" i="8"/>
  <c r="AO121" i="8"/>
  <c r="AQ121" i="8"/>
  <c r="AO125" i="8"/>
  <c r="AQ125" i="8"/>
  <c r="AO129" i="8"/>
  <c r="AQ129" i="8"/>
  <c r="AO26" i="8"/>
  <c r="AQ26" i="8"/>
  <c r="AO30" i="8"/>
  <c r="AQ30" i="8"/>
  <c r="AO34" i="8"/>
  <c r="AQ34" i="8"/>
  <c r="AO38" i="8"/>
  <c r="AQ38" i="8"/>
  <c r="AO74" i="8"/>
  <c r="AQ74" i="8"/>
  <c r="AO78" i="8"/>
  <c r="AQ78" i="8"/>
  <c r="AO82" i="8"/>
  <c r="AQ82" i="8"/>
  <c r="AO118" i="8"/>
  <c r="AQ118" i="8"/>
  <c r="AO122" i="8"/>
  <c r="AQ122" i="8"/>
  <c r="AO126" i="8"/>
  <c r="AQ126" i="8"/>
  <c r="AO130" i="8"/>
  <c r="AQ130" i="8"/>
  <c r="AO31" i="8"/>
  <c r="AQ31" i="8"/>
  <c r="AO39" i="8"/>
  <c r="AQ39" i="8"/>
  <c r="AO71" i="8"/>
  <c r="AQ71" i="8"/>
  <c r="AO79" i="8"/>
  <c r="AQ79" i="8"/>
  <c r="AO119" i="8"/>
  <c r="AQ119" i="8"/>
  <c r="AO127" i="8"/>
  <c r="AQ127" i="8"/>
  <c r="AO28" i="8"/>
  <c r="AQ28" i="8"/>
  <c r="AO124" i="8"/>
  <c r="AQ124" i="8"/>
  <c r="AO32" i="8"/>
  <c r="AQ32" i="8"/>
  <c r="AO40" i="8"/>
  <c r="AQ40" i="8"/>
  <c r="AO72" i="8"/>
  <c r="AQ72" i="8"/>
  <c r="AO80" i="8"/>
  <c r="AQ80" i="8"/>
  <c r="AO120" i="8"/>
  <c r="AQ120" i="8"/>
  <c r="AO128" i="8"/>
  <c r="AQ128" i="8"/>
  <c r="AO76" i="8"/>
  <c r="AQ76" i="8"/>
  <c r="AO27" i="8"/>
  <c r="AQ27" i="8"/>
  <c r="AO35" i="8"/>
  <c r="AQ35" i="8"/>
  <c r="AO75" i="8"/>
  <c r="AQ75" i="8"/>
  <c r="AO83" i="8"/>
  <c r="AQ83" i="8"/>
  <c r="AO123" i="8"/>
  <c r="AQ123" i="8"/>
  <c r="AO36" i="8"/>
  <c r="AQ36" i="8"/>
  <c r="AO84" i="8"/>
  <c r="AQ84" i="8"/>
  <c r="AO116" i="8"/>
  <c r="AQ116" i="8"/>
  <c r="G109" i="2"/>
  <c r="F109" i="2"/>
  <c r="G108" i="2"/>
  <c r="F108" i="2"/>
  <c r="G107" i="2"/>
  <c r="F107" i="2"/>
  <c r="G106" i="2"/>
  <c r="F106" i="2"/>
  <c r="G105" i="2"/>
  <c r="F105" i="2"/>
  <c r="F184" i="3"/>
  <c r="G184" i="3"/>
  <c r="F185" i="3"/>
  <c r="G185" i="3"/>
  <c r="F186" i="3"/>
  <c r="G186" i="3"/>
  <c r="F187" i="3"/>
  <c r="G187" i="3"/>
  <c r="G183" i="3"/>
  <c r="F183" i="3"/>
  <c r="G38" i="2"/>
  <c r="F38" i="2"/>
  <c r="E38" i="2"/>
  <c r="G99" i="2"/>
  <c r="F99" i="2"/>
  <c r="E99" i="2"/>
  <c r="K97" i="2"/>
  <c r="K96" i="2"/>
  <c r="K95" i="2"/>
  <c r="K94" i="2"/>
  <c r="K93" i="2"/>
  <c r="K71" i="2"/>
  <c r="I71" i="2"/>
  <c r="F82" i="2"/>
  <c r="G82" i="2"/>
  <c r="F83" i="2"/>
  <c r="G83" i="2"/>
  <c r="F84" i="2"/>
  <c r="G84" i="2"/>
  <c r="F85" i="2"/>
  <c r="G85" i="2"/>
  <c r="E81" i="2"/>
  <c r="G81" i="2"/>
  <c r="EF142" i="8"/>
  <c r="EF134" i="8"/>
  <c r="EF123" i="8"/>
  <c r="EF112" i="8"/>
  <c r="EF104" i="8"/>
  <c r="EF127" i="8"/>
  <c r="EF107" i="8"/>
  <c r="EF125" i="8"/>
  <c r="EF124" i="8"/>
  <c r="EF141" i="8"/>
  <c r="EF133" i="8"/>
  <c r="EF122" i="8"/>
  <c r="EF111" i="8"/>
  <c r="EF103" i="8"/>
  <c r="EF119" i="8"/>
  <c r="EF137" i="8"/>
  <c r="EF117" i="8"/>
  <c r="EF135" i="8"/>
  <c r="EF140" i="8"/>
  <c r="EF132" i="8"/>
  <c r="EF121" i="8"/>
  <c r="EF110" i="8"/>
  <c r="EF102" i="8"/>
  <c r="EF138" i="8"/>
  <c r="EF118" i="8"/>
  <c r="EF106" i="8"/>
  <c r="EF116" i="8"/>
  <c r="EF139" i="8"/>
  <c r="EF131" i="8"/>
  <c r="EF120" i="8"/>
  <c r="EF109" i="8"/>
  <c r="EF101" i="8"/>
  <c r="EF108" i="8"/>
  <c r="EF126" i="8"/>
  <c r="EF136" i="8"/>
  <c r="EF105" i="8"/>
  <c r="EF52" i="8"/>
  <c r="EF44" i="8"/>
  <c r="EF33" i="8"/>
  <c r="EF22" i="8"/>
  <c r="EF14" i="8"/>
  <c r="EF37" i="8"/>
  <c r="EF28" i="8"/>
  <c r="EF46" i="8"/>
  <c r="EF34" i="8"/>
  <c r="EF51" i="8"/>
  <c r="EF43" i="8"/>
  <c r="EF32" i="8"/>
  <c r="EF21" i="8"/>
  <c r="EF13" i="8"/>
  <c r="EF48" i="8"/>
  <c r="EF17" i="8"/>
  <c r="EF35" i="8"/>
  <c r="EF15" i="8"/>
  <c r="EF50" i="8"/>
  <c r="EF42" i="8"/>
  <c r="EF31" i="8"/>
  <c r="EF20" i="8"/>
  <c r="EF12" i="8"/>
  <c r="EF18" i="8"/>
  <c r="EF36" i="8"/>
  <c r="EF16" i="8"/>
  <c r="EF45" i="8"/>
  <c r="EF49" i="8"/>
  <c r="EF41" i="8"/>
  <c r="EF30" i="8"/>
  <c r="EF19" i="8"/>
  <c r="EF11" i="8"/>
  <c r="EF29" i="8"/>
  <c r="EF47" i="8"/>
  <c r="EF27" i="8"/>
  <c r="EF26" i="8"/>
  <c r="EF93" i="8"/>
  <c r="EF82" i="8"/>
  <c r="EF74" i="8"/>
  <c r="EF63" i="8"/>
  <c r="EF78" i="8"/>
  <c r="EF66" i="8"/>
  <c r="EF87" i="8"/>
  <c r="EF75" i="8"/>
  <c r="EF92" i="8"/>
  <c r="EF81" i="8"/>
  <c r="EF73" i="8"/>
  <c r="EF62" i="8"/>
  <c r="EF89" i="8"/>
  <c r="EF96" i="8"/>
  <c r="EF58" i="8"/>
  <c r="EF76" i="8"/>
  <c r="EF94" i="8"/>
  <c r="EF56" i="8"/>
  <c r="EF91" i="8"/>
  <c r="EF80" i="8"/>
  <c r="EF72" i="8"/>
  <c r="EF61" i="8"/>
  <c r="EF97" i="8"/>
  <c r="EF59" i="8"/>
  <c r="EF77" i="8"/>
  <c r="EF57" i="8"/>
  <c r="EF86" i="8"/>
  <c r="EF90" i="8"/>
  <c r="EF79" i="8"/>
  <c r="EF71" i="8"/>
  <c r="EF60" i="8"/>
  <c r="EF67" i="8"/>
  <c r="EF88" i="8"/>
  <c r="EF95" i="8"/>
  <c r="EF65" i="8"/>
  <c r="EF64" i="8"/>
  <c r="F81" i="2"/>
  <c r="K85" i="2"/>
  <c r="K84" i="2"/>
  <c r="K83" i="2"/>
  <c r="K82" i="2"/>
  <c r="K81" i="2"/>
  <c r="K87" i="2"/>
  <c r="K88" i="2"/>
  <c r="K89" i="2"/>
  <c r="I141" i="3"/>
  <c r="K141" i="3"/>
  <c r="F99" i="3"/>
  <c r="G99" i="3"/>
  <c r="E99" i="3"/>
  <c r="F94" i="3"/>
  <c r="G94" i="3"/>
  <c r="E94" i="3"/>
  <c r="EG28" i="8"/>
  <c r="EG32" i="8"/>
  <c r="EG36" i="8"/>
  <c r="EG40" i="8"/>
  <c r="EG72" i="8"/>
  <c r="EG76" i="8"/>
  <c r="EG80" i="8"/>
  <c r="EG84" i="8"/>
  <c r="EG116" i="8"/>
  <c r="EG120" i="8"/>
  <c r="EG124" i="8"/>
  <c r="EG128" i="8"/>
  <c r="EG29" i="8"/>
  <c r="EG33" i="8"/>
  <c r="EG37" i="8"/>
  <c r="EG73" i="8"/>
  <c r="EG77" i="8"/>
  <c r="EG81" i="8"/>
  <c r="EG85" i="8"/>
  <c r="EG117" i="8"/>
  <c r="EG121" i="8"/>
  <c r="EG125" i="8"/>
  <c r="EG129" i="8"/>
  <c r="EG27" i="8"/>
  <c r="EG31" i="8"/>
  <c r="EG35" i="8"/>
  <c r="EG39" i="8"/>
  <c r="EG71" i="8"/>
  <c r="EG75" i="8"/>
  <c r="EG79" i="8"/>
  <c r="EG83" i="8"/>
  <c r="EG119" i="8"/>
  <c r="EG123" i="8"/>
  <c r="EG127" i="8"/>
  <c r="EG34" i="8"/>
  <c r="EG82" i="8"/>
  <c r="EG130" i="8"/>
  <c r="EG26" i="8"/>
  <c r="EG74" i="8"/>
  <c r="EG122" i="8"/>
  <c r="EG30" i="8"/>
  <c r="EG78" i="8"/>
  <c r="EG126" i="8"/>
  <c r="EG118" i="8"/>
  <c r="EG38" i="8"/>
  <c r="ES15" i="8"/>
  <c r="CI8" i="18" a="1"/>
  <c r="CI8" i="18"/>
  <c r="ES19" i="8"/>
  <c r="CI12" i="18" a="1"/>
  <c r="CI12" i="18"/>
  <c r="ES23" i="8"/>
  <c r="CI16" i="18" a="1"/>
  <c r="CI16" i="18"/>
  <c r="ES59" i="8"/>
  <c r="CI52" i="18" a="1"/>
  <c r="CI52" i="18"/>
  <c r="ES63" i="8"/>
  <c r="CI56" i="18" a="1"/>
  <c r="CI56" i="18"/>
  <c r="ES67" i="8"/>
  <c r="CI60" i="18" a="1"/>
  <c r="CI60" i="18"/>
  <c r="ES103" i="8"/>
  <c r="CI96" i="18" a="1"/>
  <c r="CI96" i="18"/>
  <c r="ES107" i="8"/>
  <c r="CI100" i="18" a="1"/>
  <c r="CI100" i="18"/>
  <c r="ES111" i="8"/>
  <c r="CI104" i="18" a="1"/>
  <c r="CI104" i="18"/>
  <c r="ES115" i="8"/>
  <c r="CI108" i="18" a="1"/>
  <c r="CI108" i="18"/>
  <c r="AP13" i="8"/>
  <c r="AP17" i="8"/>
  <c r="AP21" i="8"/>
  <c r="AP25" i="8"/>
  <c r="AP57" i="8"/>
  <c r="AP61" i="8"/>
  <c r="AP65" i="8"/>
  <c r="AP69" i="8"/>
  <c r="ES12" i="8"/>
  <c r="CI5" i="18" a="1"/>
  <c r="CI5" i="18"/>
  <c r="ES16" i="8"/>
  <c r="CI9" i="18" a="1"/>
  <c r="CI9" i="18"/>
  <c r="ES20" i="8"/>
  <c r="CI13" i="18" a="1"/>
  <c r="CI13" i="18"/>
  <c r="ES24" i="8"/>
  <c r="CI17" i="18" a="1"/>
  <c r="CI17" i="18"/>
  <c r="ES56" i="8"/>
  <c r="CI49" i="18" a="1"/>
  <c r="CI49" i="18"/>
  <c r="ES60" i="8"/>
  <c r="CI53" i="18" a="1"/>
  <c r="CI53" i="18"/>
  <c r="ES64" i="8"/>
  <c r="CI57" i="18" a="1"/>
  <c r="CI57" i="18"/>
  <c r="ES68" i="8"/>
  <c r="CI61" i="18" a="1"/>
  <c r="CI61" i="18"/>
  <c r="ES104" i="8"/>
  <c r="CI97" i="18" a="1"/>
  <c r="CI97" i="18"/>
  <c r="ES108" i="8"/>
  <c r="CI101" i="18" a="1"/>
  <c r="CI101" i="18"/>
  <c r="ES112" i="8"/>
  <c r="CI105" i="18" a="1"/>
  <c r="CI105" i="18"/>
  <c r="ES14" i="8"/>
  <c r="CI7" i="18" a="1"/>
  <c r="CI7" i="18"/>
  <c r="ES18" i="8"/>
  <c r="CI11" i="18" a="1"/>
  <c r="CI11" i="18"/>
  <c r="ES22" i="8"/>
  <c r="CI15" i="18" a="1"/>
  <c r="CI15" i="18"/>
  <c r="ES58" i="8"/>
  <c r="CI51" i="18" a="1"/>
  <c r="CI51" i="18"/>
  <c r="ES62" i="8"/>
  <c r="CI55" i="18" a="1"/>
  <c r="CI55" i="18"/>
  <c r="ES66" i="8"/>
  <c r="CI59" i="18" a="1"/>
  <c r="CI59" i="18"/>
  <c r="ES70" i="8"/>
  <c r="CI63" i="18" a="1"/>
  <c r="CI63" i="18"/>
  <c r="ES102" i="8"/>
  <c r="CI95" i="18" a="1"/>
  <c r="CI95" i="18"/>
  <c r="ES106" i="8"/>
  <c r="CI99" i="18" a="1"/>
  <c r="CI99" i="18"/>
  <c r="ES110" i="8"/>
  <c r="CI103" i="18" a="1"/>
  <c r="CI103" i="18"/>
  <c r="ES114" i="8"/>
  <c r="CI107" i="18" a="1"/>
  <c r="CI107" i="18"/>
  <c r="ES11" i="8"/>
  <c r="AP12" i="8"/>
  <c r="ES25" i="8"/>
  <c r="CI18" i="18" a="1"/>
  <c r="CI18" i="18"/>
  <c r="ES57" i="8"/>
  <c r="CI50" i="18" a="1"/>
  <c r="CI50" i="18"/>
  <c r="ES105" i="8"/>
  <c r="CI98" i="18" a="1"/>
  <c r="CI98" i="18"/>
  <c r="AP23" i="8"/>
  <c r="ES13" i="8"/>
  <c r="CI6" i="18" a="1"/>
  <c r="CI6" i="18"/>
  <c r="ES61" i="8"/>
  <c r="CI54" i="18" a="1"/>
  <c r="CI54" i="18"/>
  <c r="ES109" i="8"/>
  <c r="CI102" i="18" a="1"/>
  <c r="CI102" i="18"/>
  <c r="ES17" i="8"/>
  <c r="CI10" i="18" a="1"/>
  <c r="CI10" i="18"/>
  <c r="ES65" i="8"/>
  <c r="CI58" i="18" a="1"/>
  <c r="CI58" i="18"/>
  <c r="ES113" i="8"/>
  <c r="CI106" i="18" a="1"/>
  <c r="CI106" i="18"/>
  <c r="AP15" i="8"/>
  <c r="AP20" i="8"/>
  <c r="AP58" i="8"/>
  <c r="AP63" i="8"/>
  <c r="AP68" i="8"/>
  <c r="AP104" i="8"/>
  <c r="AP108" i="8"/>
  <c r="AP112" i="8"/>
  <c r="AP18" i="8"/>
  <c r="AP66" i="8"/>
  <c r="ES21" i="8"/>
  <c r="CI14" i="18" a="1"/>
  <c r="CI14" i="18"/>
  <c r="ES69" i="8"/>
  <c r="CI62" i="18" a="1"/>
  <c r="CI62" i="18"/>
  <c r="ES101" i="8"/>
  <c r="CI94" i="18" a="1"/>
  <c r="CI94" i="18"/>
  <c r="AP16" i="8"/>
  <c r="AP22" i="8"/>
  <c r="AP59" i="8"/>
  <c r="AP64" i="8"/>
  <c r="AP70" i="8"/>
  <c r="AP101" i="8"/>
  <c r="AP105" i="8"/>
  <c r="AP109" i="8"/>
  <c r="AP113" i="8"/>
  <c r="AP60" i="8"/>
  <c r="AP102" i="8"/>
  <c r="AP110" i="8"/>
  <c r="AP67" i="8"/>
  <c r="AP107" i="8"/>
  <c r="AP14" i="8"/>
  <c r="AP56" i="8"/>
  <c r="AP103" i="8"/>
  <c r="AP111" i="8"/>
  <c r="AP19" i="8"/>
  <c r="AP62" i="8"/>
  <c r="AP106" i="8"/>
  <c r="AP114" i="8"/>
  <c r="AP11" i="8"/>
  <c r="AP24" i="8"/>
  <c r="AP115" i="8"/>
  <c r="EG12" i="8"/>
  <c r="EG16" i="8"/>
  <c r="EG20" i="8"/>
  <c r="EG24" i="8"/>
  <c r="EG56" i="8"/>
  <c r="EG60" i="8"/>
  <c r="EG64" i="8"/>
  <c r="EG68" i="8"/>
  <c r="EG104" i="8"/>
  <c r="EG108" i="8"/>
  <c r="EG112" i="8"/>
  <c r="EG13" i="8"/>
  <c r="EG17" i="8"/>
  <c r="EG21" i="8"/>
  <c r="EG25" i="8"/>
  <c r="EG57" i="8"/>
  <c r="EG61" i="8"/>
  <c r="EG65" i="8"/>
  <c r="EG69" i="8"/>
  <c r="EG101" i="8"/>
  <c r="EG105" i="8"/>
  <c r="EG109" i="8"/>
  <c r="EG113" i="8"/>
  <c r="EG15" i="8"/>
  <c r="EG19" i="8"/>
  <c r="EG23" i="8"/>
  <c r="EG59" i="8"/>
  <c r="EG63" i="8"/>
  <c r="EG67" i="8"/>
  <c r="EG103" i="8"/>
  <c r="EG107" i="8"/>
  <c r="EG111" i="8"/>
  <c r="EG115" i="8"/>
  <c r="EG18" i="8"/>
  <c r="EG66" i="8"/>
  <c r="EG114" i="8"/>
  <c r="EG11" i="8"/>
  <c r="EG58" i="8"/>
  <c r="EG106" i="8"/>
  <c r="EG14" i="8"/>
  <c r="EG62" i="8"/>
  <c r="EG110" i="8"/>
  <c r="EG70" i="8"/>
  <c r="EG22" i="8"/>
  <c r="EG102" i="8"/>
  <c r="ES43" i="8"/>
  <c r="CI36" i="18" a="1"/>
  <c r="CI36" i="18"/>
  <c r="ES47" i="8"/>
  <c r="CI40" i="18" a="1"/>
  <c r="CI40" i="18"/>
  <c r="ES51" i="8"/>
  <c r="CI44" i="18" a="1"/>
  <c r="CI44" i="18"/>
  <c r="ES55" i="8"/>
  <c r="CI48" i="18" a="1"/>
  <c r="CI48" i="18"/>
  <c r="ES87" i="8"/>
  <c r="CI80" i="18" a="1"/>
  <c r="CI80" i="18"/>
  <c r="ES91" i="8"/>
  <c r="CI84" i="18" a="1"/>
  <c r="CI84" i="18"/>
  <c r="ES95" i="8"/>
  <c r="CI88" i="18" a="1"/>
  <c r="CI88" i="18"/>
  <c r="ES99" i="8"/>
  <c r="CI92" i="18" a="1"/>
  <c r="CI92" i="18"/>
  <c r="ES131" i="8"/>
  <c r="ES135" i="8"/>
  <c r="ES139" i="8"/>
  <c r="ES143" i="8"/>
  <c r="AP41" i="8"/>
  <c r="AP45" i="8"/>
  <c r="AP49" i="8"/>
  <c r="AP53" i="8"/>
  <c r="ES44" i="8"/>
  <c r="CI37" i="18" a="1"/>
  <c r="CI37" i="18"/>
  <c r="ES48" i="8"/>
  <c r="CI41" i="18" a="1"/>
  <c r="CI41" i="18"/>
  <c r="ES52" i="8"/>
  <c r="CI45" i="18" a="1"/>
  <c r="CI45" i="18"/>
  <c r="ES88" i="8"/>
  <c r="CI81" i="18" a="1"/>
  <c r="CI81" i="18"/>
  <c r="ES92" i="8"/>
  <c r="CI85" i="18" a="1"/>
  <c r="CI85" i="18"/>
  <c r="ES96" i="8"/>
  <c r="CI89" i="18" a="1"/>
  <c r="CI89" i="18"/>
  <c r="ES100" i="8"/>
  <c r="CI93" i="18" a="1"/>
  <c r="CI93" i="18"/>
  <c r="ES132" i="8"/>
  <c r="ES136" i="8"/>
  <c r="ES140" i="8"/>
  <c r="ES144" i="8"/>
  <c r="ES42" i="8"/>
  <c r="CI35" i="18" a="1"/>
  <c r="CI35" i="18"/>
  <c r="ES46" i="8"/>
  <c r="CI39" i="18" a="1"/>
  <c r="CI39" i="18"/>
  <c r="ES50" i="8"/>
  <c r="CI43" i="18" a="1"/>
  <c r="CI43" i="18"/>
  <c r="ES54" i="8"/>
  <c r="CI47" i="18" a="1"/>
  <c r="CI47" i="18"/>
  <c r="ES86" i="8"/>
  <c r="CI79" i="18" a="1"/>
  <c r="CI79" i="18"/>
  <c r="ES90" i="8"/>
  <c r="CI83" i="18" a="1"/>
  <c r="CI83" i="18"/>
  <c r="ES94" i="8"/>
  <c r="CI87" i="18" a="1"/>
  <c r="CI87" i="18"/>
  <c r="ES98" i="8"/>
  <c r="CI91" i="18" a="1"/>
  <c r="CI91" i="18"/>
  <c r="ES134" i="8"/>
  <c r="ES138" i="8"/>
  <c r="ES142" i="8"/>
  <c r="ES41" i="8"/>
  <c r="CI34" i="18" a="1"/>
  <c r="CI34" i="18"/>
  <c r="ES89" i="8"/>
  <c r="CI82" i="18" a="1"/>
  <c r="CI82" i="18"/>
  <c r="ES137" i="8"/>
  <c r="AP44" i="8"/>
  <c r="AP55" i="8"/>
  <c r="ES45" i="8"/>
  <c r="CI38" i="18" a="1"/>
  <c r="CI38" i="18"/>
  <c r="ES93" i="8"/>
  <c r="CI86" i="18" a="1"/>
  <c r="CI86" i="18"/>
  <c r="ES141" i="8"/>
  <c r="ES49" i="8"/>
  <c r="CI42" i="18" a="1"/>
  <c r="CI42" i="18"/>
  <c r="ES97" i="8"/>
  <c r="CI90" i="18" a="1"/>
  <c r="CI90" i="18"/>
  <c r="ES145" i="8"/>
  <c r="AP42" i="8"/>
  <c r="AP47" i="8"/>
  <c r="AP52" i="8"/>
  <c r="AP88" i="8"/>
  <c r="AP92" i="8"/>
  <c r="AP96" i="8"/>
  <c r="AP100" i="8"/>
  <c r="AP132" i="8"/>
  <c r="AP136" i="8"/>
  <c r="AP140" i="8"/>
  <c r="AP144" i="8"/>
  <c r="AP50" i="8"/>
  <c r="ES53" i="8"/>
  <c r="CI46" i="18" a="1"/>
  <c r="CI46" i="18"/>
  <c r="ES133" i="8"/>
  <c r="AP43" i="8"/>
  <c r="AP48" i="8"/>
  <c r="AP54" i="8"/>
  <c r="AP89" i="8"/>
  <c r="AP93" i="8"/>
  <c r="AP97" i="8"/>
  <c r="AP133" i="8"/>
  <c r="AP137" i="8"/>
  <c r="AP141" i="8"/>
  <c r="AP145" i="8"/>
  <c r="AP51" i="8"/>
  <c r="AP86" i="8"/>
  <c r="AP94" i="8"/>
  <c r="AP134" i="8"/>
  <c r="AP142" i="8"/>
  <c r="AP139" i="8"/>
  <c r="AP87" i="8"/>
  <c r="AP95" i="8"/>
  <c r="AP135" i="8"/>
  <c r="AP143" i="8"/>
  <c r="AP90" i="8"/>
  <c r="AP98" i="8"/>
  <c r="AP138" i="8"/>
  <c r="AP46" i="8"/>
  <c r="AP99" i="8"/>
  <c r="AP131" i="8"/>
  <c r="AP91" i="8"/>
  <c r="EG44" i="8"/>
  <c r="EG48" i="8"/>
  <c r="EG52" i="8"/>
  <c r="EG88" i="8"/>
  <c r="EG92" i="8"/>
  <c r="EG96" i="8"/>
  <c r="EG100" i="8"/>
  <c r="EG132" i="8"/>
  <c r="EG136" i="8"/>
  <c r="EG140" i="8"/>
  <c r="EG144" i="8"/>
  <c r="EG41" i="8"/>
  <c r="EG45" i="8"/>
  <c r="EG49" i="8"/>
  <c r="EG53" i="8"/>
  <c r="EG89" i="8"/>
  <c r="EG93" i="8"/>
  <c r="EG97" i="8"/>
  <c r="EG133" i="8"/>
  <c r="EG137" i="8"/>
  <c r="EG141" i="8"/>
  <c r="EG145" i="8"/>
  <c r="EG43" i="8"/>
  <c r="EG47" i="8"/>
  <c r="EG51" i="8"/>
  <c r="EG55" i="8"/>
  <c r="EG87" i="8"/>
  <c r="EG91" i="8"/>
  <c r="EG95" i="8"/>
  <c r="EG99" i="8"/>
  <c r="EG131" i="8"/>
  <c r="EG135" i="8"/>
  <c r="EG139" i="8"/>
  <c r="EG143" i="8"/>
  <c r="EG50" i="8"/>
  <c r="EG98" i="8"/>
  <c r="EG42" i="8"/>
  <c r="EG90" i="8"/>
  <c r="EG138" i="8"/>
  <c r="EG46" i="8"/>
  <c r="EG94" i="8"/>
  <c r="EG142" i="8"/>
  <c r="EG134" i="8"/>
  <c r="EG86" i="8"/>
  <c r="EG54" i="8"/>
  <c r="ES27" i="8"/>
  <c r="CI20" i="18" a="1"/>
  <c r="CI20" i="18"/>
  <c r="ES31" i="8"/>
  <c r="CI24" i="18" a="1"/>
  <c r="CI24" i="18"/>
  <c r="ES35" i="8"/>
  <c r="CI28" i="18" a="1"/>
  <c r="CI28" i="18"/>
  <c r="ES39" i="8"/>
  <c r="CI32" i="18" a="1"/>
  <c r="CI32" i="18"/>
  <c r="ES71" i="8"/>
  <c r="CI64" i="18" a="1"/>
  <c r="CI64" i="18"/>
  <c r="ES75" i="8"/>
  <c r="CI68" i="18" a="1"/>
  <c r="CI68" i="18"/>
  <c r="ES79" i="8"/>
  <c r="CI72" i="18" a="1"/>
  <c r="CI72" i="18"/>
  <c r="ES83" i="8"/>
  <c r="CI76" i="18" a="1"/>
  <c r="CI76" i="18"/>
  <c r="ES119" i="8"/>
  <c r="CI112" i="18" a="1"/>
  <c r="CI112" i="18"/>
  <c r="ES123" i="8"/>
  <c r="CI116" i="18" a="1"/>
  <c r="CI116" i="18"/>
  <c r="ES127" i="8"/>
  <c r="CI120" i="18" a="1"/>
  <c r="CI120" i="18"/>
  <c r="AP29" i="8"/>
  <c r="AP33" i="8"/>
  <c r="AP37" i="8"/>
  <c r="AP73" i="8"/>
  <c r="AP77" i="8"/>
  <c r="AP81" i="8"/>
  <c r="ES28" i="8"/>
  <c r="CI21" i="18" a="1"/>
  <c r="CI21" i="18"/>
  <c r="ES32" i="8"/>
  <c r="CI25" i="18" a="1"/>
  <c r="CI25" i="18"/>
  <c r="ES36" i="8"/>
  <c r="CI29" i="18" a="1"/>
  <c r="CI29" i="18"/>
  <c r="ES40" i="8"/>
  <c r="CI33" i="18" a="1"/>
  <c r="CI33" i="18"/>
  <c r="ES72" i="8"/>
  <c r="CI65" i="18" a="1"/>
  <c r="CI65" i="18"/>
  <c r="ES76" i="8"/>
  <c r="CI69" i="18" a="1"/>
  <c r="CI69" i="18"/>
  <c r="ES80" i="8"/>
  <c r="CI73" i="18" a="1"/>
  <c r="CI73" i="18"/>
  <c r="ES84" i="8"/>
  <c r="CI77" i="18" a="1"/>
  <c r="CI77" i="18"/>
  <c r="ES116" i="8"/>
  <c r="CI109" i="18" a="1"/>
  <c r="CI109" i="18"/>
  <c r="ES120" i="8"/>
  <c r="CI113" i="18" a="1"/>
  <c r="CI113" i="18"/>
  <c r="ES124" i="8"/>
  <c r="CI117" i="18" a="1"/>
  <c r="CI117" i="18"/>
  <c r="ES128" i="8"/>
  <c r="CI121" i="18" a="1"/>
  <c r="CI121" i="18"/>
  <c r="ES26" i="8"/>
  <c r="CI19" i="18" a="1"/>
  <c r="CI19" i="18"/>
  <c r="ES30" i="8"/>
  <c r="CI23" i="18" a="1"/>
  <c r="CI23" i="18"/>
  <c r="ES34" i="8"/>
  <c r="CI27" i="18" a="1"/>
  <c r="CI27" i="18"/>
  <c r="ES38" i="8"/>
  <c r="CI31" i="18" a="1"/>
  <c r="CI31" i="18"/>
  <c r="ES74" i="8"/>
  <c r="CI67" i="18" a="1"/>
  <c r="CI67" i="18"/>
  <c r="ES78" i="8"/>
  <c r="CI71" i="18" a="1"/>
  <c r="CI71" i="18"/>
  <c r="ES82" i="8"/>
  <c r="CI75" i="18" a="1"/>
  <c r="CI75" i="18"/>
  <c r="ES118" i="8"/>
  <c r="CI111" i="18" a="1"/>
  <c r="CI111" i="18"/>
  <c r="ES122" i="8"/>
  <c r="CI115" i="18" a="1"/>
  <c r="CI115" i="18"/>
  <c r="ES126" i="8"/>
  <c r="CI119" i="18" a="1"/>
  <c r="CI119" i="18"/>
  <c r="ES130" i="8"/>
  <c r="CI123" i="18" a="1"/>
  <c r="CI123" i="18"/>
  <c r="ES73" i="8"/>
  <c r="CI66" i="18" a="1"/>
  <c r="CI66" i="18"/>
  <c r="ES121" i="8"/>
  <c r="CI114" i="18" a="1"/>
  <c r="CI114" i="18"/>
  <c r="AP34" i="8"/>
  <c r="AP71" i="8"/>
  <c r="ES29" i="8"/>
  <c r="CI22" i="18" a="1"/>
  <c r="CI22" i="18"/>
  <c r="ES77" i="8"/>
  <c r="CI70" i="18" a="1"/>
  <c r="CI70" i="18"/>
  <c r="ES125" i="8"/>
  <c r="CI118" i="18" a="1"/>
  <c r="CI118" i="18"/>
  <c r="ES33" i="8"/>
  <c r="CI26" i="18" a="1"/>
  <c r="CI26" i="18"/>
  <c r="ES81" i="8"/>
  <c r="CI74" i="18" a="1"/>
  <c r="CI74" i="18"/>
  <c r="ES129" i="8"/>
  <c r="CI122" i="18" a="1"/>
  <c r="CI122" i="18"/>
  <c r="AP26" i="8"/>
  <c r="AP31" i="8"/>
  <c r="AP36" i="8"/>
  <c r="AP74" i="8"/>
  <c r="AP79" i="8"/>
  <c r="AP84" i="8"/>
  <c r="AP116" i="8"/>
  <c r="AP120" i="8"/>
  <c r="AP124" i="8"/>
  <c r="AP128" i="8"/>
  <c r="AP28" i="8"/>
  <c r="AP39" i="8"/>
  <c r="ES37" i="8"/>
  <c r="CI30" i="18" a="1"/>
  <c r="CI30" i="18"/>
  <c r="ES85" i="8"/>
  <c r="CI78" i="18" a="1"/>
  <c r="CI78" i="18"/>
  <c r="ES117" i="8"/>
  <c r="CI110" i="18" a="1"/>
  <c r="CI110" i="18"/>
  <c r="AP27" i="8"/>
  <c r="AP32" i="8"/>
  <c r="AP38" i="8"/>
  <c r="AP75" i="8"/>
  <c r="AP80" i="8"/>
  <c r="AP85" i="8"/>
  <c r="AP117" i="8"/>
  <c r="AP121" i="8"/>
  <c r="AP125" i="8"/>
  <c r="AP129" i="8"/>
  <c r="AP76" i="8"/>
  <c r="AP30" i="8"/>
  <c r="AP72" i="8"/>
  <c r="AP118" i="8"/>
  <c r="AP126" i="8"/>
  <c r="AP35" i="8"/>
  <c r="AP78" i="8"/>
  <c r="AP119" i="8"/>
  <c r="AP127" i="8"/>
  <c r="AP83" i="8"/>
  <c r="AP123" i="8"/>
  <c r="AP40" i="8"/>
  <c r="AP82" i="8"/>
  <c r="AP122" i="8"/>
  <c r="AP130" i="8"/>
  <c r="K23" i="3"/>
  <c r="I23" i="3"/>
  <c r="K22" i="3"/>
  <c r="I22" i="3"/>
  <c r="E5" i="3"/>
  <c r="F5" i="3"/>
  <c r="G5" i="3"/>
  <c r="K5" i="3"/>
  <c r="I5" i="3"/>
  <c r="K14" i="3"/>
  <c r="I14" i="3"/>
  <c r="K13" i="3"/>
  <c r="I13" i="3"/>
  <c r="G4" i="3"/>
  <c r="F4" i="3"/>
  <c r="E4" i="3"/>
  <c r="F152" i="3"/>
  <c r="G152" i="3"/>
  <c r="F153" i="3"/>
  <c r="G153" i="3"/>
  <c r="F154" i="3"/>
  <c r="G154" i="3"/>
  <c r="F155" i="3"/>
  <c r="G155" i="3"/>
  <c r="F156" i="3"/>
  <c r="G156" i="3"/>
  <c r="F157" i="3"/>
  <c r="G157" i="3"/>
  <c r="G151" i="3"/>
  <c r="F151" i="3"/>
  <c r="CI126" i="17" a="1"/>
  <c r="CI126" i="17"/>
  <c r="CI126" i="18" a="1"/>
  <c r="CI126" i="18"/>
  <c r="CI127" i="17" a="1"/>
  <c r="CI127" i="17"/>
  <c r="CI127" i="18" a="1"/>
  <c r="CI127" i="18"/>
  <c r="CI125" i="17" a="1"/>
  <c r="CI125" i="17"/>
  <c r="CI125" i="18" a="1"/>
  <c r="CI125" i="18"/>
  <c r="CI136" i="17" a="1"/>
  <c r="CI136" i="17"/>
  <c r="CI136" i="18" a="1"/>
  <c r="CI136" i="18"/>
  <c r="CI137" i="17" a="1"/>
  <c r="CI137" i="17"/>
  <c r="CI137" i="18" a="1"/>
  <c r="CI137" i="18"/>
  <c r="CI132" i="17" a="1"/>
  <c r="CI132" i="17"/>
  <c r="CI132" i="18" a="1"/>
  <c r="CI132" i="18"/>
  <c r="CI134" i="17" a="1"/>
  <c r="CI134" i="17"/>
  <c r="CI134" i="18" a="1"/>
  <c r="CI134" i="18"/>
  <c r="CI135" i="18" a="1"/>
  <c r="CI135" i="18"/>
  <c r="CI135" i="17" a="1"/>
  <c r="CI135" i="17"/>
  <c r="CI133" i="17" a="1"/>
  <c r="CI133" i="17"/>
  <c r="CI133" i="18" a="1"/>
  <c r="CI133" i="18"/>
  <c r="CI128" i="17" a="1"/>
  <c r="CI128" i="17"/>
  <c r="CI128" i="18" a="1"/>
  <c r="CI128" i="18"/>
  <c r="CI51" i="1"/>
  <c r="CI4" i="18" a="1"/>
  <c r="CI4" i="18"/>
  <c r="CI138" i="17" a="1"/>
  <c r="CI138" i="17"/>
  <c r="CI138" i="18" a="1"/>
  <c r="CI138" i="18"/>
  <c r="CI130" i="17" a="1"/>
  <c r="CI130" i="17"/>
  <c r="CI130" i="18" a="1"/>
  <c r="CI130" i="18"/>
  <c r="CI131" i="17" a="1"/>
  <c r="CI131" i="17"/>
  <c r="CI131" i="18" a="1"/>
  <c r="CI131" i="18"/>
  <c r="CI129" i="17" a="1"/>
  <c r="CI129" i="17"/>
  <c r="CI129" i="18" a="1"/>
  <c r="CI129" i="18"/>
  <c r="CI124" i="17" a="1"/>
  <c r="CI124" i="17"/>
  <c r="CI124" i="18" a="1"/>
  <c r="CI124" i="18"/>
  <c r="K46" i="2"/>
  <c r="I46" i="2"/>
  <c r="K80" i="11"/>
  <c r="I80" i="11"/>
  <c r="K196" i="3"/>
  <c r="I196" i="3"/>
  <c r="F137" i="3"/>
  <c r="H1" i="10"/>
  <c r="D89" i="10"/>
  <c r="D88" i="10"/>
  <c r="EE21" i="1"/>
  <c r="FO21" i="1"/>
  <c r="AL21" i="1"/>
  <c r="EI21" i="1"/>
  <c r="BO21" i="1"/>
  <c r="G35" i="11"/>
  <c r="E35" i="11"/>
  <c r="K36" i="11"/>
  <c r="I36" i="11"/>
  <c r="K35" i="11"/>
  <c r="I35" i="11"/>
  <c r="K39" i="6"/>
  <c r="I39" i="6"/>
  <c r="K37" i="6"/>
  <c r="I37" i="6"/>
  <c r="K36" i="6"/>
  <c r="I36" i="6"/>
  <c r="K35" i="6"/>
  <c r="I35" i="6"/>
  <c r="K34" i="6"/>
  <c r="I34" i="6"/>
  <c r="K33" i="6"/>
  <c r="I33" i="6"/>
  <c r="K41" i="6"/>
  <c r="I41" i="6"/>
  <c r="K40" i="6"/>
  <c r="I40" i="6"/>
  <c r="G40" i="6"/>
  <c r="F40" i="6"/>
  <c r="K89" i="4"/>
  <c r="M89" i="4"/>
  <c r="K90" i="4"/>
  <c r="M90" i="4"/>
  <c r="K70" i="2"/>
  <c r="I70" i="2"/>
  <c r="K69" i="2"/>
  <c r="I69" i="2"/>
  <c r="K140" i="3"/>
  <c r="I140" i="3"/>
  <c r="K139" i="3"/>
  <c r="I139" i="3"/>
  <c r="G139" i="3"/>
  <c r="F139" i="3"/>
  <c r="F80" i="11"/>
  <c r="E134" i="4"/>
  <c r="F134" i="4"/>
  <c r="G134" i="4"/>
  <c r="F118" i="2"/>
  <c r="GI51" i="1"/>
  <c r="GI49" i="1"/>
  <c r="GI48" i="1"/>
  <c r="GI47" i="1"/>
  <c r="GI46" i="1"/>
  <c r="GI45" i="1"/>
  <c r="GI44" i="1"/>
  <c r="GI43" i="1"/>
  <c r="GI42" i="1"/>
  <c r="GI41" i="1"/>
  <c r="GI40" i="1"/>
  <c r="GI38" i="1"/>
  <c r="GI37" i="1"/>
  <c r="GI36" i="1"/>
  <c r="GI35" i="1"/>
  <c r="GI34" i="1"/>
  <c r="GI33" i="1"/>
  <c r="GI32" i="1"/>
  <c r="GI30" i="1"/>
  <c r="GI29" i="1"/>
  <c r="GI28" i="1"/>
  <c r="D99" i="10"/>
  <c r="FC21" i="1"/>
  <c r="FG26" i="1"/>
  <c r="CB124" i="17" a="1"/>
  <c r="CB124" i="17"/>
  <c r="CB127" i="17" a="1"/>
  <c r="CB127" i="17"/>
  <c r="CB130" i="17" a="1"/>
  <c r="CB130" i="17"/>
  <c r="CB133" i="17" a="1"/>
  <c r="CB133" i="17"/>
  <c r="CB136" i="17" a="1"/>
  <c r="CB136" i="17"/>
  <c r="CH12" i="8"/>
  <c r="CH13" i="8"/>
  <c r="CH14" i="8"/>
  <c r="CH15" i="8"/>
  <c r="CH16" i="8"/>
  <c r="CH17" i="8"/>
  <c r="CH18" i="8"/>
  <c r="CH19" i="8"/>
  <c r="CH20" i="8"/>
  <c r="CH21" i="8"/>
  <c r="CH22" i="8"/>
  <c r="CH23" i="8"/>
  <c r="CH24" i="8"/>
  <c r="CH25" i="8"/>
  <c r="CH56" i="8"/>
  <c r="CH57" i="8"/>
  <c r="CH58" i="8"/>
  <c r="CH59" i="8"/>
  <c r="CH60" i="8"/>
  <c r="CH61" i="8"/>
  <c r="CH62" i="8"/>
  <c r="CH63" i="8"/>
  <c r="CH64" i="8"/>
  <c r="CH65" i="8"/>
  <c r="CH66" i="8"/>
  <c r="CH67" i="8"/>
  <c r="CH68" i="8"/>
  <c r="CH69" i="8"/>
  <c r="CH70" i="8"/>
  <c r="CH101" i="8"/>
  <c r="CH102" i="8"/>
  <c r="CH103" i="8"/>
  <c r="CH104" i="8"/>
  <c r="CH105" i="8"/>
  <c r="CH106" i="8"/>
  <c r="CH107" i="8"/>
  <c r="CH108" i="8"/>
  <c r="CH109" i="8"/>
  <c r="CH110" i="8"/>
  <c r="CH111" i="8"/>
  <c r="CH112" i="8"/>
  <c r="CH113" i="8"/>
  <c r="CH114" i="8"/>
  <c r="CH115" i="8"/>
  <c r="CH11" i="8"/>
  <c r="FF4" i="8"/>
  <c r="F93" i="3"/>
  <c r="G93" i="3"/>
  <c r="E93" i="3"/>
  <c r="FL13" i="8"/>
  <c r="FL80" i="8"/>
  <c r="FL60" i="8"/>
  <c r="FL23" i="8"/>
  <c r="FL84" i="8"/>
  <c r="FL102" i="8"/>
  <c r="FL73" i="8"/>
  <c r="FL100" i="8"/>
  <c r="FL38" i="8"/>
  <c r="FL39" i="8"/>
  <c r="FL88" i="8"/>
  <c r="FL116" i="8"/>
  <c r="FL22" i="8"/>
  <c r="FL81" i="8"/>
  <c r="FL47" i="8"/>
  <c r="FL89" i="8"/>
  <c r="FL91" i="8"/>
  <c r="FL128" i="8"/>
  <c r="FL124" i="8"/>
  <c r="FL123" i="8"/>
  <c r="FL135" i="8"/>
  <c r="FL43" i="8"/>
  <c r="FL12" i="8"/>
  <c r="FL26" i="8"/>
  <c r="FL63" i="8"/>
  <c r="FL82" i="8"/>
  <c r="FL132" i="8"/>
  <c r="FL117" i="8"/>
  <c r="FL29" i="8"/>
  <c r="FL112" i="8"/>
  <c r="FL72" i="8"/>
  <c r="FL140" i="8"/>
  <c r="FL54" i="8"/>
  <c r="FL99" i="8"/>
  <c r="FL110" i="8"/>
  <c r="FL44" i="8"/>
  <c r="FL103" i="8"/>
  <c r="FL86" i="8"/>
  <c r="FL59" i="8"/>
  <c r="FL33" i="8"/>
  <c r="FL18" i="8"/>
  <c r="FL74" i="8"/>
  <c r="FL32" i="8"/>
  <c r="FL66" i="8"/>
  <c r="FL118" i="8"/>
  <c r="FL113" i="8"/>
  <c r="FL76" i="8"/>
  <c r="FL129" i="8"/>
  <c r="FL34" i="8"/>
  <c r="FL133" i="8"/>
  <c r="FL105" i="8"/>
  <c r="FL130" i="8"/>
  <c r="FL79" i="8"/>
  <c r="FL19" i="8"/>
  <c r="FL115" i="8"/>
  <c r="FL71" i="8"/>
  <c r="FL11" i="8"/>
  <c r="FL16" i="8"/>
  <c r="FL94" i="8"/>
  <c r="FL40" i="8"/>
  <c r="FL50" i="8"/>
  <c r="FL92" i="8"/>
  <c r="FL120" i="8"/>
  <c r="FL97" i="8"/>
  <c r="FL64" i="8"/>
  <c r="FL67" i="8"/>
  <c r="FL36" i="8"/>
  <c r="FL69" i="8"/>
  <c r="FL35" i="8"/>
  <c r="FL27" i="8"/>
  <c r="FL83" i="8"/>
  <c r="FL95" i="8"/>
  <c r="FL77" i="8"/>
  <c r="FL61" i="8"/>
  <c r="FL62" i="8"/>
  <c r="FL78" i="8"/>
  <c r="FL41" i="8"/>
  <c r="FL137" i="8"/>
  <c r="FL31" i="8"/>
  <c r="FL46" i="8"/>
  <c r="FL37" i="8"/>
  <c r="FL122" i="8"/>
  <c r="FL42" i="8"/>
  <c r="FL87" i="8"/>
  <c r="FL139" i="8"/>
  <c r="FL14" i="8"/>
  <c r="FL68" i="8"/>
  <c r="FL104" i="8"/>
  <c r="FL134" i="8"/>
  <c r="FL24" i="8"/>
  <c r="FL53" i="8"/>
  <c r="FL145" i="8"/>
  <c r="FL17" i="8"/>
  <c r="FL45" i="8"/>
  <c r="FL20" i="8"/>
  <c r="FL25" i="8"/>
  <c r="FL98" i="8"/>
  <c r="FL56" i="8"/>
  <c r="FL21" i="8"/>
  <c r="FL58" i="8"/>
  <c r="FL142" i="8"/>
  <c r="FL57" i="8"/>
  <c r="FL111" i="8"/>
  <c r="FL52" i="8"/>
  <c r="FL144" i="8"/>
  <c r="FL30" i="8"/>
  <c r="FL93" i="8"/>
  <c r="FL141" i="8"/>
  <c r="FL51" i="8"/>
  <c r="FL114" i="8"/>
  <c r="FL121" i="8"/>
  <c r="FL136" i="8"/>
  <c r="FL107" i="8"/>
  <c r="FL49" i="8"/>
  <c r="FL127" i="8"/>
  <c r="FL125" i="8"/>
  <c r="FL126" i="8"/>
  <c r="FL85" i="8"/>
  <c r="FL75" i="8"/>
  <c r="FL48" i="8"/>
  <c r="FL101" i="8"/>
  <c r="FL90" i="8"/>
  <c r="FL106" i="8"/>
  <c r="FL15" i="8"/>
  <c r="FL138" i="8"/>
  <c r="FL65" i="8"/>
  <c r="FL96" i="8"/>
  <c r="FL119" i="8"/>
  <c r="FL108" i="8"/>
  <c r="FL55" i="8"/>
  <c r="FL70" i="8"/>
  <c r="FL109" i="8"/>
  <c r="FL131" i="8"/>
  <c r="FL28" i="8"/>
  <c r="FL143" i="8"/>
  <c r="FM23" i="8"/>
  <c r="FM112" i="8"/>
  <c r="FM118" i="8"/>
  <c r="FM24" i="8"/>
  <c r="FM89" i="8"/>
  <c r="FM97" i="8"/>
  <c r="FM107" i="8"/>
  <c r="FM104" i="8"/>
  <c r="FM96" i="8"/>
  <c r="FM44" i="8"/>
  <c r="FM99" i="8"/>
  <c r="FM124" i="8"/>
  <c r="FM144" i="8"/>
  <c r="FM119" i="8"/>
  <c r="FM63" i="8"/>
  <c r="FM70" i="8"/>
  <c r="FM19" i="8"/>
  <c r="FM47" i="8"/>
  <c r="FM73" i="8"/>
  <c r="FM134" i="8"/>
  <c r="FM127" i="8"/>
  <c r="FM64" i="8"/>
  <c r="FM32" i="8"/>
  <c r="FM141" i="8"/>
  <c r="FM114" i="8"/>
  <c r="FM82" i="8"/>
  <c r="FM75" i="8"/>
  <c r="FM50" i="8"/>
  <c r="FM122" i="8"/>
  <c r="FM35" i="8"/>
  <c r="FM86" i="8"/>
  <c r="FM67" i="8"/>
  <c r="FM90" i="8"/>
  <c r="FM85" i="8"/>
  <c r="FM21" i="8"/>
  <c r="FM40" i="8"/>
  <c r="FM115" i="8"/>
  <c r="FM56" i="8"/>
  <c r="FM76" i="8"/>
  <c r="FM125" i="8"/>
  <c r="FM30" i="8"/>
  <c r="FM57" i="8"/>
  <c r="FM45" i="8"/>
  <c r="FM71" i="8"/>
  <c r="FM91" i="8"/>
  <c r="FM87" i="8"/>
  <c r="FM51" i="8"/>
  <c r="FM132" i="8"/>
  <c r="FM98" i="8"/>
  <c r="FM14" i="8"/>
  <c r="FM92" i="8"/>
  <c r="FM138" i="8"/>
  <c r="FM72" i="8"/>
  <c r="FM38" i="8"/>
  <c r="FM27" i="8"/>
  <c r="FM12" i="8"/>
  <c r="FM54" i="8"/>
  <c r="FM135" i="8"/>
  <c r="FM37" i="8"/>
  <c r="FM109" i="8"/>
  <c r="FM62" i="8"/>
  <c r="FM121" i="8"/>
  <c r="FM13" i="8"/>
  <c r="FM49" i="8"/>
  <c r="FM116" i="8"/>
  <c r="FM143" i="8"/>
  <c r="FM68" i="8"/>
  <c r="FM77" i="8"/>
  <c r="FM113" i="8"/>
  <c r="FM66" i="8"/>
  <c r="FM102" i="8"/>
  <c r="FM108" i="8"/>
  <c r="FM117" i="8"/>
  <c r="FM41" i="8"/>
  <c r="FM53" i="8"/>
  <c r="FM16" i="8"/>
  <c r="FM65" i="8"/>
  <c r="FM100" i="8"/>
  <c r="FM42" i="8"/>
  <c r="FM78" i="8"/>
  <c r="FM136" i="8"/>
  <c r="FM17" i="8"/>
  <c r="FM79" i="8"/>
  <c r="FM111" i="8"/>
  <c r="FM123" i="8"/>
  <c r="FM33" i="8"/>
  <c r="FM15" i="8"/>
  <c r="FM58" i="8"/>
  <c r="FM84" i="8"/>
  <c r="FM52" i="8"/>
  <c r="FM59" i="8"/>
  <c r="FM11" i="8"/>
  <c r="FM106" i="8"/>
  <c r="FM129" i="8"/>
  <c r="FM110" i="8"/>
  <c r="FM69" i="8"/>
  <c r="FM43" i="8"/>
  <c r="FM101" i="8"/>
  <c r="FM83" i="8"/>
  <c r="FM26" i="8"/>
  <c r="FM31" i="8"/>
  <c r="FM94" i="8"/>
  <c r="FM126" i="8"/>
  <c r="FM20" i="8"/>
  <c r="FM36" i="8"/>
  <c r="FM142" i="8"/>
  <c r="FM60" i="8"/>
  <c r="FM95" i="8"/>
  <c r="FM28" i="8"/>
  <c r="FM39" i="8"/>
  <c r="FM46" i="8"/>
  <c r="FM18" i="8"/>
  <c r="FM145" i="8"/>
  <c r="FM34" i="8"/>
  <c r="FM105" i="8"/>
  <c r="FM93" i="8"/>
  <c r="FM81" i="8"/>
  <c r="FM137" i="8"/>
  <c r="FM130" i="8"/>
  <c r="FM80" i="8"/>
  <c r="FM133" i="8"/>
  <c r="FM29" i="8"/>
  <c r="FM22" i="8"/>
  <c r="FM128" i="8"/>
  <c r="FM88" i="8"/>
  <c r="FM103" i="8"/>
  <c r="FM131" i="8"/>
  <c r="FM74" i="8"/>
  <c r="FM48" i="8"/>
  <c r="FM61" i="8"/>
  <c r="FM55" i="8"/>
  <c r="FM120" i="8"/>
  <c r="FM25" i="8"/>
  <c r="FM139" i="8"/>
  <c r="FM140" i="8"/>
  <c r="K67" i="3"/>
  <c r="I67" i="3"/>
  <c r="K66" i="3"/>
  <c r="I66" i="3"/>
  <c r="K65" i="3"/>
  <c r="I65" i="3"/>
  <c r="K64" i="3"/>
  <c r="I64" i="3"/>
  <c r="K63" i="3"/>
  <c r="I63" i="3"/>
  <c r="K62" i="3"/>
  <c r="I62" i="3"/>
  <c r="K61" i="3"/>
  <c r="I61" i="3"/>
  <c r="K60" i="3"/>
  <c r="I60" i="3"/>
  <c r="K59" i="3"/>
  <c r="I59" i="3"/>
  <c r="K58" i="3"/>
  <c r="I58" i="3"/>
  <c r="K57" i="3"/>
  <c r="I57" i="3"/>
  <c r="F34" i="6"/>
  <c r="F35" i="6"/>
  <c r="G34" i="6"/>
  <c r="G35" i="6"/>
  <c r="K22" i="6"/>
  <c r="I22" i="6"/>
  <c r="K21" i="6"/>
  <c r="I21" i="6"/>
  <c r="CC3" i="9"/>
  <c r="CA3" i="9"/>
  <c r="K11" i="11"/>
  <c r="I11" i="11"/>
  <c r="K9" i="11"/>
  <c r="I9" i="11"/>
  <c r="K7" i="11"/>
  <c r="I7" i="11"/>
  <c r="G9" i="11"/>
  <c r="E9" i="11"/>
  <c r="I10" i="11"/>
  <c r="K10" i="11"/>
  <c r="AJ11" i="8"/>
  <c r="AK11" i="8"/>
  <c r="AH11" i="8"/>
  <c r="AI11" i="8"/>
  <c r="AJ12" i="8"/>
  <c r="AK12" i="8"/>
  <c r="AH12" i="8"/>
  <c r="AI12" i="8"/>
  <c r="AJ13" i="8"/>
  <c r="AK13" i="8"/>
  <c r="AH13" i="8"/>
  <c r="AI13" i="8"/>
  <c r="AJ14" i="8"/>
  <c r="AK14" i="8"/>
  <c r="AH14" i="8"/>
  <c r="AI14" i="8"/>
  <c r="AJ15" i="8"/>
  <c r="AK15" i="8"/>
  <c r="AH15" i="8"/>
  <c r="AI15" i="8"/>
  <c r="AJ16" i="8"/>
  <c r="AK16" i="8"/>
  <c r="AH16" i="8"/>
  <c r="AI16" i="8"/>
  <c r="AJ17" i="8"/>
  <c r="AK17" i="8"/>
  <c r="AH17" i="8"/>
  <c r="AI17" i="8"/>
  <c r="AJ18" i="8"/>
  <c r="AK18" i="8"/>
  <c r="AH18" i="8"/>
  <c r="AI18" i="8"/>
  <c r="AJ19" i="8"/>
  <c r="AK19" i="8"/>
  <c r="AH19" i="8"/>
  <c r="AI19" i="8"/>
  <c r="AJ20" i="8"/>
  <c r="AK20" i="8"/>
  <c r="AH20" i="8"/>
  <c r="AI20" i="8"/>
  <c r="AJ21" i="8"/>
  <c r="AK21" i="8"/>
  <c r="AH21" i="8"/>
  <c r="AI21" i="8"/>
  <c r="AJ22" i="8"/>
  <c r="AK22" i="8"/>
  <c r="AH22" i="8"/>
  <c r="AI22" i="8"/>
  <c r="AJ23" i="8"/>
  <c r="AK23" i="8"/>
  <c r="AH23" i="8"/>
  <c r="AI23" i="8"/>
  <c r="AJ24" i="8"/>
  <c r="AK24" i="8"/>
  <c r="AH24" i="8"/>
  <c r="AI24" i="8"/>
  <c r="AJ25" i="8"/>
  <c r="AK25" i="8"/>
  <c r="AH25" i="8"/>
  <c r="AI25" i="8"/>
  <c r="AJ26" i="8"/>
  <c r="AK26" i="8"/>
  <c r="AH26" i="8"/>
  <c r="AI26" i="8"/>
  <c r="AJ27" i="8"/>
  <c r="AK27" i="8"/>
  <c r="AH27" i="8"/>
  <c r="AI27" i="8"/>
  <c r="AJ28" i="8"/>
  <c r="AK28" i="8"/>
  <c r="AH28" i="8"/>
  <c r="AI28" i="8"/>
  <c r="AJ29" i="8"/>
  <c r="AK29" i="8"/>
  <c r="AH29" i="8"/>
  <c r="AI29" i="8"/>
  <c r="AJ30" i="8"/>
  <c r="AK30" i="8"/>
  <c r="AH30" i="8"/>
  <c r="AI30" i="8"/>
  <c r="AJ31" i="8"/>
  <c r="AK31" i="8"/>
  <c r="AH31" i="8"/>
  <c r="AI31" i="8"/>
  <c r="AJ32" i="8"/>
  <c r="AK32" i="8"/>
  <c r="AH32" i="8"/>
  <c r="AI32" i="8"/>
  <c r="AJ33" i="8"/>
  <c r="AK33" i="8"/>
  <c r="AH33" i="8"/>
  <c r="AI33" i="8"/>
  <c r="AJ34" i="8"/>
  <c r="AK34" i="8"/>
  <c r="AH34" i="8"/>
  <c r="AI34" i="8"/>
  <c r="AJ35" i="8"/>
  <c r="AK35" i="8"/>
  <c r="AH35" i="8"/>
  <c r="AI35" i="8"/>
  <c r="AJ36" i="8"/>
  <c r="AK36" i="8"/>
  <c r="AH36" i="8"/>
  <c r="AI36" i="8"/>
  <c r="AJ37" i="8"/>
  <c r="AK37" i="8"/>
  <c r="AH37" i="8"/>
  <c r="AI37" i="8"/>
  <c r="AJ38" i="8"/>
  <c r="AK38" i="8"/>
  <c r="AH38" i="8"/>
  <c r="AI38" i="8"/>
  <c r="AJ39" i="8"/>
  <c r="AK39" i="8"/>
  <c r="AH39" i="8"/>
  <c r="AI39" i="8"/>
  <c r="AJ40" i="8"/>
  <c r="AK40" i="8"/>
  <c r="AH40" i="8"/>
  <c r="AI40" i="8"/>
  <c r="AJ41" i="8"/>
  <c r="AK41" i="8"/>
  <c r="AH41" i="8"/>
  <c r="AI41" i="8"/>
  <c r="AJ42" i="8"/>
  <c r="AK42" i="8"/>
  <c r="AH42" i="8"/>
  <c r="AI42" i="8"/>
  <c r="AJ43" i="8"/>
  <c r="AK43" i="8"/>
  <c r="AH43" i="8"/>
  <c r="AI43" i="8"/>
  <c r="AJ44" i="8"/>
  <c r="AK44" i="8"/>
  <c r="AH44" i="8"/>
  <c r="AI44" i="8"/>
  <c r="AJ45" i="8"/>
  <c r="AK45" i="8"/>
  <c r="AH45" i="8"/>
  <c r="AI45" i="8"/>
  <c r="AJ46" i="8"/>
  <c r="AK46" i="8"/>
  <c r="AH46" i="8"/>
  <c r="AI46" i="8"/>
  <c r="AJ47" i="8"/>
  <c r="AK47" i="8"/>
  <c r="AH47" i="8"/>
  <c r="AI47" i="8"/>
  <c r="AJ48" i="8"/>
  <c r="AK48" i="8"/>
  <c r="AH48" i="8"/>
  <c r="AI48" i="8"/>
  <c r="AJ49" i="8"/>
  <c r="AK49" i="8"/>
  <c r="AH49" i="8"/>
  <c r="AI49" i="8"/>
  <c r="AJ50" i="8"/>
  <c r="AK50" i="8"/>
  <c r="AH50" i="8"/>
  <c r="AI50" i="8"/>
  <c r="AJ51" i="8"/>
  <c r="AK51" i="8"/>
  <c r="AH51" i="8"/>
  <c r="AI51" i="8"/>
  <c r="AJ52" i="8"/>
  <c r="AK52" i="8"/>
  <c r="AH52" i="8"/>
  <c r="AI52" i="8"/>
  <c r="AJ53" i="8"/>
  <c r="AK53" i="8"/>
  <c r="AH53" i="8"/>
  <c r="AI53" i="8"/>
  <c r="AJ54" i="8"/>
  <c r="AK54" i="8"/>
  <c r="AH54" i="8"/>
  <c r="AI54" i="8"/>
  <c r="AJ55" i="8"/>
  <c r="AK55" i="8"/>
  <c r="AH55" i="8"/>
  <c r="AI55" i="8"/>
  <c r="AJ56" i="8"/>
  <c r="AK56" i="8"/>
  <c r="AH56" i="8"/>
  <c r="AI56" i="8"/>
  <c r="AJ57" i="8"/>
  <c r="AK57" i="8"/>
  <c r="AH57" i="8"/>
  <c r="AI57" i="8"/>
  <c r="AJ58" i="8"/>
  <c r="AK58" i="8"/>
  <c r="AH58" i="8"/>
  <c r="AI58" i="8"/>
  <c r="AJ59" i="8"/>
  <c r="AK59" i="8"/>
  <c r="AH59" i="8"/>
  <c r="AI59" i="8"/>
  <c r="AJ60" i="8"/>
  <c r="AK60" i="8"/>
  <c r="AH60" i="8"/>
  <c r="AI60" i="8"/>
  <c r="AJ61" i="8"/>
  <c r="AK61" i="8"/>
  <c r="AH61" i="8"/>
  <c r="AI61" i="8"/>
  <c r="AJ62" i="8"/>
  <c r="AK62" i="8"/>
  <c r="AH62" i="8"/>
  <c r="AI62" i="8"/>
  <c r="AJ63" i="8"/>
  <c r="AK63" i="8"/>
  <c r="AH63" i="8"/>
  <c r="AI63" i="8"/>
  <c r="AJ64" i="8"/>
  <c r="AK64" i="8"/>
  <c r="AH64" i="8"/>
  <c r="AI64" i="8"/>
  <c r="AJ65" i="8"/>
  <c r="AK65" i="8"/>
  <c r="AH65" i="8"/>
  <c r="AI65" i="8"/>
  <c r="AJ66" i="8"/>
  <c r="AK66" i="8"/>
  <c r="AH66" i="8"/>
  <c r="AI66" i="8"/>
  <c r="AJ67" i="8"/>
  <c r="AK67" i="8"/>
  <c r="AH67" i="8"/>
  <c r="AI67" i="8"/>
  <c r="AJ68" i="8"/>
  <c r="AK68" i="8"/>
  <c r="AH68" i="8"/>
  <c r="AI68" i="8"/>
  <c r="AJ69" i="8"/>
  <c r="AK69" i="8"/>
  <c r="AH69" i="8"/>
  <c r="AI69" i="8"/>
  <c r="AJ70" i="8"/>
  <c r="AK70" i="8"/>
  <c r="AH70" i="8"/>
  <c r="AI70" i="8"/>
  <c r="AJ71" i="8"/>
  <c r="AK71" i="8"/>
  <c r="AH71" i="8"/>
  <c r="AI71" i="8"/>
  <c r="AJ72" i="8"/>
  <c r="AK72" i="8"/>
  <c r="AH72" i="8"/>
  <c r="AI72" i="8"/>
  <c r="AJ73" i="8"/>
  <c r="AK73" i="8"/>
  <c r="AH73" i="8"/>
  <c r="AI73" i="8"/>
  <c r="AJ74" i="8"/>
  <c r="AK74" i="8"/>
  <c r="AH74" i="8"/>
  <c r="AI74" i="8"/>
  <c r="AJ75" i="8"/>
  <c r="AK75" i="8"/>
  <c r="AH75" i="8"/>
  <c r="AI75" i="8"/>
  <c r="AJ76" i="8"/>
  <c r="AK76" i="8"/>
  <c r="AH76" i="8"/>
  <c r="AI76" i="8"/>
  <c r="AJ77" i="8"/>
  <c r="AK77" i="8"/>
  <c r="AH77" i="8"/>
  <c r="AI77" i="8"/>
  <c r="AJ78" i="8"/>
  <c r="AK78" i="8"/>
  <c r="AH78" i="8"/>
  <c r="AI78" i="8"/>
  <c r="AJ79" i="8"/>
  <c r="AK79" i="8"/>
  <c r="AH79" i="8"/>
  <c r="AI79" i="8"/>
  <c r="AJ80" i="8"/>
  <c r="AK80" i="8"/>
  <c r="AH80" i="8"/>
  <c r="AI80" i="8"/>
  <c r="AJ81" i="8"/>
  <c r="AK81" i="8"/>
  <c r="AH81" i="8"/>
  <c r="AI81" i="8"/>
  <c r="AJ82" i="8"/>
  <c r="AK82" i="8"/>
  <c r="AH82" i="8"/>
  <c r="AI82" i="8"/>
  <c r="AJ83" i="8"/>
  <c r="AK83" i="8"/>
  <c r="AH83" i="8"/>
  <c r="AI83" i="8"/>
  <c r="AJ84" i="8"/>
  <c r="AK84" i="8"/>
  <c r="AH84" i="8"/>
  <c r="AI84" i="8"/>
  <c r="AJ85" i="8"/>
  <c r="AK85" i="8"/>
  <c r="AH85" i="8"/>
  <c r="AI85" i="8"/>
  <c r="AJ86" i="8"/>
  <c r="AK86" i="8"/>
  <c r="AH86" i="8"/>
  <c r="AI86" i="8"/>
  <c r="AJ87" i="8"/>
  <c r="AK87" i="8"/>
  <c r="AH87" i="8"/>
  <c r="AI87" i="8"/>
  <c r="AJ88" i="8"/>
  <c r="AK88" i="8"/>
  <c r="AH88" i="8"/>
  <c r="AI88" i="8"/>
  <c r="AJ89" i="8"/>
  <c r="AK89" i="8"/>
  <c r="AH89" i="8"/>
  <c r="AI89" i="8"/>
  <c r="AJ90" i="8"/>
  <c r="AK90" i="8"/>
  <c r="AH90" i="8"/>
  <c r="AI90" i="8"/>
  <c r="AJ91" i="8"/>
  <c r="AK91" i="8"/>
  <c r="AH91" i="8"/>
  <c r="AI91" i="8"/>
  <c r="AJ92" i="8"/>
  <c r="AK92" i="8"/>
  <c r="AH92" i="8"/>
  <c r="AI92" i="8"/>
  <c r="AJ93" i="8"/>
  <c r="AK93" i="8"/>
  <c r="AH93" i="8"/>
  <c r="AI93" i="8"/>
  <c r="AJ94" i="8"/>
  <c r="AK94" i="8"/>
  <c r="AH94" i="8"/>
  <c r="AI94" i="8"/>
  <c r="AJ95" i="8"/>
  <c r="AK95" i="8"/>
  <c r="AH95" i="8"/>
  <c r="AI95" i="8"/>
  <c r="AJ96" i="8"/>
  <c r="AK96" i="8"/>
  <c r="AH96" i="8"/>
  <c r="AI96" i="8"/>
  <c r="AJ97" i="8"/>
  <c r="AK97" i="8"/>
  <c r="AH97" i="8"/>
  <c r="AI97" i="8"/>
  <c r="AJ98" i="8"/>
  <c r="AK98" i="8"/>
  <c r="AH98" i="8"/>
  <c r="AI98" i="8"/>
  <c r="AJ99" i="8"/>
  <c r="AK99" i="8"/>
  <c r="AH99" i="8"/>
  <c r="AI99" i="8"/>
  <c r="AJ100" i="8"/>
  <c r="AK100" i="8"/>
  <c r="AH100" i="8"/>
  <c r="AI100" i="8"/>
  <c r="AJ101" i="8"/>
  <c r="AK101" i="8"/>
  <c r="AH101" i="8"/>
  <c r="AI101" i="8"/>
  <c r="AJ102" i="8"/>
  <c r="AK102" i="8"/>
  <c r="AH102" i="8"/>
  <c r="AI102" i="8"/>
  <c r="AJ103" i="8"/>
  <c r="AK103" i="8"/>
  <c r="AH103" i="8"/>
  <c r="AI103" i="8"/>
  <c r="AJ104" i="8"/>
  <c r="AK104" i="8"/>
  <c r="AH104" i="8"/>
  <c r="AI104" i="8"/>
  <c r="AJ105" i="8"/>
  <c r="AK105" i="8"/>
  <c r="AH105" i="8"/>
  <c r="AI105" i="8"/>
  <c r="AJ106" i="8"/>
  <c r="AK106" i="8"/>
  <c r="AH106" i="8"/>
  <c r="AI106" i="8"/>
  <c r="AJ107" i="8"/>
  <c r="AK107" i="8"/>
  <c r="AH107" i="8"/>
  <c r="AI107" i="8"/>
  <c r="AJ108" i="8"/>
  <c r="AK108" i="8"/>
  <c r="AH108" i="8"/>
  <c r="AI108" i="8"/>
  <c r="AJ109" i="8"/>
  <c r="AK109" i="8"/>
  <c r="AH109" i="8"/>
  <c r="AI109" i="8"/>
  <c r="AJ110" i="8"/>
  <c r="AK110" i="8"/>
  <c r="AH110" i="8"/>
  <c r="AI110" i="8"/>
  <c r="AJ111" i="8"/>
  <c r="AK111" i="8"/>
  <c r="AH111" i="8"/>
  <c r="AI111" i="8"/>
  <c r="AJ112" i="8"/>
  <c r="AK112" i="8"/>
  <c r="AH112" i="8"/>
  <c r="AI112" i="8"/>
  <c r="AJ113" i="8"/>
  <c r="AK113" i="8"/>
  <c r="AH113" i="8"/>
  <c r="AI113" i="8"/>
  <c r="AJ114" i="8"/>
  <c r="AK114" i="8"/>
  <c r="AH114" i="8"/>
  <c r="AI114" i="8"/>
  <c r="AJ115" i="8"/>
  <c r="AK115" i="8"/>
  <c r="AH115" i="8"/>
  <c r="AI115" i="8"/>
  <c r="AJ116" i="8"/>
  <c r="AK116" i="8"/>
  <c r="AH116" i="8"/>
  <c r="AI116" i="8"/>
  <c r="AJ117" i="8"/>
  <c r="AK117" i="8"/>
  <c r="AH117" i="8"/>
  <c r="AI117" i="8"/>
  <c r="AJ118" i="8"/>
  <c r="AK118" i="8"/>
  <c r="AH118" i="8"/>
  <c r="AI118" i="8"/>
  <c r="AJ119" i="8"/>
  <c r="AK119" i="8"/>
  <c r="AH119" i="8"/>
  <c r="AI119" i="8"/>
  <c r="AJ120" i="8"/>
  <c r="AK120" i="8"/>
  <c r="AH120" i="8"/>
  <c r="AI120" i="8"/>
  <c r="AJ121" i="8"/>
  <c r="AK121" i="8"/>
  <c r="AH121" i="8"/>
  <c r="AI121" i="8"/>
  <c r="AJ122" i="8"/>
  <c r="AK122" i="8"/>
  <c r="AH122" i="8"/>
  <c r="AI122" i="8"/>
  <c r="AJ123" i="8"/>
  <c r="AK123" i="8"/>
  <c r="AH123" i="8"/>
  <c r="AI123" i="8"/>
  <c r="AJ124" i="8"/>
  <c r="AK124" i="8"/>
  <c r="AH124" i="8"/>
  <c r="AI124" i="8"/>
  <c r="AJ125" i="8"/>
  <c r="AK125" i="8"/>
  <c r="AH125" i="8"/>
  <c r="AI125" i="8"/>
  <c r="AJ126" i="8"/>
  <c r="AK126" i="8"/>
  <c r="AH126" i="8"/>
  <c r="AI126" i="8"/>
  <c r="AJ127" i="8"/>
  <c r="AK127" i="8"/>
  <c r="AH127" i="8"/>
  <c r="AI127" i="8"/>
  <c r="AJ128" i="8"/>
  <c r="AK128" i="8"/>
  <c r="AH128" i="8"/>
  <c r="AI128" i="8"/>
  <c r="AJ129" i="8"/>
  <c r="AK129" i="8"/>
  <c r="AH129" i="8"/>
  <c r="AI129" i="8"/>
  <c r="AJ130" i="8"/>
  <c r="AK130" i="8"/>
  <c r="AH130" i="8"/>
  <c r="AI130" i="8"/>
  <c r="AJ131" i="8"/>
  <c r="AK131" i="8"/>
  <c r="AH131" i="8"/>
  <c r="AI131" i="8"/>
  <c r="E68" i="6"/>
  <c r="DC131" i="8"/>
  <c r="AJ132" i="8"/>
  <c r="AK132" i="8"/>
  <c r="AH132" i="8"/>
  <c r="AI132" i="8"/>
  <c r="AJ133" i="8"/>
  <c r="AK133" i="8"/>
  <c r="AH133" i="8"/>
  <c r="AI133" i="8"/>
  <c r="AJ134" i="8"/>
  <c r="AK134" i="8"/>
  <c r="AH134" i="8"/>
  <c r="AI134" i="8"/>
  <c r="DC134" i="8"/>
  <c r="AJ135" i="8"/>
  <c r="AK135" i="8"/>
  <c r="AH135" i="8"/>
  <c r="AI135" i="8"/>
  <c r="AJ136" i="8"/>
  <c r="AK136" i="8"/>
  <c r="AH136" i="8"/>
  <c r="AI136" i="8"/>
  <c r="AJ137" i="8"/>
  <c r="AK137" i="8"/>
  <c r="AH137" i="8"/>
  <c r="AI137" i="8"/>
  <c r="DC137" i="8"/>
  <c r="AJ138" i="8"/>
  <c r="AK138" i="8"/>
  <c r="AH138" i="8"/>
  <c r="AI138" i="8"/>
  <c r="AJ139" i="8"/>
  <c r="AK139" i="8"/>
  <c r="AH139" i="8"/>
  <c r="AI139" i="8"/>
  <c r="AJ140" i="8"/>
  <c r="AK140" i="8"/>
  <c r="AH140" i="8"/>
  <c r="AI140" i="8"/>
  <c r="DC140" i="8"/>
  <c r="AJ141" i="8"/>
  <c r="AK141" i="8"/>
  <c r="AH141" i="8"/>
  <c r="AI141" i="8"/>
  <c r="AJ142" i="8"/>
  <c r="AK142" i="8"/>
  <c r="AH142" i="8"/>
  <c r="AI142" i="8"/>
  <c r="AJ143" i="8"/>
  <c r="AK143" i="8"/>
  <c r="AH143" i="8"/>
  <c r="AI143" i="8"/>
  <c r="DC143" i="8"/>
  <c r="AJ144" i="8"/>
  <c r="AK144" i="8"/>
  <c r="AH144" i="8"/>
  <c r="AI144" i="8"/>
  <c r="AJ145" i="8"/>
  <c r="AK145" i="8"/>
  <c r="AH145" i="8"/>
  <c r="AI145" i="8"/>
  <c r="GG10" i="8" a="1"/>
  <c r="GG10" i="8"/>
  <c r="BR140" i="8"/>
  <c r="DT8" i="8"/>
  <c r="BV140" i="8"/>
  <c r="DX8" i="8"/>
  <c r="DZ8" i="8"/>
  <c r="EB8" i="8"/>
  <c r="F140" i="8"/>
  <c r="DC11" i="8"/>
  <c r="CC4" i="18" a="1"/>
  <c r="CC4" i="18"/>
  <c r="DC14" i="8"/>
  <c r="CC7" i="18" a="1"/>
  <c r="CC7" i="18"/>
  <c r="DC17" i="8"/>
  <c r="CC10" i="18" a="1"/>
  <c r="CC10" i="18"/>
  <c r="DC20" i="8"/>
  <c r="CC13" i="18" a="1"/>
  <c r="CC13" i="18"/>
  <c r="DC23" i="8"/>
  <c r="CC16" i="18" a="1"/>
  <c r="CC16" i="18"/>
  <c r="DC26" i="8"/>
  <c r="CC19" i="18" a="1"/>
  <c r="CC19" i="18"/>
  <c r="DC29" i="8"/>
  <c r="CC22" i="18" a="1"/>
  <c r="CC22" i="18"/>
  <c r="DC32" i="8"/>
  <c r="CC25" i="18" a="1"/>
  <c r="CC25" i="18"/>
  <c r="DC35" i="8"/>
  <c r="CC28" i="18" a="1"/>
  <c r="CC28" i="18"/>
  <c r="DC38" i="8"/>
  <c r="CC31" i="18" a="1"/>
  <c r="CC31" i="18"/>
  <c r="DC41" i="8"/>
  <c r="CC34" i="18" a="1"/>
  <c r="CC34" i="18"/>
  <c r="DC44" i="8"/>
  <c r="CC37" i="18" a="1"/>
  <c r="CC37" i="18"/>
  <c r="DC47" i="8"/>
  <c r="CC40" i="18" a="1"/>
  <c r="CC40" i="18"/>
  <c r="DC50" i="8"/>
  <c r="CC43" i="18" a="1"/>
  <c r="CC43" i="18"/>
  <c r="DC53" i="8"/>
  <c r="CC46" i="18" a="1"/>
  <c r="CC46" i="18"/>
  <c r="DC56" i="8"/>
  <c r="CC49" i="18" a="1"/>
  <c r="CC49" i="18"/>
  <c r="DC59" i="8"/>
  <c r="CC52" i="18" a="1"/>
  <c r="CC52" i="18"/>
  <c r="DC62" i="8"/>
  <c r="CC55" i="18" a="1"/>
  <c r="CC55" i="18"/>
  <c r="DC65" i="8"/>
  <c r="CC58" i="18" a="1"/>
  <c r="CC58" i="18"/>
  <c r="DC68" i="8"/>
  <c r="CC61" i="18" a="1"/>
  <c r="CC61" i="18"/>
  <c r="DC71" i="8"/>
  <c r="CC64" i="18" a="1"/>
  <c r="CC64" i="18"/>
  <c r="DC74" i="8"/>
  <c r="CC67" i="18" a="1"/>
  <c r="CC67" i="18"/>
  <c r="DC77" i="8"/>
  <c r="CC70" i="18" a="1"/>
  <c r="CC70" i="18"/>
  <c r="DC80" i="8"/>
  <c r="CC73" i="18" a="1"/>
  <c r="CC73" i="18"/>
  <c r="DC83" i="8"/>
  <c r="CC76" i="18" a="1"/>
  <c r="CC76" i="18"/>
  <c r="DC86" i="8"/>
  <c r="CC79" i="18" a="1"/>
  <c r="CC79" i="18"/>
  <c r="DC89" i="8"/>
  <c r="CC82" i="18" a="1"/>
  <c r="CC82" i="18"/>
  <c r="DC92" i="8"/>
  <c r="CC85" i="18" a="1"/>
  <c r="CC85" i="18"/>
  <c r="DC95" i="8"/>
  <c r="CC88" i="18" a="1"/>
  <c r="CC88" i="18"/>
  <c r="DC98" i="8"/>
  <c r="CC91" i="18" a="1"/>
  <c r="CC91" i="18"/>
  <c r="DC101" i="8"/>
  <c r="CC94" i="18" a="1"/>
  <c r="CC94" i="18"/>
  <c r="DC104" i="8"/>
  <c r="CC97" i="18" a="1"/>
  <c r="CC97" i="18"/>
  <c r="DC107" i="8"/>
  <c r="CC100" i="18" a="1"/>
  <c r="CC100" i="18"/>
  <c r="DC110" i="8"/>
  <c r="CC103" i="18" a="1"/>
  <c r="CC103" i="18"/>
  <c r="DC113" i="8"/>
  <c r="CC106" i="18" a="1"/>
  <c r="CC106" i="18"/>
  <c r="DC116" i="8"/>
  <c r="CC109" i="18" a="1"/>
  <c r="CC109" i="18"/>
  <c r="DC119" i="8"/>
  <c r="CC112" i="18" a="1"/>
  <c r="CC112" i="18"/>
  <c r="DC122" i="8"/>
  <c r="CC115" i="18" a="1"/>
  <c r="CC115" i="18"/>
  <c r="DC125" i="8"/>
  <c r="CC118" i="18" a="1"/>
  <c r="CC118" i="18"/>
  <c r="DC128" i="8"/>
  <c r="CC121" i="18" a="1"/>
  <c r="CC121" i="18"/>
  <c r="DU8" i="8"/>
  <c r="F13" i="8"/>
  <c r="BZ3" i="9"/>
  <c r="BR12" i="8"/>
  <c r="BV12" i="8"/>
  <c r="F12" i="8"/>
  <c r="EE12" i="8"/>
  <c r="BR13" i="8"/>
  <c r="BV13" i="8"/>
  <c r="BR14" i="8"/>
  <c r="BV14" i="8"/>
  <c r="F14" i="8"/>
  <c r="BR15" i="8"/>
  <c r="BV15" i="8"/>
  <c r="F15" i="8"/>
  <c r="BR16" i="8"/>
  <c r="BV16" i="8"/>
  <c r="F16" i="8"/>
  <c r="BR17" i="8"/>
  <c r="BV17" i="8"/>
  <c r="F17" i="8"/>
  <c r="EE17" i="8"/>
  <c r="BR18" i="8"/>
  <c r="BV18" i="8"/>
  <c r="F18" i="8"/>
  <c r="BR19" i="8"/>
  <c r="BV19" i="8"/>
  <c r="F19" i="8"/>
  <c r="BR20" i="8"/>
  <c r="BV20" i="8"/>
  <c r="F20" i="8"/>
  <c r="BR21" i="8"/>
  <c r="BV21" i="8"/>
  <c r="F21" i="8"/>
  <c r="BR22" i="8"/>
  <c r="BV22" i="8"/>
  <c r="F22" i="8"/>
  <c r="BR23" i="8"/>
  <c r="BV23" i="8"/>
  <c r="F23" i="8"/>
  <c r="BR24" i="8"/>
  <c r="BV24" i="8"/>
  <c r="F24" i="8"/>
  <c r="BR25" i="8"/>
  <c r="BV25" i="8"/>
  <c r="F25" i="8"/>
  <c r="EE25" i="8"/>
  <c r="BR26" i="8"/>
  <c r="BV26" i="8"/>
  <c r="F26" i="8"/>
  <c r="BR27" i="8"/>
  <c r="BV27" i="8"/>
  <c r="F27" i="8"/>
  <c r="BR28" i="8"/>
  <c r="BV28" i="8"/>
  <c r="F28" i="8"/>
  <c r="BR29" i="8"/>
  <c r="BV29" i="8"/>
  <c r="F29" i="8"/>
  <c r="BR30" i="8"/>
  <c r="BV30" i="8"/>
  <c r="F30" i="8"/>
  <c r="BR31" i="8"/>
  <c r="BV31" i="8"/>
  <c r="F31" i="8"/>
  <c r="BR32" i="8"/>
  <c r="BV32" i="8"/>
  <c r="F32" i="8"/>
  <c r="BR33" i="8"/>
  <c r="BV33" i="8"/>
  <c r="F33" i="8"/>
  <c r="BR34" i="8"/>
  <c r="BV34" i="8"/>
  <c r="F34" i="8"/>
  <c r="BR35" i="8"/>
  <c r="BV35" i="8"/>
  <c r="F35" i="8"/>
  <c r="BR36" i="8"/>
  <c r="BV36" i="8"/>
  <c r="F36" i="8"/>
  <c r="EE36" i="8"/>
  <c r="BR37" i="8"/>
  <c r="BV37" i="8"/>
  <c r="F37" i="8"/>
  <c r="BR38" i="8"/>
  <c r="BV38" i="8"/>
  <c r="F38" i="8"/>
  <c r="EE38" i="8"/>
  <c r="BR39" i="8"/>
  <c r="BV39" i="8"/>
  <c r="F39" i="8"/>
  <c r="EE39" i="8"/>
  <c r="BR40" i="8"/>
  <c r="BV40" i="8"/>
  <c r="F40" i="8"/>
  <c r="BR41" i="8"/>
  <c r="BV41" i="8"/>
  <c r="F41" i="8"/>
  <c r="BR42" i="8"/>
  <c r="BV42" i="8"/>
  <c r="F42" i="8"/>
  <c r="BR43" i="8"/>
  <c r="BV43" i="8"/>
  <c r="F43" i="8"/>
  <c r="EE43" i="8"/>
  <c r="BR44" i="8"/>
  <c r="BV44" i="8"/>
  <c r="F44" i="8"/>
  <c r="BR45" i="8"/>
  <c r="BV45" i="8"/>
  <c r="F45" i="8"/>
  <c r="BR46" i="8"/>
  <c r="BV46" i="8"/>
  <c r="F46" i="8"/>
  <c r="BR47" i="8"/>
  <c r="BV47" i="8"/>
  <c r="F47" i="8"/>
  <c r="EE47" i="8"/>
  <c r="BR48" i="8"/>
  <c r="BV48" i="8"/>
  <c r="F48" i="8"/>
  <c r="BR49" i="8"/>
  <c r="BV49" i="8"/>
  <c r="F49" i="8"/>
  <c r="BR50" i="8"/>
  <c r="BV50" i="8"/>
  <c r="F50" i="8"/>
  <c r="BR51" i="8"/>
  <c r="BV51" i="8"/>
  <c r="F51" i="8"/>
  <c r="BR52" i="8"/>
  <c r="BV52" i="8"/>
  <c r="F52" i="8"/>
  <c r="BR53" i="8"/>
  <c r="BV53" i="8"/>
  <c r="F53" i="8"/>
  <c r="BR54" i="8"/>
  <c r="BV54" i="8"/>
  <c r="F54" i="8"/>
  <c r="BR55" i="8"/>
  <c r="BV55" i="8"/>
  <c r="F55" i="8"/>
  <c r="BR56" i="8"/>
  <c r="BV56" i="8"/>
  <c r="F56" i="8"/>
  <c r="BR57" i="8"/>
  <c r="BV57" i="8"/>
  <c r="F57" i="8"/>
  <c r="EE57" i="8"/>
  <c r="BR58" i="8"/>
  <c r="BV58" i="8"/>
  <c r="F58" i="8"/>
  <c r="BR59" i="8"/>
  <c r="BV59" i="8"/>
  <c r="F59" i="8"/>
  <c r="BR60" i="8"/>
  <c r="BV60" i="8"/>
  <c r="F60" i="8"/>
  <c r="EE60" i="8"/>
  <c r="BR61" i="8"/>
  <c r="BV61" i="8"/>
  <c r="F61" i="8"/>
  <c r="BR62" i="8"/>
  <c r="BV62" i="8"/>
  <c r="F62" i="8"/>
  <c r="EE62" i="8"/>
  <c r="BR63" i="8"/>
  <c r="BV63" i="8"/>
  <c r="F63" i="8"/>
  <c r="BR64" i="8"/>
  <c r="BV64" i="8"/>
  <c r="F64" i="8"/>
  <c r="BR65" i="8"/>
  <c r="BV65" i="8"/>
  <c r="F65" i="8"/>
  <c r="EE65" i="8"/>
  <c r="BR66" i="8"/>
  <c r="BV66" i="8"/>
  <c r="F66" i="8"/>
  <c r="EE66" i="8"/>
  <c r="BR67" i="8"/>
  <c r="BV67" i="8"/>
  <c r="F67" i="8"/>
  <c r="EE67" i="8"/>
  <c r="BR68" i="8"/>
  <c r="BV68" i="8"/>
  <c r="F68" i="8"/>
  <c r="BR69" i="8"/>
  <c r="BV69" i="8"/>
  <c r="F69" i="8"/>
  <c r="BR70" i="8"/>
  <c r="BV70" i="8"/>
  <c r="F70" i="8"/>
  <c r="BR71" i="8"/>
  <c r="BV71" i="8"/>
  <c r="F71" i="8"/>
  <c r="BR72" i="8"/>
  <c r="BV72" i="8"/>
  <c r="F72" i="8"/>
  <c r="BR73" i="8"/>
  <c r="BV73" i="8"/>
  <c r="F73" i="8"/>
  <c r="BR74" i="8"/>
  <c r="BV74" i="8"/>
  <c r="F74" i="8"/>
  <c r="BR75" i="8"/>
  <c r="BV75" i="8"/>
  <c r="F75" i="8"/>
  <c r="BR76" i="8"/>
  <c r="BV76" i="8"/>
  <c r="F76" i="8"/>
  <c r="BR77" i="8"/>
  <c r="BV77" i="8"/>
  <c r="F77" i="8"/>
  <c r="BR78" i="8"/>
  <c r="BV78" i="8"/>
  <c r="F78" i="8"/>
  <c r="BR79" i="8"/>
  <c r="BV79" i="8"/>
  <c r="F79" i="8"/>
  <c r="BR80" i="8"/>
  <c r="BV80" i="8"/>
  <c r="F80" i="8"/>
  <c r="BR81" i="8"/>
  <c r="BV81" i="8"/>
  <c r="F81" i="8"/>
  <c r="BR82" i="8"/>
  <c r="BV82" i="8"/>
  <c r="F82" i="8"/>
  <c r="BR83" i="8"/>
  <c r="BV83" i="8"/>
  <c r="F83" i="8"/>
  <c r="BR84" i="8"/>
  <c r="BV84" i="8"/>
  <c r="F84" i="8"/>
  <c r="BR85" i="8"/>
  <c r="BV85" i="8"/>
  <c r="F85" i="8"/>
  <c r="EE85" i="8"/>
  <c r="BR86" i="8"/>
  <c r="BV86" i="8"/>
  <c r="F86" i="8"/>
  <c r="BR87" i="8"/>
  <c r="BV87" i="8"/>
  <c r="F87" i="8"/>
  <c r="BR88" i="8"/>
  <c r="BV88" i="8"/>
  <c r="F88" i="8"/>
  <c r="BR89" i="8"/>
  <c r="BV89" i="8"/>
  <c r="F89" i="8"/>
  <c r="BR90" i="8"/>
  <c r="BV90" i="8"/>
  <c r="F90" i="8"/>
  <c r="BR91" i="8"/>
  <c r="BV91" i="8"/>
  <c r="F91" i="8"/>
  <c r="BR92" i="8"/>
  <c r="BV92" i="8"/>
  <c r="F92" i="8"/>
  <c r="EE92" i="8"/>
  <c r="BR93" i="8"/>
  <c r="BV93" i="8"/>
  <c r="F93" i="8"/>
  <c r="BR94" i="8"/>
  <c r="BV94" i="8"/>
  <c r="F94" i="8"/>
  <c r="BR95" i="8"/>
  <c r="BV95" i="8"/>
  <c r="F95" i="8"/>
  <c r="BR96" i="8"/>
  <c r="BV96" i="8"/>
  <c r="F96" i="8"/>
  <c r="BR97" i="8"/>
  <c r="BV97" i="8"/>
  <c r="F97" i="8"/>
  <c r="BR98" i="8"/>
  <c r="BV98" i="8"/>
  <c r="F98" i="8"/>
  <c r="BR99" i="8"/>
  <c r="BV99" i="8"/>
  <c r="F99" i="8"/>
  <c r="BR100" i="8"/>
  <c r="BV100" i="8"/>
  <c r="F100" i="8"/>
  <c r="BR101" i="8"/>
  <c r="BV101" i="8"/>
  <c r="F101" i="8"/>
  <c r="BR102" i="8"/>
  <c r="BV102" i="8"/>
  <c r="F102" i="8"/>
  <c r="BR103" i="8"/>
  <c r="BV103" i="8"/>
  <c r="F103" i="8"/>
  <c r="BR104" i="8"/>
  <c r="BV104" i="8"/>
  <c r="F104" i="8"/>
  <c r="BR105" i="8"/>
  <c r="BV105" i="8"/>
  <c r="F105" i="8"/>
  <c r="BR106" i="8"/>
  <c r="BV106" i="8"/>
  <c r="F106" i="8"/>
  <c r="BR107" i="8"/>
  <c r="BV107" i="8"/>
  <c r="F107" i="8"/>
  <c r="BR108" i="8"/>
  <c r="BV108" i="8"/>
  <c r="F108" i="8"/>
  <c r="BR109" i="8"/>
  <c r="BV109" i="8"/>
  <c r="F109" i="8"/>
  <c r="BR110" i="8"/>
  <c r="BV110" i="8"/>
  <c r="F110" i="8"/>
  <c r="BR111" i="8"/>
  <c r="BV111" i="8"/>
  <c r="F111" i="8"/>
  <c r="BR112" i="8"/>
  <c r="BV112" i="8"/>
  <c r="F112" i="8"/>
  <c r="BR113" i="8"/>
  <c r="BV113" i="8"/>
  <c r="F113" i="8"/>
  <c r="BR114" i="8"/>
  <c r="BV114" i="8"/>
  <c r="F114" i="8"/>
  <c r="BR115" i="8"/>
  <c r="BV115" i="8"/>
  <c r="F115" i="8"/>
  <c r="BR116" i="8"/>
  <c r="BV116" i="8"/>
  <c r="F116" i="8"/>
  <c r="BR117" i="8"/>
  <c r="BV117" i="8"/>
  <c r="F117" i="8"/>
  <c r="BR118" i="8"/>
  <c r="BV118" i="8"/>
  <c r="F118" i="8"/>
  <c r="BR119" i="8"/>
  <c r="BV119" i="8"/>
  <c r="F119" i="8"/>
  <c r="BR120" i="8"/>
  <c r="BV120" i="8"/>
  <c r="F120" i="8"/>
  <c r="BR121" i="8"/>
  <c r="BV121" i="8"/>
  <c r="F121" i="8"/>
  <c r="BR122" i="8"/>
  <c r="BV122" i="8"/>
  <c r="F122" i="8"/>
  <c r="BR123" i="8"/>
  <c r="BV123" i="8"/>
  <c r="F123" i="8"/>
  <c r="BR124" i="8"/>
  <c r="BV124" i="8"/>
  <c r="F124" i="8"/>
  <c r="BR125" i="8"/>
  <c r="BV125" i="8"/>
  <c r="F125" i="8"/>
  <c r="BR126" i="8"/>
  <c r="BV126" i="8"/>
  <c r="F126" i="8"/>
  <c r="BR127" i="8"/>
  <c r="BV127" i="8"/>
  <c r="F127" i="8"/>
  <c r="BR128" i="8"/>
  <c r="BV128" i="8"/>
  <c r="F128" i="8"/>
  <c r="BR129" i="8"/>
  <c r="BV129" i="8"/>
  <c r="F129" i="8"/>
  <c r="BR130" i="8"/>
  <c r="BV130" i="8"/>
  <c r="F130" i="8"/>
  <c r="BR131" i="8"/>
  <c r="BV131" i="8"/>
  <c r="F131" i="8"/>
  <c r="EE131" i="8"/>
  <c r="BR132" i="8"/>
  <c r="BV132" i="8"/>
  <c r="F132" i="8"/>
  <c r="BR133" i="8"/>
  <c r="BV133" i="8"/>
  <c r="F133" i="8"/>
  <c r="EE133" i="8"/>
  <c r="BR134" i="8"/>
  <c r="BV134" i="8"/>
  <c r="F134" i="8"/>
  <c r="BR135" i="8"/>
  <c r="BV135" i="8"/>
  <c r="F135" i="8"/>
  <c r="BR136" i="8"/>
  <c r="BV136" i="8"/>
  <c r="F136" i="8"/>
  <c r="EE136" i="8"/>
  <c r="BR137" i="8"/>
  <c r="BV137" i="8"/>
  <c r="F137" i="8"/>
  <c r="EE137" i="8"/>
  <c r="BR138" i="8"/>
  <c r="BV138" i="8"/>
  <c r="F138" i="8"/>
  <c r="BR139" i="8"/>
  <c r="BV139" i="8"/>
  <c r="F139" i="8"/>
  <c r="EE139" i="8"/>
  <c r="BR141" i="8"/>
  <c r="BV141" i="8"/>
  <c r="F141" i="8"/>
  <c r="BR142" i="8"/>
  <c r="BV142" i="8"/>
  <c r="F142" i="8"/>
  <c r="EE142" i="8"/>
  <c r="BR143" i="8"/>
  <c r="BV143" i="8"/>
  <c r="F143" i="8"/>
  <c r="BR144" i="8"/>
  <c r="BV144" i="8"/>
  <c r="F144" i="8"/>
  <c r="EE144" i="8"/>
  <c r="BR145" i="8"/>
  <c r="BV145" i="8"/>
  <c r="BR11" i="8"/>
  <c r="BV11" i="8"/>
  <c r="FG51" i="1"/>
  <c r="V6" i="15"/>
  <c r="D67" i="10" a="1"/>
  <c r="D67" i="10"/>
  <c r="D70" i="10"/>
  <c r="AU21" i="1"/>
  <c r="D69" i="10"/>
  <c r="AQ21" i="1"/>
  <c r="DP8" i="8"/>
  <c r="BN142" i="8"/>
  <c r="DQ8" i="8"/>
  <c r="DR8" i="8"/>
  <c r="DS8" i="8"/>
  <c r="BQ142" i="8"/>
  <c r="BN11" i="8"/>
  <c r="BN12" i="8"/>
  <c r="BN13" i="8"/>
  <c r="BN14" i="8"/>
  <c r="BN15" i="8"/>
  <c r="BN16" i="8"/>
  <c r="BN17" i="8"/>
  <c r="BN18" i="8"/>
  <c r="BN19" i="8"/>
  <c r="BN20" i="8"/>
  <c r="BN21" i="8"/>
  <c r="BN22" i="8"/>
  <c r="BN23" i="8"/>
  <c r="BN24" i="8"/>
  <c r="BN25" i="8"/>
  <c r="BN26" i="8"/>
  <c r="BN27" i="8"/>
  <c r="BN28" i="8"/>
  <c r="BN29" i="8"/>
  <c r="BN30" i="8"/>
  <c r="BN31" i="8"/>
  <c r="BN32" i="8"/>
  <c r="BN33" i="8"/>
  <c r="BN34" i="8"/>
  <c r="BN35" i="8"/>
  <c r="BN36" i="8"/>
  <c r="BN37" i="8"/>
  <c r="BN38" i="8"/>
  <c r="BN39" i="8"/>
  <c r="BN40" i="8"/>
  <c r="BN41" i="8"/>
  <c r="BN42" i="8"/>
  <c r="BN43" i="8"/>
  <c r="BN44" i="8"/>
  <c r="BN45" i="8"/>
  <c r="BN46" i="8"/>
  <c r="BN47" i="8"/>
  <c r="BN48" i="8"/>
  <c r="BN49" i="8"/>
  <c r="BN50" i="8"/>
  <c r="BN51" i="8"/>
  <c r="BN52" i="8"/>
  <c r="BN53" i="8"/>
  <c r="BN54" i="8"/>
  <c r="BN55" i="8"/>
  <c r="BN56" i="8"/>
  <c r="BN57" i="8"/>
  <c r="BN58" i="8"/>
  <c r="BN59" i="8"/>
  <c r="BN60" i="8"/>
  <c r="BN61" i="8"/>
  <c r="BN62" i="8"/>
  <c r="BN63" i="8"/>
  <c r="BN64" i="8"/>
  <c r="BN65" i="8"/>
  <c r="BN66" i="8"/>
  <c r="BN67" i="8"/>
  <c r="BN68" i="8"/>
  <c r="BN69" i="8"/>
  <c r="BN70" i="8"/>
  <c r="BN71" i="8"/>
  <c r="BN72" i="8"/>
  <c r="BN73" i="8"/>
  <c r="BN74" i="8"/>
  <c r="BN75" i="8"/>
  <c r="BN76" i="8"/>
  <c r="BN77" i="8"/>
  <c r="BN78" i="8"/>
  <c r="BN79" i="8"/>
  <c r="BN80" i="8"/>
  <c r="BN81" i="8"/>
  <c r="BN82" i="8"/>
  <c r="BN83" i="8"/>
  <c r="BN84" i="8"/>
  <c r="BN85" i="8"/>
  <c r="BN86" i="8"/>
  <c r="BN87" i="8"/>
  <c r="BN88" i="8"/>
  <c r="BN89" i="8"/>
  <c r="BN90" i="8"/>
  <c r="BN91" i="8"/>
  <c r="BN92" i="8"/>
  <c r="BN93" i="8"/>
  <c r="BN94" i="8"/>
  <c r="BN95" i="8"/>
  <c r="BN96" i="8"/>
  <c r="BN97" i="8"/>
  <c r="BN98" i="8"/>
  <c r="BN99" i="8"/>
  <c r="BN100" i="8"/>
  <c r="BN101" i="8"/>
  <c r="BN102" i="8"/>
  <c r="BN103" i="8"/>
  <c r="BN104" i="8"/>
  <c r="BN105" i="8"/>
  <c r="BN106" i="8"/>
  <c r="BN107" i="8"/>
  <c r="BN108" i="8"/>
  <c r="BN109" i="8"/>
  <c r="BN110" i="8"/>
  <c r="BN111" i="8"/>
  <c r="BN112" i="8"/>
  <c r="BN113" i="8"/>
  <c r="BN114" i="8"/>
  <c r="BN115" i="8"/>
  <c r="BN116" i="8"/>
  <c r="BN117" i="8"/>
  <c r="BN118" i="8"/>
  <c r="BN119" i="8"/>
  <c r="BN120" i="8"/>
  <c r="BN121" i="8"/>
  <c r="BN122" i="8"/>
  <c r="BN123" i="8"/>
  <c r="BN124" i="8"/>
  <c r="BN125" i="8"/>
  <c r="BN126" i="8"/>
  <c r="BN127" i="8"/>
  <c r="BN128" i="8"/>
  <c r="BN129" i="8"/>
  <c r="BN130" i="8"/>
  <c r="BN131" i="8"/>
  <c r="BN132" i="8"/>
  <c r="BN133" i="8"/>
  <c r="BN134" i="8"/>
  <c r="BN135" i="8"/>
  <c r="BN136" i="8"/>
  <c r="BN137" i="8"/>
  <c r="BN138" i="8"/>
  <c r="BN139" i="8"/>
  <c r="BN140" i="8"/>
  <c r="BN141" i="8"/>
  <c r="BN143" i="8"/>
  <c r="BN144" i="8"/>
  <c r="BN145" i="8"/>
  <c r="G11" i="6"/>
  <c r="G9" i="6"/>
  <c r="CA13" i="8"/>
  <c r="EQ12" i="8"/>
  <c r="EQ13" i="8"/>
  <c r="CK6" i="18" a="1"/>
  <c r="CK6" i="18"/>
  <c r="EQ14" i="8"/>
  <c r="CK7" i="18" a="1"/>
  <c r="CK7" i="18"/>
  <c r="EQ15" i="8"/>
  <c r="CK8" i="18" a="1"/>
  <c r="CK8" i="18"/>
  <c r="EQ16" i="8"/>
  <c r="CK9" i="18" a="1"/>
  <c r="CK9" i="18"/>
  <c r="EQ17" i="8"/>
  <c r="CK10" i="18" a="1"/>
  <c r="CK10" i="18"/>
  <c r="EQ18" i="8"/>
  <c r="CK11" i="18" a="1"/>
  <c r="CK11" i="18"/>
  <c r="EQ19" i="8"/>
  <c r="CK12" i="18" a="1"/>
  <c r="CK12" i="18"/>
  <c r="EQ20" i="8"/>
  <c r="CK13" i="18" a="1"/>
  <c r="CK13" i="18"/>
  <c r="EQ21" i="8"/>
  <c r="CK14" i="18" a="1"/>
  <c r="CK14" i="18"/>
  <c r="EQ22" i="8"/>
  <c r="CK15" i="18" a="1"/>
  <c r="CK15" i="18"/>
  <c r="EQ23" i="8"/>
  <c r="CK16" i="18" a="1"/>
  <c r="CK16" i="18"/>
  <c r="EQ24" i="8"/>
  <c r="CK17" i="18" a="1"/>
  <c r="CK17" i="18"/>
  <c r="EQ25" i="8"/>
  <c r="CK18" i="18" a="1"/>
  <c r="CK18" i="18"/>
  <c r="EQ26" i="8"/>
  <c r="CK19" i="18" a="1"/>
  <c r="CK19" i="18"/>
  <c r="EQ27" i="8"/>
  <c r="CK20" i="18" a="1"/>
  <c r="CK20" i="18"/>
  <c r="EQ28" i="8"/>
  <c r="CK21" i="18" a="1"/>
  <c r="CK21" i="18"/>
  <c r="EQ29" i="8"/>
  <c r="CK22" i="18" a="1"/>
  <c r="CK22" i="18"/>
  <c r="EQ30" i="8"/>
  <c r="CK23" i="18" a="1"/>
  <c r="CK23" i="18"/>
  <c r="EQ31" i="8"/>
  <c r="CK24" i="18" a="1"/>
  <c r="CK24" i="18"/>
  <c r="EQ32" i="8"/>
  <c r="CK25" i="18" a="1"/>
  <c r="CK25" i="18"/>
  <c r="EQ33" i="8"/>
  <c r="CK26" i="18" a="1"/>
  <c r="CK26" i="18"/>
  <c r="EQ34" i="8"/>
  <c r="CK27" i="18" a="1"/>
  <c r="CK27" i="18"/>
  <c r="EQ35" i="8"/>
  <c r="CK28" i="18" a="1"/>
  <c r="CK28" i="18"/>
  <c r="EQ36" i="8"/>
  <c r="CK29" i="18" a="1"/>
  <c r="CK29" i="18"/>
  <c r="EQ37" i="8"/>
  <c r="CK30" i="18" a="1"/>
  <c r="CK30" i="18"/>
  <c r="EQ38" i="8"/>
  <c r="CK31" i="18" a="1"/>
  <c r="CK31" i="18"/>
  <c r="EQ39" i="8"/>
  <c r="CK32" i="18" a="1"/>
  <c r="CK32" i="18"/>
  <c r="EQ40" i="8"/>
  <c r="CK33" i="18" a="1"/>
  <c r="CK33" i="18"/>
  <c r="EQ41" i="8"/>
  <c r="CK34" i="18" a="1"/>
  <c r="CK34" i="18"/>
  <c r="EQ42" i="8"/>
  <c r="CK35" i="18" a="1"/>
  <c r="CK35" i="18"/>
  <c r="EQ43" i="8"/>
  <c r="CK36" i="18" a="1"/>
  <c r="CK36" i="18"/>
  <c r="EQ44" i="8"/>
  <c r="CK37" i="18" a="1"/>
  <c r="CK37" i="18"/>
  <c r="EQ45" i="8"/>
  <c r="CK38" i="18" a="1"/>
  <c r="CK38" i="18"/>
  <c r="EQ46" i="8"/>
  <c r="CK39" i="18" a="1"/>
  <c r="CK39" i="18"/>
  <c r="EQ47" i="8"/>
  <c r="CK40" i="18" a="1"/>
  <c r="CK40" i="18"/>
  <c r="EQ48" i="8"/>
  <c r="CK41" i="18" a="1"/>
  <c r="CK41" i="18"/>
  <c r="EQ49" i="8"/>
  <c r="CK42" i="18" a="1"/>
  <c r="CK42" i="18"/>
  <c r="EQ50" i="8"/>
  <c r="CK43" i="18" a="1"/>
  <c r="CK43" i="18"/>
  <c r="EQ51" i="8"/>
  <c r="CK44" i="18" a="1"/>
  <c r="CK44" i="18"/>
  <c r="EQ52" i="8"/>
  <c r="CK45" i="18" a="1"/>
  <c r="CK45" i="18"/>
  <c r="EQ53" i="8"/>
  <c r="CK46" i="18" a="1"/>
  <c r="CK46" i="18"/>
  <c r="EQ54" i="8"/>
  <c r="CK47" i="18" a="1"/>
  <c r="CK47" i="18"/>
  <c r="EQ55" i="8"/>
  <c r="CK48" i="18" a="1"/>
  <c r="CK48" i="18"/>
  <c r="EQ56" i="8"/>
  <c r="CK49" i="18" a="1"/>
  <c r="CK49" i="18"/>
  <c r="EQ57" i="8"/>
  <c r="CK50" i="18" a="1"/>
  <c r="CK50" i="18"/>
  <c r="EQ58" i="8"/>
  <c r="CK51" i="18" a="1"/>
  <c r="CK51" i="18"/>
  <c r="EQ59" i="8"/>
  <c r="CK52" i="18" a="1"/>
  <c r="CK52" i="18"/>
  <c r="EQ60" i="8"/>
  <c r="CK53" i="18" a="1"/>
  <c r="CK53" i="18"/>
  <c r="EQ61" i="8"/>
  <c r="CK54" i="18" a="1"/>
  <c r="CK54" i="18"/>
  <c r="EQ62" i="8"/>
  <c r="CK55" i="18" a="1"/>
  <c r="CK55" i="18"/>
  <c r="EQ63" i="8"/>
  <c r="CK56" i="18" a="1"/>
  <c r="CK56" i="18"/>
  <c r="EQ64" i="8"/>
  <c r="CK57" i="18" a="1"/>
  <c r="CK57" i="18"/>
  <c r="EQ65" i="8"/>
  <c r="CK58" i="18" a="1"/>
  <c r="CK58" i="18"/>
  <c r="EQ66" i="8"/>
  <c r="CK59" i="18" a="1"/>
  <c r="CK59" i="18"/>
  <c r="EQ67" i="8"/>
  <c r="CK60" i="18" a="1"/>
  <c r="CK60" i="18"/>
  <c r="EQ68" i="8"/>
  <c r="CK61" i="18" a="1"/>
  <c r="CK61" i="18"/>
  <c r="EQ69" i="8"/>
  <c r="CK62" i="18" a="1"/>
  <c r="CK62" i="18"/>
  <c r="EQ70" i="8"/>
  <c r="CK63" i="18" a="1"/>
  <c r="CK63" i="18"/>
  <c r="EQ71" i="8"/>
  <c r="CK64" i="18" a="1"/>
  <c r="CK64" i="18"/>
  <c r="EQ72" i="8"/>
  <c r="CK65" i="18" a="1"/>
  <c r="CK65" i="18"/>
  <c r="EQ73" i="8"/>
  <c r="CK66" i="18" a="1"/>
  <c r="CK66" i="18"/>
  <c r="EQ74" i="8"/>
  <c r="CK67" i="18" a="1"/>
  <c r="CK67" i="18"/>
  <c r="EQ75" i="8"/>
  <c r="CK68" i="18" a="1"/>
  <c r="CK68" i="18"/>
  <c r="EQ76" i="8"/>
  <c r="CK69" i="18" a="1"/>
  <c r="CK69" i="18"/>
  <c r="EQ77" i="8"/>
  <c r="CK70" i="18" a="1"/>
  <c r="CK70" i="18"/>
  <c r="EQ78" i="8"/>
  <c r="CK71" i="18" a="1"/>
  <c r="CK71" i="18"/>
  <c r="EQ79" i="8"/>
  <c r="CK72" i="18" a="1"/>
  <c r="CK72" i="18"/>
  <c r="EQ80" i="8"/>
  <c r="CK73" i="18" a="1"/>
  <c r="CK73" i="18"/>
  <c r="EQ81" i="8"/>
  <c r="CK74" i="18" a="1"/>
  <c r="CK74" i="18"/>
  <c r="EQ82" i="8"/>
  <c r="CK75" i="18" a="1"/>
  <c r="CK75" i="18"/>
  <c r="EQ83" i="8"/>
  <c r="CK76" i="18" a="1"/>
  <c r="CK76" i="18"/>
  <c r="EQ84" i="8"/>
  <c r="CK77" i="18" a="1"/>
  <c r="CK77" i="18"/>
  <c r="EQ85" i="8"/>
  <c r="CK78" i="18" a="1"/>
  <c r="CK78" i="18"/>
  <c r="EQ86" i="8"/>
  <c r="CK79" i="18" a="1"/>
  <c r="CK79" i="18"/>
  <c r="EQ87" i="8"/>
  <c r="CK80" i="18" a="1"/>
  <c r="CK80" i="18"/>
  <c r="EQ88" i="8"/>
  <c r="CK81" i="18" a="1"/>
  <c r="CK81" i="18"/>
  <c r="EQ89" i="8"/>
  <c r="CK82" i="18" a="1"/>
  <c r="CK82" i="18"/>
  <c r="EQ90" i="8"/>
  <c r="CK83" i="18" a="1"/>
  <c r="CK83" i="18"/>
  <c r="EQ91" i="8"/>
  <c r="CK84" i="18" a="1"/>
  <c r="CK84" i="18"/>
  <c r="EQ92" i="8"/>
  <c r="CK85" i="18" a="1"/>
  <c r="CK85" i="18"/>
  <c r="EQ93" i="8"/>
  <c r="CK86" i="18" a="1"/>
  <c r="CK86" i="18"/>
  <c r="EQ94" i="8"/>
  <c r="CK87" i="18" a="1"/>
  <c r="CK87" i="18"/>
  <c r="EQ95" i="8"/>
  <c r="CK88" i="18" a="1"/>
  <c r="CK88" i="18"/>
  <c r="EQ96" i="8"/>
  <c r="CK89" i="18" a="1"/>
  <c r="CK89" i="18"/>
  <c r="EQ97" i="8"/>
  <c r="CK90" i="18" a="1"/>
  <c r="CK90" i="18"/>
  <c r="EQ98" i="8"/>
  <c r="CK91" i="18" a="1"/>
  <c r="CK91" i="18"/>
  <c r="EQ99" i="8"/>
  <c r="CK92" i="18" a="1"/>
  <c r="CK92" i="18"/>
  <c r="EQ100" i="8"/>
  <c r="CK93" i="18" a="1"/>
  <c r="CK93" i="18"/>
  <c r="EQ101" i="8"/>
  <c r="CK94" i="18" a="1"/>
  <c r="CK94" i="18"/>
  <c r="EQ102" i="8"/>
  <c r="CK95" i="18" a="1"/>
  <c r="CK95" i="18"/>
  <c r="EQ103" i="8"/>
  <c r="CK96" i="18" a="1"/>
  <c r="CK96" i="18"/>
  <c r="EQ104" i="8"/>
  <c r="CK97" i="18" a="1"/>
  <c r="CK97" i="18"/>
  <c r="EQ105" i="8"/>
  <c r="CK98" i="18" a="1"/>
  <c r="CK98" i="18"/>
  <c r="EQ106" i="8"/>
  <c r="CK99" i="18" a="1"/>
  <c r="CK99" i="18"/>
  <c r="EQ107" i="8"/>
  <c r="CK100" i="18" a="1"/>
  <c r="CK100" i="18"/>
  <c r="EQ108" i="8"/>
  <c r="CK101" i="18" a="1"/>
  <c r="CK101" i="18"/>
  <c r="EQ109" i="8"/>
  <c r="CK102" i="18" a="1"/>
  <c r="CK102" i="18"/>
  <c r="EQ110" i="8"/>
  <c r="CK103" i="18" a="1"/>
  <c r="CK103" i="18"/>
  <c r="EQ111" i="8"/>
  <c r="CK104" i="18" a="1"/>
  <c r="CK104" i="18"/>
  <c r="EQ112" i="8"/>
  <c r="CK105" i="18" a="1"/>
  <c r="CK105" i="18"/>
  <c r="EQ113" i="8"/>
  <c r="CK106" i="18" a="1"/>
  <c r="CK106" i="18"/>
  <c r="EQ114" i="8"/>
  <c r="CK107" i="18" a="1"/>
  <c r="CK107" i="18"/>
  <c r="EQ115" i="8"/>
  <c r="CK108" i="18" a="1"/>
  <c r="CK108" i="18"/>
  <c r="EQ116" i="8"/>
  <c r="CK109" i="18" a="1"/>
  <c r="CK109" i="18"/>
  <c r="EQ117" i="8"/>
  <c r="CK110" i="18" a="1"/>
  <c r="CK110" i="18"/>
  <c r="EQ118" i="8"/>
  <c r="CK111" i="18" a="1"/>
  <c r="CK111" i="18"/>
  <c r="EQ119" i="8"/>
  <c r="CK112" i="18" a="1"/>
  <c r="CK112" i="18"/>
  <c r="EQ120" i="8"/>
  <c r="CK113" i="18" a="1"/>
  <c r="CK113" i="18"/>
  <c r="EQ121" i="8"/>
  <c r="CK114" i="18" a="1"/>
  <c r="CK114" i="18"/>
  <c r="EQ122" i="8"/>
  <c r="CK115" i="18" a="1"/>
  <c r="CK115" i="18"/>
  <c r="EQ123" i="8"/>
  <c r="CK116" i="18" a="1"/>
  <c r="CK116" i="18"/>
  <c r="EQ124" i="8"/>
  <c r="CK117" i="18" a="1"/>
  <c r="CK117" i="18"/>
  <c r="EQ125" i="8"/>
  <c r="CK118" i="18" a="1"/>
  <c r="CK118" i="18"/>
  <c r="EQ126" i="8"/>
  <c r="CK119" i="18" a="1"/>
  <c r="CK119" i="18"/>
  <c r="EQ127" i="8"/>
  <c r="CK120" i="18" a="1"/>
  <c r="CK120" i="18"/>
  <c r="EQ128" i="8"/>
  <c r="CK121" i="18" a="1"/>
  <c r="CK121" i="18"/>
  <c r="EQ129" i="8"/>
  <c r="CK122" i="18" a="1"/>
  <c r="CK122" i="18"/>
  <c r="EQ130" i="8"/>
  <c r="CK123" i="18" a="1"/>
  <c r="CK123" i="18"/>
  <c r="EQ131" i="8"/>
  <c r="EQ132" i="8"/>
  <c r="EQ133" i="8"/>
  <c r="EQ134" i="8"/>
  <c r="EQ135" i="8"/>
  <c r="EQ136" i="8"/>
  <c r="EQ137" i="8"/>
  <c r="EQ138" i="8"/>
  <c r="EQ139" i="8"/>
  <c r="EQ140" i="8"/>
  <c r="EQ141" i="8"/>
  <c r="EQ142" i="8"/>
  <c r="EQ143" i="8"/>
  <c r="EQ144" i="8"/>
  <c r="EQ145" i="8"/>
  <c r="F23" i="6"/>
  <c r="AD30" i="8"/>
  <c r="F20" i="6"/>
  <c r="F7" i="6"/>
  <c r="AW24" i="8"/>
  <c r="G23" i="6"/>
  <c r="G20" i="6"/>
  <c r="G7" i="6"/>
  <c r="AW19" i="8"/>
  <c r="E23" i="6"/>
  <c r="E22" i="6"/>
  <c r="E21" i="6"/>
  <c r="E20" i="6"/>
  <c r="E7" i="6"/>
  <c r="AW140" i="8"/>
  <c r="G153" i="10"/>
  <c r="G152" i="10"/>
  <c r="E147" i="10"/>
  <c r="G147" i="10"/>
  <c r="G146" i="10"/>
  <c r="G141" i="10"/>
  <c r="G140" i="10"/>
  <c r="G134" i="10"/>
  <c r="G133" i="10"/>
  <c r="D133" i="10"/>
  <c r="D135" i="10"/>
  <c r="D136" i="10"/>
  <c r="D134" i="10"/>
  <c r="D132" i="10"/>
  <c r="K83" i="4"/>
  <c r="M83" i="4"/>
  <c r="K84" i="4"/>
  <c r="M84" i="4"/>
  <c r="K85" i="4"/>
  <c r="M85" i="4"/>
  <c r="K86" i="4"/>
  <c r="M86" i="4"/>
  <c r="K88" i="4"/>
  <c r="M88" i="4"/>
  <c r="I29" i="11"/>
  <c r="K29" i="11"/>
  <c r="I30" i="11"/>
  <c r="K30" i="11"/>
  <c r="I31" i="11"/>
  <c r="K31" i="11"/>
  <c r="I32" i="11"/>
  <c r="K32" i="11"/>
  <c r="I34" i="11"/>
  <c r="K34" i="11"/>
  <c r="G30" i="11"/>
  <c r="E30" i="11"/>
  <c r="G33" i="11"/>
  <c r="E33" i="11"/>
  <c r="G63" i="2"/>
  <c r="F63" i="2"/>
  <c r="G64" i="2"/>
  <c r="F64" i="2"/>
  <c r="K68" i="2"/>
  <c r="I68" i="2"/>
  <c r="K67" i="2"/>
  <c r="I67" i="2"/>
  <c r="K66" i="2"/>
  <c r="I66" i="2"/>
  <c r="K65" i="2"/>
  <c r="I65" i="2"/>
  <c r="K64" i="2"/>
  <c r="I64" i="2"/>
  <c r="K63" i="2"/>
  <c r="I63" i="2"/>
  <c r="K137" i="3"/>
  <c r="I137" i="3"/>
  <c r="K134" i="3"/>
  <c r="I134" i="3"/>
  <c r="K133" i="3"/>
  <c r="I133" i="3"/>
  <c r="K136" i="3"/>
  <c r="I136" i="3"/>
  <c r="K138" i="3"/>
  <c r="I138" i="3"/>
  <c r="G137" i="3"/>
  <c r="F134" i="3"/>
  <c r="G134" i="3"/>
  <c r="G133" i="3"/>
  <c r="F133" i="3"/>
  <c r="I72" i="2"/>
  <c r="K72" i="2"/>
  <c r="I73" i="2"/>
  <c r="K73" i="2"/>
  <c r="I74" i="2"/>
  <c r="K74" i="2"/>
  <c r="D83" i="10"/>
  <c r="AG21" i="1"/>
  <c r="K33" i="11"/>
  <c r="I33" i="11"/>
  <c r="K38" i="6"/>
  <c r="I38" i="6"/>
  <c r="M87" i="4"/>
  <c r="K87" i="4"/>
  <c r="K135" i="3"/>
  <c r="I135" i="3"/>
  <c r="BL12" i="1"/>
  <c r="BX11" i="1"/>
  <c r="K61" i="2"/>
  <c r="K60" i="2"/>
  <c r="D127" i="10"/>
  <c r="D126" i="10"/>
  <c r="D125" i="10"/>
  <c r="G25" i="11"/>
  <c r="F25" i="11"/>
  <c r="E25" i="11"/>
  <c r="G26" i="11"/>
  <c r="F26" i="11"/>
  <c r="E26" i="11"/>
  <c r="D104" i="10"/>
  <c r="FK21" i="1"/>
  <c r="EQ26" i="1"/>
  <c r="EM26" i="1"/>
  <c r="EA26" i="1"/>
  <c r="EE26" i="1"/>
  <c r="F68" i="6"/>
  <c r="DC12" i="8"/>
  <c r="CC5" i="18" a="1"/>
  <c r="CC5" i="18"/>
  <c r="G68" i="6"/>
  <c r="DC139" i="8"/>
  <c r="M29" i="6"/>
  <c r="K29" i="6"/>
  <c r="I29" i="6"/>
  <c r="G29" i="6"/>
  <c r="F29" i="6"/>
  <c r="CW12" i="8"/>
  <c r="I31" i="6"/>
  <c r="M31" i="6"/>
  <c r="K31" i="6"/>
  <c r="K30" i="6"/>
  <c r="M30" i="6"/>
  <c r="I30" i="6"/>
  <c r="K25" i="6"/>
  <c r="I25" i="6"/>
  <c r="K24" i="6"/>
  <c r="I24" i="6"/>
  <c r="K10" i="6"/>
  <c r="K11" i="6"/>
  <c r="K12" i="6"/>
  <c r="K13" i="6"/>
  <c r="K9" i="6"/>
  <c r="I10" i="6"/>
  <c r="I11" i="6"/>
  <c r="I12" i="6"/>
  <c r="I13" i="6"/>
  <c r="I9" i="6"/>
  <c r="K5" i="6"/>
  <c r="K4" i="6"/>
  <c r="I5" i="6"/>
  <c r="I4" i="6"/>
  <c r="K125" i="3"/>
  <c r="F71" i="4"/>
  <c r="G71" i="4"/>
  <c r="H71" i="4"/>
  <c r="I71" i="4"/>
  <c r="E71" i="4"/>
  <c r="K81" i="4"/>
  <c r="F109" i="3"/>
  <c r="F106" i="3"/>
  <c r="E109" i="3"/>
  <c r="K24" i="3"/>
  <c r="K26" i="3"/>
  <c r="K28" i="3"/>
  <c r="K29" i="3"/>
  <c r="K69" i="3"/>
  <c r="K70" i="3"/>
  <c r="K71" i="3"/>
  <c r="K72" i="3"/>
  <c r="K73" i="3"/>
  <c r="K74" i="3"/>
  <c r="K75" i="3"/>
  <c r="K77" i="3"/>
  <c r="K78" i="3"/>
  <c r="K79" i="3"/>
  <c r="K80" i="3"/>
  <c r="K114" i="3"/>
  <c r="K109" i="3"/>
  <c r="K126" i="3"/>
  <c r="K118" i="3"/>
  <c r="F117" i="3"/>
  <c r="BH126" i="8"/>
  <c r="E117" i="3"/>
  <c r="BH13" i="8"/>
  <c r="G123" i="3"/>
  <c r="F123" i="3"/>
  <c r="I118" i="3"/>
  <c r="I112" i="3"/>
  <c r="I125" i="3"/>
  <c r="I123" i="3"/>
  <c r="I121" i="3"/>
  <c r="I117" i="3"/>
  <c r="I126" i="3"/>
  <c r="K123" i="3"/>
  <c r="K121" i="3"/>
  <c r="K117" i="3"/>
  <c r="K112" i="3"/>
  <c r="K107" i="3"/>
  <c r="K11" i="3"/>
  <c r="K9" i="3"/>
  <c r="K7" i="3"/>
  <c r="K16" i="3"/>
  <c r="K18" i="3"/>
  <c r="K20" i="3"/>
  <c r="K25" i="3"/>
  <c r="K27" i="3"/>
  <c r="K30" i="3"/>
  <c r="I107" i="3"/>
  <c r="I114" i="3"/>
  <c r="I109" i="3"/>
  <c r="K100" i="2"/>
  <c r="K101" i="2"/>
  <c r="K102" i="2"/>
  <c r="K103" i="2"/>
  <c r="K99" i="2"/>
  <c r="K90" i="2"/>
  <c r="K91" i="2"/>
  <c r="K45" i="11"/>
  <c r="I45" i="11"/>
  <c r="K44" i="11"/>
  <c r="I44" i="11"/>
  <c r="K43" i="11"/>
  <c r="I43" i="11"/>
  <c r="K41" i="11"/>
  <c r="I41" i="11"/>
  <c r="K40" i="11"/>
  <c r="I40" i="11"/>
  <c r="K39" i="11"/>
  <c r="I39" i="11"/>
  <c r="K50" i="6"/>
  <c r="I50" i="6"/>
  <c r="K49" i="6"/>
  <c r="I49" i="6"/>
  <c r="K48" i="6"/>
  <c r="I48" i="6"/>
  <c r="K46" i="6"/>
  <c r="I46" i="6"/>
  <c r="K45" i="6"/>
  <c r="I45" i="6"/>
  <c r="K44" i="6"/>
  <c r="I44" i="6"/>
  <c r="K43" i="6"/>
  <c r="I43" i="6"/>
  <c r="M99" i="4"/>
  <c r="K99" i="4"/>
  <c r="M98" i="4"/>
  <c r="K98" i="4"/>
  <c r="M97" i="4"/>
  <c r="K97" i="4"/>
  <c r="M95" i="4"/>
  <c r="K95" i="4"/>
  <c r="M94" i="4"/>
  <c r="K94" i="4"/>
  <c r="M93" i="4"/>
  <c r="K93" i="4"/>
  <c r="M92" i="4"/>
  <c r="K92" i="4"/>
  <c r="K149" i="3"/>
  <c r="I149" i="3"/>
  <c r="K148" i="3"/>
  <c r="I148" i="3"/>
  <c r="K147" i="3"/>
  <c r="I147" i="3"/>
  <c r="K145" i="3"/>
  <c r="I145" i="3"/>
  <c r="K144" i="3"/>
  <c r="I144" i="3"/>
  <c r="K143" i="3"/>
  <c r="I143" i="3"/>
  <c r="K142" i="3"/>
  <c r="I142" i="3"/>
  <c r="I79" i="2"/>
  <c r="I78" i="2"/>
  <c r="I77" i="2"/>
  <c r="I75" i="2"/>
  <c r="K79" i="2"/>
  <c r="K78" i="2"/>
  <c r="K77" i="2"/>
  <c r="K75" i="2"/>
  <c r="K59" i="2"/>
  <c r="I59" i="2"/>
  <c r="K57" i="2"/>
  <c r="I57" i="2"/>
  <c r="E50" i="2"/>
  <c r="F50" i="2"/>
  <c r="G50" i="2"/>
  <c r="K52" i="2"/>
  <c r="I52" i="2"/>
  <c r="K51" i="2"/>
  <c r="I51" i="2"/>
  <c r="K45" i="2"/>
  <c r="I45" i="2"/>
  <c r="K44" i="2"/>
  <c r="I44" i="2"/>
  <c r="K43" i="2"/>
  <c r="I43" i="2"/>
  <c r="K42" i="2"/>
  <c r="I42" i="2"/>
  <c r="K40" i="2"/>
  <c r="I40" i="2"/>
  <c r="K39" i="2"/>
  <c r="I39" i="2"/>
  <c r="K38" i="2"/>
  <c r="I38" i="2"/>
  <c r="K28" i="2"/>
  <c r="I28" i="2"/>
  <c r="K27" i="2"/>
  <c r="I27" i="2"/>
  <c r="K26" i="2"/>
  <c r="I26" i="2"/>
  <c r="K25" i="2"/>
  <c r="I25" i="2"/>
  <c r="K24" i="2"/>
  <c r="I24" i="2"/>
  <c r="K23" i="2"/>
  <c r="I23" i="2"/>
  <c r="K14" i="2"/>
  <c r="I14" i="2"/>
  <c r="K13" i="2"/>
  <c r="I13" i="2"/>
  <c r="K12" i="2"/>
  <c r="I12" i="2"/>
  <c r="K10" i="2"/>
  <c r="I10" i="2"/>
  <c r="K9" i="2"/>
  <c r="I9" i="2"/>
  <c r="K8" i="2"/>
  <c r="I8" i="2"/>
  <c r="K6" i="2"/>
  <c r="I6" i="2"/>
  <c r="K5" i="2"/>
  <c r="I5" i="2"/>
  <c r="I4" i="2"/>
  <c r="K4" i="2"/>
  <c r="G12" i="3"/>
  <c r="G10" i="2"/>
  <c r="G6" i="2"/>
  <c r="G11" i="3"/>
  <c r="G9" i="2"/>
  <c r="G10" i="3"/>
  <c r="K19" i="3"/>
  <c r="I19" i="3"/>
  <c r="K17" i="3"/>
  <c r="I17" i="3"/>
  <c r="K15" i="3"/>
  <c r="I15" i="3"/>
  <c r="K61" i="4"/>
  <c r="K41" i="4"/>
  <c r="K42" i="4"/>
  <c r="K43" i="4"/>
  <c r="K44" i="4"/>
  <c r="K45" i="4"/>
  <c r="K46" i="4"/>
  <c r="K47" i="4"/>
  <c r="K48" i="4"/>
  <c r="K40" i="4"/>
  <c r="K28" i="4"/>
  <c r="K29" i="4"/>
  <c r="K30" i="4"/>
  <c r="K31" i="4"/>
  <c r="K32" i="4"/>
  <c r="K33" i="4"/>
  <c r="K34" i="4"/>
  <c r="K35" i="4"/>
  <c r="K36" i="4"/>
  <c r="K37" i="4"/>
  <c r="K38" i="4"/>
  <c r="K27" i="4"/>
  <c r="M61" i="4"/>
  <c r="M41" i="4"/>
  <c r="M42" i="4"/>
  <c r="M43" i="4"/>
  <c r="M44" i="4"/>
  <c r="M45" i="4"/>
  <c r="M46" i="4"/>
  <c r="M47" i="4"/>
  <c r="M48" i="4"/>
  <c r="M40" i="4"/>
  <c r="M28" i="4"/>
  <c r="M29" i="4"/>
  <c r="M30" i="4"/>
  <c r="M31" i="4"/>
  <c r="M32" i="4"/>
  <c r="M33" i="4"/>
  <c r="M34" i="4"/>
  <c r="M35" i="4"/>
  <c r="M36" i="4"/>
  <c r="M37" i="4"/>
  <c r="M38" i="4"/>
  <c r="M27" i="4"/>
  <c r="I30" i="3"/>
  <c r="I27" i="3"/>
  <c r="I25" i="3"/>
  <c r="I70" i="3"/>
  <c r="I71" i="3"/>
  <c r="I72" i="3"/>
  <c r="I73" i="3"/>
  <c r="I74" i="3"/>
  <c r="I75" i="3"/>
  <c r="I77" i="3"/>
  <c r="I78" i="3"/>
  <c r="I79" i="3"/>
  <c r="I80" i="3"/>
  <c r="I69" i="3"/>
  <c r="I29" i="3"/>
  <c r="I28" i="3"/>
  <c r="I26" i="3"/>
  <c r="I24" i="3"/>
  <c r="I20" i="3"/>
  <c r="I18" i="3"/>
  <c r="I16" i="3"/>
  <c r="I7" i="3"/>
  <c r="I9" i="3"/>
  <c r="I11" i="3"/>
  <c r="CC12" i="8"/>
  <c r="CC13" i="8"/>
  <c r="CC14" i="8"/>
  <c r="CC15" i="8"/>
  <c r="CC16" i="8"/>
  <c r="CC17" i="8"/>
  <c r="CC18" i="8"/>
  <c r="CC19" i="8"/>
  <c r="CC20" i="8"/>
  <c r="CC21" i="8"/>
  <c r="CC22" i="8"/>
  <c r="CC23" i="8"/>
  <c r="CC24" i="8"/>
  <c r="CC25" i="8"/>
  <c r="CC26" i="8"/>
  <c r="CC27" i="8"/>
  <c r="CC28" i="8"/>
  <c r="CC29" i="8"/>
  <c r="CC30" i="8"/>
  <c r="CC31" i="8"/>
  <c r="CC32" i="8"/>
  <c r="CC33" i="8"/>
  <c r="CC34" i="8"/>
  <c r="CC35" i="8"/>
  <c r="CC36" i="8"/>
  <c r="CC37" i="8"/>
  <c r="CC38" i="8"/>
  <c r="CC39" i="8"/>
  <c r="CC40" i="8"/>
  <c r="CC41" i="8"/>
  <c r="CC42" i="8"/>
  <c r="CC43" i="8"/>
  <c r="CC44" i="8"/>
  <c r="CC45" i="8"/>
  <c r="CC46" i="8"/>
  <c r="CC47" i="8"/>
  <c r="CC48" i="8"/>
  <c r="CC49" i="8"/>
  <c r="CC50" i="8"/>
  <c r="CC51" i="8"/>
  <c r="CC52" i="8"/>
  <c r="CC53" i="8"/>
  <c r="CC54" i="8"/>
  <c r="CC55" i="8"/>
  <c r="CC56" i="8"/>
  <c r="CC57" i="8"/>
  <c r="CC58" i="8"/>
  <c r="CC59" i="8"/>
  <c r="CC60" i="8"/>
  <c r="CC61" i="8"/>
  <c r="CC62" i="8"/>
  <c r="CC63" i="8"/>
  <c r="CC64" i="8"/>
  <c r="CC65" i="8"/>
  <c r="CC66" i="8"/>
  <c r="CC67" i="8"/>
  <c r="CC68" i="8"/>
  <c r="CC69" i="8"/>
  <c r="CC70" i="8"/>
  <c r="CC71" i="8"/>
  <c r="CC72" i="8"/>
  <c r="CC73" i="8"/>
  <c r="CC74" i="8"/>
  <c r="CC75" i="8"/>
  <c r="CC76" i="8"/>
  <c r="CC77" i="8"/>
  <c r="CC78" i="8"/>
  <c r="CC79" i="8"/>
  <c r="CC80" i="8"/>
  <c r="CC81" i="8"/>
  <c r="CC82" i="8"/>
  <c r="CC83" i="8"/>
  <c r="CC84" i="8"/>
  <c r="CC85" i="8"/>
  <c r="CC86" i="8"/>
  <c r="CC87" i="8"/>
  <c r="CC88" i="8"/>
  <c r="CC89" i="8"/>
  <c r="CC90" i="8"/>
  <c r="CC91" i="8"/>
  <c r="CC92" i="8"/>
  <c r="CC93" i="8"/>
  <c r="CC94" i="8"/>
  <c r="CC95" i="8"/>
  <c r="CC96" i="8"/>
  <c r="CC97" i="8"/>
  <c r="CC98" i="8"/>
  <c r="CC99" i="8"/>
  <c r="CC100" i="8"/>
  <c r="CC101" i="8"/>
  <c r="CC102" i="8"/>
  <c r="CC103" i="8"/>
  <c r="CC104" i="8"/>
  <c r="CC105" i="8"/>
  <c r="CC106" i="8"/>
  <c r="CC107" i="8"/>
  <c r="CC108" i="8"/>
  <c r="CC109" i="8"/>
  <c r="CC110" i="8"/>
  <c r="CC111" i="8"/>
  <c r="CC112" i="8"/>
  <c r="CC113" i="8"/>
  <c r="CC114" i="8"/>
  <c r="CC115" i="8"/>
  <c r="CC116" i="8"/>
  <c r="CC117" i="8"/>
  <c r="CC118" i="8"/>
  <c r="CC119" i="8"/>
  <c r="CC120" i="8"/>
  <c r="CC121" i="8"/>
  <c r="CC122" i="8"/>
  <c r="CC123" i="8"/>
  <c r="CC124" i="8"/>
  <c r="CC125" i="8"/>
  <c r="CC126" i="8"/>
  <c r="CC127" i="8"/>
  <c r="CC128" i="8"/>
  <c r="CC129" i="8"/>
  <c r="CC130" i="8"/>
  <c r="CC131" i="8"/>
  <c r="CC132" i="8"/>
  <c r="CC133" i="8"/>
  <c r="CC134" i="8"/>
  <c r="CC135" i="8"/>
  <c r="CC136" i="8"/>
  <c r="CC137" i="8"/>
  <c r="CC138" i="8"/>
  <c r="CC139" i="8"/>
  <c r="CC140" i="8"/>
  <c r="CC141" i="8"/>
  <c r="CC142" i="8"/>
  <c r="CC143" i="8"/>
  <c r="CC144" i="8"/>
  <c r="CC145" i="8"/>
  <c r="CC11" i="8"/>
  <c r="CW14" i="8"/>
  <c r="CW17" i="8"/>
  <c r="CW20" i="8"/>
  <c r="CW23" i="8"/>
  <c r="CW26" i="8"/>
  <c r="CW29" i="8"/>
  <c r="CW32" i="8"/>
  <c r="CW35" i="8"/>
  <c r="CW38" i="8"/>
  <c r="CW41" i="8"/>
  <c r="CW44" i="8"/>
  <c r="CW47" i="8"/>
  <c r="CW50" i="8"/>
  <c r="CW53" i="8"/>
  <c r="CW56" i="8"/>
  <c r="CW59" i="8"/>
  <c r="CW62" i="8"/>
  <c r="CW65" i="8"/>
  <c r="CW68" i="8"/>
  <c r="CW71" i="8"/>
  <c r="CW74" i="8"/>
  <c r="CW77" i="8"/>
  <c r="CW80" i="8"/>
  <c r="CW83" i="8"/>
  <c r="CW86" i="8"/>
  <c r="CW89" i="8"/>
  <c r="CW92" i="8"/>
  <c r="CW95" i="8"/>
  <c r="CW98" i="8"/>
  <c r="CW101" i="8"/>
  <c r="CW104" i="8"/>
  <c r="CW107" i="8"/>
  <c r="CW110" i="8"/>
  <c r="CW113" i="8"/>
  <c r="CW116" i="8"/>
  <c r="CW119" i="8"/>
  <c r="CW122" i="8"/>
  <c r="CW125" i="8"/>
  <c r="CW128" i="8"/>
  <c r="CW131" i="8"/>
  <c r="CW134" i="8"/>
  <c r="CW137" i="8"/>
  <c r="CW140" i="8"/>
  <c r="CW143" i="8"/>
  <c r="CW11" i="8"/>
  <c r="BO12" i="8"/>
  <c r="BO13" i="8"/>
  <c r="BO14" i="8"/>
  <c r="BO15" i="8"/>
  <c r="BO16" i="8"/>
  <c r="BO17" i="8"/>
  <c r="BO18" i="8"/>
  <c r="BO19" i="8"/>
  <c r="BO20" i="8"/>
  <c r="BO21" i="8"/>
  <c r="BO22" i="8"/>
  <c r="BO23" i="8"/>
  <c r="BO24" i="8"/>
  <c r="BO25" i="8"/>
  <c r="BO26" i="8"/>
  <c r="BO27" i="8"/>
  <c r="BO28" i="8"/>
  <c r="BO29" i="8"/>
  <c r="BO30" i="8"/>
  <c r="BO31" i="8"/>
  <c r="BO32" i="8"/>
  <c r="BO33" i="8"/>
  <c r="BO34" i="8"/>
  <c r="BO35" i="8"/>
  <c r="BO36" i="8"/>
  <c r="BO37" i="8"/>
  <c r="BO38" i="8"/>
  <c r="BO39" i="8"/>
  <c r="BO40" i="8"/>
  <c r="BO41" i="8"/>
  <c r="BO42" i="8"/>
  <c r="BO43" i="8"/>
  <c r="BO44" i="8"/>
  <c r="BO45" i="8"/>
  <c r="BO46" i="8"/>
  <c r="BO47" i="8"/>
  <c r="BO48" i="8"/>
  <c r="BO49" i="8"/>
  <c r="BO50" i="8"/>
  <c r="BO51" i="8"/>
  <c r="BO52" i="8"/>
  <c r="BO53" i="8"/>
  <c r="BO54" i="8"/>
  <c r="BO55" i="8"/>
  <c r="BO56" i="8"/>
  <c r="BO57" i="8"/>
  <c r="BO58" i="8"/>
  <c r="BO59" i="8"/>
  <c r="BO60" i="8"/>
  <c r="BO61" i="8"/>
  <c r="BO62" i="8"/>
  <c r="BO63" i="8"/>
  <c r="BO64" i="8"/>
  <c r="BO65" i="8"/>
  <c r="BO66" i="8"/>
  <c r="BO67" i="8"/>
  <c r="BO68" i="8"/>
  <c r="BO69" i="8"/>
  <c r="BO70" i="8"/>
  <c r="BO71" i="8"/>
  <c r="BO72" i="8"/>
  <c r="BO73" i="8"/>
  <c r="BO74" i="8"/>
  <c r="BO75" i="8"/>
  <c r="BO76" i="8"/>
  <c r="BO77" i="8"/>
  <c r="BO78" i="8"/>
  <c r="BO79" i="8"/>
  <c r="BO80" i="8"/>
  <c r="BO81" i="8"/>
  <c r="BO82" i="8"/>
  <c r="BO83" i="8"/>
  <c r="BO84" i="8"/>
  <c r="BO85" i="8"/>
  <c r="BO86" i="8"/>
  <c r="BO87" i="8"/>
  <c r="BO88" i="8"/>
  <c r="BO89" i="8"/>
  <c r="BO90" i="8"/>
  <c r="BO91" i="8"/>
  <c r="BO92" i="8"/>
  <c r="BO93" i="8"/>
  <c r="BO94" i="8"/>
  <c r="BO95" i="8"/>
  <c r="BO96" i="8"/>
  <c r="BO97" i="8"/>
  <c r="BO98" i="8"/>
  <c r="BO99" i="8"/>
  <c r="BO100" i="8"/>
  <c r="BO101" i="8"/>
  <c r="BO102" i="8"/>
  <c r="BO103" i="8"/>
  <c r="BO104" i="8"/>
  <c r="BO105" i="8"/>
  <c r="BO106" i="8"/>
  <c r="BO107" i="8"/>
  <c r="BO108" i="8"/>
  <c r="BO109" i="8"/>
  <c r="BO110" i="8"/>
  <c r="BO111" i="8"/>
  <c r="BO112" i="8"/>
  <c r="BO113" i="8"/>
  <c r="BO114" i="8"/>
  <c r="BO115" i="8"/>
  <c r="BO116" i="8"/>
  <c r="BO117" i="8"/>
  <c r="BO118" i="8"/>
  <c r="BO119" i="8"/>
  <c r="BO120" i="8"/>
  <c r="BO121" i="8"/>
  <c r="BO122" i="8"/>
  <c r="BO123" i="8"/>
  <c r="BO124" i="8"/>
  <c r="BO125" i="8"/>
  <c r="BO126" i="8"/>
  <c r="BO127" i="8"/>
  <c r="BO128" i="8"/>
  <c r="BO129" i="8"/>
  <c r="BO130" i="8"/>
  <c r="BO131" i="8"/>
  <c r="BO132" i="8"/>
  <c r="BO133" i="8"/>
  <c r="BO134" i="8"/>
  <c r="BO135" i="8"/>
  <c r="BO136" i="8"/>
  <c r="BO137" i="8"/>
  <c r="BO138" i="8"/>
  <c r="BO139" i="8"/>
  <c r="BO140" i="8"/>
  <c r="BO141" i="8"/>
  <c r="BO142" i="8"/>
  <c r="BO143" i="8"/>
  <c r="BO144" i="8"/>
  <c r="BO145" i="8"/>
  <c r="F11" i="6"/>
  <c r="F9" i="6"/>
  <c r="I78" i="4"/>
  <c r="BX98" i="8"/>
  <c r="H78" i="4"/>
  <c r="G78" i="4"/>
  <c r="BX107" i="8"/>
  <c r="F78" i="4"/>
  <c r="BX104" i="8"/>
  <c r="E78" i="4"/>
  <c r="BX101" i="8"/>
  <c r="CB13" i="8"/>
  <c r="CB14" i="8"/>
  <c r="CB16" i="8"/>
  <c r="CB17" i="8"/>
  <c r="CB19" i="8"/>
  <c r="CB20" i="8"/>
  <c r="CB22" i="8"/>
  <c r="CB23" i="8"/>
  <c r="CB25" i="8"/>
  <c r="CB26" i="8"/>
  <c r="CB28" i="8"/>
  <c r="CB29" i="8"/>
  <c r="CB31" i="8"/>
  <c r="CB32" i="8"/>
  <c r="CB34" i="8"/>
  <c r="CB35" i="8"/>
  <c r="CB37" i="8"/>
  <c r="CB38" i="8"/>
  <c r="CB40" i="8"/>
  <c r="CB41" i="8"/>
  <c r="CB43" i="8"/>
  <c r="CB44" i="8"/>
  <c r="CB46" i="8"/>
  <c r="CB47" i="8"/>
  <c r="CB49" i="8"/>
  <c r="CB50" i="8"/>
  <c r="CB52" i="8"/>
  <c r="CB53" i="8"/>
  <c r="CB55" i="8"/>
  <c r="CB56" i="8"/>
  <c r="CB58" i="8"/>
  <c r="CB59" i="8"/>
  <c r="CB61" i="8"/>
  <c r="CB62" i="8"/>
  <c r="CB64" i="8"/>
  <c r="CB65" i="8"/>
  <c r="CB67" i="8"/>
  <c r="CB68" i="8"/>
  <c r="CB70" i="8"/>
  <c r="CB71" i="8"/>
  <c r="CB73" i="8"/>
  <c r="CB74" i="8"/>
  <c r="CB76" i="8"/>
  <c r="CB77" i="8"/>
  <c r="CB79" i="8"/>
  <c r="CB80" i="8"/>
  <c r="CB82" i="8"/>
  <c r="CB83" i="8"/>
  <c r="CB85" i="8"/>
  <c r="CB86" i="8"/>
  <c r="CB88" i="8"/>
  <c r="CB89" i="8"/>
  <c r="CB91" i="8"/>
  <c r="CB92" i="8"/>
  <c r="CB94" i="8"/>
  <c r="CB95" i="8"/>
  <c r="CB97" i="8"/>
  <c r="CB98" i="8"/>
  <c r="CB100" i="8"/>
  <c r="CB101" i="8"/>
  <c r="CB103" i="8"/>
  <c r="CB104" i="8"/>
  <c r="CB106" i="8"/>
  <c r="CB107" i="8"/>
  <c r="CB109" i="8"/>
  <c r="CB110" i="8"/>
  <c r="CB112" i="8"/>
  <c r="CB113" i="8"/>
  <c r="CB115" i="8"/>
  <c r="CB116" i="8"/>
  <c r="CB118" i="8"/>
  <c r="CB119" i="8"/>
  <c r="CB121" i="8"/>
  <c r="CB122" i="8"/>
  <c r="CB124" i="8"/>
  <c r="CB125" i="8"/>
  <c r="CB127" i="8"/>
  <c r="CB128" i="8"/>
  <c r="CB130" i="8"/>
  <c r="CB131" i="8"/>
  <c r="CB133" i="8"/>
  <c r="CB134" i="8"/>
  <c r="CB136" i="8"/>
  <c r="CB137" i="8"/>
  <c r="CB139" i="8"/>
  <c r="CB140" i="8"/>
  <c r="CB142" i="8"/>
  <c r="CB143" i="8"/>
  <c r="CB145" i="8"/>
  <c r="CB11" i="8"/>
  <c r="BS12" i="8"/>
  <c r="BS13" i="8"/>
  <c r="BS14" i="8"/>
  <c r="BS15" i="8"/>
  <c r="BS16" i="8"/>
  <c r="BS17" i="8"/>
  <c r="BS18" i="8"/>
  <c r="BS19" i="8"/>
  <c r="BS20" i="8"/>
  <c r="BS21" i="8"/>
  <c r="BS22" i="8"/>
  <c r="BS23" i="8"/>
  <c r="BS24" i="8"/>
  <c r="BS25" i="8"/>
  <c r="BS26" i="8"/>
  <c r="BS27" i="8"/>
  <c r="BS28" i="8"/>
  <c r="BS29" i="8"/>
  <c r="BS30" i="8"/>
  <c r="BS31" i="8"/>
  <c r="BS32" i="8"/>
  <c r="BS33" i="8"/>
  <c r="BS34" i="8"/>
  <c r="BS35" i="8"/>
  <c r="BS36" i="8"/>
  <c r="BS37" i="8"/>
  <c r="BS38" i="8"/>
  <c r="BS39" i="8"/>
  <c r="BS40" i="8"/>
  <c r="BS41" i="8"/>
  <c r="BS42" i="8"/>
  <c r="BS43" i="8"/>
  <c r="BS44" i="8"/>
  <c r="BS45" i="8"/>
  <c r="BS46" i="8"/>
  <c r="BS47" i="8"/>
  <c r="BS48" i="8"/>
  <c r="BS49" i="8"/>
  <c r="BS50" i="8"/>
  <c r="BS51" i="8"/>
  <c r="BS52" i="8"/>
  <c r="BS53" i="8"/>
  <c r="BS54" i="8"/>
  <c r="BS55" i="8"/>
  <c r="BS56" i="8"/>
  <c r="BS57" i="8"/>
  <c r="BS58" i="8"/>
  <c r="BS59" i="8"/>
  <c r="BS60" i="8"/>
  <c r="BS61" i="8"/>
  <c r="BS62" i="8"/>
  <c r="BS63" i="8"/>
  <c r="BS64" i="8"/>
  <c r="BS65" i="8"/>
  <c r="BS66" i="8"/>
  <c r="BS67" i="8"/>
  <c r="BS68" i="8"/>
  <c r="BS69" i="8"/>
  <c r="BS70" i="8"/>
  <c r="BS71" i="8"/>
  <c r="BS72" i="8"/>
  <c r="BS73" i="8"/>
  <c r="BS74" i="8"/>
  <c r="BS75" i="8"/>
  <c r="BS76" i="8"/>
  <c r="BS77" i="8"/>
  <c r="BS78" i="8"/>
  <c r="BS79" i="8"/>
  <c r="BS80" i="8"/>
  <c r="BS81" i="8"/>
  <c r="BS82" i="8"/>
  <c r="BS83" i="8"/>
  <c r="BS84" i="8"/>
  <c r="BS85" i="8"/>
  <c r="BS86" i="8"/>
  <c r="BS87" i="8"/>
  <c r="BS88" i="8"/>
  <c r="BS89" i="8"/>
  <c r="BS90" i="8"/>
  <c r="BS91" i="8"/>
  <c r="BS92" i="8"/>
  <c r="BS93" i="8"/>
  <c r="BS94" i="8"/>
  <c r="BS95" i="8"/>
  <c r="BS96" i="8"/>
  <c r="BS97" i="8"/>
  <c r="BS98" i="8"/>
  <c r="BS99" i="8"/>
  <c r="BS100" i="8"/>
  <c r="BS101" i="8"/>
  <c r="BS102" i="8"/>
  <c r="BS103" i="8"/>
  <c r="BS104" i="8"/>
  <c r="BS105" i="8"/>
  <c r="BS106" i="8"/>
  <c r="BS107" i="8"/>
  <c r="BS108" i="8"/>
  <c r="BS109" i="8"/>
  <c r="BS110" i="8"/>
  <c r="BS111" i="8"/>
  <c r="BS112" i="8"/>
  <c r="BS113" i="8"/>
  <c r="BS114" i="8"/>
  <c r="BS115" i="8"/>
  <c r="BS116" i="8"/>
  <c r="BS117" i="8"/>
  <c r="BS118" i="8"/>
  <c r="BS119" i="8"/>
  <c r="BS120" i="8"/>
  <c r="BS121" i="8"/>
  <c r="BS122" i="8"/>
  <c r="BS123" i="8"/>
  <c r="BS124" i="8"/>
  <c r="BS125" i="8"/>
  <c r="BS126" i="8"/>
  <c r="BS127" i="8"/>
  <c r="BS128" i="8"/>
  <c r="BS129" i="8"/>
  <c r="BS130" i="8"/>
  <c r="BS131" i="8"/>
  <c r="BS132" i="8"/>
  <c r="BS133" i="8"/>
  <c r="BS134" i="8"/>
  <c r="BS135" i="8"/>
  <c r="BS136" i="8"/>
  <c r="BS137" i="8"/>
  <c r="BS138" i="8"/>
  <c r="BS139" i="8"/>
  <c r="BS140" i="8"/>
  <c r="BS141" i="8"/>
  <c r="BS142" i="8"/>
  <c r="BS143" i="8"/>
  <c r="BS144" i="8"/>
  <c r="BS145" i="8"/>
  <c r="BS11" i="8"/>
  <c r="BQ12" i="8"/>
  <c r="BQ13" i="8"/>
  <c r="BQ14" i="8"/>
  <c r="BQ15" i="8"/>
  <c r="BQ16" i="8"/>
  <c r="BQ17" i="8"/>
  <c r="BQ18" i="8"/>
  <c r="BQ19" i="8"/>
  <c r="BQ20" i="8"/>
  <c r="BQ21" i="8"/>
  <c r="BQ22" i="8"/>
  <c r="BQ23" i="8"/>
  <c r="BQ24" i="8"/>
  <c r="BQ25" i="8"/>
  <c r="BQ26" i="8"/>
  <c r="BQ27" i="8"/>
  <c r="BQ28" i="8"/>
  <c r="BQ29" i="8"/>
  <c r="BQ30" i="8"/>
  <c r="BQ31" i="8"/>
  <c r="BQ32" i="8"/>
  <c r="BQ33" i="8"/>
  <c r="BQ34" i="8"/>
  <c r="BQ35" i="8"/>
  <c r="BQ36" i="8"/>
  <c r="BQ37" i="8"/>
  <c r="BQ38" i="8"/>
  <c r="BQ39" i="8"/>
  <c r="BQ40" i="8"/>
  <c r="BQ41" i="8"/>
  <c r="BQ42" i="8"/>
  <c r="BQ43" i="8"/>
  <c r="BQ44" i="8"/>
  <c r="BQ45" i="8"/>
  <c r="BQ46" i="8"/>
  <c r="BQ47" i="8"/>
  <c r="BQ48" i="8"/>
  <c r="BQ49" i="8"/>
  <c r="BQ50" i="8"/>
  <c r="BQ51" i="8"/>
  <c r="BQ52" i="8"/>
  <c r="BQ53" i="8"/>
  <c r="BQ54" i="8"/>
  <c r="BQ55" i="8"/>
  <c r="BQ56" i="8"/>
  <c r="BQ57" i="8"/>
  <c r="BQ58" i="8"/>
  <c r="BQ59" i="8"/>
  <c r="BQ60" i="8"/>
  <c r="BQ61" i="8"/>
  <c r="BQ62" i="8"/>
  <c r="BQ63" i="8"/>
  <c r="BQ64" i="8"/>
  <c r="BQ65" i="8"/>
  <c r="BQ66" i="8"/>
  <c r="BQ67" i="8"/>
  <c r="BQ68" i="8"/>
  <c r="BQ69" i="8"/>
  <c r="BQ70" i="8"/>
  <c r="BQ71" i="8"/>
  <c r="BQ72" i="8"/>
  <c r="BQ73" i="8"/>
  <c r="BQ74" i="8"/>
  <c r="BQ75" i="8"/>
  <c r="BQ76" i="8"/>
  <c r="BQ77" i="8"/>
  <c r="BQ78" i="8"/>
  <c r="BQ79" i="8"/>
  <c r="BQ80" i="8"/>
  <c r="BQ81" i="8"/>
  <c r="BQ82" i="8"/>
  <c r="BQ83" i="8"/>
  <c r="BQ84" i="8"/>
  <c r="BQ85" i="8"/>
  <c r="BQ86" i="8"/>
  <c r="BQ87" i="8"/>
  <c r="BQ88" i="8"/>
  <c r="BQ89" i="8"/>
  <c r="BQ90" i="8"/>
  <c r="BQ91" i="8"/>
  <c r="BQ92" i="8"/>
  <c r="BQ93" i="8"/>
  <c r="BQ94" i="8"/>
  <c r="BQ95" i="8"/>
  <c r="BQ96" i="8"/>
  <c r="BQ97" i="8"/>
  <c r="BQ98" i="8"/>
  <c r="BQ99" i="8"/>
  <c r="BQ100" i="8"/>
  <c r="BQ101" i="8"/>
  <c r="BQ102" i="8"/>
  <c r="BQ103" i="8"/>
  <c r="BQ104" i="8"/>
  <c r="BQ105" i="8"/>
  <c r="BQ106" i="8"/>
  <c r="BQ107" i="8"/>
  <c r="BQ108" i="8"/>
  <c r="BQ109" i="8"/>
  <c r="BQ110" i="8"/>
  <c r="BQ111" i="8"/>
  <c r="BQ112" i="8"/>
  <c r="BQ113" i="8"/>
  <c r="BQ114" i="8"/>
  <c r="BQ115" i="8"/>
  <c r="BQ116" i="8"/>
  <c r="BQ117" i="8"/>
  <c r="BQ118" i="8"/>
  <c r="BQ119" i="8"/>
  <c r="BQ120" i="8"/>
  <c r="BQ121" i="8"/>
  <c r="BQ122" i="8"/>
  <c r="BQ123" i="8"/>
  <c r="BQ124" i="8"/>
  <c r="BQ125" i="8"/>
  <c r="BQ126" i="8"/>
  <c r="BQ127" i="8"/>
  <c r="BQ128" i="8"/>
  <c r="BQ129" i="8"/>
  <c r="BQ130" i="8"/>
  <c r="BQ131" i="8"/>
  <c r="BQ132" i="8"/>
  <c r="BQ133" i="8"/>
  <c r="BQ134" i="8"/>
  <c r="BQ135" i="8"/>
  <c r="BQ136" i="8"/>
  <c r="BQ137" i="8"/>
  <c r="BQ138" i="8"/>
  <c r="BQ139" i="8"/>
  <c r="BQ140" i="8"/>
  <c r="BQ141" i="8"/>
  <c r="BQ143" i="8"/>
  <c r="BQ144" i="8"/>
  <c r="BQ145" i="8"/>
  <c r="BQ11" i="8"/>
  <c r="BO11" i="8"/>
  <c r="F121" i="3"/>
  <c r="BJ71" i="8"/>
  <c r="E121" i="3"/>
  <c r="BJ103" i="8"/>
  <c r="G109" i="3"/>
  <c r="G106" i="3"/>
  <c r="BJ145" i="8"/>
  <c r="BJ144" i="8"/>
  <c r="BJ143" i="8"/>
  <c r="BJ142" i="8"/>
  <c r="BJ141" i="8"/>
  <c r="BJ140" i="8"/>
  <c r="BJ139" i="8"/>
  <c r="BJ138" i="8"/>
  <c r="BJ137" i="8"/>
  <c r="BJ136" i="8"/>
  <c r="BJ135" i="8"/>
  <c r="BJ134" i="8"/>
  <c r="BJ133" i="8"/>
  <c r="BJ132" i="8"/>
  <c r="BJ131" i="8"/>
  <c r="BJ100" i="8"/>
  <c r="BJ99" i="8"/>
  <c r="BJ98" i="8"/>
  <c r="BJ97" i="8"/>
  <c r="BJ96" i="8"/>
  <c r="BJ95" i="8"/>
  <c r="BJ94" i="8"/>
  <c r="BJ93" i="8"/>
  <c r="BJ92" i="8"/>
  <c r="BJ91" i="8"/>
  <c r="BJ90" i="8"/>
  <c r="BJ89" i="8"/>
  <c r="BJ88" i="8"/>
  <c r="BJ87" i="8"/>
  <c r="BJ86" i="8"/>
  <c r="BJ55" i="8"/>
  <c r="BJ54" i="8"/>
  <c r="BJ53" i="8"/>
  <c r="BJ52" i="8"/>
  <c r="BJ51" i="8"/>
  <c r="BJ50" i="8"/>
  <c r="BJ49" i="8"/>
  <c r="BJ48" i="8"/>
  <c r="BJ47" i="8"/>
  <c r="BJ46" i="8"/>
  <c r="BJ45" i="8"/>
  <c r="BJ44" i="8"/>
  <c r="BJ43" i="8"/>
  <c r="BJ42" i="8"/>
  <c r="BJ41" i="8"/>
  <c r="BI145" i="8"/>
  <c r="BI144" i="8"/>
  <c r="BI143" i="8"/>
  <c r="BI142" i="8"/>
  <c r="BI141" i="8"/>
  <c r="BI140" i="8"/>
  <c r="BI139" i="8"/>
  <c r="BI138" i="8"/>
  <c r="BI137" i="8"/>
  <c r="BI136" i="8"/>
  <c r="BI135" i="8"/>
  <c r="BI134" i="8"/>
  <c r="BI133" i="8"/>
  <c r="BI132" i="8"/>
  <c r="BI131" i="8"/>
  <c r="BI130" i="8"/>
  <c r="BI129" i="8"/>
  <c r="BI128" i="8"/>
  <c r="BI127" i="8"/>
  <c r="BI126" i="8"/>
  <c r="BI125" i="8"/>
  <c r="BI124" i="8"/>
  <c r="BI123" i="8"/>
  <c r="BI122" i="8"/>
  <c r="BI121" i="8"/>
  <c r="BI120" i="8"/>
  <c r="BI119" i="8"/>
  <c r="BI118" i="8"/>
  <c r="BI117" i="8"/>
  <c r="BI116" i="8"/>
  <c r="BI115" i="8"/>
  <c r="BI114" i="8"/>
  <c r="BI113" i="8"/>
  <c r="BI112" i="8"/>
  <c r="BI111" i="8"/>
  <c r="BI110" i="8"/>
  <c r="BI109" i="8"/>
  <c r="BI108" i="8"/>
  <c r="BI107" i="8"/>
  <c r="BI106" i="8"/>
  <c r="BI105" i="8"/>
  <c r="BI104" i="8"/>
  <c r="BI103" i="8"/>
  <c r="BI102" i="8"/>
  <c r="BI101" i="8"/>
  <c r="BI100" i="8"/>
  <c r="BI99" i="8"/>
  <c r="BI98" i="8"/>
  <c r="BI97" i="8"/>
  <c r="BI96" i="8"/>
  <c r="BI95" i="8"/>
  <c r="BI94" i="8"/>
  <c r="BI93" i="8"/>
  <c r="BI92" i="8"/>
  <c r="BI91" i="8"/>
  <c r="BI90" i="8"/>
  <c r="BI89" i="8"/>
  <c r="BI88" i="8"/>
  <c r="BI87" i="8"/>
  <c r="BI86" i="8"/>
  <c r="BI85" i="8"/>
  <c r="BI84" i="8"/>
  <c r="BI83" i="8"/>
  <c r="BI82" i="8"/>
  <c r="BI81" i="8"/>
  <c r="BI80" i="8"/>
  <c r="BI79" i="8"/>
  <c r="BI78" i="8"/>
  <c r="BI77" i="8"/>
  <c r="BI76" i="8"/>
  <c r="BI75" i="8"/>
  <c r="BI74" i="8"/>
  <c r="BI73" i="8"/>
  <c r="BI72" i="8"/>
  <c r="BI71" i="8"/>
  <c r="BI70" i="8"/>
  <c r="BI69" i="8"/>
  <c r="BI68" i="8"/>
  <c r="BI67" i="8"/>
  <c r="BI66" i="8"/>
  <c r="BI65" i="8"/>
  <c r="BI64" i="8"/>
  <c r="BI63" i="8"/>
  <c r="BI62" i="8"/>
  <c r="BI61" i="8"/>
  <c r="BI60" i="8"/>
  <c r="BI59" i="8"/>
  <c r="BI58" i="8"/>
  <c r="BI57" i="8"/>
  <c r="BI56" i="8"/>
  <c r="BI55" i="8"/>
  <c r="BI54" i="8"/>
  <c r="BI53" i="8"/>
  <c r="BI52" i="8"/>
  <c r="BI51" i="8"/>
  <c r="BI50" i="8"/>
  <c r="BI49" i="8"/>
  <c r="BI48" i="8"/>
  <c r="BI47" i="8"/>
  <c r="BI46" i="8"/>
  <c r="BI45" i="8"/>
  <c r="BI44" i="8"/>
  <c r="BI43" i="8"/>
  <c r="BI42" i="8"/>
  <c r="BI41" i="8"/>
  <c r="BI40" i="8"/>
  <c r="BI39" i="8"/>
  <c r="BI38" i="8"/>
  <c r="BI37" i="8"/>
  <c r="BI36" i="8"/>
  <c r="BI35" i="8"/>
  <c r="BI34" i="8"/>
  <c r="BI33" i="8"/>
  <c r="BI32" i="8"/>
  <c r="BI31" i="8"/>
  <c r="BI30" i="8"/>
  <c r="BI29" i="8"/>
  <c r="BI28" i="8"/>
  <c r="BI27" i="8"/>
  <c r="BI26" i="8"/>
  <c r="BI25" i="8"/>
  <c r="BI24" i="8"/>
  <c r="BI23" i="8"/>
  <c r="BI22" i="8"/>
  <c r="BI21" i="8"/>
  <c r="BI20" i="8"/>
  <c r="BI19" i="8"/>
  <c r="BI18" i="8"/>
  <c r="BI17" i="8"/>
  <c r="BI16" i="8"/>
  <c r="BI15" i="8"/>
  <c r="BI14" i="8"/>
  <c r="BI13" i="8"/>
  <c r="BI12" i="8"/>
  <c r="BI11" i="8"/>
  <c r="BH145" i="8"/>
  <c r="BH144" i="8"/>
  <c r="BH143" i="8"/>
  <c r="BH142" i="8"/>
  <c r="BH141" i="8"/>
  <c r="BH140" i="8"/>
  <c r="BH139" i="8"/>
  <c r="BH138" i="8"/>
  <c r="BH137" i="8"/>
  <c r="BH136" i="8"/>
  <c r="BH135" i="8"/>
  <c r="BH134" i="8"/>
  <c r="BH133" i="8"/>
  <c r="BH132" i="8"/>
  <c r="BH131" i="8"/>
  <c r="BH100" i="8"/>
  <c r="BH99" i="8"/>
  <c r="BH98" i="8"/>
  <c r="BH97" i="8"/>
  <c r="BH96" i="8"/>
  <c r="BH95" i="8"/>
  <c r="BH94" i="8"/>
  <c r="BH93" i="8"/>
  <c r="BH92" i="8"/>
  <c r="BH91" i="8"/>
  <c r="BH90" i="8"/>
  <c r="BH89" i="8"/>
  <c r="BH88" i="8"/>
  <c r="BH87" i="8"/>
  <c r="BH86" i="8"/>
  <c r="BH55" i="8"/>
  <c r="BH54" i="8"/>
  <c r="BH53" i="8"/>
  <c r="BH52" i="8"/>
  <c r="BH51" i="8"/>
  <c r="BH50" i="8"/>
  <c r="BH49" i="8"/>
  <c r="BH48" i="8"/>
  <c r="BH47" i="8"/>
  <c r="BH46" i="8"/>
  <c r="BH45" i="8"/>
  <c r="BH44" i="8"/>
  <c r="BH43" i="8"/>
  <c r="BH42" i="8"/>
  <c r="BH41" i="8"/>
  <c r="BH32" i="8"/>
  <c r="BH24" i="8"/>
  <c r="DK26" i="1"/>
  <c r="DC26" i="1"/>
  <c r="BX8" i="1"/>
  <c r="E39" i="10"/>
  <c r="G60" i="2"/>
  <c r="FA135" i="8"/>
  <c r="FT135" i="8"/>
  <c r="F60" i="2"/>
  <c r="E60" i="2"/>
  <c r="E9" i="6"/>
  <c r="G115" i="10"/>
  <c r="G116" i="10"/>
  <c r="G117" i="10"/>
  <c r="G114" i="10"/>
  <c r="D107" i="10"/>
  <c r="FS21" i="1"/>
  <c r="D103" i="10"/>
  <c r="FG21" i="1"/>
  <c r="D102" i="10"/>
  <c r="EY21" i="1"/>
  <c r="D101" i="10"/>
  <c r="EQ21" i="1"/>
  <c r="D100" i="10"/>
  <c r="EM21" i="1"/>
  <c r="D87" i="10"/>
  <c r="EA21" i="1"/>
  <c r="D86" i="10"/>
  <c r="DW21" i="1"/>
  <c r="D85" i="10"/>
  <c r="DS21" i="1"/>
  <c r="D84" i="10"/>
  <c r="DO21" i="1"/>
  <c r="D82" i="10"/>
  <c r="DK21" i="1"/>
  <c r="D80" i="10"/>
  <c r="CY21" i="1"/>
  <c r="D79" i="10"/>
  <c r="CU21" i="1"/>
  <c r="D78" i="10"/>
  <c r="CQ21" i="1"/>
  <c r="D77" i="10"/>
  <c r="CM21" i="1"/>
  <c r="CA14" i="8"/>
  <c r="CA26" i="8"/>
  <c r="CA38" i="8"/>
  <c r="CA50" i="8"/>
  <c r="CA62" i="8"/>
  <c r="CA74" i="8"/>
  <c r="CA86" i="8"/>
  <c r="CA98" i="8"/>
  <c r="CA110" i="8"/>
  <c r="CA122" i="8"/>
  <c r="CA134" i="8"/>
  <c r="CA11" i="8"/>
  <c r="CA17" i="8"/>
  <c r="CA29" i="8"/>
  <c r="CA41" i="8"/>
  <c r="CA53" i="8"/>
  <c r="CA65" i="8"/>
  <c r="CA77" i="8"/>
  <c r="CA89" i="8"/>
  <c r="CA101" i="8"/>
  <c r="CA113" i="8"/>
  <c r="CA125" i="8"/>
  <c r="CA137" i="8"/>
  <c r="CA20" i="8"/>
  <c r="CA32" i="8"/>
  <c r="CA44" i="8"/>
  <c r="CA56" i="8"/>
  <c r="CA68" i="8"/>
  <c r="CA80" i="8"/>
  <c r="CA92" i="8"/>
  <c r="CA104" i="8"/>
  <c r="CA116" i="8"/>
  <c r="CA128" i="8"/>
  <c r="CA140" i="8"/>
  <c r="CA23" i="8"/>
  <c r="CA35" i="8"/>
  <c r="CA47" i="8"/>
  <c r="CA59" i="8"/>
  <c r="CA71" i="8"/>
  <c r="CA83" i="8"/>
  <c r="CA95" i="8"/>
  <c r="CA107" i="8"/>
  <c r="CA119" i="8"/>
  <c r="CA131" i="8"/>
  <c r="CA143" i="8"/>
  <c r="D71" i="10" a="1"/>
  <c r="D71" i="10"/>
  <c r="AY21" i="1"/>
  <c r="D72" i="10" a="1"/>
  <c r="D72" i="10"/>
  <c r="BC21" i="1"/>
  <c r="D73" i="10" a="1"/>
  <c r="D73" i="10"/>
  <c r="BG21" i="1"/>
  <c r="D74" i="10" a="1"/>
  <c r="D74" i="10"/>
  <c r="BK21" i="1"/>
  <c r="D76" i="10" a="1"/>
  <c r="D76" i="10"/>
  <c r="BS21" i="1"/>
  <c r="D81" i="10" a="1"/>
  <c r="D81" i="10"/>
  <c r="DC21" i="1"/>
  <c r="AA12" i="8"/>
  <c r="AB12" i="8"/>
  <c r="AA13" i="8"/>
  <c r="AB13" i="8"/>
  <c r="AA14" i="8"/>
  <c r="AB14" i="8"/>
  <c r="AA15" i="8"/>
  <c r="AB15" i="8"/>
  <c r="AA16" i="8"/>
  <c r="AB16" i="8"/>
  <c r="AA17" i="8"/>
  <c r="AB17" i="8"/>
  <c r="AA18" i="8"/>
  <c r="AB18" i="8"/>
  <c r="AA19" i="8"/>
  <c r="AB19" i="8"/>
  <c r="AA20" i="8"/>
  <c r="AB20" i="8"/>
  <c r="AA21" i="8"/>
  <c r="AB21" i="8"/>
  <c r="AA22" i="8"/>
  <c r="AB22" i="8"/>
  <c r="AA23" i="8"/>
  <c r="AB23" i="8"/>
  <c r="AA24" i="8"/>
  <c r="AB24" i="8"/>
  <c r="AA25" i="8"/>
  <c r="AB25" i="8"/>
  <c r="AA26" i="8"/>
  <c r="AB26" i="8"/>
  <c r="AA27" i="8"/>
  <c r="AB27" i="8"/>
  <c r="AE27" i="8"/>
  <c r="AA28" i="8"/>
  <c r="AB28" i="8"/>
  <c r="AA29" i="8"/>
  <c r="AB29" i="8"/>
  <c r="AA30" i="8"/>
  <c r="AB30" i="8"/>
  <c r="AA31" i="8"/>
  <c r="AB31" i="8"/>
  <c r="AA32" i="8"/>
  <c r="AB32" i="8"/>
  <c r="AA33" i="8"/>
  <c r="AB33" i="8"/>
  <c r="AE33" i="8"/>
  <c r="AA34" i="8"/>
  <c r="AB34" i="8"/>
  <c r="AA35" i="8"/>
  <c r="AB35" i="8"/>
  <c r="AA36" i="8"/>
  <c r="AB36" i="8"/>
  <c r="AA37" i="8"/>
  <c r="AB37" i="8"/>
  <c r="AA38" i="8"/>
  <c r="AB38" i="8"/>
  <c r="AA39" i="8"/>
  <c r="AB39" i="8"/>
  <c r="AE39" i="8"/>
  <c r="AA40" i="8"/>
  <c r="AB40" i="8"/>
  <c r="AA41" i="8"/>
  <c r="AB41" i="8"/>
  <c r="AA42" i="8"/>
  <c r="AB42" i="8"/>
  <c r="AA43" i="8"/>
  <c r="AB43" i="8"/>
  <c r="AA44" i="8"/>
  <c r="AB44" i="8"/>
  <c r="AA45" i="8"/>
  <c r="AB45" i="8"/>
  <c r="AE45" i="8"/>
  <c r="AA46" i="8"/>
  <c r="AB46" i="8"/>
  <c r="AA47" i="8"/>
  <c r="AB47" i="8"/>
  <c r="AA48" i="8"/>
  <c r="AB48" i="8"/>
  <c r="AA49" i="8"/>
  <c r="AB49" i="8"/>
  <c r="AA50" i="8"/>
  <c r="AB50" i="8"/>
  <c r="AA51" i="8"/>
  <c r="AB51" i="8"/>
  <c r="AE51" i="8"/>
  <c r="AA52" i="8"/>
  <c r="AB52" i="8"/>
  <c r="AA53" i="8"/>
  <c r="AB53" i="8"/>
  <c r="AA54" i="8"/>
  <c r="AB54" i="8"/>
  <c r="AA55" i="8"/>
  <c r="AB55" i="8"/>
  <c r="AA56" i="8"/>
  <c r="AB56" i="8"/>
  <c r="AA57" i="8"/>
  <c r="AB57" i="8"/>
  <c r="AA58" i="8"/>
  <c r="AB58" i="8"/>
  <c r="AA59" i="8"/>
  <c r="AB59" i="8"/>
  <c r="AA60" i="8"/>
  <c r="AB60" i="8"/>
  <c r="AA61" i="8"/>
  <c r="AB61" i="8"/>
  <c r="AA62" i="8"/>
  <c r="AB62" i="8"/>
  <c r="AA63" i="8"/>
  <c r="AB63" i="8"/>
  <c r="AA64" i="8"/>
  <c r="AB64" i="8"/>
  <c r="AA65" i="8"/>
  <c r="AB65" i="8"/>
  <c r="AA66" i="8"/>
  <c r="AB66" i="8"/>
  <c r="AA67" i="8"/>
  <c r="AB67" i="8"/>
  <c r="AA68" i="8"/>
  <c r="AB68" i="8"/>
  <c r="AA69" i="8"/>
  <c r="AB69" i="8"/>
  <c r="AA70" i="8"/>
  <c r="AB70" i="8"/>
  <c r="AA71" i="8"/>
  <c r="AB71" i="8"/>
  <c r="AA72" i="8"/>
  <c r="AB72" i="8"/>
  <c r="AA73" i="8"/>
  <c r="AB73" i="8"/>
  <c r="AA74" i="8"/>
  <c r="AB74" i="8"/>
  <c r="AA75" i="8"/>
  <c r="AB75" i="8"/>
  <c r="AE75" i="8"/>
  <c r="AA76" i="8"/>
  <c r="AB76" i="8"/>
  <c r="AA77" i="8"/>
  <c r="AB77" i="8"/>
  <c r="AA78" i="8"/>
  <c r="AB78" i="8"/>
  <c r="AA79" i="8"/>
  <c r="AB79" i="8"/>
  <c r="AA80" i="8"/>
  <c r="AB80" i="8"/>
  <c r="AA81" i="8"/>
  <c r="AB81" i="8"/>
  <c r="AE81" i="8"/>
  <c r="AA82" i="8"/>
  <c r="AB82" i="8"/>
  <c r="AA83" i="8"/>
  <c r="AB83" i="8"/>
  <c r="AA84" i="8"/>
  <c r="AB84" i="8"/>
  <c r="AA85" i="8"/>
  <c r="AB85" i="8"/>
  <c r="AE85" i="8"/>
  <c r="AA86" i="8"/>
  <c r="AB86" i="8"/>
  <c r="AE86" i="8"/>
  <c r="AA87" i="8"/>
  <c r="AB87" i="8"/>
  <c r="AE87" i="8"/>
  <c r="AA88" i="8"/>
  <c r="AB88" i="8"/>
  <c r="AA89" i="8"/>
  <c r="AB89" i="8"/>
  <c r="AA90" i="8"/>
  <c r="AB90" i="8"/>
  <c r="AA91" i="8"/>
  <c r="AB91" i="8"/>
  <c r="AE91" i="8"/>
  <c r="AA92" i="8"/>
  <c r="AB92" i="8"/>
  <c r="AE92" i="8"/>
  <c r="AA93" i="8"/>
  <c r="AB93" i="8"/>
  <c r="AE93" i="8"/>
  <c r="AA94" i="8"/>
  <c r="AB94" i="8"/>
  <c r="AA95" i="8"/>
  <c r="AB95" i="8"/>
  <c r="AA96" i="8"/>
  <c r="AB96" i="8"/>
  <c r="AA97" i="8"/>
  <c r="AB97" i="8"/>
  <c r="AE97" i="8"/>
  <c r="AA98" i="8"/>
  <c r="AB98" i="8"/>
  <c r="AE98" i="8"/>
  <c r="AA99" i="8"/>
  <c r="AB99" i="8"/>
  <c r="AE99" i="8"/>
  <c r="AA100" i="8"/>
  <c r="AB100" i="8"/>
  <c r="AA101" i="8"/>
  <c r="AB101" i="8"/>
  <c r="AA102" i="8"/>
  <c r="AB102" i="8"/>
  <c r="AA103" i="8"/>
  <c r="AB103" i="8"/>
  <c r="AA104" i="8"/>
  <c r="AB104" i="8"/>
  <c r="AA105" i="8"/>
  <c r="AB105" i="8"/>
  <c r="AA106" i="8"/>
  <c r="AB106" i="8"/>
  <c r="AA107" i="8"/>
  <c r="AB107" i="8"/>
  <c r="AA108" i="8"/>
  <c r="AB108" i="8"/>
  <c r="AA109" i="8"/>
  <c r="AB109" i="8"/>
  <c r="AA110" i="8"/>
  <c r="AB110" i="8"/>
  <c r="AA111" i="8"/>
  <c r="AB111" i="8"/>
  <c r="AA112" i="8"/>
  <c r="AB112" i="8"/>
  <c r="AA113" i="8"/>
  <c r="AB113" i="8"/>
  <c r="AA114" i="8"/>
  <c r="AB114" i="8"/>
  <c r="AA115" i="8"/>
  <c r="AB115" i="8"/>
  <c r="AA116" i="8"/>
  <c r="AB116" i="8"/>
  <c r="AE116" i="8"/>
  <c r="AA117" i="8"/>
  <c r="AB117" i="8"/>
  <c r="AE117" i="8"/>
  <c r="AA118" i="8"/>
  <c r="AB118" i="8"/>
  <c r="AA119" i="8"/>
  <c r="AB119" i="8"/>
  <c r="AA120" i="8"/>
  <c r="AB120" i="8"/>
  <c r="AA121" i="8"/>
  <c r="AB121" i="8"/>
  <c r="AE121" i="8"/>
  <c r="AA122" i="8"/>
  <c r="AB122" i="8"/>
  <c r="AE122" i="8"/>
  <c r="AA123" i="8"/>
  <c r="AB123" i="8"/>
  <c r="AE123" i="8"/>
  <c r="AA124" i="8"/>
  <c r="AB124" i="8"/>
  <c r="AA125" i="8"/>
  <c r="AB125" i="8"/>
  <c r="AA126" i="8"/>
  <c r="AB126" i="8"/>
  <c r="AA127" i="8"/>
  <c r="AB127" i="8"/>
  <c r="AE127" i="8"/>
  <c r="AA128" i="8"/>
  <c r="AB128" i="8"/>
  <c r="AE128" i="8"/>
  <c r="AA129" i="8"/>
  <c r="AB129" i="8"/>
  <c r="AE129" i="8"/>
  <c r="AA130" i="8"/>
  <c r="AB130" i="8"/>
  <c r="AA131" i="8"/>
  <c r="AB131" i="8"/>
  <c r="AA132" i="8"/>
  <c r="AB132" i="8"/>
  <c r="AA133" i="8"/>
  <c r="AB133" i="8"/>
  <c r="AE133" i="8"/>
  <c r="AA134" i="8"/>
  <c r="AB134" i="8"/>
  <c r="AE134" i="8"/>
  <c r="AA135" i="8"/>
  <c r="AB135" i="8"/>
  <c r="AE135" i="8"/>
  <c r="AA136" i="8"/>
  <c r="AB136" i="8"/>
  <c r="AA137" i="8"/>
  <c r="AB137" i="8"/>
  <c r="AA138" i="8"/>
  <c r="AB138" i="8"/>
  <c r="AA139" i="8"/>
  <c r="AB139" i="8"/>
  <c r="AE139" i="8"/>
  <c r="AA140" i="8"/>
  <c r="AB140" i="8"/>
  <c r="AE140" i="8"/>
  <c r="AA141" i="8"/>
  <c r="AB141" i="8"/>
  <c r="AE141" i="8"/>
  <c r="AA142" i="8"/>
  <c r="AB142" i="8"/>
  <c r="AA143" i="8"/>
  <c r="AB143" i="8"/>
  <c r="AA144" i="8"/>
  <c r="AB144" i="8"/>
  <c r="AA145" i="8"/>
  <c r="AB145" i="8"/>
  <c r="AE145" i="8"/>
  <c r="AB11" i="8"/>
  <c r="AE11" i="8"/>
  <c r="AA11" i="8"/>
  <c r="AE26" i="8"/>
  <c r="AE43" i="8"/>
  <c r="AE15" i="8"/>
  <c r="DV8" i="8"/>
  <c r="DW8" i="8"/>
  <c r="EC8" i="8"/>
  <c r="AE105" i="8"/>
  <c r="AE69" i="8"/>
  <c r="AE57" i="8"/>
  <c r="AE142" i="8"/>
  <c r="AE137" i="8"/>
  <c r="AE131" i="8"/>
  <c r="AE130" i="8"/>
  <c r="AE125" i="8"/>
  <c r="AE124" i="8"/>
  <c r="AE119" i="8"/>
  <c r="AE118" i="8"/>
  <c r="AE113" i="8"/>
  <c r="AE112" i="8"/>
  <c r="AE107" i="8"/>
  <c r="AE106" i="8"/>
  <c r="AE101" i="8"/>
  <c r="AE100" i="8"/>
  <c r="AE95" i="8"/>
  <c r="AE94" i="8"/>
  <c r="AE89" i="8"/>
  <c r="AE88" i="8"/>
  <c r="AE83" i="8"/>
  <c r="AE82" i="8"/>
  <c r="AE77" i="8"/>
  <c r="AE76" i="8"/>
  <c r="AE71" i="8"/>
  <c r="AE70" i="8"/>
  <c r="AE65" i="8"/>
  <c r="AE64" i="8"/>
  <c r="AE59" i="8"/>
  <c r="AE58" i="8"/>
  <c r="AE53" i="8"/>
  <c r="AE52" i="8"/>
  <c r="AE47" i="8"/>
  <c r="AE46" i="8"/>
  <c r="AE41" i="8"/>
  <c r="AE40" i="8"/>
  <c r="AE35" i="8"/>
  <c r="AE34" i="8"/>
  <c r="AE29" i="8"/>
  <c r="AE28" i="8"/>
  <c r="AE23" i="8"/>
  <c r="AE22" i="8"/>
  <c r="AE17" i="8"/>
  <c r="AE16" i="8"/>
  <c r="AE63" i="8"/>
  <c r="AE143" i="8"/>
  <c r="AE136" i="8"/>
  <c r="AE144" i="8"/>
  <c r="AE138" i="8"/>
  <c r="AE132" i="8"/>
  <c r="AE126" i="8"/>
  <c r="AE120" i="8"/>
  <c r="AE114" i="8"/>
  <c r="AE108" i="8"/>
  <c r="AE102" i="8"/>
  <c r="AE96" i="8"/>
  <c r="AE90" i="8"/>
  <c r="AE84" i="8"/>
  <c r="AE78" i="8"/>
  <c r="AE72" i="8"/>
  <c r="AE66" i="8"/>
  <c r="AE60" i="8"/>
  <c r="AE54" i="8"/>
  <c r="AE48" i="8"/>
  <c r="AE42" i="8"/>
  <c r="AE36" i="8"/>
  <c r="AE30" i="8"/>
  <c r="AE24" i="8"/>
  <c r="AE18" i="8"/>
  <c r="AE12" i="8"/>
  <c r="AE115" i="8"/>
  <c r="AE110" i="8"/>
  <c r="AE109" i="8"/>
  <c r="AE104" i="8"/>
  <c r="AE103" i="8"/>
  <c r="AE80" i="8"/>
  <c r="AE79" i="8"/>
  <c r="AE74" i="8"/>
  <c r="AE73" i="8"/>
  <c r="AE68" i="8"/>
  <c r="AE67" i="8"/>
  <c r="AE62" i="8"/>
  <c r="AE61" i="8"/>
  <c r="AE56" i="8"/>
  <c r="AE55" i="8"/>
  <c r="AE50" i="8"/>
  <c r="AE49" i="8"/>
  <c r="AE44" i="8"/>
  <c r="AE38" i="8"/>
  <c r="AE37" i="8"/>
  <c r="AE32" i="8"/>
  <c r="AE31" i="8"/>
  <c r="AE25" i="8"/>
  <c r="AE20" i="8"/>
  <c r="AE19" i="8"/>
  <c r="AE14" i="8"/>
  <c r="AE13" i="8"/>
  <c r="AE111" i="8"/>
  <c r="AE21" i="8"/>
  <c r="CA19" i="8"/>
  <c r="CA25" i="8"/>
  <c r="CA31" i="8"/>
  <c r="CA43" i="8"/>
  <c r="CA49" i="8"/>
  <c r="CA55" i="8"/>
  <c r="CA67" i="8"/>
  <c r="CA73" i="8"/>
  <c r="CA79" i="8"/>
  <c r="CA91" i="8"/>
  <c r="CA97" i="8"/>
  <c r="CA103" i="8"/>
  <c r="CA115" i="8"/>
  <c r="CA121" i="8"/>
  <c r="CA127" i="8"/>
  <c r="CA139" i="8"/>
  <c r="CA145" i="8"/>
  <c r="CA16" i="8"/>
  <c r="CA28" i="8"/>
  <c r="CA34" i="8"/>
  <c r="CA40" i="8"/>
  <c r="CA52" i="8"/>
  <c r="CA58" i="8"/>
  <c r="CA64" i="8"/>
  <c r="CA76" i="8"/>
  <c r="CA82" i="8"/>
  <c r="CA88" i="8"/>
  <c r="CA100" i="8"/>
  <c r="CA106" i="8"/>
  <c r="CA112" i="8"/>
  <c r="CA124" i="8"/>
  <c r="CA130" i="8"/>
  <c r="CA136" i="8"/>
  <c r="CA12" i="8"/>
  <c r="CA24" i="8"/>
  <c r="CA36" i="8"/>
  <c r="CA48" i="8"/>
  <c r="CA60" i="8"/>
  <c r="CA72" i="8"/>
  <c r="CA84" i="8"/>
  <c r="CA96" i="8"/>
  <c r="CA108" i="8"/>
  <c r="CA120" i="8"/>
  <c r="CA132" i="8"/>
  <c r="CA144" i="8"/>
  <c r="CA21" i="8"/>
  <c r="CA33" i="8"/>
  <c r="CA45" i="8"/>
  <c r="CA57" i="8"/>
  <c r="CA69" i="8"/>
  <c r="CA81" i="8"/>
  <c r="CA93" i="8"/>
  <c r="CA105" i="8"/>
  <c r="CA117" i="8"/>
  <c r="CA129" i="8"/>
  <c r="CA141" i="8"/>
  <c r="CA18" i="8"/>
  <c r="CA30" i="8"/>
  <c r="CA42" i="8"/>
  <c r="CA54" i="8"/>
  <c r="CA66" i="8"/>
  <c r="CA78" i="8"/>
  <c r="CA90" i="8"/>
  <c r="CA102" i="8"/>
  <c r="CA114" i="8"/>
  <c r="CA126" i="8"/>
  <c r="CA138" i="8"/>
  <c r="CA15" i="8"/>
  <c r="CA27" i="8"/>
  <c r="CA39" i="8"/>
  <c r="CA51" i="8"/>
  <c r="CA63" i="8"/>
  <c r="CA75" i="8"/>
  <c r="CA87" i="8"/>
  <c r="CA99" i="8"/>
  <c r="CA111" i="8"/>
  <c r="CA123" i="8"/>
  <c r="CA135" i="8"/>
  <c r="I24" i="1"/>
  <c r="F64" i="6"/>
  <c r="CY42" i="8"/>
  <c r="BQ35" i="18" a="1"/>
  <c r="BQ35" i="18"/>
  <c r="CY18" i="8"/>
  <c r="BQ11" i="18" a="1"/>
  <c r="BQ11" i="18"/>
  <c r="CY30" i="8"/>
  <c r="BQ23" i="18" a="1"/>
  <c r="BQ23" i="18"/>
  <c r="CY54" i="8"/>
  <c r="BQ47" i="18" a="1"/>
  <c r="BQ47" i="18"/>
  <c r="CY66" i="8"/>
  <c r="BQ59" i="18" a="1"/>
  <c r="BQ59" i="18"/>
  <c r="CY12" i="8"/>
  <c r="CY36" i="8"/>
  <c r="BQ29" i="18" a="1"/>
  <c r="BQ29" i="18"/>
  <c r="CY48" i="8"/>
  <c r="BQ41" i="18" a="1"/>
  <c r="BQ41" i="18"/>
  <c r="CY60" i="8"/>
  <c r="BQ53" i="18" a="1"/>
  <c r="BQ53" i="18"/>
  <c r="CY84" i="8"/>
  <c r="BQ77" i="18" a="1"/>
  <c r="BQ77" i="18"/>
  <c r="CY96" i="8"/>
  <c r="BQ89" i="18" a="1"/>
  <c r="BQ89" i="18"/>
  <c r="CY108" i="8"/>
  <c r="BQ101" i="18" a="1"/>
  <c r="BQ101" i="18"/>
  <c r="CY132" i="8"/>
  <c r="CY144" i="8"/>
  <c r="CY93" i="8"/>
  <c r="BQ86" i="18" a="1"/>
  <c r="BQ86" i="18"/>
  <c r="CY57" i="8"/>
  <c r="BQ50" i="18" a="1"/>
  <c r="BQ50" i="18"/>
  <c r="CY105" i="8"/>
  <c r="BQ98" i="18" a="1"/>
  <c r="BQ98" i="18"/>
  <c r="CY126" i="8"/>
  <c r="BQ119" i="18" a="1"/>
  <c r="BQ119" i="18"/>
  <c r="CY33" i="8"/>
  <c r="BQ26" i="18" a="1"/>
  <c r="BQ26" i="18"/>
  <c r="CY21" i="8"/>
  <c r="BQ14" i="18" a="1"/>
  <c r="BQ14" i="18"/>
  <c r="CY45" i="8"/>
  <c r="BQ38" i="18" a="1"/>
  <c r="BQ38" i="18"/>
  <c r="CY69" i="8"/>
  <c r="BQ62" i="18" a="1"/>
  <c r="BQ62" i="18"/>
  <c r="CY75" i="8"/>
  <c r="BQ68" i="18" a="1"/>
  <c r="BQ68" i="18"/>
  <c r="CY81" i="8"/>
  <c r="BQ74" i="18" a="1"/>
  <c r="BQ74" i="18"/>
  <c r="CY102" i="8"/>
  <c r="BQ95" i="18" a="1"/>
  <c r="BQ95" i="18"/>
  <c r="CY123" i="8"/>
  <c r="BQ116" i="18" a="1"/>
  <c r="BQ116" i="18"/>
  <c r="CY129" i="8"/>
  <c r="BQ122" i="18" a="1"/>
  <c r="BQ122" i="18"/>
  <c r="CY15" i="8"/>
  <c r="BQ8" i="18" a="1"/>
  <c r="BQ8" i="18"/>
  <c r="CY39" i="8"/>
  <c r="BQ32" i="18" a="1"/>
  <c r="BQ32" i="18"/>
  <c r="CY63" i="8"/>
  <c r="BQ56" i="18" a="1"/>
  <c r="BQ56" i="18"/>
  <c r="CY87" i="8"/>
  <c r="BQ80" i="18" a="1"/>
  <c r="BQ80" i="18"/>
  <c r="CY114" i="8"/>
  <c r="BQ107" i="18" a="1"/>
  <c r="BQ107" i="18"/>
  <c r="CY135" i="8"/>
  <c r="CY78" i="8"/>
  <c r="BQ71" i="18" a="1"/>
  <c r="BQ71" i="18"/>
  <c r="CY99" i="8"/>
  <c r="BQ92" i="18" a="1"/>
  <c r="BQ92" i="18"/>
  <c r="CY27" i="8"/>
  <c r="BQ20" i="18" a="1"/>
  <c r="BQ20" i="18"/>
  <c r="CY51" i="8"/>
  <c r="BQ44" i="18" a="1"/>
  <c r="BQ44" i="18"/>
  <c r="CY90" i="8"/>
  <c r="BQ83" i="18" a="1"/>
  <c r="BQ83" i="18"/>
  <c r="CY111" i="8"/>
  <c r="BQ104" i="18" a="1"/>
  <c r="BQ104" i="18"/>
  <c r="CY117" i="8"/>
  <c r="BQ110" i="18" a="1"/>
  <c r="BQ110" i="18"/>
  <c r="CY138" i="8"/>
  <c r="G61" i="2"/>
  <c r="F61" i="2"/>
  <c r="AF74" i="8"/>
  <c r="E61" i="2"/>
  <c r="AF26" i="8"/>
  <c r="G65" i="6"/>
  <c r="F65" i="6"/>
  <c r="G64" i="6"/>
  <c r="CY22" i="8"/>
  <c r="BQ15" i="18" a="1"/>
  <c r="BQ15" i="18"/>
  <c r="E64" i="6"/>
  <c r="CU107" i="8"/>
  <c r="EZ107" i="8"/>
  <c r="BJ100" i="18" a="1"/>
  <c r="BJ100" i="18"/>
  <c r="E41" i="2"/>
  <c r="F37" i="2"/>
  <c r="E37" i="2"/>
  <c r="G37" i="2"/>
  <c r="G32" i="2"/>
  <c r="F32" i="2"/>
  <c r="AV62" i="8"/>
  <c r="E32" i="2"/>
  <c r="AV11" i="8"/>
  <c r="G31" i="2"/>
  <c r="F31" i="2"/>
  <c r="AT62" i="8"/>
  <c r="E31" i="2"/>
  <c r="AT11" i="8"/>
  <c r="F6" i="2"/>
  <c r="E6" i="2"/>
  <c r="G5" i="2"/>
  <c r="J145" i="8"/>
  <c r="F5" i="2"/>
  <c r="J75" i="8"/>
  <c r="E5" i="2"/>
  <c r="J36" i="8"/>
  <c r="G4" i="2"/>
  <c r="M102" i="8"/>
  <c r="F4" i="2"/>
  <c r="M63" i="8"/>
  <c r="E4" i="2"/>
  <c r="M11" i="8"/>
  <c r="G124" i="3"/>
  <c r="F124" i="3"/>
  <c r="E124" i="3"/>
  <c r="G116" i="3"/>
  <c r="H95" i="3"/>
  <c r="AN96" i="8"/>
  <c r="AN104" i="8"/>
  <c r="H93" i="3"/>
  <c r="AM89" i="8"/>
  <c r="H92" i="3"/>
  <c r="F11" i="3"/>
  <c r="E11" i="3"/>
  <c r="F10" i="3"/>
  <c r="E10" i="3"/>
  <c r="G9" i="3"/>
  <c r="K133" i="8"/>
  <c r="F9" i="3"/>
  <c r="K124" i="8"/>
  <c r="E9" i="3"/>
  <c r="K114" i="8"/>
  <c r="G8" i="3"/>
  <c r="I47" i="8"/>
  <c r="F8" i="3"/>
  <c r="I29" i="8"/>
  <c r="E8" i="3"/>
  <c r="I17" i="8"/>
  <c r="G7" i="3"/>
  <c r="N44" i="8"/>
  <c r="F7" i="3"/>
  <c r="N129" i="8"/>
  <c r="E7" i="3"/>
  <c r="N104" i="8"/>
  <c r="G6" i="3"/>
  <c r="L93" i="8"/>
  <c r="F6" i="3"/>
  <c r="L120" i="8"/>
  <c r="E6" i="3"/>
  <c r="L104" i="8"/>
  <c r="N22" i="10"/>
  <c r="N21" i="10"/>
  <c r="N20" i="10"/>
  <c r="N19" i="10"/>
  <c r="N7" i="10"/>
  <c r="N10" i="10"/>
  <c r="A1" i="10"/>
  <c r="B41" i="12"/>
  <c r="F30" i="12"/>
  <c r="F33" i="12"/>
  <c r="E29" i="12"/>
  <c r="C140" i="9"/>
  <c r="C139" i="9"/>
  <c r="C138" i="9"/>
  <c r="C137" i="9"/>
  <c r="C136" i="9"/>
  <c r="C135" i="9"/>
  <c r="C134" i="9"/>
  <c r="C133" i="9"/>
  <c r="C132" i="9"/>
  <c r="C131" i="9"/>
  <c r="C130" i="9"/>
  <c r="C129" i="9"/>
  <c r="C128" i="9"/>
  <c r="C127" i="9"/>
  <c r="C126" i="9"/>
  <c r="C125" i="9"/>
  <c r="C124" i="9"/>
  <c r="C123" i="9"/>
  <c r="C122" i="9"/>
  <c r="C121" i="9"/>
  <c r="C120" i="9"/>
  <c r="C119" i="9"/>
  <c r="C118" i="9"/>
  <c r="C117" i="9"/>
  <c r="C116" i="9"/>
  <c r="C115" i="9"/>
  <c r="C114" i="9"/>
  <c r="C113" i="9"/>
  <c r="C112" i="9"/>
  <c r="C111" i="9"/>
  <c r="C110" i="9"/>
  <c r="C109" i="9"/>
  <c r="C108" i="9"/>
  <c r="C107" i="9"/>
  <c r="C106" i="9"/>
  <c r="C105" i="9"/>
  <c r="C104" i="9"/>
  <c r="C103" i="9"/>
  <c r="C102" i="9"/>
  <c r="C101" i="9"/>
  <c r="C100" i="9"/>
  <c r="C99" i="9"/>
  <c r="C98" i="9"/>
  <c r="C97" i="9"/>
  <c r="C96" i="9"/>
  <c r="C95" i="9"/>
  <c r="C94" i="9"/>
  <c r="C93" i="9"/>
  <c r="C92" i="9"/>
  <c r="C91" i="9"/>
  <c r="C90" i="9"/>
  <c r="C89" i="9"/>
  <c r="C88" i="9"/>
  <c r="C87" i="9"/>
  <c r="C86" i="9"/>
  <c r="C85" i="9"/>
  <c r="C84" i="9"/>
  <c r="C83" i="9"/>
  <c r="C82" i="9"/>
  <c r="C81" i="9"/>
  <c r="C80" i="9"/>
  <c r="C79" i="9"/>
  <c r="C78" i="9"/>
  <c r="C77" i="9"/>
  <c r="C76" i="9"/>
  <c r="C75" i="9"/>
  <c r="C74" i="9"/>
  <c r="C73" i="9"/>
  <c r="C72" i="9"/>
  <c r="C71" i="9"/>
  <c r="C70" i="9"/>
  <c r="C69" i="9"/>
  <c r="C68" i="9"/>
  <c r="C67" i="9"/>
  <c r="C66" i="9"/>
  <c r="C65" i="9"/>
  <c r="C64" i="9"/>
  <c r="C63" i="9"/>
  <c r="C62" i="9"/>
  <c r="C61" i="9"/>
  <c r="C60" i="9"/>
  <c r="C59" i="9"/>
  <c r="C58" i="9"/>
  <c r="C57" i="9"/>
  <c r="C56" i="9"/>
  <c r="C55" i="9"/>
  <c r="C54" i="9"/>
  <c r="C53" i="9"/>
  <c r="C52" i="9"/>
  <c r="C51" i="9"/>
  <c r="C50" i="9"/>
  <c r="C49" i="9"/>
  <c r="C48" i="9"/>
  <c r="C47" i="9"/>
  <c r="C46" i="9"/>
  <c r="C45" i="9"/>
  <c r="C44" i="9"/>
  <c r="C43" i="9"/>
  <c r="C42" i="9"/>
  <c r="C41" i="9"/>
  <c r="C40" i="9"/>
  <c r="C39" i="9"/>
  <c r="C38" i="9"/>
  <c r="C37" i="9"/>
  <c r="C36" i="9"/>
  <c r="C35" i="9"/>
  <c r="C34" i="9"/>
  <c r="C33" i="9"/>
  <c r="C32" i="9"/>
  <c r="C31" i="9"/>
  <c r="C30" i="9"/>
  <c r="C29" i="9"/>
  <c r="C28" i="9"/>
  <c r="C27" i="9"/>
  <c r="C26" i="9"/>
  <c r="C25" i="9"/>
  <c r="C24" i="9"/>
  <c r="C23" i="9"/>
  <c r="C22" i="9"/>
  <c r="C21" i="9"/>
  <c r="C20" i="9"/>
  <c r="C19" i="9"/>
  <c r="C18" i="9"/>
  <c r="C17" i="9"/>
  <c r="C16" i="9"/>
  <c r="C15" i="9"/>
  <c r="C14" i="9"/>
  <c r="C13" i="9"/>
  <c r="C12" i="9"/>
  <c r="C11" i="9"/>
  <c r="C10" i="9"/>
  <c r="C9" i="9"/>
  <c r="C8" i="9"/>
  <c r="C7" i="9"/>
  <c r="C6" i="9"/>
  <c r="V24" i="1"/>
  <c r="P24" i="1"/>
  <c r="D24" i="1"/>
  <c r="AD20" i="8"/>
  <c r="AD38" i="8"/>
  <c r="AD98" i="8"/>
  <c r="AD125" i="8"/>
  <c r="AD32" i="8"/>
  <c r="AD35" i="8"/>
  <c r="AD101" i="8"/>
  <c r="AD113" i="8"/>
  <c r="AD122" i="8"/>
  <c r="AD86" i="8"/>
  <c r="AD23" i="8"/>
  <c r="AD47" i="8"/>
  <c r="AD74" i="8"/>
  <c r="AD89" i="8"/>
  <c r="AD92" i="8"/>
  <c r="AD134" i="8"/>
  <c r="AD59" i="8"/>
  <c r="AD71" i="8"/>
  <c r="AD116" i="8"/>
  <c r="AD137" i="8"/>
  <c r="AD119" i="8"/>
  <c r="AD14" i="8"/>
  <c r="AD29" i="8"/>
  <c r="AD50" i="8"/>
  <c r="AD110" i="8"/>
  <c r="AD128" i="8"/>
  <c r="CU90" i="8"/>
  <c r="EZ90" i="8"/>
  <c r="BJ83" i="18" a="1"/>
  <c r="BJ83" i="18"/>
  <c r="CU103" i="8"/>
  <c r="EZ103" i="8"/>
  <c r="BJ96" i="18" a="1"/>
  <c r="BJ96" i="18"/>
  <c r="CU84" i="8"/>
  <c r="EZ84" i="8"/>
  <c r="BJ77" i="18" a="1"/>
  <c r="BJ77" i="18"/>
  <c r="CU82" i="8"/>
  <c r="EZ82" i="8"/>
  <c r="BJ75" i="18" a="1"/>
  <c r="BJ75" i="18"/>
  <c r="CG16" i="8"/>
  <c r="CG27" i="8"/>
  <c r="CG75" i="8"/>
  <c r="CG119" i="8"/>
  <c r="CG31" i="8"/>
  <c r="CG48" i="8"/>
  <c r="BU60" i="18" a="1"/>
  <c r="BU60" i="18"/>
  <c r="BZ130" i="17" a="1"/>
  <c r="BZ130" i="17"/>
  <c r="BZ124" i="17" a="1"/>
  <c r="BZ124" i="17"/>
  <c r="BZ136" i="17" a="1"/>
  <c r="BZ136" i="17"/>
  <c r="BZ133" i="17" a="1"/>
  <c r="BZ133" i="17"/>
  <c r="BZ127" i="17" a="1"/>
  <c r="BZ127" i="17"/>
  <c r="CA137" i="17" a="1"/>
  <c r="CA137" i="17"/>
  <c r="CA128" i="17" a="1"/>
  <c r="CA128" i="17"/>
  <c r="CA129" i="17" a="1"/>
  <c r="CA129" i="17"/>
  <c r="CA126" i="17" a="1"/>
  <c r="CA126" i="17"/>
  <c r="CA132" i="17" a="1"/>
  <c r="CA132" i="17"/>
  <c r="CA138" i="17" a="1"/>
  <c r="CA138" i="17"/>
  <c r="CA135" i="17" a="1"/>
  <c r="CA135" i="17"/>
  <c r="CY14" i="8"/>
  <c r="BQ7" i="18" a="1"/>
  <c r="BQ7" i="18"/>
  <c r="CY26" i="8"/>
  <c r="BQ19" i="18" a="1"/>
  <c r="BQ19" i="18"/>
  <c r="CY38" i="8"/>
  <c r="BQ31" i="18" a="1"/>
  <c r="BQ31" i="18"/>
  <c r="CY50" i="8"/>
  <c r="BQ43" i="18" a="1"/>
  <c r="BQ43" i="18"/>
  <c r="CY62" i="8"/>
  <c r="BQ55" i="18" a="1"/>
  <c r="BQ55" i="18"/>
  <c r="CY20" i="8"/>
  <c r="BQ13" i="18" a="1"/>
  <c r="BQ13" i="18"/>
  <c r="CY32" i="8"/>
  <c r="BQ25" i="18" a="1"/>
  <c r="BQ25" i="18"/>
  <c r="CY44" i="8"/>
  <c r="BQ37" i="18" a="1"/>
  <c r="BQ37" i="18"/>
  <c r="CY56" i="8"/>
  <c r="BQ49" i="18" a="1"/>
  <c r="BQ49" i="18"/>
  <c r="CY68" i="8"/>
  <c r="BQ61" i="18" a="1"/>
  <c r="BQ61" i="18"/>
  <c r="CY80" i="8"/>
  <c r="BQ73" i="18" a="1"/>
  <c r="BQ73" i="18"/>
  <c r="CY92" i="8"/>
  <c r="BQ85" i="18" a="1"/>
  <c r="BQ85" i="18"/>
  <c r="CY104" i="8"/>
  <c r="BQ97" i="18" a="1"/>
  <c r="BQ97" i="18"/>
  <c r="CY116" i="8"/>
  <c r="BQ109" i="18" a="1"/>
  <c r="BQ109" i="18"/>
  <c r="CY128" i="8"/>
  <c r="BQ121" i="18" a="1"/>
  <c r="BQ121" i="18"/>
  <c r="CY140" i="8"/>
  <c r="CY77" i="8"/>
  <c r="BQ70" i="18" a="1"/>
  <c r="BQ70" i="18"/>
  <c r="CY125" i="8"/>
  <c r="BQ118" i="18" a="1"/>
  <c r="BQ118" i="18"/>
  <c r="CY83" i="8"/>
  <c r="BQ76" i="18" a="1"/>
  <c r="BQ76" i="18"/>
  <c r="CY17" i="8"/>
  <c r="BQ10" i="18" a="1"/>
  <c r="BQ10" i="18"/>
  <c r="CY41" i="8"/>
  <c r="BQ34" i="18" a="1"/>
  <c r="BQ34" i="18"/>
  <c r="CY65" i="8"/>
  <c r="BQ58" i="18" a="1"/>
  <c r="BQ58" i="18"/>
  <c r="CY89" i="8"/>
  <c r="BQ82" i="18" a="1"/>
  <c r="BQ82" i="18"/>
  <c r="CY110" i="8"/>
  <c r="BQ103" i="18" a="1"/>
  <c r="BQ103" i="18"/>
  <c r="CY131" i="8"/>
  <c r="CY35" i="8"/>
  <c r="BQ28" i="18" a="1"/>
  <c r="BQ28" i="18"/>
  <c r="CY59" i="8"/>
  <c r="BQ52" i="18" a="1"/>
  <c r="BQ52" i="18"/>
  <c r="CY101" i="8"/>
  <c r="BQ94" i="18" a="1"/>
  <c r="BQ94" i="18"/>
  <c r="CY122" i="8"/>
  <c r="BQ115" i="18" a="1"/>
  <c r="BQ115" i="18"/>
  <c r="CY143" i="8"/>
  <c r="CY29" i="8"/>
  <c r="BQ22" i="18" a="1"/>
  <c r="BQ22" i="18"/>
  <c r="CY53" i="8"/>
  <c r="BQ46" i="18" a="1"/>
  <c r="BQ46" i="18"/>
  <c r="CY86" i="8"/>
  <c r="BQ79" i="18" a="1"/>
  <c r="BQ79" i="18"/>
  <c r="CY107" i="8"/>
  <c r="BQ100" i="18" a="1"/>
  <c r="BQ100" i="18"/>
  <c r="CY113" i="8"/>
  <c r="BQ106" i="18" a="1"/>
  <c r="BQ106" i="18"/>
  <c r="CY134" i="8"/>
  <c r="CY23" i="8"/>
  <c r="BQ16" i="18" a="1"/>
  <c r="BQ16" i="18"/>
  <c r="CY47" i="8"/>
  <c r="BQ40" i="18" a="1"/>
  <c r="BQ40" i="18"/>
  <c r="CY71" i="8"/>
  <c r="BQ64" i="18" a="1"/>
  <c r="BQ64" i="18"/>
  <c r="CY98" i="8"/>
  <c r="BQ91" i="18" a="1"/>
  <c r="BQ91" i="18"/>
  <c r="CY119" i="8"/>
  <c r="BQ112" i="18" a="1"/>
  <c r="BQ112" i="18"/>
  <c r="CY11" i="8"/>
  <c r="BQ4" i="18" a="1"/>
  <c r="BQ4" i="18"/>
  <c r="CY137" i="8"/>
  <c r="CY74" i="8"/>
  <c r="BQ67" i="18" a="1"/>
  <c r="BQ67" i="18"/>
  <c r="CY95" i="8"/>
  <c r="BQ88" i="18" a="1"/>
  <c r="BQ88" i="18"/>
  <c r="CY34" i="8"/>
  <c r="BQ27" i="18" a="1"/>
  <c r="BQ27" i="18"/>
  <c r="CY46" i="8"/>
  <c r="BQ39" i="18" a="1"/>
  <c r="BQ39" i="18"/>
  <c r="CY58" i="8"/>
  <c r="BQ51" i="18" a="1"/>
  <c r="BQ51" i="18"/>
  <c r="CY16" i="8"/>
  <c r="BQ9" i="18" a="1"/>
  <c r="BQ9" i="18"/>
  <c r="CY28" i="8"/>
  <c r="BQ21" i="18" a="1"/>
  <c r="BQ21" i="18"/>
  <c r="CY40" i="8"/>
  <c r="BQ33" i="18" a="1"/>
  <c r="BQ33" i="18"/>
  <c r="CY64" i="8"/>
  <c r="BQ57" i="18" a="1"/>
  <c r="BQ57" i="18"/>
  <c r="CY76" i="8"/>
  <c r="BQ69" i="18" a="1"/>
  <c r="BQ69" i="18"/>
  <c r="CY88" i="8"/>
  <c r="BQ81" i="18" a="1"/>
  <c r="BQ81" i="18"/>
  <c r="CY112" i="8"/>
  <c r="BQ105" i="18" a="1"/>
  <c r="BQ105" i="18"/>
  <c r="CY124" i="8"/>
  <c r="BQ117" i="18" a="1"/>
  <c r="BQ117" i="18"/>
  <c r="CY136" i="8"/>
  <c r="CY55" i="8"/>
  <c r="BQ48" i="18" a="1"/>
  <c r="BQ48" i="18"/>
  <c r="CY109" i="8"/>
  <c r="BQ102" i="18" a="1"/>
  <c r="BQ102" i="18"/>
  <c r="CY85" i="8"/>
  <c r="BQ78" i="18" a="1"/>
  <c r="BQ78" i="18"/>
  <c r="CY127" i="8"/>
  <c r="BQ120" i="18" a="1"/>
  <c r="BQ120" i="18"/>
  <c r="CY25" i="8"/>
  <c r="BQ18" i="18" a="1"/>
  <c r="BQ18" i="18"/>
  <c r="CY79" i="8"/>
  <c r="BQ72" i="18" a="1"/>
  <c r="BQ72" i="18"/>
  <c r="CY37" i="8"/>
  <c r="BQ30" i="18" a="1"/>
  <c r="BQ30" i="18"/>
  <c r="CY61" i="8"/>
  <c r="BQ54" i="18" a="1"/>
  <c r="BQ54" i="18"/>
  <c r="CY91" i="8"/>
  <c r="BQ84" i="18" a="1"/>
  <c r="BQ84" i="18"/>
  <c r="CY118" i="8"/>
  <c r="BQ111" i="18" a="1"/>
  <c r="BQ111" i="18"/>
  <c r="CY139" i="8"/>
  <c r="CY145" i="8"/>
  <c r="CY103" i="8"/>
  <c r="BQ96" i="18" a="1"/>
  <c r="BQ96" i="18"/>
  <c r="CY130" i="8"/>
  <c r="BQ123" i="18" a="1"/>
  <c r="BQ123" i="18"/>
  <c r="CY49" i="8"/>
  <c r="BQ42" i="18" a="1"/>
  <c r="BQ42" i="18"/>
  <c r="CY94" i="8"/>
  <c r="BQ87" i="18" a="1"/>
  <c r="BQ87" i="18"/>
  <c r="CY115" i="8"/>
  <c r="BQ108" i="18" a="1"/>
  <c r="BQ108" i="18"/>
  <c r="CY121" i="8"/>
  <c r="BQ114" i="18" a="1"/>
  <c r="BQ114" i="18"/>
  <c r="CY19" i="8"/>
  <c r="BQ12" i="18" a="1"/>
  <c r="BQ12" i="18"/>
  <c r="CY43" i="8"/>
  <c r="BQ36" i="18" a="1"/>
  <c r="BQ36" i="18"/>
  <c r="CY67" i="8"/>
  <c r="BQ60" i="18" a="1"/>
  <c r="BQ60" i="18"/>
  <c r="CA133" i="17" a="1"/>
  <c r="CA133" i="17"/>
  <c r="CA136" i="17" a="1"/>
  <c r="CA136" i="17"/>
  <c r="CA130" i="17" a="1"/>
  <c r="CA130" i="17"/>
  <c r="CA124" i="17" a="1"/>
  <c r="CA124" i="17"/>
  <c r="CA127" i="17" a="1"/>
  <c r="CA127" i="17"/>
  <c r="CW13" i="8"/>
  <c r="CW25" i="8"/>
  <c r="CW37" i="8"/>
  <c r="CW49" i="8"/>
  <c r="CW61" i="8"/>
  <c r="CW73" i="8"/>
  <c r="CW85" i="8"/>
  <c r="CW97" i="8"/>
  <c r="CW109" i="8"/>
  <c r="CW121" i="8"/>
  <c r="CW133" i="8"/>
  <c r="CW145" i="8"/>
  <c r="CW22" i="8"/>
  <c r="CW34" i="8"/>
  <c r="CW46" i="8"/>
  <c r="CW58" i="8"/>
  <c r="CW70" i="8"/>
  <c r="CW82" i="8"/>
  <c r="CW94" i="8"/>
  <c r="CW106" i="8"/>
  <c r="CW118" i="8"/>
  <c r="CW130" i="8"/>
  <c r="CW142" i="8"/>
  <c r="CW19" i="8"/>
  <c r="CW31" i="8"/>
  <c r="CW43" i="8"/>
  <c r="CW55" i="8"/>
  <c r="CW67" i="8"/>
  <c r="CW79" i="8"/>
  <c r="CW91" i="8"/>
  <c r="CW103" i="8"/>
  <c r="CW115" i="8"/>
  <c r="CW127" i="8"/>
  <c r="CW139" i="8"/>
  <c r="CW16" i="8"/>
  <c r="CW28" i="8"/>
  <c r="CW40" i="8"/>
  <c r="CW52" i="8"/>
  <c r="CW64" i="8"/>
  <c r="CW76" i="8"/>
  <c r="CW88" i="8"/>
  <c r="CW100" i="8"/>
  <c r="CW112" i="8"/>
  <c r="CW124" i="8"/>
  <c r="CW136" i="8"/>
  <c r="CB21" i="8"/>
  <c r="CB33" i="8"/>
  <c r="CB45" i="8"/>
  <c r="CB57" i="8"/>
  <c r="CB69" i="8"/>
  <c r="CB81" i="8"/>
  <c r="CB93" i="8"/>
  <c r="CB105" i="8"/>
  <c r="CB117" i="8"/>
  <c r="CB129" i="8"/>
  <c r="CB141" i="8"/>
  <c r="CB18" i="8"/>
  <c r="CB30" i="8"/>
  <c r="CB42" i="8"/>
  <c r="CB54" i="8"/>
  <c r="CB66" i="8"/>
  <c r="CB78" i="8"/>
  <c r="CB90" i="8"/>
  <c r="CB102" i="8"/>
  <c r="CB114" i="8"/>
  <c r="CB126" i="8"/>
  <c r="CB138" i="8"/>
  <c r="CB15" i="8"/>
  <c r="CB27" i="8"/>
  <c r="CB39" i="8"/>
  <c r="CB51" i="8"/>
  <c r="CB63" i="8"/>
  <c r="CB75" i="8"/>
  <c r="CB87" i="8"/>
  <c r="CB99" i="8"/>
  <c r="CB111" i="8"/>
  <c r="CB123" i="8"/>
  <c r="CB135" i="8"/>
  <c r="CB12" i="8"/>
  <c r="CB24" i="8"/>
  <c r="CB36" i="8"/>
  <c r="CB48" i="8"/>
  <c r="CB60" i="8"/>
  <c r="CB72" i="8"/>
  <c r="CB84" i="8"/>
  <c r="CB96" i="8"/>
  <c r="CB108" i="8"/>
  <c r="CB120" i="8"/>
  <c r="CB132" i="8"/>
  <c r="CB144" i="8"/>
  <c r="BG143" i="8"/>
  <c r="BG139" i="8"/>
  <c r="BG135" i="8"/>
  <c r="BG131" i="8"/>
  <c r="BG97" i="8"/>
  <c r="BG93" i="8"/>
  <c r="BG89" i="8"/>
  <c r="BG55" i="8"/>
  <c r="BG51" i="8"/>
  <c r="BG47" i="8"/>
  <c r="BG43" i="8"/>
  <c r="BG46" i="8"/>
  <c r="BG45" i="8"/>
  <c r="BG136" i="8"/>
  <c r="BG90" i="8"/>
  <c r="BG44" i="8"/>
  <c r="BG142" i="8"/>
  <c r="BG138" i="8"/>
  <c r="BG134" i="8"/>
  <c r="BG100" i="8"/>
  <c r="BG96" i="8"/>
  <c r="BG92" i="8"/>
  <c r="BG88" i="8"/>
  <c r="BG54" i="8"/>
  <c r="BG50" i="8"/>
  <c r="BG42" i="8"/>
  <c r="BG41" i="8"/>
  <c r="BG98" i="8"/>
  <c r="BG52" i="8"/>
  <c r="BG145" i="8"/>
  <c r="BG141" i="8"/>
  <c r="BG137" i="8"/>
  <c r="BG133" i="8"/>
  <c r="BG99" i="8"/>
  <c r="BG95" i="8"/>
  <c r="BG91" i="8"/>
  <c r="BG87" i="8"/>
  <c r="BG53" i="8"/>
  <c r="BG49" i="8"/>
  <c r="BG140" i="8"/>
  <c r="BG94" i="8"/>
  <c r="BG48" i="8"/>
  <c r="BG144" i="8"/>
  <c r="BG132" i="8"/>
  <c r="BG86" i="8"/>
  <c r="BG130" i="8"/>
  <c r="BG126" i="8"/>
  <c r="BG122" i="8"/>
  <c r="BG118" i="8"/>
  <c r="BG83" i="8"/>
  <c r="BG79" i="8"/>
  <c r="BG75" i="8"/>
  <c r="BG71" i="8"/>
  <c r="BG40" i="8"/>
  <c r="BG36" i="8"/>
  <c r="BG32" i="8"/>
  <c r="BG28" i="8"/>
  <c r="BG123" i="8"/>
  <c r="BG76" i="8"/>
  <c r="BG29" i="8"/>
  <c r="BG129" i="8"/>
  <c r="BG125" i="8"/>
  <c r="BG121" i="8"/>
  <c r="BG117" i="8"/>
  <c r="BG82" i="8"/>
  <c r="BG78" i="8"/>
  <c r="BG74" i="8"/>
  <c r="BG39" i="8"/>
  <c r="BG35" i="8"/>
  <c r="BG31" i="8"/>
  <c r="BG27" i="8"/>
  <c r="BG84" i="8"/>
  <c r="BG37" i="8"/>
  <c r="BG128" i="8"/>
  <c r="BG124" i="8"/>
  <c r="BG120" i="8"/>
  <c r="BG116" i="8"/>
  <c r="BG85" i="8"/>
  <c r="BG81" i="8"/>
  <c r="BG77" i="8"/>
  <c r="BG73" i="8"/>
  <c r="BG38" i="8"/>
  <c r="BG34" i="8"/>
  <c r="BG30" i="8"/>
  <c r="BG26" i="8"/>
  <c r="BG119" i="8"/>
  <c r="BG72" i="8"/>
  <c r="BG127" i="8"/>
  <c r="BG80" i="8"/>
  <c r="BG33" i="8"/>
  <c r="BG113" i="8"/>
  <c r="BG109" i="8"/>
  <c r="BG105" i="8"/>
  <c r="BG101" i="8"/>
  <c r="BG69" i="8"/>
  <c r="BG65" i="8"/>
  <c r="BG61" i="8"/>
  <c r="BG57" i="8"/>
  <c r="BG25" i="8"/>
  <c r="BG21" i="8"/>
  <c r="BG17" i="8"/>
  <c r="BG13" i="8"/>
  <c r="BG110" i="8"/>
  <c r="BG70" i="8"/>
  <c r="BG62" i="8"/>
  <c r="BG18" i="8"/>
  <c r="BG112" i="8"/>
  <c r="BG108" i="8"/>
  <c r="BG104" i="8"/>
  <c r="BG68" i="8"/>
  <c r="BG64" i="8"/>
  <c r="BG60" i="8"/>
  <c r="BG56" i="8"/>
  <c r="BG24" i="8"/>
  <c r="BG20" i="8"/>
  <c r="BG16" i="8"/>
  <c r="BG12" i="8"/>
  <c r="BG102" i="8"/>
  <c r="BG115" i="8"/>
  <c r="BG111" i="8"/>
  <c r="BG107" i="8"/>
  <c r="BG103" i="8"/>
  <c r="BG67" i="8"/>
  <c r="BG63" i="8"/>
  <c r="BG59" i="8"/>
  <c r="BG23" i="8"/>
  <c r="BG19" i="8"/>
  <c r="BG15" i="8"/>
  <c r="BG11" i="8"/>
  <c r="BG114" i="8"/>
  <c r="BG106" i="8"/>
  <c r="BG66" i="8"/>
  <c r="BG58" i="8"/>
  <c r="BG22" i="8"/>
  <c r="BG14" i="8"/>
  <c r="G41" i="2"/>
  <c r="F41" i="2"/>
  <c r="AF89" i="8"/>
  <c r="AF70" i="8"/>
  <c r="AF60" i="8"/>
  <c r="AF95" i="8"/>
  <c r="AF16" i="8"/>
  <c r="AF39" i="8"/>
  <c r="AF36" i="8"/>
  <c r="AF11" i="8"/>
  <c r="AF124" i="8"/>
  <c r="AF102" i="8"/>
  <c r="AF125" i="8"/>
  <c r="AF104" i="8"/>
  <c r="AF118" i="8"/>
  <c r="AF141" i="8"/>
  <c r="AF120" i="8"/>
  <c r="AF143" i="8"/>
  <c r="AC55" i="8"/>
  <c r="AC139" i="8"/>
  <c r="AD19" i="8"/>
  <c r="AD31" i="8"/>
  <c r="AD43" i="8"/>
  <c r="AD55" i="8"/>
  <c r="AD67" i="8"/>
  <c r="AD79" i="8"/>
  <c r="AD91" i="8"/>
  <c r="AD103" i="8"/>
  <c r="AD115" i="8"/>
  <c r="AD127" i="8"/>
  <c r="AD139" i="8"/>
  <c r="AD64" i="8"/>
  <c r="AD112" i="8"/>
  <c r="AD124" i="8"/>
  <c r="AD22" i="8"/>
  <c r="AD34" i="8"/>
  <c r="AD46" i="8"/>
  <c r="AD58" i="8"/>
  <c r="AD70" i="8"/>
  <c r="AD82" i="8"/>
  <c r="AD94" i="8"/>
  <c r="AD106" i="8"/>
  <c r="AD118" i="8"/>
  <c r="AD130" i="8"/>
  <c r="AD142" i="8"/>
  <c r="AD133" i="8"/>
  <c r="AD145" i="8"/>
  <c r="AD28" i="8"/>
  <c r="AD40" i="8"/>
  <c r="AD52" i="8"/>
  <c r="AD88" i="8"/>
  <c r="AD13" i="8"/>
  <c r="AD25" i="8"/>
  <c r="AD37" i="8"/>
  <c r="AD49" i="8"/>
  <c r="AD61" i="8"/>
  <c r="AD73" i="8"/>
  <c r="AD85" i="8"/>
  <c r="AD97" i="8"/>
  <c r="AD109" i="8"/>
  <c r="AD121" i="8"/>
  <c r="AD16" i="8"/>
  <c r="AD76" i="8"/>
  <c r="AD100" i="8"/>
  <c r="AD136" i="8"/>
  <c r="AD90" i="8"/>
  <c r="AD69" i="8"/>
  <c r="N11" i="10"/>
  <c r="N8" i="10"/>
  <c r="N9" i="10"/>
  <c r="CU142" i="8"/>
  <c r="EZ142" i="8"/>
  <c r="CU127" i="8"/>
  <c r="EZ127" i="8"/>
  <c r="BJ120" i="18" a="1"/>
  <c r="BJ120" i="18"/>
  <c r="CU85" i="8"/>
  <c r="EZ85" i="8"/>
  <c r="BJ78" i="18" a="1"/>
  <c r="BJ78" i="18"/>
  <c r="CU25" i="8"/>
  <c r="EZ25" i="8"/>
  <c r="BJ18" i="18" a="1"/>
  <c r="BJ18" i="18"/>
  <c r="AF33" i="8"/>
  <c r="AF99" i="8"/>
  <c r="AF13" i="8"/>
  <c r="AF17" i="8"/>
  <c r="AF64" i="8"/>
  <c r="AV102" i="8"/>
  <c r="AV140" i="8"/>
  <c r="AY140" i="8"/>
  <c r="AF55" i="8"/>
  <c r="AF41" i="8"/>
  <c r="J139" i="8"/>
  <c r="EQ11" i="8"/>
  <c r="CK4" i="18" a="1"/>
  <c r="CK4" i="18"/>
  <c r="T11" i="8"/>
  <c r="X11" i="8"/>
  <c r="BS4" i="18" a="1"/>
  <c r="BS4" i="18"/>
  <c r="U11" i="8"/>
  <c r="BN4" i="18" a="1"/>
  <c r="BN4" i="18"/>
  <c r="Y11" i="8"/>
  <c r="BT4" i="18" a="1"/>
  <c r="BT4" i="18"/>
  <c r="W11" i="8"/>
  <c r="BR4" i="18" a="1"/>
  <c r="BR4" i="18"/>
  <c r="V11" i="8"/>
  <c r="BO4" i="18" a="1"/>
  <c r="BO4" i="18"/>
  <c r="BX140" i="8"/>
  <c r="BX20" i="8"/>
  <c r="BX21" i="8"/>
  <c r="BX22" i="8"/>
  <c r="BX35" i="8"/>
  <c r="BX36" i="8"/>
  <c r="BX37" i="8"/>
  <c r="BX50" i="8"/>
  <c r="BX51" i="8"/>
  <c r="BX52" i="8"/>
  <c r="BX65" i="8"/>
  <c r="BX66" i="8"/>
  <c r="BX67" i="8"/>
  <c r="BX80" i="8"/>
  <c r="BX81" i="8"/>
  <c r="BX82" i="8"/>
  <c r="BX95" i="8"/>
  <c r="BX96" i="8"/>
  <c r="BX97" i="8"/>
  <c r="BX11" i="8"/>
  <c r="BX145" i="8"/>
  <c r="BX144" i="8"/>
  <c r="BX143" i="8"/>
  <c r="BX142" i="8"/>
  <c r="BX141" i="8"/>
  <c r="BX139" i="8"/>
  <c r="BX138" i="8"/>
  <c r="BX137" i="8"/>
  <c r="BX136" i="8"/>
  <c r="BX135" i="8"/>
  <c r="BX134" i="8"/>
  <c r="BX133" i="8"/>
  <c r="BX132" i="8"/>
  <c r="BX131" i="8"/>
  <c r="BX130" i="8"/>
  <c r="BX129" i="8"/>
  <c r="BX128" i="8"/>
  <c r="BX127" i="8"/>
  <c r="BX126" i="8"/>
  <c r="BX125" i="8"/>
  <c r="BX124" i="8"/>
  <c r="BX123" i="8"/>
  <c r="BX122" i="8"/>
  <c r="BX121" i="8"/>
  <c r="BX120" i="8"/>
  <c r="BX119" i="8"/>
  <c r="BX118" i="8"/>
  <c r="BX117" i="8"/>
  <c r="BX116" i="8"/>
  <c r="BX115" i="8"/>
  <c r="BX114" i="8"/>
  <c r="BX113" i="8"/>
  <c r="BX112" i="8"/>
  <c r="BX111" i="8"/>
  <c r="BX110" i="8"/>
  <c r="BX109" i="8"/>
  <c r="BX108" i="8"/>
  <c r="BX106" i="8"/>
  <c r="BX105" i="8"/>
  <c r="BX103" i="8"/>
  <c r="BX102" i="8"/>
  <c r="BX100" i="8"/>
  <c r="BX99" i="8"/>
  <c r="BX26" i="8"/>
  <c r="BX27" i="8"/>
  <c r="BX28" i="8"/>
  <c r="BX41" i="8"/>
  <c r="BX42" i="8"/>
  <c r="BX43" i="8"/>
  <c r="BX56" i="8"/>
  <c r="BX57" i="8"/>
  <c r="BX58" i="8"/>
  <c r="BX71" i="8"/>
  <c r="BX72" i="8"/>
  <c r="BX73" i="8"/>
  <c r="BX86" i="8"/>
  <c r="BX87" i="8"/>
  <c r="BX88" i="8"/>
  <c r="BX12" i="8"/>
  <c r="BX13" i="8"/>
  <c r="BX23" i="8"/>
  <c r="BX24" i="8"/>
  <c r="BX25" i="8"/>
  <c r="BX38" i="8"/>
  <c r="BX39" i="8"/>
  <c r="BX40" i="8"/>
  <c r="BX53" i="8"/>
  <c r="BX54" i="8"/>
  <c r="BX55" i="8"/>
  <c r="BX68" i="8"/>
  <c r="BX69" i="8"/>
  <c r="BX70" i="8"/>
  <c r="BX83" i="8"/>
  <c r="BX84" i="8"/>
  <c r="BX85" i="8"/>
  <c r="BX14" i="8"/>
  <c r="BX15" i="8"/>
  <c r="BX16" i="8"/>
  <c r="BX29" i="8"/>
  <c r="BX30" i="8"/>
  <c r="BX31" i="8"/>
  <c r="BX44" i="8"/>
  <c r="BX45" i="8"/>
  <c r="BX46" i="8"/>
  <c r="BX59" i="8"/>
  <c r="BX60" i="8"/>
  <c r="BX61" i="8"/>
  <c r="BX74" i="8"/>
  <c r="BX75" i="8"/>
  <c r="BX76" i="8"/>
  <c r="BX89" i="8"/>
  <c r="BX90" i="8"/>
  <c r="BX91" i="8"/>
  <c r="BX17" i="8"/>
  <c r="BX18" i="8"/>
  <c r="BX19" i="8"/>
  <c r="BX32" i="8"/>
  <c r="BX33" i="8"/>
  <c r="BX34" i="8"/>
  <c r="BX47" i="8"/>
  <c r="BX48" i="8"/>
  <c r="BX49" i="8"/>
  <c r="BX62" i="8"/>
  <c r="BX63" i="8"/>
  <c r="BX64" i="8"/>
  <c r="BX77" i="8"/>
  <c r="BX78" i="8"/>
  <c r="BX79" i="8"/>
  <c r="BX92" i="8"/>
  <c r="BX93" i="8"/>
  <c r="BX94" i="8"/>
  <c r="EE11" i="8"/>
  <c r="CZ39" i="8"/>
  <c r="BZ32" i="18" a="1"/>
  <c r="BZ32" i="18"/>
  <c r="CZ63" i="8"/>
  <c r="BZ56" i="18" a="1"/>
  <c r="BZ56" i="18"/>
  <c r="CZ87" i="8"/>
  <c r="BZ80" i="18" a="1"/>
  <c r="BZ80" i="18"/>
  <c r="CZ111" i="8"/>
  <c r="BZ104" i="18" a="1"/>
  <c r="BZ104" i="18"/>
  <c r="CZ135" i="8"/>
  <c r="CZ18" i="8"/>
  <c r="BZ11" i="18" a="1"/>
  <c r="BZ11" i="18"/>
  <c r="CZ30" i="8"/>
  <c r="BZ23" i="18" a="1"/>
  <c r="BZ23" i="18"/>
  <c r="CZ36" i="8"/>
  <c r="BZ29" i="18" a="1"/>
  <c r="BZ29" i="18"/>
  <c r="CZ48" i="8"/>
  <c r="BZ41" i="18" a="1"/>
  <c r="BZ41" i="18"/>
  <c r="CZ54" i="8"/>
  <c r="BZ47" i="18" a="1"/>
  <c r="BZ47" i="18"/>
  <c r="CZ66" i="8"/>
  <c r="BZ59" i="18" a="1"/>
  <c r="BZ59" i="18"/>
  <c r="CZ72" i="8"/>
  <c r="BZ65" i="18" a="1"/>
  <c r="BZ65" i="18"/>
  <c r="CZ84" i="8"/>
  <c r="BZ77" i="18" a="1"/>
  <c r="BZ77" i="18"/>
  <c r="CZ90" i="8"/>
  <c r="BZ83" i="18" a="1"/>
  <c r="BZ83" i="18"/>
  <c r="CZ102" i="8"/>
  <c r="BZ95" i="18" a="1"/>
  <c r="BZ95" i="18"/>
  <c r="CZ108" i="8"/>
  <c r="BZ101" i="18" a="1"/>
  <c r="BZ101" i="18"/>
  <c r="CZ120" i="8"/>
  <c r="BZ113" i="18" a="1"/>
  <c r="BZ113" i="18"/>
  <c r="CZ126" i="8"/>
  <c r="BZ119" i="18" a="1"/>
  <c r="BZ119" i="18"/>
  <c r="CZ138" i="8"/>
  <c r="CZ144" i="8"/>
  <c r="CZ15" i="8"/>
  <c r="BZ8" i="18" a="1"/>
  <c r="BZ8" i="18"/>
  <c r="CZ27" i="8"/>
  <c r="BZ20" i="18" a="1"/>
  <c r="BZ20" i="18"/>
  <c r="CZ33" i="8"/>
  <c r="BZ26" i="18" a="1"/>
  <c r="BZ26" i="18"/>
  <c r="CZ51" i="8"/>
  <c r="BZ44" i="18" a="1"/>
  <c r="BZ44" i="18"/>
  <c r="CZ57" i="8"/>
  <c r="BZ50" i="18" a="1"/>
  <c r="BZ50" i="18"/>
  <c r="CZ75" i="8"/>
  <c r="BZ68" i="18" a="1"/>
  <c r="BZ68" i="18"/>
  <c r="CZ81" i="8"/>
  <c r="BZ74" i="18" a="1"/>
  <c r="BZ74" i="18"/>
  <c r="CZ99" i="8"/>
  <c r="BZ92" i="18" a="1"/>
  <c r="BZ92" i="18"/>
  <c r="CZ105" i="8"/>
  <c r="BZ98" i="18" a="1"/>
  <c r="BZ98" i="18"/>
  <c r="CZ123" i="8"/>
  <c r="BZ116" i="18" a="1"/>
  <c r="BZ116" i="18"/>
  <c r="CZ129" i="8"/>
  <c r="BZ122" i="18" a="1"/>
  <c r="BZ122" i="18"/>
  <c r="CZ12" i="8"/>
  <c r="BZ5" i="18" a="1"/>
  <c r="BZ5" i="18"/>
  <c r="CZ24" i="8"/>
  <c r="BZ17" i="18" a="1"/>
  <c r="BZ17" i="18"/>
  <c r="CZ42" i="8"/>
  <c r="BZ35" i="18" a="1"/>
  <c r="BZ35" i="18"/>
  <c r="CZ60" i="8"/>
  <c r="BZ53" i="18" a="1"/>
  <c r="BZ53" i="18"/>
  <c r="CZ78" i="8"/>
  <c r="BZ71" i="18" a="1"/>
  <c r="BZ71" i="18"/>
  <c r="CZ96" i="8"/>
  <c r="BZ89" i="18" a="1"/>
  <c r="BZ89" i="18"/>
  <c r="CZ114" i="8"/>
  <c r="BZ107" i="18" a="1"/>
  <c r="BZ107" i="18"/>
  <c r="CZ132" i="8"/>
  <c r="CZ21" i="8"/>
  <c r="BZ14" i="18" a="1"/>
  <c r="BZ14" i="18"/>
  <c r="CZ45" i="8"/>
  <c r="BZ38" i="18" a="1"/>
  <c r="BZ38" i="18"/>
  <c r="CZ69" i="8"/>
  <c r="BZ62" i="18" a="1"/>
  <c r="BZ62" i="18"/>
  <c r="CZ93" i="8"/>
  <c r="BZ86" i="18" a="1"/>
  <c r="BZ86" i="18"/>
  <c r="CZ117" i="8"/>
  <c r="BZ110" i="18" a="1"/>
  <c r="BZ110" i="18"/>
  <c r="CZ141" i="8"/>
  <c r="CZ13" i="8"/>
  <c r="BZ6" i="18" a="1"/>
  <c r="BZ6" i="18"/>
  <c r="CZ25" i="8"/>
  <c r="BZ18" i="18" a="1"/>
  <c r="BZ18" i="18"/>
  <c r="CZ37" i="8"/>
  <c r="BZ30" i="18" a="1"/>
  <c r="BZ30" i="18"/>
  <c r="CZ49" i="8"/>
  <c r="BZ42" i="18" a="1"/>
  <c r="BZ42" i="18"/>
  <c r="CZ61" i="8"/>
  <c r="BZ54" i="18" a="1"/>
  <c r="BZ54" i="18"/>
  <c r="CZ73" i="8"/>
  <c r="BZ66" i="18" a="1"/>
  <c r="BZ66" i="18"/>
  <c r="CZ85" i="8"/>
  <c r="BZ78" i="18" a="1"/>
  <c r="BZ78" i="18"/>
  <c r="CZ97" i="8"/>
  <c r="BZ90" i="18" a="1"/>
  <c r="BZ90" i="18"/>
  <c r="CZ109" i="8"/>
  <c r="BZ102" i="18" a="1"/>
  <c r="BZ102" i="18"/>
  <c r="CZ121" i="8"/>
  <c r="BZ114" i="18" a="1"/>
  <c r="BZ114" i="18"/>
  <c r="CZ133" i="8"/>
  <c r="CZ145" i="8"/>
  <c r="BZ138" i="18" a="1"/>
  <c r="BZ138" i="18"/>
  <c r="CZ22" i="8"/>
  <c r="BZ15" i="18" a="1"/>
  <c r="BZ15" i="18"/>
  <c r="CZ34" i="8"/>
  <c r="BZ27" i="18" a="1"/>
  <c r="BZ27" i="18"/>
  <c r="CZ46" i="8"/>
  <c r="BZ39" i="18" a="1"/>
  <c r="BZ39" i="18"/>
  <c r="CZ58" i="8"/>
  <c r="BZ51" i="18" a="1"/>
  <c r="BZ51" i="18"/>
  <c r="CZ70" i="8"/>
  <c r="BZ63" i="18" a="1"/>
  <c r="BZ63" i="18"/>
  <c r="CZ82" i="8"/>
  <c r="BZ75" i="18" a="1"/>
  <c r="BZ75" i="18"/>
  <c r="CZ94" i="8"/>
  <c r="BZ87" i="18" a="1"/>
  <c r="BZ87" i="18"/>
  <c r="CZ106" i="8"/>
  <c r="BZ99" i="18" a="1"/>
  <c r="BZ99" i="18"/>
  <c r="CZ118" i="8"/>
  <c r="BZ111" i="18" a="1"/>
  <c r="BZ111" i="18"/>
  <c r="CZ130" i="8"/>
  <c r="BZ123" i="18" a="1"/>
  <c r="BZ123" i="18"/>
  <c r="CZ142" i="8"/>
  <c r="CZ19" i="8"/>
  <c r="BZ12" i="18" a="1"/>
  <c r="BZ12" i="18"/>
  <c r="CZ31" i="8"/>
  <c r="BZ24" i="18" a="1"/>
  <c r="BZ24" i="18"/>
  <c r="CZ43" i="8"/>
  <c r="BZ36" i="18" a="1"/>
  <c r="BZ36" i="18"/>
  <c r="CZ55" i="8"/>
  <c r="BZ48" i="18" a="1"/>
  <c r="BZ48" i="18"/>
  <c r="CZ67" i="8"/>
  <c r="BZ60" i="18" a="1"/>
  <c r="BZ60" i="18"/>
  <c r="CZ79" i="8"/>
  <c r="BZ72" i="18" a="1"/>
  <c r="BZ72" i="18"/>
  <c r="CZ91" i="8"/>
  <c r="BZ84" i="18" a="1"/>
  <c r="BZ84" i="18"/>
  <c r="CZ103" i="8"/>
  <c r="BZ96" i="18" a="1"/>
  <c r="BZ96" i="18"/>
  <c r="CZ115" i="8"/>
  <c r="BZ108" i="18" a="1"/>
  <c r="BZ108" i="18"/>
  <c r="CZ127" i="8"/>
  <c r="BZ120" i="18" a="1"/>
  <c r="BZ120" i="18"/>
  <c r="CZ139" i="8"/>
  <c r="CZ16" i="8"/>
  <c r="BZ9" i="18" a="1"/>
  <c r="BZ9" i="18"/>
  <c r="CZ28" i="8"/>
  <c r="BZ21" i="18" a="1"/>
  <c r="BZ21" i="18"/>
  <c r="CZ40" i="8"/>
  <c r="BZ33" i="18" a="1"/>
  <c r="BZ33" i="18"/>
  <c r="CZ52" i="8"/>
  <c r="BZ45" i="18" a="1"/>
  <c r="BZ45" i="18"/>
  <c r="CZ64" i="8"/>
  <c r="BZ57" i="18" a="1"/>
  <c r="BZ57" i="18"/>
  <c r="CZ76" i="8"/>
  <c r="BZ69" i="18" a="1"/>
  <c r="BZ69" i="18"/>
  <c r="CZ88" i="8"/>
  <c r="BZ81" i="18" a="1"/>
  <c r="BZ81" i="18"/>
  <c r="CZ100" i="8"/>
  <c r="BZ93" i="18" a="1"/>
  <c r="BZ93" i="18"/>
  <c r="CZ112" i="8"/>
  <c r="BZ105" i="18" a="1"/>
  <c r="BZ105" i="18"/>
  <c r="CZ124" i="8"/>
  <c r="BZ117" i="18" a="1"/>
  <c r="BZ117" i="18"/>
  <c r="CZ136" i="8"/>
  <c r="BZ129" i="18" a="1"/>
  <c r="BZ129" i="18"/>
  <c r="J116" i="8"/>
  <c r="J119" i="8"/>
  <c r="CU86" i="8"/>
  <c r="EZ86" i="8"/>
  <c r="BJ79" i="18" a="1"/>
  <c r="BJ79" i="18"/>
  <c r="CU52" i="8"/>
  <c r="EZ52" i="8"/>
  <c r="BJ45" i="18" a="1"/>
  <c r="BJ45" i="18"/>
  <c r="CU63" i="8"/>
  <c r="EZ63" i="8"/>
  <c r="BJ56" i="18" a="1"/>
  <c r="BJ56" i="18"/>
  <c r="CU141" i="8"/>
  <c r="EZ141" i="8"/>
  <c r="BJ134" i="17" a="1"/>
  <c r="BJ134" i="17"/>
  <c r="CU144" i="8"/>
  <c r="EZ144" i="8"/>
  <c r="BJ137" i="17" a="1"/>
  <c r="BJ137" i="17"/>
  <c r="CU67" i="8"/>
  <c r="EZ67" i="8"/>
  <c r="BJ60" i="18" a="1"/>
  <c r="BJ60" i="18"/>
  <c r="CU132" i="8"/>
  <c r="EZ132" i="8"/>
  <c r="BJ125" i="17" a="1"/>
  <c r="BJ125" i="17"/>
  <c r="BJ135" i="17" a="1"/>
  <c r="BJ135" i="17"/>
  <c r="BJ135" i="18" a="1"/>
  <c r="BJ135" i="18"/>
  <c r="BQ132" i="17" a="1"/>
  <c r="BQ132" i="17"/>
  <c r="BQ132" i="18" a="1"/>
  <c r="BQ132" i="18"/>
  <c r="BQ130" i="17" a="1"/>
  <c r="BQ130" i="17"/>
  <c r="BQ130" i="18" a="1"/>
  <c r="BQ130" i="18"/>
  <c r="BQ137" i="17" a="1"/>
  <c r="BQ137" i="17"/>
  <c r="BQ137" i="18" a="1"/>
  <c r="BQ137" i="18"/>
  <c r="BQ5" i="18" a="1"/>
  <c r="BQ5" i="18"/>
  <c r="CK136" i="17" a="1"/>
  <c r="CK136" i="17"/>
  <c r="CK136" i="18" a="1"/>
  <c r="CK136" i="18"/>
  <c r="CK132" i="17" a="1"/>
  <c r="CK132" i="17"/>
  <c r="CK132" i="18" a="1"/>
  <c r="CK132" i="18"/>
  <c r="CK128" i="17" a="1"/>
  <c r="CK128" i="17"/>
  <c r="CK128" i="18" a="1"/>
  <c r="CK128" i="18"/>
  <c r="CK124" i="17" a="1"/>
  <c r="CK124" i="17"/>
  <c r="CK124" i="18" a="1"/>
  <c r="CK124" i="18"/>
  <c r="CC127" i="17" a="1"/>
  <c r="CC127" i="17"/>
  <c r="CC127" i="18" a="1"/>
  <c r="CC127" i="18"/>
  <c r="BQ136" i="17" a="1"/>
  <c r="BQ136" i="17"/>
  <c r="BQ136" i="18" a="1"/>
  <c r="BQ136" i="18"/>
  <c r="BQ131" i="17" a="1"/>
  <c r="BQ131" i="17"/>
  <c r="BQ131" i="18" a="1"/>
  <c r="BQ131" i="18"/>
  <c r="BQ128" i="17" a="1"/>
  <c r="BQ128" i="17"/>
  <c r="BQ128" i="18" a="1"/>
  <c r="BQ128" i="18"/>
  <c r="BQ125" i="17" a="1"/>
  <c r="BQ125" i="17"/>
  <c r="BQ125" i="18" a="1"/>
  <c r="BQ125" i="18"/>
  <c r="CK135" i="17" a="1"/>
  <c r="CK135" i="17"/>
  <c r="CK135" i="18" a="1"/>
  <c r="CK135" i="18"/>
  <c r="CK131" i="17" a="1"/>
  <c r="CK131" i="17"/>
  <c r="CK131" i="18" a="1"/>
  <c r="CK131" i="18"/>
  <c r="CK127" i="17" a="1"/>
  <c r="CK127" i="17"/>
  <c r="CK127" i="18" a="1"/>
  <c r="CK127" i="18"/>
  <c r="CC136" i="17" a="1"/>
  <c r="CC136" i="17"/>
  <c r="CC136" i="18" a="1"/>
  <c r="CC136" i="18"/>
  <c r="CC124" i="17" a="1"/>
  <c r="CC124" i="17"/>
  <c r="CC124" i="18" a="1"/>
  <c r="CC124" i="18"/>
  <c r="BQ124" i="17" a="1"/>
  <c r="BQ124" i="17"/>
  <c r="BQ124" i="18" a="1"/>
  <c r="BQ124" i="18"/>
  <c r="CK138" i="17" a="1"/>
  <c r="CK138" i="17"/>
  <c r="CK138" i="18" a="1"/>
  <c r="CK138" i="18"/>
  <c r="CK134" i="17" a="1"/>
  <c r="CK134" i="17"/>
  <c r="CK134" i="18" a="1"/>
  <c r="CK134" i="18"/>
  <c r="CK130" i="17" a="1"/>
  <c r="CK130" i="17"/>
  <c r="CK130" i="18" a="1"/>
  <c r="CK130" i="18"/>
  <c r="CK126" i="17" a="1"/>
  <c r="CK126" i="17"/>
  <c r="CK126" i="18" a="1"/>
  <c r="CK126" i="18"/>
  <c r="CC133" i="17" a="1"/>
  <c r="CC133" i="17"/>
  <c r="CC133" i="18" a="1"/>
  <c r="CC133" i="18"/>
  <c r="BQ138" i="17" a="1"/>
  <c r="BQ138" i="17"/>
  <c r="BQ138" i="18" a="1"/>
  <c r="BQ138" i="18"/>
  <c r="BQ129" i="17" a="1"/>
  <c r="BQ129" i="17"/>
  <c r="BQ129" i="18" a="1"/>
  <c r="BQ129" i="18"/>
  <c r="BQ127" i="17" a="1"/>
  <c r="BQ127" i="17"/>
  <c r="BQ127" i="18" a="1"/>
  <c r="BQ127" i="18"/>
  <c r="BQ133" i="17" a="1"/>
  <c r="BQ133" i="17"/>
  <c r="BQ133" i="18" a="1"/>
  <c r="BQ133" i="18"/>
  <c r="CC132" i="17" a="1"/>
  <c r="CC132" i="17"/>
  <c r="CC132" i="18" a="1"/>
  <c r="CC132" i="18"/>
  <c r="CK137" i="17" a="1"/>
  <c r="CK137" i="17"/>
  <c r="CK137" i="18" a="1"/>
  <c r="CK137" i="18"/>
  <c r="CK133" i="17" a="1"/>
  <c r="CK133" i="17"/>
  <c r="CK133" i="18" a="1"/>
  <c r="CK133" i="18"/>
  <c r="CK129" i="17" a="1"/>
  <c r="CK129" i="17"/>
  <c r="CK129" i="18" a="1"/>
  <c r="CK129" i="18"/>
  <c r="CK125" i="17" a="1"/>
  <c r="CK125" i="17"/>
  <c r="CK125" i="18" a="1"/>
  <c r="CK125" i="18"/>
  <c r="CK5" i="18" a="1"/>
  <c r="CK5" i="18"/>
  <c r="AM2" i="18"/>
  <c r="AI2" i="18"/>
  <c r="AE2" i="18"/>
  <c r="AA2" i="18"/>
  <c r="W2" i="18"/>
  <c r="S2" i="18"/>
  <c r="O2" i="18"/>
  <c r="K2" i="18"/>
  <c r="G2" i="18"/>
  <c r="AO1" i="18" a="1"/>
  <c r="AO1" i="18"/>
  <c r="AK1" i="18" a="1"/>
  <c r="AK1" i="18"/>
  <c r="AG1" i="18" a="1"/>
  <c r="AG1" i="18"/>
  <c r="Y1" i="18" a="1"/>
  <c r="Y1" i="18"/>
  <c r="R1" i="18" a="1"/>
  <c r="R1" i="18"/>
  <c r="F1" i="18" a="1"/>
  <c r="F1" i="18"/>
  <c r="AL2" i="18"/>
  <c r="AH2" i="18"/>
  <c r="AD2" i="18"/>
  <c r="Z2" i="18"/>
  <c r="V2" i="18"/>
  <c r="R2" i="18"/>
  <c r="N2" i="18"/>
  <c r="J2" i="18"/>
  <c r="F2" i="18"/>
  <c r="AN1" i="18" a="1"/>
  <c r="AN1" i="18"/>
  <c r="AJ1" i="18" a="1"/>
  <c r="AJ1" i="18"/>
  <c r="AF1" i="18" a="1"/>
  <c r="AF1" i="18"/>
  <c r="AB1" i="18" a="1"/>
  <c r="AB1" i="18"/>
  <c r="U1" i="18" a="1"/>
  <c r="U1" i="18"/>
  <c r="Q1" i="18" a="1"/>
  <c r="Q1" i="18"/>
  <c r="M1" i="18" a="1"/>
  <c r="M1" i="18"/>
  <c r="I1" i="18" a="1"/>
  <c r="I1" i="18"/>
  <c r="E1" i="18" a="1"/>
  <c r="E1" i="18"/>
  <c r="AI1" i="18" a="1"/>
  <c r="AI1" i="18"/>
  <c r="AA1" i="18" a="1"/>
  <c r="AA1" i="18"/>
  <c r="T1" i="18" a="1"/>
  <c r="T1" i="18"/>
  <c r="L1" i="18" a="1"/>
  <c r="L1" i="18"/>
  <c r="AO2" i="18"/>
  <c r="AK2" i="18"/>
  <c r="AG2" i="18"/>
  <c r="AC2" i="18"/>
  <c r="Y2" i="18"/>
  <c r="U2" i="18"/>
  <c r="Q2" i="18"/>
  <c r="M2" i="18"/>
  <c r="I2" i="18"/>
  <c r="E2" i="18"/>
  <c r="AM1" i="18" a="1"/>
  <c r="AM1" i="18"/>
  <c r="AE1" i="18" a="1"/>
  <c r="AE1" i="18"/>
  <c r="X1" i="18" a="1"/>
  <c r="X1" i="18"/>
  <c r="P1" i="18" a="1"/>
  <c r="P1" i="18"/>
  <c r="H1" i="18" a="1"/>
  <c r="H1" i="18"/>
  <c r="AN2" i="18"/>
  <c r="AJ2" i="18"/>
  <c r="AF2" i="18"/>
  <c r="AB2" i="18"/>
  <c r="X2" i="18"/>
  <c r="T2" i="18"/>
  <c r="P2" i="18"/>
  <c r="L2" i="18"/>
  <c r="H2" i="18"/>
  <c r="D2" i="18"/>
  <c r="AL1" i="18" a="1"/>
  <c r="AL1" i="18"/>
  <c r="AH1" i="18" a="1"/>
  <c r="AH1" i="18"/>
  <c r="AD1" i="18" a="1"/>
  <c r="AD1" i="18"/>
  <c r="Z1" i="18" a="1"/>
  <c r="Z1" i="18"/>
  <c r="W1" i="18" a="1"/>
  <c r="W1" i="18"/>
  <c r="S1" i="18" a="1"/>
  <c r="S1" i="18"/>
  <c r="O1" i="18" a="1"/>
  <c r="O1" i="18"/>
  <c r="K1" i="18" a="1"/>
  <c r="K1" i="18"/>
  <c r="G1" i="18" a="1"/>
  <c r="G1" i="18"/>
  <c r="AC1" i="18" a="1"/>
  <c r="AC1" i="18"/>
  <c r="V1" i="18" a="1"/>
  <c r="V1" i="18"/>
  <c r="N1" i="18" a="1"/>
  <c r="N1" i="18"/>
  <c r="J1" i="18" a="1"/>
  <c r="J1" i="18"/>
  <c r="D1" i="18" a="1"/>
  <c r="D1" i="18"/>
  <c r="CC130" i="17" a="1"/>
  <c r="CC130" i="17"/>
  <c r="CC130" i="18" a="1"/>
  <c r="CC130" i="18"/>
  <c r="AO1" i="17" a="1"/>
  <c r="AO1" i="17"/>
  <c r="AN1" i="17" a="1"/>
  <c r="AN1" i="17"/>
  <c r="AN2" i="17"/>
  <c r="AO2" i="17"/>
  <c r="AM2" i="17"/>
  <c r="AM1" i="17" a="1"/>
  <c r="AM1" i="17"/>
  <c r="AJ1" i="17" a="1"/>
  <c r="AJ1" i="17"/>
  <c r="AL1" i="17" a="1"/>
  <c r="AL1" i="17"/>
  <c r="AK2" i="17"/>
  <c r="AI2" i="17"/>
  <c r="AI1" i="17" a="1"/>
  <c r="AI1" i="17"/>
  <c r="AL2" i="17"/>
  <c r="AK1" i="17" a="1"/>
  <c r="AK1" i="17"/>
  <c r="AJ2" i="17"/>
  <c r="CG145" i="8"/>
  <c r="AC105" i="8"/>
  <c r="CG93" i="8"/>
  <c r="CG85" i="8"/>
  <c r="BU74" i="18" a="1"/>
  <c r="BU74" i="18"/>
  <c r="AC61" i="8"/>
  <c r="BU38" i="18" a="1"/>
  <c r="BU38" i="18"/>
  <c r="S37" i="8"/>
  <c r="BL30" i="18" a="1"/>
  <c r="BL30" i="18"/>
  <c r="CG25" i="8"/>
  <c r="AC21" i="8"/>
  <c r="CG17" i="8"/>
  <c r="CJ129" i="18" a="1"/>
  <c r="CJ129" i="18"/>
  <c r="CJ125" i="18" a="1"/>
  <c r="CJ125" i="18"/>
  <c r="CJ117" i="18" a="1"/>
  <c r="CJ117" i="18"/>
  <c r="CJ101" i="18" a="1"/>
  <c r="CJ101" i="18"/>
  <c r="CJ97" i="18" a="1"/>
  <c r="CJ97" i="18"/>
  <c r="EF100" i="8"/>
  <c r="CJ93" i="18" a="1"/>
  <c r="CJ93" i="18"/>
  <c r="EF84" i="8"/>
  <c r="CJ77" i="18" a="1"/>
  <c r="CJ77" i="18"/>
  <c r="CJ69" i="18" a="1"/>
  <c r="CJ69" i="18"/>
  <c r="CJ65" i="18" a="1"/>
  <c r="CJ65" i="18"/>
  <c r="CJ45" i="18" a="1"/>
  <c r="CJ45" i="18"/>
  <c r="CJ41" i="18" a="1"/>
  <c r="CJ41" i="18"/>
  <c r="CJ37" i="18" a="1"/>
  <c r="CJ37" i="18"/>
  <c r="EF40" i="8"/>
  <c r="CJ33" i="18" a="1"/>
  <c r="CJ33" i="18"/>
  <c r="CJ21" i="18" a="1"/>
  <c r="CJ21" i="18"/>
  <c r="EF24" i="8"/>
  <c r="CJ17" i="18" a="1"/>
  <c r="CJ17" i="18"/>
  <c r="CJ9" i="18" a="1"/>
  <c r="CJ9" i="18"/>
  <c r="CG107" i="8"/>
  <c r="CG15" i="8"/>
  <c r="CJ135" i="18" a="1"/>
  <c r="CJ135" i="18"/>
  <c r="CJ131" i="18" a="1"/>
  <c r="CJ131" i="18"/>
  <c r="CJ127" i="18" a="1"/>
  <c r="CJ127" i="18"/>
  <c r="EF130" i="8"/>
  <c r="CJ123" i="18" a="1"/>
  <c r="CJ123" i="18"/>
  <c r="CJ115" i="18" a="1"/>
  <c r="CJ115" i="18"/>
  <c r="CJ111" i="18" a="1"/>
  <c r="CJ111" i="18"/>
  <c r="EF114" i="8"/>
  <c r="CJ107" i="18" a="1"/>
  <c r="CJ107" i="18"/>
  <c r="CJ103" i="18" a="1"/>
  <c r="CJ103" i="18"/>
  <c r="CJ99" i="18" a="1"/>
  <c r="CJ99" i="18"/>
  <c r="CJ95" i="18" a="1"/>
  <c r="CJ95" i="18"/>
  <c r="EF98" i="8"/>
  <c r="CJ91" i="18" a="1"/>
  <c r="CJ91" i="18"/>
  <c r="CJ87" i="18" a="1"/>
  <c r="CJ87" i="18"/>
  <c r="CJ79" i="18" a="1"/>
  <c r="CJ79" i="18"/>
  <c r="CJ75" i="18" a="1"/>
  <c r="CJ75" i="18"/>
  <c r="CJ71" i="18" a="1"/>
  <c r="CJ71" i="18"/>
  <c r="CJ67" i="18" a="1"/>
  <c r="CJ67" i="18"/>
  <c r="EF70" i="8"/>
  <c r="CJ63" i="18" a="1"/>
  <c r="CJ63" i="18"/>
  <c r="CJ59" i="18" a="1"/>
  <c r="CJ59" i="18"/>
  <c r="CJ55" i="18" a="1"/>
  <c r="CJ55" i="18"/>
  <c r="CJ51" i="18" a="1"/>
  <c r="CJ51" i="18"/>
  <c r="EF54" i="8"/>
  <c r="CJ47" i="18" a="1"/>
  <c r="CJ47" i="18"/>
  <c r="CJ43" i="18" a="1"/>
  <c r="CJ43" i="18"/>
  <c r="CJ39" i="18" a="1"/>
  <c r="CJ39" i="18"/>
  <c r="CJ35" i="18" a="1"/>
  <c r="CJ35" i="18"/>
  <c r="EF38" i="8"/>
  <c r="CJ31" i="18" a="1"/>
  <c r="CJ31" i="18"/>
  <c r="CJ27" i="18" a="1"/>
  <c r="CJ27" i="18"/>
  <c r="CJ23" i="18" a="1"/>
  <c r="CJ23" i="18"/>
  <c r="CJ19" i="18" a="1"/>
  <c r="CJ19" i="18"/>
  <c r="CJ11" i="18" a="1"/>
  <c r="CJ11" i="18"/>
  <c r="CJ7" i="18" a="1"/>
  <c r="CJ7" i="18"/>
  <c r="CU94" i="8"/>
  <c r="EZ94" i="8"/>
  <c r="BJ87" i="18" a="1"/>
  <c r="BJ87" i="18"/>
  <c r="CU47" i="8"/>
  <c r="EZ47" i="8"/>
  <c r="BJ40" i="18" a="1"/>
  <c r="BJ40" i="18"/>
  <c r="CU55" i="8"/>
  <c r="EZ55" i="8"/>
  <c r="BJ48" i="18" a="1"/>
  <c r="BJ48" i="18"/>
  <c r="CU129" i="8"/>
  <c r="EZ129" i="8"/>
  <c r="BJ122" i="18" a="1"/>
  <c r="BJ122" i="18"/>
  <c r="CU81" i="8"/>
  <c r="EZ81" i="8"/>
  <c r="BJ74" i="18" a="1"/>
  <c r="BJ74" i="18"/>
  <c r="CU79" i="8"/>
  <c r="EZ79" i="8"/>
  <c r="BJ72" i="18" a="1"/>
  <c r="BJ72" i="18"/>
  <c r="CU16" i="8"/>
  <c r="EZ16" i="8"/>
  <c r="BJ9" i="18" a="1"/>
  <c r="BJ9" i="18"/>
  <c r="CU66" i="8"/>
  <c r="EZ66" i="8"/>
  <c r="BJ59" i="18" a="1"/>
  <c r="BJ59" i="18"/>
  <c r="CU110" i="8"/>
  <c r="EZ110" i="8"/>
  <c r="BJ103" i="18" a="1"/>
  <c r="BJ103" i="18"/>
  <c r="CU43" i="8"/>
  <c r="EZ43" i="8"/>
  <c r="BJ36" i="18" a="1"/>
  <c r="BJ36" i="18"/>
  <c r="CU30" i="8"/>
  <c r="EZ30" i="8"/>
  <c r="BJ23" i="18" a="1"/>
  <c r="BJ23" i="18"/>
  <c r="CU104" i="8"/>
  <c r="EZ104" i="8"/>
  <c r="BJ97" i="18" a="1"/>
  <c r="BJ97" i="18"/>
  <c r="CU112" i="8"/>
  <c r="EZ112" i="8"/>
  <c r="BJ105" i="18" a="1"/>
  <c r="BJ105" i="18"/>
  <c r="CU95" i="8"/>
  <c r="EZ95" i="8"/>
  <c r="BJ88" i="18" a="1"/>
  <c r="BJ88" i="18"/>
  <c r="CU126" i="8"/>
  <c r="EZ126" i="8"/>
  <c r="BJ119" i="18" a="1"/>
  <c r="BJ119" i="18"/>
  <c r="CU35" i="8"/>
  <c r="EZ35" i="8"/>
  <c r="BJ28" i="18" a="1"/>
  <c r="BJ28" i="18"/>
  <c r="CU50" i="8"/>
  <c r="EZ50" i="8"/>
  <c r="BJ43" i="18" a="1"/>
  <c r="BJ43" i="18"/>
  <c r="CU96" i="8"/>
  <c r="EZ96" i="8"/>
  <c r="BJ89" i="18" a="1"/>
  <c r="BJ89" i="18"/>
  <c r="CU140" i="8"/>
  <c r="EZ140" i="8"/>
  <c r="CU108" i="8"/>
  <c r="EZ108" i="8"/>
  <c r="BJ101" i="18" a="1"/>
  <c r="BJ101" i="18"/>
  <c r="CU31" i="8"/>
  <c r="EZ31" i="8"/>
  <c r="BJ24" i="18" a="1"/>
  <c r="BJ24" i="18"/>
  <c r="CU119" i="8"/>
  <c r="EZ119" i="8"/>
  <c r="BJ112" i="18" a="1"/>
  <c r="BJ112" i="18"/>
  <c r="CU61" i="8"/>
  <c r="EZ61" i="8"/>
  <c r="BJ54" i="18" a="1"/>
  <c r="BJ54" i="18"/>
  <c r="CU121" i="8"/>
  <c r="EZ121" i="8"/>
  <c r="BJ114" i="18" a="1"/>
  <c r="BJ114" i="18"/>
  <c r="CU51" i="8"/>
  <c r="EZ51" i="8"/>
  <c r="BJ44" i="18" a="1"/>
  <c r="BJ44" i="18"/>
  <c r="CU36" i="8"/>
  <c r="EZ36" i="8"/>
  <c r="BJ29" i="18" a="1"/>
  <c r="BJ29" i="18"/>
  <c r="CU65" i="8"/>
  <c r="EZ65" i="8"/>
  <c r="BJ58" i="18" a="1"/>
  <c r="BJ58" i="18"/>
  <c r="CU125" i="8"/>
  <c r="EZ125" i="8"/>
  <c r="BJ118" i="18" a="1"/>
  <c r="BJ118" i="18"/>
  <c r="CU80" i="8"/>
  <c r="EZ80" i="8"/>
  <c r="BJ73" i="18" a="1"/>
  <c r="BJ73" i="18"/>
  <c r="CU44" i="8"/>
  <c r="EZ44" i="8"/>
  <c r="BJ37" i="18" a="1"/>
  <c r="BJ37" i="18"/>
  <c r="CU14" i="8"/>
  <c r="EZ14" i="8"/>
  <c r="BJ7" i="18" a="1"/>
  <c r="BJ7" i="18"/>
  <c r="CU89" i="8"/>
  <c r="EZ89" i="8"/>
  <c r="BJ82" i="18" a="1"/>
  <c r="BJ82" i="18"/>
  <c r="CU45" i="8"/>
  <c r="EZ45" i="8"/>
  <c r="BJ38" i="18" a="1"/>
  <c r="BJ38" i="18"/>
  <c r="CU75" i="8"/>
  <c r="EZ75" i="8"/>
  <c r="BJ68" i="18" a="1"/>
  <c r="BJ68" i="18"/>
  <c r="CU76" i="8"/>
  <c r="EZ76" i="8"/>
  <c r="BJ69" i="18" a="1"/>
  <c r="BJ69" i="18"/>
  <c r="CU135" i="8"/>
  <c r="EZ135" i="8"/>
  <c r="CU91" i="8"/>
  <c r="EZ91" i="8"/>
  <c r="BJ84" i="18" a="1"/>
  <c r="BJ84" i="18"/>
  <c r="CU29" i="8"/>
  <c r="EZ29" i="8"/>
  <c r="BJ22" i="18" a="1"/>
  <c r="BJ22" i="18"/>
  <c r="CU120" i="8"/>
  <c r="EZ120" i="8"/>
  <c r="BJ113" i="18" a="1"/>
  <c r="BJ113" i="18"/>
  <c r="CU59" i="8"/>
  <c r="EZ59" i="8"/>
  <c r="BJ52" i="18" a="1"/>
  <c r="BJ52" i="18"/>
  <c r="CU106" i="8"/>
  <c r="EZ106" i="8"/>
  <c r="BJ99" i="18" a="1"/>
  <c r="BJ99" i="18"/>
  <c r="CU136" i="8"/>
  <c r="EZ136" i="8"/>
  <c r="CU22" i="8"/>
  <c r="EZ22" i="8"/>
  <c r="BJ15" i="18" a="1"/>
  <c r="BJ15" i="18"/>
  <c r="CU21" i="8"/>
  <c r="EZ21" i="8"/>
  <c r="BJ14" i="18" a="1"/>
  <c r="BJ14" i="18"/>
  <c r="CU37" i="8"/>
  <c r="EZ37" i="8"/>
  <c r="BJ30" i="18" a="1"/>
  <c r="BJ30" i="18"/>
  <c r="CU20" i="8"/>
  <c r="EZ20" i="8"/>
  <c r="BJ13" i="18" a="1"/>
  <c r="BJ13" i="18"/>
  <c r="CU97" i="8"/>
  <c r="EZ97" i="8"/>
  <c r="BJ90" i="18" a="1"/>
  <c r="BJ90" i="18"/>
  <c r="CU111" i="8"/>
  <c r="EZ111" i="8"/>
  <c r="BJ104" i="18" a="1"/>
  <c r="BJ104" i="18"/>
  <c r="CU15" i="8"/>
  <c r="EZ15" i="8"/>
  <c r="BJ8" i="18" a="1"/>
  <c r="BJ8" i="18"/>
  <c r="CU46" i="8"/>
  <c r="EZ46" i="8"/>
  <c r="BJ39" i="18" a="1"/>
  <c r="BJ39" i="18"/>
  <c r="CU74" i="8"/>
  <c r="EZ74" i="8"/>
  <c r="BJ67" i="18" a="1"/>
  <c r="BJ67" i="18"/>
  <c r="CU60" i="8"/>
  <c r="EZ60" i="8"/>
  <c r="BJ53" i="18" a="1"/>
  <c r="BJ53" i="18"/>
  <c r="CU105" i="8"/>
  <c r="EZ105" i="8"/>
  <c r="BJ98" i="18" a="1"/>
  <c r="BJ98" i="18"/>
  <c r="CU134" i="8"/>
  <c r="EZ134" i="8"/>
  <c r="CU23" i="8"/>
  <c r="EZ23" i="8"/>
  <c r="BJ16" i="18" a="1"/>
  <c r="BJ16" i="18"/>
  <c r="CU99" i="8"/>
  <c r="EZ99" i="8"/>
  <c r="BJ92" i="18" a="1"/>
  <c r="BJ92" i="18"/>
  <c r="CU19" i="8"/>
  <c r="EZ19" i="8"/>
  <c r="BJ12" i="18" a="1"/>
  <c r="BJ12" i="18"/>
  <c r="CU109" i="8"/>
  <c r="EZ109" i="8"/>
  <c r="BJ102" i="18" a="1"/>
  <c r="BJ102" i="18"/>
  <c r="CU73" i="8"/>
  <c r="EZ73" i="8"/>
  <c r="BJ66" i="18" a="1"/>
  <c r="BJ66" i="18"/>
  <c r="CU26" i="8"/>
  <c r="EZ26" i="8"/>
  <c r="BJ19" i="18" a="1"/>
  <c r="BJ19" i="18"/>
  <c r="CU28" i="8"/>
  <c r="EZ28" i="8"/>
  <c r="BJ21" i="18" a="1"/>
  <c r="BJ21" i="18"/>
  <c r="CU101" i="8"/>
  <c r="EZ101" i="8"/>
  <c r="BJ94" i="18" a="1"/>
  <c r="BJ94" i="18"/>
  <c r="CU27" i="8"/>
  <c r="EZ27" i="8"/>
  <c r="BJ20" i="18" a="1"/>
  <c r="BJ20" i="18"/>
  <c r="CU102" i="8"/>
  <c r="EZ102" i="8"/>
  <c r="BJ95" i="18" a="1"/>
  <c r="BJ95" i="18"/>
  <c r="CU41" i="8"/>
  <c r="EZ41" i="8"/>
  <c r="BJ34" i="18" a="1"/>
  <c r="BJ34" i="18"/>
  <c r="CU12" i="8"/>
  <c r="EZ12" i="8"/>
  <c r="CU11" i="8"/>
  <c r="EZ11" i="8"/>
  <c r="BJ4" i="18" a="1"/>
  <c r="BJ4" i="18"/>
  <c r="CU118" i="8"/>
  <c r="EZ118" i="8"/>
  <c r="BJ111" i="18" a="1"/>
  <c r="BJ111" i="18"/>
  <c r="CU116" i="8"/>
  <c r="EZ116" i="8"/>
  <c r="BJ109" i="18" a="1"/>
  <c r="BJ109" i="18"/>
  <c r="CU68" i="8"/>
  <c r="EZ68" i="8"/>
  <c r="BJ61" i="18" a="1"/>
  <c r="BJ61" i="18"/>
  <c r="CU138" i="8"/>
  <c r="EZ138" i="8"/>
  <c r="CU48" i="8"/>
  <c r="EZ48" i="8"/>
  <c r="BJ41" i="18" a="1"/>
  <c r="BJ41" i="18"/>
  <c r="CU39" i="8"/>
  <c r="EZ39" i="8"/>
  <c r="BJ32" i="18" a="1"/>
  <c r="BJ32" i="18"/>
  <c r="CU38" i="8"/>
  <c r="EZ38" i="8"/>
  <c r="BJ31" i="18" a="1"/>
  <c r="BJ31" i="18"/>
  <c r="CU143" i="8"/>
  <c r="EZ143" i="8"/>
  <c r="CU64" i="8"/>
  <c r="EZ64" i="8"/>
  <c r="BJ57" i="18" a="1"/>
  <c r="BJ57" i="18"/>
  <c r="CU124" i="8"/>
  <c r="EZ124" i="8"/>
  <c r="BJ117" i="18" a="1"/>
  <c r="BJ117" i="18"/>
  <c r="CU69" i="8"/>
  <c r="EZ69" i="8"/>
  <c r="BJ62" i="18" a="1"/>
  <c r="BJ62" i="18"/>
  <c r="CU98" i="8"/>
  <c r="EZ98" i="8"/>
  <c r="BJ91" i="18" a="1"/>
  <c r="BJ91" i="18"/>
  <c r="CU115" i="8"/>
  <c r="EZ115" i="8"/>
  <c r="BJ108" i="18" a="1"/>
  <c r="BJ108" i="18"/>
  <c r="CU83" i="8"/>
  <c r="EZ83" i="8"/>
  <c r="BJ76" i="18" a="1"/>
  <c r="BJ76" i="18"/>
  <c r="CU137" i="8"/>
  <c r="EZ137" i="8"/>
  <c r="CU139" i="8"/>
  <c r="EZ139" i="8"/>
  <c r="CU33" i="8"/>
  <c r="EZ33" i="8"/>
  <c r="BJ26" i="18" a="1"/>
  <c r="BJ26" i="18"/>
  <c r="CU49" i="8"/>
  <c r="EZ49" i="8"/>
  <c r="BJ42" i="18" a="1"/>
  <c r="BJ42" i="18"/>
  <c r="CU77" i="8"/>
  <c r="EZ77" i="8"/>
  <c r="BJ70" i="18" a="1"/>
  <c r="BJ70" i="18"/>
  <c r="CU93" i="8"/>
  <c r="EZ93" i="8"/>
  <c r="BJ86" i="18" a="1"/>
  <c r="BJ86" i="18"/>
  <c r="CU145" i="8"/>
  <c r="EZ145" i="8"/>
  <c r="CU100" i="8"/>
  <c r="EZ100" i="8"/>
  <c r="BJ93" i="18" a="1"/>
  <c r="BJ93" i="18"/>
  <c r="CU114" i="8"/>
  <c r="EZ114" i="8"/>
  <c r="BJ107" i="18" a="1"/>
  <c r="BJ107" i="18"/>
  <c r="CU123" i="8"/>
  <c r="EZ123" i="8"/>
  <c r="BJ116" i="18" a="1"/>
  <c r="BJ116" i="18"/>
  <c r="CU32" i="8"/>
  <c r="EZ32" i="8"/>
  <c r="BJ25" i="18" a="1"/>
  <c r="BJ25" i="18"/>
  <c r="CU92" i="8"/>
  <c r="EZ92" i="8"/>
  <c r="BJ85" i="18" a="1"/>
  <c r="BJ85" i="18"/>
  <c r="CU24" i="8"/>
  <c r="EZ24" i="8"/>
  <c r="BJ17" i="18" a="1"/>
  <c r="BJ17" i="18"/>
  <c r="CU53" i="8"/>
  <c r="EZ53" i="8"/>
  <c r="BJ46" i="18" a="1"/>
  <c r="BJ46" i="18"/>
  <c r="CU40" i="8"/>
  <c r="EZ40" i="8"/>
  <c r="BJ33" i="18" a="1"/>
  <c r="BJ33" i="18"/>
  <c r="CU54" i="8"/>
  <c r="EZ54" i="8"/>
  <c r="BJ47" i="18" a="1"/>
  <c r="BJ47" i="18"/>
  <c r="CU130" i="8"/>
  <c r="EZ130" i="8"/>
  <c r="BJ123" i="18" a="1"/>
  <c r="BJ123" i="18"/>
  <c r="CU113" i="8"/>
  <c r="EZ113" i="8"/>
  <c r="BJ106" i="18" a="1"/>
  <c r="BJ106" i="18"/>
  <c r="CU70" i="8"/>
  <c r="EZ70" i="8"/>
  <c r="BJ63" i="18" a="1"/>
  <c r="BJ63" i="18"/>
  <c r="CU128" i="8"/>
  <c r="EZ128" i="8"/>
  <c r="BJ121" i="18" a="1"/>
  <c r="BJ121" i="18"/>
  <c r="CU17" i="8"/>
  <c r="EZ17" i="8"/>
  <c r="BJ10" i="18" a="1"/>
  <c r="BJ10" i="18"/>
  <c r="CU122" i="8"/>
  <c r="EZ122" i="8"/>
  <c r="BJ115" i="18" a="1"/>
  <c r="BJ115" i="18"/>
  <c r="CU18" i="8"/>
  <c r="EZ18" i="8"/>
  <c r="BJ11" i="18" a="1"/>
  <c r="BJ11" i="18"/>
  <c r="CU34" i="8"/>
  <c r="EZ34" i="8"/>
  <c r="BJ27" i="18" a="1"/>
  <c r="BJ27" i="18"/>
  <c r="CU62" i="8"/>
  <c r="EZ62" i="8"/>
  <c r="BJ55" i="18" a="1"/>
  <c r="BJ55" i="18"/>
  <c r="CU78" i="8"/>
  <c r="EZ78" i="8"/>
  <c r="BJ71" i="18" a="1"/>
  <c r="BJ71" i="18"/>
  <c r="CU42" i="8"/>
  <c r="EZ42" i="8"/>
  <c r="BJ35" i="18" a="1"/>
  <c r="BJ35" i="18"/>
  <c r="CU71" i="8"/>
  <c r="EZ71" i="8"/>
  <c r="BJ64" i="18" a="1"/>
  <c r="BJ64" i="18"/>
  <c r="CU56" i="8"/>
  <c r="EZ56" i="8"/>
  <c r="BJ49" i="18" a="1"/>
  <c r="BJ49" i="18"/>
  <c r="CU58" i="8"/>
  <c r="EZ58" i="8"/>
  <c r="BJ51" i="18" a="1"/>
  <c r="BJ51" i="18"/>
  <c r="CU87" i="8"/>
  <c r="EZ87" i="8"/>
  <c r="BJ80" i="18" a="1"/>
  <c r="BJ80" i="18"/>
  <c r="CU133" i="8"/>
  <c r="EZ133" i="8"/>
  <c r="CU117" i="8"/>
  <c r="EZ117" i="8"/>
  <c r="BJ110" i="18" a="1"/>
  <c r="BJ110" i="18"/>
  <c r="CU13" i="8"/>
  <c r="EZ13" i="8"/>
  <c r="BJ6" i="18" a="1"/>
  <c r="BJ6" i="18"/>
  <c r="CU131" i="8"/>
  <c r="EZ131" i="8"/>
  <c r="CU57" i="8"/>
  <c r="EZ57" i="8"/>
  <c r="BJ50" i="18" a="1"/>
  <c r="BJ50" i="18"/>
  <c r="CU72" i="8"/>
  <c r="EZ72" i="8"/>
  <c r="BJ65" i="18" a="1"/>
  <c r="BJ65" i="18"/>
  <c r="CU88" i="8"/>
  <c r="EZ88" i="8"/>
  <c r="BJ81" i="18" a="1"/>
  <c r="BJ81" i="18"/>
  <c r="AC30" i="8"/>
  <c r="CG106" i="8"/>
  <c r="CG76" i="8"/>
  <c r="FD145" i="8"/>
  <c r="EF145" i="8"/>
  <c r="CJ138" i="18" a="1"/>
  <c r="CJ138" i="18"/>
  <c r="FD141" i="8"/>
  <c r="CJ134" i="18" a="1"/>
  <c r="CJ134" i="18"/>
  <c r="FD137" i="8"/>
  <c r="CJ130" i="18" a="1"/>
  <c r="CJ130" i="18"/>
  <c r="FD133" i="8"/>
  <c r="CJ126" i="18" a="1"/>
  <c r="CJ126" i="18"/>
  <c r="FD129" i="8"/>
  <c r="EF129" i="8"/>
  <c r="CJ122" i="18" a="1"/>
  <c r="CJ122" i="18"/>
  <c r="FD125" i="8"/>
  <c r="CJ118" i="18" a="1"/>
  <c r="CJ118" i="18"/>
  <c r="FD121" i="8"/>
  <c r="CJ114" i="18" a="1"/>
  <c r="CJ114" i="18"/>
  <c r="FD117" i="8"/>
  <c r="CJ110" i="18" a="1"/>
  <c r="CJ110" i="18"/>
  <c r="FD113" i="8"/>
  <c r="EF113" i="8"/>
  <c r="CJ106" i="18" a="1"/>
  <c r="CJ106" i="18"/>
  <c r="FD109" i="8"/>
  <c r="CJ102" i="18" a="1"/>
  <c r="CJ102" i="18"/>
  <c r="FD105" i="8"/>
  <c r="CJ98" i="18" a="1"/>
  <c r="CJ98" i="18"/>
  <c r="CG101" i="8"/>
  <c r="CJ94" i="18" a="1"/>
  <c r="CJ94" i="18"/>
  <c r="FD97" i="8"/>
  <c r="CJ90" i="18" a="1"/>
  <c r="CJ90" i="18"/>
  <c r="FD93" i="8"/>
  <c r="CJ86" i="18" a="1"/>
  <c r="CJ86" i="18"/>
  <c r="FD89" i="8"/>
  <c r="CJ82" i="18" a="1"/>
  <c r="CJ82" i="18"/>
  <c r="FD85" i="8"/>
  <c r="EF85" i="8"/>
  <c r="CJ78" i="18" a="1"/>
  <c r="CJ78" i="18"/>
  <c r="FD81" i="8"/>
  <c r="CJ74" i="18" a="1"/>
  <c r="CJ74" i="18"/>
  <c r="FD77" i="8"/>
  <c r="CJ70" i="18" a="1"/>
  <c r="CJ70" i="18"/>
  <c r="FD73" i="8"/>
  <c r="CJ66" i="18" a="1"/>
  <c r="CJ66" i="18"/>
  <c r="FD69" i="8"/>
  <c r="EF69" i="8"/>
  <c r="CJ62" i="18" a="1"/>
  <c r="CJ62" i="18"/>
  <c r="FD65" i="8"/>
  <c r="CJ58" i="18" a="1"/>
  <c r="CJ58" i="18"/>
  <c r="FD61" i="8"/>
  <c r="CJ54" i="18" a="1"/>
  <c r="CJ54" i="18"/>
  <c r="FD57" i="8"/>
  <c r="CJ50" i="18" a="1"/>
  <c r="CJ50" i="18"/>
  <c r="FD53" i="8"/>
  <c r="EF53" i="8"/>
  <c r="CJ46" i="18" a="1"/>
  <c r="CJ46" i="18"/>
  <c r="FD49" i="8"/>
  <c r="CJ42" i="18" a="1"/>
  <c r="CJ42" i="18"/>
  <c r="FD45" i="8"/>
  <c r="CJ38" i="18" a="1"/>
  <c r="CJ38" i="18"/>
  <c r="FD41" i="8"/>
  <c r="CJ34" i="18" a="1"/>
  <c r="CJ34" i="18"/>
  <c r="FD37" i="8"/>
  <c r="CJ30" i="18" a="1"/>
  <c r="CJ30" i="18"/>
  <c r="FD33" i="8"/>
  <c r="CJ26" i="18" a="1"/>
  <c r="CJ26" i="18"/>
  <c r="FD29" i="8"/>
  <c r="CJ22" i="18" a="1"/>
  <c r="CJ22" i="18"/>
  <c r="FD25" i="8"/>
  <c r="EF25" i="8"/>
  <c r="CJ18" i="18" a="1"/>
  <c r="CJ18" i="18"/>
  <c r="FD21" i="8"/>
  <c r="CJ14" i="18" a="1"/>
  <c r="CJ14" i="18"/>
  <c r="FD17" i="8"/>
  <c r="CJ10" i="18" a="1"/>
  <c r="CJ10" i="18"/>
  <c r="FD13" i="8"/>
  <c r="CJ6" i="18" a="1"/>
  <c r="CJ6" i="18"/>
  <c r="FB145" i="8"/>
  <c r="EE145" i="8"/>
  <c r="FB143" i="8"/>
  <c r="EE143" i="8"/>
  <c r="FB141" i="8"/>
  <c r="EE141" i="8"/>
  <c r="FB138" i="8"/>
  <c r="EE138" i="8"/>
  <c r="FB135" i="8"/>
  <c r="EE135" i="8"/>
  <c r="FB134" i="8"/>
  <c r="EE134" i="8"/>
  <c r="FB132" i="8"/>
  <c r="EE132" i="8"/>
  <c r="FB130" i="8"/>
  <c r="BB123" i="18" a="1"/>
  <c r="BB123" i="18"/>
  <c r="EE130" i="8"/>
  <c r="FB129" i="8"/>
  <c r="BB122" i="18" a="1"/>
  <c r="BB122" i="18"/>
  <c r="EE129" i="8"/>
  <c r="FB128" i="8"/>
  <c r="BB121" i="18" a="1"/>
  <c r="BB121" i="18"/>
  <c r="EE128" i="8"/>
  <c r="FB127" i="8"/>
  <c r="BB120" i="18" a="1"/>
  <c r="BB120" i="18"/>
  <c r="EE127" i="8"/>
  <c r="FB126" i="8"/>
  <c r="BB119" i="18" a="1"/>
  <c r="BB119" i="18"/>
  <c r="EE126" i="8"/>
  <c r="FB125" i="8"/>
  <c r="BB118" i="18" a="1"/>
  <c r="BB118" i="18"/>
  <c r="EE125" i="8"/>
  <c r="FB124" i="8"/>
  <c r="BB117" i="18" a="1"/>
  <c r="BB117" i="18"/>
  <c r="EE124" i="8"/>
  <c r="FB123" i="8"/>
  <c r="BB116" i="18" a="1"/>
  <c r="BB116" i="18"/>
  <c r="EE123" i="8"/>
  <c r="FB122" i="8"/>
  <c r="BB115" i="18" a="1"/>
  <c r="BB115" i="18"/>
  <c r="EE122" i="8"/>
  <c r="FB121" i="8"/>
  <c r="BB114" i="18" a="1"/>
  <c r="BB114" i="18"/>
  <c r="EE121" i="8"/>
  <c r="FB120" i="8"/>
  <c r="BB113" i="18" a="1"/>
  <c r="BB113" i="18"/>
  <c r="EE120" i="8"/>
  <c r="FB119" i="8"/>
  <c r="BB112" i="18" a="1"/>
  <c r="BB112" i="18"/>
  <c r="EE119" i="8"/>
  <c r="FB118" i="8"/>
  <c r="BB111" i="18" a="1"/>
  <c r="BB111" i="18"/>
  <c r="EE118" i="8"/>
  <c r="FB117" i="8"/>
  <c r="BB110" i="18" a="1"/>
  <c r="BB110" i="18"/>
  <c r="EE117" i="8"/>
  <c r="FB116" i="8"/>
  <c r="BB109" i="18" a="1"/>
  <c r="BB109" i="18"/>
  <c r="EE116" i="8"/>
  <c r="FB115" i="8"/>
  <c r="BB108" i="18" a="1"/>
  <c r="BB108" i="18"/>
  <c r="EE115" i="8"/>
  <c r="FB114" i="8"/>
  <c r="BB107" i="18" a="1"/>
  <c r="BB107" i="18"/>
  <c r="EE114" i="8"/>
  <c r="FB113" i="8"/>
  <c r="BB106" i="18" a="1"/>
  <c r="BB106" i="18"/>
  <c r="EE113" i="8"/>
  <c r="FB112" i="8"/>
  <c r="BB105" i="18" a="1"/>
  <c r="BB105" i="18"/>
  <c r="EE112" i="8"/>
  <c r="FB111" i="8"/>
  <c r="BB104" i="18" a="1"/>
  <c r="BB104" i="18"/>
  <c r="EE111" i="8"/>
  <c r="FB110" i="8"/>
  <c r="BB103" i="18" a="1"/>
  <c r="BB103" i="18"/>
  <c r="EE110" i="8"/>
  <c r="FB109" i="8"/>
  <c r="BB102" i="18" a="1"/>
  <c r="BB102" i="18"/>
  <c r="EE109" i="8"/>
  <c r="FB108" i="8"/>
  <c r="BB101" i="18" a="1"/>
  <c r="BB101" i="18"/>
  <c r="EE108" i="8"/>
  <c r="FB107" i="8"/>
  <c r="BB100" i="18" a="1"/>
  <c r="BB100" i="18"/>
  <c r="EE107" i="8"/>
  <c r="FB106" i="8"/>
  <c r="BB99" i="18" a="1"/>
  <c r="BB99" i="18"/>
  <c r="EE106" i="8"/>
  <c r="FB105" i="8"/>
  <c r="BB98" i="18" a="1"/>
  <c r="BB98" i="18"/>
  <c r="EE105" i="8"/>
  <c r="FB104" i="8"/>
  <c r="BB97" i="18" a="1"/>
  <c r="BB97" i="18"/>
  <c r="EE104" i="8"/>
  <c r="FB103" i="8"/>
  <c r="BB96" i="18" a="1"/>
  <c r="BB96" i="18"/>
  <c r="EE103" i="8"/>
  <c r="FB102" i="8"/>
  <c r="BB95" i="18" a="1"/>
  <c r="BB95" i="18"/>
  <c r="EE102" i="8"/>
  <c r="FB101" i="8"/>
  <c r="BB94" i="18" a="1"/>
  <c r="BB94" i="18"/>
  <c r="EE101" i="8"/>
  <c r="FB100" i="8"/>
  <c r="BB93" i="18" a="1"/>
  <c r="BB93" i="18"/>
  <c r="EE100" i="8"/>
  <c r="FB99" i="8"/>
  <c r="BB92" i="18" a="1"/>
  <c r="BB92" i="18"/>
  <c r="EE99" i="8"/>
  <c r="FB98" i="8"/>
  <c r="BB91" i="18" a="1"/>
  <c r="BB91" i="18"/>
  <c r="EE98" i="8"/>
  <c r="FB97" i="8"/>
  <c r="BB90" i="18" a="1"/>
  <c r="BB90" i="18"/>
  <c r="EE97" i="8"/>
  <c r="FB96" i="8"/>
  <c r="BB89" i="18" a="1"/>
  <c r="BB89" i="18"/>
  <c r="EE96" i="8"/>
  <c r="FB95" i="8"/>
  <c r="BB88" i="18" a="1"/>
  <c r="BB88" i="18"/>
  <c r="EE95" i="8"/>
  <c r="FB94" i="8"/>
  <c r="BB87" i="18" a="1"/>
  <c r="BB87" i="18"/>
  <c r="EE94" i="8"/>
  <c r="FB93" i="8"/>
  <c r="BB86" i="18" a="1"/>
  <c r="BB86" i="18"/>
  <c r="EE93" i="8"/>
  <c r="FB91" i="8"/>
  <c r="BB84" i="18" a="1"/>
  <c r="BB84" i="18"/>
  <c r="EE91" i="8"/>
  <c r="FB90" i="8"/>
  <c r="BB83" i="18" a="1"/>
  <c r="BB83" i="18"/>
  <c r="EE90" i="8"/>
  <c r="FB89" i="8"/>
  <c r="BB82" i="18" a="1"/>
  <c r="BB82" i="18"/>
  <c r="EE89" i="8"/>
  <c r="FB88" i="8"/>
  <c r="BB81" i="18" a="1"/>
  <c r="BB81" i="18"/>
  <c r="EE88" i="8"/>
  <c r="FB87" i="8"/>
  <c r="BB80" i="18" a="1"/>
  <c r="BB80" i="18"/>
  <c r="EE87" i="8"/>
  <c r="FB86" i="8"/>
  <c r="BB79" i="18" a="1"/>
  <c r="BB79" i="18"/>
  <c r="EE86" i="8"/>
  <c r="FB84" i="8"/>
  <c r="BB77" i="18" a="1"/>
  <c r="BB77" i="18"/>
  <c r="EE84" i="8"/>
  <c r="FB83" i="8"/>
  <c r="BB76" i="18" a="1"/>
  <c r="BB76" i="18"/>
  <c r="EE83" i="8"/>
  <c r="FB82" i="8"/>
  <c r="BB75" i="18" a="1"/>
  <c r="BB75" i="18"/>
  <c r="EE82" i="8"/>
  <c r="FB81" i="8"/>
  <c r="BB74" i="18" a="1"/>
  <c r="BB74" i="18"/>
  <c r="EE81" i="8"/>
  <c r="FB80" i="8"/>
  <c r="BB73" i="18" a="1"/>
  <c r="BB73" i="18"/>
  <c r="EE80" i="8"/>
  <c r="FB79" i="8"/>
  <c r="BB72" i="18" a="1"/>
  <c r="BB72" i="18"/>
  <c r="EE79" i="8"/>
  <c r="FB78" i="8"/>
  <c r="BB71" i="18" a="1"/>
  <c r="BB71" i="18"/>
  <c r="EE78" i="8"/>
  <c r="FB77" i="8"/>
  <c r="BB70" i="18" a="1"/>
  <c r="BB70" i="18"/>
  <c r="EE77" i="8"/>
  <c r="FB76" i="8"/>
  <c r="BB69" i="18" a="1"/>
  <c r="BB69" i="18"/>
  <c r="EE76" i="8"/>
  <c r="FB75" i="8"/>
  <c r="BB68" i="18" a="1"/>
  <c r="BB68" i="18"/>
  <c r="EE75" i="8"/>
  <c r="FB74" i="8"/>
  <c r="BB67" i="18" a="1"/>
  <c r="BB67" i="18"/>
  <c r="EE74" i="8"/>
  <c r="FB73" i="8"/>
  <c r="BB66" i="18" a="1"/>
  <c r="BB66" i="18"/>
  <c r="EE73" i="8"/>
  <c r="FB72" i="8"/>
  <c r="BB65" i="18" a="1"/>
  <c r="BB65" i="18"/>
  <c r="EE72" i="8"/>
  <c r="FB71" i="8"/>
  <c r="BB64" i="18" a="1"/>
  <c r="BB64" i="18"/>
  <c r="EE71" i="8"/>
  <c r="FB70" i="8"/>
  <c r="BB63" i="18" a="1"/>
  <c r="BB63" i="18"/>
  <c r="EE70" i="8"/>
  <c r="FB69" i="8"/>
  <c r="BB62" i="18" a="1"/>
  <c r="BB62" i="18"/>
  <c r="EE69" i="8"/>
  <c r="FB68" i="8"/>
  <c r="BB61" i="18" a="1"/>
  <c r="BB61" i="18"/>
  <c r="EE68" i="8"/>
  <c r="FB64" i="8"/>
  <c r="BB57" i="18" a="1"/>
  <c r="BB57" i="18"/>
  <c r="EE64" i="8"/>
  <c r="FB63" i="8"/>
  <c r="BB56" i="18" a="1"/>
  <c r="BB56" i="18"/>
  <c r="EE63" i="8"/>
  <c r="FB61" i="8"/>
  <c r="BB54" i="18" a="1"/>
  <c r="BB54" i="18"/>
  <c r="EE61" i="8"/>
  <c r="FB59" i="8"/>
  <c r="BB52" i="18" a="1"/>
  <c r="BB52" i="18"/>
  <c r="EE59" i="8"/>
  <c r="FB58" i="8"/>
  <c r="BB51" i="18" a="1"/>
  <c r="BB51" i="18"/>
  <c r="EE58" i="8"/>
  <c r="FB56" i="8"/>
  <c r="BB49" i="18" a="1"/>
  <c r="BB49" i="18"/>
  <c r="EE56" i="8"/>
  <c r="FB55" i="8"/>
  <c r="BB48" i="18" a="1"/>
  <c r="BB48" i="18"/>
  <c r="EE55" i="8"/>
  <c r="FB54" i="8"/>
  <c r="BB47" i="18" a="1"/>
  <c r="BB47" i="18"/>
  <c r="EE54" i="8"/>
  <c r="FB53" i="8"/>
  <c r="BB46" i="18" a="1"/>
  <c r="BB46" i="18"/>
  <c r="EE53" i="8"/>
  <c r="FB52" i="8"/>
  <c r="BB45" i="18" a="1"/>
  <c r="BB45" i="18"/>
  <c r="EE52" i="8"/>
  <c r="FB51" i="8"/>
  <c r="BB44" i="18" a="1"/>
  <c r="BB44" i="18"/>
  <c r="EE51" i="8"/>
  <c r="FB50" i="8"/>
  <c r="BB43" i="18" a="1"/>
  <c r="BB43" i="18"/>
  <c r="EE50" i="8"/>
  <c r="FB49" i="8"/>
  <c r="BB42" i="18" a="1"/>
  <c r="BB42" i="18"/>
  <c r="EE49" i="8"/>
  <c r="FB48" i="8"/>
  <c r="BB41" i="18" a="1"/>
  <c r="BB41" i="18"/>
  <c r="EE48" i="8"/>
  <c r="FB46" i="8"/>
  <c r="BB39" i="18" a="1"/>
  <c r="BB39" i="18"/>
  <c r="EE46" i="8"/>
  <c r="FB45" i="8"/>
  <c r="BB38" i="18" a="1"/>
  <c r="BB38" i="18"/>
  <c r="EE45" i="8"/>
  <c r="FB44" i="8"/>
  <c r="BB37" i="18" a="1"/>
  <c r="BB37" i="18"/>
  <c r="EE44" i="8"/>
  <c r="FB42" i="8"/>
  <c r="BB35" i="18" a="1"/>
  <c r="BB35" i="18"/>
  <c r="EE42" i="8"/>
  <c r="FB41" i="8"/>
  <c r="BB34" i="18" a="1"/>
  <c r="BB34" i="18"/>
  <c r="EE41" i="8"/>
  <c r="FB40" i="8"/>
  <c r="BB33" i="18" a="1"/>
  <c r="BB33" i="18"/>
  <c r="EE40" i="8"/>
  <c r="FB37" i="8"/>
  <c r="BB30" i="18" a="1"/>
  <c r="BB30" i="18"/>
  <c r="EE37" i="8"/>
  <c r="FB35" i="8"/>
  <c r="BB28" i="18" a="1"/>
  <c r="BB28" i="18"/>
  <c r="EE35" i="8"/>
  <c r="FB34" i="8"/>
  <c r="BB27" i="18" a="1"/>
  <c r="BB27" i="18"/>
  <c r="EE34" i="8"/>
  <c r="FB33" i="8"/>
  <c r="BB26" i="18" a="1"/>
  <c r="BB26" i="18"/>
  <c r="EE33" i="8"/>
  <c r="FB32" i="8"/>
  <c r="BB25" i="18" a="1"/>
  <c r="BB25" i="18"/>
  <c r="EE32" i="8"/>
  <c r="FB31" i="8"/>
  <c r="BB24" i="18" a="1"/>
  <c r="BB24" i="18"/>
  <c r="EE31" i="8"/>
  <c r="FB30" i="8"/>
  <c r="BB23" i="18" a="1"/>
  <c r="BB23" i="18"/>
  <c r="EE30" i="8"/>
  <c r="FB29" i="8"/>
  <c r="BB22" i="18" a="1"/>
  <c r="BB22" i="18"/>
  <c r="EE29" i="8"/>
  <c r="FB28" i="8"/>
  <c r="BB21" i="18" a="1"/>
  <c r="BB21" i="18"/>
  <c r="EE28" i="8"/>
  <c r="FB27" i="8"/>
  <c r="BB20" i="18" a="1"/>
  <c r="BB20" i="18"/>
  <c r="EE27" i="8"/>
  <c r="FB26" i="8"/>
  <c r="BB19" i="18" a="1"/>
  <c r="BB19" i="18"/>
  <c r="EE26" i="8"/>
  <c r="FB24" i="8"/>
  <c r="BB17" i="18" a="1"/>
  <c r="BB17" i="18"/>
  <c r="EE24" i="8"/>
  <c r="FB23" i="8"/>
  <c r="BB16" i="18" a="1"/>
  <c r="BB16" i="18"/>
  <c r="EE23" i="8"/>
  <c r="FB22" i="8"/>
  <c r="BB15" i="18" a="1"/>
  <c r="BB15" i="18"/>
  <c r="EE22" i="8"/>
  <c r="FB21" i="8"/>
  <c r="BB14" i="18" a="1"/>
  <c r="BB14" i="18"/>
  <c r="EE21" i="8"/>
  <c r="FB20" i="8"/>
  <c r="BB13" i="18" a="1"/>
  <c r="BB13" i="18"/>
  <c r="EE20" i="8"/>
  <c r="FB19" i="8"/>
  <c r="BB12" i="18" a="1"/>
  <c r="BB12" i="18"/>
  <c r="EE19" i="8"/>
  <c r="FB18" i="8"/>
  <c r="BB11" i="18" a="1"/>
  <c r="BB11" i="18"/>
  <c r="EE18" i="8"/>
  <c r="FB16" i="8"/>
  <c r="BB9" i="18" a="1"/>
  <c r="BB9" i="18"/>
  <c r="EE16" i="8"/>
  <c r="FB15" i="8"/>
  <c r="BB8" i="18" a="1"/>
  <c r="BB8" i="18"/>
  <c r="EE15" i="8"/>
  <c r="FB14" i="8"/>
  <c r="BB7" i="18" a="1"/>
  <c r="BB7" i="18"/>
  <c r="EE14" i="8"/>
  <c r="FB13" i="8"/>
  <c r="BB6" i="18" a="1"/>
  <c r="BB6" i="18"/>
  <c r="EE13" i="8"/>
  <c r="EF144" i="8"/>
  <c r="CJ137" i="18" a="1"/>
  <c r="CJ137" i="18"/>
  <c r="CG140" i="8"/>
  <c r="CJ133" i="18" a="1"/>
  <c r="CJ133" i="18"/>
  <c r="CG128" i="8"/>
  <c r="EF128" i="8"/>
  <c r="CJ121" i="18" a="1"/>
  <c r="CJ121" i="18"/>
  <c r="CG120" i="8"/>
  <c r="CJ113" i="18" a="1"/>
  <c r="CJ113" i="18"/>
  <c r="CG116" i="8"/>
  <c r="CJ109" i="18" a="1"/>
  <c r="CJ109" i="18"/>
  <c r="CG112" i="8"/>
  <c r="CJ105" i="18" a="1"/>
  <c r="CJ105" i="18"/>
  <c r="CG96" i="8"/>
  <c r="CJ89" i="18" a="1"/>
  <c r="CJ89" i="18"/>
  <c r="CG92" i="8"/>
  <c r="CJ85" i="18" a="1"/>
  <c r="CJ85" i="18"/>
  <c r="CG88" i="8"/>
  <c r="CJ81" i="18" a="1"/>
  <c r="CJ81" i="18"/>
  <c r="CG80" i="8"/>
  <c r="CJ73" i="18" a="1"/>
  <c r="CJ73" i="18"/>
  <c r="CG68" i="8"/>
  <c r="EF68" i="8"/>
  <c r="CJ61" i="18" a="1"/>
  <c r="CJ61" i="18"/>
  <c r="CG64" i="8"/>
  <c r="CJ57" i="18" a="1"/>
  <c r="CJ57" i="18"/>
  <c r="CG60" i="8"/>
  <c r="CJ53" i="18" a="1"/>
  <c r="CJ53" i="18"/>
  <c r="CG56" i="8"/>
  <c r="CJ49" i="18" a="1"/>
  <c r="CJ49" i="18"/>
  <c r="CG36" i="8"/>
  <c r="CJ29" i="18" a="1"/>
  <c r="CJ29" i="18"/>
  <c r="CG32" i="8"/>
  <c r="CJ25" i="18" a="1"/>
  <c r="CJ25" i="18"/>
  <c r="CJ13" i="18" a="1"/>
  <c r="CJ13" i="18"/>
  <c r="CG12" i="8"/>
  <c r="CJ5" i="18" a="1"/>
  <c r="CJ5" i="18"/>
  <c r="FD143" i="8"/>
  <c r="EF143" i="8"/>
  <c r="CJ136" i="18" a="1"/>
  <c r="CJ136" i="18"/>
  <c r="FD139" i="8"/>
  <c r="CJ132" i="18" a="1"/>
  <c r="CJ132" i="18"/>
  <c r="FD135" i="8"/>
  <c r="CJ128" i="18" a="1"/>
  <c r="CJ128" i="18"/>
  <c r="FD131" i="8"/>
  <c r="CJ124" i="18" a="1"/>
  <c r="CJ124" i="18"/>
  <c r="FD127" i="8"/>
  <c r="CJ120" i="18" a="1"/>
  <c r="CJ120" i="18"/>
  <c r="FD123" i="8"/>
  <c r="CJ116" i="18" a="1"/>
  <c r="CJ116" i="18"/>
  <c r="FD119" i="8"/>
  <c r="CJ112" i="18" a="1"/>
  <c r="CJ112" i="18"/>
  <c r="FD115" i="8"/>
  <c r="EF115" i="8"/>
  <c r="CJ108" i="18" a="1"/>
  <c r="CJ108" i="18"/>
  <c r="FD111" i="8"/>
  <c r="CJ104" i="18" a="1"/>
  <c r="CJ104" i="18"/>
  <c r="FD107" i="8"/>
  <c r="CJ100" i="18" a="1"/>
  <c r="CJ100" i="18"/>
  <c r="FD103" i="8"/>
  <c r="CJ96" i="18" a="1"/>
  <c r="CJ96" i="18"/>
  <c r="FD99" i="8"/>
  <c r="EF99" i="8"/>
  <c r="CJ92" i="18" a="1"/>
  <c r="CJ92" i="18"/>
  <c r="FD95" i="8"/>
  <c r="CJ88" i="18" a="1"/>
  <c r="CJ88" i="18"/>
  <c r="FD91" i="8"/>
  <c r="CJ84" i="18" a="1"/>
  <c r="CJ84" i="18"/>
  <c r="FD87" i="8"/>
  <c r="CJ80" i="18" a="1"/>
  <c r="CJ80" i="18"/>
  <c r="FD83" i="8"/>
  <c r="EF83" i="8"/>
  <c r="CJ76" i="18" a="1"/>
  <c r="CJ76" i="18"/>
  <c r="FD79" i="8"/>
  <c r="CJ72" i="18" a="1"/>
  <c r="CJ72" i="18"/>
  <c r="FD75" i="8"/>
  <c r="CJ68" i="18" a="1"/>
  <c r="CJ68" i="18"/>
  <c r="FD71" i="8"/>
  <c r="CJ64" i="18" a="1"/>
  <c r="CJ64" i="18"/>
  <c r="FD67" i="8"/>
  <c r="CJ60" i="18" a="1"/>
  <c r="CJ60" i="18"/>
  <c r="FD63" i="8"/>
  <c r="CJ56" i="18" a="1"/>
  <c r="CJ56" i="18"/>
  <c r="FD59" i="8"/>
  <c r="CJ52" i="18" a="1"/>
  <c r="CJ52" i="18"/>
  <c r="FD55" i="8"/>
  <c r="EF55" i="8"/>
  <c r="CJ48" i="18" a="1"/>
  <c r="CJ48" i="18"/>
  <c r="FD51" i="8"/>
  <c r="CJ44" i="18" a="1"/>
  <c r="CJ44" i="18"/>
  <c r="FD47" i="8"/>
  <c r="CJ40" i="18" a="1"/>
  <c r="CJ40" i="18"/>
  <c r="FD43" i="8"/>
  <c r="CJ36" i="18" a="1"/>
  <c r="CJ36" i="18"/>
  <c r="FD39" i="8"/>
  <c r="EF39" i="8"/>
  <c r="CJ32" i="18" a="1"/>
  <c r="CJ32" i="18"/>
  <c r="FD35" i="8"/>
  <c r="CJ28" i="18" a="1"/>
  <c r="CJ28" i="18"/>
  <c r="FD31" i="8"/>
  <c r="CJ24" i="18" a="1"/>
  <c r="CJ24" i="18"/>
  <c r="FD27" i="8"/>
  <c r="CJ20" i="18" a="1"/>
  <c r="CJ20" i="18"/>
  <c r="FD23" i="8"/>
  <c r="EF23" i="8"/>
  <c r="CJ16" i="18" a="1"/>
  <c r="CJ16" i="18"/>
  <c r="FD19" i="8"/>
  <c r="CJ12" i="18" a="1"/>
  <c r="CJ12" i="18"/>
  <c r="FD15" i="8"/>
  <c r="CJ8" i="18" a="1"/>
  <c r="CJ8" i="18"/>
  <c r="FB140" i="8"/>
  <c r="EE140" i="8"/>
  <c r="CJ4" i="18" a="1"/>
  <c r="CJ4" i="18"/>
  <c r="CG126" i="8"/>
  <c r="CJ119" i="18" a="1"/>
  <c r="CJ119" i="18"/>
  <c r="CG90" i="8"/>
  <c r="CJ83" i="18" a="1"/>
  <c r="CJ83" i="18"/>
  <c r="CG22" i="8"/>
  <c r="CJ15" i="18" a="1"/>
  <c r="CJ15" i="18"/>
  <c r="BU84" i="18" a="1"/>
  <c r="BU84" i="18"/>
  <c r="CG83" i="8"/>
  <c r="CG135" i="8"/>
  <c r="CG59" i="8"/>
  <c r="AC115" i="8"/>
  <c r="CT12" i="8"/>
  <c r="BH5" i="18" a="1"/>
  <c r="BH5" i="18"/>
  <c r="FB12" i="8"/>
  <c r="BB5" i="18" a="1"/>
  <c r="BB5" i="18"/>
  <c r="CT140" i="8"/>
  <c r="AC35" i="8"/>
  <c r="CG39" i="8"/>
  <c r="CG127" i="8"/>
  <c r="CG47" i="8"/>
  <c r="CE11" i="8"/>
  <c r="FB11" i="8"/>
  <c r="BB4" i="18" a="1"/>
  <c r="BB4" i="18"/>
  <c r="CT144" i="8"/>
  <c r="FB144" i="8"/>
  <c r="CT142" i="8"/>
  <c r="FB142" i="8"/>
  <c r="CE139" i="8"/>
  <c r="FB139" i="8"/>
  <c r="CT137" i="8"/>
  <c r="FB137" i="8"/>
  <c r="CT136" i="8"/>
  <c r="FB136" i="8"/>
  <c r="CT133" i="8"/>
  <c r="FB133" i="8"/>
  <c r="CE131" i="8"/>
  <c r="FB131" i="8"/>
  <c r="CT92" i="8"/>
  <c r="BH85" i="18" a="1"/>
  <c r="BH85" i="18"/>
  <c r="FB92" i="8"/>
  <c r="BB85" i="18" a="1"/>
  <c r="BB85" i="18"/>
  <c r="CT85" i="8"/>
  <c r="BH78" i="18" a="1"/>
  <c r="BH78" i="18"/>
  <c r="FB85" i="8"/>
  <c r="BB78" i="18" a="1"/>
  <c r="BB78" i="18"/>
  <c r="CE67" i="8"/>
  <c r="FB67" i="8"/>
  <c r="BB60" i="18" a="1"/>
  <c r="BB60" i="18"/>
  <c r="CE66" i="8"/>
  <c r="FB66" i="8"/>
  <c r="BB59" i="18" a="1"/>
  <c r="BB59" i="18"/>
  <c r="CT65" i="8"/>
  <c r="BH58" i="18" a="1"/>
  <c r="BH58" i="18"/>
  <c r="FB65" i="8"/>
  <c r="BB58" i="18" a="1"/>
  <c r="BB58" i="18"/>
  <c r="CE62" i="8"/>
  <c r="FB62" i="8"/>
  <c r="BB55" i="18" a="1"/>
  <c r="BB55" i="18"/>
  <c r="CT60" i="8"/>
  <c r="BH53" i="18" a="1"/>
  <c r="BH53" i="18"/>
  <c r="FB60" i="8"/>
  <c r="BB53" i="18" a="1"/>
  <c r="BB53" i="18"/>
  <c r="CE57" i="8"/>
  <c r="FB57" i="8"/>
  <c r="BB50" i="18" a="1"/>
  <c r="BB50" i="18"/>
  <c r="CT47" i="8"/>
  <c r="BH40" i="18" a="1"/>
  <c r="BH40" i="18"/>
  <c r="FB47" i="8"/>
  <c r="BB40" i="18" a="1"/>
  <c r="BB40" i="18"/>
  <c r="CT43" i="8"/>
  <c r="BH36" i="18" a="1"/>
  <c r="BH36" i="18"/>
  <c r="FB43" i="8"/>
  <c r="BB36" i="18" a="1"/>
  <c r="BB36" i="18"/>
  <c r="CT39" i="8"/>
  <c r="BH32" i="18" a="1"/>
  <c r="BH32" i="18"/>
  <c r="FB39" i="8"/>
  <c r="BB32" i="18" a="1"/>
  <c r="BB32" i="18"/>
  <c r="CE38" i="8"/>
  <c r="FB38" i="8"/>
  <c r="BB31" i="18" a="1"/>
  <c r="BB31" i="18"/>
  <c r="CE36" i="8"/>
  <c r="FB36" i="8"/>
  <c r="BB29" i="18" a="1"/>
  <c r="BB29" i="18"/>
  <c r="CE25" i="8"/>
  <c r="FB25" i="8"/>
  <c r="BB18" i="18" a="1"/>
  <c r="BB18" i="18"/>
  <c r="CT17" i="8"/>
  <c r="BH10" i="18" a="1"/>
  <c r="BH10" i="18"/>
  <c r="FB17" i="8"/>
  <c r="BB10" i="18" a="1"/>
  <c r="BB10" i="18"/>
  <c r="AC107" i="8"/>
  <c r="AC23" i="8"/>
  <c r="AC140" i="8"/>
  <c r="AC20" i="8"/>
  <c r="AC53" i="8"/>
  <c r="AC40" i="8"/>
  <c r="AC131" i="8"/>
  <c r="AC34" i="8"/>
  <c r="AC100" i="8"/>
  <c r="DC141" i="8"/>
  <c r="DC135" i="8"/>
  <c r="DC129" i="8"/>
  <c r="CC122" i="18" a="1"/>
  <c r="CC122" i="18"/>
  <c r="DC123" i="8"/>
  <c r="CC116" i="18" a="1"/>
  <c r="CC116" i="18"/>
  <c r="DC117" i="8"/>
  <c r="CC110" i="18" a="1"/>
  <c r="CC110" i="18"/>
  <c r="DC111" i="8"/>
  <c r="CC104" i="18" a="1"/>
  <c r="CC104" i="18"/>
  <c r="DC105" i="8"/>
  <c r="CC98" i="18" a="1"/>
  <c r="CC98" i="18"/>
  <c r="DC99" i="8"/>
  <c r="CC92" i="18" a="1"/>
  <c r="CC92" i="18"/>
  <c r="DC93" i="8"/>
  <c r="CC86" i="18" a="1"/>
  <c r="CC86" i="18"/>
  <c r="DC87" i="8"/>
  <c r="CC80" i="18" a="1"/>
  <c r="CC80" i="18"/>
  <c r="DC81" i="8"/>
  <c r="CC74" i="18" a="1"/>
  <c r="CC74" i="18"/>
  <c r="DC75" i="8"/>
  <c r="CC68" i="18" a="1"/>
  <c r="CC68" i="18"/>
  <c r="DC69" i="8"/>
  <c r="CC62" i="18" a="1"/>
  <c r="CC62" i="18"/>
  <c r="DC63" i="8"/>
  <c r="CC56" i="18" a="1"/>
  <c r="CC56" i="18"/>
  <c r="DC57" i="8"/>
  <c r="CC50" i="18" a="1"/>
  <c r="CC50" i="18"/>
  <c r="DC51" i="8"/>
  <c r="CC44" i="18" a="1"/>
  <c r="CC44" i="18"/>
  <c r="DC45" i="8"/>
  <c r="CC38" i="18" a="1"/>
  <c r="CC38" i="18"/>
  <c r="DC39" i="8"/>
  <c r="CC32" i="18" a="1"/>
  <c r="CC32" i="18"/>
  <c r="DC33" i="8"/>
  <c r="CC26" i="18" a="1"/>
  <c r="CC26" i="18"/>
  <c r="DC27" i="8"/>
  <c r="CC20" i="18" a="1"/>
  <c r="CC20" i="18"/>
  <c r="DC21" i="8"/>
  <c r="CC14" i="18" a="1"/>
  <c r="CC14" i="18"/>
  <c r="DC15" i="8"/>
  <c r="CC8" i="18" a="1"/>
  <c r="CC8" i="18"/>
  <c r="DC144" i="8"/>
  <c r="DC138" i="8"/>
  <c r="DC132" i="8"/>
  <c r="DC126" i="8"/>
  <c r="CC119" i="18" a="1"/>
  <c r="CC119" i="18"/>
  <c r="DC120" i="8"/>
  <c r="CC113" i="18" a="1"/>
  <c r="CC113" i="18"/>
  <c r="DC114" i="8"/>
  <c r="CC107" i="18" a="1"/>
  <c r="CC107" i="18"/>
  <c r="DC108" i="8"/>
  <c r="CC101" i="18" a="1"/>
  <c r="CC101" i="18"/>
  <c r="DC102" i="8"/>
  <c r="CC95" i="18" a="1"/>
  <c r="CC95" i="18"/>
  <c r="DC96" i="8"/>
  <c r="CC89" i="18" a="1"/>
  <c r="CC89" i="18"/>
  <c r="DC90" i="8"/>
  <c r="CC83" i="18" a="1"/>
  <c r="CC83" i="18"/>
  <c r="DC84" i="8"/>
  <c r="CC77" i="18" a="1"/>
  <c r="CC77" i="18"/>
  <c r="DC78" i="8"/>
  <c r="CC71" i="18" a="1"/>
  <c r="CC71" i="18"/>
  <c r="DC72" i="8"/>
  <c r="CC65" i="18" a="1"/>
  <c r="CC65" i="18"/>
  <c r="DC66" i="8"/>
  <c r="CC59" i="18" a="1"/>
  <c r="CC59" i="18"/>
  <c r="DC60" i="8"/>
  <c r="CC53" i="18" a="1"/>
  <c r="CC53" i="18"/>
  <c r="DC54" i="8"/>
  <c r="CC47" i="18" a="1"/>
  <c r="CC47" i="18"/>
  <c r="DC48" i="8"/>
  <c r="CC41" i="18" a="1"/>
  <c r="CC41" i="18"/>
  <c r="DC42" i="8"/>
  <c r="CC35" i="18" a="1"/>
  <c r="CC35" i="18"/>
  <c r="DC36" i="8"/>
  <c r="CC29" i="18" a="1"/>
  <c r="CC29" i="18"/>
  <c r="DC30" i="8"/>
  <c r="CC23" i="18" a="1"/>
  <c r="CC23" i="18"/>
  <c r="DC24" i="8"/>
  <c r="CC17" i="18" a="1"/>
  <c r="CC17" i="18"/>
  <c r="DC18" i="8"/>
  <c r="CC11" i="18" a="1"/>
  <c r="CC11" i="18"/>
  <c r="CB125" i="17" a="1"/>
  <c r="CB125" i="17"/>
  <c r="CB131" i="17" a="1"/>
  <c r="CB131" i="17"/>
  <c r="CB137" i="17" a="1"/>
  <c r="CB137" i="17"/>
  <c r="CB128" i="17" a="1"/>
  <c r="CB128" i="17"/>
  <c r="CB134" i="17" a="1"/>
  <c r="CB134" i="17"/>
  <c r="CA125" i="17" a="1"/>
  <c r="CA125" i="17"/>
  <c r="CA131" i="17" a="1"/>
  <c r="CA131" i="17"/>
  <c r="CA134" i="17" a="1"/>
  <c r="CA134" i="17"/>
  <c r="CY133" i="8"/>
  <c r="CY142" i="8"/>
  <c r="CY73" i="8"/>
  <c r="BQ66" i="18" a="1"/>
  <c r="BQ66" i="18"/>
  <c r="CY82" i="8"/>
  <c r="BQ75" i="18" a="1"/>
  <c r="BQ75" i="18"/>
  <c r="CY97" i="8"/>
  <c r="BQ90" i="18" a="1"/>
  <c r="BQ90" i="18"/>
  <c r="CY13" i="8"/>
  <c r="BQ6" i="18" a="1"/>
  <c r="BQ6" i="18"/>
  <c r="CY106" i="8"/>
  <c r="BQ99" i="18" a="1"/>
  <c r="BQ99" i="18"/>
  <c r="CY31" i="8"/>
  <c r="BQ24" i="18" a="1"/>
  <c r="BQ24" i="18"/>
  <c r="CY100" i="8"/>
  <c r="BQ93" i="18" a="1"/>
  <c r="BQ93" i="18"/>
  <c r="CY52" i="8"/>
  <c r="BQ45" i="18" a="1"/>
  <c r="BQ45" i="18"/>
  <c r="CY70" i="8"/>
  <c r="BQ63" i="18" a="1"/>
  <c r="BQ63" i="18"/>
  <c r="CY141" i="8"/>
  <c r="CY120" i="8"/>
  <c r="BQ113" i="18" a="1"/>
  <c r="BQ113" i="18"/>
  <c r="CY72" i="8"/>
  <c r="BQ65" i="18" a="1"/>
  <c r="BQ65" i="18"/>
  <c r="CY24" i="8"/>
  <c r="BQ17" i="18" a="1"/>
  <c r="BQ17" i="18"/>
  <c r="DC130" i="8"/>
  <c r="CC123" i="18" a="1"/>
  <c r="CC123" i="18"/>
  <c r="DC118" i="8"/>
  <c r="CC111" i="18" a="1"/>
  <c r="CC111" i="18"/>
  <c r="DC106" i="8"/>
  <c r="CC99" i="18" a="1"/>
  <c r="CC99" i="18"/>
  <c r="DC94" i="8"/>
  <c r="CC87" i="18" a="1"/>
  <c r="CC87" i="18"/>
  <c r="DC82" i="8"/>
  <c r="CC75" i="18" a="1"/>
  <c r="CC75" i="18"/>
  <c r="DC70" i="8"/>
  <c r="CC63" i="18" a="1"/>
  <c r="CC63" i="18"/>
  <c r="DC58" i="8"/>
  <c r="CC51" i="18" a="1"/>
  <c r="CC51" i="18"/>
  <c r="DC46" i="8"/>
  <c r="CC39" i="18" a="1"/>
  <c r="CC39" i="18"/>
  <c r="DC34" i="8"/>
  <c r="CC27" i="18" a="1"/>
  <c r="CC27" i="18"/>
  <c r="DC22" i="8"/>
  <c r="CC15" i="18" a="1"/>
  <c r="CC15" i="18"/>
  <c r="DC142" i="8"/>
  <c r="DC121" i="8"/>
  <c r="CC114" i="18" a="1"/>
  <c r="CC114" i="18"/>
  <c r="DC109" i="8"/>
  <c r="CC102" i="18" a="1"/>
  <c r="CC102" i="18"/>
  <c r="DC97" i="8"/>
  <c r="CC90" i="18" a="1"/>
  <c r="CC90" i="18"/>
  <c r="DC85" i="8"/>
  <c r="CC78" i="18" a="1"/>
  <c r="CC78" i="18"/>
  <c r="DC73" i="8"/>
  <c r="CC66" i="18" a="1"/>
  <c r="CC66" i="18"/>
  <c r="DC61" i="8"/>
  <c r="CC54" i="18" a="1"/>
  <c r="CC54" i="18"/>
  <c r="DC49" i="8"/>
  <c r="CC42" i="18" a="1"/>
  <c r="CC42" i="18"/>
  <c r="DC37" i="8"/>
  <c r="CC30" i="18" a="1"/>
  <c r="CC30" i="18"/>
  <c r="DC25" i="8"/>
  <c r="CC18" i="18" a="1"/>
  <c r="CC18" i="18"/>
  <c r="DC13" i="8"/>
  <c r="CC6" i="18" a="1"/>
  <c r="CC6" i="18"/>
  <c r="DC145" i="8"/>
  <c r="DC133" i="8"/>
  <c r="DC136" i="8"/>
  <c r="CB129" i="17" a="1"/>
  <c r="CB129" i="17"/>
  <c r="CB126" i="17" a="1"/>
  <c r="CB126" i="17"/>
  <c r="CB138" i="17" a="1"/>
  <c r="CB138" i="17"/>
  <c r="CB132" i="17" a="1"/>
  <c r="CB132" i="17"/>
  <c r="CB135" i="17" a="1"/>
  <c r="CB135" i="17"/>
  <c r="DC124" i="8"/>
  <c r="CC117" i="18" a="1"/>
  <c r="CC117" i="18"/>
  <c r="DC112" i="8"/>
  <c r="CC105" i="18" a="1"/>
  <c r="CC105" i="18"/>
  <c r="DC100" i="8"/>
  <c r="CC93" i="18" a="1"/>
  <c r="CC93" i="18"/>
  <c r="DC88" i="8"/>
  <c r="CC81" i="18" a="1"/>
  <c r="CC81" i="18"/>
  <c r="DC76" i="8"/>
  <c r="CC69" i="18" a="1"/>
  <c r="CC69" i="18"/>
  <c r="DC64" i="8"/>
  <c r="CC57" i="18" a="1"/>
  <c r="CC57" i="18"/>
  <c r="DC52" i="8"/>
  <c r="CC45" i="18" a="1"/>
  <c r="CC45" i="18"/>
  <c r="DC40" i="8"/>
  <c r="CC33" i="18" a="1"/>
  <c r="CC33" i="18"/>
  <c r="DC28" i="8"/>
  <c r="CC21" i="18" a="1"/>
  <c r="CC21" i="18"/>
  <c r="DC16" i="8"/>
  <c r="CC9" i="18" a="1"/>
  <c r="CC9" i="18"/>
  <c r="DC127" i="8"/>
  <c r="CC120" i="18" a="1"/>
  <c r="CC120" i="18"/>
  <c r="DC115" i="8"/>
  <c r="CC108" i="18" a="1"/>
  <c r="CC108" i="18"/>
  <c r="DC103" i="8"/>
  <c r="CC96" i="18" a="1"/>
  <c r="CC96" i="18"/>
  <c r="DC91" i="8"/>
  <c r="CC84" i="18" a="1"/>
  <c r="CC84" i="18"/>
  <c r="DC79" i="8"/>
  <c r="CC72" i="18" a="1"/>
  <c r="CC72" i="18"/>
  <c r="DC67" i="8"/>
  <c r="CC60" i="18" a="1"/>
  <c r="CC60" i="18"/>
  <c r="DC55" i="8"/>
  <c r="CC48" i="18" a="1"/>
  <c r="CC48" i="18"/>
  <c r="DC43" i="8"/>
  <c r="CC36" i="18" a="1"/>
  <c r="CC36" i="18"/>
  <c r="DC31" i="8"/>
  <c r="CC24" i="18" a="1"/>
  <c r="CC24" i="18"/>
  <c r="DC19" i="8"/>
  <c r="CC12" i="18" a="1"/>
  <c r="CC12" i="18"/>
  <c r="AD39" i="8"/>
  <c r="AD60" i="8"/>
  <c r="AD141" i="8"/>
  <c r="AD24" i="8"/>
  <c r="AD105" i="8"/>
  <c r="AD120" i="8"/>
  <c r="CW105" i="8"/>
  <c r="AD93" i="8"/>
  <c r="AD33" i="8"/>
  <c r="AD84" i="8"/>
  <c r="CW81" i="8"/>
  <c r="AD129" i="8"/>
  <c r="AD144" i="8"/>
  <c r="AD48" i="8"/>
  <c r="AD87" i="8"/>
  <c r="AD21" i="8"/>
  <c r="AD108" i="8"/>
  <c r="AD42" i="8"/>
  <c r="CW57" i="8"/>
  <c r="AD63" i="8"/>
  <c r="AD114" i="8"/>
  <c r="AD18" i="8"/>
  <c r="AD117" i="8"/>
  <c r="AD57" i="8"/>
  <c r="AD138" i="8"/>
  <c r="AD72" i="8"/>
  <c r="AD12" i="8"/>
  <c r="AD111" i="8"/>
  <c r="AD81" i="8"/>
  <c r="AD45" i="8"/>
  <c r="AD15" i="8"/>
  <c r="AD132" i="8"/>
  <c r="AD96" i="8"/>
  <c r="AD66" i="8"/>
  <c r="AD36" i="8"/>
  <c r="AD65" i="8"/>
  <c r="AD143" i="8"/>
  <c r="AD104" i="8"/>
  <c r="AD107" i="8"/>
  <c r="AD62" i="8"/>
  <c r="AD83" i="8"/>
  <c r="AD56" i="8"/>
  <c r="AD140" i="8"/>
  <c r="CW129" i="8"/>
  <c r="CW33" i="8"/>
  <c r="CW135" i="8"/>
  <c r="CW111" i="8"/>
  <c r="CW87" i="8"/>
  <c r="CW63" i="8"/>
  <c r="CW39" i="8"/>
  <c r="CW15" i="8"/>
  <c r="CW141" i="8"/>
  <c r="CW117" i="8"/>
  <c r="CW93" i="8"/>
  <c r="CW69" i="8"/>
  <c r="CW45" i="8"/>
  <c r="CW21" i="8"/>
  <c r="AD123" i="8"/>
  <c r="AD99" i="8"/>
  <c r="AD75" i="8"/>
  <c r="AD51" i="8"/>
  <c r="AD27" i="8"/>
  <c r="AD135" i="8"/>
  <c r="AD126" i="8"/>
  <c r="AD102" i="8"/>
  <c r="AD78" i="8"/>
  <c r="AD54" i="8"/>
  <c r="AD80" i="8"/>
  <c r="AD26" i="8"/>
  <c r="AD11" i="8"/>
  <c r="AD95" i="8"/>
  <c r="AD131" i="8"/>
  <c r="AD77" i="8"/>
  <c r="AD44" i="8"/>
  <c r="AD53" i="8"/>
  <c r="AD68" i="8"/>
  <c r="AD17" i="8"/>
  <c r="AD41" i="8"/>
  <c r="CW123" i="8"/>
  <c r="CW99" i="8"/>
  <c r="CW75" i="8"/>
  <c r="CW51" i="8"/>
  <c r="CW27" i="8"/>
  <c r="CW144" i="8"/>
  <c r="CW138" i="8"/>
  <c r="CW132" i="8"/>
  <c r="CW126" i="8"/>
  <c r="CW120" i="8"/>
  <c r="CW114" i="8"/>
  <c r="CW108" i="8"/>
  <c r="CW102" i="8"/>
  <c r="CW96" i="8"/>
  <c r="CW90" i="8"/>
  <c r="CW84" i="8"/>
  <c r="CW78" i="8"/>
  <c r="CW72" i="8"/>
  <c r="CW66" i="8"/>
  <c r="CW60" i="8"/>
  <c r="CW54" i="8"/>
  <c r="CW48" i="8"/>
  <c r="CW42" i="8"/>
  <c r="CW36" i="8"/>
  <c r="CW30" i="8"/>
  <c r="CW24" i="8"/>
  <c r="CW18" i="8"/>
  <c r="FA67" i="8"/>
  <c r="FT67" i="8"/>
  <c r="AW145" i="8"/>
  <c r="AW138" i="8"/>
  <c r="AW136" i="8"/>
  <c r="AW134" i="8"/>
  <c r="AW132" i="8"/>
  <c r="AW128" i="8"/>
  <c r="AW123" i="8"/>
  <c r="AW118" i="8"/>
  <c r="AW114" i="8"/>
  <c r="AW109" i="8"/>
  <c r="AW104" i="8"/>
  <c r="AW99" i="8"/>
  <c r="AW94" i="8"/>
  <c r="AW90" i="8"/>
  <c r="AW85" i="8"/>
  <c r="AW80" i="8"/>
  <c r="AW75" i="8"/>
  <c r="AW70" i="8"/>
  <c r="AW66" i="8"/>
  <c r="AW61" i="8"/>
  <c r="AW56" i="8"/>
  <c r="AW51" i="8"/>
  <c r="AW46" i="8"/>
  <c r="AW42" i="8"/>
  <c r="AW37" i="8"/>
  <c r="AW32" i="8"/>
  <c r="AW27" i="8"/>
  <c r="AW22" i="8"/>
  <c r="AW18" i="8"/>
  <c r="AW13" i="8"/>
  <c r="AW142" i="8"/>
  <c r="AW127" i="8"/>
  <c r="AW122" i="8"/>
  <c r="AW117" i="8"/>
  <c r="AW112" i="8"/>
  <c r="AW108" i="8"/>
  <c r="AW103" i="8"/>
  <c r="AW98" i="8"/>
  <c r="AW93" i="8"/>
  <c r="AW88" i="8"/>
  <c r="AW84" i="8"/>
  <c r="AW79" i="8"/>
  <c r="AW74" i="8"/>
  <c r="AW69" i="8"/>
  <c r="AW64" i="8"/>
  <c r="AW60" i="8"/>
  <c r="AW55" i="8"/>
  <c r="AW50" i="8"/>
  <c r="AW45" i="8"/>
  <c r="AW40" i="8"/>
  <c r="AW36" i="8"/>
  <c r="AW31" i="8"/>
  <c r="AW26" i="8"/>
  <c r="AW21" i="8"/>
  <c r="AW16" i="8"/>
  <c r="AW12" i="8"/>
  <c r="AW144" i="8"/>
  <c r="AW139" i="8"/>
  <c r="AW137" i="8"/>
  <c r="AW135" i="8"/>
  <c r="AW133" i="8"/>
  <c r="AW130" i="8"/>
  <c r="AW126" i="8"/>
  <c r="AW121" i="8"/>
  <c r="AW116" i="8"/>
  <c r="AW111" i="8"/>
  <c r="AW106" i="8"/>
  <c r="AW102" i="8"/>
  <c r="AW97" i="8"/>
  <c r="AW92" i="8"/>
  <c r="AW87" i="8"/>
  <c r="AW82" i="8"/>
  <c r="AW78" i="8"/>
  <c r="AW73" i="8"/>
  <c r="AW68" i="8"/>
  <c r="AW63" i="8"/>
  <c r="AW58" i="8"/>
  <c r="AW54" i="8"/>
  <c r="AW49" i="8"/>
  <c r="AW44" i="8"/>
  <c r="AW39" i="8"/>
  <c r="AW34" i="8"/>
  <c r="AW30" i="8"/>
  <c r="AW25" i="8"/>
  <c r="AW20" i="8"/>
  <c r="AW15" i="8"/>
  <c r="AW141" i="8"/>
  <c r="AW129" i="8"/>
  <c r="AW124" i="8"/>
  <c r="AW120" i="8"/>
  <c r="AW115" i="8"/>
  <c r="AW110" i="8"/>
  <c r="AW105" i="8"/>
  <c r="AW100" i="8"/>
  <c r="AW96" i="8"/>
  <c r="AW91" i="8"/>
  <c r="AW86" i="8"/>
  <c r="AW81" i="8"/>
  <c r="AW76" i="8"/>
  <c r="AW72" i="8"/>
  <c r="AW67" i="8"/>
  <c r="AW62" i="8"/>
  <c r="AY62" i="8"/>
  <c r="AW57" i="8"/>
  <c r="AW52" i="8"/>
  <c r="AW48" i="8"/>
  <c r="AW43" i="8"/>
  <c r="AW38" i="8"/>
  <c r="AW33" i="8"/>
  <c r="AW28" i="8"/>
  <c r="AW14" i="8"/>
  <c r="BJ33" i="8"/>
  <c r="AF59" i="8"/>
  <c r="AF79" i="8"/>
  <c r="AF63" i="8"/>
  <c r="AF85" i="8"/>
  <c r="AF69" i="8"/>
  <c r="AF98" i="8"/>
  <c r="AF73" i="8"/>
  <c r="AF92" i="8"/>
  <c r="AF57" i="8"/>
  <c r="AF67" i="8"/>
  <c r="AF86" i="8"/>
  <c r="AF72" i="8"/>
  <c r="AF82" i="8"/>
  <c r="AF56" i="8"/>
  <c r="AF66" i="8"/>
  <c r="AF76" i="8"/>
  <c r="AV135" i="8"/>
  <c r="AT95" i="8"/>
  <c r="AT83" i="8"/>
  <c r="AT71" i="8"/>
  <c r="AT59" i="8"/>
  <c r="M29" i="8"/>
  <c r="M24" i="8"/>
  <c r="AV22" i="8"/>
  <c r="AV136" i="8"/>
  <c r="M120" i="8"/>
  <c r="DE120" i="8"/>
  <c r="AV118" i="8"/>
  <c r="AV15" i="8"/>
  <c r="AV12" i="8"/>
  <c r="AV137" i="8"/>
  <c r="M122" i="8"/>
  <c r="AV111" i="8"/>
  <c r="AV55" i="8"/>
  <c r="M19" i="8"/>
  <c r="AV17" i="8"/>
  <c r="M115" i="8"/>
  <c r="AV113" i="8"/>
  <c r="AT93" i="8"/>
  <c r="AT81" i="8"/>
  <c r="AT69" i="8"/>
  <c r="AT57" i="8"/>
  <c r="M38" i="8"/>
  <c r="M34" i="8"/>
  <c r="M27" i="8"/>
  <c r="AV26" i="8"/>
  <c r="J31" i="8"/>
  <c r="M130" i="8"/>
  <c r="M125" i="8"/>
  <c r="M123" i="8"/>
  <c r="AV122" i="8"/>
  <c r="AX122" i="8"/>
  <c r="AV120" i="8"/>
  <c r="AX120" i="8"/>
  <c r="AV115" i="8"/>
  <c r="AY115" i="8"/>
  <c r="M106" i="8"/>
  <c r="M101" i="8"/>
  <c r="AT100" i="8"/>
  <c r="AT88" i="8"/>
  <c r="AT76" i="8"/>
  <c r="AT64" i="8"/>
  <c r="M50" i="8"/>
  <c r="AT49" i="8"/>
  <c r="M46" i="8"/>
  <c r="M41" i="8"/>
  <c r="M39" i="8"/>
  <c r="AV38" i="8"/>
  <c r="M36" i="8"/>
  <c r="AV34" i="8"/>
  <c r="M31" i="8"/>
  <c r="AV29" i="8"/>
  <c r="AV27" i="8"/>
  <c r="AV24" i="8"/>
  <c r="AY24" i="8"/>
  <c r="AV19" i="8"/>
  <c r="AX19" i="8"/>
  <c r="EH19" i="8"/>
  <c r="EI19" i="8"/>
  <c r="AF46" i="8"/>
  <c r="AF30" i="8"/>
  <c r="AF38" i="8"/>
  <c r="J109" i="8"/>
  <c r="AF48" i="8"/>
  <c r="AF22" i="8"/>
  <c r="AF51" i="8"/>
  <c r="AF84" i="8"/>
  <c r="AF94" i="8"/>
  <c r="AF91" i="8"/>
  <c r="AF88" i="8"/>
  <c r="J142" i="8"/>
  <c r="BU86" i="18" a="1"/>
  <c r="BU86" i="18"/>
  <c r="BU72" i="18" a="1"/>
  <c r="BU72" i="18"/>
  <c r="BU58" i="18" a="1"/>
  <c r="BU58" i="18"/>
  <c r="BU77" i="18" a="1"/>
  <c r="BU77" i="18"/>
  <c r="BU69" i="18" a="1"/>
  <c r="BU69" i="18"/>
  <c r="BU65" i="18" a="1"/>
  <c r="BU65" i="18"/>
  <c r="AV130" i="8"/>
  <c r="M127" i="8"/>
  <c r="AV125" i="8"/>
  <c r="AV123" i="8"/>
  <c r="M110" i="8"/>
  <c r="M108" i="8"/>
  <c r="AV106" i="8"/>
  <c r="M103" i="8"/>
  <c r="AV101" i="8"/>
  <c r="M98" i="8"/>
  <c r="AT97" i="8"/>
  <c r="AV94" i="8"/>
  <c r="AT92" i="8"/>
  <c r="AT90" i="8"/>
  <c r="M86" i="8"/>
  <c r="AT85" i="8"/>
  <c r="AV82" i="8"/>
  <c r="AT80" i="8"/>
  <c r="AT78" i="8"/>
  <c r="M74" i="8"/>
  <c r="AT73" i="8"/>
  <c r="AV70" i="8"/>
  <c r="AT68" i="8"/>
  <c r="AT66" i="8"/>
  <c r="M62" i="8"/>
  <c r="AT61" i="8"/>
  <c r="AV58" i="8"/>
  <c r="AT56" i="8"/>
  <c r="M53" i="8"/>
  <c r="M51" i="8"/>
  <c r="AV50" i="8"/>
  <c r="M48" i="8"/>
  <c r="AV46" i="8"/>
  <c r="M43" i="8"/>
  <c r="AV41" i="8"/>
  <c r="AV39" i="8"/>
  <c r="AV36" i="8"/>
  <c r="AV31" i="8"/>
  <c r="M14" i="8"/>
  <c r="AT13" i="8"/>
  <c r="AV91" i="8"/>
  <c r="AV79" i="8"/>
  <c r="AY79" i="8"/>
  <c r="AV67" i="8"/>
  <c r="AT37" i="8"/>
  <c r="AF49" i="8"/>
  <c r="AF35" i="8"/>
  <c r="AF32" i="8"/>
  <c r="AF54" i="8"/>
  <c r="AF52" i="8"/>
  <c r="AF14" i="8"/>
  <c r="J130" i="8"/>
  <c r="J131" i="8"/>
  <c r="J108" i="8"/>
  <c r="BU35" i="18" a="1"/>
  <c r="BU35" i="18"/>
  <c r="AF24" i="8"/>
  <c r="AF45" i="8"/>
  <c r="AF43" i="8"/>
  <c r="AF29" i="8"/>
  <c r="AF27" i="8"/>
  <c r="AF97" i="8"/>
  <c r="AF71" i="8"/>
  <c r="AF81" i="8"/>
  <c r="AF68" i="8"/>
  <c r="AF78" i="8"/>
  <c r="AF65" i="8"/>
  <c r="AF75" i="8"/>
  <c r="AF62" i="8"/>
  <c r="J120" i="8"/>
  <c r="J127" i="8"/>
  <c r="J105" i="8"/>
  <c r="AF37" i="8"/>
  <c r="AF23" i="8"/>
  <c r="AF44" i="8"/>
  <c r="AF20" i="8"/>
  <c r="AF42" i="8"/>
  <c r="AF19" i="8"/>
  <c r="AF40" i="8"/>
  <c r="AF96" i="8"/>
  <c r="AF83" i="8"/>
  <c r="AF61" i="8"/>
  <c r="AF93" i="8"/>
  <c r="AF80" i="8"/>
  <c r="AF58" i="8"/>
  <c r="AF90" i="8"/>
  <c r="AF77" i="8"/>
  <c r="AF100" i="8"/>
  <c r="AF87" i="8"/>
  <c r="F36" i="2"/>
  <c r="J144" i="8"/>
  <c r="J121" i="8"/>
  <c r="J122" i="8"/>
  <c r="BU27" i="18" a="1"/>
  <c r="BU27" i="18"/>
  <c r="M137" i="8"/>
  <c r="M136" i="8"/>
  <c r="M135" i="8"/>
  <c r="AV127" i="8"/>
  <c r="AY127" i="8"/>
  <c r="M118" i="8"/>
  <c r="M113" i="8"/>
  <c r="M111" i="8"/>
  <c r="AV110" i="8"/>
  <c r="AV108" i="8"/>
  <c r="AV103" i="8"/>
  <c r="AV89" i="8"/>
  <c r="AV77" i="8"/>
  <c r="AV65" i="8"/>
  <c r="M55" i="8"/>
  <c r="AV53" i="8"/>
  <c r="AV51" i="8"/>
  <c r="AV48" i="8"/>
  <c r="AV43" i="8"/>
  <c r="M26" i="8"/>
  <c r="AT25" i="8"/>
  <c r="M22" i="8"/>
  <c r="M17" i="8"/>
  <c r="M15" i="8"/>
  <c r="AV14" i="8"/>
  <c r="M12" i="8"/>
  <c r="FA94" i="8"/>
  <c r="FT94" i="8"/>
  <c r="FA70" i="8"/>
  <c r="FT70" i="8"/>
  <c r="FA79" i="8"/>
  <c r="FT79" i="8"/>
  <c r="FA82" i="8"/>
  <c r="FT82" i="8"/>
  <c r="FA58" i="8"/>
  <c r="FT58" i="8"/>
  <c r="FA91" i="8"/>
  <c r="FT91" i="8"/>
  <c r="J68" i="8"/>
  <c r="J106" i="8"/>
  <c r="J138" i="8"/>
  <c r="J126" i="8"/>
  <c r="J112" i="8"/>
  <c r="J140" i="8"/>
  <c r="J118" i="8"/>
  <c r="J132" i="8"/>
  <c r="J103" i="8"/>
  <c r="J137" i="8"/>
  <c r="J124" i="8"/>
  <c r="J110" i="8"/>
  <c r="J134" i="8"/>
  <c r="J111" i="8"/>
  <c r="J80" i="8"/>
  <c r="J104" i="8"/>
  <c r="J55" i="8"/>
  <c r="J50" i="8"/>
  <c r="J48" i="8"/>
  <c r="J43" i="8"/>
  <c r="J38" i="8"/>
  <c r="J25" i="8"/>
  <c r="J11" i="8"/>
  <c r="J54" i="8"/>
  <c r="J49" i="8"/>
  <c r="J47" i="8"/>
  <c r="O47" i="8"/>
  <c r="J29" i="8"/>
  <c r="O29" i="8"/>
  <c r="J21" i="8"/>
  <c r="J15" i="8"/>
  <c r="AT101" i="8"/>
  <c r="AT103" i="8"/>
  <c r="AT110" i="8"/>
  <c r="AT111" i="8"/>
  <c r="AT118" i="8"/>
  <c r="AT120" i="8"/>
  <c r="AT125" i="8"/>
  <c r="AT127" i="8"/>
  <c r="AT135" i="8"/>
  <c r="AT137" i="8"/>
  <c r="AT106" i="8"/>
  <c r="AT108" i="8"/>
  <c r="AT113" i="8"/>
  <c r="AT115" i="8"/>
  <c r="AT122" i="8"/>
  <c r="AT123" i="8"/>
  <c r="AT130" i="8"/>
  <c r="AT136" i="8"/>
  <c r="R101" i="8"/>
  <c r="BW94" i="18" a="1"/>
  <c r="BW94" i="18"/>
  <c r="R105" i="8"/>
  <c r="BW98" i="18" a="1"/>
  <c r="BW98" i="18"/>
  <c r="R109" i="8"/>
  <c r="BW102" i="18" a="1"/>
  <c r="BW102" i="18"/>
  <c r="R113" i="8"/>
  <c r="BW106" i="18" a="1"/>
  <c r="BW106" i="18"/>
  <c r="R117" i="8"/>
  <c r="BW110" i="18" a="1"/>
  <c r="BW110" i="18"/>
  <c r="R121" i="8"/>
  <c r="BW114" i="18" a="1"/>
  <c r="BW114" i="18"/>
  <c r="R125" i="8"/>
  <c r="BW118" i="18" a="1"/>
  <c r="BW118" i="18"/>
  <c r="R129" i="8"/>
  <c r="BW122" i="18" a="1"/>
  <c r="BW122" i="18"/>
  <c r="R133" i="8"/>
  <c r="BW126" i="18" a="1"/>
  <c r="BW126" i="18"/>
  <c r="R137" i="8"/>
  <c r="BW130" i="18" a="1"/>
  <c r="BW130" i="18"/>
  <c r="R141" i="8"/>
  <c r="BW134" i="18" a="1"/>
  <c r="BW134" i="18"/>
  <c r="R145" i="8"/>
  <c r="BW138" i="18" a="1"/>
  <c r="BW138" i="18"/>
  <c r="R102" i="8"/>
  <c r="BW95" i="18" a="1"/>
  <c r="BW95" i="18"/>
  <c r="R106" i="8"/>
  <c r="BW99" i="18" a="1"/>
  <c r="BW99" i="18"/>
  <c r="R110" i="8"/>
  <c r="BW103" i="18" a="1"/>
  <c r="BW103" i="18"/>
  <c r="R114" i="8"/>
  <c r="BW107" i="18" a="1"/>
  <c r="BW107" i="18"/>
  <c r="R118" i="8"/>
  <c r="BW111" i="18" a="1"/>
  <c r="BW111" i="18"/>
  <c r="R122" i="8"/>
  <c r="BW115" i="18" a="1"/>
  <c r="BW115" i="18"/>
  <c r="R126" i="8"/>
  <c r="BW119" i="18" a="1"/>
  <c r="BW119" i="18"/>
  <c r="R130" i="8"/>
  <c r="BW123" i="18" a="1"/>
  <c r="BW123" i="18"/>
  <c r="R134" i="8"/>
  <c r="BW127" i="18" a="1"/>
  <c r="BW127" i="18"/>
  <c r="R138" i="8"/>
  <c r="BW131" i="18" a="1"/>
  <c r="BW131" i="18"/>
  <c r="R142" i="8"/>
  <c r="BW135" i="18" a="1"/>
  <c r="BW135" i="18"/>
  <c r="R103" i="8"/>
  <c r="BW96" i="18" a="1"/>
  <c r="BW96" i="18"/>
  <c r="R107" i="8"/>
  <c r="BW100" i="18" a="1"/>
  <c r="BW100" i="18"/>
  <c r="R111" i="8"/>
  <c r="BW104" i="18" a="1"/>
  <c r="BW104" i="18"/>
  <c r="R115" i="8"/>
  <c r="BW108" i="18" a="1"/>
  <c r="BW108" i="18"/>
  <c r="R119" i="8"/>
  <c r="BW112" i="18" a="1"/>
  <c r="BW112" i="18"/>
  <c r="R123" i="8"/>
  <c r="BW116" i="18" a="1"/>
  <c r="BW116" i="18"/>
  <c r="R127" i="8"/>
  <c r="BW120" i="18" a="1"/>
  <c r="BW120" i="18"/>
  <c r="R131" i="8"/>
  <c r="BW124" i="18" a="1"/>
  <c r="BW124" i="18"/>
  <c r="R135" i="8"/>
  <c r="BW128" i="18" a="1"/>
  <c r="BW128" i="18"/>
  <c r="R139" i="8"/>
  <c r="BW132" i="18" a="1"/>
  <c r="BW132" i="18"/>
  <c r="R143" i="8"/>
  <c r="BW136" i="18" a="1"/>
  <c r="BW136" i="18"/>
  <c r="R104" i="8"/>
  <c r="BW97" i="18" a="1"/>
  <c r="BW97" i="18"/>
  <c r="R108" i="8"/>
  <c r="BW101" i="18" a="1"/>
  <c r="BW101" i="18"/>
  <c r="R112" i="8"/>
  <c r="BW105" i="18" a="1"/>
  <c r="BW105" i="18"/>
  <c r="R116" i="8"/>
  <c r="BW109" i="18" a="1"/>
  <c r="BW109" i="18"/>
  <c r="R120" i="8"/>
  <c r="BW113" i="18" a="1"/>
  <c r="BW113" i="18"/>
  <c r="R124" i="8"/>
  <c r="BW117" i="18" a="1"/>
  <c r="BW117" i="18"/>
  <c r="R128" i="8"/>
  <c r="BW121" i="18" a="1"/>
  <c r="BW121" i="18"/>
  <c r="R132" i="8"/>
  <c r="BW125" i="18" a="1"/>
  <c r="BW125" i="18"/>
  <c r="R136" i="8"/>
  <c r="BW129" i="18" a="1"/>
  <c r="BW129" i="18"/>
  <c r="R140" i="8"/>
  <c r="BW133" i="18" a="1"/>
  <c r="BW133" i="18"/>
  <c r="R144" i="8"/>
  <c r="BW137" i="18" a="1"/>
  <c r="BW137" i="18"/>
  <c r="AF110" i="8"/>
  <c r="AF123" i="8"/>
  <c r="AF136" i="8"/>
  <c r="AF113" i="8"/>
  <c r="AF126" i="8"/>
  <c r="AF139" i="8"/>
  <c r="AF116" i="8"/>
  <c r="AF129" i="8"/>
  <c r="AF142" i="8"/>
  <c r="AF119" i="8"/>
  <c r="AF132" i="8"/>
  <c r="AF145" i="8"/>
  <c r="AT141" i="8"/>
  <c r="FA136" i="8"/>
  <c r="FT136" i="8"/>
  <c r="FA127" i="8"/>
  <c r="FT127" i="8"/>
  <c r="FA115" i="8"/>
  <c r="FT115" i="8"/>
  <c r="AT109" i="8"/>
  <c r="AF133" i="8"/>
  <c r="AF138" i="8"/>
  <c r="BU100" i="18" a="1"/>
  <c r="BU100" i="18"/>
  <c r="BU44" i="18" a="1"/>
  <c r="BU44" i="18"/>
  <c r="BU40" i="18" a="1"/>
  <c r="BU40" i="18"/>
  <c r="J40" i="8"/>
  <c r="BU117" i="18" a="1"/>
  <c r="BU117" i="18"/>
  <c r="BU101" i="18" a="1"/>
  <c r="BU101" i="18"/>
  <c r="BU97" i="18" a="1"/>
  <c r="BU97" i="18"/>
  <c r="BU45" i="18" a="1"/>
  <c r="BU45" i="18"/>
  <c r="BU41" i="18" a="1"/>
  <c r="BU41" i="18"/>
  <c r="BU33" i="18" a="1"/>
  <c r="BU33" i="18"/>
  <c r="BU21" i="18" a="1"/>
  <c r="BU21" i="18"/>
  <c r="BU17" i="18" a="1"/>
  <c r="BU17" i="18"/>
  <c r="BU13" i="18" a="1"/>
  <c r="BU13" i="18"/>
  <c r="BU9" i="18" a="1"/>
  <c r="BU9" i="18"/>
  <c r="AT145" i="8"/>
  <c r="AT142" i="8"/>
  <c r="AT139" i="8"/>
  <c r="AT134" i="8"/>
  <c r="AT131" i="8"/>
  <c r="AT128" i="8"/>
  <c r="AT119" i="8"/>
  <c r="AT116" i="8"/>
  <c r="AT107" i="8"/>
  <c r="AT104" i="8"/>
  <c r="M99" i="8"/>
  <c r="AV98" i="8"/>
  <c r="M87" i="8"/>
  <c r="AV86" i="8"/>
  <c r="M75" i="8"/>
  <c r="AV74" i="8"/>
  <c r="AT47" i="8"/>
  <c r="AT44" i="8"/>
  <c r="AT35" i="8"/>
  <c r="AT32" i="8"/>
  <c r="AT23" i="8"/>
  <c r="AT20" i="8"/>
  <c r="FA13" i="8"/>
  <c r="FT13" i="8"/>
  <c r="FA21" i="8"/>
  <c r="FT21" i="8"/>
  <c r="FA28" i="8"/>
  <c r="FT28" i="8"/>
  <c r="FA30" i="8"/>
  <c r="FT30" i="8"/>
  <c r="FA37" i="8"/>
  <c r="FT37" i="8"/>
  <c r="FA45" i="8"/>
  <c r="FT45" i="8"/>
  <c r="FA52" i="8"/>
  <c r="FT52" i="8"/>
  <c r="FA54" i="8"/>
  <c r="FT54" i="8"/>
  <c r="FA16" i="8"/>
  <c r="FT16" i="8"/>
  <c r="FA18" i="8"/>
  <c r="FT18" i="8"/>
  <c r="FA25" i="8"/>
  <c r="FT25" i="8"/>
  <c r="FA33" i="8"/>
  <c r="FT33" i="8"/>
  <c r="FA40" i="8"/>
  <c r="FT40" i="8"/>
  <c r="FA42" i="8"/>
  <c r="FT42" i="8"/>
  <c r="FA49" i="8"/>
  <c r="FT49" i="8"/>
  <c r="FA102" i="8"/>
  <c r="FT102" i="8"/>
  <c r="FA109" i="8"/>
  <c r="FT109" i="8"/>
  <c r="FA117" i="8"/>
  <c r="FT117" i="8"/>
  <c r="FA124" i="8"/>
  <c r="FT124" i="8"/>
  <c r="FA126" i="8"/>
  <c r="FT126" i="8"/>
  <c r="FA132" i="8"/>
  <c r="FT132" i="8"/>
  <c r="FA139" i="8"/>
  <c r="FT139" i="8"/>
  <c r="FA142" i="8"/>
  <c r="FT142" i="8"/>
  <c r="FA145" i="8"/>
  <c r="FT145" i="8"/>
  <c r="FA105" i="8"/>
  <c r="FT105" i="8"/>
  <c r="FA112" i="8"/>
  <c r="FT112" i="8"/>
  <c r="FA114" i="8"/>
  <c r="FT114" i="8"/>
  <c r="FA121" i="8"/>
  <c r="FT121" i="8"/>
  <c r="FA129" i="8"/>
  <c r="FT129" i="8"/>
  <c r="FA133" i="8"/>
  <c r="FT133" i="8"/>
  <c r="FA138" i="8"/>
  <c r="FT138" i="8"/>
  <c r="FA141" i="8"/>
  <c r="FT141" i="8"/>
  <c r="FA144" i="8"/>
  <c r="FT144" i="8"/>
  <c r="AT138" i="8"/>
  <c r="FA118" i="8"/>
  <c r="FT118" i="8"/>
  <c r="FA46" i="8"/>
  <c r="FT46" i="8"/>
  <c r="FA22" i="8"/>
  <c r="FT22" i="8"/>
  <c r="AF140" i="8"/>
  <c r="AF101" i="8"/>
  <c r="AF131" i="8"/>
  <c r="AF108" i="8"/>
  <c r="AF130" i="8"/>
  <c r="AF106" i="8"/>
  <c r="AF137" i="8"/>
  <c r="AF114" i="8"/>
  <c r="AF135" i="8"/>
  <c r="AF112" i="8"/>
  <c r="BU111" i="18" a="1"/>
  <c r="BU111" i="18"/>
  <c r="BU109" i="18" a="1"/>
  <c r="BU109" i="18"/>
  <c r="J13" i="8"/>
  <c r="J23" i="8"/>
  <c r="J41" i="8"/>
  <c r="M59" i="8"/>
  <c r="M61" i="8"/>
  <c r="M68" i="8"/>
  <c r="M69" i="8"/>
  <c r="M76" i="8"/>
  <c r="M78" i="8"/>
  <c r="M83" i="8"/>
  <c r="M85" i="8"/>
  <c r="M92" i="8"/>
  <c r="M93" i="8"/>
  <c r="FJ93" i="8"/>
  <c r="M100" i="8"/>
  <c r="M56" i="8"/>
  <c r="M57" i="8"/>
  <c r="M64" i="8"/>
  <c r="M66" i="8"/>
  <c r="M71" i="8"/>
  <c r="M73" i="8"/>
  <c r="M80" i="8"/>
  <c r="M81" i="8"/>
  <c r="M88" i="8"/>
  <c r="M90" i="8"/>
  <c r="M95" i="8"/>
  <c r="M97" i="8"/>
  <c r="J107" i="8"/>
  <c r="J129" i="8"/>
  <c r="J115" i="8"/>
  <c r="J117" i="8"/>
  <c r="J128" i="8"/>
  <c r="J101" i="8"/>
  <c r="J114" i="8"/>
  <c r="J125" i="8"/>
  <c r="J133" i="8"/>
  <c r="J141" i="8"/>
  <c r="J113" i="8"/>
  <c r="AT14" i="8"/>
  <c r="AT15" i="8"/>
  <c r="AT22" i="8"/>
  <c r="AT24" i="8"/>
  <c r="AT29" i="8"/>
  <c r="AT31" i="8"/>
  <c r="AT38" i="8"/>
  <c r="AT39" i="8"/>
  <c r="AT46" i="8"/>
  <c r="AT48" i="8"/>
  <c r="AT53" i="8"/>
  <c r="AT55" i="8"/>
  <c r="AT12" i="8"/>
  <c r="AT17" i="8"/>
  <c r="AT19" i="8"/>
  <c r="AT26" i="8"/>
  <c r="AT27" i="8"/>
  <c r="AT34" i="8"/>
  <c r="AT36" i="8"/>
  <c r="AT41" i="8"/>
  <c r="AT43" i="8"/>
  <c r="AT50" i="8"/>
  <c r="AT51" i="8"/>
  <c r="AV59" i="8"/>
  <c r="AV61" i="8"/>
  <c r="AV68" i="8"/>
  <c r="AV69" i="8"/>
  <c r="AV76" i="8"/>
  <c r="AV78" i="8"/>
  <c r="AV83" i="8"/>
  <c r="AV85" i="8"/>
  <c r="AV92" i="8"/>
  <c r="AV93" i="8"/>
  <c r="AV100" i="8"/>
  <c r="AV56" i="8"/>
  <c r="AV57" i="8"/>
  <c r="AV64" i="8"/>
  <c r="AV66" i="8"/>
  <c r="AV71" i="8"/>
  <c r="AV73" i="8"/>
  <c r="AV80" i="8"/>
  <c r="AV81" i="8"/>
  <c r="AV88" i="8"/>
  <c r="AV90" i="8"/>
  <c r="AV95" i="8"/>
  <c r="AV97" i="8"/>
  <c r="R13" i="8"/>
  <c r="BW6" i="18" a="1"/>
  <c r="BW6" i="18"/>
  <c r="R17" i="8"/>
  <c r="BW10" i="18" a="1"/>
  <c r="BW10" i="18"/>
  <c r="R21" i="8"/>
  <c r="BW14" i="18" a="1"/>
  <c r="BW14" i="18"/>
  <c r="R25" i="8"/>
  <c r="BW18" i="18" a="1"/>
  <c r="BW18" i="18"/>
  <c r="R29" i="8"/>
  <c r="BW22" i="18" a="1"/>
  <c r="BW22" i="18"/>
  <c r="R33" i="8"/>
  <c r="BW26" i="18" a="1"/>
  <c r="BW26" i="18"/>
  <c r="R37" i="8"/>
  <c r="BW30" i="18" a="1"/>
  <c r="BW30" i="18"/>
  <c r="R41" i="8"/>
  <c r="BW34" i="18" a="1"/>
  <c r="BW34" i="18"/>
  <c r="R45" i="8"/>
  <c r="BW38" i="18" a="1"/>
  <c r="BW38" i="18"/>
  <c r="R49" i="8"/>
  <c r="BW42" i="18" a="1"/>
  <c r="BW42" i="18"/>
  <c r="R53" i="8"/>
  <c r="BW46" i="18" a="1"/>
  <c r="BW46" i="18"/>
  <c r="R14" i="8"/>
  <c r="BW7" i="18" a="1"/>
  <c r="BW7" i="18"/>
  <c r="R18" i="8"/>
  <c r="BW11" i="18" a="1"/>
  <c r="BW11" i="18"/>
  <c r="R22" i="8"/>
  <c r="BW15" i="18" a="1"/>
  <c r="BW15" i="18"/>
  <c r="R26" i="8"/>
  <c r="BW19" i="18" a="1"/>
  <c r="BW19" i="18"/>
  <c r="R30" i="8"/>
  <c r="BW23" i="18" a="1"/>
  <c r="BW23" i="18"/>
  <c r="R34" i="8"/>
  <c r="BW27" i="18" a="1"/>
  <c r="BW27" i="18"/>
  <c r="R38" i="8"/>
  <c r="BW31" i="18" a="1"/>
  <c r="BW31" i="18"/>
  <c r="R42" i="8"/>
  <c r="BW35" i="18" a="1"/>
  <c r="BW35" i="18"/>
  <c r="R46" i="8"/>
  <c r="BW39" i="18" a="1"/>
  <c r="BW39" i="18"/>
  <c r="R50" i="8"/>
  <c r="BW43" i="18" a="1"/>
  <c r="BW43" i="18"/>
  <c r="R54" i="8"/>
  <c r="BW47" i="18" a="1"/>
  <c r="BW47" i="18"/>
  <c r="R11" i="8"/>
  <c r="R15" i="8"/>
  <c r="BW8" i="18" a="1"/>
  <c r="BW8" i="18"/>
  <c r="R19" i="8"/>
  <c r="BW12" i="18" a="1"/>
  <c r="BW12" i="18"/>
  <c r="R23" i="8"/>
  <c r="BW16" i="18" a="1"/>
  <c r="BW16" i="18"/>
  <c r="R27" i="8"/>
  <c r="BW20" i="18" a="1"/>
  <c r="BW20" i="18"/>
  <c r="R31" i="8"/>
  <c r="BW24" i="18" a="1"/>
  <c r="BW24" i="18"/>
  <c r="R35" i="8"/>
  <c r="BW28" i="18" a="1"/>
  <c r="BW28" i="18"/>
  <c r="R39" i="8"/>
  <c r="BW32" i="18" a="1"/>
  <c r="BW32" i="18"/>
  <c r="R43" i="8"/>
  <c r="BW36" i="18" a="1"/>
  <c r="BW36" i="18"/>
  <c r="R47" i="8"/>
  <c r="BW40" i="18" a="1"/>
  <c r="BW40" i="18"/>
  <c r="R51" i="8"/>
  <c r="BW44" i="18" a="1"/>
  <c r="BW44" i="18"/>
  <c r="R55" i="8"/>
  <c r="BW48" i="18" a="1"/>
  <c r="BW48" i="18"/>
  <c r="R12" i="8"/>
  <c r="BW5" i="18" a="1"/>
  <c r="BW5" i="18"/>
  <c r="R16" i="8"/>
  <c r="BW9" i="18" a="1"/>
  <c r="BW9" i="18"/>
  <c r="R20" i="8"/>
  <c r="BW13" i="18" a="1"/>
  <c r="BW13" i="18"/>
  <c r="R24" i="8"/>
  <c r="BW17" i="18" a="1"/>
  <c r="BW17" i="18"/>
  <c r="R28" i="8"/>
  <c r="BW21" i="18" a="1"/>
  <c r="BW21" i="18"/>
  <c r="R32" i="8"/>
  <c r="BW25" i="18" a="1"/>
  <c r="BW25" i="18"/>
  <c r="R36" i="8"/>
  <c r="BW29" i="18" a="1"/>
  <c r="BW29" i="18"/>
  <c r="R40" i="8"/>
  <c r="BW33" i="18" a="1"/>
  <c r="BW33" i="18"/>
  <c r="R44" i="8"/>
  <c r="BW37" i="18" a="1"/>
  <c r="BW37" i="18"/>
  <c r="R48" i="8"/>
  <c r="BW41" i="18" a="1"/>
  <c r="BW41" i="18"/>
  <c r="R52" i="8"/>
  <c r="BW45" i="18" a="1"/>
  <c r="BW45" i="18"/>
  <c r="AF15" i="8"/>
  <c r="AF28" i="8"/>
  <c r="AF50" i="8"/>
  <c r="AF18" i="8"/>
  <c r="AF31" i="8"/>
  <c r="AF53" i="8"/>
  <c r="AF21" i="8"/>
  <c r="AF34" i="8"/>
  <c r="AF12" i="8"/>
  <c r="AF25" i="8"/>
  <c r="AF47" i="8"/>
  <c r="BU10" i="18" a="1"/>
  <c r="BU10" i="18"/>
  <c r="BU20" i="18" a="1"/>
  <c r="BU20" i="18"/>
  <c r="BU34" i="18" a="1"/>
  <c r="BU34" i="18"/>
  <c r="BU48" i="18" a="1"/>
  <c r="BU48" i="18"/>
  <c r="FA61" i="8"/>
  <c r="FT61" i="8"/>
  <c r="FA69" i="8"/>
  <c r="FT69" i="8"/>
  <c r="FA76" i="8"/>
  <c r="FT76" i="8"/>
  <c r="FA78" i="8"/>
  <c r="FT78" i="8"/>
  <c r="FA85" i="8"/>
  <c r="FT85" i="8"/>
  <c r="FA93" i="8"/>
  <c r="FT93" i="8"/>
  <c r="FA100" i="8"/>
  <c r="FT100" i="8"/>
  <c r="FA57" i="8"/>
  <c r="FT57" i="8"/>
  <c r="FA64" i="8"/>
  <c r="FT64" i="8"/>
  <c r="FA66" i="8"/>
  <c r="FT66" i="8"/>
  <c r="FA73" i="8"/>
  <c r="FT73" i="8"/>
  <c r="FA81" i="8"/>
  <c r="FT81" i="8"/>
  <c r="FA88" i="8"/>
  <c r="FT88" i="8"/>
  <c r="FA90" i="8"/>
  <c r="FT90" i="8"/>
  <c r="FA97" i="8"/>
  <c r="FT97" i="8"/>
  <c r="AT143" i="8"/>
  <c r="AT140" i="8"/>
  <c r="FA123" i="8"/>
  <c r="FT123" i="8"/>
  <c r="FA111" i="8"/>
  <c r="FT111" i="8"/>
  <c r="FA99" i="8"/>
  <c r="FT99" i="8"/>
  <c r="AV99" i="8"/>
  <c r="M96" i="8"/>
  <c r="FA87" i="8"/>
  <c r="FT87" i="8"/>
  <c r="AV87" i="8"/>
  <c r="M84" i="8"/>
  <c r="FA75" i="8"/>
  <c r="FT75" i="8"/>
  <c r="AV75" i="8"/>
  <c r="M72" i="8"/>
  <c r="FA63" i="8"/>
  <c r="FT63" i="8"/>
  <c r="AV63" i="8"/>
  <c r="M60" i="8"/>
  <c r="FA51" i="8"/>
  <c r="FT51" i="8"/>
  <c r="FA39" i="8"/>
  <c r="FT39" i="8"/>
  <c r="FA27" i="8"/>
  <c r="FT27" i="8"/>
  <c r="FA15" i="8"/>
  <c r="FT15" i="8"/>
  <c r="AT144" i="8"/>
  <c r="AT133" i="8"/>
  <c r="FA130" i="8"/>
  <c r="FT130" i="8"/>
  <c r="AT121" i="8"/>
  <c r="FA106" i="8"/>
  <c r="FT106" i="8"/>
  <c r="FA103" i="8"/>
  <c r="FT103" i="8"/>
  <c r="FA55" i="8"/>
  <c r="FT55" i="8"/>
  <c r="FA43" i="8"/>
  <c r="FT43" i="8"/>
  <c r="FA34" i="8"/>
  <c r="FT34" i="8"/>
  <c r="FA31" i="8"/>
  <c r="FT31" i="8"/>
  <c r="FA19" i="8"/>
  <c r="FT19" i="8"/>
  <c r="AF109" i="8"/>
  <c r="AF117" i="8"/>
  <c r="AF115" i="8"/>
  <c r="AF122" i="8"/>
  <c r="AF144" i="8"/>
  <c r="AF121" i="8"/>
  <c r="AF107" i="8"/>
  <c r="AF128" i="8"/>
  <c r="AF105" i="8"/>
  <c r="AF127" i="8"/>
  <c r="AF103" i="8"/>
  <c r="AF134" i="8"/>
  <c r="AF111" i="8"/>
  <c r="J123" i="8"/>
  <c r="BU112" i="18" a="1"/>
  <c r="BU112" i="18"/>
  <c r="J17" i="8"/>
  <c r="O17" i="8"/>
  <c r="J27" i="8"/>
  <c r="J45" i="8"/>
  <c r="J52" i="8"/>
  <c r="BU95" i="18" a="1"/>
  <c r="BU95" i="18"/>
  <c r="AT132" i="8"/>
  <c r="AT129" i="8"/>
  <c r="AT126" i="8"/>
  <c r="AT124" i="8"/>
  <c r="FA120" i="8"/>
  <c r="FT120" i="8"/>
  <c r="AT117" i="8"/>
  <c r="AT114" i="8"/>
  <c r="AT112" i="8"/>
  <c r="FA108" i="8"/>
  <c r="FT108" i="8"/>
  <c r="AT105" i="8"/>
  <c r="AT102" i="8"/>
  <c r="FA96" i="8"/>
  <c r="FT96" i="8"/>
  <c r="AV96" i="8"/>
  <c r="M94" i="8"/>
  <c r="M91" i="8"/>
  <c r="M89" i="8"/>
  <c r="FA84" i="8"/>
  <c r="FT84" i="8"/>
  <c r="AV84" i="8"/>
  <c r="M82" i="8"/>
  <c r="M79" i="8"/>
  <c r="M77" i="8"/>
  <c r="FA72" i="8"/>
  <c r="FT72" i="8"/>
  <c r="AV72" i="8"/>
  <c r="M70" i="8"/>
  <c r="M67" i="8"/>
  <c r="M65" i="8"/>
  <c r="FA60" i="8"/>
  <c r="FT60" i="8"/>
  <c r="AV60" i="8"/>
  <c r="M58" i="8"/>
  <c r="AT54" i="8"/>
  <c r="AT52" i="8"/>
  <c r="FA48" i="8"/>
  <c r="FT48" i="8"/>
  <c r="AT45" i="8"/>
  <c r="AT42" i="8"/>
  <c r="AT40" i="8"/>
  <c r="FA36" i="8"/>
  <c r="FT36" i="8"/>
  <c r="AT33" i="8"/>
  <c r="AT30" i="8"/>
  <c r="AT28" i="8"/>
  <c r="FA24" i="8"/>
  <c r="FT24" i="8"/>
  <c r="AT21" i="8"/>
  <c r="AT18" i="8"/>
  <c r="AT16" i="8"/>
  <c r="FA12" i="8"/>
  <c r="FT12" i="8"/>
  <c r="G36" i="2"/>
  <c r="E36" i="2"/>
  <c r="AV144" i="8"/>
  <c r="M144" i="8"/>
  <c r="AV143" i="8"/>
  <c r="M143" i="8"/>
  <c r="AV141" i="8"/>
  <c r="M141" i="8"/>
  <c r="M140" i="8"/>
  <c r="AV138" i="8"/>
  <c r="M138" i="8"/>
  <c r="AV133" i="8"/>
  <c r="M133" i="8"/>
  <c r="AV129" i="8"/>
  <c r="M129" i="8"/>
  <c r="AV128" i="8"/>
  <c r="M128" i="8"/>
  <c r="AV121" i="8"/>
  <c r="M121" i="8"/>
  <c r="AV119" i="8"/>
  <c r="M119" i="8"/>
  <c r="AV114" i="8"/>
  <c r="M114" i="8"/>
  <c r="AV112" i="8"/>
  <c r="M112" i="8"/>
  <c r="AV105" i="8"/>
  <c r="M105" i="8"/>
  <c r="AV104" i="8"/>
  <c r="M104" i="8"/>
  <c r="FJ104" i="8"/>
  <c r="AT99" i="8"/>
  <c r="AT98" i="8"/>
  <c r="AT91" i="8"/>
  <c r="AT89" i="8"/>
  <c r="AT84" i="8"/>
  <c r="AT82" i="8"/>
  <c r="AT75" i="8"/>
  <c r="AT74" i="8"/>
  <c r="AT67" i="8"/>
  <c r="AT65" i="8"/>
  <c r="AT60" i="8"/>
  <c r="AT58" i="8"/>
  <c r="AV49" i="8"/>
  <c r="M49" i="8"/>
  <c r="AV47" i="8"/>
  <c r="M47" i="8"/>
  <c r="AV42" i="8"/>
  <c r="M42" i="8"/>
  <c r="AV40" i="8"/>
  <c r="M40" i="8"/>
  <c r="AV33" i="8"/>
  <c r="M33" i="8"/>
  <c r="AV32" i="8"/>
  <c r="M32" i="8"/>
  <c r="AV25" i="8"/>
  <c r="M25" i="8"/>
  <c r="AV23" i="8"/>
  <c r="M23" i="8"/>
  <c r="AV18" i="8"/>
  <c r="M18" i="8"/>
  <c r="AV16" i="8"/>
  <c r="M16" i="8"/>
  <c r="R57" i="8"/>
  <c r="BW50" i="18" a="1"/>
  <c r="BW50" i="18"/>
  <c r="R61" i="8"/>
  <c r="BW54" i="18" a="1"/>
  <c r="BW54" i="18"/>
  <c r="R65" i="8"/>
  <c r="BW58" i="18" a="1"/>
  <c r="BW58" i="18"/>
  <c r="R69" i="8"/>
  <c r="BW62" i="18" a="1"/>
  <c r="BW62" i="18"/>
  <c r="R73" i="8"/>
  <c r="BW66" i="18" a="1"/>
  <c r="BW66" i="18"/>
  <c r="R77" i="8"/>
  <c r="BW70" i="18" a="1"/>
  <c r="BW70" i="18"/>
  <c r="R81" i="8"/>
  <c r="BW74" i="18" a="1"/>
  <c r="BW74" i="18"/>
  <c r="R85" i="8"/>
  <c r="BW78" i="18" a="1"/>
  <c r="BW78" i="18"/>
  <c r="R89" i="8"/>
  <c r="BW82" i="18" a="1"/>
  <c r="BW82" i="18"/>
  <c r="R93" i="8"/>
  <c r="BW86" i="18" a="1"/>
  <c r="BW86" i="18"/>
  <c r="R97" i="8"/>
  <c r="BW90" i="18" a="1"/>
  <c r="BW90" i="18"/>
  <c r="R58" i="8"/>
  <c r="BW51" i="18" a="1"/>
  <c r="BW51" i="18"/>
  <c r="R62" i="8"/>
  <c r="BW55" i="18" a="1"/>
  <c r="BW55" i="18"/>
  <c r="R66" i="8"/>
  <c r="BW59" i="18" a="1"/>
  <c r="BW59" i="18"/>
  <c r="R70" i="8"/>
  <c r="BW63" i="18" a="1"/>
  <c r="BW63" i="18"/>
  <c r="R74" i="8"/>
  <c r="BW67" i="18" a="1"/>
  <c r="BW67" i="18"/>
  <c r="R78" i="8"/>
  <c r="BW71" i="18" a="1"/>
  <c r="BW71" i="18"/>
  <c r="R82" i="8"/>
  <c r="BW75" i="18" a="1"/>
  <c r="BW75" i="18"/>
  <c r="R86" i="8"/>
  <c r="BW79" i="18" a="1"/>
  <c r="BW79" i="18"/>
  <c r="R90" i="8"/>
  <c r="BW83" i="18" a="1"/>
  <c r="BW83" i="18"/>
  <c r="R94" i="8"/>
  <c r="BW87" i="18" a="1"/>
  <c r="BW87" i="18"/>
  <c r="R98" i="8"/>
  <c r="BW91" i="18" a="1"/>
  <c r="BW91" i="18"/>
  <c r="R59" i="8"/>
  <c r="BW52" i="18" a="1"/>
  <c r="BW52" i="18"/>
  <c r="R63" i="8"/>
  <c r="BW56" i="18" a="1"/>
  <c r="BW56" i="18"/>
  <c r="R67" i="8"/>
  <c r="BW60" i="18" a="1"/>
  <c r="BW60" i="18"/>
  <c r="R71" i="8"/>
  <c r="BW64" i="18" a="1"/>
  <c r="BW64" i="18"/>
  <c r="R75" i="8"/>
  <c r="BW68" i="18" a="1"/>
  <c r="BW68" i="18"/>
  <c r="R79" i="8"/>
  <c r="BW72" i="18" a="1"/>
  <c r="BW72" i="18"/>
  <c r="R83" i="8"/>
  <c r="BW76" i="18" a="1"/>
  <c r="BW76" i="18"/>
  <c r="R87" i="8"/>
  <c r="BW80" i="18" a="1"/>
  <c r="BW80" i="18"/>
  <c r="R91" i="8"/>
  <c r="BW84" i="18" a="1"/>
  <c r="BW84" i="18"/>
  <c r="R95" i="8"/>
  <c r="BW88" i="18" a="1"/>
  <c r="BW88" i="18"/>
  <c r="R99" i="8"/>
  <c r="BW92" i="18" a="1"/>
  <c r="BW92" i="18"/>
  <c r="R56" i="8"/>
  <c r="BW49" i="18" a="1"/>
  <c r="BW49" i="18"/>
  <c r="R60" i="8"/>
  <c r="BW53" i="18" a="1"/>
  <c r="BW53" i="18"/>
  <c r="R64" i="8"/>
  <c r="BW57" i="18" a="1"/>
  <c r="BW57" i="18"/>
  <c r="R68" i="8"/>
  <c r="BW61" i="18" a="1"/>
  <c r="BW61" i="18"/>
  <c r="R72" i="8"/>
  <c r="BW65" i="18" a="1"/>
  <c r="BW65" i="18"/>
  <c r="R76" i="8"/>
  <c r="BW69" i="18" a="1"/>
  <c r="BW69" i="18"/>
  <c r="R80" i="8"/>
  <c r="BW73" i="18" a="1"/>
  <c r="BW73" i="18"/>
  <c r="R84" i="8"/>
  <c r="BW77" i="18" a="1"/>
  <c r="BW77" i="18"/>
  <c r="R88" i="8"/>
  <c r="BW81" i="18" a="1"/>
  <c r="BW81" i="18"/>
  <c r="R92" i="8"/>
  <c r="BW85" i="18" a="1"/>
  <c r="BW85" i="18"/>
  <c r="R96" i="8"/>
  <c r="BW89" i="18" a="1"/>
  <c r="BW89" i="18"/>
  <c r="R100" i="8"/>
  <c r="BW93" i="18" a="1"/>
  <c r="BW93" i="18"/>
  <c r="AV145" i="8"/>
  <c r="M145" i="8"/>
  <c r="AV142" i="8"/>
  <c r="M142" i="8"/>
  <c r="AV139" i="8"/>
  <c r="M139" i="8"/>
  <c r="AV134" i="8"/>
  <c r="M134" i="8"/>
  <c r="AV132" i="8"/>
  <c r="M132" i="8"/>
  <c r="AV131" i="8"/>
  <c r="M131" i="8"/>
  <c r="AV126" i="8"/>
  <c r="M126" i="8"/>
  <c r="AV124" i="8"/>
  <c r="M124" i="8"/>
  <c r="AV117" i="8"/>
  <c r="M117" i="8"/>
  <c r="AV116" i="8"/>
  <c r="M116" i="8"/>
  <c r="AV109" i="8"/>
  <c r="M109" i="8"/>
  <c r="AV107" i="8"/>
  <c r="M107" i="8"/>
  <c r="AT96" i="8"/>
  <c r="AT94" i="8"/>
  <c r="AT87" i="8"/>
  <c r="AT86" i="8"/>
  <c r="AT79" i="8"/>
  <c r="AT77" i="8"/>
  <c r="AT72" i="8"/>
  <c r="AT70" i="8"/>
  <c r="AT63" i="8"/>
  <c r="AV54" i="8"/>
  <c r="M54" i="8"/>
  <c r="AV52" i="8"/>
  <c r="M52" i="8"/>
  <c r="AV45" i="8"/>
  <c r="M45" i="8"/>
  <c r="AV44" i="8"/>
  <c r="M44" i="8"/>
  <c r="AV37" i="8"/>
  <c r="M37" i="8"/>
  <c r="AV35" i="8"/>
  <c r="M35" i="8"/>
  <c r="AV30" i="8"/>
  <c r="M30" i="8"/>
  <c r="AV28" i="8"/>
  <c r="M28" i="8"/>
  <c r="AV21" i="8"/>
  <c r="M21" i="8"/>
  <c r="AV20" i="8"/>
  <c r="M20" i="8"/>
  <c r="AV13" i="8"/>
  <c r="M13" i="8"/>
  <c r="J90" i="8"/>
  <c r="J97" i="8"/>
  <c r="J92" i="8"/>
  <c r="J59" i="8"/>
  <c r="J14" i="8"/>
  <c r="J18" i="8"/>
  <c r="J20" i="8"/>
  <c r="J24" i="8"/>
  <c r="J28" i="8"/>
  <c r="J32" i="8"/>
  <c r="J34" i="8"/>
  <c r="J37" i="8"/>
  <c r="J44" i="8"/>
  <c r="J53" i="8"/>
  <c r="J102" i="8"/>
  <c r="J143" i="8"/>
  <c r="J135" i="8"/>
  <c r="J58" i="8"/>
  <c r="J85" i="8"/>
  <c r="J72" i="8"/>
  <c r="J136" i="8"/>
  <c r="J73" i="8"/>
  <c r="J100" i="8"/>
  <c r="J12" i="8"/>
  <c r="J16" i="8"/>
  <c r="J19" i="8"/>
  <c r="J22" i="8"/>
  <c r="J26" i="8"/>
  <c r="J30" i="8"/>
  <c r="J33" i="8"/>
  <c r="J35" i="8"/>
  <c r="J39" i="8"/>
  <c r="J42" i="8"/>
  <c r="J46" i="8"/>
  <c r="J51" i="8"/>
  <c r="J66" i="8"/>
  <c r="J61" i="8"/>
  <c r="BH61" i="8"/>
  <c r="BH19" i="8"/>
  <c r="I135" i="8"/>
  <c r="I91" i="8"/>
  <c r="I93" i="8"/>
  <c r="I43" i="8"/>
  <c r="N127" i="8"/>
  <c r="I132" i="8"/>
  <c r="I97" i="8"/>
  <c r="I100" i="8"/>
  <c r="N124" i="8"/>
  <c r="I98" i="8"/>
  <c r="I99" i="8"/>
  <c r="N85" i="8"/>
  <c r="N77" i="8"/>
  <c r="I52" i="8"/>
  <c r="I46" i="8"/>
  <c r="I139" i="8"/>
  <c r="I53" i="8"/>
  <c r="N116" i="8"/>
  <c r="N35" i="8"/>
  <c r="N36" i="8"/>
  <c r="I134" i="8"/>
  <c r="I136" i="8"/>
  <c r="O136" i="8"/>
  <c r="I92" i="8"/>
  <c r="I137" i="8"/>
  <c r="I89" i="8"/>
  <c r="I120" i="8"/>
  <c r="K64" i="8"/>
  <c r="K86" i="8"/>
  <c r="N62" i="8"/>
  <c r="K44" i="8"/>
  <c r="K52" i="8"/>
  <c r="N13" i="8"/>
  <c r="K47" i="8"/>
  <c r="K137" i="8"/>
  <c r="N111" i="8"/>
  <c r="N21" i="8"/>
  <c r="N101" i="8"/>
  <c r="K94" i="8"/>
  <c r="I68" i="8"/>
  <c r="N70" i="8"/>
  <c r="N14" i="8"/>
  <c r="N110" i="8"/>
  <c r="I71" i="8"/>
  <c r="N19" i="8"/>
  <c r="N66" i="8"/>
  <c r="I78" i="8"/>
  <c r="N102" i="8"/>
  <c r="N64" i="8"/>
  <c r="I127" i="8"/>
  <c r="N115" i="8"/>
  <c r="I101" i="8"/>
  <c r="I59" i="8"/>
  <c r="K136" i="8"/>
  <c r="N103" i="8"/>
  <c r="K49" i="8"/>
  <c r="K134" i="8"/>
  <c r="N17" i="8"/>
  <c r="I35" i="8"/>
  <c r="I72" i="8"/>
  <c r="K24" i="8"/>
  <c r="K119" i="8"/>
  <c r="I81" i="8"/>
  <c r="N56" i="8"/>
  <c r="N22" i="8"/>
  <c r="N105" i="8"/>
  <c r="N61" i="8"/>
  <c r="I26" i="8"/>
  <c r="N12" i="8"/>
  <c r="K97" i="8"/>
  <c r="K77" i="8"/>
  <c r="N114" i="8"/>
  <c r="N20" i="8"/>
  <c r="N23" i="8"/>
  <c r="N25" i="8"/>
  <c r="K48" i="8"/>
  <c r="BH84" i="8"/>
  <c r="BH129" i="8"/>
  <c r="BJ79" i="8"/>
  <c r="BJ107" i="8"/>
  <c r="I18" i="8"/>
  <c r="K75" i="8"/>
  <c r="K85" i="8"/>
  <c r="BJ17" i="8"/>
  <c r="CH26" i="8"/>
  <c r="CH38" i="8"/>
  <c r="CH82" i="8"/>
  <c r="CH126" i="8"/>
  <c r="CH35" i="8"/>
  <c r="CH83" i="8"/>
  <c r="CH127" i="8"/>
  <c r="CH32" i="8"/>
  <c r="CH76" i="8"/>
  <c r="CH120" i="8"/>
  <c r="CH75" i="8"/>
  <c r="CH119" i="8"/>
  <c r="CH40" i="8"/>
  <c r="CH84" i="8"/>
  <c r="CH128" i="8"/>
  <c r="CH29" i="8"/>
  <c r="CH33" i="8"/>
  <c r="CH37" i="8"/>
  <c r="CH73" i="8"/>
  <c r="CH77" i="8"/>
  <c r="CH81" i="8"/>
  <c r="CH85" i="8"/>
  <c r="CH117" i="8"/>
  <c r="CH121" i="8"/>
  <c r="CH125" i="8"/>
  <c r="CH129" i="8"/>
  <c r="CH30" i="8"/>
  <c r="CH34" i="8"/>
  <c r="CH74" i="8"/>
  <c r="CH78" i="8"/>
  <c r="CH118" i="8"/>
  <c r="CH122" i="8"/>
  <c r="CH130" i="8"/>
  <c r="CH27" i="8"/>
  <c r="CH31" i="8"/>
  <c r="CH39" i="8"/>
  <c r="CH71" i="8"/>
  <c r="CH79" i="8"/>
  <c r="CH123" i="8"/>
  <c r="CH28" i="8"/>
  <c r="CH36" i="8"/>
  <c r="CH72" i="8"/>
  <c r="CH80" i="8"/>
  <c r="CH116" i="8"/>
  <c r="CH124" i="8"/>
  <c r="K132" i="8"/>
  <c r="N58" i="8"/>
  <c r="N24" i="8"/>
  <c r="N57" i="8"/>
  <c r="N107" i="8"/>
  <c r="K90" i="8"/>
  <c r="N63" i="8"/>
  <c r="I38" i="8"/>
  <c r="N15" i="8"/>
  <c r="N108" i="8"/>
  <c r="K117" i="8"/>
  <c r="K98" i="8"/>
  <c r="N113" i="8"/>
  <c r="K12" i="8"/>
  <c r="K39" i="8"/>
  <c r="K45" i="8"/>
  <c r="N65" i="8"/>
  <c r="BJ16" i="8"/>
  <c r="BH76" i="8"/>
  <c r="BJ22" i="8"/>
  <c r="BJ62" i="8"/>
  <c r="CH46" i="8"/>
  <c r="CH94" i="8"/>
  <c r="CH138" i="8"/>
  <c r="CH51" i="8"/>
  <c r="CH95" i="8"/>
  <c r="CH143" i="8"/>
  <c r="CH48" i="8"/>
  <c r="CH92" i="8"/>
  <c r="CH136" i="8"/>
  <c r="CH43" i="8"/>
  <c r="CH87" i="8"/>
  <c r="CH135" i="8"/>
  <c r="CH100" i="8"/>
  <c r="CH144" i="8"/>
  <c r="CH41" i="8"/>
  <c r="CH45" i="8"/>
  <c r="CH49" i="8"/>
  <c r="CH53" i="8"/>
  <c r="CH89" i="8"/>
  <c r="CH93" i="8"/>
  <c r="CH97" i="8"/>
  <c r="CH133" i="8"/>
  <c r="CH137" i="8"/>
  <c r="CH141" i="8"/>
  <c r="CH145" i="8"/>
  <c r="CH42" i="8"/>
  <c r="CH50" i="8"/>
  <c r="CH54" i="8"/>
  <c r="CH86" i="8"/>
  <c r="CH90" i="8"/>
  <c r="CH98" i="8"/>
  <c r="CH134" i="8"/>
  <c r="CH142" i="8"/>
  <c r="CH47" i="8"/>
  <c r="CH55" i="8"/>
  <c r="CH91" i="8"/>
  <c r="CH99" i="8"/>
  <c r="CH131" i="8"/>
  <c r="CH139" i="8"/>
  <c r="CH44" i="8"/>
  <c r="CH52" i="8"/>
  <c r="CH88" i="8"/>
  <c r="CH96" i="8"/>
  <c r="CH132" i="8"/>
  <c r="CH140" i="8"/>
  <c r="FC51" i="1"/>
  <c r="EY51" i="1"/>
  <c r="F1" i="17" a="1"/>
  <c r="F1" i="17"/>
  <c r="H1" i="17" a="1"/>
  <c r="H1" i="17"/>
  <c r="J1" i="17" a="1"/>
  <c r="J1" i="17"/>
  <c r="L1" i="17" a="1"/>
  <c r="L1" i="17"/>
  <c r="N1" i="17" a="1"/>
  <c r="N1" i="17"/>
  <c r="P1" i="17" a="1"/>
  <c r="P1" i="17"/>
  <c r="R1" i="17" a="1"/>
  <c r="R1" i="17"/>
  <c r="T1" i="17" a="1"/>
  <c r="T1" i="17"/>
  <c r="V1" i="17" a="1"/>
  <c r="V1" i="17"/>
  <c r="X1" i="17" a="1"/>
  <c r="X1" i="17"/>
  <c r="Z1" i="17" a="1"/>
  <c r="Z1" i="17"/>
  <c r="AB1" i="17" a="1"/>
  <c r="AB1" i="17"/>
  <c r="AD1" i="17" a="1"/>
  <c r="AD1" i="17"/>
  <c r="AF1" i="17" a="1"/>
  <c r="AF1" i="17"/>
  <c r="AH1" i="17" a="1"/>
  <c r="AH1" i="17"/>
  <c r="E1" i="17" a="1"/>
  <c r="E1" i="17"/>
  <c r="G1" i="17" a="1"/>
  <c r="G1" i="17"/>
  <c r="I1" i="17" a="1"/>
  <c r="I1" i="17"/>
  <c r="K1" i="17" a="1"/>
  <c r="K1" i="17"/>
  <c r="M1" i="17" a="1"/>
  <c r="M1" i="17"/>
  <c r="O1" i="17" a="1"/>
  <c r="O1" i="17"/>
  <c r="Q1" i="17" a="1"/>
  <c r="Q1" i="17"/>
  <c r="S1" i="17" a="1"/>
  <c r="S1" i="17"/>
  <c r="U1" i="17" a="1"/>
  <c r="U1" i="17"/>
  <c r="W1" i="17" a="1"/>
  <c r="W1" i="17"/>
  <c r="Y1" i="17" a="1"/>
  <c r="Y1" i="17"/>
  <c r="AA1" i="17" a="1"/>
  <c r="AA1" i="17"/>
  <c r="AC1" i="17" a="1"/>
  <c r="AC1" i="17"/>
  <c r="AE1" i="17" a="1"/>
  <c r="AE1" i="17"/>
  <c r="AG1" i="17" a="1"/>
  <c r="AG1" i="17"/>
  <c r="D1" i="17" a="1"/>
  <c r="D1" i="17"/>
  <c r="F2" i="17"/>
  <c r="J2" i="17"/>
  <c r="N2" i="17"/>
  <c r="R2" i="17"/>
  <c r="V2" i="17"/>
  <c r="Z2" i="17"/>
  <c r="AD2" i="17"/>
  <c r="AH2" i="17"/>
  <c r="H2" i="17"/>
  <c r="L2" i="17"/>
  <c r="P2" i="17"/>
  <c r="T2" i="17"/>
  <c r="X2" i="17"/>
  <c r="AB2" i="17"/>
  <c r="AF2" i="17"/>
  <c r="E2" i="17"/>
  <c r="M2" i="17"/>
  <c r="U2" i="17"/>
  <c r="AC2" i="17"/>
  <c r="G2" i="17"/>
  <c r="O2" i="17"/>
  <c r="W2" i="17"/>
  <c r="AE2" i="17"/>
  <c r="I2" i="17"/>
  <c r="Y2" i="17"/>
  <c r="K2" i="17"/>
  <c r="AA2" i="17"/>
  <c r="Q2" i="17"/>
  <c r="S2" i="17"/>
  <c r="D2" i="17"/>
  <c r="AG2" i="17"/>
  <c r="DK51" i="1"/>
  <c r="J89" i="8"/>
  <c r="J83" i="8"/>
  <c r="J67" i="8"/>
  <c r="J70" i="8"/>
  <c r="J60" i="8"/>
  <c r="J82" i="8"/>
  <c r="J99" i="8"/>
  <c r="J76" i="8"/>
  <c r="J56" i="8"/>
  <c r="J57" i="8"/>
  <c r="J77" i="8"/>
  <c r="AW143" i="8"/>
  <c r="AW131" i="8"/>
  <c r="AW125" i="8"/>
  <c r="AW119" i="8"/>
  <c r="AW113" i="8"/>
  <c r="AW107" i="8"/>
  <c r="AW101" i="8"/>
  <c r="AW95" i="8"/>
  <c r="AW89" i="8"/>
  <c r="AW83" i="8"/>
  <c r="AW77" i="8"/>
  <c r="AW71" i="8"/>
  <c r="AW65" i="8"/>
  <c r="AW59" i="8"/>
  <c r="AW53" i="8"/>
  <c r="AW47" i="8"/>
  <c r="AW41" i="8"/>
  <c r="AW35" i="8"/>
  <c r="AW29" i="8"/>
  <c r="AW23" i="8"/>
  <c r="AW17" i="8"/>
  <c r="AW11" i="8"/>
  <c r="AY11" i="8"/>
  <c r="AC129" i="8"/>
  <c r="AC25" i="8"/>
  <c r="AC17" i="8"/>
  <c r="BU70" i="18" a="1"/>
  <c r="BU70" i="18"/>
  <c r="BU14" i="18" a="1"/>
  <c r="BU14" i="18"/>
  <c r="BU106" i="18" a="1"/>
  <c r="BU106" i="18"/>
  <c r="BU42" i="18" a="1"/>
  <c r="BU42" i="18"/>
  <c r="CG109" i="8"/>
  <c r="CG57" i="8"/>
  <c r="CG13" i="8"/>
  <c r="AC121" i="8"/>
  <c r="AC29" i="8"/>
  <c r="AC33" i="8"/>
  <c r="AC81" i="8"/>
  <c r="BU116" i="18" a="1"/>
  <c r="BU116" i="18"/>
  <c r="BU76" i="18" a="1"/>
  <c r="BU76" i="18"/>
  <c r="CG89" i="8"/>
  <c r="CG129" i="8"/>
  <c r="BU78" i="18" a="1"/>
  <c r="BU78" i="18"/>
  <c r="BU22" i="18" a="1"/>
  <c r="BU22" i="18"/>
  <c r="CG123" i="8"/>
  <c r="CG81" i="8"/>
  <c r="CG19" i="8"/>
  <c r="CG103" i="8"/>
  <c r="BU50" i="18" a="1"/>
  <c r="BU50" i="18"/>
  <c r="CG104" i="8"/>
  <c r="CG51" i="8"/>
  <c r="CG79" i="8"/>
  <c r="CG49" i="8"/>
  <c r="CG23" i="8"/>
  <c r="BU73" i="18" a="1"/>
  <c r="BU73" i="18"/>
  <c r="BU26" i="18" a="1"/>
  <c r="BU26" i="18"/>
  <c r="CG125" i="8"/>
  <c r="BU94" i="18" a="1"/>
  <c r="BU94" i="18"/>
  <c r="BU54" i="18" a="1"/>
  <c r="BU54" i="18"/>
  <c r="BU6" i="18" a="1"/>
  <c r="BU6" i="18"/>
  <c r="BU46" i="18" a="1"/>
  <c r="BU46" i="18"/>
  <c r="CG33" i="8"/>
  <c r="CG69" i="8"/>
  <c r="BU18" i="18" a="1"/>
  <c r="BU18" i="18"/>
  <c r="CG113" i="8"/>
  <c r="CG61" i="8"/>
  <c r="CG65" i="8"/>
  <c r="CG37" i="8"/>
  <c r="BU90" i="18" a="1"/>
  <c r="BU90" i="18"/>
  <c r="BU122" i="18" a="1"/>
  <c r="BU122" i="18"/>
  <c r="BU82" i="18" a="1"/>
  <c r="BU82" i="18"/>
  <c r="T129" i="8"/>
  <c r="BM122" i="18" a="1"/>
  <c r="BM122" i="18"/>
  <c r="T125" i="8"/>
  <c r="BM118" i="18" a="1"/>
  <c r="BM118" i="18"/>
  <c r="Y121" i="8"/>
  <c r="BT114" i="18" a="1"/>
  <c r="BT114" i="18"/>
  <c r="X117" i="8"/>
  <c r="BS110" i="18" a="1"/>
  <c r="BS110" i="18"/>
  <c r="W113" i="8"/>
  <c r="BR106" i="18" a="1"/>
  <c r="BR106" i="18"/>
  <c r="W109" i="8"/>
  <c r="BR102" i="18" a="1"/>
  <c r="BR102" i="18"/>
  <c r="V105" i="8"/>
  <c r="BO98" i="18" a="1"/>
  <c r="BO98" i="18"/>
  <c r="S101" i="8"/>
  <c r="BL94" i="18" a="1"/>
  <c r="BL94" i="18"/>
  <c r="U97" i="8"/>
  <c r="BN90" i="18" a="1"/>
  <c r="BN90" i="18"/>
  <c r="V93" i="8"/>
  <c r="BO86" i="18" a="1"/>
  <c r="BO86" i="18"/>
  <c r="S89" i="8"/>
  <c r="BL82" i="18" a="1"/>
  <c r="BL82" i="18"/>
  <c r="T81" i="8"/>
  <c r="BM74" i="18" a="1"/>
  <c r="BM74" i="18"/>
  <c r="T77" i="8"/>
  <c r="BM70" i="18" a="1"/>
  <c r="BM70" i="18"/>
  <c r="Y73" i="8"/>
  <c r="BT66" i="18" a="1"/>
  <c r="BT66" i="18"/>
  <c r="U69" i="8"/>
  <c r="BN62" i="18" a="1"/>
  <c r="BN62" i="18"/>
  <c r="X53" i="8"/>
  <c r="BS46" i="18" a="1"/>
  <c r="BS46" i="18"/>
  <c r="S49" i="8"/>
  <c r="BL42" i="18" a="1"/>
  <c r="BL42" i="18"/>
  <c r="X45" i="8"/>
  <c r="BS38" i="18" a="1"/>
  <c r="BS38" i="18"/>
  <c r="AC37" i="8"/>
  <c r="AC13" i="8"/>
  <c r="AC45" i="8"/>
  <c r="CG97" i="8"/>
  <c r="BU110" i="18" a="1"/>
  <c r="BU110" i="18"/>
  <c r="CG117" i="8"/>
  <c r="AC64" i="8"/>
  <c r="BU25" i="18" a="1"/>
  <c r="BU25" i="18"/>
  <c r="CG108" i="8"/>
  <c r="CG84" i="8"/>
  <c r="BU49" i="18" a="1"/>
  <c r="BU49" i="18"/>
  <c r="BU85" i="18" a="1"/>
  <c r="BU85" i="18"/>
  <c r="AC84" i="8"/>
  <c r="CG52" i="8"/>
  <c r="CG24" i="8"/>
  <c r="BU53" i="18" a="1"/>
  <c r="BU53" i="18"/>
  <c r="BX138" i="18" a="1"/>
  <c r="BX138" i="18"/>
  <c r="BU29" i="18" a="1"/>
  <c r="BU29" i="18"/>
  <c r="CG72" i="8"/>
  <c r="CG28" i="8"/>
  <c r="BU121" i="18" a="1"/>
  <c r="BU121" i="18"/>
  <c r="CG100" i="8"/>
  <c r="AC12" i="8"/>
  <c r="BU61" i="18" a="1"/>
  <c r="BU61" i="18"/>
  <c r="FU141" i="8"/>
  <c r="BY130" i="18" a="1"/>
  <c r="BY130" i="18"/>
  <c r="FV129" i="8"/>
  <c r="BP118" i="18" a="1"/>
  <c r="BP118" i="18"/>
  <c r="AC60" i="8"/>
  <c r="AC143" i="8"/>
  <c r="AC87" i="8"/>
  <c r="AC19" i="8"/>
  <c r="BU12" i="18" a="1"/>
  <c r="BU12" i="18"/>
  <c r="CG137" i="8"/>
  <c r="CG41" i="8"/>
  <c r="BU64" i="18" a="1"/>
  <c r="BU64" i="18"/>
  <c r="CG132" i="8"/>
  <c r="BU102" i="18" a="1"/>
  <c r="BU102" i="18"/>
  <c r="BU62" i="18" a="1"/>
  <c r="BU62" i="18"/>
  <c r="BU89" i="18" a="1"/>
  <c r="BU89" i="18"/>
  <c r="BU30" i="18" a="1"/>
  <c r="BU30" i="18"/>
  <c r="CG133" i="8"/>
  <c r="CG45" i="8"/>
  <c r="CG29" i="8"/>
  <c r="CG144" i="8"/>
  <c r="CG121" i="8"/>
  <c r="BU98" i="18" a="1"/>
  <c r="BU98" i="18"/>
  <c r="BU66" i="18" a="1"/>
  <c r="BU66" i="18"/>
  <c r="CG105" i="8"/>
  <c r="CG73" i="8"/>
  <c r="CG55" i="8"/>
  <c r="CG21" i="8"/>
  <c r="CG77" i="8"/>
  <c r="CG53" i="8"/>
  <c r="BU118" i="18" a="1"/>
  <c r="BU118" i="18"/>
  <c r="BU104" i="18" a="1"/>
  <c r="BU104" i="18"/>
  <c r="BU88" i="18" a="1"/>
  <c r="BU88" i="18"/>
  <c r="BU24" i="18" a="1"/>
  <c r="BU24" i="18"/>
  <c r="S13" i="8"/>
  <c r="BL6" i="18" a="1"/>
  <c r="BL6" i="18"/>
  <c r="FX145" i="8"/>
  <c r="FU121" i="8"/>
  <c r="FU117" i="8"/>
  <c r="FU113" i="8"/>
  <c r="FD142" i="8"/>
  <c r="BP135" i="18" a="1"/>
  <c r="BP135" i="18"/>
  <c r="FW142" i="8"/>
  <c r="BP127" i="18" a="1"/>
  <c r="BP127" i="18"/>
  <c r="FD134" i="8"/>
  <c r="CG134" i="8"/>
  <c r="CE123" i="18" a="1"/>
  <c r="CE123" i="18"/>
  <c r="FD130" i="8"/>
  <c r="FD122" i="8"/>
  <c r="CG122" i="8"/>
  <c r="BU115" i="18" a="1"/>
  <c r="BU115" i="18"/>
  <c r="FD118" i="8"/>
  <c r="FD110" i="8"/>
  <c r="BU103" i="18" a="1"/>
  <c r="BU103" i="18"/>
  <c r="FD106" i="8"/>
  <c r="BU99" i="18" a="1"/>
  <c r="BU99" i="18"/>
  <c r="FD98" i="8"/>
  <c r="CG98" i="8"/>
  <c r="FD94" i="8"/>
  <c r="CG94" i="8"/>
  <c r="BU87" i="18" a="1"/>
  <c r="BU87" i="18"/>
  <c r="FD86" i="8"/>
  <c r="FD82" i="8"/>
  <c r="BU75" i="18" a="1"/>
  <c r="BU75" i="18"/>
  <c r="CG82" i="8"/>
  <c r="FD74" i="8"/>
  <c r="BU67" i="18" a="1"/>
  <c r="BU67" i="18"/>
  <c r="CG74" i="8"/>
  <c r="FD66" i="8"/>
  <c r="CG66" i="8"/>
  <c r="AC66" i="8"/>
  <c r="FD62" i="8"/>
  <c r="BU55" i="18" a="1"/>
  <c r="BU55" i="18"/>
  <c r="CG62" i="8"/>
  <c r="FD54" i="8"/>
  <c r="FD50" i="8"/>
  <c r="BU43" i="18" a="1"/>
  <c r="BU43" i="18"/>
  <c r="CG50" i="8"/>
  <c r="FD42" i="8"/>
  <c r="CG42" i="8"/>
  <c r="FD38" i="8"/>
  <c r="FD30" i="8"/>
  <c r="CG30" i="8"/>
  <c r="FD26" i="8"/>
  <c r="BU19" i="18" a="1"/>
  <c r="BU19" i="18"/>
  <c r="FD18" i="8"/>
  <c r="FD14" i="8"/>
  <c r="BU7" i="18" a="1"/>
  <c r="BU7" i="18"/>
  <c r="CG14" i="8"/>
  <c r="AC22" i="8"/>
  <c r="AC94" i="8"/>
  <c r="BU79" i="18" a="1"/>
  <c r="BU79" i="18"/>
  <c r="BU47" i="18" a="1"/>
  <c r="BU47" i="18"/>
  <c r="AC110" i="8"/>
  <c r="AC134" i="8"/>
  <c r="CG11" i="8"/>
  <c r="EA51" i="1"/>
  <c r="FD138" i="8"/>
  <c r="FW138" i="8"/>
  <c r="CG138" i="8"/>
  <c r="AC138" i="8"/>
  <c r="CE119" i="18" a="1"/>
  <c r="CE119" i="18"/>
  <c r="FD126" i="8"/>
  <c r="BU119" i="18" a="1"/>
  <c r="BU119" i="18"/>
  <c r="FD114" i="8"/>
  <c r="CG114" i="8"/>
  <c r="FD102" i="8"/>
  <c r="FD90" i="8"/>
  <c r="FD78" i="8"/>
  <c r="BU71" i="18" a="1"/>
  <c r="BU71" i="18"/>
  <c r="CG78" i="8"/>
  <c r="FD70" i="8"/>
  <c r="CG70" i="8"/>
  <c r="FD58" i="8"/>
  <c r="BU51" i="18" a="1"/>
  <c r="BU51" i="18"/>
  <c r="CG58" i="8"/>
  <c r="FD46" i="8"/>
  <c r="BU39" i="18" a="1"/>
  <c r="BU39" i="18"/>
  <c r="AC46" i="8"/>
  <c r="FD34" i="8"/>
  <c r="CG34" i="8"/>
  <c r="FD22" i="8"/>
  <c r="BU15" i="18" a="1"/>
  <c r="BU15" i="18"/>
  <c r="AC90" i="8"/>
  <c r="AC74" i="8"/>
  <c r="BU63" i="18" a="1"/>
  <c r="BU63" i="18"/>
  <c r="BU31" i="18" a="1"/>
  <c r="BU31" i="18"/>
  <c r="CG18" i="8"/>
  <c r="CG54" i="8"/>
  <c r="BP131" i="18" a="1"/>
  <c r="BP131" i="18"/>
  <c r="BY137" i="18" a="1"/>
  <c r="BY137" i="18"/>
  <c r="FD144" i="8"/>
  <c r="BY133" i="18" a="1"/>
  <c r="BY133" i="18"/>
  <c r="FD140" i="8"/>
  <c r="BY129" i="18" a="1"/>
  <c r="BY129" i="18"/>
  <c r="FD136" i="8"/>
  <c r="CE121" i="18" a="1"/>
  <c r="CE121" i="18"/>
  <c r="FD128" i="8"/>
  <c r="CE117" i="18" a="1"/>
  <c r="CE117" i="18"/>
  <c r="FD124" i="8"/>
  <c r="FD116" i="8"/>
  <c r="FD112" i="8"/>
  <c r="FD104" i="8"/>
  <c r="FD100" i="8"/>
  <c r="FD92" i="8"/>
  <c r="FD88" i="8"/>
  <c r="FD80" i="8"/>
  <c r="FD76" i="8"/>
  <c r="FD68" i="8"/>
  <c r="FD64" i="8"/>
  <c r="FD56" i="8"/>
  <c r="FD52" i="8"/>
  <c r="FD44" i="8"/>
  <c r="FD40" i="8"/>
  <c r="FD32" i="8"/>
  <c r="FD28" i="8"/>
  <c r="FD20" i="8"/>
  <c r="FD16" i="8"/>
  <c r="FD12" i="8"/>
  <c r="AC28" i="8"/>
  <c r="BU5" i="18" a="1"/>
  <c r="BU5" i="18"/>
  <c r="BU37" i="18" a="1"/>
  <c r="BU37" i="18"/>
  <c r="CG136" i="8"/>
  <c r="CG44" i="8"/>
  <c r="CG20" i="8"/>
  <c r="BU113" i="18" a="1"/>
  <c r="BU113" i="18"/>
  <c r="BU57" i="18" a="1"/>
  <c r="BU57" i="18"/>
  <c r="CG141" i="8"/>
  <c r="CG124" i="8"/>
  <c r="CG40" i="8"/>
  <c r="BU93" i="18" a="1"/>
  <c r="BU93" i="18"/>
  <c r="BU81" i="18" a="1"/>
  <c r="BU81" i="18"/>
  <c r="BU105" i="18" a="1"/>
  <c r="BU105" i="18"/>
  <c r="BU114" i="18" a="1"/>
  <c r="BU114" i="18"/>
  <c r="BY138" i="18" a="1"/>
  <c r="BY138" i="18"/>
  <c r="FX141" i="8"/>
  <c r="BX134" i="18" a="1"/>
  <c r="BX134" i="18"/>
  <c r="FU137" i="8"/>
  <c r="FW136" i="8"/>
  <c r="FU133" i="8"/>
  <c r="FW129" i="8"/>
  <c r="CE122" i="18" a="1"/>
  <c r="CE122" i="18"/>
  <c r="FV125" i="8"/>
  <c r="FU109" i="8"/>
  <c r="FW105" i="8"/>
  <c r="FW101" i="8"/>
  <c r="FD101" i="8"/>
  <c r="FU145" i="8"/>
  <c r="FW140" i="8"/>
  <c r="BX130" i="18" a="1"/>
  <c r="BX130" i="18"/>
  <c r="BP129" i="18" a="1"/>
  <c r="BP129" i="18"/>
  <c r="BY126" i="18" a="1"/>
  <c r="BY126" i="18"/>
  <c r="CE118" i="18" a="1"/>
  <c r="CE118" i="18"/>
  <c r="BY125" i="18" a="1"/>
  <c r="BY125" i="18"/>
  <c r="FD132" i="8"/>
  <c r="FD120" i="8"/>
  <c r="FD108" i="8"/>
  <c r="FD96" i="8"/>
  <c r="FD84" i="8"/>
  <c r="FD72" i="8"/>
  <c r="FD60" i="8"/>
  <c r="FD48" i="8"/>
  <c r="FD36" i="8"/>
  <c r="FD24" i="8"/>
  <c r="GE10" i="8"/>
  <c r="AB21" i="1"/>
  <c r="FW144" i="8"/>
  <c r="BY134" i="18" a="1"/>
  <c r="BY134" i="18"/>
  <c r="BP133" i="18" a="1"/>
  <c r="BP133" i="18"/>
  <c r="FX137" i="8"/>
  <c r="FX133" i="8"/>
  <c r="BX126" i="18" a="1"/>
  <c r="BX126" i="18"/>
  <c r="BP122" i="18" a="1"/>
  <c r="BP122" i="18"/>
  <c r="FW125" i="8"/>
  <c r="FA11" i="8"/>
  <c r="FT11" i="8"/>
  <c r="FA23" i="8"/>
  <c r="FT23" i="8"/>
  <c r="FA35" i="8"/>
  <c r="FT35" i="8"/>
  <c r="FA47" i="8"/>
  <c r="FT47" i="8"/>
  <c r="FA59" i="8"/>
  <c r="FT59" i="8"/>
  <c r="FA71" i="8"/>
  <c r="FT71" i="8"/>
  <c r="FA83" i="8"/>
  <c r="FT83" i="8"/>
  <c r="FA95" i="8"/>
  <c r="FT95" i="8"/>
  <c r="FA113" i="8"/>
  <c r="FT113" i="8"/>
  <c r="FA116" i="8"/>
  <c r="FT116" i="8"/>
  <c r="FA119" i="8"/>
  <c r="FT119" i="8"/>
  <c r="FA122" i="8"/>
  <c r="FT122" i="8"/>
  <c r="FA140" i="8"/>
  <c r="FT140" i="8"/>
  <c r="FA20" i="8"/>
  <c r="FT20" i="8"/>
  <c r="FA32" i="8"/>
  <c r="FT32" i="8"/>
  <c r="FA44" i="8"/>
  <c r="FT44" i="8"/>
  <c r="FA56" i="8"/>
  <c r="FT56" i="8"/>
  <c r="FA68" i="8"/>
  <c r="FT68" i="8"/>
  <c r="FA80" i="8"/>
  <c r="FT80" i="8"/>
  <c r="FA92" i="8"/>
  <c r="FT92" i="8"/>
  <c r="FA104" i="8"/>
  <c r="FT104" i="8"/>
  <c r="FA107" i="8"/>
  <c r="FT107" i="8"/>
  <c r="FA110" i="8"/>
  <c r="FT110" i="8"/>
  <c r="FA125" i="8"/>
  <c r="FT125" i="8"/>
  <c r="FA131" i="8"/>
  <c r="FT131" i="8"/>
  <c r="FA137" i="8"/>
  <c r="FT137" i="8"/>
  <c r="FA143" i="8"/>
  <c r="FT143" i="8"/>
  <c r="FA17" i="8"/>
  <c r="FT17" i="8"/>
  <c r="FA29" i="8"/>
  <c r="FT29" i="8"/>
  <c r="FA41" i="8"/>
  <c r="FT41" i="8"/>
  <c r="FA53" i="8"/>
  <c r="FT53" i="8"/>
  <c r="FA65" i="8"/>
  <c r="FT65" i="8"/>
  <c r="FA77" i="8"/>
  <c r="FT77" i="8"/>
  <c r="FA89" i="8"/>
  <c r="FT89" i="8"/>
  <c r="FA101" i="8"/>
  <c r="FT101" i="8"/>
  <c r="FA128" i="8"/>
  <c r="FT128" i="8"/>
  <c r="FA14" i="8"/>
  <c r="FT14" i="8"/>
  <c r="FA26" i="8"/>
  <c r="FT26" i="8"/>
  <c r="FA38" i="8"/>
  <c r="FT38" i="8"/>
  <c r="FA50" i="8"/>
  <c r="FT50" i="8"/>
  <c r="FA62" i="8"/>
  <c r="FT62" i="8"/>
  <c r="FA74" i="8"/>
  <c r="FT74" i="8"/>
  <c r="FA86" i="8"/>
  <c r="FT86" i="8"/>
  <c r="FA98" i="8"/>
  <c r="FT98" i="8"/>
  <c r="FA134" i="8"/>
  <c r="FT134" i="8"/>
  <c r="J98" i="8"/>
  <c r="J87" i="8"/>
  <c r="J88" i="8"/>
  <c r="J81" i="8"/>
  <c r="J71" i="8"/>
  <c r="J65" i="8"/>
  <c r="J91" i="8"/>
  <c r="J64" i="8"/>
  <c r="J94" i="8"/>
  <c r="J96" i="8"/>
  <c r="J95" i="8"/>
  <c r="J84" i="8"/>
  <c r="J86" i="8"/>
  <c r="J79" i="8"/>
  <c r="J69" i="8"/>
  <c r="J62" i="8"/>
  <c r="J74" i="8"/>
  <c r="J63" i="8"/>
  <c r="J93" i="8"/>
  <c r="J78" i="8"/>
  <c r="Q143" i="8"/>
  <c r="FC143" i="8"/>
  <c r="FV143" i="8"/>
  <c r="BP136" i="18" a="1"/>
  <c r="BP136" i="18"/>
  <c r="FW143" i="8"/>
  <c r="BX136" i="18" a="1"/>
  <c r="BX136" i="18"/>
  <c r="FX143" i="8"/>
  <c r="Q139" i="8"/>
  <c r="FC139" i="8"/>
  <c r="FV139" i="8"/>
  <c r="BP132" i="18" a="1"/>
  <c r="BP132" i="18"/>
  <c r="FW139" i="8"/>
  <c r="BX132" i="18" a="1"/>
  <c r="BX132" i="18"/>
  <c r="FX139" i="8"/>
  <c r="BY132" i="18" a="1"/>
  <c r="BY132" i="18"/>
  <c r="Q135" i="8"/>
  <c r="FC135" i="8"/>
  <c r="FV135" i="8"/>
  <c r="BP128" i="18" a="1"/>
  <c r="BP128" i="18"/>
  <c r="FW135" i="8"/>
  <c r="BX128" i="18" a="1"/>
  <c r="BX128" i="18"/>
  <c r="FX135" i="8"/>
  <c r="BY128" i="18" a="1"/>
  <c r="BY128" i="18"/>
  <c r="FU135" i="8"/>
  <c r="Q131" i="8"/>
  <c r="FC131" i="8"/>
  <c r="FV131" i="8"/>
  <c r="BP124" i="18" a="1"/>
  <c r="BP124" i="18"/>
  <c r="FW131" i="8"/>
  <c r="CG131" i="8"/>
  <c r="BX124" i="18" a="1"/>
  <c r="BX124" i="18"/>
  <c r="FX131" i="8"/>
  <c r="BY124" i="18" a="1"/>
  <c r="BY124" i="18"/>
  <c r="FU131" i="8"/>
  <c r="Q127" i="8"/>
  <c r="BV120" i="18" a="1"/>
  <c r="BV120" i="18"/>
  <c r="FC127" i="8"/>
  <c r="CD120" i="18" a="1"/>
  <c r="CD120" i="18"/>
  <c r="CE120" i="18" a="1"/>
  <c r="CE120" i="18"/>
  <c r="FV127" i="8"/>
  <c r="BP120" i="18" a="1"/>
  <c r="BP120" i="18"/>
  <c r="FW127" i="8"/>
  <c r="BX120" i="18" a="1"/>
  <c r="BX120" i="18"/>
  <c r="FX127" i="8"/>
  <c r="BY120" i="18" a="1"/>
  <c r="BY120" i="18"/>
  <c r="FU127" i="8"/>
  <c r="Q123" i="8"/>
  <c r="BV116" i="18" a="1"/>
  <c r="BV116" i="18"/>
  <c r="FC123" i="8"/>
  <c r="CD116" i="18" a="1"/>
  <c r="CD116" i="18"/>
  <c r="CE116" i="18" a="1"/>
  <c r="CE116" i="18"/>
  <c r="FV123" i="8"/>
  <c r="BX116" i="18" a="1"/>
  <c r="BX116" i="18"/>
  <c r="FX123" i="8"/>
  <c r="FU123" i="8"/>
  <c r="BY116" i="18" a="1"/>
  <c r="BY116" i="18"/>
  <c r="FW123" i="8"/>
  <c r="BP116" i="18" a="1"/>
  <c r="BP116" i="18"/>
  <c r="Q119" i="8"/>
  <c r="BV112" i="18" a="1"/>
  <c r="BV112" i="18"/>
  <c r="FC119" i="8"/>
  <c r="CD112" i="18" a="1"/>
  <c r="CD112" i="18"/>
  <c r="CE112" i="18" a="1"/>
  <c r="CE112" i="18"/>
  <c r="FV119" i="8"/>
  <c r="BX112" i="18" a="1"/>
  <c r="BX112" i="18"/>
  <c r="FX119" i="8"/>
  <c r="FU119" i="8"/>
  <c r="BY112" i="18" a="1"/>
  <c r="BY112" i="18"/>
  <c r="FW119" i="8"/>
  <c r="BP112" i="18" a="1"/>
  <c r="BP112" i="18"/>
  <c r="Q115" i="8"/>
  <c r="BV108" i="18" a="1"/>
  <c r="BV108" i="18"/>
  <c r="FC115" i="8"/>
  <c r="CD108" i="18" a="1"/>
  <c r="CD108" i="18"/>
  <c r="CE108" i="18" a="1"/>
  <c r="CE108" i="18"/>
  <c r="FV115" i="8"/>
  <c r="BX108" i="18" a="1"/>
  <c r="BX108" i="18"/>
  <c r="FX115" i="8"/>
  <c r="FU115" i="8"/>
  <c r="BU108" i="18" a="1"/>
  <c r="BU108" i="18"/>
  <c r="BY108" i="18" a="1"/>
  <c r="BY108" i="18"/>
  <c r="FW115" i="8"/>
  <c r="BP108" i="18" a="1"/>
  <c r="BP108" i="18"/>
  <c r="Q111" i="8"/>
  <c r="BV104" i="18" a="1"/>
  <c r="BV104" i="18"/>
  <c r="FC111" i="8"/>
  <c r="CD104" i="18" a="1"/>
  <c r="CD104" i="18"/>
  <c r="CE104" i="18" a="1"/>
  <c r="CE104" i="18"/>
  <c r="FV111" i="8"/>
  <c r="BX104" i="18" a="1"/>
  <c r="BX104" i="18"/>
  <c r="FX111" i="8"/>
  <c r="FU111" i="8"/>
  <c r="BY104" i="18" a="1"/>
  <c r="BY104" i="18"/>
  <c r="FW111" i="8"/>
  <c r="BP104" i="18" a="1"/>
  <c r="BP104" i="18"/>
  <c r="Q107" i="8"/>
  <c r="BV100" i="18" a="1"/>
  <c r="BV100" i="18"/>
  <c r="FC107" i="8"/>
  <c r="CD100" i="18" a="1"/>
  <c r="CD100" i="18"/>
  <c r="CE100" i="18" a="1"/>
  <c r="CE100" i="18"/>
  <c r="FV107" i="8"/>
  <c r="BP100" i="18" a="1"/>
  <c r="BP100" i="18"/>
  <c r="BX100" i="18" a="1"/>
  <c r="BX100" i="18"/>
  <c r="FX107" i="8"/>
  <c r="FU107" i="8"/>
  <c r="FW107" i="8"/>
  <c r="BY100" i="18" a="1"/>
  <c r="BY100" i="18"/>
  <c r="Q103" i="8"/>
  <c r="BV96" i="18" a="1"/>
  <c r="BV96" i="18"/>
  <c r="FC103" i="8"/>
  <c r="CD96" i="18" a="1"/>
  <c r="CD96" i="18"/>
  <c r="CE96" i="18" a="1"/>
  <c r="CE96" i="18"/>
  <c r="FV103" i="8"/>
  <c r="BP96" i="18" a="1"/>
  <c r="BP96" i="18"/>
  <c r="FW103" i="8"/>
  <c r="BX96" i="18" a="1"/>
  <c r="BX96" i="18"/>
  <c r="FX103" i="8"/>
  <c r="FU103" i="8"/>
  <c r="BU96" i="18" a="1"/>
  <c r="BU96" i="18"/>
  <c r="BY96" i="18" a="1"/>
  <c r="BY96" i="18"/>
  <c r="Q99" i="8"/>
  <c r="BV92" i="18" a="1"/>
  <c r="BV92" i="18"/>
  <c r="FC99" i="8"/>
  <c r="CD92" i="18" a="1"/>
  <c r="CD92" i="18"/>
  <c r="CE92" i="18" a="1"/>
  <c r="CE92" i="18"/>
  <c r="FV99" i="8"/>
  <c r="BP92" i="18" a="1"/>
  <c r="BP92" i="18"/>
  <c r="FW99" i="8"/>
  <c r="BX92" i="18" a="1"/>
  <c r="BX92" i="18"/>
  <c r="FX99" i="8"/>
  <c r="BY92" i="18" a="1"/>
  <c r="BY92" i="18"/>
  <c r="FU99" i="8"/>
  <c r="CG99" i="8"/>
  <c r="Q95" i="8"/>
  <c r="BV88" i="18" a="1"/>
  <c r="BV88" i="18"/>
  <c r="FC95" i="8"/>
  <c r="CD88" i="18" a="1"/>
  <c r="CD88" i="18"/>
  <c r="CE88" i="18" a="1"/>
  <c r="CE88" i="18"/>
  <c r="FV95" i="8"/>
  <c r="BP88" i="18" a="1"/>
  <c r="BP88" i="18"/>
  <c r="FW95" i="8"/>
  <c r="BX88" i="18" a="1"/>
  <c r="BX88" i="18"/>
  <c r="FX95" i="8"/>
  <c r="BY88" i="18" a="1"/>
  <c r="BY88" i="18"/>
  <c r="FU95" i="8"/>
  <c r="Q91" i="8"/>
  <c r="BV84" i="18" a="1"/>
  <c r="BV84" i="18"/>
  <c r="FC91" i="8"/>
  <c r="CD84" i="18" a="1"/>
  <c r="CD84" i="18"/>
  <c r="CE84" i="18" a="1"/>
  <c r="CE84" i="18"/>
  <c r="FV91" i="8"/>
  <c r="BP84" i="18" a="1"/>
  <c r="BP84" i="18"/>
  <c r="FW91" i="8"/>
  <c r="BX84" i="18" a="1"/>
  <c r="BX84" i="18"/>
  <c r="FX91" i="8"/>
  <c r="BY84" i="18" a="1"/>
  <c r="BY84" i="18"/>
  <c r="FU91" i="8"/>
  <c r="Q87" i="8"/>
  <c r="BV80" i="18" a="1"/>
  <c r="BV80" i="18"/>
  <c r="FC87" i="8"/>
  <c r="CD80" i="18" a="1"/>
  <c r="CD80" i="18"/>
  <c r="BY80" i="18" a="1"/>
  <c r="BY80" i="18"/>
  <c r="CE80" i="18" a="1"/>
  <c r="CE80" i="18"/>
  <c r="FV87" i="8"/>
  <c r="BP80" i="18" a="1"/>
  <c r="BP80" i="18"/>
  <c r="FW87" i="8"/>
  <c r="FX87" i="8"/>
  <c r="BX80" i="18" a="1"/>
  <c r="BX80" i="18"/>
  <c r="FU87" i="8"/>
  <c r="CG87" i="8"/>
  <c r="Q83" i="8"/>
  <c r="BV76" i="18" a="1"/>
  <c r="BV76" i="18"/>
  <c r="FC83" i="8"/>
  <c r="CD76" i="18" a="1"/>
  <c r="CD76" i="18"/>
  <c r="BX76" i="18" a="1"/>
  <c r="BX76" i="18"/>
  <c r="FX83" i="8"/>
  <c r="BY76" i="18" a="1"/>
  <c r="BY76" i="18"/>
  <c r="FU83" i="8"/>
  <c r="CE76" i="18" a="1"/>
  <c r="CE76" i="18"/>
  <c r="FV83" i="8"/>
  <c r="BP76" i="18" a="1"/>
  <c r="BP76" i="18"/>
  <c r="FW83" i="8"/>
  <c r="Q79" i="8"/>
  <c r="BV72" i="18" a="1"/>
  <c r="BV72" i="18"/>
  <c r="FC79" i="8"/>
  <c r="CD72" i="18" a="1"/>
  <c r="CD72" i="18"/>
  <c r="BX72" i="18" a="1"/>
  <c r="BX72" i="18"/>
  <c r="FX79" i="8"/>
  <c r="BY72" i="18" a="1"/>
  <c r="BY72" i="18"/>
  <c r="FU79" i="8"/>
  <c r="CE72" i="18" a="1"/>
  <c r="CE72" i="18"/>
  <c r="FV79" i="8"/>
  <c r="BP72" i="18" a="1"/>
  <c r="BP72" i="18"/>
  <c r="FW79" i="8"/>
  <c r="Q75" i="8"/>
  <c r="BV68" i="18" a="1"/>
  <c r="BV68" i="18"/>
  <c r="FC75" i="8"/>
  <c r="CD68" i="18" a="1"/>
  <c r="CD68" i="18"/>
  <c r="BX68" i="18" a="1"/>
  <c r="BX68" i="18"/>
  <c r="FX75" i="8"/>
  <c r="BY68" i="18" a="1"/>
  <c r="BY68" i="18"/>
  <c r="FU75" i="8"/>
  <c r="CE68" i="18" a="1"/>
  <c r="CE68" i="18"/>
  <c r="FV75" i="8"/>
  <c r="BP68" i="18" a="1"/>
  <c r="BP68" i="18"/>
  <c r="FW75" i="8"/>
  <c r="BU68" i="18" a="1"/>
  <c r="BU68" i="18"/>
  <c r="Q71" i="8"/>
  <c r="BV64" i="18" a="1"/>
  <c r="BV64" i="18"/>
  <c r="FC71" i="8"/>
  <c r="CD64" i="18" a="1"/>
  <c r="CD64" i="18"/>
  <c r="BX64" i="18" a="1"/>
  <c r="BX64" i="18"/>
  <c r="FX71" i="8"/>
  <c r="BY64" i="18" a="1"/>
  <c r="BY64" i="18"/>
  <c r="FU71" i="8"/>
  <c r="CE64" i="18" a="1"/>
  <c r="CE64" i="18"/>
  <c r="FV71" i="8"/>
  <c r="BP64" i="18" a="1"/>
  <c r="BP64" i="18"/>
  <c r="FW71" i="8"/>
  <c r="CG71" i="8"/>
  <c r="Q67" i="8"/>
  <c r="BV60" i="18" a="1"/>
  <c r="BV60" i="18"/>
  <c r="FC67" i="8"/>
  <c r="CD60" i="18" a="1"/>
  <c r="CD60" i="18"/>
  <c r="BX60" i="18" a="1"/>
  <c r="BX60" i="18"/>
  <c r="FX67" i="8"/>
  <c r="BY60" i="18" a="1"/>
  <c r="BY60" i="18"/>
  <c r="FU67" i="8"/>
  <c r="CE60" i="18" a="1"/>
  <c r="CE60" i="18"/>
  <c r="FV67" i="8"/>
  <c r="BP60" i="18" a="1"/>
  <c r="BP60" i="18"/>
  <c r="FW67" i="8"/>
  <c r="Q63" i="8"/>
  <c r="BV56" i="18" a="1"/>
  <c r="BV56" i="18"/>
  <c r="FC63" i="8"/>
  <c r="CD56" i="18" a="1"/>
  <c r="CD56" i="18"/>
  <c r="BX56" i="18" a="1"/>
  <c r="BX56" i="18"/>
  <c r="FX63" i="8"/>
  <c r="BY56" i="18" a="1"/>
  <c r="BY56" i="18"/>
  <c r="FU63" i="8"/>
  <c r="CE56" i="18" a="1"/>
  <c r="CE56" i="18"/>
  <c r="FV63" i="8"/>
  <c r="BP56" i="18" a="1"/>
  <c r="BP56" i="18"/>
  <c r="FW63" i="8"/>
  <c r="BU56" i="18" a="1"/>
  <c r="BU56" i="18"/>
  <c r="CG63" i="8"/>
  <c r="Q59" i="8"/>
  <c r="BV52" i="18" a="1"/>
  <c r="BV52" i="18"/>
  <c r="FC59" i="8"/>
  <c r="CD52" i="18" a="1"/>
  <c r="CD52" i="18"/>
  <c r="BX52" i="18" a="1"/>
  <c r="BX52" i="18"/>
  <c r="FX59" i="8"/>
  <c r="BY52" i="18" a="1"/>
  <c r="BY52" i="18"/>
  <c r="FU59" i="8"/>
  <c r="CE52" i="18" a="1"/>
  <c r="CE52" i="18"/>
  <c r="FV59" i="8"/>
  <c r="BP52" i="18" a="1"/>
  <c r="BP52" i="18"/>
  <c r="FW59" i="8"/>
  <c r="Q55" i="8"/>
  <c r="BV48" i="18" a="1"/>
  <c r="BV48" i="18"/>
  <c r="FC55" i="8"/>
  <c r="CD48" i="18" a="1"/>
  <c r="CD48" i="18"/>
  <c r="BX48" i="18" a="1"/>
  <c r="BX48" i="18"/>
  <c r="FX55" i="8"/>
  <c r="BY48" i="18" a="1"/>
  <c r="BY48" i="18"/>
  <c r="FU55" i="8"/>
  <c r="CE48" i="18" a="1"/>
  <c r="CE48" i="18"/>
  <c r="FV55" i="8"/>
  <c r="BP48" i="18" a="1"/>
  <c r="BP48" i="18"/>
  <c r="FW55" i="8"/>
  <c r="Q51" i="8"/>
  <c r="BV44" i="18" a="1"/>
  <c r="BV44" i="18"/>
  <c r="FC51" i="8"/>
  <c r="CD44" i="18" a="1"/>
  <c r="CD44" i="18"/>
  <c r="BY44" i="18" a="1"/>
  <c r="BY44" i="18"/>
  <c r="FU51" i="8"/>
  <c r="BX44" i="18" a="1"/>
  <c r="BX44" i="18"/>
  <c r="FV51" i="8"/>
  <c r="CE44" i="18" a="1"/>
  <c r="CE44" i="18"/>
  <c r="FW51" i="8"/>
  <c r="BP44" i="18" a="1"/>
  <c r="BP44" i="18"/>
  <c r="FX51" i="8"/>
  <c r="Q47" i="8"/>
  <c r="BV40" i="18" a="1"/>
  <c r="BV40" i="18"/>
  <c r="FC47" i="8"/>
  <c r="CD40" i="18" a="1"/>
  <c r="CD40" i="18"/>
  <c r="BY40" i="18" a="1"/>
  <c r="BY40" i="18"/>
  <c r="FU47" i="8"/>
  <c r="BX40" i="18" a="1"/>
  <c r="BX40" i="18"/>
  <c r="FV47" i="8"/>
  <c r="CE40" i="18" a="1"/>
  <c r="CE40" i="18"/>
  <c r="FW47" i="8"/>
  <c r="BP40" i="18" a="1"/>
  <c r="BP40" i="18"/>
  <c r="FX47" i="8"/>
  <c r="Q43" i="8"/>
  <c r="BV36" i="18" a="1"/>
  <c r="BV36" i="18"/>
  <c r="FC43" i="8"/>
  <c r="CD36" i="18" a="1"/>
  <c r="CD36" i="18"/>
  <c r="BX36" i="18" a="1"/>
  <c r="BX36" i="18"/>
  <c r="BY36" i="18" a="1"/>
  <c r="BY36" i="18"/>
  <c r="FU43" i="8"/>
  <c r="CE36" i="18" a="1"/>
  <c r="CE36" i="18"/>
  <c r="FV43" i="8"/>
  <c r="BP36" i="18" a="1"/>
  <c r="BP36" i="18"/>
  <c r="FW43" i="8"/>
  <c r="FX43" i="8"/>
  <c r="BU36" i="18" a="1"/>
  <c r="BU36" i="18"/>
  <c r="Q39" i="8"/>
  <c r="BV32" i="18" a="1"/>
  <c r="BV32" i="18"/>
  <c r="FC39" i="8"/>
  <c r="CD32" i="18" a="1"/>
  <c r="CD32" i="18"/>
  <c r="BX32" i="18" a="1"/>
  <c r="BX32" i="18"/>
  <c r="FX39" i="8"/>
  <c r="BY32" i="18" a="1"/>
  <c r="BY32" i="18"/>
  <c r="FU39" i="8"/>
  <c r="CE32" i="18" a="1"/>
  <c r="CE32" i="18"/>
  <c r="FV39" i="8"/>
  <c r="BP32" i="18" a="1"/>
  <c r="BP32" i="18"/>
  <c r="FW39" i="8"/>
  <c r="BU32" i="18" a="1"/>
  <c r="BU32" i="18"/>
  <c r="Q35" i="8"/>
  <c r="BV28" i="18" a="1"/>
  <c r="BV28" i="18"/>
  <c r="FC35" i="8"/>
  <c r="CD28" i="18" a="1"/>
  <c r="CD28" i="18"/>
  <c r="BX28" i="18" a="1"/>
  <c r="BX28" i="18"/>
  <c r="FX35" i="8"/>
  <c r="BY28" i="18" a="1"/>
  <c r="BY28" i="18"/>
  <c r="FU35" i="8"/>
  <c r="CE28" i="18" a="1"/>
  <c r="CE28" i="18"/>
  <c r="FV35" i="8"/>
  <c r="BP28" i="18" a="1"/>
  <c r="BP28" i="18"/>
  <c r="FW35" i="8"/>
  <c r="CG35" i="8"/>
  <c r="Q31" i="8"/>
  <c r="BV24" i="18" a="1"/>
  <c r="BV24" i="18"/>
  <c r="FC31" i="8"/>
  <c r="CD24" i="18" a="1"/>
  <c r="CD24" i="18"/>
  <c r="BX24" i="18" a="1"/>
  <c r="BX24" i="18"/>
  <c r="FX31" i="8"/>
  <c r="BY24" i="18" a="1"/>
  <c r="BY24" i="18"/>
  <c r="FU31" i="8"/>
  <c r="CE24" i="18" a="1"/>
  <c r="CE24" i="18"/>
  <c r="FV31" i="8"/>
  <c r="BP24" i="18" a="1"/>
  <c r="BP24" i="18"/>
  <c r="FW31" i="8"/>
  <c r="Q27" i="8"/>
  <c r="BV20" i="18" a="1"/>
  <c r="BV20" i="18"/>
  <c r="FC27" i="8"/>
  <c r="CD20" i="18" a="1"/>
  <c r="CD20" i="18"/>
  <c r="BX20" i="18" a="1"/>
  <c r="BX20" i="18"/>
  <c r="FX27" i="8"/>
  <c r="BY20" i="18" a="1"/>
  <c r="BY20" i="18"/>
  <c r="FU27" i="8"/>
  <c r="CE20" i="18" a="1"/>
  <c r="CE20" i="18"/>
  <c r="FV27" i="8"/>
  <c r="BP20" i="18" a="1"/>
  <c r="BP20" i="18"/>
  <c r="FW27" i="8"/>
  <c r="Q23" i="8"/>
  <c r="BV16" i="18" a="1"/>
  <c r="BV16" i="18"/>
  <c r="FC23" i="8"/>
  <c r="CD16" i="18" a="1"/>
  <c r="CD16" i="18"/>
  <c r="BX16" i="18" a="1"/>
  <c r="BX16" i="18"/>
  <c r="FX23" i="8"/>
  <c r="BY16" i="18" a="1"/>
  <c r="BY16" i="18"/>
  <c r="FU23" i="8"/>
  <c r="CE16" i="18" a="1"/>
  <c r="CE16" i="18"/>
  <c r="FV23" i="8"/>
  <c r="BP16" i="18" a="1"/>
  <c r="BP16" i="18"/>
  <c r="FW23" i="8"/>
  <c r="Q19" i="8"/>
  <c r="BV12" i="18" a="1"/>
  <c r="BV12" i="18"/>
  <c r="FC19" i="8"/>
  <c r="CD12" i="18" a="1"/>
  <c r="CD12" i="18"/>
  <c r="BX12" i="18" a="1"/>
  <c r="BX12" i="18"/>
  <c r="FX19" i="8"/>
  <c r="BY12" i="18" a="1"/>
  <c r="BY12" i="18"/>
  <c r="FU19" i="8"/>
  <c r="CE12" i="18" a="1"/>
  <c r="CE12" i="18"/>
  <c r="FV19" i="8"/>
  <c r="BP12" i="18" a="1"/>
  <c r="BP12" i="18"/>
  <c r="FW19" i="8"/>
  <c r="Q15" i="8"/>
  <c r="BV8" i="18" a="1"/>
  <c r="BV8" i="18"/>
  <c r="FC15" i="8"/>
  <c r="CD8" i="18" a="1"/>
  <c r="CD8" i="18"/>
  <c r="BX8" i="18" a="1"/>
  <c r="BX8" i="18"/>
  <c r="FX15" i="8"/>
  <c r="BY8" i="18" a="1"/>
  <c r="BY8" i="18"/>
  <c r="FU15" i="8"/>
  <c r="CE8" i="18" a="1"/>
  <c r="CE8" i="18"/>
  <c r="FV15" i="8"/>
  <c r="BP8" i="18" a="1"/>
  <c r="BP8" i="18"/>
  <c r="FW15" i="8"/>
  <c r="BU8" i="18" a="1"/>
  <c r="BU8" i="18"/>
  <c r="BY136" i="18" a="1"/>
  <c r="BY136" i="18"/>
  <c r="FU139" i="8"/>
  <c r="BU52" i="18" a="1"/>
  <c r="BU52" i="18"/>
  <c r="BU92" i="18" a="1"/>
  <c r="BU92" i="18"/>
  <c r="BU28" i="18" a="1"/>
  <c r="BU28" i="18"/>
  <c r="CG111" i="8"/>
  <c r="BU80" i="18" a="1"/>
  <c r="BU80" i="18"/>
  <c r="CG139" i="8"/>
  <c r="CG67" i="8"/>
  <c r="BU120" i="18" a="1"/>
  <c r="BU120" i="18"/>
  <c r="BU16" i="18" a="1"/>
  <c r="BU16" i="18"/>
  <c r="CG143" i="8"/>
  <c r="CG115" i="8"/>
  <c r="CG91" i="8"/>
  <c r="CG95" i="8"/>
  <c r="CG43" i="8"/>
  <c r="FU143" i="8"/>
  <c r="FW134" i="8"/>
  <c r="FW132" i="8"/>
  <c r="BP125" i="18" a="1"/>
  <c r="BP125" i="18"/>
  <c r="FV130" i="8"/>
  <c r="FX128" i="8"/>
  <c r="BX121" i="18" a="1"/>
  <c r="BX121" i="18"/>
  <c r="FV126" i="8"/>
  <c r="FX124" i="8"/>
  <c r="BX117" i="18" a="1"/>
  <c r="BX117" i="18"/>
  <c r="FX120" i="8"/>
  <c r="BX113" i="18" a="1"/>
  <c r="BX113" i="18"/>
  <c r="FX116" i="8"/>
  <c r="BX109" i="18" a="1"/>
  <c r="BX109" i="18"/>
  <c r="FX112" i="8"/>
  <c r="BX105" i="18" a="1"/>
  <c r="BX105" i="18"/>
  <c r="FX108" i="8"/>
  <c r="BX101" i="18" a="1"/>
  <c r="BX101" i="18"/>
  <c r="Q11" i="8"/>
  <c r="BV4" i="18" a="1"/>
  <c r="BV4" i="18"/>
  <c r="FC11" i="8"/>
  <c r="CD4" i="18" a="1"/>
  <c r="CD4" i="18"/>
  <c r="FX11" i="8"/>
  <c r="BY4" i="18" a="1"/>
  <c r="BY4" i="18"/>
  <c r="FU11" i="8"/>
  <c r="CE4" i="18" a="1"/>
  <c r="CE4" i="18"/>
  <c r="FW11" i="8"/>
  <c r="Q142" i="8"/>
  <c r="FC142" i="8"/>
  <c r="Q138" i="8"/>
  <c r="FC138" i="8"/>
  <c r="Q134" i="8"/>
  <c r="FC134" i="8"/>
  <c r="Q130" i="8"/>
  <c r="BV123" i="18" a="1"/>
  <c r="BV123" i="18"/>
  <c r="FC130" i="8"/>
  <c r="CD123" i="18" a="1"/>
  <c r="CD123" i="18"/>
  <c r="Q126" i="8"/>
  <c r="BV119" i="18" a="1"/>
  <c r="BV119" i="18"/>
  <c r="FC126" i="8"/>
  <c r="CD119" i="18" a="1"/>
  <c r="CD119" i="18"/>
  <c r="Q122" i="8"/>
  <c r="BV115" i="18" a="1"/>
  <c r="BV115" i="18"/>
  <c r="FC122" i="8"/>
  <c r="CD115" i="18" a="1"/>
  <c r="CD115" i="18"/>
  <c r="BP115" i="18" a="1"/>
  <c r="BP115" i="18"/>
  <c r="FW122" i="8"/>
  <c r="BY115" i="18" a="1"/>
  <c r="BY115" i="18"/>
  <c r="FU122" i="8"/>
  <c r="Q118" i="8"/>
  <c r="BV111" i="18" a="1"/>
  <c r="BV111" i="18"/>
  <c r="FC118" i="8"/>
  <c r="CD111" i="18" a="1"/>
  <c r="CD111" i="18"/>
  <c r="BP111" i="18" a="1"/>
  <c r="BP111" i="18"/>
  <c r="FW118" i="8"/>
  <c r="BY111" i="18" a="1"/>
  <c r="BY111" i="18"/>
  <c r="FU118" i="8"/>
  <c r="Q114" i="8"/>
  <c r="BV107" i="18" a="1"/>
  <c r="BV107" i="18"/>
  <c r="FC114" i="8"/>
  <c r="CD107" i="18" a="1"/>
  <c r="CD107" i="18"/>
  <c r="BP107" i="18" a="1"/>
  <c r="BP107" i="18"/>
  <c r="FW114" i="8"/>
  <c r="BY107" i="18" a="1"/>
  <c r="BY107" i="18"/>
  <c r="FU114" i="8"/>
  <c r="Q110" i="8"/>
  <c r="BV103" i="18" a="1"/>
  <c r="BV103" i="18"/>
  <c r="FC110" i="8"/>
  <c r="CD103" i="18" a="1"/>
  <c r="CD103" i="18"/>
  <c r="BP103" i="18" a="1"/>
  <c r="BP103" i="18"/>
  <c r="FW110" i="8"/>
  <c r="BY103" i="18" a="1"/>
  <c r="BY103" i="18"/>
  <c r="FU110" i="8"/>
  <c r="Q106" i="8"/>
  <c r="BV99" i="18" a="1"/>
  <c r="BV99" i="18"/>
  <c r="FC106" i="8"/>
  <c r="CD99" i="18" a="1"/>
  <c r="CD99" i="18"/>
  <c r="BP99" i="18" a="1"/>
  <c r="BP99" i="18"/>
  <c r="FW106" i="8"/>
  <c r="BX99" i="18" a="1"/>
  <c r="BX99" i="18"/>
  <c r="FX106" i="8"/>
  <c r="BY99" i="18" a="1"/>
  <c r="BY99" i="18"/>
  <c r="FU106" i="8"/>
  <c r="Q102" i="8"/>
  <c r="BV95" i="18" a="1"/>
  <c r="BV95" i="18"/>
  <c r="FC102" i="8"/>
  <c r="CD95" i="18" a="1"/>
  <c r="CD95" i="18"/>
  <c r="BP95" i="18" a="1"/>
  <c r="BP95" i="18"/>
  <c r="FW102" i="8"/>
  <c r="BX95" i="18" a="1"/>
  <c r="BX95" i="18"/>
  <c r="FX102" i="8"/>
  <c r="BY95" i="18" a="1"/>
  <c r="BY95" i="18"/>
  <c r="FU102" i="8"/>
  <c r="Q98" i="8"/>
  <c r="BV91" i="18" a="1"/>
  <c r="BV91" i="18"/>
  <c r="FC98" i="8"/>
  <c r="CD91" i="18" a="1"/>
  <c r="CD91" i="18"/>
  <c r="BP91" i="18" a="1"/>
  <c r="BP91" i="18"/>
  <c r="FW98" i="8"/>
  <c r="BX91" i="18" a="1"/>
  <c r="BX91" i="18"/>
  <c r="FX98" i="8"/>
  <c r="BY91" i="18" a="1"/>
  <c r="BY91" i="18"/>
  <c r="FU98" i="8"/>
  <c r="CE91" i="18" a="1"/>
  <c r="CE91" i="18"/>
  <c r="FV98" i="8"/>
  <c r="Q94" i="8"/>
  <c r="BV87" i="18" a="1"/>
  <c r="BV87" i="18"/>
  <c r="FC94" i="8"/>
  <c r="CD87" i="18" a="1"/>
  <c r="CD87" i="18"/>
  <c r="BP87" i="18" a="1"/>
  <c r="BP87" i="18"/>
  <c r="FW94" i="8"/>
  <c r="BX87" i="18" a="1"/>
  <c r="BX87" i="18"/>
  <c r="FX94" i="8"/>
  <c r="BY87" i="18" a="1"/>
  <c r="BY87" i="18"/>
  <c r="FU94" i="8"/>
  <c r="CE87" i="18" a="1"/>
  <c r="CE87" i="18"/>
  <c r="FV94" i="8"/>
  <c r="Q90" i="8"/>
  <c r="BV83" i="18" a="1"/>
  <c r="BV83" i="18"/>
  <c r="FC90" i="8"/>
  <c r="CD83" i="18" a="1"/>
  <c r="CD83" i="18"/>
  <c r="BP83" i="18" a="1"/>
  <c r="BP83" i="18"/>
  <c r="FW90" i="8"/>
  <c r="BX83" i="18" a="1"/>
  <c r="BX83" i="18"/>
  <c r="FX90" i="8"/>
  <c r="BY83" i="18" a="1"/>
  <c r="BY83" i="18"/>
  <c r="FU90" i="8"/>
  <c r="CE83" i="18" a="1"/>
  <c r="CE83" i="18"/>
  <c r="FV90" i="8"/>
  <c r="Q86" i="8"/>
  <c r="BV79" i="18" a="1"/>
  <c r="BV79" i="18"/>
  <c r="FC86" i="8"/>
  <c r="CD79" i="18" a="1"/>
  <c r="CD79" i="18"/>
  <c r="CE79" i="18" a="1"/>
  <c r="CE79" i="18"/>
  <c r="FV86" i="8"/>
  <c r="BP79" i="18" a="1"/>
  <c r="BP79" i="18"/>
  <c r="FU86" i="8"/>
  <c r="BX79" i="18" a="1"/>
  <c r="BX79" i="18"/>
  <c r="FW86" i="8"/>
  <c r="BY79" i="18" a="1"/>
  <c r="BY79" i="18"/>
  <c r="FX86" i="8"/>
  <c r="Q82" i="8"/>
  <c r="BV75" i="18" a="1"/>
  <c r="BV75" i="18"/>
  <c r="FC82" i="8"/>
  <c r="CD75" i="18" a="1"/>
  <c r="CD75" i="18"/>
  <c r="BY75" i="18" a="1"/>
  <c r="BY75" i="18"/>
  <c r="FU82" i="8"/>
  <c r="CE75" i="18" a="1"/>
  <c r="CE75" i="18"/>
  <c r="FV82" i="8"/>
  <c r="BP75" i="18" a="1"/>
  <c r="BP75" i="18"/>
  <c r="FW82" i="8"/>
  <c r="BX75" i="18" a="1"/>
  <c r="BX75" i="18"/>
  <c r="FX82" i="8"/>
  <c r="Q78" i="8"/>
  <c r="BV71" i="18" a="1"/>
  <c r="BV71" i="18"/>
  <c r="FC78" i="8"/>
  <c r="CD71" i="18" a="1"/>
  <c r="CD71" i="18"/>
  <c r="BY71" i="18" a="1"/>
  <c r="BY71" i="18"/>
  <c r="FU78" i="8"/>
  <c r="CE71" i="18" a="1"/>
  <c r="CE71" i="18"/>
  <c r="FV78" i="8"/>
  <c r="BP71" i="18" a="1"/>
  <c r="BP71" i="18"/>
  <c r="FW78" i="8"/>
  <c r="BX71" i="18" a="1"/>
  <c r="BX71" i="18"/>
  <c r="FX78" i="8"/>
  <c r="Q74" i="8"/>
  <c r="BV67" i="18" a="1"/>
  <c r="BV67" i="18"/>
  <c r="FC74" i="8"/>
  <c r="CD67" i="18" a="1"/>
  <c r="CD67" i="18"/>
  <c r="BY67" i="18" a="1"/>
  <c r="BY67" i="18"/>
  <c r="FU74" i="8"/>
  <c r="CE67" i="18" a="1"/>
  <c r="CE67" i="18"/>
  <c r="FV74" i="8"/>
  <c r="BP67" i="18" a="1"/>
  <c r="BP67" i="18"/>
  <c r="FW74" i="8"/>
  <c r="BX67" i="18" a="1"/>
  <c r="BX67" i="18"/>
  <c r="FX74" i="8"/>
  <c r="Q70" i="8"/>
  <c r="BV63" i="18" a="1"/>
  <c r="BV63" i="18"/>
  <c r="FC70" i="8"/>
  <c r="CD63" i="18" a="1"/>
  <c r="CD63" i="18"/>
  <c r="BY63" i="18" a="1"/>
  <c r="BY63" i="18"/>
  <c r="FU70" i="8"/>
  <c r="CE63" i="18" a="1"/>
  <c r="CE63" i="18"/>
  <c r="FV70" i="8"/>
  <c r="BP63" i="18" a="1"/>
  <c r="BP63" i="18"/>
  <c r="FW70" i="8"/>
  <c r="BX63" i="18" a="1"/>
  <c r="BX63" i="18"/>
  <c r="FX70" i="8"/>
  <c r="Q66" i="8"/>
  <c r="BV59" i="18" a="1"/>
  <c r="BV59" i="18"/>
  <c r="FC66" i="8"/>
  <c r="CD59" i="18" a="1"/>
  <c r="CD59" i="18"/>
  <c r="BY59" i="18" a="1"/>
  <c r="BY59" i="18"/>
  <c r="FU66" i="8"/>
  <c r="CE59" i="18" a="1"/>
  <c r="CE59" i="18"/>
  <c r="FV66" i="8"/>
  <c r="BP59" i="18" a="1"/>
  <c r="BP59" i="18"/>
  <c r="FW66" i="8"/>
  <c r="BX59" i="18" a="1"/>
  <c r="BX59" i="18"/>
  <c r="FX66" i="8"/>
  <c r="Q62" i="8"/>
  <c r="BV55" i="18" a="1"/>
  <c r="BV55" i="18"/>
  <c r="FC62" i="8"/>
  <c r="CD55" i="18" a="1"/>
  <c r="CD55" i="18"/>
  <c r="BY55" i="18" a="1"/>
  <c r="BY55" i="18"/>
  <c r="FU62" i="8"/>
  <c r="CE55" i="18" a="1"/>
  <c r="CE55" i="18"/>
  <c r="FV62" i="8"/>
  <c r="BP55" i="18" a="1"/>
  <c r="BP55" i="18"/>
  <c r="FW62" i="8"/>
  <c r="BX55" i="18" a="1"/>
  <c r="BX55" i="18"/>
  <c r="FX62" i="8"/>
  <c r="Q58" i="8"/>
  <c r="BV51" i="18" a="1"/>
  <c r="BV51" i="18"/>
  <c r="FC58" i="8"/>
  <c r="CD51" i="18" a="1"/>
  <c r="CD51" i="18"/>
  <c r="BY51" i="18" a="1"/>
  <c r="BY51" i="18"/>
  <c r="FU58" i="8"/>
  <c r="CE51" i="18" a="1"/>
  <c r="CE51" i="18"/>
  <c r="FV58" i="8"/>
  <c r="BP51" i="18" a="1"/>
  <c r="BP51" i="18"/>
  <c r="FW58" i="8"/>
  <c r="BX51" i="18" a="1"/>
  <c r="BX51" i="18"/>
  <c r="FX58" i="8"/>
  <c r="Q54" i="8"/>
  <c r="BV47" i="18" a="1"/>
  <c r="BV47" i="18"/>
  <c r="FC54" i="8"/>
  <c r="CD47" i="18" a="1"/>
  <c r="CD47" i="18"/>
  <c r="BY47" i="18" a="1"/>
  <c r="BY47" i="18"/>
  <c r="FU54" i="8"/>
  <c r="CE47" i="18" a="1"/>
  <c r="CE47" i="18"/>
  <c r="FV54" i="8"/>
  <c r="BP47" i="18" a="1"/>
  <c r="BP47" i="18"/>
  <c r="FW54" i="8"/>
  <c r="BX47" i="18" a="1"/>
  <c r="BX47" i="18"/>
  <c r="FX54" i="8"/>
  <c r="Q50" i="8"/>
  <c r="BV43" i="18" a="1"/>
  <c r="BV43" i="18"/>
  <c r="FC50" i="8"/>
  <c r="CD43" i="18" a="1"/>
  <c r="CD43" i="18"/>
  <c r="CE43" i="18" a="1"/>
  <c r="CE43" i="18"/>
  <c r="FV50" i="8"/>
  <c r="BP43" i="18" a="1"/>
  <c r="BP43" i="18"/>
  <c r="FX50" i="8"/>
  <c r="BX43" i="18" a="1"/>
  <c r="BX43" i="18"/>
  <c r="FU50" i="8"/>
  <c r="BY43" i="18" a="1"/>
  <c r="BY43" i="18"/>
  <c r="FW50" i="8"/>
  <c r="Q46" i="8"/>
  <c r="BV39" i="18" a="1"/>
  <c r="BV39" i="18"/>
  <c r="FC46" i="8"/>
  <c r="CD39" i="18" a="1"/>
  <c r="CD39" i="18"/>
  <c r="CE39" i="18" a="1"/>
  <c r="CE39" i="18"/>
  <c r="FV46" i="8"/>
  <c r="BP39" i="18" a="1"/>
  <c r="BP39" i="18"/>
  <c r="FX46" i="8"/>
  <c r="BX39" i="18" a="1"/>
  <c r="BX39" i="18"/>
  <c r="FU46" i="8"/>
  <c r="BY39" i="18" a="1"/>
  <c r="BY39" i="18"/>
  <c r="FW46" i="8"/>
  <c r="Q42" i="8"/>
  <c r="BV35" i="18" a="1"/>
  <c r="BV35" i="18"/>
  <c r="FC42" i="8"/>
  <c r="CD35" i="18" a="1"/>
  <c r="CD35" i="18"/>
  <c r="BY35" i="18" a="1"/>
  <c r="BY35" i="18"/>
  <c r="FU42" i="8"/>
  <c r="CE35" i="18" a="1"/>
  <c r="CE35" i="18"/>
  <c r="FV42" i="8"/>
  <c r="BP35" i="18" a="1"/>
  <c r="BP35" i="18"/>
  <c r="FW42" i="8"/>
  <c r="BX35" i="18" a="1"/>
  <c r="BX35" i="18"/>
  <c r="FX42" i="8"/>
  <c r="Q38" i="8"/>
  <c r="BV31" i="18" a="1"/>
  <c r="BV31" i="18"/>
  <c r="FC38" i="8"/>
  <c r="CD31" i="18" a="1"/>
  <c r="CD31" i="18"/>
  <c r="BY31" i="18" a="1"/>
  <c r="BY31" i="18"/>
  <c r="FU38" i="8"/>
  <c r="CE31" i="18" a="1"/>
  <c r="CE31" i="18"/>
  <c r="FV38" i="8"/>
  <c r="BP31" i="18" a="1"/>
  <c r="BP31" i="18"/>
  <c r="FW38" i="8"/>
  <c r="BX31" i="18" a="1"/>
  <c r="BX31" i="18"/>
  <c r="FX38" i="8"/>
  <c r="Q34" i="8"/>
  <c r="BV27" i="18" a="1"/>
  <c r="BV27" i="18"/>
  <c r="FC34" i="8"/>
  <c r="CD27" i="18" a="1"/>
  <c r="CD27" i="18"/>
  <c r="BY27" i="18" a="1"/>
  <c r="BY27" i="18"/>
  <c r="FU34" i="8"/>
  <c r="CE27" i="18" a="1"/>
  <c r="CE27" i="18"/>
  <c r="FV34" i="8"/>
  <c r="BP27" i="18" a="1"/>
  <c r="BP27" i="18"/>
  <c r="FW34" i="8"/>
  <c r="BX27" i="18" a="1"/>
  <c r="BX27" i="18"/>
  <c r="FX34" i="8"/>
  <c r="Q30" i="8"/>
  <c r="BV23" i="18" a="1"/>
  <c r="BV23" i="18"/>
  <c r="FC30" i="8"/>
  <c r="CD23" i="18" a="1"/>
  <c r="CD23" i="18"/>
  <c r="BY23" i="18" a="1"/>
  <c r="BY23" i="18"/>
  <c r="FU30" i="8"/>
  <c r="CE23" i="18" a="1"/>
  <c r="CE23" i="18"/>
  <c r="FV30" i="8"/>
  <c r="BP23" i="18" a="1"/>
  <c r="BP23" i="18"/>
  <c r="FW30" i="8"/>
  <c r="BX23" i="18" a="1"/>
  <c r="BX23" i="18"/>
  <c r="FX30" i="8"/>
  <c r="Q26" i="8"/>
  <c r="BV19" i="18" a="1"/>
  <c r="BV19" i="18"/>
  <c r="FC26" i="8"/>
  <c r="CD19" i="18" a="1"/>
  <c r="CD19" i="18"/>
  <c r="BY19" i="18" a="1"/>
  <c r="BY19" i="18"/>
  <c r="FU26" i="8"/>
  <c r="CE19" i="18" a="1"/>
  <c r="CE19" i="18"/>
  <c r="FV26" i="8"/>
  <c r="BP19" i="18" a="1"/>
  <c r="BP19" i="18"/>
  <c r="FW26" i="8"/>
  <c r="BX19" i="18" a="1"/>
  <c r="BX19" i="18"/>
  <c r="FX26" i="8"/>
  <c r="Q22" i="8"/>
  <c r="BV15" i="18" a="1"/>
  <c r="BV15" i="18"/>
  <c r="FC22" i="8"/>
  <c r="CD15" i="18" a="1"/>
  <c r="CD15" i="18"/>
  <c r="BY15" i="18" a="1"/>
  <c r="BY15" i="18"/>
  <c r="FU22" i="8"/>
  <c r="CE15" i="18" a="1"/>
  <c r="CE15" i="18"/>
  <c r="FV22" i="8"/>
  <c r="BP15" i="18" a="1"/>
  <c r="BP15" i="18"/>
  <c r="FW22" i="8"/>
  <c r="BX15" i="18" a="1"/>
  <c r="BX15" i="18"/>
  <c r="FX22" i="8"/>
  <c r="Q18" i="8"/>
  <c r="BV11" i="18" a="1"/>
  <c r="BV11" i="18"/>
  <c r="FC18" i="8"/>
  <c r="CD11" i="18" a="1"/>
  <c r="CD11" i="18"/>
  <c r="BY11" i="18" a="1"/>
  <c r="BY11" i="18"/>
  <c r="FU18" i="8"/>
  <c r="CE11" i="18" a="1"/>
  <c r="CE11" i="18"/>
  <c r="FV18" i="8"/>
  <c r="BP11" i="18" a="1"/>
  <c r="BP11" i="18"/>
  <c r="FW18" i="8"/>
  <c r="BX11" i="18" a="1"/>
  <c r="BX11" i="18"/>
  <c r="FX18" i="8"/>
  <c r="Q14" i="8"/>
  <c r="BV7" i="18" a="1"/>
  <c r="BV7" i="18"/>
  <c r="FC14" i="8"/>
  <c r="CD7" i="18" a="1"/>
  <c r="CD7" i="18"/>
  <c r="BY7" i="18" a="1"/>
  <c r="BY7" i="18"/>
  <c r="FU14" i="8"/>
  <c r="CE7" i="18" a="1"/>
  <c r="CE7" i="18"/>
  <c r="FV14" i="8"/>
  <c r="BP7" i="18" a="1"/>
  <c r="BP7" i="18"/>
  <c r="FW14" i="8"/>
  <c r="BX7" i="18" a="1"/>
  <c r="BX7" i="18"/>
  <c r="FX14" i="8"/>
  <c r="FV144" i="8"/>
  <c r="FV142" i="8"/>
  <c r="FV140" i="8"/>
  <c r="FV138" i="8"/>
  <c r="FV136" i="8"/>
  <c r="FV134" i="8"/>
  <c r="FV132" i="8"/>
  <c r="FU130" i="8"/>
  <c r="BY123" i="18" a="1"/>
  <c r="BY123" i="18"/>
  <c r="FW128" i="8"/>
  <c r="BP121" i="18" a="1"/>
  <c r="BP121" i="18"/>
  <c r="FU126" i="8"/>
  <c r="BY119" i="18" a="1"/>
  <c r="BY119" i="18"/>
  <c r="FW124" i="8"/>
  <c r="BP117" i="18" a="1"/>
  <c r="BP117" i="18"/>
  <c r="CE115" i="18" a="1"/>
  <c r="CE115" i="18"/>
  <c r="FV120" i="8"/>
  <c r="CE111" i="18" a="1"/>
  <c r="CE111" i="18"/>
  <c r="FV116" i="8"/>
  <c r="CE107" i="18" a="1"/>
  <c r="CE107" i="18"/>
  <c r="FV112" i="8"/>
  <c r="CE103" i="18" a="1"/>
  <c r="CE103" i="18"/>
  <c r="FV108" i="8"/>
  <c r="FV106" i="8"/>
  <c r="BX97" i="18" a="1"/>
  <c r="BX97" i="18"/>
  <c r="FV102" i="8"/>
  <c r="BX93" i="18" a="1"/>
  <c r="BX93" i="18"/>
  <c r="CG118" i="8"/>
  <c r="CG142" i="8"/>
  <c r="BU23" i="18" a="1"/>
  <c r="BU23" i="18"/>
  <c r="CG130" i="8"/>
  <c r="CG110" i="8"/>
  <c r="CG46" i="8"/>
  <c r="CG26" i="8"/>
  <c r="BU59" i="18" a="1"/>
  <c r="BU59" i="18"/>
  <c r="CG102" i="8"/>
  <c r="CG86" i="8"/>
  <c r="BU11" i="18" a="1"/>
  <c r="BU11" i="18"/>
  <c r="CG38" i="8"/>
  <c r="BU107" i="18" a="1"/>
  <c r="BU107" i="18"/>
  <c r="BU123" i="18" a="1"/>
  <c r="BU123" i="18"/>
  <c r="BU91" i="18" a="1"/>
  <c r="BU91" i="18"/>
  <c r="BU4" i="18" a="1"/>
  <c r="BU4" i="18"/>
  <c r="BU83" i="18" a="1"/>
  <c r="BU83" i="18"/>
  <c r="FC145" i="8"/>
  <c r="Q145" i="8"/>
  <c r="FC141" i="8"/>
  <c r="Q141" i="8"/>
  <c r="FC137" i="8"/>
  <c r="Q137" i="8"/>
  <c r="FC133" i="8"/>
  <c r="Q133" i="8"/>
  <c r="FC129" i="8"/>
  <c r="CD122" i="18" a="1"/>
  <c r="CD122" i="18"/>
  <c r="Q129" i="8"/>
  <c r="BV122" i="18" a="1"/>
  <c r="BV122" i="18"/>
  <c r="FC125" i="8"/>
  <c r="CD118" i="18" a="1"/>
  <c r="CD118" i="18"/>
  <c r="Q125" i="8"/>
  <c r="BV118" i="18" a="1"/>
  <c r="BV118" i="18"/>
  <c r="FC121" i="8"/>
  <c r="CD114" i="18" a="1"/>
  <c r="CD114" i="18"/>
  <c r="Q121" i="8"/>
  <c r="BV114" i="18" a="1"/>
  <c r="BV114" i="18"/>
  <c r="BX114" i="18" a="1"/>
  <c r="BX114" i="18"/>
  <c r="FX121" i="8"/>
  <c r="CE114" i="18" a="1"/>
  <c r="CE114" i="18"/>
  <c r="FV121" i="8"/>
  <c r="FC117" i="8"/>
  <c r="CD110" i="18" a="1"/>
  <c r="CD110" i="18"/>
  <c r="Q117" i="8"/>
  <c r="BV110" i="18" a="1"/>
  <c r="BV110" i="18"/>
  <c r="BX110" i="18" a="1"/>
  <c r="BX110" i="18"/>
  <c r="FX117" i="8"/>
  <c r="CE110" i="18" a="1"/>
  <c r="CE110" i="18"/>
  <c r="FV117" i="8"/>
  <c r="FC113" i="8"/>
  <c r="CD106" i="18" a="1"/>
  <c r="CD106" i="18"/>
  <c r="Q113" i="8"/>
  <c r="BV106" i="18" a="1"/>
  <c r="BV106" i="18"/>
  <c r="BX106" i="18" a="1"/>
  <c r="BX106" i="18"/>
  <c r="FX113" i="8"/>
  <c r="CE106" i="18" a="1"/>
  <c r="CE106" i="18"/>
  <c r="FV113" i="8"/>
  <c r="FC109" i="8"/>
  <c r="CD102" i="18" a="1"/>
  <c r="CD102" i="18"/>
  <c r="Q109" i="8"/>
  <c r="BV102" i="18" a="1"/>
  <c r="BV102" i="18"/>
  <c r="BX102" i="18" a="1"/>
  <c r="BX102" i="18"/>
  <c r="FX109" i="8"/>
  <c r="CE102" i="18" a="1"/>
  <c r="CE102" i="18"/>
  <c r="FV109" i="8"/>
  <c r="FC105" i="8"/>
  <c r="CD98" i="18" a="1"/>
  <c r="CD98" i="18"/>
  <c r="Q105" i="8"/>
  <c r="BV98" i="18" a="1"/>
  <c r="BV98" i="18"/>
  <c r="BX98" i="18" a="1"/>
  <c r="BX98" i="18"/>
  <c r="FX105" i="8"/>
  <c r="BY98" i="18" a="1"/>
  <c r="BY98" i="18"/>
  <c r="FU105" i="8"/>
  <c r="CE98" i="18" a="1"/>
  <c r="CE98" i="18"/>
  <c r="FV105" i="8"/>
  <c r="FC101" i="8"/>
  <c r="CD94" i="18" a="1"/>
  <c r="CD94" i="18"/>
  <c r="Q101" i="8"/>
  <c r="BV94" i="18" a="1"/>
  <c r="BV94" i="18"/>
  <c r="BX94" i="18" a="1"/>
  <c r="BX94" i="18"/>
  <c r="FX101" i="8"/>
  <c r="BY94" i="18" a="1"/>
  <c r="BY94" i="18"/>
  <c r="FU101" i="8"/>
  <c r="CE94" i="18" a="1"/>
  <c r="CE94" i="18"/>
  <c r="FV101" i="8"/>
  <c r="FC97" i="8"/>
  <c r="CD90" i="18" a="1"/>
  <c r="CD90" i="18"/>
  <c r="Q97" i="8"/>
  <c r="BV90" i="18" a="1"/>
  <c r="BV90" i="18"/>
  <c r="BX90" i="18" a="1"/>
  <c r="BX90" i="18"/>
  <c r="FX97" i="8"/>
  <c r="BY90" i="18" a="1"/>
  <c r="BY90" i="18"/>
  <c r="FU97" i="8"/>
  <c r="CE90" i="18" a="1"/>
  <c r="CE90" i="18"/>
  <c r="FV97" i="8"/>
  <c r="BP90" i="18" a="1"/>
  <c r="BP90" i="18"/>
  <c r="FW97" i="8"/>
  <c r="FC93" i="8"/>
  <c r="CD86" i="18" a="1"/>
  <c r="CD86" i="18"/>
  <c r="Q93" i="8"/>
  <c r="BV86" i="18" a="1"/>
  <c r="BV86" i="18"/>
  <c r="BX86" i="18" a="1"/>
  <c r="BX86" i="18"/>
  <c r="FX93" i="8"/>
  <c r="BY86" i="18" a="1"/>
  <c r="BY86" i="18"/>
  <c r="FU93" i="8"/>
  <c r="CE86" i="18" a="1"/>
  <c r="CE86" i="18"/>
  <c r="FV93" i="8"/>
  <c r="BP86" i="18" a="1"/>
  <c r="BP86" i="18"/>
  <c r="FW93" i="8"/>
  <c r="FC89" i="8"/>
  <c r="CD82" i="18" a="1"/>
  <c r="CD82" i="18"/>
  <c r="Q89" i="8"/>
  <c r="BV82" i="18" a="1"/>
  <c r="BV82" i="18"/>
  <c r="BX82" i="18" a="1"/>
  <c r="BX82" i="18"/>
  <c r="FX89" i="8"/>
  <c r="BY82" i="18" a="1"/>
  <c r="BY82" i="18"/>
  <c r="FU89" i="8"/>
  <c r="CE82" i="18" a="1"/>
  <c r="CE82" i="18"/>
  <c r="FV89" i="8"/>
  <c r="BP82" i="18" a="1"/>
  <c r="BP82" i="18"/>
  <c r="FW89" i="8"/>
  <c r="FC85" i="8"/>
  <c r="CD78" i="18" a="1"/>
  <c r="CD78" i="18"/>
  <c r="Q85" i="8"/>
  <c r="BV78" i="18" a="1"/>
  <c r="BV78" i="18"/>
  <c r="CE78" i="18" a="1"/>
  <c r="CE78" i="18"/>
  <c r="FV85" i="8"/>
  <c r="BP78" i="18" a="1"/>
  <c r="BP78" i="18"/>
  <c r="FW85" i="8"/>
  <c r="BX78" i="18" a="1"/>
  <c r="BX78" i="18"/>
  <c r="FX85" i="8"/>
  <c r="FU85" i="8"/>
  <c r="BY78" i="18" a="1"/>
  <c r="BY78" i="18"/>
  <c r="FC81" i="8"/>
  <c r="CD74" i="18" a="1"/>
  <c r="CD74" i="18"/>
  <c r="Q81" i="8"/>
  <c r="BV74" i="18" a="1"/>
  <c r="BV74" i="18"/>
  <c r="CE74" i="18" a="1"/>
  <c r="CE74" i="18"/>
  <c r="FV81" i="8"/>
  <c r="BP74" i="18" a="1"/>
  <c r="BP74" i="18"/>
  <c r="FW81" i="8"/>
  <c r="BX74" i="18" a="1"/>
  <c r="BX74" i="18"/>
  <c r="FX81" i="8"/>
  <c r="FU81" i="8"/>
  <c r="BY74" i="18" a="1"/>
  <c r="BY74" i="18"/>
  <c r="FC77" i="8"/>
  <c r="CD70" i="18" a="1"/>
  <c r="CD70" i="18"/>
  <c r="Q77" i="8"/>
  <c r="BV70" i="18" a="1"/>
  <c r="BV70" i="18"/>
  <c r="CE70" i="18" a="1"/>
  <c r="CE70" i="18"/>
  <c r="FV77" i="8"/>
  <c r="BP70" i="18" a="1"/>
  <c r="BP70" i="18"/>
  <c r="FW77" i="8"/>
  <c r="BX70" i="18" a="1"/>
  <c r="BX70" i="18"/>
  <c r="FX77" i="8"/>
  <c r="FU77" i="8"/>
  <c r="BY70" i="18" a="1"/>
  <c r="BY70" i="18"/>
  <c r="FC73" i="8"/>
  <c r="CD66" i="18" a="1"/>
  <c r="CD66" i="18"/>
  <c r="Q73" i="8"/>
  <c r="BV66" i="18" a="1"/>
  <c r="BV66" i="18"/>
  <c r="CE66" i="18" a="1"/>
  <c r="CE66" i="18"/>
  <c r="FV73" i="8"/>
  <c r="BP66" i="18" a="1"/>
  <c r="BP66" i="18"/>
  <c r="FW73" i="8"/>
  <c r="BX66" i="18" a="1"/>
  <c r="BX66" i="18"/>
  <c r="FX73" i="8"/>
  <c r="FU73" i="8"/>
  <c r="BY66" i="18" a="1"/>
  <c r="BY66" i="18"/>
  <c r="FC69" i="8"/>
  <c r="CD62" i="18" a="1"/>
  <c r="CD62" i="18"/>
  <c r="Q69" i="8"/>
  <c r="BV62" i="18" a="1"/>
  <c r="BV62" i="18"/>
  <c r="CE62" i="18" a="1"/>
  <c r="CE62" i="18"/>
  <c r="FV69" i="8"/>
  <c r="BP62" i="18" a="1"/>
  <c r="BP62" i="18"/>
  <c r="FW69" i="8"/>
  <c r="BX62" i="18" a="1"/>
  <c r="BX62" i="18"/>
  <c r="FX69" i="8"/>
  <c r="FU69" i="8"/>
  <c r="BY62" i="18" a="1"/>
  <c r="BY62" i="18"/>
  <c r="FC65" i="8"/>
  <c r="CD58" i="18" a="1"/>
  <c r="CD58" i="18"/>
  <c r="Q65" i="8"/>
  <c r="BV58" i="18" a="1"/>
  <c r="BV58" i="18"/>
  <c r="CE58" i="18" a="1"/>
  <c r="CE58" i="18"/>
  <c r="FV65" i="8"/>
  <c r="BP58" i="18" a="1"/>
  <c r="BP58" i="18"/>
  <c r="FW65" i="8"/>
  <c r="BX58" i="18" a="1"/>
  <c r="BX58" i="18"/>
  <c r="FX65" i="8"/>
  <c r="BY58" i="18" a="1"/>
  <c r="BY58" i="18"/>
  <c r="FU65" i="8"/>
  <c r="FC61" i="8"/>
  <c r="CD54" i="18" a="1"/>
  <c r="CD54" i="18"/>
  <c r="Q61" i="8"/>
  <c r="BV54" i="18" a="1"/>
  <c r="BV54" i="18"/>
  <c r="CE54" i="18" a="1"/>
  <c r="CE54" i="18"/>
  <c r="FV61" i="8"/>
  <c r="BP54" i="18" a="1"/>
  <c r="BP54" i="18"/>
  <c r="FW61" i="8"/>
  <c r="BX54" i="18" a="1"/>
  <c r="BX54" i="18"/>
  <c r="FX61" i="8"/>
  <c r="BY54" i="18" a="1"/>
  <c r="BY54" i="18"/>
  <c r="FU61" i="8"/>
  <c r="FC57" i="8"/>
  <c r="CD50" i="18" a="1"/>
  <c r="CD50" i="18"/>
  <c r="Q57" i="8"/>
  <c r="BV50" i="18" a="1"/>
  <c r="BV50" i="18"/>
  <c r="CE50" i="18" a="1"/>
  <c r="CE50" i="18"/>
  <c r="FV57" i="8"/>
  <c r="BP50" i="18" a="1"/>
  <c r="BP50" i="18"/>
  <c r="FW57" i="8"/>
  <c r="BX50" i="18" a="1"/>
  <c r="BX50" i="18"/>
  <c r="FX57" i="8"/>
  <c r="BY50" i="18" a="1"/>
  <c r="BY50" i="18"/>
  <c r="FU57" i="8"/>
  <c r="FC53" i="8"/>
  <c r="CD46" i="18" a="1"/>
  <c r="CD46" i="18"/>
  <c r="Q53" i="8"/>
  <c r="BV46" i="18" a="1"/>
  <c r="BV46" i="18"/>
  <c r="BP46" i="18" a="1"/>
  <c r="BP46" i="18"/>
  <c r="BY46" i="18" a="1"/>
  <c r="BY46" i="18"/>
  <c r="FV53" i="8"/>
  <c r="CE46" i="18" a="1"/>
  <c r="CE46" i="18"/>
  <c r="FW53" i="8"/>
  <c r="FX53" i="8"/>
  <c r="BX46" i="18" a="1"/>
  <c r="BX46" i="18"/>
  <c r="FU53" i="8"/>
  <c r="FC49" i="8"/>
  <c r="CD42" i="18" a="1"/>
  <c r="CD42" i="18"/>
  <c r="Q49" i="8"/>
  <c r="BV42" i="18" a="1"/>
  <c r="BV42" i="18"/>
  <c r="BP42" i="18" a="1"/>
  <c r="BP42" i="18"/>
  <c r="FW49" i="8"/>
  <c r="BY42" i="18" a="1"/>
  <c r="BY42" i="18"/>
  <c r="FV49" i="8"/>
  <c r="CE42" i="18" a="1"/>
  <c r="CE42" i="18"/>
  <c r="FX49" i="8"/>
  <c r="BX42" i="18" a="1"/>
  <c r="BX42" i="18"/>
  <c r="FU49" i="8"/>
  <c r="FC45" i="8"/>
  <c r="CD38" i="18" a="1"/>
  <c r="CD38" i="18"/>
  <c r="Q45" i="8"/>
  <c r="BV38" i="18" a="1"/>
  <c r="BV38" i="18"/>
  <c r="BP38" i="18" a="1"/>
  <c r="BP38" i="18"/>
  <c r="FW45" i="8"/>
  <c r="BX38" i="18" a="1"/>
  <c r="BX38" i="18"/>
  <c r="FX45" i="8"/>
  <c r="FU45" i="8"/>
  <c r="BY38" i="18" a="1"/>
  <c r="BY38" i="18"/>
  <c r="FV45" i="8"/>
  <c r="CE38" i="18" a="1"/>
  <c r="CE38" i="18"/>
  <c r="FC41" i="8"/>
  <c r="CD34" i="18" a="1"/>
  <c r="CD34" i="18"/>
  <c r="Q41" i="8"/>
  <c r="BV34" i="18" a="1"/>
  <c r="BV34" i="18"/>
  <c r="CE34" i="18" a="1"/>
  <c r="CE34" i="18"/>
  <c r="FV41" i="8"/>
  <c r="BP34" i="18" a="1"/>
  <c r="BP34" i="18"/>
  <c r="FW41" i="8"/>
  <c r="BX34" i="18" a="1"/>
  <c r="BX34" i="18"/>
  <c r="FX41" i="8"/>
  <c r="FU41" i="8"/>
  <c r="BY34" i="18" a="1"/>
  <c r="BY34" i="18"/>
  <c r="FC37" i="8"/>
  <c r="CD30" i="18" a="1"/>
  <c r="CD30" i="18"/>
  <c r="Q37" i="8"/>
  <c r="BV30" i="18" a="1"/>
  <c r="BV30" i="18"/>
  <c r="CE30" i="18" a="1"/>
  <c r="CE30" i="18"/>
  <c r="FV37" i="8"/>
  <c r="BP30" i="18" a="1"/>
  <c r="BP30" i="18"/>
  <c r="FW37" i="8"/>
  <c r="BX30" i="18" a="1"/>
  <c r="BX30" i="18"/>
  <c r="FX37" i="8"/>
  <c r="FU37" i="8"/>
  <c r="BY30" i="18" a="1"/>
  <c r="BY30" i="18"/>
  <c r="FC33" i="8"/>
  <c r="CD26" i="18" a="1"/>
  <c r="CD26" i="18"/>
  <c r="Q33" i="8"/>
  <c r="BV26" i="18" a="1"/>
  <c r="BV26" i="18"/>
  <c r="CE26" i="18" a="1"/>
  <c r="CE26" i="18"/>
  <c r="FV33" i="8"/>
  <c r="BP26" i="18" a="1"/>
  <c r="BP26" i="18"/>
  <c r="FW33" i="8"/>
  <c r="BX26" i="18" a="1"/>
  <c r="BX26" i="18"/>
  <c r="FX33" i="8"/>
  <c r="FU33" i="8"/>
  <c r="BY26" i="18" a="1"/>
  <c r="BY26" i="18"/>
  <c r="FC29" i="8"/>
  <c r="CD22" i="18" a="1"/>
  <c r="CD22" i="18"/>
  <c r="Q29" i="8"/>
  <c r="BV22" i="18" a="1"/>
  <c r="BV22" i="18"/>
  <c r="CE22" i="18" a="1"/>
  <c r="CE22" i="18"/>
  <c r="FV29" i="8"/>
  <c r="BP22" i="18" a="1"/>
  <c r="BP22" i="18"/>
  <c r="FW29" i="8"/>
  <c r="BX22" i="18" a="1"/>
  <c r="BX22" i="18"/>
  <c r="FX29" i="8"/>
  <c r="BY22" i="18" a="1"/>
  <c r="BY22" i="18"/>
  <c r="FU29" i="8"/>
  <c r="FC25" i="8"/>
  <c r="CD18" i="18" a="1"/>
  <c r="CD18" i="18"/>
  <c r="Q25" i="8"/>
  <c r="BV18" i="18" a="1"/>
  <c r="BV18" i="18"/>
  <c r="CE18" i="18" a="1"/>
  <c r="CE18" i="18"/>
  <c r="FV25" i="8"/>
  <c r="BP18" i="18" a="1"/>
  <c r="BP18" i="18"/>
  <c r="FW25" i="8"/>
  <c r="BX18" i="18" a="1"/>
  <c r="BX18" i="18"/>
  <c r="FX25" i="8"/>
  <c r="BY18" i="18" a="1"/>
  <c r="BY18" i="18"/>
  <c r="FU25" i="8"/>
  <c r="FC21" i="8"/>
  <c r="CD14" i="18" a="1"/>
  <c r="CD14" i="18"/>
  <c r="Q21" i="8"/>
  <c r="BV14" i="18" a="1"/>
  <c r="BV14" i="18"/>
  <c r="CE14" i="18" a="1"/>
  <c r="CE14" i="18"/>
  <c r="FV21" i="8"/>
  <c r="BP14" i="18" a="1"/>
  <c r="BP14" i="18"/>
  <c r="FW21" i="8"/>
  <c r="BX14" i="18" a="1"/>
  <c r="BX14" i="18"/>
  <c r="FX21" i="8"/>
  <c r="BY14" i="18" a="1"/>
  <c r="BY14" i="18"/>
  <c r="FU21" i="8"/>
  <c r="FC17" i="8"/>
  <c r="CD10" i="18" a="1"/>
  <c r="CD10" i="18"/>
  <c r="Q17" i="8"/>
  <c r="BV10" i="18" a="1"/>
  <c r="BV10" i="18"/>
  <c r="CE10" i="18" a="1"/>
  <c r="CE10" i="18"/>
  <c r="FV17" i="8"/>
  <c r="BP10" i="18" a="1"/>
  <c r="BP10" i="18"/>
  <c r="FW17" i="8"/>
  <c r="BX10" i="18" a="1"/>
  <c r="BX10" i="18"/>
  <c r="FX17" i="8"/>
  <c r="BY10" i="18" a="1"/>
  <c r="BY10" i="18"/>
  <c r="FU17" i="8"/>
  <c r="FC13" i="8"/>
  <c r="CD6" i="18" a="1"/>
  <c r="CD6" i="18"/>
  <c r="Q13" i="8"/>
  <c r="BV6" i="18" a="1"/>
  <c r="BV6" i="18"/>
  <c r="CE6" i="18" a="1"/>
  <c r="CE6" i="18"/>
  <c r="FV13" i="8"/>
  <c r="BP6" i="18" a="1"/>
  <c r="BP6" i="18"/>
  <c r="FW13" i="8"/>
  <c r="BX6" i="18" a="1"/>
  <c r="BX6" i="18"/>
  <c r="FX13" i="8"/>
  <c r="BY6" i="18" a="1"/>
  <c r="BY6" i="18"/>
  <c r="FU13" i="8"/>
  <c r="FW145" i="8"/>
  <c r="BP138" i="18" a="1"/>
  <c r="BP138" i="18"/>
  <c r="FU144" i="8"/>
  <c r="FU142" i="8"/>
  <c r="BY135" i="18" a="1"/>
  <c r="BY135" i="18"/>
  <c r="FW141" i="8"/>
  <c r="BP134" i="18" a="1"/>
  <c r="BP134" i="18"/>
  <c r="FU140" i="8"/>
  <c r="FU138" i="8"/>
  <c r="BY131" i="18" a="1"/>
  <c r="BY131" i="18"/>
  <c r="FW137" i="8"/>
  <c r="BP130" i="18" a="1"/>
  <c r="BP130" i="18"/>
  <c r="FU136" i="8"/>
  <c r="FU134" i="8"/>
  <c r="BY127" i="18" a="1"/>
  <c r="BY127" i="18"/>
  <c r="FW133" i="8"/>
  <c r="BP126" i="18" a="1"/>
  <c r="BP126" i="18"/>
  <c r="FU132" i="8"/>
  <c r="FX130" i="8"/>
  <c r="BX123" i="18" a="1"/>
  <c r="BX123" i="18"/>
  <c r="FU129" i="8"/>
  <c r="BY122" i="18" a="1"/>
  <c r="BY122" i="18"/>
  <c r="FV128" i="8"/>
  <c r="FX126" i="8"/>
  <c r="BX119" i="18" a="1"/>
  <c r="BX119" i="18"/>
  <c r="FU125" i="8"/>
  <c r="BY118" i="18" a="1"/>
  <c r="BY118" i="18"/>
  <c r="FV124" i="8"/>
  <c r="FX122" i="8"/>
  <c r="BX115" i="18" a="1"/>
  <c r="BX115" i="18"/>
  <c r="BP114" i="18" a="1"/>
  <c r="BP114" i="18"/>
  <c r="FX118" i="8"/>
  <c r="BX111" i="18" a="1"/>
  <c r="BX111" i="18"/>
  <c r="BP110" i="18" a="1"/>
  <c r="BP110" i="18"/>
  <c r="FX114" i="8"/>
  <c r="BX107" i="18" a="1"/>
  <c r="BX107" i="18"/>
  <c r="BP106" i="18" a="1"/>
  <c r="BP106" i="18"/>
  <c r="FX110" i="8"/>
  <c r="BX103" i="18" a="1"/>
  <c r="BX103" i="18"/>
  <c r="BP102" i="18" a="1"/>
  <c r="BP102" i="18"/>
  <c r="BP98" i="18" a="1"/>
  <c r="BP98" i="18"/>
  <c r="BP94" i="18" a="1"/>
  <c r="BP94" i="18"/>
  <c r="FC144" i="8"/>
  <c r="Q144" i="8"/>
  <c r="FC140" i="8"/>
  <c r="Q140" i="8"/>
  <c r="FC136" i="8"/>
  <c r="Q136" i="8"/>
  <c r="FC132" i="8"/>
  <c r="Q132" i="8"/>
  <c r="FC128" i="8"/>
  <c r="CD121" i="18" a="1"/>
  <c r="CD121" i="18"/>
  <c r="Q128" i="8"/>
  <c r="BV121" i="18" a="1"/>
  <c r="BV121" i="18"/>
  <c r="FC124" i="8"/>
  <c r="CD117" i="18" a="1"/>
  <c r="CD117" i="18"/>
  <c r="Q124" i="8"/>
  <c r="BV117" i="18" a="1"/>
  <c r="BV117" i="18"/>
  <c r="FC120" i="8"/>
  <c r="CD113" i="18" a="1"/>
  <c r="CD113" i="18"/>
  <c r="Q120" i="8"/>
  <c r="BV113" i="18" a="1"/>
  <c r="BV113" i="18"/>
  <c r="BY113" i="18" a="1"/>
  <c r="BY113" i="18"/>
  <c r="FU120" i="8"/>
  <c r="BP113" i="18" a="1"/>
  <c r="BP113" i="18"/>
  <c r="FW120" i="8"/>
  <c r="FC116" i="8"/>
  <c r="CD109" i="18" a="1"/>
  <c r="CD109" i="18"/>
  <c r="Q116" i="8"/>
  <c r="BV109" i="18" a="1"/>
  <c r="BV109" i="18"/>
  <c r="BY109" i="18" a="1"/>
  <c r="BY109" i="18"/>
  <c r="FU116" i="8"/>
  <c r="BP109" i="18" a="1"/>
  <c r="BP109" i="18"/>
  <c r="FW116" i="8"/>
  <c r="FC112" i="8"/>
  <c r="CD105" i="18" a="1"/>
  <c r="CD105" i="18"/>
  <c r="Q112" i="8"/>
  <c r="BV105" i="18" a="1"/>
  <c r="BV105" i="18"/>
  <c r="BY105" i="18" a="1"/>
  <c r="BY105" i="18"/>
  <c r="FU112" i="8"/>
  <c r="BP105" i="18" a="1"/>
  <c r="BP105" i="18"/>
  <c r="FW112" i="8"/>
  <c r="FC108" i="8"/>
  <c r="CD101" i="18" a="1"/>
  <c r="CD101" i="18"/>
  <c r="Q108" i="8"/>
  <c r="BV101" i="18" a="1"/>
  <c r="BV101" i="18"/>
  <c r="BY101" i="18" a="1"/>
  <c r="BY101" i="18"/>
  <c r="FU108" i="8"/>
  <c r="BP101" i="18" a="1"/>
  <c r="BP101" i="18"/>
  <c r="FW108" i="8"/>
  <c r="FC104" i="8"/>
  <c r="CD97" i="18" a="1"/>
  <c r="CD97" i="18"/>
  <c r="Q104" i="8"/>
  <c r="BV97" i="18" a="1"/>
  <c r="BV97" i="18"/>
  <c r="BY97" i="18" a="1"/>
  <c r="BY97" i="18"/>
  <c r="FU104" i="8"/>
  <c r="CE97" i="18" a="1"/>
  <c r="CE97" i="18"/>
  <c r="FV104" i="8"/>
  <c r="BP97" i="18" a="1"/>
  <c r="BP97" i="18"/>
  <c r="FW104" i="8"/>
  <c r="FC100" i="8"/>
  <c r="CD93" i="18" a="1"/>
  <c r="CD93" i="18"/>
  <c r="Q100" i="8"/>
  <c r="BV93" i="18" a="1"/>
  <c r="BV93" i="18"/>
  <c r="BY93" i="18" a="1"/>
  <c r="BY93" i="18"/>
  <c r="FU100" i="8"/>
  <c r="CE93" i="18" a="1"/>
  <c r="CE93" i="18"/>
  <c r="FV100" i="8"/>
  <c r="BP93" i="18" a="1"/>
  <c r="BP93" i="18"/>
  <c r="FW100" i="8"/>
  <c r="FC96" i="8"/>
  <c r="CD89" i="18" a="1"/>
  <c r="CD89" i="18"/>
  <c r="Q96" i="8"/>
  <c r="BV89" i="18" a="1"/>
  <c r="BV89" i="18"/>
  <c r="BY89" i="18" a="1"/>
  <c r="BY89" i="18"/>
  <c r="FU96" i="8"/>
  <c r="CE89" i="18" a="1"/>
  <c r="CE89" i="18"/>
  <c r="FV96" i="8"/>
  <c r="BP89" i="18" a="1"/>
  <c r="BP89" i="18"/>
  <c r="FW96" i="8"/>
  <c r="BX89" i="18" a="1"/>
  <c r="BX89" i="18"/>
  <c r="FX96" i="8"/>
  <c r="FC92" i="8"/>
  <c r="CD85" i="18" a="1"/>
  <c r="CD85" i="18"/>
  <c r="Q92" i="8"/>
  <c r="BV85" i="18" a="1"/>
  <c r="BV85" i="18"/>
  <c r="BY85" i="18" a="1"/>
  <c r="BY85" i="18"/>
  <c r="FU92" i="8"/>
  <c r="CE85" i="18" a="1"/>
  <c r="CE85" i="18"/>
  <c r="FV92" i="8"/>
  <c r="BP85" i="18" a="1"/>
  <c r="BP85" i="18"/>
  <c r="FW92" i="8"/>
  <c r="BX85" i="18" a="1"/>
  <c r="BX85" i="18"/>
  <c r="FX92" i="8"/>
  <c r="FC88" i="8"/>
  <c r="CD81" i="18" a="1"/>
  <c r="CD81" i="18"/>
  <c r="Q88" i="8"/>
  <c r="BV81" i="18" a="1"/>
  <c r="BV81" i="18"/>
  <c r="BY81" i="18" a="1"/>
  <c r="BY81" i="18"/>
  <c r="FU88" i="8"/>
  <c r="CE81" i="18" a="1"/>
  <c r="CE81" i="18"/>
  <c r="FV88" i="8"/>
  <c r="BP81" i="18" a="1"/>
  <c r="BP81" i="18"/>
  <c r="FW88" i="8"/>
  <c r="BX81" i="18" a="1"/>
  <c r="BX81" i="18"/>
  <c r="FX88" i="8"/>
  <c r="FC84" i="8"/>
  <c r="CD77" i="18" a="1"/>
  <c r="CD77" i="18"/>
  <c r="Q84" i="8"/>
  <c r="BV77" i="18" a="1"/>
  <c r="BV77" i="18"/>
  <c r="BP77" i="18" a="1"/>
  <c r="BP77" i="18"/>
  <c r="FW84" i="8"/>
  <c r="BX77" i="18" a="1"/>
  <c r="BX77" i="18"/>
  <c r="FX84" i="8"/>
  <c r="BY77" i="18" a="1"/>
  <c r="BY77" i="18"/>
  <c r="FU84" i="8"/>
  <c r="FV84" i="8"/>
  <c r="CE77" i="18" a="1"/>
  <c r="CE77" i="18"/>
  <c r="FC80" i="8"/>
  <c r="CD73" i="18" a="1"/>
  <c r="CD73" i="18"/>
  <c r="Q80" i="8"/>
  <c r="BV73" i="18" a="1"/>
  <c r="BV73" i="18"/>
  <c r="BP73" i="18" a="1"/>
  <c r="BP73" i="18"/>
  <c r="FW80" i="8"/>
  <c r="BX73" i="18" a="1"/>
  <c r="BX73" i="18"/>
  <c r="FX80" i="8"/>
  <c r="BY73" i="18" a="1"/>
  <c r="BY73" i="18"/>
  <c r="FU80" i="8"/>
  <c r="FV80" i="8"/>
  <c r="CE73" i="18" a="1"/>
  <c r="CE73" i="18"/>
  <c r="FC76" i="8"/>
  <c r="CD69" i="18" a="1"/>
  <c r="CD69" i="18"/>
  <c r="Q76" i="8"/>
  <c r="BV69" i="18" a="1"/>
  <c r="BV69" i="18"/>
  <c r="BP69" i="18" a="1"/>
  <c r="BP69" i="18"/>
  <c r="FW76" i="8"/>
  <c r="BX69" i="18" a="1"/>
  <c r="BX69" i="18"/>
  <c r="FX76" i="8"/>
  <c r="BY69" i="18" a="1"/>
  <c r="BY69" i="18"/>
  <c r="FU76" i="8"/>
  <c r="FV76" i="8"/>
  <c r="CE69" i="18" a="1"/>
  <c r="CE69" i="18"/>
  <c r="FC72" i="8"/>
  <c r="CD65" i="18" a="1"/>
  <c r="CD65" i="18"/>
  <c r="Q72" i="8"/>
  <c r="BV65" i="18" a="1"/>
  <c r="BV65" i="18"/>
  <c r="BP65" i="18" a="1"/>
  <c r="BP65" i="18"/>
  <c r="FW72" i="8"/>
  <c r="BX65" i="18" a="1"/>
  <c r="BX65" i="18"/>
  <c r="FX72" i="8"/>
  <c r="BY65" i="18" a="1"/>
  <c r="BY65" i="18"/>
  <c r="FU72" i="8"/>
  <c r="FV72" i="8"/>
  <c r="CE65" i="18" a="1"/>
  <c r="CE65" i="18"/>
  <c r="FC68" i="8"/>
  <c r="CD61" i="18" a="1"/>
  <c r="CD61" i="18"/>
  <c r="Q68" i="8"/>
  <c r="BV61" i="18" a="1"/>
  <c r="BV61" i="18"/>
  <c r="BP61" i="18" a="1"/>
  <c r="BP61" i="18"/>
  <c r="FW68" i="8"/>
  <c r="BX61" i="18" a="1"/>
  <c r="BX61" i="18"/>
  <c r="FX68" i="8"/>
  <c r="BY61" i="18" a="1"/>
  <c r="BY61" i="18"/>
  <c r="FU68" i="8"/>
  <c r="FV68" i="8"/>
  <c r="CE61" i="18" a="1"/>
  <c r="CE61" i="18"/>
  <c r="FC64" i="8"/>
  <c r="CD57" i="18" a="1"/>
  <c r="CD57" i="18"/>
  <c r="Q64" i="8"/>
  <c r="BV57" i="18" a="1"/>
  <c r="BV57" i="18"/>
  <c r="BP57" i="18" a="1"/>
  <c r="BP57" i="18"/>
  <c r="FW64" i="8"/>
  <c r="BX57" i="18" a="1"/>
  <c r="BX57" i="18"/>
  <c r="FX64" i="8"/>
  <c r="BY57" i="18" a="1"/>
  <c r="BY57" i="18"/>
  <c r="FU64" i="8"/>
  <c r="CE57" i="18" a="1"/>
  <c r="CE57" i="18"/>
  <c r="FV64" i="8"/>
  <c r="FC60" i="8"/>
  <c r="CD53" i="18" a="1"/>
  <c r="CD53" i="18"/>
  <c r="Q60" i="8"/>
  <c r="BV53" i="18" a="1"/>
  <c r="BV53" i="18"/>
  <c r="BP53" i="18" a="1"/>
  <c r="BP53" i="18"/>
  <c r="FW60" i="8"/>
  <c r="BX53" i="18" a="1"/>
  <c r="BX53" i="18"/>
  <c r="FX60" i="8"/>
  <c r="BY53" i="18" a="1"/>
  <c r="BY53" i="18"/>
  <c r="FU60" i="8"/>
  <c r="CE53" i="18" a="1"/>
  <c r="CE53" i="18"/>
  <c r="FV60" i="8"/>
  <c r="FC56" i="8"/>
  <c r="CD49" i="18" a="1"/>
  <c r="CD49" i="18"/>
  <c r="Q56" i="8"/>
  <c r="BV49" i="18" a="1"/>
  <c r="BV49" i="18"/>
  <c r="BP49" i="18" a="1"/>
  <c r="BP49" i="18"/>
  <c r="FW56" i="8"/>
  <c r="BX49" i="18" a="1"/>
  <c r="BX49" i="18"/>
  <c r="FX56" i="8"/>
  <c r="BY49" i="18" a="1"/>
  <c r="BY49" i="18"/>
  <c r="FU56" i="8"/>
  <c r="CE49" i="18" a="1"/>
  <c r="CE49" i="18"/>
  <c r="FV56" i="8"/>
  <c r="FC52" i="8"/>
  <c r="CD45" i="18" a="1"/>
  <c r="CD45" i="18"/>
  <c r="Q52" i="8"/>
  <c r="BV45" i="18" a="1"/>
  <c r="BV45" i="18"/>
  <c r="BX45" i="18" a="1"/>
  <c r="BX45" i="18"/>
  <c r="FX52" i="8"/>
  <c r="BY45" i="18" a="1"/>
  <c r="BY45" i="18"/>
  <c r="FU52" i="8"/>
  <c r="CE45" i="18" a="1"/>
  <c r="CE45" i="18"/>
  <c r="FV52" i="8"/>
  <c r="BP45" i="18" a="1"/>
  <c r="BP45" i="18"/>
  <c r="FW52" i="8"/>
  <c r="FC48" i="8"/>
  <c r="CD41" i="18" a="1"/>
  <c r="CD41" i="18"/>
  <c r="Q48" i="8"/>
  <c r="BV41" i="18" a="1"/>
  <c r="BV41" i="18"/>
  <c r="BX41" i="18" a="1"/>
  <c r="BX41" i="18"/>
  <c r="FX48" i="8"/>
  <c r="BY41" i="18" a="1"/>
  <c r="BY41" i="18"/>
  <c r="FU48" i="8"/>
  <c r="CE41" i="18" a="1"/>
  <c r="CE41" i="18"/>
  <c r="FV48" i="8"/>
  <c r="BP41" i="18" a="1"/>
  <c r="BP41" i="18"/>
  <c r="FW48" i="8"/>
  <c r="FC44" i="8"/>
  <c r="CD37" i="18" a="1"/>
  <c r="CD37" i="18"/>
  <c r="Q44" i="8"/>
  <c r="BV37" i="18" a="1"/>
  <c r="BV37" i="18"/>
  <c r="BX37" i="18" a="1"/>
  <c r="BX37" i="18"/>
  <c r="FX44" i="8"/>
  <c r="BY37" i="18" a="1"/>
  <c r="BY37" i="18"/>
  <c r="FU44" i="8"/>
  <c r="CE37" i="18" a="1"/>
  <c r="CE37" i="18"/>
  <c r="FW44" i="8"/>
  <c r="BP37" i="18" a="1"/>
  <c r="BP37" i="18"/>
  <c r="FV44" i="8"/>
  <c r="FC40" i="8"/>
  <c r="CD33" i="18" a="1"/>
  <c r="CD33" i="18"/>
  <c r="Q40" i="8"/>
  <c r="BV33" i="18" a="1"/>
  <c r="BV33" i="18"/>
  <c r="BP33" i="18" a="1"/>
  <c r="BP33" i="18"/>
  <c r="FW40" i="8"/>
  <c r="BX33" i="18" a="1"/>
  <c r="BX33" i="18"/>
  <c r="FX40" i="8"/>
  <c r="BY33" i="18" a="1"/>
  <c r="BY33" i="18"/>
  <c r="FU40" i="8"/>
  <c r="FV40" i="8"/>
  <c r="CE33" i="18" a="1"/>
  <c r="CE33" i="18"/>
  <c r="FC36" i="8"/>
  <c r="CD29" i="18" a="1"/>
  <c r="CD29" i="18"/>
  <c r="Q36" i="8"/>
  <c r="BV29" i="18" a="1"/>
  <c r="BV29" i="18"/>
  <c r="BP29" i="18" a="1"/>
  <c r="BP29" i="18"/>
  <c r="FW36" i="8"/>
  <c r="BX29" i="18" a="1"/>
  <c r="BX29" i="18"/>
  <c r="FX36" i="8"/>
  <c r="BY29" i="18" a="1"/>
  <c r="BY29" i="18"/>
  <c r="FU36" i="8"/>
  <c r="FV36" i="8"/>
  <c r="CE29" i="18" a="1"/>
  <c r="CE29" i="18"/>
  <c r="FC32" i="8"/>
  <c r="CD25" i="18" a="1"/>
  <c r="CD25" i="18"/>
  <c r="Q32" i="8"/>
  <c r="BV25" i="18" a="1"/>
  <c r="BV25" i="18"/>
  <c r="BP25" i="18" a="1"/>
  <c r="BP25" i="18"/>
  <c r="FW32" i="8"/>
  <c r="BX25" i="18" a="1"/>
  <c r="BX25" i="18"/>
  <c r="FX32" i="8"/>
  <c r="BY25" i="18" a="1"/>
  <c r="BY25" i="18"/>
  <c r="FU32" i="8"/>
  <c r="CE25" i="18" a="1"/>
  <c r="CE25" i="18"/>
  <c r="FV32" i="8"/>
  <c r="FC28" i="8"/>
  <c r="CD21" i="18" a="1"/>
  <c r="CD21" i="18"/>
  <c r="Q28" i="8"/>
  <c r="BV21" i="18" a="1"/>
  <c r="BV21" i="18"/>
  <c r="BP21" i="18" a="1"/>
  <c r="BP21" i="18"/>
  <c r="FW28" i="8"/>
  <c r="BX21" i="18" a="1"/>
  <c r="BX21" i="18"/>
  <c r="FX28" i="8"/>
  <c r="BY21" i="18" a="1"/>
  <c r="BY21" i="18"/>
  <c r="FU28" i="8"/>
  <c r="CE21" i="18" a="1"/>
  <c r="CE21" i="18"/>
  <c r="FV28" i="8"/>
  <c r="FC24" i="8"/>
  <c r="CD17" i="18" a="1"/>
  <c r="CD17" i="18"/>
  <c r="Q24" i="8"/>
  <c r="BV17" i="18" a="1"/>
  <c r="BV17" i="18"/>
  <c r="BP17" i="18" a="1"/>
  <c r="BP17" i="18"/>
  <c r="FW24" i="8"/>
  <c r="BX17" i="18" a="1"/>
  <c r="BX17" i="18"/>
  <c r="FX24" i="8"/>
  <c r="BY17" i="18" a="1"/>
  <c r="BY17" i="18"/>
  <c r="FU24" i="8"/>
  <c r="CE17" i="18" a="1"/>
  <c r="CE17" i="18"/>
  <c r="FV24" i="8"/>
  <c r="FC20" i="8"/>
  <c r="CD13" i="18" a="1"/>
  <c r="CD13" i="18"/>
  <c r="Q20" i="8"/>
  <c r="BV13" i="18" a="1"/>
  <c r="BV13" i="18"/>
  <c r="BP13" i="18" a="1"/>
  <c r="BP13" i="18"/>
  <c r="FW20" i="8"/>
  <c r="BX13" i="18" a="1"/>
  <c r="BX13" i="18"/>
  <c r="FX20" i="8"/>
  <c r="BY13" i="18" a="1"/>
  <c r="BY13" i="18"/>
  <c r="FU20" i="8"/>
  <c r="CE13" i="18" a="1"/>
  <c r="CE13" i="18"/>
  <c r="FV20" i="8"/>
  <c r="FC16" i="8"/>
  <c r="CD9" i="18" a="1"/>
  <c r="CD9" i="18"/>
  <c r="Q16" i="8"/>
  <c r="BV9" i="18" a="1"/>
  <c r="BV9" i="18"/>
  <c r="BP9" i="18" a="1"/>
  <c r="BP9" i="18"/>
  <c r="FW16" i="8"/>
  <c r="BX9" i="18" a="1"/>
  <c r="BX9" i="18"/>
  <c r="FX16" i="8"/>
  <c r="BY9" i="18" a="1"/>
  <c r="BY9" i="18"/>
  <c r="FU16" i="8"/>
  <c r="CE9" i="18" a="1"/>
  <c r="CE9" i="18"/>
  <c r="FV16" i="8"/>
  <c r="FC12" i="8"/>
  <c r="Q12" i="8"/>
  <c r="BV5" i="18" a="1"/>
  <c r="BV5" i="18"/>
  <c r="BP5" i="18" a="1"/>
  <c r="BP5" i="18"/>
  <c r="FW12" i="8"/>
  <c r="FX12" i="8"/>
  <c r="FU12" i="8"/>
  <c r="FV12" i="8"/>
  <c r="W134" i="8"/>
  <c r="Y132" i="8"/>
  <c r="U128" i="8"/>
  <c r="BN121" i="18" a="1"/>
  <c r="BN121" i="18"/>
  <c r="S126" i="8"/>
  <c r="BL119" i="18" a="1"/>
  <c r="BL119" i="18"/>
  <c r="U124" i="8"/>
  <c r="BN117" i="18" a="1"/>
  <c r="BN117" i="18"/>
  <c r="X123" i="8"/>
  <c r="BS116" i="18" a="1"/>
  <c r="BS116" i="18"/>
  <c r="T122" i="8"/>
  <c r="BM115" i="18" a="1"/>
  <c r="BM115" i="18"/>
  <c r="Y120" i="8"/>
  <c r="BT113" i="18" a="1"/>
  <c r="BT113" i="18"/>
  <c r="V118" i="8"/>
  <c r="BO111" i="18" a="1"/>
  <c r="BO111" i="18"/>
  <c r="W116" i="8"/>
  <c r="BR109" i="18" a="1"/>
  <c r="BR109" i="18"/>
  <c r="V115" i="8"/>
  <c r="BO108" i="18" a="1"/>
  <c r="BO108" i="18"/>
  <c r="W114" i="8"/>
  <c r="BR107" i="18" a="1"/>
  <c r="BR107" i="18"/>
  <c r="V112" i="8"/>
  <c r="BO105" i="18" a="1"/>
  <c r="BO105" i="18"/>
  <c r="W111" i="8"/>
  <c r="BR104" i="18" a="1"/>
  <c r="BR104" i="18"/>
  <c r="T110" i="8"/>
  <c r="BM103" i="18" a="1"/>
  <c r="BM103" i="18"/>
  <c r="U108" i="8"/>
  <c r="BN101" i="18" a="1"/>
  <c r="BN101" i="18"/>
  <c r="S107" i="8"/>
  <c r="BL100" i="18" a="1"/>
  <c r="BL100" i="18"/>
  <c r="V106" i="8"/>
  <c r="BO99" i="18" a="1"/>
  <c r="BO99" i="18"/>
  <c r="W104" i="8"/>
  <c r="BR97" i="18" a="1"/>
  <c r="BR97" i="18"/>
  <c r="V103" i="8"/>
  <c r="BO96" i="18" a="1"/>
  <c r="BO96" i="18"/>
  <c r="T102" i="8"/>
  <c r="BM95" i="18" a="1"/>
  <c r="BM95" i="18"/>
  <c r="W100" i="8"/>
  <c r="BR93" i="18" a="1"/>
  <c r="BR93" i="18"/>
  <c r="W99" i="8"/>
  <c r="BR92" i="18" a="1"/>
  <c r="BR92" i="18"/>
  <c r="S98" i="8"/>
  <c r="BL91" i="18" a="1"/>
  <c r="BL91" i="18"/>
  <c r="W96" i="8"/>
  <c r="BR89" i="18" a="1"/>
  <c r="BR89" i="18"/>
  <c r="U95" i="8"/>
  <c r="BN88" i="18" a="1"/>
  <c r="BN88" i="18"/>
  <c r="U94" i="8"/>
  <c r="BN87" i="18" a="1"/>
  <c r="BN87" i="18"/>
  <c r="V91" i="8"/>
  <c r="BO84" i="18" a="1"/>
  <c r="BO84" i="18"/>
  <c r="X90" i="8"/>
  <c r="BS83" i="18" a="1"/>
  <c r="BS83" i="18"/>
  <c r="S88" i="8"/>
  <c r="BL81" i="18" a="1"/>
  <c r="BL81" i="18"/>
  <c r="X87" i="8"/>
  <c r="BS80" i="18" a="1"/>
  <c r="BS80" i="18"/>
  <c r="V86" i="8"/>
  <c r="BO79" i="18" a="1"/>
  <c r="BO79" i="18"/>
  <c r="S84" i="8"/>
  <c r="BL77" i="18" a="1"/>
  <c r="BL77" i="18"/>
  <c r="V82" i="8"/>
  <c r="BO75" i="18" a="1"/>
  <c r="BO75" i="18"/>
  <c r="W80" i="8"/>
  <c r="BR73" i="18" a="1"/>
  <c r="BR73" i="18"/>
  <c r="Y79" i="8"/>
  <c r="BT72" i="18" a="1"/>
  <c r="BT72" i="18"/>
  <c r="S76" i="8"/>
  <c r="BL69" i="18" a="1"/>
  <c r="BL69" i="18"/>
  <c r="X75" i="8"/>
  <c r="BS68" i="18" a="1"/>
  <c r="BS68" i="18"/>
  <c r="U74" i="8"/>
  <c r="BN67" i="18" a="1"/>
  <c r="BN67" i="18"/>
  <c r="S72" i="8"/>
  <c r="BL65" i="18" a="1"/>
  <c r="BL65" i="18"/>
  <c r="W71" i="8"/>
  <c r="BR64" i="18" a="1"/>
  <c r="BR64" i="18"/>
  <c r="W70" i="8"/>
  <c r="BR63" i="18" a="1"/>
  <c r="BR63" i="18"/>
  <c r="T68" i="8"/>
  <c r="BM61" i="18" a="1"/>
  <c r="BM61" i="18"/>
  <c r="S63" i="8"/>
  <c r="BL56" i="18" a="1"/>
  <c r="BL56" i="18"/>
  <c r="T59" i="8"/>
  <c r="BM52" i="18" a="1"/>
  <c r="BM52" i="18"/>
  <c r="X54" i="8"/>
  <c r="BS47" i="18" a="1"/>
  <c r="BS47" i="18"/>
  <c r="W52" i="8"/>
  <c r="BR45" i="18" a="1"/>
  <c r="BR45" i="18"/>
  <c r="U51" i="8"/>
  <c r="BN44" i="18" a="1"/>
  <c r="BN44" i="18"/>
  <c r="X48" i="8"/>
  <c r="BS41" i="18" a="1"/>
  <c r="BS41" i="18"/>
  <c r="Y46" i="8"/>
  <c r="BT39" i="18" a="1"/>
  <c r="BT39" i="18"/>
  <c r="X44" i="8"/>
  <c r="BS37" i="18" a="1"/>
  <c r="BS37" i="18"/>
  <c r="T42" i="8"/>
  <c r="BM35" i="18" a="1"/>
  <c r="BM35" i="18"/>
  <c r="V41" i="8"/>
  <c r="BO34" i="18" a="1"/>
  <c r="BO34" i="18"/>
  <c r="V40" i="8"/>
  <c r="BO33" i="18" a="1"/>
  <c r="BO33" i="18"/>
  <c r="T37" i="8"/>
  <c r="BM30" i="18" a="1"/>
  <c r="BM30" i="18"/>
  <c r="W33" i="8"/>
  <c r="BR26" i="18" a="1"/>
  <c r="BR26" i="18"/>
  <c r="U32" i="8"/>
  <c r="BN25" i="18" a="1"/>
  <c r="BN25" i="18"/>
  <c r="S31" i="8"/>
  <c r="BL24" i="18" a="1"/>
  <c r="BL24" i="18"/>
  <c r="V30" i="8"/>
  <c r="BO23" i="18" a="1"/>
  <c r="BO23" i="18"/>
  <c r="S29" i="8"/>
  <c r="BL22" i="18" a="1"/>
  <c r="BL22" i="18"/>
  <c r="V27" i="8"/>
  <c r="BO20" i="18" a="1"/>
  <c r="BO20" i="18"/>
  <c r="V26" i="8"/>
  <c r="BO19" i="18" a="1"/>
  <c r="BO19" i="18"/>
  <c r="U24" i="8"/>
  <c r="BN17" i="18" a="1"/>
  <c r="BN17" i="18"/>
  <c r="X22" i="8"/>
  <c r="BS15" i="18" a="1"/>
  <c r="BS15" i="18"/>
  <c r="W20" i="8"/>
  <c r="BR13" i="18" a="1"/>
  <c r="BR13" i="18"/>
  <c r="X19" i="8"/>
  <c r="BS12" i="18" a="1"/>
  <c r="BS12" i="18"/>
  <c r="V15" i="8"/>
  <c r="BO8" i="18" a="1"/>
  <c r="BO8" i="18"/>
  <c r="T14" i="8"/>
  <c r="BM7" i="18" a="1"/>
  <c r="BM7" i="18"/>
  <c r="W140" i="8"/>
  <c r="FV145" i="8"/>
  <c r="FX144" i="8"/>
  <c r="BX137" i="18" a="1"/>
  <c r="BX137" i="18"/>
  <c r="FX142" i="8"/>
  <c r="BX135" i="18" a="1"/>
  <c r="BX135" i="18"/>
  <c r="FV141" i="8"/>
  <c r="FX140" i="8"/>
  <c r="BX133" i="18" a="1"/>
  <c r="BX133" i="18"/>
  <c r="FX138" i="8"/>
  <c r="BX131" i="18" a="1"/>
  <c r="BX131" i="18"/>
  <c r="FV137" i="8"/>
  <c r="FX136" i="8"/>
  <c r="BX129" i="18" a="1"/>
  <c r="BX129" i="18"/>
  <c r="FX134" i="8"/>
  <c r="BX127" i="18" a="1"/>
  <c r="BX127" i="18"/>
  <c r="FV133" i="8"/>
  <c r="FX132" i="8"/>
  <c r="BX125" i="18" a="1"/>
  <c r="BX125" i="18"/>
  <c r="FW130" i="8"/>
  <c r="BP123" i="18" a="1"/>
  <c r="BP123" i="18"/>
  <c r="FX129" i="8"/>
  <c r="BX122" i="18" a="1"/>
  <c r="BX122" i="18"/>
  <c r="FU128" i="8"/>
  <c r="BY121" i="18" a="1"/>
  <c r="BY121" i="18"/>
  <c r="FW126" i="8"/>
  <c r="BP119" i="18" a="1"/>
  <c r="BP119" i="18"/>
  <c r="FX125" i="8"/>
  <c r="BX118" i="18" a="1"/>
  <c r="BX118" i="18"/>
  <c r="FU124" i="8"/>
  <c r="BY117" i="18" a="1"/>
  <c r="BY117" i="18"/>
  <c r="FV122" i="8"/>
  <c r="FW121" i="8"/>
  <c r="BY114" i="18" a="1"/>
  <c r="BY114" i="18"/>
  <c r="CE113" i="18" a="1"/>
  <c r="CE113" i="18"/>
  <c r="FV118" i="8"/>
  <c r="FW117" i="8"/>
  <c r="BY110" i="18" a="1"/>
  <c r="BY110" i="18"/>
  <c r="CE109" i="18" a="1"/>
  <c r="CE109" i="18"/>
  <c r="FV114" i="8"/>
  <c r="FW113" i="8"/>
  <c r="BY106" i="18" a="1"/>
  <c r="BY106" i="18"/>
  <c r="CE105" i="18" a="1"/>
  <c r="CE105" i="18"/>
  <c r="FV110" i="8"/>
  <c r="FW109" i="8"/>
  <c r="BY102" i="18" a="1"/>
  <c r="BY102" i="18"/>
  <c r="CE101" i="18" a="1"/>
  <c r="CE101" i="18"/>
  <c r="CE99" i="18" a="1"/>
  <c r="CE99" i="18"/>
  <c r="FX104" i="8"/>
  <c r="CE95" i="18" a="1"/>
  <c r="CE95" i="18"/>
  <c r="FX100" i="8"/>
  <c r="S73" i="8"/>
  <c r="BL66" i="18" a="1"/>
  <c r="BL66" i="18"/>
  <c r="U68" i="8"/>
  <c r="BN61" i="18" a="1"/>
  <c r="BN61" i="18"/>
  <c r="U83" i="8"/>
  <c r="BN76" i="18" a="1"/>
  <c r="BN76" i="18"/>
  <c r="X101" i="8"/>
  <c r="BS94" i="18" a="1"/>
  <c r="BS94" i="18"/>
  <c r="X46" i="8"/>
  <c r="BS39" i="18" a="1"/>
  <c r="BS39" i="18"/>
  <c r="U70" i="8"/>
  <c r="BN63" i="18" a="1"/>
  <c r="BN63" i="18"/>
  <c r="W117" i="8"/>
  <c r="BR110" i="18" a="1"/>
  <c r="BR110" i="18"/>
  <c r="U66" i="8"/>
  <c r="BN59" i="18" a="1"/>
  <c r="BN59" i="18"/>
  <c r="X69" i="8"/>
  <c r="BS62" i="18" a="1"/>
  <c r="BS62" i="18"/>
  <c r="X70" i="8"/>
  <c r="BS63" i="18" a="1"/>
  <c r="BS63" i="18"/>
  <c r="CT13" i="8"/>
  <c r="BH6" i="18" a="1"/>
  <c r="BH6" i="18"/>
  <c r="X126" i="8"/>
  <c r="BS119" i="18" a="1"/>
  <c r="BS119" i="18"/>
  <c r="U92" i="8"/>
  <c r="BN85" i="18" a="1"/>
  <c r="BN85" i="18"/>
  <c r="T105" i="8"/>
  <c r="BM98" i="18" a="1"/>
  <c r="BM98" i="18"/>
  <c r="V83" i="8"/>
  <c r="BO76" i="18" a="1"/>
  <c r="BO76" i="18"/>
  <c r="S93" i="8"/>
  <c r="BL86" i="18" a="1"/>
  <c r="BL86" i="18"/>
  <c r="CT81" i="8"/>
  <c r="BH74" i="18" a="1"/>
  <c r="BH74" i="18"/>
  <c r="CT51" i="8"/>
  <c r="BH44" i="18" a="1"/>
  <c r="BH44" i="18"/>
  <c r="V76" i="8"/>
  <c r="BO69" i="18" a="1"/>
  <c r="BO69" i="18"/>
  <c r="CT77" i="8"/>
  <c r="BH70" i="18" a="1"/>
  <c r="BH70" i="18"/>
  <c r="X27" i="8"/>
  <c r="BS20" i="18" a="1"/>
  <c r="BS20" i="18"/>
  <c r="U125" i="8"/>
  <c r="BN118" i="18" a="1"/>
  <c r="BN118" i="18"/>
  <c r="X91" i="8"/>
  <c r="BS84" i="18" a="1"/>
  <c r="BS84" i="18"/>
  <c r="CE40" i="8"/>
  <c r="S122" i="8"/>
  <c r="BL115" i="18" a="1"/>
  <c r="BL115" i="18"/>
  <c r="X100" i="8"/>
  <c r="BS93" i="18" a="1"/>
  <c r="BS93" i="18"/>
  <c r="T97" i="8"/>
  <c r="BM90" i="18" a="1"/>
  <c r="BM90" i="18"/>
  <c r="U103" i="8"/>
  <c r="BN96" i="18" a="1"/>
  <c r="BN96" i="18"/>
  <c r="V88" i="8"/>
  <c r="BO81" i="18" a="1"/>
  <c r="BO81" i="18"/>
  <c r="V51" i="8"/>
  <c r="BO44" i="18" a="1"/>
  <c r="BO44" i="18"/>
  <c r="T66" i="8"/>
  <c r="BM59" i="18" a="1"/>
  <c r="BM59" i="18"/>
  <c r="U52" i="8"/>
  <c r="BN45" i="18" a="1"/>
  <c r="BN45" i="18"/>
  <c r="T26" i="8"/>
  <c r="BM19" i="18" a="1"/>
  <c r="BM19" i="18"/>
  <c r="W31" i="8"/>
  <c r="BR24" i="18" a="1"/>
  <c r="BR24" i="18"/>
  <c r="U22" i="8"/>
  <c r="BN15" i="18" a="1"/>
  <c r="BN15" i="18"/>
  <c r="S86" i="8"/>
  <c r="BL79" i="18" a="1"/>
  <c r="BL79" i="18"/>
  <c r="S24" i="8"/>
  <c r="BL17" i="18" a="1"/>
  <c r="BL17" i="18"/>
  <c r="CE29" i="8"/>
  <c r="T121" i="8"/>
  <c r="BM114" i="18" a="1"/>
  <c r="BM114" i="18"/>
  <c r="S114" i="8"/>
  <c r="BL107" i="18" a="1"/>
  <c r="BL107" i="18"/>
  <c r="U99" i="8"/>
  <c r="BN92" i="18" a="1"/>
  <c r="BN92" i="18"/>
  <c r="CT80" i="8"/>
  <c r="BH73" i="18" a="1"/>
  <c r="BH73" i="18"/>
  <c r="V39" i="8"/>
  <c r="BO32" i="18" a="1"/>
  <c r="BO32" i="18"/>
  <c r="CT55" i="8"/>
  <c r="BH48" i="18" a="1"/>
  <c r="BH48" i="18"/>
  <c r="V36" i="8"/>
  <c r="BO29" i="18" a="1"/>
  <c r="BO29" i="18"/>
  <c r="U36" i="8"/>
  <c r="BN29" i="18" a="1"/>
  <c r="BN29" i="18"/>
  <c r="U37" i="8"/>
  <c r="BN30" i="18" a="1"/>
  <c r="BN30" i="18"/>
  <c r="T24" i="8"/>
  <c r="BM17" i="18" a="1"/>
  <c r="BM17" i="18"/>
  <c r="T55" i="8"/>
  <c r="BM48" i="18" a="1"/>
  <c r="BM48" i="18"/>
  <c r="W36" i="8"/>
  <c r="BR29" i="18" a="1"/>
  <c r="BR29" i="18"/>
  <c r="CE140" i="8"/>
  <c r="V120" i="8"/>
  <c r="BO113" i="18" a="1"/>
  <c r="BO113" i="18"/>
  <c r="CT128" i="8"/>
  <c r="BH121" i="18" a="1"/>
  <c r="BH121" i="18"/>
  <c r="S113" i="8"/>
  <c r="BL106" i="18" a="1"/>
  <c r="BL106" i="18"/>
  <c r="X110" i="8"/>
  <c r="BS103" i="18" a="1"/>
  <c r="BS103" i="18"/>
  <c r="V122" i="8"/>
  <c r="BO115" i="18" a="1"/>
  <c r="BO115" i="18"/>
  <c r="T94" i="8"/>
  <c r="BM87" i="18" a="1"/>
  <c r="BM87" i="18"/>
  <c r="Y98" i="8"/>
  <c r="BT91" i="18" a="1"/>
  <c r="BT91" i="18"/>
  <c r="U118" i="8"/>
  <c r="BN111" i="18" a="1"/>
  <c r="BN111" i="18"/>
  <c r="S125" i="8"/>
  <c r="BL118" i="18" a="1"/>
  <c r="BL118" i="18"/>
  <c r="X130" i="8"/>
  <c r="BS123" i="18" a="1"/>
  <c r="BS123" i="18"/>
  <c r="V116" i="8"/>
  <c r="BO109" i="18" a="1"/>
  <c r="BO109" i="18"/>
  <c r="CT129" i="8"/>
  <c r="BH122" i="18" a="1"/>
  <c r="BH122" i="18"/>
  <c r="W129" i="8"/>
  <c r="BR122" i="18" a="1"/>
  <c r="BR122" i="18"/>
  <c r="U101" i="8"/>
  <c r="BN94" i="18" a="1"/>
  <c r="BN94" i="18"/>
  <c r="W125" i="8"/>
  <c r="BR118" i="18" a="1"/>
  <c r="BR118" i="18"/>
  <c r="S108" i="8"/>
  <c r="BL101" i="18" a="1"/>
  <c r="BL101" i="18"/>
  <c r="X97" i="8"/>
  <c r="BS90" i="18" a="1"/>
  <c r="BS90" i="18"/>
  <c r="X89" i="8"/>
  <c r="BS82" i="18" a="1"/>
  <c r="BS82" i="18"/>
  <c r="CT79" i="8"/>
  <c r="BH72" i="18" a="1"/>
  <c r="BH72" i="18"/>
  <c r="S52" i="8"/>
  <c r="BL45" i="18" a="1"/>
  <c r="BL45" i="18"/>
  <c r="U38" i="8"/>
  <c r="BN31" i="18" a="1"/>
  <c r="BN31" i="18"/>
  <c r="S69" i="8"/>
  <c r="BL62" i="18" a="1"/>
  <c r="BL62" i="18"/>
  <c r="V52" i="8"/>
  <c r="BO45" i="18" a="1"/>
  <c r="BO45" i="18"/>
  <c r="V44" i="8"/>
  <c r="BO37" i="18" a="1"/>
  <c r="BO37" i="18"/>
  <c r="X84" i="8"/>
  <c r="BS77" i="18" a="1"/>
  <c r="BS77" i="18"/>
  <c r="V53" i="8"/>
  <c r="BO46" i="18" a="1"/>
  <c r="BO46" i="18"/>
  <c r="CT53" i="8"/>
  <c r="BH46" i="18" a="1"/>
  <c r="BH46" i="18"/>
  <c r="S30" i="8"/>
  <c r="BL23" i="18" a="1"/>
  <c r="BL23" i="18"/>
  <c r="V33" i="8"/>
  <c r="BO26" i="18" a="1"/>
  <c r="BO26" i="18"/>
  <c r="X20" i="8"/>
  <c r="BS13" i="18" a="1"/>
  <c r="BS13" i="18"/>
  <c r="CT22" i="8"/>
  <c r="BH15" i="18" a="1"/>
  <c r="BH15" i="18"/>
  <c r="T47" i="8"/>
  <c r="BM40" i="18" a="1"/>
  <c r="BM40" i="18"/>
  <c r="W82" i="8"/>
  <c r="BR75" i="18" a="1"/>
  <c r="BR75" i="18"/>
  <c r="Y47" i="8"/>
  <c r="BT40" i="18" a="1"/>
  <c r="BT40" i="18"/>
  <c r="Y101" i="8"/>
  <c r="BT94" i="18" a="1"/>
  <c r="BT94" i="18"/>
  <c r="CE79" i="8"/>
  <c r="S118" i="8"/>
  <c r="BL111" i="18" a="1"/>
  <c r="BL111" i="18"/>
  <c r="U96" i="8"/>
  <c r="BN89" i="18" a="1"/>
  <c r="BN89" i="18"/>
  <c r="T96" i="8"/>
  <c r="BM89" i="18" a="1"/>
  <c r="BM89" i="18"/>
  <c r="V110" i="8"/>
  <c r="BO103" i="18" a="1"/>
  <c r="BO103" i="18"/>
  <c r="W101" i="8"/>
  <c r="BR94" i="18" a="1"/>
  <c r="BR94" i="18"/>
  <c r="W89" i="8"/>
  <c r="BR82" i="18" a="1"/>
  <c r="BR82" i="18"/>
  <c r="T84" i="8"/>
  <c r="BM77" i="18" a="1"/>
  <c r="BM77" i="18"/>
  <c r="V47" i="8"/>
  <c r="BO40" i="18" a="1"/>
  <c r="BO40" i="18"/>
  <c r="U77" i="8"/>
  <c r="BN70" i="18" a="1"/>
  <c r="BN70" i="18"/>
  <c r="W65" i="8"/>
  <c r="BR58" i="18" a="1"/>
  <c r="BR58" i="18"/>
  <c r="W49" i="8"/>
  <c r="BR42" i="18" a="1"/>
  <c r="BR42" i="18"/>
  <c r="T38" i="8"/>
  <c r="BM31" i="18" a="1"/>
  <c r="BM31" i="18"/>
  <c r="CT44" i="8"/>
  <c r="BH37" i="18" a="1"/>
  <c r="BH37" i="18"/>
  <c r="V69" i="8"/>
  <c r="BO62" i="18" a="1"/>
  <c r="BO62" i="18"/>
  <c r="T22" i="8"/>
  <c r="BM15" i="18" a="1"/>
  <c r="BM15" i="18"/>
  <c r="V101" i="8"/>
  <c r="BO94" i="18" a="1"/>
  <c r="BO94" i="18"/>
  <c r="S47" i="8"/>
  <c r="BL40" i="18" a="1"/>
  <c r="BL40" i="18"/>
  <c r="CE100" i="8"/>
  <c r="T140" i="8"/>
  <c r="X140" i="8"/>
  <c r="S140" i="8"/>
  <c r="V140" i="8"/>
  <c r="Y140" i="8"/>
  <c r="T126" i="8"/>
  <c r="BM119" i="18" a="1"/>
  <c r="BM119" i="18"/>
  <c r="CT116" i="8"/>
  <c r="BH109" i="18" a="1"/>
  <c r="BH109" i="18"/>
  <c r="X92" i="8"/>
  <c r="BS85" i="18" a="1"/>
  <c r="BS85" i="18"/>
  <c r="X93" i="8"/>
  <c r="BS86" i="18" a="1"/>
  <c r="BS86" i="18"/>
  <c r="U82" i="8"/>
  <c r="BN75" i="18" a="1"/>
  <c r="BN75" i="18"/>
  <c r="W105" i="8"/>
  <c r="BR98" i="18" a="1"/>
  <c r="BR98" i="18"/>
  <c r="W97" i="8"/>
  <c r="BR90" i="18" a="1"/>
  <c r="BR90" i="18"/>
  <c r="W88" i="8"/>
  <c r="BR81" i="18" a="1"/>
  <c r="BR81" i="18"/>
  <c r="V77" i="8"/>
  <c r="BO70" i="18" a="1"/>
  <c r="BO70" i="18"/>
  <c r="T65" i="8"/>
  <c r="BM58" i="18" a="1"/>
  <c r="BM58" i="18"/>
  <c r="S44" i="8"/>
  <c r="BL37" i="18" a="1"/>
  <c r="BL37" i="18"/>
  <c r="S81" i="8"/>
  <c r="BL74" i="18" a="1"/>
  <c r="BL74" i="18"/>
  <c r="V68" i="8"/>
  <c r="BO61" i="18" a="1"/>
  <c r="BO61" i="18"/>
  <c r="V65" i="8"/>
  <c r="BO58" i="18" a="1"/>
  <c r="BO58" i="18"/>
  <c r="U44" i="8"/>
  <c r="BN37" i="18" a="1"/>
  <c r="BN37" i="18"/>
  <c r="U53" i="8"/>
  <c r="BN46" i="18" a="1"/>
  <c r="BN46" i="18"/>
  <c r="CT32" i="8"/>
  <c r="BH25" i="18" a="1"/>
  <c r="BH25" i="18"/>
  <c r="W22" i="8"/>
  <c r="BR15" i="18" a="1"/>
  <c r="BR15" i="18"/>
  <c r="CT14" i="8"/>
  <c r="BH7" i="18" a="1"/>
  <c r="BH7" i="18"/>
  <c r="X79" i="8"/>
  <c r="BS72" i="18" a="1"/>
  <c r="BS72" i="18"/>
  <c r="T79" i="8"/>
  <c r="BM72" i="18" a="1"/>
  <c r="BM72" i="18"/>
  <c r="Y103" i="8"/>
  <c r="BT96" i="18" a="1"/>
  <c r="BT96" i="18"/>
  <c r="Y39" i="8"/>
  <c r="BT32" i="18" a="1"/>
  <c r="BT32" i="18"/>
  <c r="Y32" i="8"/>
  <c r="BT25" i="18" a="1"/>
  <c r="BT25" i="18"/>
  <c r="U140" i="8"/>
  <c r="W130" i="8"/>
  <c r="BR123" i="18" a="1"/>
  <c r="BR123" i="18"/>
  <c r="U130" i="8"/>
  <c r="BN123" i="18" a="1"/>
  <c r="BN123" i="18"/>
  <c r="S127" i="8"/>
  <c r="BL120" i="18" a="1"/>
  <c r="BL120" i="18"/>
  <c r="U127" i="8"/>
  <c r="BN120" i="18" a="1"/>
  <c r="BN120" i="18"/>
  <c r="X127" i="8"/>
  <c r="BS120" i="18" a="1"/>
  <c r="BS120" i="18"/>
  <c r="X124" i="8"/>
  <c r="BS117" i="18" a="1"/>
  <c r="BS117" i="18"/>
  <c r="S124" i="8"/>
  <c r="BL117" i="18" a="1"/>
  <c r="BL117" i="18"/>
  <c r="W124" i="8"/>
  <c r="BR117" i="18" a="1"/>
  <c r="BR117" i="18"/>
  <c r="T124" i="8"/>
  <c r="BM117" i="18" a="1"/>
  <c r="BM117" i="18"/>
  <c r="X121" i="8"/>
  <c r="BS114" i="18" a="1"/>
  <c r="BS114" i="18"/>
  <c r="V121" i="8"/>
  <c r="BO114" i="18" a="1"/>
  <c r="BO114" i="18"/>
  <c r="T109" i="8"/>
  <c r="BM102" i="18" a="1"/>
  <c r="BM102" i="18"/>
  <c r="U109" i="8"/>
  <c r="BN102" i="18" a="1"/>
  <c r="BN102" i="18"/>
  <c r="W108" i="8"/>
  <c r="BR101" i="18" a="1"/>
  <c r="BR101" i="18"/>
  <c r="X108" i="8"/>
  <c r="BS101" i="18" a="1"/>
  <c r="BS101" i="18"/>
  <c r="T108" i="8"/>
  <c r="BM101" i="18" a="1"/>
  <c r="BM101" i="18"/>
  <c r="X107" i="8"/>
  <c r="BS100" i="18" a="1"/>
  <c r="BS100" i="18"/>
  <c r="W107" i="8"/>
  <c r="BR100" i="18" a="1"/>
  <c r="BR100" i="18"/>
  <c r="W106" i="8"/>
  <c r="BR99" i="18" a="1"/>
  <c r="BR99" i="18"/>
  <c r="X106" i="8"/>
  <c r="BS99" i="18" a="1"/>
  <c r="BS99" i="18"/>
  <c r="S106" i="8"/>
  <c r="BL99" i="18" a="1"/>
  <c r="BL99" i="18"/>
  <c r="S79" i="8"/>
  <c r="BL72" i="18" a="1"/>
  <c r="BL72" i="18"/>
  <c r="U79" i="8"/>
  <c r="BN72" i="18" a="1"/>
  <c r="BN72" i="18"/>
  <c r="W79" i="8"/>
  <c r="BR72" i="18" a="1"/>
  <c r="BR72" i="18"/>
  <c r="S77" i="8"/>
  <c r="BL70" i="18" a="1"/>
  <c r="BL70" i="18"/>
  <c r="W77" i="8"/>
  <c r="BR70" i="18" a="1"/>
  <c r="BR70" i="18"/>
  <c r="Y77" i="8"/>
  <c r="BT70" i="18" a="1"/>
  <c r="BT70" i="18"/>
  <c r="X76" i="8"/>
  <c r="BS69" i="18" a="1"/>
  <c r="BS69" i="18"/>
  <c r="T76" i="8"/>
  <c r="BM69" i="18" a="1"/>
  <c r="BM69" i="18"/>
  <c r="CE74" i="8"/>
  <c r="V74" i="8"/>
  <c r="BO67" i="18" a="1"/>
  <c r="BO67" i="18"/>
  <c r="S74" i="8"/>
  <c r="BL67" i="18" a="1"/>
  <c r="BL67" i="18"/>
  <c r="W73" i="8"/>
  <c r="BR66" i="18" a="1"/>
  <c r="BR66" i="18"/>
  <c r="V73" i="8"/>
  <c r="BO66" i="18" a="1"/>
  <c r="BO66" i="18"/>
  <c r="X73" i="8"/>
  <c r="BS66" i="18" a="1"/>
  <c r="BS66" i="18"/>
  <c r="CT73" i="8"/>
  <c r="BH66" i="18" a="1"/>
  <c r="BH66" i="18"/>
  <c r="CE72" i="8"/>
  <c r="T72" i="8"/>
  <c r="BM65" i="18" a="1"/>
  <c r="BM65" i="18"/>
  <c r="W72" i="8"/>
  <c r="BR65" i="18" a="1"/>
  <c r="BR65" i="18"/>
  <c r="X72" i="8"/>
  <c r="BS65" i="18" a="1"/>
  <c r="BS65" i="18"/>
  <c r="CT72" i="8"/>
  <c r="BH65" i="18" a="1"/>
  <c r="BH65" i="18"/>
  <c r="X71" i="8"/>
  <c r="BS64" i="18" a="1"/>
  <c r="BS64" i="18"/>
  <c r="S71" i="8"/>
  <c r="BL64" i="18" a="1"/>
  <c r="BL64" i="18"/>
  <c r="W61" i="8"/>
  <c r="BR54" i="18" a="1"/>
  <c r="BR54" i="18"/>
  <c r="CT61" i="8"/>
  <c r="BH54" i="18" a="1"/>
  <c r="BH54" i="18"/>
  <c r="W29" i="8"/>
  <c r="BR22" i="18" a="1"/>
  <c r="BR22" i="18"/>
  <c r="U29" i="8"/>
  <c r="BN22" i="18" a="1"/>
  <c r="BN22" i="18"/>
  <c r="V29" i="8"/>
  <c r="BO22" i="18" a="1"/>
  <c r="BO22" i="18"/>
  <c r="S28" i="8"/>
  <c r="BL21" i="18" a="1"/>
  <c r="BL21" i="18"/>
  <c r="CT28" i="8"/>
  <c r="BH21" i="18" a="1"/>
  <c r="BH21" i="18"/>
  <c r="CT27" i="8"/>
  <c r="BH20" i="18" a="1"/>
  <c r="BH20" i="18"/>
  <c r="U27" i="8"/>
  <c r="BN20" i="18" a="1"/>
  <c r="BN20" i="18"/>
  <c r="CE27" i="8"/>
  <c r="T27" i="8"/>
  <c r="BM20" i="18" a="1"/>
  <c r="BM20" i="18"/>
  <c r="Y26" i="8"/>
  <c r="BT19" i="18" a="1"/>
  <c r="BT19" i="18"/>
  <c r="U26" i="8"/>
  <c r="BN19" i="18" a="1"/>
  <c r="BN19" i="18"/>
  <c r="S26" i="8"/>
  <c r="BL19" i="18" a="1"/>
  <c r="BL19" i="18"/>
  <c r="X26" i="8"/>
  <c r="BS19" i="18" a="1"/>
  <c r="BS19" i="18"/>
  <c r="CT26" i="8"/>
  <c r="BH19" i="18" a="1"/>
  <c r="BH19" i="18"/>
  <c r="X25" i="8"/>
  <c r="BS18" i="18" a="1"/>
  <c r="BS18" i="18"/>
  <c r="U25" i="8"/>
  <c r="BN18" i="18" a="1"/>
  <c r="BN18" i="18"/>
  <c r="S25" i="8"/>
  <c r="BL18" i="18" a="1"/>
  <c r="BL18" i="18"/>
  <c r="Y24" i="8"/>
  <c r="BT17" i="18" a="1"/>
  <c r="BT17" i="18"/>
  <c r="X24" i="8"/>
  <c r="BS17" i="18" a="1"/>
  <c r="BS17" i="18"/>
  <c r="CT23" i="8"/>
  <c r="BH16" i="18" a="1"/>
  <c r="BH16" i="18"/>
  <c r="S23" i="8"/>
  <c r="BL16" i="18" a="1"/>
  <c r="BL16" i="18"/>
  <c r="T23" i="8"/>
  <c r="BM16" i="18" a="1"/>
  <c r="BM16" i="18"/>
  <c r="X23" i="8"/>
  <c r="BS16" i="18" a="1"/>
  <c r="BS16" i="18"/>
  <c r="U23" i="8"/>
  <c r="BN16" i="18" a="1"/>
  <c r="BN16" i="18"/>
  <c r="V23" i="8"/>
  <c r="BO16" i="18" a="1"/>
  <c r="BO16" i="18"/>
  <c r="V124" i="8"/>
  <c r="BO117" i="18" a="1"/>
  <c r="BO117" i="18"/>
  <c r="CT120" i="8"/>
  <c r="BH113" i="18" a="1"/>
  <c r="BH113" i="18"/>
  <c r="V108" i="8"/>
  <c r="BO101" i="18" a="1"/>
  <c r="BO101" i="18"/>
  <c r="V79" i="8"/>
  <c r="BO72" i="18" a="1"/>
  <c r="BO72" i="18"/>
  <c r="T88" i="8"/>
  <c r="BM81" i="18" a="1"/>
  <c r="BM81" i="18"/>
  <c r="V43" i="8"/>
  <c r="BO36" i="18" a="1"/>
  <c r="BO36" i="18"/>
  <c r="W76" i="8"/>
  <c r="BR69" i="18" a="1"/>
  <c r="BR69" i="18"/>
  <c r="X77" i="8"/>
  <c r="BS70" i="18" a="1"/>
  <c r="BS70" i="18"/>
  <c r="W23" i="8"/>
  <c r="BR16" i="18" a="1"/>
  <c r="BR16" i="18"/>
  <c r="W75" i="8"/>
  <c r="BR68" i="18" a="1"/>
  <c r="BR68" i="18"/>
  <c r="T127" i="8"/>
  <c r="BM120" i="18" a="1"/>
  <c r="BM120" i="18"/>
  <c r="Y105" i="8"/>
  <c r="BT98" i="18" a="1"/>
  <c r="BT98" i="18"/>
  <c r="V145" i="8"/>
  <c r="CE145" i="8"/>
  <c r="CT145" i="8"/>
  <c r="CE141" i="8"/>
  <c r="CT141" i="8"/>
  <c r="S137" i="8"/>
  <c r="CE137" i="8"/>
  <c r="Y129" i="8"/>
  <c r="BT122" i="18" a="1"/>
  <c r="BT122" i="18"/>
  <c r="X129" i="8"/>
  <c r="BS122" i="18" a="1"/>
  <c r="BS122" i="18"/>
  <c r="V129" i="8"/>
  <c r="BO122" i="18" a="1"/>
  <c r="BO122" i="18"/>
  <c r="S128" i="8"/>
  <c r="BL121" i="18" a="1"/>
  <c r="BL121" i="18"/>
  <c r="X128" i="8"/>
  <c r="BS121" i="18" a="1"/>
  <c r="BS121" i="18"/>
  <c r="CE128" i="8"/>
  <c r="Y128" i="8"/>
  <c r="BT121" i="18" a="1"/>
  <c r="BT121" i="18"/>
  <c r="W128" i="8"/>
  <c r="BR121" i="18" a="1"/>
  <c r="BR121" i="18"/>
  <c r="T128" i="8"/>
  <c r="BM121" i="18" a="1"/>
  <c r="BM121" i="18"/>
  <c r="Y126" i="8"/>
  <c r="BT119" i="18" a="1"/>
  <c r="BT119" i="18"/>
  <c r="V126" i="8"/>
  <c r="BO119" i="18" a="1"/>
  <c r="BO119" i="18"/>
  <c r="W126" i="8"/>
  <c r="BR119" i="18" a="1"/>
  <c r="BR119" i="18"/>
  <c r="CT125" i="8"/>
  <c r="BH118" i="18" a="1"/>
  <c r="BH118" i="18"/>
  <c r="X125" i="8"/>
  <c r="BS118" i="18" a="1"/>
  <c r="BS118" i="18"/>
  <c r="V125" i="8"/>
  <c r="BO118" i="18" a="1"/>
  <c r="BO118" i="18"/>
  <c r="S123" i="8"/>
  <c r="BL116" i="18" a="1"/>
  <c r="BL116" i="18"/>
  <c r="W123" i="8"/>
  <c r="BR116" i="18" a="1"/>
  <c r="BR116" i="18"/>
  <c r="CE123" i="8"/>
  <c r="T123" i="8"/>
  <c r="BM116" i="18" a="1"/>
  <c r="BM116" i="18"/>
  <c r="U123" i="8"/>
  <c r="BN116" i="18" a="1"/>
  <c r="BN116" i="18"/>
  <c r="Y123" i="8"/>
  <c r="BT116" i="18" a="1"/>
  <c r="BT116" i="18"/>
  <c r="CT122" i="8"/>
  <c r="BH115" i="18" a="1"/>
  <c r="BH115" i="18"/>
  <c r="W122" i="8"/>
  <c r="BR115" i="18" a="1"/>
  <c r="BR115" i="18"/>
  <c r="Y119" i="8"/>
  <c r="BT112" i="18" a="1"/>
  <c r="BT112" i="18"/>
  <c r="X119" i="8"/>
  <c r="BS112" i="18" a="1"/>
  <c r="BS112" i="18"/>
  <c r="U119" i="8"/>
  <c r="BN112" i="18" a="1"/>
  <c r="BN112" i="18"/>
  <c r="S119" i="8"/>
  <c r="BL112" i="18" a="1"/>
  <c r="BL112" i="18"/>
  <c r="Y118" i="8"/>
  <c r="BT111" i="18" a="1"/>
  <c r="BT111" i="18"/>
  <c r="CE118" i="8"/>
  <c r="W118" i="8"/>
  <c r="BR111" i="18" a="1"/>
  <c r="BR111" i="18"/>
  <c r="Y117" i="8"/>
  <c r="BT110" i="18" a="1"/>
  <c r="BT110" i="18"/>
  <c r="U117" i="8"/>
  <c r="BN110" i="18" a="1"/>
  <c r="BN110" i="18"/>
  <c r="T117" i="8"/>
  <c r="BM110" i="18" a="1"/>
  <c r="BM110" i="18"/>
  <c r="S116" i="8"/>
  <c r="BL109" i="18" a="1"/>
  <c r="BL109" i="18"/>
  <c r="X116" i="8"/>
  <c r="BS109" i="18" a="1"/>
  <c r="BS109" i="18"/>
  <c r="X115" i="8"/>
  <c r="BS108" i="18" a="1"/>
  <c r="BS108" i="18"/>
  <c r="U115" i="8"/>
  <c r="BN108" i="18" a="1"/>
  <c r="BN108" i="18"/>
  <c r="Y115" i="8"/>
  <c r="BT108" i="18" a="1"/>
  <c r="BT108" i="18"/>
  <c r="Y114" i="8"/>
  <c r="BT107" i="18" a="1"/>
  <c r="BT107" i="18"/>
  <c r="T114" i="8"/>
  <c r="BM107" i="18" a="1"/>
  <c r="BM107" i="18"/>
  <c r="T113" i="8"/>
  <c r="BM106" i="18" a="1"/>
  <c r="BM106" i="18"/>
  <c r="V113" i="8"/>
  <c r="BO106" i="18" a="1"/>
  <c r="BO106" i="18"/>
  <c r="W112" i="8"/>
  <c r="BR105" i="18" a="1"/>
  <c r="BR105" i="18"/>
  <c r="CT112" i="8"/>
  <c r="BH105" i="18" a="1"/>
  <c r="BH105" i="18"/>
  <c r="CE111" i="8"/>
  <c r="V111" i="8"/>
  <c r="BO104" i="18" a="1"/>
  <c r="BO104" i="18"/>
  <c r="X111" i="8"/>
  <c r="BS104" i="18" a="1"/>
  <c r="BS104" i="18"/>
  <c r="T111" i="8"/>
  <c r="BM104" i="18" a="1"/>
  <c r="BM104" i="18"/>
  <c r="Y104" i="8"/>
  <c r="BT97" i="18" a="1"/>
  <c r="BT97" i="18"/>
  <c r="S104" i="8"/>
  <c r="BL97" i="18" a="1"/>
  <c r="BL97" i="18"/>
  <c r="X104" i="8"/>
  <c r="BS97" i="18" a="1"/>
  <c r="BS97" i="18"/>
  <c r="S103" i="8"/>
  <c r="BL96" i="18" a="1"/>
  <c r="BL96" i="18"/>
  <c r="W103" i="8"/>
  <c r="BR96" i="18" a="1"/>
  <c r="BR96" i="18"/>
  <c r="T103" i="8"/>
  <c r="BM96" i="18" a="1"/>
  <c r="BM96" i="18"/>
  <c r="CT103" i="8"/>
  <c r="BH96" i="18" a="1"/>
  <c r="BH96" i="18"/>
  <c r="X103" i="8"/>
  <c r="BS96" i="18" a="1"/>
  <c r="BS96" i="18"/>
  <c r="W102" i="8"/>
  <c r="BR95" i="18" a="1"/>
  <c r="BR95" i="18"/>
  <c r="CE102" i="8"/>
  <c r="CE101" i="8"/>
  <c r="T101" i="8"/>
  <c r="BM94" i="18" a="1"/>
  <c r="BM94" i="18"/>
  <c r="CT100" i="8"/>
  <c r="BH93" i="18" a="1"/>
  <c r="BH93" i="18"/>
  <c r="Y100" i="8"/>
  <c r="BT93" i="18" a="1"/>
  <c r="BT93" i="18"/>
  <c r="V100" i="8"/>
  <c r="BO93" i="18" a="1"/>
  <c r="BO93" i="18"/>
  <c r="T100" i="8"/>
  <c r="BM93" i="18" a="1"/>
  <c r="BM93" i="18"/>
  <c r="U100" i="8"/>
  <c r="BN93" i="18" a="1"/>
  <c r="BN93" i="18"/>
  <c r="X99" i="8"/>
  <c r="BS92" i="18" a="1"/>
  <c r="BS92" i="18"/>
  <c r="CE99" i="8"/>
  <c r="S99" i="8"/>
  <c r="BL92" i="18" a="1"/>
  <c r="BL92" i="18"/>
  <c r="CE98" i="8"/>
  <c r="U98" i="8"/>
  <c r="BN91" i="18" a="1"/>
  <c r="BN91" i="18"/>
  <c r="W98" i="8"/>
  <c r="BR91" i="18" a="1"/>
  <c r="BR91" i="18"/>
  <c r="V98" i="8"/>
  <c r="BO91" i="18" a="1"/>
  <c r="BO91" i="18"/>
  <c r="S97" i="8"/>
  <c r="BL90" i="18" a="1"/>
  <c r="BL90" i="18"/>
  <c r="CE96" i="8"/>
  <c r="S96" i="8"/>
  <c r="BL89" i="18" a="1"/>
  <c r="BL89" i="18"/>
  <c r="X95" i="8"/>
  <c r="BS88" i="18" a="1"/>
  <c r="BS88" i="18"/>
  <c r="Y95" i="8"/>
  <c r="BT88" i="18" a="1"/>
  <c r="BT88" i="18"/>
  <c r="W95" i="8"/>
  <c r="BR88" i="18" a="1"/>
  <c r="BR88" i="18"/>
  <c r="T95" i="8"/>
  <c r="BM88" i="18" a="1"/>
  <c r="BM88" i="18"/>
  <c r="X94" i="8"/>
  <c r="BS87" i="18" a="1"/>
  <c r="BS87" i="18"/>
  <c r="V94" i="8"/>
  <c r="BO87" i="18" a="1"/>
  <c r="BO87" i="18"/>
  <c r="W94" i="8"/>
  <c r="BR87" i="18" a="1"/>
  <c r="BR87" i="18"/>
  <c r="W93" i="8"/>
  <c r="BR86" i="18" a="1"/>
  <c r="BR86" i="18"/>
  <c r="T93" i="8"/>
  <c r="BM86" i="18" a="1"/>
  <c r="BM86" i="18"/>
  <c r="U93" i="8"/>
  <c r="BN86" i="18" a="1"/>
  <c r="BN86" i="18"/>
  <c r="W91" i="8"/>
  <c r="BR84" i="18" a="1"/>
  <c r="BR84" i="18"/>
  <c r="S91" i="8"/>
  <c r="BL84" i="18" a="1"/>
  <c r="BL84" i="18"/>
  <c r="U91" i="8"/>
  <c r="BN84" i="18" a="1"/>
  <c r="BN84" i="18"/>
  <c r="T91" i="8"/>
  <c r="BM84" i="18" a="1"/>
  <c r="BM84" i="18"/>
  <c r="V90" i="8"/>
  <c r="BO83" i="18" a="1"/>
  <c r="BO83" i="18"/>
  <c r="U90" i="8"/>
  <c r="BN83" i="18" a="1"/>
  <c r="BN83" i="18"/>
  <c r="V89" i="8"/>
  <c r="BO82" i="18" a="1"/>
  <c r="BO82" i="18"/>
  <c r="Y89" i="8"/>
  <c r="BT82" i="18" a="1"/>
  <c r="BT82" i="18"/>
  <c r="CE89" i="8"/>
  <c r="U87" i="8"/>
  <c r="BN80" i="18" a="1"/>
  <c r="BN80" i="18"/>
  <c r="W87" i="8"/>
  <c r="BR80" i="18" a="1"/>
  <c r="BR80" i="18"/>
  <c r="S87" i="8"/>
  <c r="BL80" i="18" a="1"/>
  <c r="BL80" i="18"/>
  <c r="X86" i="8"/>
  <c r="BS79" i="18" a="1"/>
  <c r="BS79" i="18"/>
  <c r="CE86" i="8"/>
  <c r="Y86" i="8"/>
  <c r="BT79" i="18" a="1"/>
  <c r="BT79" i="18"/>
  <c r="U86" i="8"/>
  <c r="BN79" i="18" a="1"/>
  <c r="BN79" i="18"/>
  <c r="CE85" i="8"/>
  <c r="W85" i="8"/>
  <c r="BR78" i="18" a="1"/>
  <c r="BR78" i="18"/>
  <c r="S85" i="8"/>
  <c r="BL78" i="18" a="1"/>
  <c r="BL78" i="18"/>
  <c r="V85" i="8"/>
  <c r="BO78" i="18" a="1"/>
  <c r="BO78" i="18"/>
  <c r="Y84" i="8"/>
  <c r="BT77" i="18" a="1"/>
  <c r="BT77" i="18"/>
  <c r="CE84" i="8"/>
  <c r="U84" i="8"/>
  <c r="BN77" i="18" a="1"/>
  <c r="BN77" i="18"/>
  <c r="V84" i="8"/>
  <c r="BO77" i="18" a="1"/>
  <c r="BO77" i="18"/>
  <c r="X83" i="8"/>
  <c r="BS76" i="18" a="1"/>
  <c r="BS76" i="18"/>
  <c r="W83" i="8"/>
  <c r="BR76" i="18" a="1"/>
  <c r="BR76" i="18"/>
  <c r="Y81" i="8"/>
  <c r="BT74" i="18" a="1"/>
  <c r="BT74" i="18"/>
  <c r="U81" i="8"/>
  <c r="BN74" i="18" a="1"/>
  <c r="BN74" i="18"/>
  <c r="W81" i="8"/>
  <c r="BR74" i="18" a="1"/>
  <c r="BR74" i="18"/>
  <c r="T80" i="8"/>
  <c r="BM73" i="18" a="1"/>
  <c r="BM73" i="18"/>
  <c r="V80" i="8"/>
  <c r="BO73" i="18" a="1"/>
  <c r="BO73" i="18"/>
  <c r="W78" i="8"/>
  <c r="BR71" i="18" a="1"/>
  <c r="BR71" i="18"/>
  <c r="S78" i="8"/>
  <c r="BL71" i="18" a="1"/>
  <c r="BL71" i="18"/>
  <c r="T78" i="8"/>
  <c r="BM71" i="18" a="1"/>
  <c r="BM71" i="18"/>
  <c r="U78" i="8"/>
  <c r="BN71" i="18" a="1"/>
  <c r="BN71" i="18"/>
  <c r="X78" i="8"/>
  <c r="BS71" i="18" a="1"/>
  <c r="BS71" i="18"/>
  <c r="CE69" i="8"/>
  <c r="Y69" i="8"/>
  <c r="BT62" i="18" a="1"/>
  <c r="BT62" i="18"/>
  <c r="T69" i="8"/>
  <c r="BM62" i="18" a="1"/>
  <c r="BM62" i="18"/>
  <c r="W69" i="8"/>
  <c r="BR62" i="18" a="1"/>
  <c r="BR62" i="18"/>
  <c r="CT69" i="8"/>
  <c r="BH62" i="18" a="1"/>
  <c r="BH62" i="18"/>
  <c r="T67" i="8"/>
  <c r="BM60" i="18" a="1"/>
  <c r="BM60" i="18"/>
  <c r="W67" i="8"/>
  <c r="BR60" i="18" a="1"/>
  <c r="BR60" i="18"/>
  <c r="U67" i="8"/>
  <c r="BN60" i="18" a="1"/>
  <c r="BN60" i="18"/>
  <c r="V67" i="8"/>
  <c r="BO60" i="18" a="1"/>
  <c r="BO60" i="18"/>
  <c r="Y66" i="8"/>
  <c r="BT59" i="18" a="1"/>
  <c r="BT59" i="18"/>
  <c r="W66" i="8"/>
  <c r="BR59" i="18" a="1"/>
  <c r="BR59" i="18"/>
  <c r="S66" i="8"/>
  <c r="BL59" i="18" a="1"/>
  <c r="BL59" i="18"/>
  <c r="CE65" i="8"/>
  <c r="U65" i="8"/>
  <c r="BN58" i="18" a="1"/>
  <c r="BN58" i="18"/>
  <c r="S65" i="8"/>
  <c r="BL58" i="18" a="1"/>
  <c r="BL58" i="18"/>
  <c r="T64" i="8"/>
  <c r="BM57" i="18" a="1"/>
  <c r="BM57" i="18"/>
  <c r="CT64" i="8"/>
  <c r="BH57" i="18" a="1"/>
  <c r="BH57" i="18"/>
  <c r="CE64" i="8"/>
  <c r="U56" i="8"/>
  <c r="BN49" i="18" a="1"/>
  <c r="BN49" i="18"/>
  <c r="CE56" i="8"/>
  <c r="X55" i="8"/>
  <c r="BS48" i="18" a="1"/>
  <c r="BS48" i="18"/>
  <c r="Y55" i="8"/>
  <c r="BT48" i="18" a="1"/>
  <c r="BT48" i="18"/>
  <c r="S55" i="8"/>
  <c r="BL48" i="18" a="1"/>
  <c r="BL48" i="18"/>
  <c r="U55" i="8"/>
  <c r="BN48" i="18" a="1"/>
  <c r="BN48" i="18"/>
  <c r="Y54" i="8"/>
  <c r="BT47" i="18" a="1"/>
  <c r="BT47" i="18"/>
  <c r="U54" i="8"/>
  <c r="BN47" i="18" a="1"/>
  <c r="BN47" i="18"/>
  <c r="CE53" i="8"/>
  <c r="S53" i="8"/>
  <c r="BL46" i="18" a="1"/>
  <c r="BL46" i="18"/>
  <c r="T52" i="8"/>
  <c r="BM45" i="18" a="1"/>
  <c r="BM45" i="18"/>
  <c r="CT52" i="8"/>
  <c r="BH45" i="18" a="1"/>
  <c r="BH45" i="18"/>
  <c r="S51" i="8"/>
  <c r="BL44" i="18" a="1"/>
  <c r="BL44" i="18"/>
  <c r="W51" i="8"/>
  <c r="BR44" i="18" a="1"/>
  <c r="BR44" i="18"/>
  <c r="CE51" i="8"/>
  <c r="X51" i="8"/>
  <c r="BS44" i="18" a="1"/>
  <c r="BS44" i="18"/>
  <c r="S50" i="8"/>
  <c r="BL43" i="18" a="1"/>
  <c r="BL43" i="18"/>
  <c r="W50" i="8"/>
  <c r="BR43" i="18" a="1"/>
  <c r="BR43" i="18"/>
  <c r="X50" i="8"/>
  <c r="BS43" i="18" a="1"/>
  <c r="BS43" i="18"/>
  <c r="U50" i="8"/>
  <c r="BN43" i="18" a="1"/>
  <c r="BN43" i="18"/>
  <c r="CT49" i="8"/>
  <c r="BH42" i="18" a="1"/>
  <c r="BH42" i="18"/>
  <c r="CE49" i="8"/>
  <c r="U49" i="8"/>
  <c r="BN42" i="18" a="1"/>
  <c r="BN42" i="18"/>
  <c r="W48" i="8"/>
  <c r="BR41" i="18" a="1"/>
  <c r="BR41" i="18"/>
  <c r="U48" i="8"/>
  <c r="BN41" i="18" a="1"/>
  <c r="BN41" i="18"/>
  <c r="V48" i="8"/>
  <c r="BO41" i="18" a="1"/>
  <c r="BO41" i="18"/>
  <c r="X47" i="8"/>
  <c r="BS40" i="18" a="1"/>
  <c r="BS40" i="18"/>
  <c r="CE47" i="8"/>
  <c r="V46" i="8"/>
  <c r="BO39" i="18" a="1"/>
  <c r="BO39" i="18"/>
  <c r="T46" i="8"/>
  <c r="BM39" i="18" a="1"/>
  <c r="BM39" i="18"/>
  <c r="U46" i="8"/>
  <c r="BN39" i="18" a="1"/>
  <c r="BN39" i="18"/>
  <c r="W45" i="8"/>
  <c r="BR38" i="18" a="1"/>
  <c r="BR38" i="18"/>
  <c r="CT45" i="8"/>
  <c r="BH38" i="18" a="1"/>
  <c r="BH38" i="18"/>
  <c r="S45" i="8"/>
  <c r="BL38" i="18" a="1"/>
  <c r="BL38" i="18"/>
  <c r="S43" i="8"/>
  <c r="BL36" i="18" a="1"/>
  <c r="BL36" i="18"/>
  <c r="W43" i="8"/>
  <c r="BR36" i="18" a="1"/>
  <c r="BR36" i="18"/>
  <c r="Y43" i="8"/>
  <c r="BT36" i="18" a="1"/>
  <c r="BT36" i="18"/>
  <c r="CE42" i="8"/>
  <c r="X42" i="8"/>
  <c r="BS35" i="18" a="1"/>
  <c r="BS35" i="18"/>
  <c r="S42" i="8"/>
  <c r="BL35" i="18" a="1"/>
  <c r="BL35" i="18"/>
  <c r="S41" i="8"/>
  <c r="BL34" i="18" a="1"/>
  <c r="BL34" i="18"/>
  <c r="Y41" i="8"/>
  <c r="BT34" i="18" a="1"/>
  <c r="BT34" i="18"/>
  <c r="W41" i="8"/>
  <c r="BR34" i="18" a="1"/>
  <c r="BR34" i="18"/>
  <c r="U41" i="8"/>
  <c r="BN34" i="18" a="1"/>
  <c r="BN34" i="18"/>
  <c r="T40" i="8"/>
  <c r="BM33" i="18" a="1"/>
  <c r="BM33" i="18"/>
  <c r="U40" i="8"/>
  <c r="BN33" i="18" a="1"/>
  <c r="BN33" i="18"/>
  <c r="S40" i="8"/>
  <c r="BL33" i="18" a="1"/>
  <c r="BL33" i="18"/>
  <c r="X40" i="8"/>
  <c r="BS33" i="18" a="1"/>
  <c r="BS33" i="18"/>
  <c r="W39" i="8"/>
  <c r="BR32" i="18" a="1"/>
  <c r="BR32" i="18"/>
  <c r="T39" i="8"/>
  <c r="BM32" i="18" a="1"/>
  <c r="BM32" i="18"/>
  <c r="S39" i="8"/>
  <c r="BL32" i="18" a="1"/>
  <c r="BL32" i="18"/>
  <c r="U39" i="8"/>
  <c r="BN32" i="18" a="1"/>
  <c r="BN32" i="18"/>
  <c r="S38" i="8"/>
  <c r="BL31" i="18" a="1"/>
  <c r="BL31" i="18"/>
  <c r="W38" i="8"/>
  <c r="BR31" i="18" a="1"/>
  <c r="BR31" i="18"/>
  <c r="CE37" i="8"/>
  <c r="X37" i="8"/>
  <c r="BS30" i="18" a="1"/>
  <c r="BS30" i="18"/>
  <c r="V37" i="8"/>
  <c r="BO30" i="18" a="1"/>
  <c r="BO30" i="18"/>
  <c r="CT37" i="8"/>
  <c r="BH30" i="18" a="1"/>
  <c r="BH30" i="18"/>
  <c r="W37" i="8"/>
  <c r="BR30" i="18" a="1"/>
  <c r="BR30" i="18"/>
  <c r="Y37" i="8"/>
  <c r="BT30" i="18" a="1"/>
  <c r="BT30" i="18"/>
  <c r="X35" i="8"/>
  <c r="BS28" i="18" a="1"/>
  <c r="BS28" i="18"/>
  <c r="CT35" i="8"/>
  <c r="BH28" i="18" a="1"/>
  <c r="BH28" i="18"/>
  <c r="V35" i="8"/>
  <c r="BO28" i="18" a="1"/>
  <c r="BO28" i="18"/>
  <c r="T35" i="8"/>
  <c r="BM28" i="18" a="1"/>
  <c r="BM28" i="18"/>
  <c r="V34" i="8"/>
  <c r="BO27" i="18" a="1"/>
  <c r="BO27" i="18"/>
  <c r="CE34" i="8"/>
  <c r="U33" i="8"/>
  <c r="BN26" i="18" a="1"/>
  <c r="BN26" i="18"/>
  <c r="S33" i="8"/>
  <c r="BL26" i="18" a="1"/>
  <c r="BL26" i="18"/>
  <c r="CT33" i="8"/>
  <c r="BH26" i="18" a="1"/>
  <c r="BH26" i="18"/>
  <c r="X33" i="8"/>
  <c r="BS26" i="18" a="1"/>
  <c r="BS26" i="18"/>
  <c r="CE32" i="8"/>
  <c r="T32" i="8"/>
  <c r="BM25" i="18" a="1"/>
  <c r="BM25" i="18"/>
  <c r="X31" i="8"/>
  <c r="BS24" i="18" a="1"/>
  <c r="BS24" i="18"/>
  <c r="V31" i="8"/>
  <c r="BO24" i="18" a="1"/>
  <c r="BO24" i="18"/>
  <c r="T31" i="8"/>
  <c r="BM24" i="18" a="1"/>
  <c r="BM24" i="18"/>
  <c r="S21" i="8"/>
  <c r="BL14" i="18" a="1"/>
  <c r="BL14" i="18"/>
  <c r="U21" i="8"/>
  <c r="BN14" i="18" a="1"/>
  <c r="BN14" i="18"/>
  <c r="W21" i="8"/>
  <c r="BR14" i="18" a="1"/>
  <c r="BR14" i="18"/>
  <c r="T21" i="8"/>
  <c r="BM14" i="18" a="1"/>
  <c r="BM14" i="18"/>
  <c r="T20" i="8"/>
  <c r="BM13" i="18" a="1"/>
  <c r="BM13" i="18"/>
  <c r="U20" i="8"/>
  <c r="BN13" i="18" a="1"/>
  <c r="BN13" i="18"/>
  <c r="W16" i="8"/>
  <c r="BR9" i="18" a="1"/>
  <c r="BR9" i="18"/>
  <c r="CT16" i="8"/>
  <c r="BH9" i="18" a="1"/>
  <c r="BH9" i="18"/>
  <c r="U126" i="8"/>
  <c r="BN119" i="18" a="1"/>
  <c r="BN119" i="18"/>
  <c r="T130" i="8"/>
  <c r="BM123" i="18" a="1"/>
  <c r="BM123" i="18"/>
  <c r="X118" i="8"/>
  <c r="BS111" i="18" a="1"/>
  <c r="BS111" i="18"/>
  <c r="U111" i="8"/>
  <c r="BN104" i="18" a="1"/>
  <c r="BN104" i="18"/>
  <c r="CT132" i="8"/>
  <c r="U116" i="8"/>
  <c r="BN109" i="18" a="1"/>
  <c r="BN109" i="18"/>
  <c r="S121" i="8"/>
  <c r="BL114" i="18" a="1"/>
  <c r="BL114" i="18"/>
  <c r="V117" i="8"/>
  <c r="BO110" i="18" a="1"/>
  <c r="BO110" i="18"/>
  <c r="CT113" i="8"/>
  <c r="BH106" i="18" a="1"/>
  <c r="BH106" i="18"/>
  <c r="U105" i="8"/>
  <c r="BN98" i="18" a="1"/>
  <c r="BN98" i="18"/>
  <c r="T92" i="8"/>
  <c r="BM85" i="18" a="1"/>
  <c r="BM85" i="18"/>
  <c r="X114" i="8"/>
  <c r="BS107" i="18" a="1"/>
  <c r="BS107" i="18"/>
  <c r="X109" i="8"/>
  <c r="BS102" i="18" a="1"/>
  <c r="BS102" i="18"/>
  <c r="T106" i="8"/>
  <c r="BM99" i="18" a="1"/>
  <c r="BM99" i="18"/>
  <c r="S100" i="8"/>
  <c r="BL93" i="18" a="1"/>
  <c r="BL93" i="18"/>
  <c r="W92" i="8"/>
  <c r="BR85" i="18" a="1"/>
  <c r="BR85" i="18"/>
  <c r="T89" i="8"/>
  <c r="BM82" i="18" a="1"/>
  <c r="BM82" i="18"/>
  <c r="V109" i="8"/>
  <c r="BO102" i="18" a="1"/>
  <c r="BO102" i="18"/>
  <c r="S105" i="8"/>
  <c r="BL98" i="18" a="1"/>
  <c r="BL98" i="18"/>
  <c r="V96" i="8"/>
  <c r="BO89" i="18" a="1"/>
  <c r="BO89" i="18"/>
  <c r="V92" i="8"/>
  <c r="BO85" i="18" a="1"/>
  <c r="BO85" i="18"/>
  <c r="CT87" i="8"/>
  <c r="BH80" i="18" a="1"/>
  <c r="BH80" i="18"/>
  <c r="CT75" i="8"/>
  <c r="BH68" i="18" a="1"/>
  <c r="BH68" i="18"/>
  <c r="X80" i="8"/>
  <c r="BS73" i="18" a="1"/>
  <c r="BS73" i="18"/>
  <c r="U73" i="8"/>
  <c r="BN66" i="18" a="1"/>
  <c r="BN66" i="18"/>
  <c r="V55" i="8"/>
  <c r="BO48" i="18" a="1"/>
  <c r="BO48" i="18"/>
  <c r="T49" i="8"/>
  <c r="BM42" i="18" a="1"/>
  <c r="BM42" i="18"/>
  <c r="S36" i="8"/>
  <c r="BL29" i="18" a="1"/>
  <c r="BL29" i="18"/>
  <c r="U71" i="8"/>
  <c r="BN64" i="18" a="1"/>
  <c r="BN64" i="18"/>
  <c r="CT67" i="8"/>
  <c r="BH60" i="18" a="1"/>
  <c r="BH60" i="18"/>
  <c r="CT63" i="8"/>
  <c r="BH56" i="18" a="1"/>
  <c r="BH56" i="18"/>
  <c r="T54" i="8"/>
  <c r="BM47" i="18" a="1"/>
  <c r="BM47" i="18"/>
  <c r="U35" i="8"/>
  <c r="BN28" i="18" a="1"/>
  <c r="BN28" i="18"/>
  <c r="W84" i="8"/>
  <c r="BR77" i="18" a="1"/>
  <c r="BR77" i="18"/>
  <c r="V49" i="8"/>
  <c r="BO42" i="18" a="1"/>
  <c r="BO42" i="18"/>
  <c r="CT40" i="8"/>
  <c r="BH33" i="18" a="1"/>
  <c r="BH33" i="18"/>
  <c r="T85" i="8"/>
  <c r="BM78" i="18" a="1"/>
  <c r="BM78" i="18"/>
  <c r="U31" i="8"/>
  <c r="BN24" i="18" a="1"/>
  <c r="BN24" i="18"/>
  <c r="U45" i="8"/>
  <c r="BN38" i="18" a="1"/>
  <c r="BN38" i="18"/>
  <c r="W26" i="8"/>
  <c r="BR19" i="18" a="1"/>
  <c r="BR19" i="18"/>
  <c r="S22" i="8"/>
  <c r="BL15" i="18" a="1"/>
  <c r="BL15" i="18"/>
  <c r="W27" i="8"/>
  <c r="BR20" i="18" a="1"/>
  <c r="BR20" i="18"/>
  <c r="V45" i="8"/>
  <c r="BO38" i="18" a="1"/>
  <c r="BO38" i="18"/>
  <c r="T41" i="8"/>
  <c r="BM34" i="18" a="1"/>
  <c r="BM34" i="18"/>
  <c r="CT30" i="8"/>
  <c r="BH23" i="18" a="1"/>
  <c r="BH23" i="18"/>
  <c r="CT11" i="8"/>
  <c r="BH4" i="18" a="1"/>
  <c r="BH4" i="18"/>
  <c r="T44" i="8"/>
  <c r="BM37" i="18" a="1"/>
  <c r="BM37" i="18"/>
  <c r="X112" i="8"/>
  <c r="BS105" i="18" a="1"/>
  <c r="BS105" i="18"/>
  <c r="T71" i="8"/>
  <c r="BM64" i="18" a="1"/>
  <c r="BM64" i="18"/>
  <c r="W35" i="8"/>
  <c r="BR28" i="18" a="1"/>
  <c r="BR28" i="18"/>
  <c r="W54" i="8"/>
  <c r="BR47" i="18" a="1"/>
  <c r="BR47" i="18"/>
  <c r="W47" i="8"/>
  <c r="BR40" i="18" a="1"/>
  <c r="BR40" i="18"/>
  <c r="T36" i="8"/>
  <c r="BM29" i="18" a="1"/>
  <c r="BM29" i="18"/>
  <c r="T70" i="8"/>
  <c r="BM63" i="18" a="1"/>
  <c r="BM63" i="18"/>
  <c r="X67" i="8"/>
  <c r="BS60" i="18" a="1"/>
  <c r="BS60" i="18"/>
  <c r="S67" i="8"/>
  <c r="BL60" i="18" a="1"/>
  <c r="BL60" i="18"/>
  <c r="Y36" i="8"/>
  <c r="BT29" i="18" a="1"/>
  <c r="BT29" i="18"/>
  <c r="Y97" i="8"/>
  <c r="BT90" i="18" a="1"/>
  <c r="BT90" i="18"/>
  <c r="CE15" i="8"/>
  <c r="CE125" i="8"/>
  <c r="CE16" i="8"/>
  <c r="U122" i="8"/>
  <c r="BN115" i="18" a="1"/>
  <c r="BN115" i="18"/>
  <c r="V128" i="8"/>
  <c r="BO121" i="18" a="1"/>
  <c r="BO121" i="18"/>
  <c r="X122" i="8"/>
  <c r="BS115" i="18" a="1"/>
  <c r="BS115" i="18"/>
  <c r="T118" i="8"/>
  <c r="BM111" i="18" a="1"/>
  <c r="BM111" i="18"/>
  <c r="U107" i="8"/>
  <c r="BN100" i="18" a="1"/>
  <c r="BN100" i="18"/>
  <c r="S130" i="8"/>
  <c r="BL123" i="18" a="1"/>
  <c r="BL123" i="18"/>
  <c r="CT124" i="8"/>
  <c r="BH117" i="18" a="1"/>
  <c r="BH117" i="18"/>
  <c r="U120" i="8"/>
  <c r="BN113" i="18" a="1"/>
  <c r="BN113" i="18"/>
  <c r="U112" i="8"/>
  <c r="BN105" i="18" a="1"/>
  <c r="BN105" i="18"/>
  <c r="W121" i="8"/>
  <c r="BR114" i="18" a="1"/>
  <c r="BR114" i="18"/>
  <c r="U104" i="8"/>
  <c r="BN97" i="18" a="1"/>
  <c r="BN97" i="18"/>
  <c r="S129" i="8"/>
  <c r="BL122" i="18" a="1"/>
  <c r="BL122" i="18"/>
  <c r="S117" i="8"/>
  <c r="BL110" i="18" a="1"/>
  <c r="BL110" i="18"/>
  <c r="X113" i="8"/>
  <c r="BS106" i="18" a="1"/>
  <c r="BS106" i="18"/>
  <c r="T104" i="8"/>
  <c r="BM97" i="18" a="1"/>
  <c r="BM97" i="18"/>
  <c r="X96" i="8"/>
  <c r="BS89" i="18" a="1"/>
  <c r="BS89" i="18"/>
  <c r="U89" i="8"/>
  <c r="BN82" i="18" a="1"/>
  <c r="BN82" i="18"/>
  <c r="U121" i="8"/>
  <c r="BN114" i="18" a="1"/>
  <c r="BN114" i="18"/>
  <c r="CT114" i="8"/>
  <c r="BH107" i="18" a="1"/>
  <c r="BH107" i="18"/>
  <c r="CT108" i="8"/>
  <c r="BH101" i="18" a="1"/>
  <c r="BH101" i="18"/>
  <c r="X105" i="8"/>
  <c r="BS98" i="18" a="1"/>
  <c r="BS98" i="18"/>
  <c r="U102" i="8"/>
  <c r="BN95" i="18" a="1"/>
  <c r="BN95" i="18"/>
  <c r="V99" i="8"/>
  <c r="BO92" i="18" a="1"/>
  <c r="BO92" i="18"/>
  <c r="V95" i="8"/>
  <c r="BO88" i="18" a="1"/>
  <c r="BO88" i="18"/>
  <c r="S92" i="8"/>
  <c r="BL85" i="18" a="1"/>
  <c r="BL85" i="18"/>
  <c r="V87" i="8"/>
  <c r="BO80" i="18" a="1"/>
  <c r="BO80" i="18"/>
  <c r="V75" i="8"/>
  <c r="BO68" i="18" a="1"/>
  <c r="BO68" i="18"/>
  <c r="S109" i="8"/>
  <c r="BL102" i="18" a="1"/>
  <c r="BL102" i="18"/>
  <c r="V104" i="8"/>
  <c r="BO97" i="18" a="1"/>
  <c r="BO97" i="18"/>
  <c r="CT99" i="8"/>
  <c r="BH92" i="18" a="1"/>
  <c r="BH92" i="18"/>
  <c r="CT95" i="8"/>
  <c r="BH88" i="18" a="1"/>
  <c r="BH88" i="18"/>
  <c r="CT91" i="8"/>
  <c r="BH84" i="18" a="1"/>
  <c r="BH84" i="18"/>
  <c r="CT83" i="8"/>
  <c r="BH76" i="18" a="1"/>
  <c r="BH76" i="18"/>
  <c r="U75" i="8"/>
  <c r="BN68" i="18" a="1"/>
  <c r="BN68" i="18"/>
  <c r="X88" i="8"/>
  <c r="BS81" i="18" a="1"/>
  <c r="BS81" i="18"/>
  <c r="S80" i="8"/>
  <c r="BL73" i="18" a="1"/>
  <c r="BL73" i="18"/>
  <c r="V72" i="8"/>
  <c r="BO65" i="18" a="1"/>
  <c r="BO65" i="18"/>
  <c r="S68" i="8"/>
  <c r="BL61" i="18" a="1"/>
  <c r="BL61" i="18"/>
  <c r="T53" i="8"/>
  <c r="BM46" i="18" a="1"/>
  <c r="BM46" i="18"/>
  <c r="S48" i="8"/>
  <c r="BL41" i="18" a="1"/>
  <c r="BL41" i="18"/>
  <c r="U42" i="8"/>
  <c r="BN35" i="18" a="1"/>
  <c r="BN35" i="18"/>
  <c r="U85" i="8"/>
  <c r="BN78" i="18" a="1"/>
  <c r="BN78" i="18"/>
  <c r="X81" i="8"/>
  <c r="BS74" i="18" a="1"/>
  <c r="BS74" i="18"/>
  <c r="V71" i="8"/>
  <c r="BO64" i="18" a="1"/>
  <c r="BO64" i="18"/>
  <c r="X66" i="8"/>
  <c r="BS59" i="18" a="1"/>
  <c r="BS59" i="18"/>
  <c r="CT59" i="8"/>
  <c r="BH52" i="18" a="1"/>
  <c r="BH52" i="18"/>
  <c r="W53" i="8"/>
  <c r="BR46" i="18" a="1"/>
  <c r="BR46" i="18"/>
  <c r="T50" i="8"/>
  <c r="BM43" i="18" a="1"/>
  <c r="BM43" i="18"/>
  <c r="U47" i="8"/>
  <c r="BN40" i="18" a="1"/>
  <c r="BN40" i="18"/>
  <c r="U43" i="8"/>
  <c r="BN36" i="18" a="1"/>
  <c r="BN36" i="18"/>
  <c r="X38" i="8"/>
  <c r="BS31" i="18" a="1"/>
  <c r="BS31" i="18"/>
  <c r="CT84" i="8"/>
  <c r="BH77" i="18" a="1"/>
  <c r="BH77" i="18"/>
  <c r="CT76" i="8"/>
  <c r="BH69" i="18" a="1"/>
  <c r="BH69" i="18"/>
  <c r="CT68" i="8"/>
  <c r="BH61" i="18" a="1"/>
  <c r="BH61" i="18"/>
  <c r="CT56" i="8"/>
  <c r="BH49" i="18" a="1"/>
  <c r="BH49" i="18"/>
  <c r="CT48" i="8"/>
  <c r="BH41" i="18" a="1"/>
  <c r="BH41" i="18"/>
  <c r="CT36" i="8"/>
  <c r="BH29" i="18" a="1"/>
  <c r="BH29" i="18"/>
  <c r="X85" i="8"/>
  <c r="BS78" i="18" a="1"/>
  <c r="BS78" i="18"/>
  <c r="T73" i="8"/>
  <c r="BM66" i="18" a="1"/>
  <c r="BM66" i="18"/>
  <c r="CT57" i="8"/>
  <c r="BH50" i="18" a="1"/>
  <c r="BH50" i="18"/>
  <c r="T30" i="8"/>
  <c r="BM23" i="18" a="1"/>
  <c r="BM23" i="18"/>
  <c r="CT41" i="8"/>
  <c r="BH34" i="18" a="1"/>
  <c r="BH34" i="18"/>
  <c r="W30" i="8"/>
  <c r="BR23" i="18" a="1"/>
  <c r="BR23" i="18"/>
  <c r="CT24" i="8"/>
  <c r="BH17" i="18" a="1"/>
  <c r="BH17" i="18"/>
  <c r="CT20" i="8"/>
  <c r="BH13" i="18" a="1"/>
  <c r="BH13" i="18"/>
  <c r="X32" i="8"/>
  <c r="BS25" i="18" a="1"/>
  <c r="BS25" i="18"/>
  <c r="S27" i="8"/>
  <c r="BL20" i="18" a="1"/>
  <c r="BL20" i="18"/>
  <c r="V22" i="8"/>
  <c r="BO15" i="18" a="1"/>
  <c r="BO15" i="18"/>
  <c r="T45" i="8"/>
  <c r="BM38" i="18" a="1"/>
  <c r="BM38" i="18"/>
  <c r="X41" i="8"/>
  <c r="BS34" i="18" a="1"/>
  <c r="BS34" i="18"/>
  <c r="U30" i="8"/>
  <c r="BN23" i="18" a="1"/>
  <c r="BN23" i="18"/>
  <c r="T116" i="8"/>
  <c r="BM109" i="18" a="1"/>
  <c r="BM109" i="18"/>
  <c r="V66" i="8"/>
  <c r="BO59" i="18" a="1"/>
  <c r="BO59" i="18"/>
  <c r="W42" i="8"/>
  <c r="BR35" i="18" a="1"/>
  <c r="BR35" i="18"/>
  <c r="S111" i="8"/>
  <c r="BL104" i="18" a="1"/>
  <c r="BL104" i="18"/>
  <c r="W90" i="8"/>
  <c r="BR83" i="18" a="1"/>
  <c r="BR83" i="18"/>
  <c r="V70" i="8"/>
  <c r="BO63" i="18" a="1"/>
  <c r="BO63" i="18"/>
  <c r="CT109" i="8"/>
  <c r="BH102" i="18" a="1"/>
  <c r="BH102" i="18"/>
  <c r="W46" i="8"/>
  <c r="BR39" i="18" a="1"/>
  <c r="BR39" i="18"/>
  <c r="CT25" i="8"/>
  <c r="BH18" i="18" a="1"/>
  <c r="BH18" i="18"/>
  <c r="W74" i="8"/>
  <c r="BR67" i="18" a="1"/>
  <c r="BR67" i="18"/>
  <c r="V32" i="8"/>
  <c r="BO25" i="18" a="1"/>
  <c r="BO25" i="18"/>
  <c r="T51" i="8"/>
  <c r="BM44" i="18" a="1"/>
  <c r="BM44" i="18"/>
  <c r="V20" i="8"/>
  <c r="BO13" i="18" a="1"/>
  <c r="BO13" i="18"/>
  <c r="V38" i="8"/>
  <c r="BO31" i="18" a="1"/>
  <c r="BO31" i="18"/>
  <c r="Y65" i="8"/>
  <c r="BT58" i="18" a="1"/>
  <c r="BT58" i="18"/>
  <c r="Y52" i="8"/>
  <c r="BT45" i="18" a="1"/>
  <c r="BT45" i="18"/>
  <c r="Y78" i="8"/>
  <c r="BT71" i="18" a="1"/>
  <c r="BT71" i="18"/>
  <c r="CE93" i="8"/>
  <c r="CE120" i="8"/>
  <c r="CE95" i="8"/>
  <c r="CE122" i="8"/>
  <c r="CE109" i="8"/>
  <c r="CE61" i="8"/>
  <c r="V13" i="8"/>
  <c r="BO6" i="18" a="1"/>
  <c r="BO6" i="18"/>
  <c r="V144" i="8"/>
  <c r="CE144" i="8"/>
  <c r="CT130" i="8"/>
  <c r="BH123" i="18" a="1"/>
  <c r="BH123" i="18"/>
  <c r="CE130" i="8"/>
  <c r="V130" i="8"/>
  <c r="BO123" i="18" a="1"/>
  <c r="BO123" i="18"/>
  <c r="Y127" i="8"/>
  <c r="BT120" i="18" a="1"/>
  <c r="BT120" i="18"/>
  <c r="W127" i="8"/>
  <c r="BR120" i="18" a="1"/>
  <c r="BR120" i="18"/>
  <c r="V127" i="8"/>
  <c r="BO120" i="18" a="1"/>
  <c r="BO120" i="18"/>
  <c r="X120" i="8"/>
  <c r="BS113" i="18" a="1"/>
  <c r="BS113" i="18"/>
  <c r="T120" i="8"/>
  <c r="BM113" i="18" a="1"/>
  <c r="BM113" i="18"/>
  <c r="S120" i="8"/>
  <c r="BL113" i="18" a="1"/>
  <c r="BL113" i="18"/>
  <c r="W120" i="8"/>
  <c r="BR113" i="18" a="1"/>
  <c r="BR113" i="18"/>
  <c r="V119" i="8"/>
  <c r="BO112" i="18" a="1"/>
  <c r="BO112" i="18"/>
  <c r="T119" i="8"/>
  <c r="BM112" i="18" a="1"/>
  <c r="BM112" i="18"/>
  <c r="CT118" i="8"/>
  <c r="BH111" i="18" a="1"/>
  <c r="BH111" i="18"/>
  <c r="CE116" i="8"/>
  <c r="W115" i="8"/>
  <c r="BR108" i="18" a="1"/>
  <c r="BR108" i="18"/>
  <c r="T115" i="8"/>
  <c r="BM108" i="18" a="1"/>
  <c r="BM108" i="18"/>
  <c r="CE114" i="8"/>
  <c r="U114" i="8"/>
  <c r="BN107" i="18" a="1"/>
  <c r="BN107" i="18"/>
  <c r="Y113" i="8"/>
  <c r="BT106" i="18" a="1"/>
  <c r="BT106" i="18"/>
  <c r="CE113" i="8"/>
  <c r="U110" i="8"/>
  <c r="BN103" i="18" a="1"/>
  <c r="BN103" i="18"/>
  <c r="S110" i="8"/>
  <c r="BL103" i="18" a="1"/>
  <c r="BL103" i="18"/>
  <c r="CE108" i="8"/>
  <c r="Y108" i="8"/>
  <c r="BT101" i="18" a="1"/>
  <c r="BT101" i="18"/>
  <c r="T107" i="8"/>
  <c r="BM100" i="18" a="1"/>
  <c r="BM100" i="18"/>
  <c r="V107" i="8"/>
  <c r="BO100" i="18" a="1"/>
  <c r="BO100" i="18"/>
  <c r="CT97" i="8"/>
  <c r="BH90" i="18" a="1"/>
  <c r="BH90" i="18"/>
  <c r="V97" i="8"/>
  <c r="BO90" i="18" a="1"/>
  <c r="BO90" i="18"/>
  <c r="CT96" i="8"/>
  <c r="BH89" i="18" a="1"/>
  <c r="BH89" i="18"/>
  <c r="Y93" i="8"/>
  <c r="BT86" i="18" a="1"/>
  <c r="BT86" i="18"/>
  <c r="CE87" i="8"/>
  <c r="Y87" i="8"/>
  <c r="BT80" i="18" a="1"/>
  <c r="BT80" i="18"/>
  <c r="T87" i="8"/>
  <c r="BM80" i="18" a="1"/>
  <c r="BM80" i="18"/>
  <c r="W86" i="8"/>
  <c r="BR79" i="18" a="1"/>
  <c r="BR79" i="18"/>
  <c r="T86" i="8"/>
  <c r="BM79" i="18" a="1"/>
  <c r="BM79" i="18"/>
  <c r="CE81" i="8"/>
  <c r="CT78" i="8"/>
  <c r="BH71" i="18" a="1"/>
  <c r="BH71" i="18"/>
  <c r="V78" i="8"/>
  <c r="BO71" i="18" a="1"/>
  <c r="BO71" i="18"/>
  <c r="CE75" i="8"/>
  <c r="T75" i="8"/>
  <c r="BM68" i="18" a="1"/>
  <c r="BM68" i="18"/>
  <c r="X74" i="8"/>
  <c r="BS67" i="18" a="1"/>
  <c r="BS67" i="18"/>
  <c r="T74" i="8"/>
  <c r="BM67" i="18" a="1"/>
  <c r="BM67" i="18"/>
  <c r="X65" i="8"/>
  <c r="BS58" i="18" a="1"/>
  <c r="BS58" i="18"/>
  <c r="X58" i="8"/>
  <c r="BS51" i="18" a="1"/>
  <c r="BS51" i="18"/>
  <c r="CE58" i="8"/>
  <c r="V54" i="8"/>
  <c r="BO47" i="18" a="1"/>
  <c r="BO47" i="18"/>
  <c r="S54" i="8"/>
  <c r="BL47" i="18" a="1"/>
  <c r="BL47" i="18"/>
  <c r="CT50" i="8"/>
  <c r="BH43" i="18" a="1"/>
  <c r="BH43" i="18"/>
  <c r="V50" i="8"/>
  <c r="BO43" i="18" a="1"/>
  <c r="BO43" i="18"/>
  <c r="CT46" i="8"/>
  <c r="BH39" i="18" a="1"/>
  <c r="BH39" i="18"/>
  <c r="S46" i="8"/>
  <c r="BL39" i="18" a="1"/>
  <c r="BL39" i="18"/>
  <c r="W44" i="8"/>
  <c r="BR37" i="18" a="1"/>
  <c r="BR37" i="18"/>
  <c r="Y44" i="8"/>
  <c r="BT37" i="18" a="1"/>
  <c r="BT37" i="18"/>
  <c r="X43" i="8"/>
  <c r="BS36" i="18" a="1"/>
  <c r="BS36" i="18"/>
  <c r="CT42" i="8"/>
  <c r="BH35" i="18" a="1"/>
  <c r="BH35" i="18"/>
  <c r="Y42" i="8"/>
  <c r="BT35" i="18" a="1"/>
  <c r="BT35" i="18"/>
  <c r="V42" i="8"/>
  <c r="BO35" i="18" a="1"/>
  <c r="BO35" i="18"/>
  <c r="CE41" i="8"/>
  <c r="CE35" i="8"/>
  <c r="Y35" i="8"/>
  <c r="BT28" i="18" a="1"/>
  <c r="BT28" i="18"/>
  <c r="S35" i="8"/>
  <c r="BL28" i="18" a="1"/>
  <c r="BL28" i="18"/>
  <c r="S32" i="8"/>
  <c r="BL25" i="18" a="1"/>
  <c r="BL25" i="18"/>
  <c r="W32" i="8"/>
  <c r="BR25" i="18" a="1"/>
  <c r="BR25" i="18"/>
  <c r="CE30" i="8"/>
  <c r="X30" i="8"/>
  <c r="BS23" i="18" a="1"/>
  <c r="BS23" i="18"/>
  <c r="V25" i="8"/>
  <c r="BO18" i="18" a="1"/>
  <c r="BO18" i="18"/>
  <c r="W25" i="8"/>
  <c r="BR18" i="18" a="1"/>
  <c r="BR18" i="18"/>
  <c r="Y21" i="8"/>
  <c r="BT14" i="18" a="1"/>
  <c r="BT14" i="18"/>
  <c r="CT21" i="8"/>
  <c r="BH14" i="18" a="1"/>
  <c r="BH14" i="18"/>
  <c r="V18" i="8"/>
  <c r="BO11" i="18" a="1"/>
  <c r="BO11" i="18"/>
  <c r="CE18" i="8"/>
  <c r="CT18" i="8"/>
  <c r="BH11" i="18" a="1"/>
  <c r="BH11" i="18"/>
  <c r="CE13" i="8"/>
  <c r="T143" i="8"/>
  <c r="CE143" i="8"/>
  <c r="U138" i="8"/>
  <c r="CE138" i="8"/>
  <c r="Y136" i="8"/>
  <c r="CE136" i="8"/>
  <c r="CE135" i="8"/>
  <c r="CT135" i="8"/>
  <c r="CE129" i="8"/>
  <c r="U129" i="8"/>
  <c r="BN122" i="18" a="1"/>
  <c r="BN122" i="18"/>
  <c r="CE124" i="8"/>
  <c r="Y124" i="8"/>
  <c r="BT117" i="18" a="1"/>
  <c r="BT117" i="18"/>
  <c r="V123" i="8"/>
  <c r="BO116" i="18" a="1"/>
  <c r="BO116" i="18"/>
  <c r="CE119" i="8"/>
  <c r="CT119" i="8"/>
  <c r="BH112" i="18" a="1"/>
  <c r="BH112" i="18"/>
  <c r="W119" i="8"/>
  <c r="BR112" i="18" a="1"/>
  <c r="BR112" i="18"/>
  <c r="CE117" i="8"/>
  <c r="CT117" i="8"/>
  <c r="BH110" i="18" a="1"/>
  <c r="BH110" i="18"/>
  <c r="CT115" i="8"/>
  <c r="BH108" i="18" a="1"/>
  <c r="BH108" i="18"/>
  <c r="CE115" i="8"/>
  <c r="S115" i="8"/>
  <c r="BL108" i="18" a="1"/>
  <c r="BL108" i="18"/>
  <c r="Y112" i="8"/>
  <c r="BT105" i="18" a="1"/>
  <c r="BT105" i="18"/>
  <c r="S112" i="8"/>
  <c r="BL105" i="18" a="1"/>
  <c r="BL105" i="18"/>
  <c r="T112" i="8"/>
  <c r="BM105" i="18" a="1"/>
  <c r="BM105" i="18"/>
  <c r="CE110" i="8"/>
  <c r="W110" i="8"/>
  <c r="BR103" i="18" a="1"/>
  <c r="BR103" i="18"/>
  <c r="CT110" i="8"/>
  <c r="BH103" i="18" a="1"/>
  <c r="BH103" i="18"/>
  <c r="CE107" i="8"/>
  <c r="Y107" i="8"/>
  <c r="BT100" i="18" a="1"/>
  <c r="BT100" i="18"/>
  <c r="CT106" i="8"/>
  <c r="BH99" i="18" a="1"/>
  <c r="BH99" i="18"/>
  <c r="CE106" i="8"/>
  <c r="Y106" i="8"/>
  <c r="BT99" i="18" a="1"/>
  <c r="BT99" i="18"/>
  <c r="U106" i="8"/>
  <c r="BN99" i="18" a="1"/>
  <c r="BN99" i="18"/>
  <c r="CT105" i="8"/>
  <c r="BH98" i="18" a="1"/>
  <c r="BH98" i="18"/>
  <c r="CE105" i="8"/>
  <c r="CT104" i="8"/>
  <c r="BH97" i="18" a="1"/>
  <c r="BH97" i="18"/>
  <c r="CE104" i="8"/>
  <c r="CT102" i="8"/>
  <c r="BH95" i="18" a="1"/>
  <c r="BH95" i="18"/>
  <c r="X102" i="8"/>
  <c r="BS95" i="18" a="1"/>
  <c r="BS95" i="18"/>
  <c r="V102" i="8"/>
  <c r="BO95" i="18" a="1"/>
  <c r="BO95" i="18"/>
  <c r="Y99" i="8"/>
  <c r="BT92" i="18" a="1"/>
  <c r="BT92" i="18"/>
  <c r="T99" i="8"/>
  <c r="BM92" i="18" a="1"/>
  <c r="BM92" i="18"/>
  <c r="CT98" i="8"/>
  <c r="BH91" i="18" a="1"/>
  <c r="BH91" i="18"/>
  <c r="X98" i="8"/>
  <c r="BS91" i="18" a="1"/>
  <c r="BS91" i="18"/>
  <c r="S95" i="8"/>
  <c r="BL88" i="18" a="1"/>
  <c r="BL88" i="18"/>
  <c r="Y94" i="8"/>
  <c r="BT87" i="18" a="1"/>
  <c r="BT87" i="18"/>
  <c r="CE91" i="8"/>
  <c r="CT90" i="8"/>
  <c r="BH83" i="18" a="1"/>
  <c r="BH83" i="18"/>
  <c r="Y90" i="8"/>
  <c r="BT83" i="18" a="1"/>
  <c r="BT83" i="18"/>
  <c r="T90" i="8"/>
  <c r="BM83" i="18" a="1"/>
  <c r="BM83" i="18"/>
  <c r="CT88" i="8"/>
  <c r="BH81" i="18" a="1"/>
  <c r="BH81" i="18"/>
  <c r="Y88" i="8"/>
  <c r="BT81" i="18" a="1"/>
  <c r="BT81" i="18"/>
  <c r="U88" i="8"/>
  <c r="BN81" i="18" a="1"/>
  <c r="BN81" i="18"/>
  <c r="CE83" i="8"/>
  <c r="Y83" i="8"/>
  <c r="BT76" i="18" a="1"/>
  <c r="BT76" i="18"/>
  <c r="T83" i="8"/>
  <c r="BM76" i="18" a="1"/>
  <c r="BM76" i="18"/>
  <c r="Y82" i="8"/>
  <c r="BT75" i="18" a="1"/>
  <c r="BT75" i="18"/>
  <c r="CE82" i="8"/>
  <c r="S82" i="8"/>
  <c r="BL75" i="18" a="1"/>
  <c r="BL75" i="18"/>
  <c r="T82" i="8"/>
  <c r="BM75" i="18" a="1"/>
  <c r="BM75" i="18"/>
  <c r="X82" i="8"/>
  <c r="BS75" i="18" a="1"/>
  <c r="BS75" i="18"/>
  <c r="CE80" i="8"/>
  <c r="U80" i="8"/>
  <c r="BN73" i="18" a="1"/>
  <c r="BN73" i="18"/>
  <c r="CE76" i="8"/>
  <c r="Y76" i="8"/>
  <c r="BT69" i="18" a="1"/>
  <c r="BT69" i="18"/>
  <c r="U76" i="8"/>
  <c r="BN69" i="18" a="1"/>
  <c r="BN69" i="18"/>
  <c r="S75" i="8"/>
  <c r="BL68" i="18" a="1"/>
  <c r="BL68" i="18"/>
  <c r="CE73" i="8"/>
  <c r="Y72" i="8"/>
  <c r="BT65" i="18" a="1"/>
  <c r="BT65" i="18"/>
  <c r="U72" i="8"/>
  <c r="BN65" i="18" a="1"/>
  <c r="BN65" i="18"/>
  <c r="CE71" i="8"/>
  <c r="CT71" i="8"/>
  <c r="BH64" i="18" a="1"/>
  <c r="BH64" i="18"/>
  <c r="Y70" i="8"/>
  <c r="BT63" i="18" a="1"/>
  <c r="BT63" i="18"/>
  <c r="S70" i="8"/>
  <c r="BL63" i="18" a="1"/>
  <c r="BL63" i="18"/>
  <c r="CE68" i="8"/>
  <c r="X68" i="8"/>
  <c r="BS61" i="18" a="1"/>
  <c r="BS61" i="18"/>
  <c r="X59" i="8"/>
  <c r="BS52" i="18" a="1"/>
  <c r="BS52" i="18"/>
  <c r="CE59" i="8"/>
  <c r="CE55" i="8"/>
  <c r="W55" i="8"/>
  <c r="BR48" i="18" a="1"/>
  <c r="BR48" i="18"/>
  <c r="CT54" i="8"/>
  <c r="BH47" i="18" a="1"/>
  <c r="BH47" i="18"/>
  <c r="CE54" i="8"/>
  <c r="CE52" i="8"/>
  <c r="X52" i="8"/>
  <c r="BS45" i="18" a="1"/>
  <c r="BS45" i="18"/>
  <c r="Y51" i="8"/>
  <c r="BT44" i="18" a="1"/>
  <c r="BT44" i="18"/>
  <c r="X49" i="8"/>
  <c r="BS42" i="18" a="1"/>
  <c r="BS42" i="18"/>
  <c r="Y49" i="8"/>
  <c r="BT42" i="18" a="1"/>
  <c r="BT42" i="18"/>
  <c r="T48" i="8"/>
  <c r="BM41" i="18" a="1"/>
  <c r="BM41" i="18"/>
  <c r="Y45" i="8"/>
  <c r="BT38" i="18" a="1"/>
  <c r="BT38" i="18"/>
  <c r="CE45" i="8"/>
  <c r="CE43" i="8"/>
  <c r="T43" i="8"/>
  <c r="BM36" i="18" a="1"/>
  <c r="BM36" i="18"/>
  <c r="Y40" i="8"/>
  <c r="BT33" i="18" a="1"/>
  <c r="BT33" i="18"/>
  <c r="W40" i="8"/>
  <c r="BR33" i="18" a="1"/>
  <c r="BR33" i="18"/>
  <c r="CE39" i="8"/>
  <c r="X39" i="8"/>
  <c r="BS32" i="18" a="1"/>
  <c r="BS32" i="18"/>
  <c r="X36" i="8"/>
  <c r="BS29" i="18" a="1"/>
  <c r="BS29" i="18"/>
  <c r="CE33" i="8"/>
  <c r="T33" i="8"/>
  <c r="BM26" i="18" a="1"/>
  <c r="BM26" i="18"/>
  <c r="CE31" i="8"/>
  <c r="Y29" i="8"/>
  <c r="BT22" i="18" a="1"/>
  <c r="BT22" i="18"/>
  <c r="T29" i="8"/>
  <c r="BM22" i="18" a="1"/>
  <c r="BM22" i="18"/>
  <c r="X29" i="8"/>
  <c r="BS22" i="18" a="1"/>
  <c r="BS22" i="18"/>
  <c r="Y25" i="8"/>
  <c r="BT18" i="18" a="1"/>
  <c r="BT18" i="18"/>
  <c r="T25" i="8"/>
  <c r="BM18" i="18" a="1"/>
  <c r="BM18" i="18"/>
  <c r="CE24" i="8"/>
  <c r="V24" i="8"/>
  <c r="BO17" i="18" a="1"/>
  <c r="BO17" i="18"/>
  <c r="W24" i="8"/>
  <c r="BR17" i="18" a="1"/>
  <c r="BR17" i="18"/>
  <c r="CE23" i="8"/>
  <c r="Y23" i="8"/>
  <c r="BT16" i="18" a="1"/>
  <c r="BT16" i="18"/>
  <c r="CE22" i="8"/>
  <c r="CE21" i="8"/>
  <c r="V21" i="8"/>
  <c r="BO14" i="18" a="1"/>
  <c r="BO14" i="18"/>
  <c r="X21" i="8"/>
  <c r="BS14" i="18" a="1"/>
  <c r="BS14" i="18"/>
  <c r="CE20" i="8"/>
  <c r="S20" i="8"/>
  <c r="BL13" i="18" a="1"/>
  <c r="BL13" i="18"/>
  <c r="V17" i="8"/>
  <c r="BO10" i="18" a="1"/>
  <c r="BO10" i="18"/>
  <c r="CE17" i="8"/>
  <c r="CT34" i="8"/>
  <c r="BH27" i="18" a="1"/>
  <c r="BH27" i="18"/>
  <c r="W13" i="8"/>
  <c r="BR6" i="18" a="1"/>
  <c r="BR6" i="18"/>
  <c r="U136" i="8"/>
  <c r="U13" i="8"/>
  <c r="BN6" i="18" a="1"/>
  <c r="BN6" i="18"/>
  <c r="Y13" i="8"/>
  <c r="BT6" i="18" a="1"/>
  <c r="BT6" i="18"/>
  <c r="S16" i="8"/>
  <c r="BL9" i="18" a="1"/>
  <c r="BL9" i="18"/>
  <c r="Y62" i="8"/>
  <c r="BT55" i="18" a="1"/>
  <c r="BT55" i="18"/>
  <c r="S102" i="8"/>
  <c r="BL95" i="18" a="1"/>
  <c r="BL95" i="18"/>
  <c r="S94" i="8"/>
  <c r="BL87" i="18" a="1"/>
  <c r="BL87" i="18"/>
  <c r="S83" i="8"/>
  <c r="BL76" i="18" a="1"/>
  <c r="BL76" i="18"/>
  <c r="S90" i="8"/>
  <c r="BL83" i="18" a="1"/>
  <c r="BL83" i="18"/>
  <c r="T98" i="8"/>
  <c r="BM91" i="18" a="1"/>
  <c r="BM91" i="18"/>
  <c r="V114" i="8"/>
  <c r="BO107" i="18" a="1"/>
  <c r="BO107" i="18"/>
  <c r="W68" i="8"/>
  <c r="BR61" i="18" a="1"/>
  <c r="BR61" i="18"/>
  <c r="U113" i="8"/>
  <c r="BN106" i="18" a="1"/>
  <c r="BN106" i="18"/>
  <c r="V81" i="8"/>
  <c r="BO74" i="18" a="1"/>
  <c r="BO74" i="18"/>
  <c r="Y125" i="8"/>
  <c r="BT118" i="18" a="1"/>
  <c r="BT118" i="18"/>
  <c r="Y110" i="8"/>
  <c r="BT103" i="18" a="1"/>
  <c r="BT103" i="18"/>
  <c r="Y91" i="8"/>
  <c r="BT84" i="18" a="1"/>
  <c r="BT84" i="18"/>
  <c r="Y53" i="8"/>
  <c r="BT46" i="18" a="1"/>
  <c r="BT46" i="18"/>
  <c r="Y48" i="8"/>
  <c r="BT41" i="18" a="1"/>
  <c r="BT41" i="18"/>
  <c r="Y31" i="8"/>
  <c r="BT24" i="18" a="1"/>
  <c r="BT24" i="18"/>
  <c r="Y109" i="8"/>
  <c r="BT102" i="18" a="1"/>
  <c r="BT102" i="18"/>
  <c r="Y102" i="8"/>
  <c r="BT95" i="18" a="1"/>
  <c r="BT95" i="18"/>
  <c r="Y71" i="8"/>
  <c r="BT64" i="18" a="1"/>
  <c r="BT64" i="18"/>
  <c r="Y30" i="8"/>
  <c r="BT23" i="18" a="1"/>
  <c r="BT23" i="18"/>
  <c r="Y22" i="8"/>
  <c r="BT15" i="18" a="1"/>
  <c r="BT15" i="18"/>
  <c r="Y20" i="8"/>
  <c r="BT13" i="18" a="1"/>
  <c r="BT13" i="18"/>
  <c r="Y116" i="8"/>
  <c r="BT109" i="18" a="1"/>
  <c r="BT109" i="18"/>
  <c r="Y96" i="8"/>
  <c r="BT89" i="18" a="1"/>
  <c r="BT89" i="18"/>
  <c r="Y75" i="8"/>
  <c r="BT68" i="18" a="1"/>
  <c r="BT68" i="18"/>
  <c r="Y50" i="8"/>
  <c r="BT43" i="18" a="1"/>
  <c r="BT43" i="18"/>
  <c r="Y33" i="8"/>
  <c r="BT26" i="18" a="1"/>
  <c r="BT26" i="18"/>
  <c r="Y27" i="8"/>
  <c r="BT20" i="18" a="1"/>
  <c r="BT20" i="18"/>
  <c r="Y130" i="8"/>
  <c r="BT123" i="18" a="1"/>
  <c r="BT123" i="18"/>
  <c r="Y122" i="8"/>
  <c r="BT115" i="18" a="1"/>
  <c r="BT115" i="18"/>
  <c r="Y85" i="8"/>
  <c r="BT78" i="18" a="1"/>
  <c r="BT78" i="18"/>
  <c r="Y68" i="8"/>
  <c r="BT61" i="18" a="1"/>
  <c r="BT61" i="18"/>
  <c r="CE127" i="8"/>
  <c r="CE63" i="8"/>
  <c r="CE19" i="8"/>
  <c r="CE134" i="8"/>
  <c r="CE90" i="8"/>
  <c r="CE70" i="8"/>
  <c r="CE50" i="8"/>
  <c r="CE26" i="8"/>
  <c r="CE121" i="8"/>
  <c r="CE97" i="8"/>
  <c r="CE77" i="8"/>
  <c r="CE132" i="8"/>
  <c r="CE112" i="8"/>
  <c r="CE88" i="8"/>
  <c r="CE48" i="8"/>
  <c r="CT86" i="8"/>
  <c r="BH79" i="18" a="1"/>
  <c r="BH79" i="18"/>
  <c r="CT93" i="8"/>
  <c r="BH86" i="18" a="1"/>
  <c r="BH86" i="18"/>
  <c r="CT121" i="8"/>
  <c r="BH114" i="18" a="1"/>
  <c r="BH114" i="18"/>
  <c r="CT127" i="8"/>
  <c r="BH120" i="18" a="1"/>
  <c r="BH120" i="18"/>
  <c r="CT138" i="8"/>
  <c r="X64" i="8"/>
  <c r="BS57" i="18" a="1"/>
  <c r="BS57" i="18"/>
  <c r="W135" i="8"/>
  <c r="CT31" i="8"/>
  <c r="BH24" i="18" a="1"/>
  <c r="BH24" i="18"/>
  <c r="CT62" i="8"/>
  <c r="BH55" i="18" a="1"/>
  <c r="BH55" i="18"/>
  <c r="CT70" i="8"/>
  <c r="BH63" i="18" a="1"/>
  <c r="BH63" i="18"/>
  <c r="CT123" i="8"/>
  <c r="BH116" i="18" a="1"/>
  <c r="BH116" i="18"/>
  <c r="V16" i="8"/>
  <c r="BO9" i="18" a="1"/>
  <c r="BO9" i="18"/>
  <c r="Y138" i="8"/>
  <c r="W63" i="8"/>
  <c r="BR56" i="18" a="1"/>
  <c r="BR56" i="18"/>
  <c r="BM4" i="18" a="1"/>
  <c r="BM4" i="18"/>
  <c r="X142" i="8"/>
  <c r="S142" i="8"/>
  <c r="CE142" i="8"/>
  <c r="V141" i="8"/>
  <c r="Y141" i="8"/>
  <c r="S139" i="8"/>
  <c r="W139" i="8"/>
  <c r="CT139" i="8"/>
  <c r="X133" i="8"/>
  <c r="CE133" i="8"/>
  <c r="U131" i="8"/>
  <c r="Y131" i="8"/>
  <c r="CT131" i="8"/>
  <c r="CT126" i="8"/>
  <c r="BH119" i="18" a="1"/>
  <c r="BH119" i="18"/>
  <c r="CE126" i="8"/>
  <c r="CT111" i="8"/>
  <c r="BH104" i="18" a="1"/>
  <c r="BH104" i="18"/>
  <c r="Y111" i="8"/>
  <c r="BT104" i="18" a="1"/>
  <c r="BT104" i="18"/>
  <c r="CT107" i="8"/>
  <c r="BH100" i="18" a="1"/>
  <c r="BH100" i="18"/>
  <c r="CE103" i="8"/>
  <c r="CT94" i="8"/>
  <c r="BH87" i="18" a="1"/>
  <c r="BH87" i="18"/>
  <c r="CE94" i="8"/>
  <c r="CE92" i="8"/>
  <c r="Y92" i="8"/>
  <c r="BT85" i="18" a="1"/>
  <c r="BT85" i="18"/>
  <c r="CT89" i="8"/>
  <c r="BH82" i="18" a="1"/>
  <c r="BH82" i="18"/>
  <c r="Y80" i="8"/>
  <c r="BT73" i="18" a="1"/>
  <c r="BT73" i="18"/>
  <c r="CE78" i="8"/>
  <c r="CT74" i="8"/>
  <c r="BH67" i="18" a="1"/>
  <c r="BH67" i="18"/>
  <c r="Y74" i="8"/>
  <c r="BT67" i="18" a="1"/>
  <c r="BT67" i="18"/>
  <c r="Y67" i="8"/>
  <c r="BT60" i="18" a="1"/>
  <c r="BT60" i="18"/>
  <c r="U60" i="8"/>
  <c r="BN53" i="18" a="1"/>
  <c r="BN53" i="18"/>
  <c r="Y60" i="8"/>
  <c r="BT53" i="18" a="1"/>
  <c r="BT53" i="18"/>
  <c r="CE60" i="8"/>
  <c r="T58" i="8"/>
  <c r="BM51" i="18" a="1"/>
  <c r="BM51" i="18"/>
  <c r="S57" i="8"/>
  <c r="BL50" i="18" a="1"/>
  <c r="BL50" i="18"/>
  <c r="W57" i="8"/>
  <c r="BR50" i="18" a="1"/>
  <c r="BR50" i="18"/>
  <c r="CE46" i="8"/>
  <c r="CE44" i="8"/>
  <c r="CT38" i="8"/>
  <c r="BH31" i="18" a="1"/>
  <c r="BH31" i="18"/>
  <c r="Y38" i="8"/>
  <c r="BT31" i="18" a="1"/>
  <c r="BT31" i="18"/>
  <c r="CT29" i="8"/>
  <c r="BH22" i="18" a="1"/>
  <c r="BH22" i="18"/>
  <c r="W28" i="8"/>
  <c r="BR21" i="18" a="1"/>
  <c r="BR21" i="18"/>
  <c r="CE28" i="8"/>
  <c r="X14" i="8"/>
  <c r="BS7" i="18" a="1"/>
  <c r="BS7" i="18"/>
  <c r="CE14" i="8"/>
  <c r="V12" i="8"/>
  <c r="CE12" i="8"/>
  <c r="CT82" i="8"/>
  <c r="BH75" i="18" a="1"/>
  <c r="BH75" i="18"/>
  <c r="CT101" i="8"/>
  <c r="BH94" i="18" a="1"/>
  <c r="BH94" i="18"/>
  <c r="W142" i="8"/>
  <c r="U141" i="8"/>
  <c r="W137" i="8"/>
  <c r="S135" i="8"/>
  <c r="Y56" i="8"/>
  <c r="BT49" i="18" a="1"/>
  <c r="BT49" i="18"/>
  <c r="U62" i="8"/>
  <c r="BN55" i="18" a="1"/>
  <c r="BN55" i="18"/>
  <c r="T19" i="8"/>
  <c r="BM12" i="18" a="1"/>
  <c r="BM12" i="18"/>
  <c r="T142" i="8"/>
  <c r="S134" i="8"/>
  <c r="U132" i="8"/>
  <c r="T133" i="8"/>
  <c r="S61" i="8"/>
  <c r="BL54" i="18" a="1"/>
  <c r="BL54" i="18"/>
  <c r="X13" i="8"/>
  <c r="BS6" i="18" a="1"/>
  <c r="BS6" i="18"/>
  <c r="T13" i="8"/>
  <c r="BM6" i="18" a="1"/>
  <c r="BM6" i="18"/>
  <c r="S145" i="8"/>
  <c r="W145" i="8"/>
  <c r="T145" i="8"/>
  <c r="X145" i="8"/>
  <c r="U145" i="8"/>
  <c r="Y145" i="8"/>
  <c r="S144" i="8"/>
  <c r="W144" i="8"/>
  <c r="T144" i="8"/>
  <c r="X144" i="8"/>
  <c r="U144" i="8"/>
  <c r="Y144" i="8"/>
  <c r="U143" i="8"/>
  <c r="Y143" i="8"/>
  <c r="V143" i="8"/>
  <c r="CT143" i="8"/>
  <c r="S143" i="8"/>
  <c r="W143" i="8"/>
  <c r="U142" i="8"/>
  <c r="Y142" i="8"/>
  <c r="V142" i="8"/>
  <c r="S141" i="8"/>
  <c r="W141" i="8"/>
  <c r="T141" i="8"/>
  <c r="X141" i="8"/>
  <c r="T139" i="8"/>
  <c r="X139" i="8"/>
  <c r="U139" i="8"/>
  <c r="Y139" i="8"/>
  <c r="V139" i="8"/>
  <c r="V138" i="8"/>
  <c r="S138" i="8"/>
  <c r="W138" i="8"/>
  <c r="T138" i="8"/>
  <c r="X138" i="8"/>
  <c r="T137" i="8"/>
  <c r="X137" i="8"/>
  <c r="U137" i="8"/>
  <c r="Y137" i="8"/>
  <c r="V137" i="8"/>
  <c r="V136" i="8"/>
  <c r="S136" i="8"/>
  <c r="W136" i="8"/>
  <c r="T136" i="8"/>
  <c r="X136" i="8"/>
  <c r="T135" i="8"/>
  <c r="X135" i="8"/>
  <c r="U135" i="8"/>
  <c r="Y135" i="8"/>
  <c r="V135" i="8"/>
  <c r="T134" i="8"/>
  <c r="X134" i="8"/>
  <c r="U134" i="8"/>
  <c r="Y134" i="8"/>
  <c r="CT134" i="8"/>
  <c r="V134" i="8"/>
  <c r="U133" i="8"/>
  <c r="Y133" i="8"/>
  <c r="V133" i="8"/>
  <c r="S133" i="8"/>
  <c r="W133" i="8"/>
  <c r="V132" i="8"/>
  <c r="S132" i="8"/>
  <c r="W132" i="8"/>
  <c r="T132" i="8"/>
  <c r="X132" i="8"/>
  <c r="V131" i="8"/>
  <c r="S131" i="8"/>
  <c r="W131" i="8"/>
  <c r="T131" i="8"/>
  <c r="X131" i="8"/>
  <c r="CT66" i="8"/>
  <c r="BH59" i="18" a="1"/>
  <c r="BH59" i="18"/>
  <c r="U64" i="8"/>
  <c r="BN57" i="18" a="1"/>
  <c r="BN57" i="18"/>
  <c r="Y64" i="8"/>
  <c r="BT57" i="18" a="1"/>
  <c r="BT57" i="18"/>
  <c r="V64" i="8"/>
  <c r="BO57" i="18" a="1"/>
  <c r="BO57" i="18"/>
  <c r="S64" i="8"/>
  <c r="BL57" i="18" a="1"/>
  <c r="BL57" i="18"/>
  <c r="W64" i="8"/>
  <c r="BR57" i="18" a="1"/>
  <c r="BR57" i="18"/>
  <c r="T63" i="8"/>
  <c r="BM56" i="18" a="1"/>
  <c r="BM56" i="18"/>
  <c r="X63" i="8"/>
  <c r="BS56" i="18" a="1"/>
  <c r="BS56" i="18"/>
  <c r="U63" i="8"/>
  <c r="BN56" i="18" a="1"/>
  <c r="BN56" i="18"/>
  <c r="Y63" i="8"/>
  <c r="BT56" i="18" a="1"/>
  <c r="BT56" i="18"/>
  <c r="V63" i="8"/>
  <c r="BO56" i="18" a="1"/>
  <c r="BO56" i="18"/>
  <c r="V62" i="8"/>
  <c r="BO55" i="18" a="1"/>
  <c r="BO55" i="18"/>
  <c r="S62" i="8"/>
  <c r="BL55" i="18" a="1"/>
  <c r="BL55" i="18"/>
  <c r="W62" i="8"/>
  <c r="BR55" i="18" a="1"/>
  <c r="BR55" i="18"/>
  <c r="T62" i="8"/>
  <c r="BM55" i="18" a="1"/>
  <c r="BM55" i="18"/>
  <c r="X62" i="8"/>
  <c r="BS55" i="18" a="1"/>
  <c r="BS55" i="18"/>
  <c r="T61" i="8"/>
  <c r="BM54" i="18" a="1"/>
  <c r="BM54" i="18"/>
  <c r="X61" i="8"/>
  <c r="BS54" i="18" a="1"/>
  <c r="BS54" i="18"/>
  <c r="U61" i="8"/>
  <c r="BN54" i="18" a="1"/>
  <c r="BN54" i="18"/>
  <c r="Y61" i="8"/>
  <c r="BT54" i="18" a="1"/>
  <c r="BT54" i="18"/>
  <c r="V61" i="8"/>
  <c r="BO54" i="18" a="1"/>
  <c r="BO54" i="18"/>
  <c r="V60" i="8"/>
  <c r="BO53" i="18" a="1"/>
  <c r="BO53" i="18"/>
  <c r="S60" i="8"/>
  <c r="BL53" i="18" a="1"/>
  <c r="BL53" i="18"/>
  <c r="W60" i="8"/>
  <c r="BR53" i="18" a="1"/>
  <c r="BR53" i="18"/>
  <c r="T60" i="8"/>
  <c r="BM53" i="18" a="1"/>
  <c r="BM53" i="18"/>
  <c r="X60" i="8"/>
  <c r="BS53" i="18" a="1"/>
  <c r="BS53" i="18"/>
  <c r="U59" i="8"/>
  <c r="BN52" i="18" a="1"/>
  <c r="BN52" i="18"/>
  <c r="Y59" i="8"/>
  <c r="BT52" i="18" a="1"/>
  <c r="BT52" i="18"/>
  <c r="V59" i="8"/>
  <c r="BO52" i="18" a="1"/>
  <c r="BO52" i="18"/>
  <c r="S59" i="8"/>
  <c r="BL52" i="18" a="1"/>
  <c r="BL52" i="18"/>
  <c r="W59" i="8"/>
  <c r="BR52" i="18" a="1"/>
  <c r="BR52" i="18"/>
  <c r="U58" i="8"/>
  <c r="BN51" i="18" a="1"/>
  <c r="BN51" i="18"/>
  <c r="Y58" i="8"/>
  <c r="BT51" i="18" a="1"/>
  <c r="BT51" i="18"/>
  <c r="V58" i="8"/>
  <c r="BO51" i="18" a="1"/>
  <c r="BO51" i="18"/>
  <c r="CT58" i="8"/>
  <c r="BH51" i="18" a="1"/>
  <c r="BH51" i="18"/>
  <c r="S58" i="8"/>
  <c r="BL51" i="18" a="1"/>
  <c r="BL51" i="18"/>
  <c r="W58" i="8"/>
  <c r="BR51" i="18" a="1"/>
  <c r="BR51" i="18"/>
  <c r="T57" i="8"/>
  <c r="BM50" i="18" a="1"/>
  <c r="BM50" i="18"/>
  <c r="X57" i="8"/>
  <c r="BS50" i="18" a="1"/>
  <c r="BS50" i="18"/>
  <c r="U57" i="8"/>
  <c r="BN50" i="18" a="1"/>
  <c r="BN50" i="18"/>
  <c r="Y57" i="8"/>
  <c r="BT50" i="18" a="1"/>
  <c r="BT50" i="18"/>
  <c r="V57" i="8"/>
  <c r="BO50" i="18" a="1"/>
  <c r="BO50" i="18"/>
  <c r="V56" i="8"/>
  <c r="BO49" i="18" a="1"/>
  <c r="BO49" i="18"/>
  <c r="S56" i="8"/>
  <c r="BL49" i="18" a="1"/>
  <c r="BL49" i="18"/>
  <c r="W56" i="8"/>
  <c r="BR49" i="18" a="1"/>
  <c r="BR49" i="18"/>
  <c r="T56" i="8"/>
  <c r="BM49" i="18" a="1"/>
  <c r="BM49" i="18"/>
  <c r="X56" i="8"/>
  <c r="BS49" i="18" a="1"/>
  <c r="BS49" i="18"/>
  <c r="S34" i="8"/>
  <c r="BL27" i="18" a="1"/>
  <c r="BL27" i="18"/>
  <c r="W34" i="8"/>
  <c r="BR27" i="18" a="1"/>
  <c r="BR27" i="18"/>
  <c r="T34" i="8"/>
  <c r="BM27" i="18" a="1"/>
  <c r="BM27" i="18"/>
  <c r="X34" i="8"/>
  <c r="BS27" i="18" a="1"/>
  <c r="BS27" i="18"/>
  <c r="U34" i="8"/>
  <c r="BN27" i="18" a="1"/>
  <c r="BN27" i="18"/>
  <c r="Y34" i="8"/>
  <c r="BT27" i="18" a="1"/>
  <c r="BT27" i="18"/>
  <c r="T28" i="8"/>
  <c r="BM21" i="18" a="1"/>
  <c r="BM21" i="18"/>
  <c r="X28" i="8"/>
  <c r="BS21" i="18" a="1"/>
  <c r="BS21" i="18"/>
  <c r="U28" i="8"/>
  <c r="BN21" i="18" a="1"/>
  <c r="BN21" i="18"/>
  <c r="Y28" i="8"/>
  <c r="BT21" i="18" a="1"/>
  <c r="BT21" i="18"/>
  <c r="V28" i="8"/>
  <c r="BO21" i="18" a="1"/>
  <c r="BO21" i="18"/>
  <c r="U19" i="8"/>
  <c r="BN12" i="18" a="1"/>
  <c r="BN12" i="18"/>
  <c r="Y19" i="8"/>
  <c r="BT12" i="18" a="1"/>
  <c r="BT12" i="18"/>
  <c r="V19" i="8"/>
  <c r="BO12" i="18" a="1"/>
  <c r="BO12" i="18"/>
  <c r="CT19" i="8"/>
  <c r="BH12" i="18" a="1"/>
  <c r="BH12" i="18"/>
  <c r="S19" i="8"/>
  <c r="BL12" i="18" a="1"/>
  <c r="BL12" i="18"/>
  <c r="W19" i="8"/>
  <c r="BR12" i="18" a="1"/>
  <c r="BR12" i="18"/>
  <c r="S18" i="8"/>
  <c r="BL11" i="18" a="1"/>
  <c r="BL11" i="18"/>
  <c r="W18" i="8"/>
  <c r="BR11" i="18" a="1"/>
  <c r="BR11" i="18"/>
  <c r="T18" i="8"/>
  <c r="BM11" i="18" a="1"/>
  <c r="BM11" i="18"/>
  <c r="X18" i="8"/>
  <c r="BS11" i="18" a="1"/>
  <c r="BS11" i="18"/>
  <c r="U18" i="8"/>
  <c r="BN11" i="18" a="1"/>
  <c r="BN11" i="18"/>
  <c r="Y18" i="8"/>
  <c r="BT11" i="18" a="1"/>
  <c r="BT11" i="18"/>
  <c r="S17" i="8"/>
  <c r="BL10" i="18" a="1"/>
  <c r="BL10" i="18"/>
  <c r="W17" i="8"/>
  <c r="BR10" i="18" a="1"/>
  <c r="BR10" i="18"/>
  <c r="T17" i="8"/>
  <c r="BM10" i="18" a="1"/>
  <c r="BM10" i="18"/>
  <c r="X17" i="8"/>
  <c r="BS10" i="18" a="1"/>
  <c r="BS10" i="18"/>
  <c r="U17" i="8"/>
  <c r="BN10" i="18" a="1"/>
  <c r="BN10" i="18"/>
  <c r="Y17" i="8"/>
  <c r="BT10" i="18" a="1"/>
  <c r="BT10" i="18"/>
  <c r="T16" i="8"/>
  <c r="BM9" i="18" a="1"/>
  <c r="BM9" i="18"/>
  <c r="X16" i="8"/>
  <c r="BS9" i="18" a="1"/>
  <c r="BS9" i="18"/>
  <c r="U16" i="8"/>
  <c r="BN9" i="18" a="1"/>
  <c r="BN9" i="18"/>
  <c r="Y16" i="8"/>
  <c r="BT9" i="18" a="1"/>
  <c r="BT9" i="18"/>
  <c r="S15" i="8"/>
  <c r="BL8" i="18" a="1"/>
  <c r="BL8" i="18"/>
  <c r="W15" i="8"/>
  <c r="BR8" i="18" a="1"/>
  <c r="BR8" i="18"/>
  <c r="T15" i="8"/>
  <c r="BM8" i="18" a="1"/>
  <c r="BM8" i="18"/>
  <c r="X15" i="8"/>
  <c r="BS8" i="18" a="1"/>
  <c r="BS8" i="18"/>
  <c r="CT15" i="8"/>
  <c r="BH8" i="18" a="1"/>
  <c r="BH8" i="18"/>
  <c r="U15" i="8"/>
  <c r="BN8" i="18" a="1"/>
  <c r="BN8" i="18"/>
  <c r="Y15" i="8"/>
  <c r="BT8" i="18" a="1"/>
  <c r="BT8" i="18"/>
  <c r="U14" i="8"/>
  <c r="BN7" i="18" a="1"/>
  <c r="BN7" i="18"/>
  <c r="Y14" i="8"/>
  <c r="BT7" i="18" a="1"/>
  <c r="BT7" i="18"/>
  <c r="V14" i="8"/>
  <c r="BO7" i="18" a="1"/>
  <c r="BO7" i="18"/>
  <c r="S14" i="8"/>
  <c r="BL7" i="18" a="1"/>
  <c r="BL7" i="18"/>
  <c r="W14" i="8"/>
  <c r="BR7" i="18" a="1"/>
  <c r="BR7" i="18"/>
  <c r="S12" i="8"/>
  <c r="W12" i="8"/>
  <c r="BR5" i="18" a="1"/>
  <c r="BR5" i="18"/>
  <c r="T12" i="8"/>
  <c r="X12" i="8"/>
  <c r="BS5" i="18" a="1"/>
  <c r="BS5" i="18"/>
  <c r="U12" i="8"/>
  <c r="Y12" i="8"/>
  <c r="BT5" i="18" a="1"/>
  <c r="BT5" i="18"/>
  <c r="X143" i="8"/>
  <c r="FF42" i="8"/>
  <c r="BE35" i="18" a="1"/>
  <c r="BE35" i="18"/>
  <c r="K23" i="8"/>
  <c r="N50" i="8"/>
  <c r="N53" i="8"/>
  <c r="K69" i="8"/>
  <c r="K30" i="8"/>
  <c r="N42" i="8"/>
  <c r="K116" i="8"/>
  <c r="BH105" i="8"/>
  <c r="N49" i="8"/>
  <c r="K56" i="8"/>
  <c r="K111" i="8"/>
  <c r="N131" i="8"/>
  <c r="N143" i="8"/>
  <c r="I112" i="8"/>
  <c r="I19" i="8"/>
  <c r="N132" i="8"/>
  <c r="K16" i="8"/>
  <c r="N47" i="8"/>
  <c r="N48" i="8"/>
  <c r="N91" i="8"/>
  <c r="K108" i="8"/>
  <c r="I66" i="8"/>
  <c r="I113" i="8"/>
  <c r="I57" i="8"/>
  <c r="K120" i="8"/>
  <c r="K96" i="8"/>
  <c r="N67" i="8"/>
  <c r="N16" i="8"/>
  <c r="N11" i="8"/>
  <c r="N109" i="8"/>
  <c r="N69" i="8"/>
  <c r="N60" i="8"/>
  <c r="I32" i="8"/>
  <c r="N18" i="8"/>
  <c r="N68" i="8"/>
  <c r="N139" i="8"/>
  <c r="N106" i="8"/>
  <c r="N112" i="8"/>
  <c r="I33" i="8"/>
  <c r="N59" i="8"/>
  <c r="N93" i="8"/>
  <c r="N94" i="8"/>
  <c r="F116" i="3"/>
  <c r="FF26" i="8"/>
  <c r="BE19" i="18" a="1"/>
  <c r="BE19" i="18"/>
  <c r="BJ20" i="8"/>
  <c r="BJ67" i="8"/>
  <c r="BH40" i="8"/>
  <c r="BH56" i="8"/>
  <c r="BH121" i="8"/>
  <c r="BJ11" i="8"/>
  <c r="I69" i="8"/>
  <c r="I67" i="8"/>
  <c r="I102" i="8"/>
  <c r="I104" i="8"/>
  <c r="I25" i="8"/>
  <c r="I58" i="8"/>
  <c r="I62" i="8"/>
  <c r="I103" i="8"/>
  <c r="K14" i="8"/>
  <c r="K59" i="8"/>
  <c r="K68" i="8"/>
  <c r="K101" i="8"/>
  <c r="I49" i="8"/>
  <c r="I42" i="8"/>
  <c r="I87" i="8"/>
  <c r="I142" i="8"/>
  <c r="I48" i="8"/>
  <c r="I131" i="8"/>
  <c r="I51" i="8"/>
  <c r="I138" i="8"/>
  <c r="I143" i="8"/>
  <c r="K91" i="8"/>
  <c r="K100" i="8"/>
  <c r="K140" i="8"/>
  <c r="K53" i="8"/>
  <c r="K41" i="8"/>
  <c r="K89" i="8"/>
  <c r="K99" i="8"/>
  <c r="K42" i="8"/>
  <c r="K55" i="8"/>
  <c r="K87" i="8"/>
  <c r="BJ73" i="8"/>
  <c r="BH29" i="8"/>
  <c r="BH37" i="8"/>
  <c r="BH73" i="8"/>
  <c r="BH81" i="8"/>
  <c r="BH118" i="8"/>
  <c r="K112" i="8"/>
  <c r="K110" i="8"/>
  <c r="K106" i="8"/>
  <c r="K104" i="8"/>
  <c r="K102" i="8"/>
  <c r="K70" i="8"/>
  <c r="K67" i="8"/>
  <c r="K62" i="8"/>
  <c r="K57" i="8"/>
  <c r="K21" i="8"/>
  <c r="K20" i="8"/>
  <c r="K13" i="8"/>
  <c r="K11" i="8"/>
  <c r="BJ129" i="8"/>
  <c r="BJ123" i="8"/>
  <c r="BJ78" i="8"/>
  <c r="BJ39" i="8"/>
  <c r="BJ31" i="8"/>
  <c r="BJ130" i="8"/>
  <c r="BJ122" i="8"/>
  <c r="BJ84" i="8"/>
  <c r="BJ76" i="8"/>
  <c r="BJ38" i="8"/>
  <c r="BJ28" i="8"/>
  <c r="BJ37" i="8"/>
  <c r="BJ128" i="8"/>
  <c r="BJ118" i="8"/>
  <c r="BJ83" i="8"/>
  <c r="BJ72" i="8"/>
  <c r="BJ36" i="8"/>
  <c r="BJ26" i="8"/>
  <c r="BH128" i="8"/>
  <c r="BH124" i="8"/>
  <c r="BH120" i="8"/>
  <c r="BH116" i="8"/>
  <c r="BH83" i="8"/>
  <c r="BH79" i="8"/>
  <c r="BH75" i="8"/>
  <c r="BH71" i="8"/>
  <c r="BH39" i="8"/>
  <c r="BH35" i="8"/>
  <c r="BH31" i="8"/>
  <c r="BH27" i="8"/>
  <c r="BH127" i="8"/>
  <c r="BH123" i="8"/>
  <c r="BH119" i="8"/>
  <c r="BH82" i="8"/>
  <c r="BH78" i="8"/>
  <c r="BH74" i="8"/>
  <c r="BH38" i="8"/>
  <c r="BH34" i="8"/>
  <c r="BH30" i="8"/>
  <c r="BH26" i="8"/>
  <c r="I108" i="8"/>
  <c r="I65" i="8"/>
  <c r="I64" i="8"/>
  <c r="I111" i="8"/>
  <c r="I109" i="8"/>
  <c r="I63" i="8"/>
  <c r="I15" i="8"/>
  <c r="I23" i="8"/>
  <c r="K141" i="8"/>
  <c r="K131" i="8"/>
  <c r="K95" i="8"/>
  <c r="K46" i="8"/>
  <c r="K143" i="8"/>
  <c r="K88" i="8"/>
  <c r="I45" i="8"/>
  <c r="K54" i="8"/>
  <c r="I96" i="8"/>
  <c r="I88" i="8"/>
  <c r="I55" i="8"/>
  <c r="N144" i="8"/>
  <c r="K139" i="8"/>
  <c r="K144" i="8"/>
  <c r="N41" i="8"/>
  <c r="K60" i="8"/>
  <c r="N89" i="8"/>
  <c r="N100" i="8"/>
  <c r="K109" i="8"/>
  <c r="K78" i="8"/>
  <c r="K126" i="8"/>
  <c r="K84" i="8"/>
  <c r="K72" i="8"/>
  <c r="K38" i="8"/>
  <c r="K36" i="8"/>
  <c r="K31" i="8"/>
  <c r="K27" i="8"/>
  <c r="K73" i="8"/>
  <c r="K127" i="8"/>
  <c r="K123" i="8"/>
  <c r="K129" i="8"/>
  <c r="BJ125" i="8"/>
  <c r="BH33" i="8"/>
  <c r="BH77" i="8"/>
  <c r="BH85" i="8"/>
  <c r="BH122" i="8"/>
  <c r="BH130" i="8"/>
  <c r="BJ116" i="8"/>
  <c r="I115" i="8"/>
  <c r="I114" i="8"/>
  <c r="I106" i="8"/>
  <c r="I20" i="8"/>
  <c r="I12" i="8"/>
  <c r="I61" i="8"/>
  <c r="I22" i="8"/>
  <c r="I105" i="8"/>
  <c r="I56" i="8"/>
  <c r="I133" i="8"/>
  <c r="I141" i="8"/>
  <c r="I94" i="8"/>
  <c r="I16" i="8"/>
  <c r="I110" i="8"/>
  <c r="I107" i="8"/>
  <c r="I60" i="8"/>
  <c r="I14" i="8"/>
  <c r="I11" i="8"/>
  <c r="I13" i="8"/>
  <c r="I70" i="8"/>
  <c r="I144" i="8"/>
  <c r="K145" i="8"/>
  <c r="I140" i="8"/>
  <c r="K92" i="8"/>
  <c r="I54" i="8"/>
  <c r="K142" i="8"/>
  <c r="K93" i="8"/>
  <c r="I86" i="8"/>
  <c r="K50" i="8"/>
  <c r="K43" i="8"/>
  <c r="K51" i="8"/>
  <c r="I95" i="8"/>
  <c r="I90" i="8"/>
  <c r="I50" i="8"/>
  <c r="I44" i="8"/>
  <c r="N140" i="8"/>
  <c r="I41" i="8"/>
  <c r="K138" i="8"/>
  <c r="K15" i="8"/>
  <c r="K17" i="8"/>
  <c r="K18" i="8"/>
  <c r="K19" i="8"/>
  <c r="I21" i="8"/>
  <c r="K22" i="8"/>
  <c r="I24" i="8"/>
  <c r="K25" i="8"/>
  <c r="N54" i="8"/>
  <c r="K58" i="8"/>
  <c r="K61" i="8"/>
  <c r="K63" i="8"/>
  <c r="K65" i="8"/>
  <c r="K66" i="8"/>
  <c r="K81" i="8"/>
  <c r="K103" i="8"/>
  <c r="K105" i="8"/>
  <c r="K107" i="8"/>
  <c r="K113" i="8"/>
  <c r="K115" i="8"/>
  <c r="N134" i="8"/>
  <c r="N84" i="8"/>
  <c r="N82" i="8"/>
  <c r="N76" i="8"/>
  <c r="I145" i="8"/>
  <c r="O145" i="8"/>
  <c r="K135" i="8"/>
  <c r="BJ81" i="8"/>
  <c r="BH28" i="8"/>
  <c r="BH36" i="8"/>
  <c r="BH72" i="8"/>
  <c r="BH80" i="8"/>
  <c r="BH117" i="8"/>
  <c r="BH125" i="8"/>
  <c r="BJ32" i="8"/>
  <c r="BJ124" i="8"/>
  <c r="BJ109" i="8"/>
  <c r="BJ69" i="8"/>
  <c r="BJ108" i="8"/>
  <c r="BJ59" i="8"/>
  <c r="BH67" i="8"/>
  <c r="BH111" i="8"/>
  <c r="BJ101" i="8"/>
  <c r="BJ24" i="8"/>
  <c r="AN93" i="8"/>
  <c r="BH114" i="8"/>
  <c r="BH110" i="8"/>
  <c r="BH106" i="8"/>
  <c r="BH102" i="8"/>
  <c r="BH70" i="8"/>
  <c r="BH66" i="8"/>
  <c r="BH62" i="8"/>
  <c r="BH58" i="8"/>
  <c r="BH22" i="8"/>
  <c r="BH18" i="8"/>
  <c r="BH14" i="8"/>
  <c r="I129" i="8"/>
  <c r="N123" i="8"/>
  <c r="N83" i="8"/>
  <c r="N75" i="8"/>
  <c r="I37" i="8"/>
  <c r="I73" i="8"/>
  <c r="N121" i="8"/>
  <c r="I85" i="8"/>
  <c r="I77" i="8"/>
  <c r="N40" i="8"/>
  <c r="N34" i="8"/>
  <c r="N28" i="8"/>
  <c r="I125" i="8"/>
  <c r="N130" i="8"/>
  <c r="N31" i="8"/>
  <c r="L43" i="8"/>
  <c r="GR43" i="8"/>
  <c r="L47" i="8"/>
  <c r="GR47" i="8"/>
  <c r="L51" i="8"/>
  <c r="GR51" i="8"/>
  <c r="L55" i="8"/>
  <c r="GR55" i="8"/>
  <c r="L42" i="8"/>
  <c r="GR42" i="8"/>
  <c r="L46" i="8"/>
  <c r="GR46" i="8"/>
  <c r="L50" i="8"/>
  <c r="GR50" i="8"/>
  <c r="L54" i="8"/>
  <c r="GR54" i="8"/>
  <c r="L44" i="8"/>
  <c r="GR44" i="8"/>
  <c r="L48" i="8"/>
  <c r="GR48" i="8"/>
  <c r="L52" i="8"/>
  <c r="GR52" i="8"/>
  <c r="L88" i="8"/>
  <c r="GR88" i="8"/>
  <c r="L92" i="8"/>
  <c r="GR92" i="8"/>
  <c r="L86" i="8"/>
  <c r="GR86" i="8"/>
  <c r="L90" i="8"/>
  <c r="GR90" i="8"/>
  <c r="L94" i="8"/>
  <c r="GR94" i="8"/>
  <c r="L97" i="8"/>
  <c r="GR97" i="8"/>
  <c r="L99" i="8"/>
  <c r="GR99" i="8"/>
  <c r="L131" i="8"/>
  <c r="GR131" i="8"/>
  <c r="L132" i="8"/>
  <c r="GR132" i="8"/>
  <c r="L133" i="8"/>
  <c r="GR133" i="8"/>
  <c r="L41" i="8"/>
  <c r="GR41" i="8"/>
  <c r="L45" i="8"/>
  <c r="GR45" i="8"/>
  <c r="L49" i="8"/>
  <c r="GR49" i="8"/>
  <c r="L53" i="8"/>
  <c r="GR53" i="8"/>
  <c r="L87" i="8"/>
  <c r="GR87" i="8"/>
  <c r="L91" i="8"/>
  <c r="GR91" i="8"/>
  <c r="L95" i="8"/>
  <c r="GR95" i="8"/>
  <c r="L98" i="8"/>
  <c r="GR98" i="8"/>
  <c r="L89" i="8"/>
  <c r="GR89" i="8"/>
  <c r="L134" i="8"/>
  <c r="GR134" i="8"/>
  <c r="L135" i="8"/>
  <c r="GR135" i="8"/>
  <c r="L136" i="8"/>
  <c r="GR136" i="8"/>
  <c r="L137" i="8"/>
  <c r="GR137" i="8"/>
  <c r="L138" i="8"/>
  <c r="GR138" i="8"/>
  <c r="L139" i="8"/>
  <c r="GR139" i="8"/>
  <c r="L140" i="8"/>
  <c r="GR140" i="8"/>
  <c r="L141" i="8"/>
  <c r="GR141" i="8"/>
  <c r="L142" i="8"/>
  <c r="GR142" i="8"/>
  <c r="L143" i="8"/>
  <c r="GR143" i="8"/>
  <c r="L144" i="8"/>
  <c r="GR144" i="8"/>
  <c r="L145" i="8"/>
  <c r="N142" i="8"/>
  <c r="N145" i="8"/>
  <c r="N136" i="8"/>
  <c r="N97" i="8"/>
  <c r="N95" i="8"/>
  <c r="N92" i="8"/>
  <c r="N87" i="8"/>
  <c r="N52" i="8"/>
  <c r="AL26" i="8"/>
  <c r="AL30" i="8"/>
  <c r="AL34" i="8"/>
  <c r="AL38" i="8"/>
  <c r="AL74" i="8"/>
  <c r="AL78" i="8"/>
  <c r="AL82" i="8"/>
  <c r="AL29" i="8"/>
  <c r="AL33" i="8"/>
  <c r="AL37" i="8"/>
  <c r="AL73" i="8"/>
  <c r="AL77" i="8"/>
  <c r="AL28" i="8"/>
  <c r="AL32" i="8"/>
  <c r="AL36" i="8"/>
  <c r="AL27" i="8"/>
  <c r="AL31" i="8"/>
  <c r="AL35" i="8"/>
  <c r="AL39" i="8"/>
  <c r="AL71" i="8"/>
  <c r="AL75" i="8"/>
  <c r="AL79" i="8"/>
  <c r="AL83" i="8"/>
  <c r="AL40" i="8"/>
  <c r="AL72" i="8"/>
  <c r="AL76" i="8"/>
  <c r="AL81" i="8"/>
  <c r="AL85" i="8"/>
  <c r="AL116" i="8"/>
  <c r="AL120" i="8"/>
  <c r="AL124" i="8"/>
  <c r="AL128" i="8"/>
  <c r="AL80" i="8"/>
  <c r="AL84" i="8"/>
  <c r="AL118" i="8"/>
  <c r="AL122" i="8"/>
  <c r="AL126" i="8"/>
  <c r="AL130" i="8"/>
  <c r="AL119" i="8"/>
  <c r="AL123" i="8"/>
  <c r="AL127" i="8"/>
  <c r="AL117" i="8"/>
  <c r="AL121" i="8"/>
  <c r="AL125" i="8"/>
  <c r="AL129" i="8"/>
  <c r="AM27" i="8"/>
  <c r="AM31" i="8"/>
  <c r="AM35" i="8"/>
  <c r="AM39" i="8"/>
  <c r="AM71" i="8"/>
  <c r="AM75" i="8"/>
  <c r="AM79" i="8"/>
  <c r="AM83" i="8"/>
  <c r="AM26" i="8"/>
  <c r="AM30" i="8"/>
  <c r="AM34" i="8"/>
  <c r="AM38" i="8"/>
  <c r="AM74" i="8"/>
  <c r="AM29" i="8"/>
  <c r="AM33" i="8"/>
  <c r="AM37" i="8"/>
  <c r="AM28" i="8"/>
  <c r="AM32" i="8"/>
  <c r="AM36" i="8"/>
  <c r="AM40" i="8"/>
  <c r="AM72" i="8"/>
  <c r="AM76" i="8"/>
  <c r="AM80" i="8"/>
  <c r="AM84" i="8"/>
  <c r="AM117" i="8"/>
  <c r="AM121" i="8"/>
  <c r="AM125" i="8"/>
  <c r="AM129" i="8"/>
  <c r="AM73" i="8"/>
  <c r="AM77" i="8"/>
  <c r="AM119" i="8"/>
  <c r="AM123" i="8"/>
  <c r="AM127" i="8"/>
  <c r="AM78" i="8"/>
  <c r="AM82" i="8"/>
  <c r="AM85" i="8"/>
  <c r="AM118" i="8"/>
  <c r="AM122" i="8"/>
  <c r="AM126" i="8"/>
  <c r="AM130" i="8"/>
  <c r="AM81" i="8"/>
  <c r="AM116" i="8"/>
  <c r="AM120" i="8"/>
  <c r="AM124" i="8"/>
  <c r="AM128" i="8"/>
  <c r="AN27" i="8"/>
  <c r="AN31" i="8"/>
  <c r="AN35" i="8"/>
  <c r="AN39" i="8"/>
  <c r="AN71" i="8"/>
  <c r="AN75" i="8"/>
  <c r="AN79" i="8"/>
  <c r="AN83" i="8"/>
  <c r="AN26" i="8"/>
  <c r="AN30" i="8"/>
  <c r="AN34" i="8"/>
  <c r="AN38" i="8"/>
  <c r="AN74" i="8"/>
  <c r="AN29" i="8"/>
  <c r="AN33" i="8"/>
  <c r="AN37" i="8"/>
  <c r="AN28" i="8"/>
  <c r="AN32" i="8"/>
  <c r="AN36" i="8"/>
  <c r="AN40" i="8"/>
  <c r="AN72" i="8"/>
  <c r="AN76" i="8"/>
  <c r="AN80" i="8"/>
  <c r="AN84" i="8"/>
  <c r="AN78" i="8"/>
  <c r="AN82" i="8"/>
  <c r="AN117" i="8"/>
  <c r="AN121" i="8"/>
  <c r="AN125" i="8"/>
  <c r="AN129" i="8"/>
  <c r="AN119" i="8"/>
  <c r="AN123" i="8"/>
  <c r="AN127" i="8"/>
  <c r="AN73" i="8"/>
  <c r="AN77" i="8"/>
  <c r="AN85" i="8"/>
  <c r="AN118" i="8"/>
  <c r="AN122" i="8"/>
  <c r="AN126" i="8"/>
  <c r="AN130" i="8"/>
  <c r="AN81" i="8"/>
  <c r="BH15" i="8"/>
  <c r="BH20" i="8"/>
  <c r="BH25" i="8"/>
  <c r="BH57" i="8"/>
  <c r="BH63" i="8"/>
  <c r="BH68" i="8"/>
  <c r="BH101" i="8"/>
  <c r="BH107" i="8"/>
  <c r="BH112" i="8"/>
  <c r="BJ112" i="8"/>
  <c r="BJ115" i="8"/>
  <c r="BJ106" i="8"/>
  <c r="BJ70" i="8"/>
  <c r="BJ58" i="8"/>
  <c r="BJ23" i="8"/>
  <c r="BJ14" i="8"/>
  <c r="BJ18" i="8"/>
  <c r="BJ110" i="8"/>
  <c r="BJ60" i="8"/>
  <c r="BJ13" i="8"/>
  <c r="BJ61" i="8"/>
  <c r="BJ105" i="8"/>
  <c r="BJ68" i="8"/>
  <c r="AN128" i="8"/>
  <c r="L128" i="8"/>
  <c r="GR128" i="8"/>
  <c r="AN120" i="8"/>
  <c r="AN112" i="8"/>
  <c r="L112" i="8"/>
  <c r="GR112" i="8"/>
  <c r="L96" i="8"/>
  <c r="GR96" i="8"/>
  <c r="L27" i="8"/>
  <c r="GR27" i="8"/>
  <c r="L31" i="8"/>
  <c r="GR31" i="8"/>
  <c r="L35" i="8"/>
  <c r="GR35" i="8"/>
  <c r="L39" i="8"/>
  <c r="GR39" i="8"/>
  <c r="L71" i="8"/>
  <c r="GR71" i="8"/>
  <c r="L75" i="8"/>
  <c r="GR75" i="8"/>
  <c r="L79" i="8"/>
  <c r="GR79" i="8"/>
  <c r="L83" i="8"/>
  <c r="GR83" i="8"/>
  <c r="L26" i="8"/>
  <c r="GR26" i="8"/>
  <c r="L30" i="8"/>
  <c r="GR30" i="8"/>
  <c r="L34" i="8"/>
  <c r="GR34" i="8"/>
  <c r="L38" i="8"/>
  <c r="GR38" i="8"/>
  <c r="L74" i="8"/>
  <c r="GR74" i="8"/>
  <c r="L78" i="8"/>
  <c r="GR78" i="8"/>
  <c r="L29" i="8"/>
  <c r="GR29" i="8"/>
  <c r="L33" i="8"/>
  <c r="GR33" i="8"/>
  <c r="L37" i="8"/>
  <c r="GR37" i="8"/>
  <c r="L28" i="8"/>
  <c r="GR28" i="8"/>
  <c r="L32" i="8"/>
  <c r="GR32" i="8"/>
  <c r="L36" i="8"/>
  <c r="GR36" i="8"/>
  <c r="L40" i="8"/>
  <c r="GR40" i="8"/>
  <c r="L72" i="8"/>
  <c r="GR72" i="8"/>
  <c r="L76" i="8"/>
  <c r="GR76" i="8"/>
  <c r="L80" i="8"/>
  <c r="GR80" i="8"/>
  <c r="L84" i="8"/>
  <c r="GR84" i="8"/>
  <c r="L82" i="8"/>
  <c r="GR82" i="8"/>
  <c r="L117" i="8"/>
  <c r="GR117" i="8"/>
  <c r="L121" i="8"/>
  <c r="GR121" i="8"/>
  <c r="L125" i="8"/>
  <c r="GR125" i="8"/>
  <c r="L129" i="8"/>
  <c r="GR129" i="8"/>
  <c r="L119" i="8"/>
  <c r="GR119" i="8"/>
  <c r="L123" i="8"/>
  <c r="GR123" i="8"/>
  <c r="L127" i="8"/>
  <c r="GR127" i="8"/>
  <c r="L73" i="8"/>
  <c r="GR73" i="8"/>
  <c r="L77" i="8"/>
  <c r="GR77" i="8"/>
  <c r="L85" i="8"/>
  <c r="GR85" i="8"/>
  <c r="L118" i="8"/>
  <c r="GR118" i="8"/>
  <c r="L122" i="8"/>
  <c r="GR122" i="8"/>
  <c r="L126" i="8"/>
  <c r="GR126" i="8"/>
  <c r="L130" i="8"/>
  <c r="GR130" i="8"/>
  <c r="L81" i="8"/>
  <c r="GR81" i="8"/>
  <c r="I123" i="8"/>
  <c r="I74" i="8"/>
  <c r="AL14" i="8"/>
  <c r="AL18" i="8"/>
  <c r="AL22" i="8"/>
  <c r="AL58" i="8"/>
  <c r="AL62" i="8"/>
  <c r="AL66" i="8"/>
  <c r="AL70" i="8"/>
  <c r="AL13" i="8"/>
  <c r="AL17" i="8"/>
  <c r="AL21" i="8"/>
  <c r="AL25" i="8"/>
  <c r="AL57" i="8"/>
  <c r="AL61" i="8"/>
  <c r="AL65" i="8"/>
  <c r="AL69" i="8"/>
  <c r="AL12" i="8"/>
  <c r="AL16" i="8"/>
  <c r="AL20" i="8"/>
  <c r="AL24" i="8"/>
  <c r="AL11" i="8"/>
  <c r="AL15" i="8"/>
  <c r="AL19" i="8"/>
  <c r="AL23" i="8"/>
  <c r="AL59" i="8"/>
  <c r="AL63" i="8"/>
  <c r="AL67" i="8"/>
  <c r="AL56" i="8"/>
  <c r="AL60" i="8"/>
  <c r="AL64" i="8"/>
  <c r="AL68" i="8"/>
  <c r="AL104" i="8"/>
  <c r="AL108" i="8"/>
  <c r="AL112" i="8"/>
  <c r="AL102" i="8"/>
  <c r="AL106" i="8"/>
  <c r="AL110" i="8"/>
  <c r="AL114" i="8"/>
  <c r="AL101" i="8"/>
  <c r="AL105" i="8"/>
  <c r="AL109" i="8"/>
  <c r="AL113" i="8"/>
  <c r="AL103" i="8"/>
  <c r="AL107" i="8"/>
  <c r="AL111" i="8"/>
  <c r="AL115" i="8"/>
  <c r="AM11" i="8"/>
  <c r="AM15" i="8"/>
  <c r="AM19" i="8"/>
  <c r="AM23" i="8"/>
  <c r="AM59" i="8"/>
  <c r="AM63" i="8"/>
  <c r="AM67" i="8"/>
  <c r="AM14" i="8"/>
  <c r="AM18" i="8"/>
  <c r="AM22" i="8"/>
  <c r="AM58" i="8"/>
  <c r="AM62" i="8"/>
  <c r="AM66" i="8"/>
  <c r="AM70" i="8"/>
  <c r="AM13" i="8"/>
  <c r="AM17" i="8"/>
  <c r="AM21" i="8"/>
  <c r="AM25" i="8"/>
  <c r="AM12" i="8"/>
  <c r="AM16" i="8"/>
  <c r="AM20" i="8"/>
  <c r="AM24" i="8"/>
  <c r="AM56" i="8"/>
  <c r="AM60" i="8"/>
  <c r="AM64" i="8"/>
  <c r="AM68" i="8"/>
  <c r="AM101" i="8"/>
  <c r="AM105" i="8"/>
  <c r="AM109" i="8"/>
  <c r="AM113" i="8"/>
  <c r="AM57" i="8"/>
  <c r="AM61" i="8"/>
  <c r="AM65" i="8"/>
  <c r="AM69" i="8"/>
  <c r="AM103" i="8"/>
  <c r="AM107" i="8"/>
  <c r="AM111" i="8"/>
  <c r="AM115" i="8"/>
  <c r="AM102" i="8"/>
  <c r="AM106" i="8"/>
  <c r="AM110" i="8"/>
  <c r="AM114" i="8"/>
  <c r="AM104" i="8"/>
  <c r="AM108" i="8"/>
  <c r="AM112" i="8"/>
  <c r="AN15" i="8"/>
  <c r="AN19" i="8"/>
  <c r="AN23" i="8"/>
  <c r="AN59" i="8"/>
  <c r="AN63" i="8"/>
  <c r="AN67" i="8"/>
  <c r="AN11" i="8"/>
  <c r="AN14" i="8"/>
  <c r="AN18" i="8"/>
  <c r="AN22" i="8"/>
  <c r="AN58" i="8"/>
  <c r="AN62" i="8"/>
  <c r="AN66" i="8"/>
  <c r="AN70" i="8"/>
  <c r="AN13" i="8"/>
  <c r="AN17" i="8"/>
  <c r="AN21" i="8"/>
  <c r="AN25" i="8"/>
  <c r="AN12" i="8"/>
  <c r="AN16" i="8"/>
  <c r="AN20" i="8"/>
  <c r="AN24" i="8"/>
  <c r="AN56" i="8"/>
  <c r="AN60" i="8"/>
  <c r="AN64" i="8"/>
  <c r="AN68" i="8"/>
  <c r="AN101" i="8"/>
  <c r="AN105" i="8"/>
  <c r="AN109" i="8"/>
  <c r="AN113" i="8"/>
  <c r="AN103" i="8"/>
  <c r="AN107" i="8"/>
  <c r="AN111" i="8"/>
  <c r="AN115" i="8"/>
  <c r="AN57" i="8"/>
  <c r="AN61" i="8"/>
  <c r="AN65" i="8"/>
  <c r="AN69" i="8"/>
  <c r="AN102" i="8"/>
  <c r="AN106" i="8"/>
  <c r="AN110" i="8"/>
  <c r="AN114" i="8"/>
  <c r="I122" i="8"/>
  <c r="I130" i="8"/>
  <c r="I128" i="8"/>
  <c r="K125" i="8"/>
  <c r="N122" i="8"/>
  <c r="I83" i="8"/>
  <c r="I36" i="8"/>
  <c r="O36" i="8"/>
  <c r="I119" i="8"/>
  <c r="N79" i="8"/>
  <c r="I75" i="8"/>
  <c r="O75" i="8"/>
  <c r="I40" i="8"/>
  <c r="I34" i="8"/>
  <c r="I28" i="8"/>
  <c r="I117" i="8"/>
  <c r="I84" i="8"/>
  <c r="I27" i="8"/>
  <c r="N125" i="8"/>
  <c r="N30" i="8"/>
  <c r="N73" i="8"/>
  <c r="N120" i="8"/>
  <c r="N39" i="8"/>
  <c r="N27" i="8"/>
  <c r="K122" i="8"/>
  <c r="N138" i="8"/>
  <c r="N119" i="8"/>
  <c r="K76" i="8"/>
  <c r="N78" i="8"/>
  <c r="N29" i="8"/>
  <c r="I124" i="8"/>
  <c r="K26" i="8"/>
  <c r="K29" i="8"/>
  <c r="I31" i="8"/>
  <c r="K32" i="8"/>
  <c r="K33" i="8"/>
  <c r="K34" i="8"/>
  <c r="K35" i="8"/>
  <c r="K37" i="8"/>
  <c r="I39" i="8"/>
  <c r="K40" i="8"/>
  <c r="N43" i="8"/>
  <c r="N46" i="8"/>
  <c r="N51" i="8"/>
  <c r="N55" i="8"/>
  <c r="K71" i="8"/>
  <c r="I80" i="8"/>
  <c r="K82" i="8"/>
  <c r="N88" i="8"/>
  <c r="N90" i="8"/>
  <c r="N98" i="8"/>
  <c r="N141" i="8"/>
  <c r="AL42" i="8"/>
  <c r="AL46" i="8"/>
  <c r="AL50" i="8"/>
  <c r="AL54" i="8"/>
  <c r="AL41" i="8"/>
  <c r="AL45" i="8"/>
  <c r="AL49" i="8"/>
  <c r="AL53" i="8"/>
  <c r="AL43" i="8"/>
  <c r="AL47" i="8"/>
  <c r="AL51" i="8"/>
  <c r="AL55" i="8"/>
  <c r="AL87" i="8"/>
  <c r="AL91" i="8"/>
  <c r="AL95" i="8"/>
  <c r="AL44" i="8"/>
  <c r="AL48" i="8"/>
  <c r="AL52" i="8"/>
  <c r="AL89" i="8"/>
  <c r="AL93" i="8"/>
  <c r="AL96" i="8"/>
  <c r="AL100" i="8"/>
  <c r="AL88" i="8"/>
  <c r="AL92" i="8"/>
  <c r="AL98" i="8"/>
  <c r="AL86" i="8"/>
  <c r="AL90" i="8"/>
  <c r="AL94" i="8"/>
  <c r="AL97" i="8"/>
  <c r="AL99" i="8"/>
  <c r="AL131" i="8"/>
  <c r="AL132" i="8"/>
  <c r="AL134" i="8"/>
  <c r="AL135" i="8"/>
  <c r="AL136" i="8"/>
  <c r="AL137" i="8"/>
  <c r="AL138" i="8"/>
  <c r="AL139" i="8"/>
  <c r="AL140" i="8"/>
  <c r="AL141" i="8"/>
  <c r="AL142" i="8"/>
  <c r="AL143" i="8"/>
  <c r="AL144" i="8"/>
  <c r="AL145" i="8"/>
  <c r="AL133" i="8"/>
  <c r="AM43" i="8"/>
  <c r="AM47" i="8"/>
  <c r="AM51" i="8"/>
  <c r="AM55" i="8"/>
  <c r="AM42" i="8"/>
  <c r="AM46" i="8"/>
  <c r="AM50" i="8"/>
  <c r="AM54" i="8"/>
  <c r="AM44" i="8"/>
  <c r="AM48" i="8"/>
  <c r="AM52" i="8"/>
  <c r="AM88" i="8"/>
  <c r="AM92" i="8"/>
  <c r="AM86" i="8"/>
  <c r="AM90" i="8"/>
  <c r="AM94" i="8"/>
  <c r="AM97" i="8"/>
  <c r="AM41" i="8"/>
  <c r="AM45" i="8"/>
  <c r="AM49" i="8"/>
  <c r="AM53" i="8"/>
  <c r="AM87" i="8"/>
  <c r="AM91" i="8"/>
  <c r="AM95" i="8"/>
  <c r="AM99" i="8"/>
  <c r="AM131" i="8"/>
  <c r="AM132" i="8"/>
  <c r="AM133" i="8"/>
  <c r="AM98" i="8"/>
  <c r="AM93" i="8"/>
  <c r="AM96" i="8"/>
  <c r="AM100" i="8"/>
  <c r="AM134" i="8"/>
  <c r="AM135" i="8"/>
  <c r="AM136" i="8"/>
  <c r="AM137" i="8"/>
  <c r="AM138" i="8"/>
  <c r="AM139" i="8"/>
  <c r="AM140" i="8"/>
  <c r="AM141" i="8"/>
  <c r="AM142" i="8"/>
  <c r="AM143" i="8"/>
  <c r="AM144" i="8"/>
  <c r="AM145" i="8"/>
  <c r="AN43" i="8"/>
  <c r="AN47" i="8"/>
  <c r="AN51" i="8"/>
  <c r="AN55" i="8"/>
  <c r="AN42" i="8"/>
  <c r="AN46" i="8"/>
  <c r="AN50" i="8"/>
  <c r="AN54" i="8"/>
  <c r="AN44" i="8"/>
  <c r="AN48" i="8"/>
  <c r="AN52" i="8"/>
  <c r="AN88" i="8"/>
  <c r="AN92" i="8"/>
  <c r="AN86" i="8"/>
  <c r="AN90" i="8"/>
  <c r="AN94" i="8"/>
  <c r="AN97" i="8"/>
  <c r="AN99" i="8"/>
  <c r="AN131" i="8"/>
  <c r="AN132" i="8"/>
  <c r="AN133" i="8"/>
  <c r="AN41" i="8"/>
  <c r="AN45" i="8"/>
  <c r="AN49" i="8"/>
  <c r="AN53" i="8"/>
  <c r="AN87" i="8"/>
  <c r="AN91" i="8"/>
  <c r="AN95" i="8"/>
  <c r="AN98" i="8"/>
  <c r="AN89" i="8"/>
  <c r="AN134" i="8"/>
  <c r="AN135" i="8"/>
  <c r="AN136" i="8"/>
  <c r="AN137" i="8"/>
  <c r="AN138" i="8"/>
  <c r="AN139" i="8"/>
  <c r="AN140" i="8"/>
  <c r="AN141" i="8"/>
  <c r="AN142" i="8"/>
  <c r="AN143" i="8"/>
  <c r="AN144" i="8"/>
  <c r="AN145" i="8"/>
  <c r="E116" i="3"/>
  <c r="FF19" i="8"/>
  <c r="BE12" i="18" a="1"/>
  <c r="BE12" i="18"/>
  <c r="BJ117" i="8"/>
  <c r="BJ85" i="8"/>
  <c r="BJ65" i="8"/>
  <c r="BJ25" i="8"/>
  <c r="BJ104" i="8"/>
  <c r="BJ12" i="8"/>
  <c r="BH11" i="8"/>
  <c r="BH16" i="8"/>
  <c r="BH21" i="8"/>
  <c r="BH59" i="8"/>
  <c r="BH64" i="8"/>
  <c r="BH69" i="8"/>
  <c r="BH103" i="8"/>
  <c r="BH108" i="8"/>
  <c r="BH113" i="8"/>
  <c r="BJ15" i="8"/>
  <c r="BJ27" i="8"/>
  <c r="BJ34" i="8"/>
  <c r="BJ63" i="8"/>
  <c r="BJ74" i="8"/>
  <c r="BJ82" i="8"/>
  <c r="BJ111" i="8"/>
  <c r="BJ119" i="8"/>
  <c r="BJ127" i="8"/>
  <c r="I121" i="8"/>
  <c r="I126" i="8"/>
  <c r="K121" i="8"/>
  <c r="K118" i="8"/>
  <c r="N126" i="8"/>
  <c r="N81" i="8"/>
  <c r="I30" i="8"/>
  <c r="I118" i="8"/>
  <c r="I79" i="8"/>
  <c r="N71" i="8"/>
  <c r="N38" i="8"/>
  <c r="N32" i="8"/>
  <c r="N26" i="8"/>
  <c r="I116" i="8"/>
  <c r="I82" i="8"/>
  <c r="N117" i="8"/>
  <c r="N80" i="8"/>
  <c r="N72" i="8"/>
  <c r="N37" i="8"/>
  <c r="K128" i="8"/>
  <c r="N137" i="8"/>
  <c r="N118" i="8"/>
  <c r="N74" i="8"/>
  <c r="N33" i="8"/>
  <c r="K28" i="8"/>
  <c r="N45" i="8"/>
  <c r="K74" i="8"/>
  <c r="I76" i="8"/>
  <c r="K79" i="8"/>
  <c r="K80" i="8"/>
  <c r="K83" i="8"/>
  <c r="N86" i="8"/>
  <c r="N96" i="8"/>
  <c r="N99" i="8"/>
  <c r="K130" i="8"/>
  <c r="N133" i="8"/>
  <c r="N135" i="8"/>
  <c r="L15" i="8"/>
  <c r="GR15" i="8"/>
  <c r="L19" i="8"/>
  <c r="GR19" i="8"/>
  <c r="L23" i="8"/>
  <c r="GR23" i="8"/>
  <c r="L59" i="8"/>
  <c r="GR59" i="8"/>
  <c r="L63" i="8"/>
  <c r="L67" i="8"/>
  <c r="GR67" i="8"/>
  <c r="L11" i="8"/>
  <c r="L14" i="8"/>
  <c r="GR14" i="8"/>
  <c r="L18" i="8"/>
  <c r="GR18" i="8"/>
  <c r="L22" i="8"/>
  <c r="GR22" i="8"/>
  <c r="L58" i="8"/>
  <c r="GR58" i="8"/>
  <c r="L62" i="8"/>
  <c r="GR62" i="8"/>
  <c r="L66" i="8"/>
  <c r="GR66" i="8"/>
  <c r="L70" i="8"/>
  <c r="GR70" i="8"/>
  <c r="L13" i="8"/>
  <c r="GR13" i="8"/>
  <c r="L17" i="8"/>
  <c r="GR17" i="8"/>
  <c r="L21" i="8"/>
  <c r="GR21" i="8"/>
  <c r="L25" i="8"/>
  <c r="GR25" i="8"/>
  <c r="L12" i="8"/>
  <c r="GR12" i="8"/>
  <c r="L16" i="8"/>
  <c r="GR16" i="8"/>
  <c r="L20" i="8"/>
  <c r="GR20" i="8"/>
  <c r="L24" i="8"/>
  <c r="GR24" i="8"/>
  <c r="L56" i="8"/>
  <c r="GR56" i="8"/>
  <c r="L60" i="8"/>
  <c r="GR60" i="8"/>
  <c r="L64" i="8"/>
  <c r="GR64" i="8"/>
  <c r="L68" i="8"/>
  <c r="GR68" i="8"/>
  <c r="L101" i="8"/>
  <c r="GR101" i="8"/>
  <c r="L105" i="8"/>
  <c r="GR105" i="8"/>
  <c r="L109" i="8"/>
  <c r="GR109" i="8"/>
  <c r="L113" i="8"/>
  <c r="GR113" i="8"/>
  <c r="L103" i="8"/>
  <c r="GR103" i="8"/>
  <c r="L107" i="8"/>
  <c r="GR107" i="8"/>
  <c r="L111" i="8"/>
  <c r="GR111" i="8"/>
  <c r="L115" i="8"/>
  <c r="GR115" i="8"/>
  <c r="L57" i="8"/>
  <c r="GR57" i="8"/>
  <c r="L61" i="8"/>
  <c r="GR61" i="8"/>
  <c r="L65" i="8"/>
  <c r="GR65" i="8"/>
  <c r="L69" i="8"/>
  <c r="GR69" i="8"/>
  <c r="L102" i="8"/>
  <c r="L106" i="8"/>
  <c r="GR106" i="8"/>
  <c r="L110" i="8"/>
  <c r="GR110" i="8"/>
  <c r="L114" i="8"/>
  <c r="GR114" i="8"/>
  <c r="N128" i="8"/>
  <c r="BJ56" i="8"/>
  <c r="BJ113" i="8"/>
  <c r="BJ57" i="8"/>
  <c r="BJ21" i="8"/>
  <c r="BJ64" i="8"/>
  <c r="BJ102" i="8"/>
  <c r="BH12" i="8"/>
  <c r="BH17" i="8"/>
  <c r="BH23" i="8"/>
  <c r="BH60" i="8"/>
  <c r="BH65" i="8"/>
  <c r="BH104" i="8"/>
  <c r="BH109" i="8"/>
  <c r="BH115" i="8"/>
  <c r="BJ19" i="8"/>
  <c r="BJ66" i="8"/>
  <c r="BJ114" i="8"/>
  <c r="BJ126" i="8"/>
  <c r="BJ120" i="8"/>
  <c r="BJ80" i="8"/>
  <c r="BJ75" i="8"/>
  <c r="BJ40" i="8"/>
  <c r="BJ35" i="8"/>
  <c r="BJ30" i="8"/>
  <c r="BJ29" i="8"/>
  <c r="BJ77" i="8"/>
  <c r="BJ121" i="8"/>
  <c r="AN124" i="8"/>
  <c r="L124" i="8"/>
  <c r="GR124" i="8"/>
  <c r="AN116" i="8"/>
  <c r="L116" i="8"/>
  <c r="GR116" i="8"/>
  <c r="AN108" i="8"/>
  <c r="L108" i="8"/>
  <c r="GR108" i="8"/>
  <c r="AN100" i="8"/>
  <c r="L100" i="8"/>
  <c r="GR100" i="8"/>
  <c r="FF28" i="8"/>
  <c r="BE21" i="18" a="1"/>
  <c r="BE21" i="18"/>
  <c r="FF101" i="8"/>
  <c r="BE94" i="18" a="1"/>
  <c r="BE94" i="18"/>
  <c r="FE12" i="8"/>
  <c r="BD4" i="18" a="1"/>
  <c r="BD4" i="18"/>
  <c r="FE20" i="8"/>
  <c r="BD13" i="18" a="1"/>
  <c r="BD13" i="18"/>
  <c r="FE113" i="8"/>
  <c r="BD106" i="18" a="1"/>
  <c r="BD106" i="18"/>
  <c r="FE65" i="8"/>
  <c r="BD58" i="18" a="1"/>
  <c r="BD58" i="18"/>
  <c r="FE17" i="8"/>
  <c r="BD10" i="18" a="1"/>
  <c r="BD10" i="18"/>
  <c r="FE16" i="8"/>
  <c r="BD9" i="18" a="1"/>
  <c r="BD9" i="18"/>
  <c r="FE18" i="8"/>
  <c r="BD11" i="18" a="1"/>
  <c r="BD11" i="18"/>
  <c r="FE27" i="8"/>
  <c r="BD20" i="18" a="1"/>
  <c r="BD20" i="18"/>
  <c r="FE56" i="8"/>
  <c r="BD49" i="18" a="1"/>
  <c r="BD49" i="18"/>
  <c r="FE107" i="8"/>
  <c r="BD100" i="18" a="1"/>
  <c r="BD100" i="18"/>
  <c r="FE59" i="8"/>
  <c r="BD52" i="18" a="1"/>
  <c r="BD52" i="18"/>
  <c r="FE23" i="8"/>
  <c r="BD16" i="18" a="1"/>
  <c r="BD16" i="18"/>
  <c r="FE15" i="8"/>
  <c r="BD8" i="18" a="1"/>
  <c r="BD8" i="18"/>
  <c r="FE41" i="8"/>
  <c r="BD34" i="18" a="1"/>
  <c r="BD34" i="18"/>
  <c r="FE101" i="8"/>
  <c r="BD94" i="18" a="1"/>
  <c r="BD94" i="18"/>
  <c r="FE21" i="8"/>
  <c r="BD14" i="18" a="1"/>
  <c r="BD14" i="18"/>
  <c r="FE14" i="8"/>
  <c r="BD7" i="18" a="1"/>
  <c r="BD7" i="18"/>
  <c r="FF99" i="8"/>
  <c r="BE92" i="18" a="1"/>
  <c r="BE92" i="18"/>
  <c r="FF44" i="8"/>
  <c r="BE37" i="18" a="1"/>
  <c r="BE37" i="18"/>
  <c r="FF75" i="8"/>
  <c r="BE68" i="18" a="1"/>
  <c r="BE68" i="18"/>
  <c r="FF46" i="8"/>
  <c r="BE39" i="18" a="1"/>
  <c r="BE39" i="18"/>
  <c r="FF30" i="8"/>
  <c r="BE23" i="18" a="1"/>
  <c r="BE23" i="18"/>
  <c r="FF15" i="8"/>
  <c r="BE8" i="18" a="1"/>
  <c r="BE8" i="18"/>
  <c r="FF91" i="8"/>
  <c r="BE84" i="18" a="1"/>
  <c r="BE84" i="18"/>
  <c r="FF67" i="8"/>
  <c r="BE60" i="18" a="1"/>
  <c r="BE60" i="18"/>
  <c r="FF54" i="8"/>
  <c r="BE47" i="18" a="1"/>
  <c r="BE47" i="18"/>
  <c r="FF38" i="8"/>
  <c r="BE31" i="18" a="1"/>
  <c r="BE31" i="18"/>
  <c r="FF25" i="8"/>
  <c r="BE18" i="18" a="1"/>
  <c r="BE18" i="18"/>
  <c r="FF83" i="8"/>
  <c r="BE76" i="18" a="1"/>
  <c r="BE76" i="18"/>
  <c r="FF66" i="8"/>
  <c r="BE59" i="18" a="1"/>
  <c r="BE59" i="18"/>
  <c r="FF50" i="8"/>
  <c r="BE43" i="18" a="1"/>
  <c r="BE43" i="18"/>
  <c r="FF34" i="8"/>
  <c r="BE27" i="18" a="1"/>
  <c r="BE27" i="18"/>
  <c r="FE22" i="8"/>
  <c r="BD15" i="18" a="1"/>
  <c r="BD15" i="18"/>
  <c r="CA142" i="8"/>
  <c r="CA118" i="8"/>
  <c r="CA94" i="8"/>
  <c r="CA70" i="8"/>
  <c r="CA46" i="8"/>
  <c r="CA22" i="8"/>
  <c r="CA133" i="8"/>
  <c r="CA109" i="8"/>
  <c r="CA85" i="8"/>
  <c r="CA61" i="8"/>
  <c r="CA37" i="8"/>
  <c r="FE61" i="8"/>
  <c r="BD54" i="18" a="1"/>
  <c r="BD54" i="18"/>
  <c r="FE13" i="8"/>
  <c r="BD6" i="18" a="1"/>
  <c r="BD6" i="18"/>
  <c r="FE102" i="8"/>
  <c r="BD95" i="18" a="1"/>
  <c r="BD95" i="18"/>
  <c r="FE111" i="8"/>
  <c r="BD104" i="18" a="1"/>
  <c r="BD104" i="18"/>
  <c r="FE63" i="8"/>
  <c r="BD56" i="18" a="1"/>
  <c r="BD56" i="18"/>
  <c r="FE109" i="8"/>
  <c r="BD102" i="18" a="1"/>
  <c r="BD102" i="18"/>
  <c r="FE103" i="8"/>
  <c r="BD96" i="18" a="1"/>
  <c r="BD96" i="18"/>
  <c r="FE67" i="8"/>
  <c r="BD60" i="18" a="1"/>
  <c r="BD60" i="18"/>
  <c r="FE19" i="8"/>
  <c r="BD12" i="18" a="1"/>
  <c r="BD12" i="18"/>
  <c r="FE115" i="8"/>
  <c r="BD108" i="18" a="1"/>
  <c r="BD108" i="18"/>
  <c r="FE25" i="8"/>
  <c r="BD18" i="18" a="1"/>
  <c r="BD18" i="18"/>
  <c r="FE105" i="8"/>
  <c r="BD98" i="18" a="1"/>
  <c r="BD98" i="18"/>
  <c r="FE69" i="8"/>
  <c r="BD62" i="18" a="1"/>
  <c r="BD62" i="18"/>
  <c r="FE57" i="8"/>
  <c r="BD50" i="18" a="1"/>
  <c r="BD50" i="18"/>
  <c r="FE24" i="8"/>
  <c r="BD17" i="18" a="1"/>
  <c r="BD17" i="18"/>
  <c r="FF136" i="8"/>
  <c r="FF120" i="8"/>
  <c r="BE113" i="18" a="1"/>
  <c r="BE113" i="18"/>
  <c r="FF103" i="8"/>
  <c r="BE96" i="18" a="1"/>
  <c r="BE96" i="18"/>
  <c r="FF87" i="8"/>
  <c r="BE80" i="18" a="1"/>
  <c r="BE80" i="18"/>
  <c r="FF71" i="8"/>
  <c r="BE64" i="18" a="1"/>
  <c r="BE64" i="18"/>
  <c r="FF65" i="8"/>
  <c r="BE58" i="18" a="1"/>
  <c r="BE58" i="18"/>
  <c r="FF132" i="8"/>
  <c r="FF116" i="8"/>
  <c r="BE109" i="18" a="1"/>
  <c r="BE109" i="18"/>
  <c r="FF145" i="8"/>
  <c r="FF128" i="8"/>
  <c r="BE121" i="18" a="1"/>
  <c r="BE121" i="18"/>
  <c r="FF107" i="8"/>
  <c r="BE100" i="18" a="1"/>
  <c r="BE100" i="18"/>
  <c r="FF95" i="8"/>
  <c r="BE88" i="18" a="1"/>
  <c r="BE88" i="18"/>
  <c r="FF79" i="8"/>
  <c r="BE72" i="18" a="1"/>
  <c r="BE72" i="18"/>
  <c r="FF69" i="8"/>
  <c r="BE62" i="18" a="1"/>
  <c r="BE62" i="18"/>
  <c r="FF141" i="8"/>
  <c r="FF124" i="8"/>
  <c r="BE117" i="18" a="1"/>
  <c r="BE117" i="18"/>
  <c r="FE114" i="8"/>
  <c r="BD107" i="18" a="1"/>
  <c r="BD107" i="18"/>
  <c r="FE112" i="8"/>
  <c r="BD105" i="18" a="1"/>
  <c r="BD105" i="18"/>
  <c r="FE110" i="8"/>
  <c r="BD103" i="18" a="1"/>
  <c r="BD103" i="18"/>
  <c r="FE108" i="8"/>
  <c r="BD101" i="18" a="1"/>
  <c r="BD101" i="18"/>
  <c r="FE106" i="8"/>
  <c r="BD99" i="18" a="1"/>
  <c r="BD99" i="18"/>
  <c r="FE104" i="8"/>
  <c r="BD97" i="18" a="1"/>
  <c r="BD97" i="18"/>
  <c r="FE70" i="8"/>
  <c r="BD63" i="18" a="1"/>
  <c r="BD63" i="18"/>
  <c r="FE68" i="8"/>
  <c r="BD61" i="18" a="1"/>
  <c r="BD61" i="18"/>
  <c r="FE66" i="8"/>
  <c r="BD59" i="18" a="1"/>
  <c r="BD59" i="18"/>
  <c r="FE64" i="8"/>
  <c r="BD57" i="18" a="1"/>
  <c r="BD57" i="18"/>
  <c r="FE62" i="8"/>
  <c r="BD55" i="18" a="1"/>
  <c r="BD55" i="18"/>
  <c r="FE60" i="8"/>
  <c r="BD53" i="18" a="1"/>
  <c r="BD53" i="18"/>
  <c r="FE58" i="8"/>
  <c r="BD51" i="18" a="1"/>
  <c r="BD51" i="18"/>
  <c r="FF142" i="8"/>
  <c r="FF137" i="8"/>
  <c r="FF133" i="8"/>
  <c r="FF129" i="8"/>
  <c r="BE122" i="18" a="1"/>
  <c r="BE122" i="18"/>
  <c r="FF125" i="8"/>
  <c r="BE118" i="18" a="1"/>
  <c r="BE118" i="18"/>
  <c r="FF121" i="8"/>
  <c r="BE114" i="18" a="1"/>
  <c r="BE114" i="18"/>
  <c r="FF117" i="8"/>
  <c r="BE110" i="18" a="1"/>
  <c r="BE110" i="18"/>
  <c r="FF100" i="8"/>
  <c r="BE93" i="18" a="1"/>
  <c r="BE93" i="18"/>
  <c r="FF96" i="8"/>
  <c r="BE89" i="18" a="1"/>
  <c r="BE89" i="18"/>
  <c r="FF92" i="8"/>
  <c r="BE85" i="18" a="1"/>
  <c r="BE85" i="18"/>
  <c r="FF88" i="8"/>
  <c r="BE81" i="18" a="1"/>
  <c r="BE81" i="18"/>
  <c r="FF84" i="8"/>
  <c r="BE77" i="18" a="1"/>
  <c r="BE77" i="18"/>
  <c r="FF80" i="8"/>
  <c r="BE73" i="18" a="1"/>
  <c r="BE73" i="18"/>
  <c r="FF76" i="8"/>
  <c r="BE69" i="18" a="1"/>
  <c r="BE69" i="18"/>
  <c r="FF72" i="8"/>
  <c r="BE65" i="18" a="1"/>
  <c r="BE65" i="18"/>
  <c r="FF55" i="8"/>
  <c r="BE48" i="18" a="1"/>
  <c r="BE48" i="18"/>
  <c r="FF51" i="8"/>
  <c r="BE44" i="18" a="1"/>
  <c r="BE44" i="18"/>
  <c r="FF47" i="8"/>
  <c r="BE40" i="18" a="1"/>
  <c r="BE40" i="18"/>
  <c r="FF43" i="8"/>
  <c r="BE36" i="18" a="1"/>
  <c r="BE36" i="18"/>
  <c r="FF39" i="8"/>
  <c r="BE32" i="18" a="1"/>
  <c r="BE32" i="18"/>
  <c r="FF35" i="8"/>
  <c r="BE28" i="18" a="1"/>
  <c r="BE28" i="18"/>
  <c r="FF31" i="8"/>
  <c r="BE24" i="18" a="1"/>
  <c r="BE24" i="18"/>
  <c r="FF27" i="8"/>
  <c r="BE20" i="18" a="1"/>
  <c r="BE20" i="18"/>
  <c r="FF144" i="8"/>
  <c r="FF139" i="8"/>
  <c r="FF135" i="8"/>
  <c r="FF131" i="8"/>
  <c r="FF127" i="8"/>
  <c r="BE120" i="18" a="1"/>
  <c r="BE120" i="18"/>
  <c r="FF123" i="8"/>
  <c r="BE116" i="18" a="1"/>
  <c r="BE116" i="18"/>
  <c r="FF119" i="8"/>
  <c r="BE112" i="18" a="1"/>
  <c r="BE112" i="18"/>
  <c r="FF98" i="8"/>
  <c r="BE91" i="18" a="1"/>
  <c r="BE91" i="18"/>
  <c r="FF94" i="8"/>
  <c r="BE87" i="18" a="1"/>
  <c r="BE87" i="18"/>
  <c r="FF90" i="8"/>
  <c r="BE83" i="18" a="1"/>
  <c r="BE83" i="18"/>
  <c r="FF86" i="8"/>
  <c r="BE79" i="18" a="1"/>
  <c r="BE79" i="18"/>
  <c r="FF82" i="8"/>
  <c r="BE75" i="18" a="1"/>
  <c r="BE75" i="18"/>
  <c r="FF78" i="8"/>
  <c r="BE71" i="18" a="1"/>
  <c r="BE71" i="18"/>
  <c r="FF74" i="8"/>
  <c r="BE67" i="18" a="1"/>
  <c r="BE67" i="18"/>
  <c r="FF53" i="8"/>
  <c r="BE46" i="18" a="1"/>
  <c r="BE46" i="18"/>
  <c r="FF49" i="8"/>
  <c r="BE42" i="18" a="1"/>
  <c r="BE42" i="18"/>
  <c r="FF45" i="8"/>
  <c r="BE38" i="18" a="1"/>
  <c r="BE38" i="18"/>
  <c r="FF41" i="8"/>
  <c r="BE34" i="18" a="1"/>
  <c r="BE34" i="18"/>
  <c r="FF37" i="8"/>
  <c r="BE30" i="18" a="1"/>
  <c r="BE30" i="18"/>
  <c r="FF33" i="8"/>
  <c r="BE26" i="18" a="1"/>
  <c r="BE26" i="18"/>
  <c r="FF29" i="8"/>
  <c r="BE22" i="18" a="1"/>
  <c r="BE22" i="18"/>
  <c r="FF140" i="8"/>
  <c r="FF143" i="8"/>
  <c r="FF138" i="8"/>
  <c r="FF134" i="8"/>
  <c r="FF130" i="8"/>
  <c r="BE123" i="18" a="1"/>
  <c r="BE123" i="18"/>
  <c r="FF126" i="8"/>
  <c r="BE119" i="18" a="1"/>
  <c r="BE119" i="18"/>
  <c r="FF122" i="8"/>
  <c r="BE115" i="18" a="1"/>
  <c r="BE115" i="18"/>
  <c r="FF118" i="8"/>
  <c r="BE111" i="18" a="1"/>
  <c r="BE111" i="18"/>
  <c r="FF97" i="8"/>
  <c r="BE90" i="18" a="1"/>
  <c r="BE90" i="18"/>
  <c r="FF93" i="8"/>
  <c r="BE86" i="18" a="1"/>
  <c r="BE86" i="18"/>
  <c r="FF89" i="8"/>
  <c r="BE82" i="18" a="1"/>
  <c r="BE82" i="18"/>
  <c r="FF85" i="8"/>
  <c r="BE78" i="18" a="1"/>
  <c r="BE78" i="18"/>
  <c r="FF81" i="8"/>
  <c r="BE74" i="18" a="1"/>
  <c r="BE74" i="18"/>
  <c r="FF77" i="8"/>
  <c r="BE70" i="18" a="1"/>
  <c r="BE70" i="18"/>
  <c r="FF73" i="8"/>
  <c r="BE66" i="18" a="1"/>
  <c r="BE66" i="18"/>
  <c r="FF52" i="8"/>
  <c r="BE45" i="18" a="1"/>
  <c r="BE45" i="18"/>
  <c r="FF48" i="8"/>
  <c r="BE41" i="18" a="1"/>
  <c r="BE41" i="18"/>
  <c r="FF40" i="8"/>
  <c r="BE33" i="18" a="1"/>
  <c r="BE33" i="18"/>
  <c r="FF36" i="8"/>
  <c r="BE29" i="18" a="1"/>
  <c r="BE29" i="18"/>
  <c r="FF32" i="8"/>
  <c r="BE25" i="18" a="1"/>
  <c r="BE25" i="18"/>
  <c r="FE143" i="8"/>
  <c r="FE141" i="8"/>
  <c r="FE138" i="8"/>
  <c r="FE136" i="8"/>
  <c r="FE134" i="8"/>
  <c r="FE132" i="8"/>
  <c r="FE130" i="8"/>
  <c r="BD123" i="18" a="1"/>
  <c r="BD123" i="18"/>
  <c r="FE128" i="8"/>
  <c r="BD121" i="18" a="1"/>
  <c r="BD121" i="18"/>
  <c r="FE126" i="8"/>
  <c r="BD119" i="18" a="1"/>
  <c r="BD119" i="18"/>
  <c r="FE124" i="8"/>
  <c r="BD117" i="18" a="1"/>
  <c r="BD117" i="18"/>
  <c r="FE122" i="8"/>
  <c r="BD115" i="18" a="1"/>
  <c r="BD115" i="18"/>
  <c r="FE120" i="8"/>
  <c r="BD113" i="18" a="1"/>
  <c r="BD113" i="18"/>
  <c r="FE118" i="8"/>
  <c r="BD111" i="18" a="1"/>
  <c r="BD111" i="18"/>
  <c r="FE116" i="8"/>
  <c r="BD109" i="18" a="1"/>
  <c r="BD109" i="18"/>
  <c r="FE100" i="8"/>
  <c r="BD93" i="18" a="1"/>
  <c r="BD93" i="18"/>
  <c r="FE98" i="8"/>
  <c r="BD91" i="18" a="1"/>
  <c r="BD91" i="18"/>
  <c r="FE96" i="8"/>
  <c r="BD89" i="18" a="1"/>
  <c r="BD89" i="18"/>
  <c r="FE94" i="8"/>
  <c r="BD87" i="18" a="1"/>
  <c r="BD87" i="18"/>
  <c r="FE92" i="8"/>
  <c r="BD85" i="18" a="1"/>
  <c r="BD85" i="18"/>
  <c r="FE90" i="8"/>
  <c r="BD83" i="18" a="1"/>
  <c r="BD83" i="18"/>
  <c r="FE88" i="8"/>
  <c r="BD81" i="18" a="1"/>
  <c r="BD81" i="18"/>
  <c r="FE86" i="8"/>
  <c r="BD79" i="18" a="1"/>
  <c r="BD79" i="18"/>
  <c r="FE84" i="8"/>
  <c r="BD77" i="18" a="1"/>
  <c r="BD77" i="18"/>
  <c r="FE82" i="8"/>
  <c r="BD75" i="18" a="1"/>
  <c r="BD75" i="18"/>
  <c r="FE80" i="8"/>
  <c r="BD73" i="18" a="1"/>
  <c r="BD73" i="18"/>
  <c r="FE78" i="8"/>
  <c r="BD71" i="18" a="1"/>
  <c r="BD71" i="18"/>
  <c r="FE76" i="8"/>
  <c r="BD69" i="18" a="1"/>
  <c r="BD69" i="18"/>
  <c r="FE74" i="8"/>
  <c r="BD67" i="18" a="1"/>
  <c r="BD67" i="18"/>
  <c r="FE72" i="8"/>
  <c r="BD65" i="18" a="1"/>
  <c r="BD65" i="18"/>
  <c r="FE54" i="8"/>
  <c r="BD47" i="18" a="1"/>
  <c r="BD47" i="18"/>
  <c r="FE52" i="8"/>
  <c r="BD45" i="18" a="1"/>
  <c r="BD45" i="18"/>
  <c r="FE50" i="8"/>
  <c r="BD43" i="18" a="1"/>
  <c r="BD43" i="18"/>
  <c r="FE48" i="8"/>
  <c r="BD41" i="18" a="1"/>
  <c r="BD41" i="18"/>
  <c r="FE46" i="8"/>
  <c r="BD39" i="18" a="1"/>
  <c r="BD39" i="18"/>
  <c r="FE44" i="8"/>
  <c r="BD37" i="18" a="1"/>
  <c r="BD37" i="18"/>
  <c r="FE42" i="8"/>
  <c r="BD35" i="18" a="1"/>
  <c r="BD35" i="18"/>
  <c r="FE40" i="8"/>
  <c r="BD33" i="18" a="1"/>
  <c r="BD33" i="18"/>
  <c r="FE38" i="8"/>
  <c r="BD31" i="18" a="1"/>
  <c r="BD31" i="18"/>
  <c r="FE36" i="8"/>
  <c r="BD29" i="18" a="1"/>
  <c r="BD29" i="18"/>
  <c r="FE34" i="8"/>
  <c r="BD27" i="18" a="1"/>
  <c r="BD27" i="18"/>
  <c r="FE32" i="8"/>
  <c r="BD25" i="18" a="1"/>
  <c r="BD25" i="18"/>
  <c r="FE30" i="8"/>
  <c r="BD23" i="18" a="1"/>
  <c r="BD23" i="18"/>
  <c r="FE28" i="8"/>
  <c r="BD21" i="18" a="1"/>
  <c r="BD21" i="18"/>
  <c r="FE26" i="8"/>
  <c r="BD19" i="18" a="1"/>
  <c r="BD19" i="18"/>
  <c r="FE140" i="8"/>
  <c r="FE144" i="8"/>
  <c r="FE142" i="8"/>
  <c r="FE139" i="8"/>
  <c r="FE137" i="8"/>
  <c r="FE135" i="8"/>
  <c r="FE133" i="8"/>
  <c r="FE131" i="8"/>
  <c r="FE129" i="8"/>
  <c r="BD122" i="18" a="1"/>
  <c r="BD122" i="18"/>
  <c r="FE127" i="8"/>
  <c r="BD120" i="18" a="1"/>
  <c r="BD120" i="18"/>
  <c r="FE125" i="8"/>
  <c r="BD118" i="18" a="1"/>
  <c r="BD118" i="18"/>
  <c r="FE123" i="8"/>
  <c r="BD116" i="18" a="1"/>
  <c r="BD116" i="18"/>
  <c r="FE121" i="8"/>
  <c r="BD114" i="18" a="1"/>
  <c r="BD114" i="18"/>
  <c r="FE119" i="8"/>
  <c r="BD112" i="18" a="1"/>
  <c r="BD112" i="18"/>
  <c r="FE117" i="8"/>
  <c r="BD110" i="18" a="1"/>
  <c r="BD110" i="18"/>
  <c r="FE99" i="8"/>
  <c r="BD92" i="18" a="1"/>
  <c r="BD92" i="18"/>
  <c r="FE97" i="8"/>
  <c r="BD90" i="18" a="1"/>
  <c r="BD90" i="18"/>
  <c r="FE95" i="8"/>
  <c r="BD88" i="18" a="1"/>
  <c r="BD88" i="18"/>
  <c r="FE93" i="8"/>
  <c r="BD86" i="18" a="1"/>
  <c r="BD86" i="18"/>
  <c r="FE91" i="8"/>
  <c r="BD84" i="18" a="1"/>
  <c r="BD84" i="18"/>
  <c r="FE89" i="8"/>
  <c r="BD82" i="18" a="1"/>
  <c r="BD82" i="18"/>
  <c r="FE87" i="8"/>
  <c r="BD80" i="18" a="1"/>
  <c r="BD80" i="18"/>
  <c r="FE85" i="8"/>
  <c r="BD78" i="18" a="1"/>
  <c r="BD78" i="18"/>
  <c r="FE83" i="8"/>
  <c r="BD76" i="18" a="1"/>
  <c r="BD76" i="18"/>
  <c r="FE81" i="8"/>
  <c r="BD74" i="18" a="1"/>
  <c r="BD74" i="18"/>
  <c r="FE79" i="8"/>
  <c r="BD72" i="18" a="1"/>
  <c r="BD72" i="18"/>
  <c r="FE77" i="8"/>
  <c r="BD70" i="18" a="1"/>
  <c r="BD70" i="18"/>
  <c r="FE75" i="8"/>
  <c r="BD68" i="18" a="1"/>
  <c r="BD68" i="18"/>
  <c r="FE73" i="8"/>
  <c r="BD66" i="18" a="1"/>
  <c r="BD66" i="18"/>
  <c r="FE71" i="8"/>
  <c r="BD64" i="18" a="1"/>
  <c r="BD64" i="18"/>
  <c r="FE55" i="8"/>
  <c r="BD48" i="18" a="1"/>
  <c r="BD48" i="18"/>
  <c r="FE53" i="8"/>
  <c r="BD46" i="18" a="1"/>
  <c r="BD46" i="18"/>
  <c r="FE51" i="8"/>
  <c r="BD44" i="18" a="1"/>
  <c r="BD44" i="18"/>
  <c r="FE49" i="8"/>
  <c r="BD42" i="18" a="1"/>
  <c r="BD42" i="18"/>
  <c r="FE47" i="8"/>
  <c r="BD40" i="18" a="1"/>
  <c r="BD40" i="18"/>
  <c r="FE45" i="8"/>
  <c r="BD38" i="18" a="1"/>
  <c r="BD38" i="18"/>
  <c r="FE43" i="8"/>
  <c r="BD36" i="18" a="1"/>
  <c r="BD36" i="18"/>
  <c r="FE39" i="8"/>
  <c r="BD32" i="18" a="1"/>
  <c r="BD32" i="18"/>
  <c r="FE37" i="8"/>
  <c r="BD30" i="18" a="1"/>
  <c r="BD30" i="18"/>
  <c r="FE35" i="8"/>
  <c r="BD28" i="18" a="1"/>
  <c r="BD28" i="18"/>
  <c r="FE33" i="8"/>
  <c r="BD26" i="18" a="1"/>
  <c r="BD26" i="18"/>
  <c r="FE31" i="8"/>
  <c r="BD24" i="18" a="1"/>
  <c r="BD24" i="18"/>
  <c r="FE29" i="8"/>
  <c r="BD22" i="18" a="1"/>
  <c r="BD22" i="18"/>
  <c r="AC125" i="8"/>
  <c r="AC98" i="8"/>
  <c r="AC63" i="8"/>
  <c r="AC47" i="8"/>
  <c r="AC145" i="8"/>
  <c r="AC135" i="8"/>
  <c r="AC123" i="8"/>
  <c r="AC101" i="8"/>
  <c r="AC71" i="8"/>
  <c r="AC132" i="8"/>
  <c r="AC118" i="8"/>
  <c r="AC95" i="8"/>
  <c r="AC79" i="8"/>
  <c r="AC70" i="8"/>
  <c r="AC43" i="8"/>
  <c r="AC11" i="8"/>
  <c r="AC126" i="8"/>
  <c r="AC111" i="8"/>
  <c r="AC49" i="8"/>
  <c r="AC18" i="8"/>
  <c r="AC67" i="8"/>
  <c r="AC69" i="8"/>
  <c r="AC78" i="8"/>
  <c r="AC82" i="8"/>
  <c r="AC85" i="8"/>
  <c r="AC93" i="8"/>
  <c r="AC99" i="8"/>
  <c r="AC104" i="8"/>
  <c r="AC112" i="8"/>
  <c r="AC114" i="8"/>
  <c r="AC122" i="8"/>
  <c r="AC127" i="8"/>
  <c r="AC130" i="8"/>
  <c r="AC27" i="8"/>
  <c r="AC57" i="8"/>
  <c r="AC75" i="8"/>
  <c r="AC80" i="8"/>
  <c r="AC86" i="8"/>
  <c r="AC88" i="8"/>
  <c r="AC96" i="8"/>
  <c r="AC106" i="8"/>
  <c r="AC117" i="8"/>
  <c r="AC128" i="8"/>
  <c r="AC133" i="8"/>
  <c r="AC14" i="8"/>
  <c r="AC39" i="8"/>
  <c r="AC41" i="8"/>
  <c r="AC58" i="8"/>
  <c r="AC72" i="8"/>
  <c r="AC89" i="8"/>
  <c r="AC97" i="8"/>
  <c r="AC102" i="8"/>
  <c r="AC108" i="8"/>
  <c r="AC119" i="8"/>
  <c r="AC124" i="8"/>
  <c r="AC136" i="8"/>
  <c r="AC141" i="8"/>
  <c r="AC31" i="8"/>
  <c r="AC36" i="8"/>
  <c r="AC42" i="8"/>
  <c r="AC48" i="8"/>
  <c r="AC52" i="8"/>
  <c r="AC59" i="8"/>
  <c r="AC65" i="8"/>
  <c r="AC76" i="8"/>
  <c r="AC91" i="8"/>
  <c r="AC103" i="8"/>
  <c r="AC120" i="8"/>
  <c r="AC77" i="8"/>
  <c r="AC51" i="8"/>
  <c r="AC144" i="8"/>
  <c r="AC137" i="8"/>
  <c r="AC109" i="8"/>
  <c r="AC73" i="8"/>
  <c r="AC62" i="8"/>
  <c r="AC142" i="8"/>
  <c r="AC116" i="8"/>
  <c r="AC83" i="8"/>
  <c r="AC56" i="8"/>
  <c r="AC50" i="8"/>
  <c r="AC44" i="8"/>
  <c r="AC38" i="8"/>
  <c r="AC32" i="8"/>
  <c r="AC16" i="8"/>
  <c r="AC15" i="8"/>
  <c r="AC113" i="8"/>
  <c r="AC92" i="8"/>
  <c r="AC68" i="8"/>
  <c r="AC54" i="8"/>
  <c r="AC26" i="8"/>
  <c r="AC24" i="8"/>
  <c r="FK51" i="1"/>
  <c r="DH71" i="8"/>
  <c r="DH55" i="8"/>
  <c r="DH39" i="8"/>
  <c r="DH130" i="8"/>
  <c r="DH126" i="8"/>
  <c r="DH122" i="8"/>
  <c r="DH87" i="8"/>
  <c r="DH74" i="8"/>
  <c r="DH67" i="8"/>
  <c r="DH51" i="8"/>
  <c r="DH35" i="8"/>
  <c r="DH90" i="8"/>
  <c r="DH63" i="8"/>
  <c r="DH47" i="8"/>
  <c r="DH31" i="8"/>
  <c r="DH128" i="8"/>
  <c r="DH124" i="8"/>
  <c r="DH59" i="8"/>
  <c r="DH43" i="8"/>
  <c r="DH27" i="8"/>
  <c r="DH23" i="8"/>
  <c r="DH19" i="8"/>
  <c r="DH15" i="8"/>
  <c r="DH145" i="8"/>
  <c r="DH144" i="8"/>
  <c r="DH143" i="8"/>
  <c r="DH142" i="8"/>
  <c r="DH141" i="8"/>
  <c r="DH140" i="8"/>
  <c r="DH139" i="8"/>
  <c r="DH138" i="8"/>
  <c r="DH137" i="8"/>
  <c r="DH136" i="8"/>
  <c r="DH135" i="8"/>
  <c r="DH134" i="8"/>
  <c r="DH133" i="8"/>
  <c r="DH132" i="8"/>
  <c r="DH119" i="8"/>
  <c r="DH118" i="8"/>
  <c r="DH115" i="8"/>
  <c r="DH114" i="8"/>
  <c r="DH111" i="8"/>
  <c r="DH94" i="8"/>
  <c r="DH91" i="8"/>
  <c r="DH78" i="8"/>
  <c r="DH75" i="8"/>
  <c r="DH68" i="8"/>
  <c r="DH64" i="8"/>
  <c r="DH60" i="8"/>
  <c r="DH56" i="8"/>
  <c r="DH52" i="8"/>
  <c r="DH48" i="8"/>
  <c r="DH44" i="8"/>
  <c r="DH40" i="8"/>
  <c r="DH36" i="8"/>
  <c r="DH32" i="8"/>
  <c r="DH28" i="8"/>
  <c r="DH24" i="8"/>
  <c r="DH20" i="8"/>
  <c r="DH16" i="8"/>
  <c r="DH131" i="8"/>
  <c r="DH129" i="8"/>
  <c r="DH127" i="8"/>
  <c r="DH125" i="8"/>
  <c r="DH123" i="8"/>
  <c r="DH121" i="8"/>
  <c r="DH109" i="8"/>
  <c r="DH107" i="8"/>
  <c r="DH95" i="8"/>
  <c r="DH82" i="8"/>
  <c r="DH79" i="8"/>
  <c r="DH69" i="8"/>
  <c r="DH65" i="8"/>
  <c r="DH61" i="8"/>
  <c r="DH57" i="8"/>
  <c r="DH53" i="8"/>
  <c r="DH49" i="8"/>
  <c r="DH45" i="8"/>
  <c r="DH41" i="8"/>
  <c r="DH37" i="8"/>
  <c r="DH33" i="8"/>
  <c r="DH29" i="8"/>
  <c r="DH25" i="8"/>
  <c r="DH21" i="8"/>
  <c r="DH17" i="8"/>
  <c r="DH13" i="8"/>
  <c r="DH120" i="8"/>
  <c r="DH117" i="8"/>
  <c r="DH116" i="8"/>
  <c r="DH113" i="8"/>
  <c r="DH112" i="8"/>
  <c r="DH86" i="8"/>
  <c r="DH83" i="8"/>
  <c r="DH70" i="8"/>
  <c r="DH66" i="8"/>
  <c r="DH62" i="8"/>
  <c r="DH58" i="8"/>
  <c r="DH54" i="8"/>
  <c r="DH50" i="8"/>
  <c r="DH46" i="8"/>
  <c r="DH42" i="8"/>
  <c r="DH38" i="8"/>
  <c r="DH34" i="8"/>
  <c r="DH30" i="8"/>
  <c r="DH26" i="8"/>
  <c r="DH22" i="8"/>
  <c r="DH18" i="8"/>
  <c r="DH14" i="8"/>
  <c r="DH110" i="8"/>
  <c r="DH108" i="8"/>
  <c r="DH106" i="8"/>
  <c r="DH104" i="8"/>
  <c r="DH102" i="8"/>
  <c r="DH100" i="8"/>
  <c r="DH98" i="8"/>
  <c r="DH105" i="8"/>
  <c r="DH103" i="8"/>
  <c r="DH101" i="8"/>
  <c r="DH99" i="8"/>
  <c r="DH97" i="8"/>
  <c r="DH96" i="8"/>
  <c r="DH93" i="8"/>
  <c r="DH92" i="8"/>
  <c r="DH89" i="8"/>
  <c r="DH88" i="8"/>
  <c r="DH85" i="8"/>
  <c r="DH84" i="8"/>
  <c r="DH81" i="8"/>
  <c r="DH80" i="8"/>
  <c r="DH77" i="8"/>
  <c r="DH76" i="8"/>
  <c r="DH73" i="8"/>
  <c r="DH72" i="8"/>
  <c r="DH12" i="8"/>
  <c r="DH11" i="8"/>
  <c r="DE63" i="8"/>
  <c r="GR63" i="8"/>
  <c r="GR93" i="8"/>
  <c r="FJ102" i="8"/>
  <c r="GR102" i="8"/>
  <c r="DE11" i="8"/>
  <c r="GR11" i="8"/>
  <c r="GR120" i="8"/>
  <c r="GM149" i="8"/>
  <c r="GR145" i="8"/>
  <c r="GR104" i="8"/>
  <c r="AX102" i="8"/>
  <c r="BF19" i="8"/>
  <c r="O139" i="8"/>
  <c r="EK139" i="8"/>
  <c r="O100" i="8"/>
  <c r="EK100" i="8"/>
  <c r="CH93" i="18" a="1"/>
  <c r="CH93" i="18"/>
  <c r="EJ145" i="8"/>
  <c r="CG138" i="17" a="1"/>
  <c r="CG138" i="17"/>
  <c r="EK145" i="8"/>
  <c r="FW51" i="1"/>
  <c r="EJ36" i="8"/>
  <c r="CG29" i="18" a="1"/>
  <c r="CG29" i="18"/>
  <c r="EK36" i="8"/>
  <c r="CH29" i="18" a="1"/>
  <c r="CH29" i="18"/>
  <c r="EJ17" i="8"/>
  <c r="CG10" i="18" a="1"/>
  <c r="CG10" i="18"/>
  <c r="EK17" i="8"/>
  <c r="CH10" i="18" a="1"/>
  <c r="CH10" i="18"/>
  <c r="EJ136" i="8"/>
  <c r="CG129" i="17" a="1"/>
  <c r="CG129" i="17"/>
  <c r="EK136" i="8"/>
  <c r="EJ29" i="8"/>
  <c r="CG22" i="18" a="1"/>
  <c r="CG22" i="18"/>
  <c r="EK29" i="8"/>
  <c r="CH22" i="18" a="1"/>
  <c r="CH22" i="18"/>
  <c r="EJ75" i="8"/>
  <c r="CG68" i="18" a="1"/>
  <c r="CG68" i="18"/>
  <c r="EK75" i="8"/>
  <c r="CH68" i="18" a="1"/>
  <c r="CH68" i="18"/>
  <c r="EJ47" i="8"/>
  <c r="CG40" i="18" a="1"/>
  <c r="CG40" i="18"/>
  <c r="EK47" i="8"/>
  <c r="CH40" i="18" a="1"/>
  <c r="CH40" i="18"/>
  <c r="O116" i="8"/>
  <c r="BZ138" i="17" a="1"/>
  <c r="BZ138" i="17"/>
  <c r="BZ129" i="17" a="1"/>
  <c r="BZ129" i="17"/>
  <c r="BZ137" i="18" a="1"/>
  <c r="BZ137" i="18"/>
  <c r="BZ137" i="17" a="1"/>
  <c r="BZ137" i="17"/>
  <c r="BZ125" i="18" a="1"/>
  <c r="BZ125" i="18"/>
  <c r="BZ125" i="17" a="1"/>
  <c r="BZ125" i="17"/>
  <c r="BZ131" i="18" a="1"/>
  <c r="BZ131" i="18"/>
  <c r="BZ131" i="17" a="1"/>
  <c r="BZ131" i="17"/>
  <c r="BZ134" i="18" a="1"/>
  <c r="BZ134" i="18"/>
  <c r="BZ134" i="17" a="1"/>
  <c r="BZ134" i="17"/>
  <c r="BZ128" i="18" a="1"/>
  <c r="BZ128" i="18"/>
  <c r="BZ128" i="17" a="1"/>
  <c r="BZ128" i="17"/>
  <c r="BZ135" i="18" a="1"/>
  <c r="BZ135" i="18"/>
  <c r="BZ135" i="17" a="1"/>
  <c r="BZ135" i="17"/>
  <c r="BZ126" i="18" a="1"/>
  <c r="BZ126" i="18"/>
  <c r="BZ126" i="17" a="1"/>
  <c r="BZ126" i="17"/>
  <c r="BZ132" i="18" a="1"/>
  <c r="BZ132" i="18"/>
  <c r="BZ132" i="17" a="1"/>
  <c r="BZ132" i="17"/>
  <c r="O119" i="8"/>
  <c r="BJ134" i="18" a="1"/>
  <c r="BJ134" i="18"/>
  <c r="BJ125" i="18" a="1"/>
  <c r="BJ125" i="18"/>
  <c r="BJ137" i="18" a="1"/>
  <c r="BJ137" i="18"/>
  <c r="AY93" i="8"/>
  <c r="BO51" i="1"/>
  <c r="AY141" i="8"/>
  <c r="AX45" i="8"/>
  <c r="AX133" i="8"/>
  <c r="AY92" i="8"/>
  <c r="AX98" i="8"/>
  <c r="AY110" i="8"/>
  <c r="O68" i="8"/>
  <c r="O137" i="8"/>
  <c r="AX56" i="8"/>
  <c r="AX12" i="8"/>
  <c r="EH12" i="8"/>
  <c r="EI12" i="8"/>
  <c r="BF12" i="8"/>
  <c r="AX49" i="8"/>
  <c r="AX90" i="8"/>
  <c r="O46" i="8"/>
  <c r="O97" i="8"/>
  <c r="AX135" i="8"/>
  <c r="O132" i="8"/>
  <c r="AY106" i="8"/>
  <c r="AY38" i="8"/>
  <c r="AY73" i="8"/>
  <c r="AY43" i="8"/>
  <c r="AX70" i="8"/>
  <c r="AX37" i="8"/>
  <c r="AY48" i="8"/>
  <c r="DE13" i="8"/>
  <c r="DE23" i="8"/>
  <c r="O118" i="8"/>
  <c r="O39" i="8"/>
  <c r="DE127" i="8"/>
  <c r="FJ40" i="8"/>
  <c r="FJ37" i="8"/>
  <c r="DE45" i="8"/>
  <c r="DE50" i="8"/>
  <c r="FJ51" i="8"/>
  <c r="O13" i="8"/>
  <c r="O138" i="8"/>
  <c r="O142" i="8"/>
  <c r="AD125" i="17"/>
  <c r="AD127" i="17"/>
  <c r="AD129" i="17"/>
  <c r="AD131" i="17"/>
  <c r="AD133" i="17"/>
  <c r="AD135" i="17"/>
  <c r="AD137" i="17"/>
  <c r="AN8" i="18"/>
  <c r="AN16" i="18"/>
  <c r="AD124" i="17"/>
  <c r="AD126" i="17"/>
  <c r="AD128" i="17"/>
  <c r="AD130" i="17"/>
  <c r="AD132" i="17"/>
  <c r="AD134" i="17"/>
  <c r="AD136" i="17"/>
  <c r="AD138" i="17"/>
  <c r="AE125" i="17"/>
  <c r="AE127" i="17"/>
  <c r="AE129" i="17"/>
  <c r="AE131" i="17"/>
  <c r="AE133" i="17"/>
  <c r="AE135" i="17"/>
  <c r="AE137" i="17"/>
  <c r="AE124" i="17"/>
  <c r="AE126" i="17"/>
  <c r="AE128" i="17"/>
  <c r="AE130" i="17"/>
  <c r="AE132" i="17"/>
  <c r="AE134" i="17"/>
  <c r="AE136" i="17"/>
  <c r="AE138" i="17"/>
  <c r="AN101" i="18"/>
  <c r="AN123" i="18"/>
  <c r="AN79" i="18"/>
  <c r="AN49" i="18"/>
  <c r="AN128" i="18"/>
  <c r="AN96" i="18"/>
  <c r="AN64" i="18"/>
  <c r="AN32" i="18"/>
  <c r="AE114" i="18"/>
  <c r="AE52" i="18"/>
  <c r="AE113" i="18"/>
  <c r="AE51" i="18"/>
  <c r="AE60" i="18"/>
  <c r="AE89" i="18"/>
  <c r="AE84" i="18"/>
  <c r="AE101" i="18"/>
  <c r="AE29" i="18"/>
  <c r="AE36" i="18"/>
  <c r="AE39" i="18"/>
  <c r="AE79" i="18"/>
  <c r="AE14" i="18"/>
  <c r="AE95" i="18"/>
  <c r="AE91" i="18"/>
  <c r="AE122" i="18"/>
  <c r="AE17" i="18"/>
  <c r="AE20" i="18"/>
  <c r="AE15" i="18"/>
  <c r="AE55" i="18"/>
  <c r="AE6" i="18"/>
  <c r="AE100" i="18"/>
  <c r="AE80" i="18"/>
  <c r="AE96" i="18"/>
  <c r="AE118" i="18"/>
  <c r="AE138" i="18"/>
  <c r="AE86" i="18"/>
  <c r="AE10" i="18"/>
  <c r="AE32" i="18"/>
  <c r="AE25" i="18"/>
  <c r="AE136" i="18"/>
  <c r="AE83" i="18"/>
  <c r="AE8" i="18"/>
  <c r="AE22" i="18"/>
  <c r="AE21" i="18"/>
  <c r="AE31" i="18"/>
  <c r="AE41" i="18"/>
  <c r="AE27" i="18"/>
  <c r="AE37" i="18"/>
  <c r="AE98" i="18"/>
  <c r="AE18" i="18"/>
  <c r="AE30" i="18"/>
  <c r="AE85" i="18"/>
  <c r="AE45" i="18"/>
  <c r="AE66" i="18"/>
  <c r="AE62" i="18"/>
  <c r="AE104" i="18"/>
  <c r="AE40" i="18"/>
  <c r="AE128" i="18"/>
  <c r="AE124" i="18"/>
  <c r="AE90" i="18"/>
  <c r="AE33" i="18"/>
  <c r="AE50" i="18"/>
  <c r="AE42" i="18"/>
  <c r="AE82" i="18"/>
  <c r="AE23" i="18"/>
  <c r="AE112" i="18"/>
  <c r="AE106" i="18"/>
  <c r="AE47" i="18"/>
  <c r="AE4" i="18"/>
  <c r="AE24" i="18"/>
  <c r="AE7" i="18"/>
  <c r="AE115" i="18"/>
  <c r="AE73" i="18"/>
  <c r="AE137" i="18"/>
  <c r="AE130" i="18"/>
  <c r="AE111" i="18"/>
  <c r="AE68" i="18"/>
  <c r="AE5" i="18"/>
  <c r="AE134" i="18"/>
  <c r="AE103" i="18"/>
  <c r="AE132" i="18"/>
  <c r="AE102" i="18"/>
  <c r="AE28" i="18"/>
  <c r="AE131" i="18"/>
  <c r="AE9" i="18"/>
  <c r="AE88" i="18"/>
  <c r="AE69" i="18"/>
  <c r="AE61" i="18"/>
  <c r="AE77" i="18"/>
  <c r="AE93" i="18"/>
  <c r="AE119" i="18"/>
  <c r="AE63" i="18"/>
  <c r="AE11" i="18"/>
  <c r="AE54" i="18"/>
  <c r="AE92" i="18"/>
  <c r="AE49" i="18"/>
  <c r="AE67" i="18"/>
  <c r="AE74" i="18"/>
  <c r="AE107" i="18"/>
  <c r="AE44" i="18"/>
  <c r="AE129" i="18"/>
  <c r="AE125" i="18"/>
  <c r="AE59" i="18"/>
  <c r="AE127" i="18"/>
  <c r="AE38" i="18"/>
  <c r="AE94" i="18"/>
  <c r="AE97" i="18"/>
  <c r="AE58" i="18"/>
  <c r="AE16" i="18"/>
  <c r="AE76" i="18"/>
  <c r="AE46" i="18"/>
  <c r="AE53" i="18"/>
  <c r="AE109" i="18"/>
  <c r="AE87" i="18"/>
  <c r="AE13" i="18"/>
  <c r="AE135" i="18"/>
  <c r="AE43" i="18"/>
  <c r="AE123" i="18"/>
  <c r="AE116" i="18"/>
  <c r="AE71" i="18"/>
  <c r="AE35" i="18"/>
  <c r="AE120" i="18"/>
  <c r="AE70" i="18"/>
  <c r="AE56" i="18"/>
  <c r="AE105" i="18"/>
  <c r="AE19" i="18"/>
  <c r="AE99" i="18"/>
  <c r="AE65" i="18"/>
  <c r="AE78" i="18"/>
  <c r="AE117" i="18"/>
  <c r="AE48" i="18"/>
  <c r="AE57" i="18"/>
  <c r="AE126" i="18"/>
  <c r="AE75" i="18"/>
  <c r="AE110" i="18"/>
  <c r="AE133" i="18"/>
  <c r="AE12" i="18"/>
  <c r="AE64" i="18"/>
  <c r="AE81" i="18"/>
  <c r="AE26" i="18"/>
  <c r="AE121" i="18"/>
  <c r="AE72" i="18"/>
  <c r="AE108" i="18"/>
  <c r="AE34" i="18"/>
  <c r="AN35" i="18"/>
  <c r="AN61" i="18"/>
  <c r="AN47" i="18"/>
  <c r="AN29" i="18"/>
  <c r="AN120" i="18"/>
  <c r="AN88" i="18"/>
  <c r="AN56" i="18"/>
  <c r="AN24" i="18"/>
  <c r="AO4" i="18"/>
  <c r="AO47" i="18"/>
  <c r="AO105" i="18"/>
  <c r="AO110" i="18"/>
  <c r="AO12" i="18"/>
  <c r="AO42" i="18"/>
  <c r="AO100" i="18"/>
  <c r="AO91" i="18"/>
  <c r="AO79" i="18"/>
  <c r="AO114" i="18"/>
  <c r="AO25" i="18"/>
  <c r="AO36" i="18"/>
  <c r="AO132" i="18"/>
  <c r="AO23" i="18"/>
  <c r="AO52" i="18"/>
  <c r="AO75" i="18"/>
  <c r="AO26" i="18"/>
  <c r="AO117" i="18"/>
  <c r="AO128" i="18"/>
  <c r="AO109" i="18"/>
  <c r="AO130" i="18"/>
  <c r="AO97" i="18"/>
  <c r="AO33" i="18"/>
  <c r="AO102" i="18"/>
  <c r="AO40" i="18"/>
  <c r="AO8" i="18"/>
  <c r="AO48" i="18"/>
  <c r="AO58" i="18"/>
  <c r="AO39" i="18"/>
  <c r="AO55" i="18"/>
  <c r="AO60" i="18"/>
  <c r="AO131" i="18"/>
  <c r="AO67" i="18"/>
  <c r="AO22" i="18"/>
  <c r="AO101" i="18"/>
  <c r="AO93" i="18"/>
  <c r="AO73" i="18"/>
  <c r="AO78" i="18"/>
  <c r="AO96" i="18"/>
  <c r="AO88" i="18"/>
  <c r="AO68" i="18"/>
  <c r="AO125" i="18"/>
  <c r="AO124" i="18"/>
  <c r="AO50" i="18"/>
  <c r="AO126" i="18"/>
  <c r="AO20" i="18"/>
  <c r="AO74" i="18"/>
  <c r="AO103" i="18"/>
  <c r="AO21" i="18"/>
  <c r="AO59" i="18"/>
  <c r="AO18" i="18"/>
  <c r="AO85" i="18"/>
  <c r="AO95" i="18"/>
  <c r="AO77" i="18"/>
  <c r="AO98" i="18"/>
  <c r="AO81" i="18"/>
  <c r="AO17" i="18"/>
  <c r="AO86" i="18"/>
  <c r="AO32" i="18"/>
  <c r="AO129" i="18"/>
  <c r="AO11" i="18"/>
  <c r="AO127" i="18"/>
  <c r="AO7" i="18"/>
  <c r="AO108" i="18"/>
  <c r="AO44" i="18"/>
  <c r="AO115" i="18"/>
  <c r="AO51" i="18"/>
  <c r="AO14" i="18"/>
  <c r="AO35" i="18"/>
  <c r="AO137" i="18"/>
  <c r="AO41" i="18"/>
  <c r="AO46" i="18"/>
  <c r="AO27" i="18"/>
  <c r="AO133" i="18"/>
  <c r="AO37" i="18"/>
  <c r="AO69" i="18"/>
  <c r="AO61" i="18"/>
  <c r="AO89" i="18"/>
  <c r="AO94" i="18"/>
  <c r="AO122" i="18"/>
  <c r="AO120" i="18"/>
  <c r="AO116" i="18"/>
  <c r="AO123" i="18"/>
  <c r="AO43" i="18"/>
  <c r="AO10" i="18"/>
  <c r="AO53" i="18"/>
  <c r="AO63" i="18"/>
  <c r="AO45" i="18"/>
  <c r="AO66" i="18"/>
  <c r="AO65" i="18"/>
  <c r="AO134" i="18"/>
  <c r="AO70" i="18"/>
  <c r="AO24" i="18"/>
  <c r="AO112" i="18"/>
  <c r="AO121" i="18"/>
  <c r="AO104" i="18"/>
  <c r="AO119" i="18"/>
  <c r="AO92" i="18"/>
  <c r="AO29" i="18"/>
  <c r="AO99" i="18"/>
  <c r="AO38" i="18"/>
  <c r="AO9" i="18"/>
  <c r="AO5" i="18"/>
  <c r="AO62" i="18"/>
  <c r="AO107" i="18"/>
  <c r="AO138" i="18"/>
  <c r="AO118" i="18"/>
  <c r="AO90" i="18"/>
  <c r="AO13" i="18"/>
  <c r="AO28" i="18"/>
  <c r="AO135" i="18"/>
  <c r="AO64" i="18"/>
  <c r="AO34" i="18"/>
  <c r="AO15" i="18"/>
  <c r="AO54" i="18"/>
  <c r="AO72" i="18"/>
  <c r="AO83" i="18"/>
  <c r="AO6" i="18"/>
  <c r="AO111" i="18"/>
  <c r="AO106" i="18"/>
  <c r="AO31" i="18"/>
  <c r="AO56" i="18"/>
  <c r="AO136" i="18"/>
  <c r="AO113" i="18"/>
  <c r="AO16" i="18"/>
  <c r="AO87" i="18"/>
  <c r="AO30" i="18"/>
  <c r="AO82" i="18"/>
  <c r="AO71" i="18"/>
  <c r="AO57" i="18"/>
  <c r="AO84" i="18"/>
  <c r="AO19" i="18"/>
  <c r="AO49" i="18"/>
  <c r="AO80" i="18"/>
  <c r="AO76" i="18"/>
  <c r="AD130" i="18"/>
  <c r="AD41" i="18"/>
  <c r="AD64" i="18"/>
  <c r="AD115" i="18"/>
  <c r="AD95" i="18"/>
  <c r="AD63" i="18"/>
  <c r="AD79" i="18"/>
  <c r="AD123" i="18"/>
  <c r="AD60" i="18"/>
  <c r="AD116" i="18"/>
  <c r="AD45" i="18"/>
  <c r="AD54" i="18"/>
  <c r="AD65" i="18"/>
  <c r="AD73" i="18"/>
  <c r="AD53" i="18"/>
  <c r="AD136" i="18"/>
  <c r="AD42" i="18"/>
  <c r="AD49" i="18"/>
  <c r="AD55" i="18"/>
  <c r="AD36" i="18"/>
  <c r="AD114" i="18"/>
  <c r="AD121" i="18"/>
  <c r="AD44" i="18"/>
  <c r="AD103" i="18"/>
  <c r="AD125" i="18"/>
  <c r="AD99" i="18"/>
  <c r="AD134" i="18"/>
  <c r="AD76" i="18"/>
  <c r="AD127" i="18"/>
  <c r="AD97" i="18"/>
  <c r="AD59" i="18"/>
  <c r="AD78" i="18"/>
  <c r="AD138" i="18"/>
  <c r="AD67" i="18"/>
  <c r="AD50" i="18"/>
  <c r="AD137" i="18"/>
  <c r="AD124" i="18"/>
  <c r="AD46" i="18"/>
  <c r="AD105" i="18"/>
  <c r="AD68" i="18"/>
  <c r="AD7" i="18"/>
  <c r="AD61" i="18"/>
  <c r="AD82" i="18"/>
  <c r="AD6" i="18"/>
  <c r="AD70" i="18"/>
  <c r="AD86" i="18"/>
  <c r="AD90" i="18"/>
  <c r="AD75" i="18"/>
  <c r="AD71" i="18"/>
  <c r="AD58" i="18"/>
  <c r="AD74" i="18"/>
  <c r="AD87" i="18"/>
  <c r="AD57" i="18"/>
  <c r="AD133" i="18"/>
  <c r="AD109" i="18"/>
  <c r="AD72" i="18"/>
  <c r="AD107" i="18"/>
  <c r="AD77" i="18"/>
  <c r="AD98" i="18"/>
  <c r="AD131" i="18"/>
  <c r="AD92" i="18"/>
  <c r="AD110" i="18"/>
  <c r="AD81" i="18"/>
  <c r="AD21" i="18"/>
  <c r="AD33" i="18"/>
  <c r="AD34" i="18"/>
  <c r="AD126" i="18"/>
  <c r="AD100" i="18"/>
  <c r="AD18" i="18"/>
  <c r="AD104" i="18"/>
  <c r="AD40" i="18"/>
  <c r="AD14" i="18"/>
  <c r="AD80" i="18"/>
  <c r="AD69" i="18"/>
  <c r="AD9" i="18"/>
  <c r="AD91" i="18"/>
  <c r="AD89" i="18"/>
  <c r="AD38" i="18"/>
  <c r="AD52" i="18"/>
  <c r="AD120" i="18"/>
  <c r="AD32" i="18"/>
  <c r="AD19" i="18"/>
  <c r="AD43" i="18"/>
  <c r="AD17" i="18"/>
  <c r="AD29" i="18"/>
  <c r="AD122" i="18"/>
  <c r="AD112" i="18"/>
  <c r="AD30" i="18"/>
  <c r="AD102" i="18"/>
  <c r="AD117" i="18"/>
  <c r="AD84" i="18"/>
  <c r="AD47" i="18"/>
  <c r="AD31" i="18"/>
  <c r="AD106" i="18"/>
  <c r="AD10" i="18"/>
  <c r="AD5" i="18"/>
  <c r="AD85" i="18"/>
  <c r="AD96" i="18"/>
  <c r="AD118" i="18"/>
  <c r="AD8" i="18"/>
  <c r="AD135" i="18"/>
  <c r="AD83" i="18"/>
  <c r="AD88" i="18"/>
  <c r="AD113" i="18"/>
  <c r="AD24" i="18"/>
  <c r="AD12" i="18"/>
  <c r="AD66" i="18"/>
  <c r="AD48" i="18"/>
  <c r="AD27" i="18"/>
  <c r="AD26" i="18"/>
  <c r="AD28" i="18"/>
  <c r="AD108" i="18"/>
  <c r="AD128" i="18"/>
  <c r="AD39" i="18"/>
  <c r="AD16" i="18"/>
  <c r="AD51" i="18"/>
  <c r="AD56" i="18"/>
  <c r="AD35" i="18"/>
  <c r="AD4" i="18"/>
  <c r="AD129" i="18"/>
  <c r="AD93" i="18"/>
  <c r="AD13" i="18"/>
  <c r="AD111" i="18"/>
  <c r="AD23" i="18"/>
  <c r="AD22" i="18"/>
  <c r="AD25" i="18"/>
  <c r="AD101" i="18"/>
  <c r="AD15" i="18"/>
  <c r="AD94" i="18"/>
  <c r="AD119" i="18"/>
  <c r="AD11" i="18"/>
  <c r="AD37" i="18"/>
  <c r="AD20" i="18"/>
  <c r="AD132" i="18"/>
  <c r="AD62" i="18"/>
  <c r="AN125" i="17"/>
  <c r="AN127" i="17"/>
  <c r="AN129" i="17"/>
  <c r="AN131" i="17"/>
  <c r="AN133" i="17"/>
  <c r="AN135" i="17"/>
  <c r="AN137" i="17"/>
  <c r="AN124" i="17"/>
  <c r="AN126" i="17"/>
  <c r="AN128" i="17"/>
  <c r="AN130" i="17"/>
  <c r="AN132" i="17"/>
  <c r="AN134" i="17"/>
  <c r="AN136" i="17"/>
  <c r="AN138" i="17"/>
  <c r="AN133" i="18"/>
  <c r="AN135" i="18"/>
  <c r="AN23" i="18"/>
  <c r="AN113" i="18"/>
  <c r="AN13" i="18"/>
  <c r="AN112" i="18"/>
  <c r="AN80" i="18"/>
  <c r="AN48" i="18"/>
  <c r="AN6" i="18"/>
  <c r="AN59" i="18"/>
  <c r="AN83" i="18"/>
  <c r="AN111" i="18"/>
  <c r="AN81" i="18"/>
  <c r="AN136" i="18"/>
  <c r="AN104" i="18"/>
  <c r="AN72" i="18"/>
  <c r="AN40" i="18"/>
  <c r="AN107" i="18"/>
  <c r="AN43" i="18"/>
  <c r="AN85" i="18"/>
  <c r="AN27" i="18"/>
  <c r="AN131" i="18"/>
  <c r="AN67" i="18"/>
  <c r="AN109" i="18"/>
  <c r="AN45" i="18"/>
  <c r="AN15" i="18"/>
  <c r="AN103" i="18"/>
  <c r="AN71" i="18"/>
  <c r="AN137" i="18"/>
  <c r="AN105" i="18"/>
  <c r="AN73" i="18"/>
  <c r="AN41" i="18"/>
  <c r="AN25" i="18"/>
  <c r="AN9" i="18"/>
  <c r="AN134" i="18"/>
  <c r="AN126" i="18"/>
  <c r="AN118" i="18"/>
  <c r="AN110" i="18"/>
  <c r="AN102" i="18"/>
  <c r="AN94" i="18"/>
  <c r="AN86" i="18"/>
  <c r="AN78" i="18"/>
  <c r="AN70" i="18"/>
  <c r="AN62" i="18"/>
  <c r="AN54" i="18"/>
  <c r="AN46" i="18"/>
  <c r="AN38" i="18"/>
  <c r="AN30" i="18"/>
  <c r="AN22" i="18"/>
  <c r="AN14" i="18"/>
  <c r="AN4" i="18"/>
  <c r="AN91" i="18"/>
  <c r="AN125" i="18"/>
  <c r="AN69" i="18"/>
  <c r="AN19" i="18"/>
  <c r="AN115" i="18"/>
  <c r="AN51" i="18"/>
  <c r="AN93" i="18"/>
  <c r="AN39" i="18"/>
  <c r="AN7" i="18"/>
  <c r="AN95" i="18"/>
  <c r="AN63" i="18"/>
  <c r="AN129" i="18"/>
  <c r="AN97" i="18"/>
  <c r="AN65" i="18"/>
  <c r="AN37" i="18"/>
  <c r="AN21" i="18"/>
  <c r="AN5" i="18"/>
  <c r="AN132" i="18"/>
  <c r="AN124" i="18"/>
  <c r="AN116" i="18"/>
  <c r="AN108" i="18"/>
  <c r="AN100" i="18"/>
  <c r="AN92" i="18"/>
  <c r="AN84" i="18"/>
  <c r="AN76" i="18"/>
  <c r="AN68" i="18"/>
  <c r="AN60" i="18"/>
  <c r="AN52" i="18"/>
  <c r="AN44" i="18"/>
  <c r="AN36" i="18"/>
  <c r="AN28" i="18"/>
  <c r="AN20" i="18"/>
  <c r="AN12" i="18"/>
  <c r="AN75" i="18"/>
  <c r="AN117" i="18"/>
  <c r="AN53" i="18"/>
  <c r="AN11" i="18"/>
  <c r="AN99" i="18"/>
  <c r="AN127" i="18"/>
  <c r="AN77" i="18"/>
  <c r="AN31" i="18"/>
  <c r="AN119" i="18"/>
  <c r="AN87" i="18"/>
  <c r="AN55" i="18"/>
  <c r="AN121" i="18"/>
  <c r="AN89" i="18"/>
  <c r="AN57" i="18"/>
  <c r="AN33" i="18"/>
  <c r="AN17" i="18"/>
  <c r="AN138" i="18"/>
  <c r="AN130" i="18"/>
  <c r="AN122" i="18"/>
  <c r="AN114" i="18"/>
  <c r="AN106" i="18"/>
  <c r="AN98" i="18"/>
  <c r="AN90" i="18"/>
  <c r="AN82" i="18"/>
  <c r="AN74" i="18"/>
  <c r="AN66" i="18"/>
  <c r="AN58" i="18"/>
  <c r="AN50" i="18"/>
  <c r="AN42" i="18"/>
  <c r="AN34" i="18"/>
  <c r="AN26" i="18"/>
  <c r="AN18" i="18"/>
  <c r="AN10" i="18"/>
  <c r="BD126" i="17" a="1"/>
  <c r="BD126" i="17"/>
  <c r="BD126" i="18" a="1"/>
  <c r="BD126" i="18"/>
  <c r="BD131" i="17" a="1"/>
  <c r="BD131" i="17"/>
  <c r="BD131" i="18" a="1"/>
  <c r="BD131" i="18"/>
  <c r="BE138" i="17" a="1"/>
  <c r="BE138" i="17"/>
  <c r="BE138" i="18" a="1"/>
  <c r="BE138" i="18"/>
  <c r="BE129" i="17" a="1"/>
  <c r="BE129" i="17"/>
  <c r="BE129" i="18" a="1"/>
  <c r="BE129" i="18"/>
  <c r="BD5" i="18" a="1"/>
  <c r="BD5" i="18"/>
  <c r="BS124" i="17" a="1"/>
  <c r="BS124" i="17"/>
  <c r="BS124" i="18" a="1"/>
  <c r="BS124" i="18"/>
  <c r="BL125" i="17" a="1"/>
  <c r="BL125" i="17"/>
  <c r="BL125" i="18" a="1"/>
  <c r="BL125" i="18"/>
  <c r="BM127" i="17" a="1"/>
  <c r="BM127" i="17"/>
  <c r="BM127" i="18" a="1"/>
  <c r="BM127" i="18"/>
  <c r="BR129" i="17" a="1"/>
  <c r="BR129" i="17"/>
  <c r="BR129" i="18" a="1"/>
  <c r="BR129" i="18"/>
  <c r="BS131" i="17" a="1"/>
  <c r="BS131" i="17"/>
  <c r="BS131" i="18" a="1"/>
  <c r="BS131" i="18"/>
  <c r="BO131" i="17" a="1"/>
  <c r="BO131" i="17"/>
  <c r="BO131" i="18" a="1"/>
  <c r="BO131" i="18"/>
  <c r="BS132" i="17" a="1"/>
  <c r="BS132" i="17"/>
  <c r="BS132" i="18" a="1"/>
  <c r="BS132" i="18"/>
  <c r="BR134" i="17" a="1"/>
  <c r="BR134" i="17"/>
  <c r="BR134" i="18" a="1"/>
  <c r="BR134" i="18"/>
  <c r="BN135" i="17" a="1"/>
  <c r="BN135" i="17"/>
  <c r="BN135" i="18" a="1"/>
  <c r="BN135" i="18"/>
  <c r="BO136" i="17" a="1"/>
  <c r="BO136" i="17"/>
  <c r="BO136" i="18" a="1"/>
  <c r="BO136" i="18"/>
  <c r="BN137" i="17" a="1"/>
  <c r="BN137" i="17"/>
  <c r="BN137" i="18" a="1"/>
  <c r="BN137" i="18"/>
  <c r="BL137" i="17" a="1"/>
  <c r="BL137" i="17"/>
  <c r="BL137" i="18" a="1"/>
  <c r="BL137" i="18"/>
  <c r="BM138" i="17" a="1"/>
  <c r="BM138" i="17"/>
  <c r="BM138" i="18" a="1"/>
  <c r="BM138" i="18"/>
  <c r="BN125" i="17" a="1"/>
  <c r="BN125" i="17"/>
  <c r="BN125" i="18" a="1"/>
  <c r="BN125" i="18"/>
  <c r="BN134" i="17" a="1"/>
  <c r="BN134" i="17"/>
  <c r="BN134" i="18" a="1"/>
  <c r="BN134" i="18"/>
  <c r="BL132" i="17" a="1"/>
  <c r="BL132" i="17"/>
  <c r="BL132" i="18" a="1"/>
  <c r="BL132" i="18"/>
  <c r="BL135" i="17" a="1"/>
  <c r="BL135" i="17"/>
  <c r="BL135" i="18" a="1"/>
  <c r="BL135" i="18"/>
  <c r="BN129" i="17" a="1"/>
  <c r="BN129" i="17"/>
  <c r="BN129" i="18" a="1"/>
  <c r="BN129" i="18"/>
  <c r="BT129" i="17" a="1"/>
  <c r="BT129" i="17"/>
  <c r="BT129" i="18" a="1"/>
  <c r="BT129" i="18"/>
  <c r="BM136" i="17" a="1"/>
  <c r="BM136" i="17"/>
  <c r="BM136" i="18" a="1"/>
  <c r="BM136" i="18"/>
  <c r="BH134" i="17" a="1"/>
  <c r="BH134" i="17"/>
  <c r="BH134" i="18" a="1"/>
  <c r="BH134" i="18"/>
  <c r="BO138" i="17" a="1"/>
  <c r="BO138" i="17"/>
  <c r="BO138" i="18" a="1"/>
  <c r="BO138" i="18"/>
  <c r="BT133" i="17" a="1"/>
  <c r="BT133" i="17"/>
  <c r="BT133" i="18" a="1"/>
  <c r="BT133" i="18"/>
  <c r="BM133" i="17" a="1"/>
  <c r="BM133" i="17"/>
  <c r="BM133" i="18" a="1"/>
  <c r="BM133" i="18"/>
  <c r="BT125" i="17" a="1"/>
  <c r="BT125" i="17"/>
  <c r="BT125" i="18" a="1"/>
  <c r="BT125" i="18"/>
  <c r="CD5" i="18" a="1"/>
  <c r="CD5" i="18"/>
  <c r="BV125" i="17" a="1"/>
  <c r="BV125" i="17"/>
  <c r="BV125" i="18" a="1"/>
  <c r="BV125" i="18"/>
  <c r="CD129" i="17" a="1"/>
  <c r="CD129" i="17"/>
  <c r="CD129" i="18" a="1"/>
  <c r="CD129" i="18"/>
  <c r="BV126" i="17" a="1"/>
  <c r="BV126" i="17"/>
  <c r="BV126" i="18" a="1"/>
  <c r="BV126" i="18"/>
  <c r="CD130" i="17" a="1"/>
  <c r="CD130" i="17"/>
  <c r="CD130" i="18" a="1"/>
  <c r="CD130" i="18"/>
  <c r="CE127" i="17" a="1"/>
  <c r="CE127" i="17"/>
  <c r="CE127" i="18" a="1"/>
  <c r="CE127" i="18"/>
  <c r="CE131" i="17" a="1"/>
  <c r="CE131" i="17"/>
  <c r="CE131" i="18" a="1"/>
  <c r="CE131" i="18"/>
  <c r="CE135" i="17" a="1"/>
  <c r="CE135" i="17"/>
  <c r="CE135" i="18" a="1"/>
  <c r="CE135" i="18"/>
  <c r="BV127" i="17" a="1"/>
  <c r="BV127" i="17"/>
  <c r="BV127" i="18" a="1"/>
  <c r="BV127" i="18"/>
  <c r="DC51" i="1"/>
  <c r="BP4" i="18" a="1"/>
  <c r="BP4" i="18"/>
  <c r="BU124" i="17" a="1"/>
  <c r="BU124" i="17"/>
  <c r="BU124" i="18" a="1"/>
  <c r="BU124" i="18"/>
  <c r="CD124" i="17" a="1"/>
  <c r="CD124" i="17"/>
  <c r="CD124" i="18" a="1"/>
  <c r="CD124" i="18"/>
  <c r="CD128" i="17" a="1"/>
  <c r="CD128" i="17"/>
  <c r="CD128" i="18" a="1"/>
  <c r="CD128" i="18"/>
  <c r="CE132" i="17" a="1"/>
  <c r="CE132" i="17"/>
  <c r="CE132" i="18" a="1"/>
  <c r="CE132" i="18"/>
  <c r="BV136" i="17" a="1"/>
  <c r="BV136" i="17"/>
  <c r="BV136" i="18" a="1"/>
  <c r="BV136" i="18"/>
  <c r="BU127" i="17" a="1"/>
  <c r="BU127" i="17"/>
  <c r="BU127" i="18" a="1"/>
  <c r="BU127" i="18"/>
  <c r="BU136" i="17" a="1"/>
  <c r="BU136" i="17"/>
  <c r="BU136" i="18" a="1"/>
  <c r="BU136" i="18"/>
  <c r="BU126" i="17" a="1"/>
  <c r="BU126" i="17"/>
  <c r="BU126" i="18" a="1"/>
  <c r="BU126" i="18"/>
  <c r="CC126" i="17" a="1"/>
  <c r="CC126" i="17"/>
  <c r="CC126" i="18" a="1"/>
  <c r="CC126" i="18"/>
  <c r="CC135" i="17" a="1"/>
  <c r="CC135" i="17"/>
  <c r="CC135" i="18" a="1"/>
  <c r="CC135" i="18"/>
  <c r="BQ135" i="17" a="1"/>
  <c r="BQ135" i="17"/>
  <c r="BQ135" i="18" a="1"/>
  <c r="BQ135" i="18"/>
  <c r="CC128" i="17" a="1"/>
  <c r="CC128" i="17"/>
  <c r="CC128" i="18" a="1"/>
  <c r="CC128" i="18"/>
  <c r="BH126" i="17" a="1"/>
  <c r="BH126" i="17"/>
  <c r="BH126" i="18" a="1"/>
  <c r="BH126" i="18"/>
  <c r="BH130" i="17" a="1"/>
  <c r="BH130" i="17"/>
  <c r="BH130" i="18" a="1"/>
  <c r="BH130" i="18"/>
  <c r="BH135" i="17" a="1"/>
  <c r="BH135" i="17"/>
  <c r="BH135" i="18" a="1"/>
  <c r="BH135" i="18"/>
  <c r="BJ126" i="17" a="1"/>
  <c r="BJ126" i="17"/>
  <c r="BJ126" i="18" a="1"/>
  <c r="BJ126" i="18"/>
  <c r="BD135" i="17" a="1"/>
  <c r="BD135" i="17"/>
  <c r="BD135" i="18" a="1"/>
  <c r="BD135" i="18"/>
  <c r="BE127" i="17" a="1"/>
  <c r="BE127" i="17"/>
  <c r="BE127" i="18" a="1"/>
  <c r="BE127" i="18"/>
  <c r="BE137" i="17" a="1"/>
  <c r="BE137" i="17"/>
  <c r="BE137" i="18" a="1"/>
  <c r="BE137" i="18"/>
  <c r="BO124" i="17" a="1"/>
  <c r="BO124" i="17"/>
  <c r="BO124" i="18" a="1"/>
  <c r="BO124" i="18"/>
  <c r="BO126" i="17" a="1"/>
  <c r="BO126" i="17"/>
  <c r="BO126" i="18" a="1"/>
  <c r="BO126" i="18"/>
  <c r="BH127" i="17" a="1"/>
  <c r="BH127" i="17"/>
  <c r="BH127" i="18" a="1"/>
  <c r="BH127" i="18"/>
  <c r="BS128" i="17" a="1"/>
  <c r="BS128" i="17"/>
  <c r="BS128" i="18" a="1"/>
  <c r="BS128" i="18"/>
  <c r="BT130" i="17" a="1"/>
  <c r="BT130" i="17"/>
  <c r="BT130" i="18" a="1"/>
  <c r="BT130" i="18"/>
  <c r="BD128" i="17" a="1"/>
  <c r="BD128" i="17"/>
  <c r="BD128" i="18" a="1"/>
  <c r="BD128" i="18"/>
  <c r="BD137" i="17" a="1"/>
  <c r="BD137" i="17"/>
  <c r="BD137" i="18" a="1"/>
  <c r="BD137" i="18"/>
  <c r="BD125" i="17" a="1"/>
  <c r="BD125" i="17"/>
  <c r="BD125" i="18" a="1"/>
  <c r="BD125" i="18"/>
  <c r="BD134" i="17" a="1"/>
  <c r="BD134" i="17"/>
  <c r="BD134" i="18" a="1"/>
  <c r="BD134" i="18"/>
  <c r="BE131" i="17" a="1"/>
  <c r="BE131" i="17"/>
  <c r="BE131" i="18" a="1"/>
  <c r="BE131" i="18"/>
  <c r="BE124" i="17" a="1"/>
  <c r="BE124" i="17"/>
  <c r="BE124" i="18" a="1"/>
  <c r="BE124" i="18"/>
  <c r="BE126" i="17" a="1"/>
  <c r="BE126" i="17"/>
  <c r="BE126" i="18" a="1"/>
  <c r="BE126" i="18"/>
  <c r="BS136" i="17" a="1"/>
  <c r="BS136" i="17"/>
  <c r="BS136" i="18" a="1"/>
  <c r="BS136" i="18"/>
  <c r="BM5" i="18" a="1"/>
  <c r="BM5" i="18"/>
  <c r="BM124" i="17" a="1"/>
  <c r="BM124" i="17"/>
  <c r="BM124" i="18" a="1"/>
  <c r="BM124" i="18"/>
  <c r="BS125" i="17" a="1"/>
  <c r="BS125" i="17"/>
  <c r="BS125" i="18" a="1"/>
  <c r="BS125" i="18"/>
  <c r="BO125" i="17" a="1"/>
  <c r="BO125" i="17"/>
  <c r="BO125" i="18" a="1"/>
  <c r="BO125" i="18"/>
  <c r="BT126" i="17" a="1"/>
  <c r="BT126" i="17"/>
  <c r="BT126" i="18" a="1"/>
  <c r="BT126" i="18"/>
  <c r="BT127" i="17" a="1"/>
  <c r="BT127" i="17"/>
  <c r="BT127" i="18" a="1"/>
  <c r="BT127" i="18"/>
  <c r="BO128" i="17" a="1"/>
  <c r="BO128" i="17"/>
  <c r="BO128" i="18" a="1"/>
  <c r="BO128" i="18"/>
  <c r="BM128" i="17" a="1"/>
  <c r="BM128" i="17"/>
  <c r="BM128" i="18" a="1"/>
  <c r="BM128" i="18"/>
  <c r="BL129" i="17" a="1"/>
  <c r="BL129" i="17"/>
  <c r="BL129" i="18" a="1"/>
  <c r="BL129" i="18"/>
  <c r="BN130" i="17" a="1"/>
  <c r="BN130" i="17"/>
  <c r="BN130" i="18" a="1"/>
  <c r="BN130" i="18"/>
  <c r="BM131" i="17" a="1"/>
  <c r="BM131" i="17"/>
  <c r="BM131" i="18" a="1"/>
  <c r="BM131" i="18"/>
  <c r="BO132" i="17" a="1"/>
  <c r="BO132" i="17"/>
  <c r="BO132" i="18" a="1"/>
  <c r="BO132" i="18"/>
  <c r="BM132" i="17" a="1"/>
  <c r="BM132" i="17"/>
  <c r="BM132" i="18" a="1"/>
  <c r="BM132" i="18"/>
  <c r="BL134" i="17" a="1"/>
  <c r="BL134" i="17"/>
  <c r="BL134" i="18" a="1"/>
  <c r="BL134" i="18"/>
  <c r="BR136" i="17" a="1"/>
  <c r="BR136" i="17"/>
  <c r="BR136" i="18" a="1"/>
  <c r="BR136" i="18"/>
  <c r="BT136" i="17" a="1"/>
  <c r="BT136" i="17"/>
  <c r="BT136" i="18" a="1"/>
  <c r="BT136" i="18"/>
  <c r="BS137" i="17" a="1"/>
  <c r="BS137" i="17"/>
  <c r="BS137" i="18" a="1"/>
  <c r="BS137" i="18"/>
  <c r="BT138" i="17" a="1"/>
  <c r="BT138" i="17"/>
  <c r="BT138" i="18" a="1"/>
  <c r="BT138" i="18"/>
  <c r="BR138" i="17" a="1"/>
  <c r="BR138" i="17"/>
  <c r="BR138" i="18" a="1"/>
  <c r="BR138" i="18"/>
  <c r="BL127" i="17" a="1"/>
  <c r="BL127" i="17"/>
  <c r="BL127" i="18" a="1"/>
  <c r="BL127" i="18"/>
  <c r="BR135" i="17" a="1"/>
  <c r="BR135" i="17"/>
  <c r="BR135" i="18" a="1"/>
  <c r="BR135" i="18"/>
  <c r="BO5" i="18" a="1"/>
  <c r="BO5" i="18"/>
  <c r="BH124" i="17" a="1"/>
  <c r="BH124" i="17"/>
  <c r="BH124" i="18" a="1"/>
  <c r="BH124" i="18"/>
  <c r="BS126" i="17" a="1"/>
  <c r="BS126" i="17"/>
  <c r="BS126" i="18" a="1"/>
  <c r="BS126" i="18"/>
  <c r="BT134" i="17" a="1"/>
  <c r="BT134" i="17"/>
  <c r="BT134" i="18" a="1"/>
  <c r="BT134" i="18"/>
  <c r="BS135" i="17" a="1"/>
  <c r="BS135" i="17"/>
  <c r="BS135" i="18" a="1"/>
  <c r="BS135" i="18"/>
  <c r="BT131" i="17" a="1"/>
  <c r="BT131" i="17"/>
  <c r="BT131" i="18" a="1"/>
  <c r="BT131" i="18"/>
  <c r="BH131" i="17" a="1"/>
  <c r="BH131" i="17"/>
  <c r="BH131" i="18" a="1"/>
  <c r="BH131" i="18"/>
  <c r="BH128" i="17" a="1"/>
  <c r="BH128" i="17"/>
  <c r="BH128" i="18" a="1"/>
  <c r="BH128" i="18"/>
  <c r="BO133" i="17" a="1"/>
  <c r="BO133" i="17"/>
  <c r="BO133" i="18" a="1"/>
  <c r="BO133" i="18"/>
  <c r="CE126" i="17" a="1"/>
  <c r="CE126" i="17"/>
  <c r="CE126" i="18" a="1"/>
  <c r="CE126" i="18"/>
  <c r="CE134" i="17" a="1"/>
  <c r="CE134" i="17"/>
  <c r="CE134" i="18" a="1"/>
  <c r="CE134" i="18"/>
  <c r="BR133" i="17" a="1"/>
  <c r="BR133" i="17"/>
  <c r="BR133" i="18" a="1"/>
  <c r="BR133" i="18"/>
  <c r="BR127" i="17" a="1"/>
  <c r="BR127" i="17"/>
  <c r="BR127" i="18" a="1"/>
  <c r="BR127" i="18"/>
  <c r="BY5" i="18" a="1"/>
  <c r="BY5" i="18"/>
  <c r="AB8" i="18"/>
  <c r="CD125" i="17" a="1"/>
  <c r="CD125" i="17"/>
  <c r="CD125" i="18" a="1"/>
  <c r="CD125" i="18"/>
  <c r="BV137" i="17" a="1"/>
  <c r="BV137" i="17"/>
  <c r="BV137" i="18" a="1"/>
  <c r="BV137" i="18"/>
  <c r="CD126" i="17" a="1"/>
  <c r="CD126" i="17"/>
  <c r="CD126" i="18" a="1"/>
  <c r="CD126" i="18"/>
  <c r="BV138" i="17" a="1"/>
  <c r="BV138" i="17"/>
  <c r="BV138" i="18" a="1"/>
  <c r="BV138" i="18"/>
  <c r="CD135" i="17" a="1"/>
  <c r="CD135" i="17"/>
  <c r="CD135" i="18" a="1"/>
  <c r="CD135" i="18"/>
  <c r="BV124" i="17" a="1"/>
  <c r="BV124" i="17"/>
  <c r="BV124" i="18" a="1"/>
  <c r="BV124" i="18"/>
  <c r="BV128" i="17" a="1"/>
  <c r="BV128" i="17"/>
  <c r="BV128" i="18" a="1"/>
  <c r="BV128" i="18"/>
  <c r="CE136" i="17" a="1"/>
  <c r="CE136" i="17"/>
  <c r="CE136" i="18" a="1"/>
  <c r="CE136" i="18"/>
  <c r="BU133" i="17" a="1"/>
  <c r="BU133" i="17"/>
  <c r="BU133" i="18" a="1"/>
  <c r="BU133" i="18"/>
  <c r="BU130" i="17" a="1"/>
  <c r="BU130" i="17"/>
  <c r="BU130" i="18" a="1"/>
  <c r="BU130" i="18"/>
  <c r="CC138" i="17" a="1"/>
  <c r="CC138" i="17"/>
  <c r="CC138" i="18" a="1"/>
  <c r="CC138" i="18"/>
  <c r="BQ126" i="17" a="1"/>
  <c r="BQ126" i="17"/>
  <c r="BQ126" i="18" a="1"/>
  <c r="BQ126" i="18"/>
  <c r="CC125" i="17" a="1"/>
  <c r="CC125" i="17"/>
  <c r="CC125" i="18" a="1"/>
  <c r="CC125" i="18"/>
  <c r="CC134" i="17" a="1"/>
  <c r="CC134" i="17"/>
  <c r="CC134" i="18" a="1"/>
  <c r="CC134" i="18"/>
  <c r="BB124" i="17" a="1"/>
  <c r="BB124" i="17"/>
  <c r="BB124" i="18" a="1"/>
  <c r="BB124" i="18"/>
  <c r="BB129" i="17" a="1"/>
  <c r="BB129" i="17"/>
  <c r="BB129" i="18" a="1"/>
  <c r="BB129" i="18"/>
  <c r="BB132" i="17" a="1"/>
  <c r="BB132" i="17"/>
  <c r="BB132" i="18" a="1"/>
  <c r="BB132" i="18"/>
  <c r="BB137" i="17" a="1"/>
  <c r="BB137" i="17"/>
  <c r="BB137" i="18" a="1"/>
  <c r="BB137" i="18"/>
  <c r="BH133" i="17" a="1"/>
  <c r="BH133" i="17"/>
  <c r="BH133" i="18" a="1"/>
  <c r="BH133" i="18"/>
  <c r="BU132" i="17" a="1"/>
  <c r="BU132" i="17"/>
  <c r="BU132" i="18" a="1"/>
  <c r="BU132" i="18"/>
  <c r="FS144" i="8"/>
  <c r="BP137" i="18" a="1"/>
  <c r="BP137" i="18"/>
  <c r="BB125" i="17" a="1"/>
  <c r="BB125" i="17"/>
  <c r="BB125" i="18" a="1"/>
  <c r="BB125" i="18"/>
  <c r="BB128" i="17" a="1"/>
  <c r="BB128" i="17"/>
  <c r="BB128" i="18" a="1"/>
  <c r="BB128" i="18"/>
  <c r="BB134" i="17" a="1"/>
  <c r="BB134" i="17"/>
  <c r="BB134" i="18" a="1"/>
  <c r="BB134" i="18"/>
  <c r="BB138" i="17" a="1"/>
  <c r="BB138" i="17"/>
  <c r="BB138" i="18" a="1"/>
  <c r="BB138" i="18"/>
  <c r="BJ124" i="17" a="1"/>
  <c r="BJ124" i="17"/>
  <c r="BJ124" i="18" a="1"/>
  <c r="BJ124" i="18"/>
  <c r="BJ138" i="17" a="1"/>
  <c r="BJ138" i="17"/>
  <c r="BJ138" i="18" a="1"/>
  <c r="BJ138" i="18"/>
  <c r="BJ128" i="17" a="1"/>
  <c r="BJ128" i="17"/>
  <c r="BJ128" i="18" a="1"/>
  <c r="BJ128" i="18"/>
  <c r="BD130" i="17" a="1"/>
  <c r="BD130" i="17"/>
  <c r="BD130" i="18" a="1"/>
  <c r="BD130" i="18"/>
  <c r="BD136" i="17" a="1"/>
  <c r="BD136" i="17"/>
  <c r="BD136" i="18" a="1"/>
  <c r="BD136" i="18"/>
  <c r="BE128" i="17" a="1"/>
  <c r="BE128" i="17"/>
  <c r="BE128" i="18" a="1"/>
  <c r="BE128" i="18"/>
  <c r="BE130" i="17" a="1"/>
  <c r="BE130" i="17"/>
  <c r="BE130" i="18" a="1"/>
  <c r="BE130" i="18"/>
  <c r="BE134" i="17" a="1"/>
  <c r="BE134" i="17"/>
  <c r="BE134" i="18" a="1"/>
  <c r="BE134" i="18"/>
  <c r="BE125" i="17" a="1"/>
  <c r="BE125" i="17"/>
  <c r="BE125" i="18" a="1"/>
  <c r="BE125" i="18"/>
  <c r="BR124" i="17" a="1"/>
  <c r="BR124" i="17"/>
  <c r="BR124" i="18" a="1"/>
  <c r="BR124" i="18"/>
  <c r="BM125" i="17" a="1"/>
  <c r="BM125" i="17"/>
  <c r="BM125" i="18" a="1"/>
  <c r="BM125" i="18"/>
  <c r="BR126" i="17" a="1"/>
  <c r="BR126" i="17"/>
  <c r="BR126" i="18" a="1"/>
  <c r="BR126" i="18"/>
  <c r="BN126" i="17" a="1"/>
  <c r="BN126" i="17"/>
  <c r="BN126" i="18" a="1"/>
  <c r="BN126" i="18"/>
  <c r="BN127" i="17" a="1"/>
  <c r="BN127" i="17"/>
  <c r="BN127" i="18" a="1"/>
  <c r="BN127" i="18"/>
  <c r="BT128" i="17" a="1"/>
  <c r="BT128" i="17"/>
  <c r="BT128" i="18" a="1"/>
  <c r="BT128" i="18"/>
  <c r="BS129" i="17" a="1"/>
  <c r="BS129" i="17"/>
  <c r="BS129" i="18" a="1"/>
  <c r="BS129" i="18"/>
  <c r="BO129" i="17" a="1"/>
  <c r="BO129" i="17"/>
  <c r="BO129" i="18" a="1"/>
  <c r="BO129" i="18"/>
  <c r="BS130" i="17" a="1"/>
  <c r="BS130" i="17"/>
  <c r="BS130" i="18" a="1"/>
  <c r="BS130" i="18"/>
  <c r="BR131" i="17" a="1"/>
  <c r="BR131" i="17"/>
  <c r="BR131" i="18" a="1"/>
  <c r="BR131" i="18"/>
  <c r="BT132" i="17" a="1"/>
  <c r="BT132" i="17"/>
  <c r="BT132" i="18" a="1"/>
  <c r="BT132" i="18"/>
  <c r="BS134" i="17" a="1"/>
  <c r="BS134" i="17"/>
  <c r="BS134" i="18" a="1"/>
  <c r="BS134" i="18"/>
  <c r="BO135" i="17" a="1"/>
  <c r="BO135" i="17"/>
  <c r="BO135" i="18" a="1"/>
  <c r="BO135" i="18"/>
  <c r="BL136" i="17" a="1"/>
  <c r="BL136" i="17"/>
  <c r="BL136" i="18" a="1"/>
  <c r="BL136" i="18"/>
  <c r="BN136" i="17" a="1"/>
  <c r="BN136" i="17"/>
  <c r="BN136" i="18" a="1"/>
  <c r="BN136" i="18"/>
  <c r="BM137" i="17" a="1"/>
  <c r="BM137" i="17"/>
  <c r="BM137" i="18" a="1"/>
  <c r="BM137" i="18"/>
  <c r="BN138" i="17" a="1"/>
  <c r="BN138" i="17"/>
  <c r="BN138" i="18" a="1"/>
  <c r="BN138" i="18"/>
  <c r="BL138" i="17" a="1"/>
  <c r="BL138" i="17"/>
  <c r="BL138" i="18" a="1"/>
  <c r="BL138" i="18"/>
  <c r="BM135" i="17" a="1"/>
  <c r="BM135" i="17"/>
  <c r="BM135" i="18" a="1"/>
  <c r="BM135" i="18"/>
  <c r="BL128" i="17" a="1"/>
  <c r="BL128" i="17"/>
  <c r="BL128" i="18" a="1"/>
  <c r="BL128" i="18"/>
  <c r="BT124" i="17" a="1"/>
  <c r="BT124" i="17"/>
  <c r="BT124" i="18" a="1"/>
  <c r="BT124" i="18"/>
  <c r="BH132" i="17" a="1"/>
  <c r="BH132" i="17"/>
  <c r="BH132" i="18" a="1"/>
  <c r="BH132" i="18"/>
  <c r="BO134" i="17" a="1"/>
  <c r="BO134" i="17"/>
  <c r="BO134" i="18" a="1"/>
  <c r="BO134" i="18"/>
  <c r="BN131" i="17" a="1"/>
  <c r="BN131" i="17"/>
  <c r="BN131" i="18" a="1"/>
  <c r="BN131" i="18"/>
  <c r="BH138" i="17" a="1"/>
  <c r="BH138" i="17"/>
  <c r="BH138" i="18" a="1"/>
  <c r="BH138" i="18"/>
  <c r="BL133" i="17" a="1"/>
  <c r="BL133" i="17"/>
  <c r="BL133" i="18" a="1"/>
  <c r="BL133" i="18"/>
  <c r="BV133" i="17" a="1"/>
  <c r="BV133" i="17"/>
  <c r="BV133" i="18" a="1"/>
  <c r="BV133" i="18"/>
  <c r="CD137" i="17" a="1"/>
  <c r="CD137" i="17"/>
  <c r="CD137" i="18" a="1"/>
  <c r="CD137" i="18"/>
  <c r="BV134" i="17" a="1"/>
  <c r="BV134" i="17"/>
  <c r="BV134" i="18" a="1"/>
  <c r="BV134" i="18"/>
  <c r="CD138" i="17" a="1"/>
  <c r="CD138" i="17"/>
  <c r="CD138" i="18" a="1"/>
  <c r="CD138" i="18"/>
  <c r="CE125" i="17" a="1"/>
  <c r="CE125" i="17"/>
  <c r="CE125" i="18" a="1"/>
  <c r="CE125" i="18"/>
  <c r="CE129" i="17" a="1"/>
  <c r="CE129" i="17"/>
  <c r="CE129" i="18" a="1"/>
  <c r="CE129" i="18"/>
  <c r="CE133" i="17" a="1"/>
  <c r="CE133" i="17"/>
  <c r="CE133" i="18" a="1"/>
  <c r="CE133" i="18"/>
  <c r="CE137" i="17" a="1"/>
  <c r="CE137" i="17"/>
  <c r="CE137" i="18" a="1"/>
  <c r="CE137" i="18"/>
  <c r="CD131" i="17" a="1"/>
  <c r="CD131" i="17"/>
  <c r="CD131" i="18" a="1"/>
  <c r="CD131" i="18"/>
  <c r="BV135" i="17" a="1"/>
  <c r="BV135" i="17"/>
  <c r="BV135" i="18" a="1"/>
  <c r="BV135" i="18"/>
  <c r="EM51" i="1"/>
  <c r="BX4" i="18" a="1"/>
  <c r="BX4" i="18"/>
  <c r="CE124" i="17" a="1"/>
  <c r="CE124" i="17"/>
  <c r="CE124" i="18" a="1"/>
  <c r="CE124" i="18"/>
  <c r="BU128" i="17" a="1"/>
  <c r="BU128" i="17"/>
  <c r="BU128" i="18" a="1"/>
  <c r="BU128" i="18"/>
  <c r="CE128" i="17" a="1"/>
  <c r="CE128" i="17"/>
  <c r="CE128" i="18" a="1"/>
  <c r="CE128" i="18"/>
  <c r="CD132" i="17" a="1"/>
  <c r="CD132" i="17"/>
  <c r="CD132" i="18" a="1"/>
  <c r="CD132" i="18"/>
  <c r="BU138" i="17" a="1"/>
  <c r="BU138" i="17"/>
  <c r="BU138" i="18" a="1"/>
  <c r="BU138" i="18"/>
  <c r="BU134" i="17" a="1"/>
  <c r="BU134" i="17"/>
  <c r="BU134" i="18" a="1"/>
  <c r="BU134" i="18"/>
  <c r="BU125" i="17" a="1"/>
  <c r="BU125" i="17"/>
  <c r="BU125" i="18" a="1"/>
  <c r="BU125" i="18"/>
  <c r="BQ134" i="17" a="1"/>
  <c r="BQ134" i="17"/>
  <c r="BQ134" i="18" a="1"/>
  <c r="BQ134" i="18"/>
  <c r="CC131" i="17" a="1"/>
  <c r="CC131" i="17"/>
  <c r="CC131" i="18" a="1"/>
  <c r="CC131" i="18"/>
  <c r="BH129" i="17" a="1"/>
  <c r="BH129" i="17"/>
  <c r="BH129" i="18" a="1"/>
  <c r="BH129" i="18"/>
  <c r="BH137" i="17" a="1"/>
  <c r="BH137" i="17"/>
  <c r="BH137" i="18" a="1"/>
  <c r="BH137" i="18"/>
  <c r="BJ132" i="17" a="1"/>
  <c r="BJ132" i="17"/>
  <c r="BJ132" i="18" a="1"/>
  <c r="BJ132" i="18"/>
  <c r="BJ136" i="17" a="1"/>
  <c r="BJ136" i="17"/>
  <c r="BJ136" i="18" a="1"/>
  <c r="BJ136" i="18"/>
  <c r="BJ131" i="17" a="1"/>
  <c r="BJ131" i="17"/>
  <c r="BJ131" i="18" a="1"/>
  <c r="BJ131" i="18"/>
  <c r="BJ133" i="17" a="1"/>
  <c r="BJ133" i="17"/>
  <c r="BJ133" i="18" a="1"/>
  <c r="BJ133" i="18"/>
  <c r="BD133" i="17" a="1"/>
  <c r="BD133" i="17"/>
  <c r="BD133" i="18" a="1"/>
  <c r="BD133" i="18"/>
  <c r="BD127" i="17" a="1"/>
  <c r="BD127" i="17"/>
  <c r="BD127" i="18" a="1"/>
  <c r="BD127" i="18"/>
  <c r="BE136" i="17" a="1"/>
  <c r="BE136" i="17"/>
  <c r="BE136" i="18" a="1"/>
  <c r="BE136" i="18"/>
  <c r="BD124" i="17" a="1"/>
  <c r="BD124" i="17"/>
  <c r="BD124" i="18" a="1"/>
  <c r="BD124" i="18"/>
  <c r="BD132" i="17" a="1"/>
  <c r="BD132" i="17"/>
  <c r="BD132" i="18" a="1"/>
  <c r="BD132" i="18"/>
  <c r="BD129" i="17" a="1"/>
  <c r="BD129" i="17"/>
  <c r="BD129" i="18" a="1"/>
  <c r="BD129" i="18"/>
  <c r="BD138" i="17" a="1"/>
  <c r="BD138" i="17"/>
  <c r="BD138" i="18" a="1"/>
  <c r="BD138" i="18"/>
  <c r="BE133" i="17" a="1"/>
  <c r="BE133" i="17"/>
  <c r="BE133" i="18" a="1"/>
  <c r="BE133" i="18"/>
  <c r="BE132" i="17" a="1"/>
  <c r="BE132" i="17"/>
  <c r="BE132" i="18" a="1"/>
  <c r="BE132" i="18"/>
  <c r="BE135" i="17" a="1"/>
  <c r="BE135" i="17"/>
  <c r="BE135" i="18" a="1"/>
  <c r="BE135" i="18"/>
  <c r="BN5" i="18" a="1"/>
  <c r="BN5" i="18"/>
  <c r="BL5" i="18" a="1"/>
  <c r="BL5" i="18"/>
  <c r="BL124" i="17" a="1"/>
  <c r="BL124" i="17"/>
  <c r="BL124" i="18" a="1"/>
  <c r="BL124" i="18"/>
  <c r="BR125" i="17" a="1"/>
  <c r="BR125" i="17"/>
  <c r="BR125" i="18" a="1"/>
  <c r="BR125" i="18"/>
  <c r="BL126" i="17" a="1"/>
  <c r="BL126" i="17"/>
  <c r="BL126" i="18" a="1"/>
  <c r="BL126" i="18"/>
  <c r="BO127" i="17" a="1"/>
  <c r="BO127" i="17"/>
  <c r="BO127" i="18" a="1"/>
  <c r="BO127" i="18"/>
  <c r="BS127" i="17" a="1"/>
  <c r="BS127" i="17"/>
  <c r="BS127" i="18" a="1"/>
  <c r="BS127" i="18"/>
  <c r="BN128" i="17" a="1"/>
  <c r="BN128" i="17"/>
  <c r="BN128" i="18" a="1"/>
  <c r="BN128" i="18"/>
  <c r="BM129" i="17" a="1"/>
  <c r="BM129" i="17"/>
  <c r="BM129" i="18" a="1"/>
  <c r="BM129" i="18"/>
  <c r="BO130" i="17" a="1"/>
  <c r="BO130" i="17"/>
  <c r="BO130" i="18" a="1"/>
  <c r="BO130" i="18"/>
  <c r="BM130" i="17" a="1"/>
  <c r="BM130" i="17"/>
  <c r="BM130" i="18" a="1"/>
  <c r="BM130" i="18"/>
  <c r="BL131" i="17" a="1"/>
  <c r="BL131" i="17"/>
  <c r="BL131" i="18" a="1"/>
  <c r="BL131" i="18"/>
  <c r="BN132" i="17" a="1"/>
  <c r="BN132" i="17"/>
  <c r="BN132" i="18" a="1"/>
  <c r="BN132" i="18"/>
  <c r="BM134" i="17" a="1"/>
  <c r="BM134" i="17"/>
  <c r="BM134" i="18" a="1"/>
  <c r="BM134" i="18"/>
  <c r="BT135" i="17" a="1"/>
  <c r="BT135" i="17"/>
  <c r="BT135" i="18" a="1"/>
  <c r="BT135" i="18"/>
  <c r="BH136" i="17" a="1"/>
  <c r="BH136" i="17"/>
  <c r="BH136" i="18" a="1"/>
  <c r="BH136" i="18"/>
  <c r="BT137" i="17" a="1"/>
  <c r="BT137" i="17"/>
  <c r="BT137" i="18" a="1"/>
  <c r="BT137" i="18"/>
  <c r="BR137" i="17" a="1"/>
  <c r="BR137" i="17"/>
  <c r="BR137" i="18" a="1"/>
  <c r="BR137" i="18"/>
  <c r="BS138" i="17" a="1"/>
  <c r="BS138" i="17"/>
  <c r="BS138" i="18" a="1"/>
  <c r="BS138" i="18"/>
  <c r="BM126" i="17" a="1"/>
  <c r="BM126" i="17"/>
  <c r="BM126" i="18" a="1"/>
  <c r="BM126" i="18"/>
  <c r="BR130" i="17" a="1"/>
  <c r="BR130" i="17"/>
  <c r="BR130" i="18" a="1"/>
  <c r="BR130" i="18"/>
  <c r="BN124" i="17" a="1"/>
  <c r="BN124" i="17"/>
  <c r="BN124" i="18" a="1"/>
  <c r="BN124" i="18"/>
  <c r="BR132" i="17" a="1"/>
  <c r="BR132" i="17"/>
  <c r="BR132" i="18" a="1"/>
  <c r="BR132" i="18"/>
  <c r="BR128" i="17" a="1"/>
  <c r="BR128" i="17"/>
  <c r="BR128" i="18" a="1"/>
  <c r="BR128" i="18"/>
  <c r="BO137" i="17" a="1"/>
  <c r="BO137" i="17"/>
  <c r="BO137" i="18" a="1"/>
  <c r="BO137" i="18"/>
  <c r="BH125" i="17" a="1"/>
  <c r="BH125" i="17"/>
  <c r="BH125" i="18" a="1"/>
  <c r="BH125" i="18"/>
  <c r="BL130" i="17" a="1"/>
  <c r="BL130" i="17"/>
  <c r="BL130" i="18" a="1"/>
  <c r="BL130" i="18"/>
  <c r="BN133" i="17" a="1"/>
  <c r="BN133" i="17"/>
  <c r="BN133" i="18" a="1"/>
  <c r="BN133" i="18"/>
  <c r="BS133" i="17" a="1"/>
  <c r="BS133" i="17"/>
  <c r="BS133" i="18" a="1"/>
  <c r="BS133" i="18"/>
  <c r="CE130" i="17" a="1"/>
  <c r="CE130" i="17"/>
  <c r="CE130" i="18" a="1"/>
  <c r="CE130" i="18"/>
  <c r="CE138" i="17" a="1"/>
  <c r="CE138" i="17"/>
  <c r="CE138" i="18" a="1"/>
  <c r="CE138" i="18"/>
  <c r="CE5" i="18" a="1"/>
  <c r="CE5" i="18"/>
  <c r="BX5" i="18" a="1"/>
  <c r="BX5" i="18"/>
  <c r="BV129" i="17" a="1"/>
  <c r="BV129" i="17"/>
  <c r="BV129" i="18" a="1"/>
  <c r="BV129" i="18"/>
  <c r="CD133" i="17" a="1"/>
  <c r="CD133" i="17"/>
  <c r="CD133" i="18" a="1"/>
  <c r="CD133" i="18"/>
  <c r="BV130" i="17" a="1"/>
  <c r="BV130" i="17"/>
  <c r="BV130" i="18" a="1"/>
  <c r="BV130" i="18"/>
  <c r="CD134" i="17" a="1"/>
  <c r="CD134" i="17"/>
  <c r="CD134" i="18" a="1"/>
  <c r="CD134" i="18"/>
  <c r="CD127" i="17" a="1"/>
  <c r="CD127" i="17"/>
  <c r="CD127" i="18" a="1"/>
  <c r="CD127" i="18"/>
  <c r="BV131" i="17" a="1"/>
  <c r="BV131" i="17"/>
  <c r="BV131" i="18" a="1"/>
  <c r="BV131" i="18"/>
  <c r="BV132" i="17" a="1"/>
  <c r="BV132" i="17"/>
  <c r="BV132" i="18" a="1"/>
  <c r="BV132" i="18"/>
  <c r="CD136" i="17" a="1"/>
  <c r="CD136" i="17"/>
  <c r="CD136" i="18" a="1"/>
  <c r="CD136" i="18"/>
  <c r="BU135" i="17" a="1"/>
  <c r="BU135" i="17"/>
  <c r="BU135" i="18" a="1"/>
  <c r="BU135" i="18"/>
  <c r="BU137" i="17" a="1"/>
  <c r="BU137" i="17"/>
  <c r="BU137" i="18" a="1"/>
  <c r="BU137" i="18"/>
  <c r="BU131" i="17" a="1"/>
  <c r="BU131" i="17"/>
  <c r="BU131" i="18" a="1"/>
  <c r="BU131" i="18"/>
  <c r="EI51" i="1"/>
  <c r="BW4" i="18" a="1"/>
  <c r="BW4" i="18"/>
  <c r="BU129" i="17" a="1"/>
  <c r="BU129" i="17"/>
  <c r="BU129" i="18" a="1"/>
  <c r="BU129" i="18"/>
  <c r="CC129" i="17" a="1"/>
  <c r="CC129" i="17"/>
  <c r="CC129" i="18" a="1"/>
  <c r="CC129" i="18"/>
  <c r="CC137" i="17" a="1"/>
  <c r="CC137" i="17"/>
  <c r="CC137" i="18" a="1"/>
  <c r="CC137" i="18"/>
  <c r="BB126" i="17" a="1"/>
  <c r="BB126" i="17"/>
  <c r="BB126" i="18" a="1"/>
  <c r="BB126" i="18"/>
  <c r="BB130" i="17" a="1"/>
  <c r="BB130" i="17"/>
  <c r="BB130" i="18" a="1"/>
  <c r="BB130" i="18"/>
  <c r="BB135" i="17" a="1"/>
  <c r="BB135" i="17"/>
  <c r="BB135" i="18" a="1"/>
  <c r="BB135" i="18"/>
  <c r="BB133" i="17" a="1"/>
  <c r="BB133" i="17"/>
  <c r="BB133" i="18" a="1"/>
  <c r="BB133" i="18"/>
  <c r="BB127" i="17" a="1"/>
  <c r="BB127" i="17"/>
  <c r="BB127" i="18" a="1"/>
  <c r="BB127" i="18"/>
  <c r="BB131" i="17" a="1"/>
  <c r="BB131" i="17"/>
  <c r="BB131" i="18" a="1"/>
  <c r="BB131" i="18"/>
  <c r="BB136" i="17" a="1"/>
  <c r="BB136" i="17"/>
  <c r="BB136" i="18" a="1"/>
  <c r="BB136" i="18"/>
  <c r="BJ130" i="17" a="1"/>
  <c r="BJ130" i="17"/>
  <c r="BJ130" i="18" a="1"/>
  <c r="BJ130" i="18"/>
  <c r="BJ5" i="18" a="1"/>
  <c r="BJ5" i="18"/>
  <c r="BJ127" i="17" a="1"/>
  <c r="BJ127" i="17"/>
  <c r="BJ127" i="18" a="1"/>
  <c r="BJ127" i="18"/>
  <c r="BJ129" i="17" a="1"/>
  <c r="BJ129" i="17"/>
  <c r="BJ129" i="18" a="1"/>
  <c r="BJ129" i="18"/>
  <c r="FY22" i="8"/>
  <c r="FY126" i="8"/>
  <c r="FY19" i="8"/>
  <c r="FY27" i="8"/>
  <c r="FY35" i="8"/>
  <c r="FY43" i="8"/>
  <c r="FY51" i="8"/>
  <c r="FY59" i="8"/>
  <c r="FY67" i="8"/>
  <c r="FY75" i="8"/>
  <c r="FY83" i="8"/>
  <c r="FY91" i="8"/>
  <c r="FY99" i="8"/>
  <c r="FY107" i="8"/>
  <c r="FY115" i="8"/>
  <c r="FY123" i="8"/>
  <c r="FY131" i="8"/>
  <c r="CJ124" i="17" a="1"/>
  <c r="CJ124" i="17"/>
  <c r="FY139" i="8"/>
  <c r="CJ132" i="17" a="1"/>
  <c r="CJ132" i="17"/>
  <c r="FY12" i="8"/>
  <c r="FY32" i="8"/>
  <c r="FY56" i="8"/>
  <c r="FY64" i="8"/>
  <c r="FY80" i="8"/>
  <c r="FY92" i="8"/>
  <c r="FY112" i="8"/>
  <c r="FY120" i="8"/>
  <c r="FY140" i="8"/>
  <c r="CJ133" i="17" a="1"/>
  <c r="CJ133" i="17"/>
  <c r="FY13" i="8"/>
  <c r="FY21" i="8"/>
  <c r="FY29" i="8"/>
  <c r="FY37" i="8"/>
  <c r="FY45" i="8"/>
  <c r="FY53" i="8"/>
  <c r="FY61" i="8"/>
  <c r="FY69" i="8"/>
  <c r="FY77" i="8"/>
  <c r="FY85" i="8"/>
  <c r="FY93" i="8"/>
  <c r="FY101" i="8"/>
  <c r="FY109" i="8"/>
  <c r="FY117" i="8"/>
  <c r="FY125" i="8"/>
  <c r="FY133" i="8"/>
  <c r="CJ126" i="17" a="1"/>
  <c r="CJ126" i="17"/>
  <c r="FY141" i="8"/>
  <c r="CJ134" i="17" a="1"/>
  <c r="CJ134" i="17"/>
  <c r="FY14" i="8"/>
  <c r="FY26" i="8"/>
  <c r="FY34" i="8"/>
  <c r="FY42" i="8"/>
  <c r="FY50" i="8"/>
  <c r="FY58" i="8"/>
  <c r="FY66" i="8"/>
  <c r="FY74" i="8"/>
  <c r="FY82" i="8"/>
  <c r="FY94" i="8"/>
  <c r="FY102" i="8"/>
  <c r="FY110" i="8"/>
  <c r="FY118" i="8"/>
  <c r="FY130" i="8"/>
  <c r="FY138" i="8"/>
  <c r="CJ131" i="17" a="1"/>
  <c r="CJ131" i="17"/>
  <c r="FY16" i="8"/>
  <c r="FY28" i="8"/>
  <c r="FY44" i="8"/>
  <c r="FY52" i="8"/>
  <c r="FY76" i="8"/>
  <c r="FY100" i="8"/>
  <c r="FY108" i="8"/>
  <c r="FY132" i="8"/>
  <c r="CJ125" i="17" a="1"/>
  <c r="CJ125" i="17"/>
  <c r="FY90" i="8"/>
  <c r="FY15" i="8"/>
  <c r="FY23" i="8"/>
  <c r="FY31" i="8"/>
  <c r="FY39" i="8"/>
  <c r="FY47" i="8"/>
  <c r="FY55" i="8"/>
  <c r="FY63" i="8"/>
  <c r="FY71" i="8"/>
  <c r="FY79" i="8"/>
  <c r="FY87" i="8"/>
  <c r="FY95" i="8"/>
  <c r="FY103" i="8"/>
  <c r="FY111" i="8"/>
  <c r="FY119" i="8"/>
  <c r="FY127" i="8"/>
  <c r="FY135" i="8"/>
  <c r="CJ128" i="17" a="1"/>
  <c r="CJ128" i="17"/>
  <c r="FY143" i="8"/>
  <c r="CJ136" i="17" a="1"/>
  <c r="CJ136" i="17"/>
  <c r="FY20" i="8"/>
  <c r="FY36" i="8"/>
  <c r="FY60" i="8"/>
  <c r="FY68" i="8"/>
  <c r="FY88" i="8"/>
  <c r="FY96" i="8"/>
  <c r="FY116" i="8"/>
  <c r="FY128" i="8"/>
  <c r="FY144" i="8"/>
  <c r="CJ137" i="17" a="1"/>
  <c r="CJ137" i="17"/>
  <c r="FY17" i="8"/>
  <c r="FY25" i="8"/>
  <c r="FY33" i="8"/>
  <c r="FY41" i="8"/>
  <c r="FY49" i="8"/>
  <c r="FY57" i="8"/>
  <c r="FY65" i="8"/>
  <c r="FY73" i="8"/>
  <c r="FY81" i="8"/>
  <c r="FY89" i="8"/>
  <c r="FY97" i="8"/>
  <c r="FY105" i="8"/>
  <c r="FY113" i="8"/>
  <c r="FY121" i="8"/>
  <c r="FY129" i="8"/>
  <c r="FY137" i="8"/>
  <c r="CJ130" i="17" a="1"/>
  <c r="CJ130" i="17"/>
  <c r="FY145" i="8"/>
  <c r="CJ138" i="17" a="1"/>
  <c r="CJ138" i="17"/>
  <c r="FY18" i="8"/>
  <c r="FY30" i="8"/>
  <c r="FY38" i="8"/>
  <c r="FY46" i="8"/>
  <c r="FY54" i="8"/>
  <c r="FY62" i="8"/>
  <c r="FY70" i="8"/>
  <c r="FY78" i="8"/>
  <c r="FY86" i="8"/>
  <c r="FY98" i="8"/>
  <c r="FY106" i="8"/>
  <c r="FY114" i="8"/>
  <c r="FY122" i="8"/>
  <c r="FY134" i="8"/>
  <c r="CJ127" i="17" a="1"/>
  <c r="CJ127" i="17"/>
  <c r="FY142" i="8"/>
  <c r="CJ135" i="17" a="1"/>
  <c r="CJ135" i="17"/>
  <c r="FY24" i="8"/>
  <c r="FY40" i="8"/>
  <c r="FY48" i="8"/>
  <c r="FY72" i="8"/>
  <c r="FY84" i="8"/>
  <c r="FY104" i="8"/>
  <c r="FY124" i="8"/>
  <c r="FY136" i="8"/>
  <c r="CJ129" i="17" a="1"/>
  <c r="CJ129" i="17"/>
  <c r="FY11" i="8"/>
  <c r="EU51" i="1"/>
  <c r="FV11" i="8"/>
  <c r="EQ51" i="1"/>
  <c r="FS51" i="1"/>
  <c r="AX141" i="8"/>
  <c r="AX62" i="8"/>
  <c r="AY102" i="8"/>
  <c r="CV102" i="8"/>
  <c r="BI95" i="18" a="1"/>
  <c r="BI95" i="18"/>
  <c r="AY12" i="8"/>
  <c r="DE20" i="8"/>
  <c r="FJ18" i="8"/>
  <c r="O27" i="8"/>
  <c r="FJ79" i="8"/>
  <c r="FJ35" i="8"/>
  <c r="FJ144" i="8"/>
  <c r="DE44" i="8"/>
  <c r="DE42" i="8"/>
  <c r="O41" i="8"/>
  <c r="O131" i="8"/>
  <c r="O58" i="8"/>
  <c r="O33" i="8"/>
  <c r="O19" i="8"/>
  <c r="O98" i="8"/>
  <c r="AX35" i="8"/>
  <c r="AX77" i="8"/>
  <c r="AX111" i="8"/>
  <c r="AX17" i="8"/>
  <c r="EH17" i="8"/>
  <c r="EI17" i="8"/>
  <c r="BF17" i="8"/>
  <c r="AX23" i="8"/>
  <c r="AX47" i="8"/>
  <c r="AX71" i="8"/>
  <c r="AY119" i="8"/>
  <c r="BP137" i="17" a="1"/>
  <c r="BP137" i="17"/>
  <c r="AY60" i="8"/>
  <c r="AX38" i="8"/>
  <c r="FJ107" i="8"/>
  <c r="DE60" i="8"/>
  <c r="DE14" i="8"/>
  <c r="FJ135" i="8"/>
  <c r="DE124" i="8"/>
  <c r="DE82" i="8"/>
  <c r="AY25" i="8"/>
  <c r="DE22" i="8"/>
  <c r="FJ19" i="8"/>
  <c r="DE137" i="8"/>
  <c r="FJ41" i="8"/>
  <c r="O129" i="8"/>
  <c r="O50" i="8"/>
  <c r="O51" i="8"/>
  <c r="O102" i="8"/>
  <c r="DE67" i="8"/>
  <c r="DE38" i="8"/>
  <c r="DE145" i="8"/>
  <c r="DE99" i="8"/>
  <c r="O108" i="8"/>
  <c r="AX110" i="8"/>
  <c r="AG51" i="1"/>
  <c r="AX80" i="8"/>
  <c r="AY136" i="8"/>
  <c r="AY68" i="8"/>
  <c r="AY15" i="8"/>
  <c r="AY100" i="8"/>
  <c r="AY51" i="8"/>
  <c r="DE93" i="8"/>
  <c r="AX68" i="8"/>
  <c r="AX14" i="8"/>
  <c r="EH14" i="8"/>
  <c r="EI14" i="8"/>
  <c r="BF14" i="8"/>
  <c r="FJ106" i="8"/>
  <c r="DE105" i="8"/>
  <c r="O128" i="8"/>
  <c r="FJ129" i="8"/>
  <c r="DE72" i="8"/>
  <c r="DE49" i="8"/>
  <c r="FJ88" i="8"/>
  <c r="O55" i="8"/>
  <c r="O15" i="8"/>
  <c r="O49" i="8"/>
  <c r="O112" i="8"/>
  <c r="AX144" i="8"/>
  <c r="AY58" i="8"/>
  <c r="AX39" i="8"/>
  <c r="AY64" i="8"/>
  <c r="AY145" i="8"/>
  <c r="AX97" i="8"/>
  <c r="AY86" i="8"/>
  <c r="AX18" i="8"/>
  <c r="EH18" i="8"/>
  <c r="EI18" i="8"/>
  <c r="BF18" i="8"/>
  <c r="AY139" i="8"/>
  <c r="AX60" i="8"/>
  <c r="AX81" i="8"/>
  <c r="AX100" i="8"/>
  <c r="AX51" i="8"/>
  <c r="AY138" i="8"/>
  <c r="AX64" i="8"/>
  <c r="AX78" i="8"/>
  <c r="AX67" i="8"/>
  <c r="AY111" i="8"/>
  <c r="AY77" i="8"/>
  <c r="AX25" i="8"/>
  <c r="AX121" i="8"/>
  <c r="AX137" i="8"/>
  <c r="AY44" i="8"/>
  <c r="AX33" i="8"/>
  <c r="AY42" i="8"/>
  <c r="AY121" i="8"/>
  <c r="AY129" i="8"/>
  <c r="AX72" i="8"/>
  <c r="AY80" i="8"/>
  <c r="AX61" i="8"/>
  <c r="AX50" i="8"/>
  <c r="AX29" i="8"/>
  <c r="AX22" i="8"/>
  <c r="EH22" i="8"/>
  <c r="EI22" i="8"/>
  <c r="BF22" i="8"/>
  <c r="AX87" i="8"/>
  <c r="AX126" i="8"/>
  <c r="AY55" i="8"/>
  <c r="AY27" i="8"/>
  <c r="DE28" i="8"/>
  <c r="DE56" i="8"/>
  <c r="DE138" i="8"/>
  <c r="DE52" i="8"/>
  <c r="O73" i="8"/>
  <c r="O32" i="8"/>
  <c r="AX127" i="8"/>
  <c r="DE103" i="8"/>
  <c r="O83" i="8"/>
  <c r="FJ74" i="8"/>
  <c r="FJ71" i="8"/>
  <c r="O107" i="8"/>
  <c r="O103" i="8"/>
  <c r="AY135" i="8"/>
  <c r="AX115" i="8"/>
  <c r="AX106" i="8"/>
  <c r="AX93" i="8"/>
  <c r="AY50" i="8"/>
  <c r="CV50" i="8"/>
  <c r="BI43" i="18" a="1"/>
  <c r="BI43" i="18"/>
  <c r="AX129" i="8"/>
  <c r="AX42" i="8"/>
  <c r="AX138" i="8"/>
  <c r="AX27" i="8"/>
  <c r="O130" i="8"/>
  <c r="FJ26" i="8"/>
  <c r="FJ134" i="8"/>
  <c r="DE131" i="8"/>
  <c r="O104" i="8"/>
  <c r="FJ81" i="8"/>
  <c r="FJ125" i="8"/>
  <c r="DE142" i="8"/>
  <c r="FJ91" i="8"/>
  <c r="O21" i="8"/>
  <c r="AY22" i="8"/>
  <c r="AX44" i="8"/>
  <c r="DE100" i="8"/>
  <c r="DE115" i="8"/>
  <c r="DE68" i="8"/>
  <c r="O122" i="8"/>
  <c r="DE83" i="8"/>
  <c r="O125" i="8"/>
  <c r="O110" i="8"/>
  <c r="AY126" i="8"/>
  <c r="O117" i="8"/>
  <c r="FJ27" i="8"/>
  <c r="O44" i="8"/>
  <c r="AY49" i="8"/>
  <c r="AY61" i="8"/>
  <c r="DE116" i="8"/>
  <c r="O30" i="8"/>
  <c r="O28" i="8"/>
  <c r="FJ87" i="8"/>
  <c r="DE86" i="8"/>
  <c r="O61" i="8"/>
  <c r="AY78" i="8"/>
  <c r="AX55" i="8"/>
  <c r="AY33" i="8"/>
  <c r="DE111" i="8"/>
  <c r="FJ15" i="8"/>
  <c r="O126" i="8"/>
  <c r="FJ97" i="8"/>
  <c r="O90" i="8"/>
  <c r="O54" i="8"/>
  <c r="O14" i="8"/>
  <c r="O16" i="8"/>
  <c r="O23" i="8"/>
  <c r="O42" i="8"/>
  <c r="AY87" i="8"/>
  <c r="AY66" i="8"/>
  <c r="AY123" i="8"/>
  <c r="AX136" i="8"/>
  <c r="AX15" i="8"/>
  <c r="AY130" i="8"/>
  <c r="AX34" i="8"/>
  <c r="AX28" i="8"/>
  <c r="AY67" i="8"/>
  <c r="AX86" i="8"/>
  <c r="AX105" i="8"/>
  <c r="AY20" i="8"/>
  <c r="AY39" i="8"/>
  <c r="AX58" i="8"/>
  <c r="AY144" i="8"/>
  <c r="AY26" i="8"/>
  <c r="AY18" i="8"/>
  <c r="AX75" i="8"/>
  <c r="AY94" i="8"/>
  <c r="AY114" i="8"/>
  <c r="AX132" i="8"/>
  <c r="AX145" i="8"/>
  <c r="AX94" i="8"/>
  <c r="AX114" i="8"/>
  <c r="AX20" i="8"/>
  <c r="EH20" i="8"/>
  <c r="EI20" i="8"/>
  <c r="BF20" i="8"/>
  <c r="AY28" i="8"/>
  <c r="AY75" i="8"/>
  <c r="AY105" i="8"/>
  <c r="AX26" i="8"/>
  <c r="AX117" i="8"/>
  <c r="AX109" i="8"/>
  <c r="AY116" i="8"/>
  <c r="AY124" i="8"/>
  <c r="AY84" i="8"/>
  <c r="AY132" i="8"/>
  <c r="AY97" i="8"/>
  <c r="AY13" i="8"/>
  <c r="AY109" i="8"/>
  <c r="AY117" i="8"/>
  <c r="AX139" i="8"/>
  <c r="AY81" i="8"/>
  <c r="AY14" i="8"/>
  <c r="AX103" i="8"/>
  <c r="O92" i="8"/>
  <c r="AX52" i="8"/>
  <c r="AY72" i="8"/>
  <c r="AX66" i="8"/>
  <c r="AY52" i="8"/>
  <c r="AX123" i="8"/>
  <c r="FJ114" i="8"/>
  <c r="DE69" i="8"/>
  <c r="DE25" i="8"/>
  <c r="DE70" i="8"/>
  <c r="DE123" i="8"/>
  <c r="FJ36" i="8"/>
  <c r="FJ33" i="8"/>
  <c r="FJ141" i="8"/>
  <c r="FJ89" i="8"/>
  <c r="DE48" i="8"/>
  <c r="DE46" i="8"/>
  <c r="O133" i="8"/>
  <c r="AY134" i="8"/>
  <c r="AY142" i="8"/>
  <c r="AX63" i="8"/>
  <c r="AY57" i="8"/>
  <c r="AX76" i="8"/>
  <c r="AY74" i="8"/>
  <c r="AX31" i="8"/>
  <c r="AX118" i="8"/>
  <c r="AX21" i="8"/>
  <c r="EH21" i="8"/>
  <c r="EI21" i="8"/>
  <c r="BF21" i="8"/>
  <c r="AX30" i="8"/>
  <c r="AX54" i="8"/>
  <c r="AX16" i="8"/>
  <c r="EH16" i="8"/>
  <c r="EI16" i="8"/>
  <c r="BF16" i="8"/>
  <c r="AY32" i="8"/>
  <c r="AX40" i="8"/>
  <c r="AX104" i="8"/>
  <c r="AY112" i="8"/>
  <c r="AY128" i="8"/>
  <c r="AY96" i="8"/>
  <c r="AY99" i="8"/>
  <c r="AY88" i="8"/>
  <c r="AX85" i="8"/>
  <c r="AX69" i="8"/>
  <c r="AY108" i="8"/>
  <c r="AX91" i="8"/>
  <c r="AY36" i="8"/>
  <c r="AY46" i="8"/>
  <c r="AX82" i="8"/>
  <c r="AX130" i="8"/>
  <c r="AY34" i="8"/>
  <c r="AY137" i="8"/>
  <c r="AX96" i="8"/>
  <c r="AY91" i="8"/>
  <c r="AY69" i="8"/>
  <c r="AY54" i="8"/>
  <c r="AY21" i="8"/>
  <c r="AX88" i="8"/>
  <c r="AY133" i="8"/>
  <c r="AY45" i="8"/>
  <c r="AY82" i="8"/>
  <c r="AX112" i="8"/>
  <c r="AY16" i="8"/>
  <c r="AX36" i="8"/>
  <c r="AY104" i="8"/>
  <c r="AX108" i="8"/>
  <c r="FJ120" i="8"/>
  <c r="O63" i="8"/>
  <c r="O65" i="8"/>
  <c r="AY113" i="8"/>
  <c r="AY85" i="8"/>
  <c r="DE110" i="8"/>
  <c r="FJ109" i="8"/>
  <c r="DE126" i="8"/>
  <c r="DE117" i="8"/>
  <c r="O85" i="8"/>
  <c r="O111" i="8"/>
  <c r="AX128" i="8"/>
  <c r="AX140" i="8"/>
  <c r="CV140" i="8"/>
  <c r="AY30" i="8"/>
  <c r="CV30" i="8"/>
  <c r="BI23" i="18" a="1"/>
  <c r="BI23" i="18"/>
  <c r="AX48" i="8"/>
  <c r="O31" i="8"/>
  <c r="O34" i="8"/>
  <c r="DE77" i="8"/>
  <c r="DE76" i="8"/>
  <c r="DE29" i="8"/>
  <c r="FJ53" i="8"/>
  <c r="DE92" i="8"/>
  <c r="O144" i="8"/>
  <c r="AY122" i="8"/>
  <c r="AX32" i="8"/>
  <c r="AX24" i="8"/>
  <c r="AX46" i="8"/>
  <c r="AX13" i="8"/>
  <c r="EH13" i="8"/>
  <c r="EI13" i="8"/>
  <c r="BF13" i="8"/>
  <c r="AY19" i="8"/>
  <c r="AZ19" i="8"/>
  <c r="AY103" i="8"/>
  <c r="AY76" i="8"/>
  <c r="AX92" i="8"/>
  <c r="AX116" i="8"/>
  <c r="AX124" i="8"/>
  <c r="O53" i="8"/>
  <c r="O26" i="8"/>
  <c r="AY17" i="8"/>
  <c r="AY98" i="8"/>
  <c r="AX43" i="8"/>
  <c r="AX74" i="8"/>
  <c r="DE24" i="8"/>
  <c r="O80" i="8"/>
  <c r="O124" i="8"/>
  <c r="DE130" i="8"/>
  <c r="DE80" i="8"/>
  <c r="FJ34" i="8"/>
  <c r="FJ98" i="8"/>
  <c r="AY31" i="8"/>
  <c r="AY118" i="8"/>
  <c r="AY70" i="8"/>
  <c r="AX57" i="8"/>
  <c r="AX134" i="8"/>
  <c r="AY120" i="8"/>
  <c r="DE113" i="8"/>
  <c r="DE39" i="8"/>
  <c r="O11" i="8"/>
  <c r="O114" i="8"/>
  <c r="O109" i="8"/>
  <c r="AX73" i="8"/>
  <c r="AX79" i="8"/>
  <c r="CV79" i="8"/>
  <c r="BI72" i="18" a="1"/>
  <c r="BI72" i="18"/>
  <c r="FJ64" i="8"/>
  <c r="DE136" i="8"/>
  <c r="FJ43" i="8"/>
  <c r="O115" i="8"/>
  <c r="O113" i="8"/>
  <c r="AY90" i="8"/>
  <c r="AX84" i="8"/>
  <c r="DE104" i="8"/>
  <c r="AX142" i="8"/>
  <c r="FJ108" i="8"/>
  <c r="DE61" i="8"/>
  <c r="DE16" i="8"/>
  <c r="DE17" i="8"/>
  <c r="O121" i="8"/>
  <c r="O40" i="8"/>
  <c r="DE122" i="8"/>
  <c r="FJ78" i="8"/>
  <c r="DE31" i="8"/>
  <c r="FJ95" i="8"/>
  <c r="DE55" i="8"/>
  <c r="O105" i="8"/>
  <c r="O48" i="8"/>
  <c r="DE30" i="8"/>
  <c r="FJ143" i="8"/>
  <c r="FJ94" i="8"/>
  <c r="DE54" i="8"/>
  <c r="O143" i="8"/>
  <c r="O66" i="8"/>
  <c r="AX113" i="8"/>
  <c r="O38" i="8"/>
  <c r="O43" i="8"/>
  <c r="AY29" i="8"/>
  <c r="AY53" i="8"/>
  <c r="AY125" i="8"/>
  <c r="AX41" i="8"/>
  <c r="AY89" i="8"/>
  <c r="AY56" i="8"/>
  <c r="DE59" i="8"/>
  <c r="O123" i="8"/>
  <c r="DE73" i="8"/>
  <c r="DE75" i="8"/>
  <c r="AX99" i="8"/>
  <c r="AY40" i="8"/>
  <c r="AY37" i="8"/>
  <c r="DE62" i="8"/>
  <c r="FJ139" i="8"/>
  <c r="DE132" i="8"/>
  <c r="O20" i="8"/>
  <c r="O45" i="8"/>
  <c r="O25" i="8"/>
  <c r="FJ57" i="8"/>
  <c r="DE101" i="8"/>
  <c r="DE12" i="8"/>
  <c r="FJ58" i="8"/>
  <c r="DE118" i="8"/>
  <c r="DE84" i="8"/>
  <c r="FJ90" i="8"/>
  <c r="O140" i="8"/>
  <c r="O141" i="8"/>
  <c r="O22" i="8"/>
  <c r="O106" i="8"/>
  <c r="AX83" i="8"/>
  <c r="O120" i="8"/>
  <c r="O134" i="8"/>
  <c r="AY101" i="8"/>
  <c r="AX65" i="8"/>
  <c r="AY95" i="8"/>
  <c r="AX59" i="8"/>
  <c r="O18" i="8"/>
  <c r="O101" i="8"/>
  <c r="AY143" i="8"/>
  <c r="O127" i="8"/>
  <c r="O35" i="8"/>
  <c r="O135" i="8"/>
  <c r="AY107" i="8"/>
  <c r="AY131" i="8"/>
  <c r="O52" i="8"/>
  <c r="FN100" i="8"/>
  <c r="FN84" i="8"/>
  <c r="FN68" i="8"/>
  <c r="FN99" i="8"/>
  <c r="FN83" i="8"/>
  <c r="FN67" i="8"/>
  <c r="FN94" i="8"/>
  <c r="FN78" i="8"/>
  <c r="FN62" i="8"/>
  <c r="FN89" i="8"/>
  <c r="FN73" i="8"/>
  <c r="FN57" i="8"/>
  <c r="FN44" i="8"/>
  <c r="FN28" i="8"/>
  <c r="FN12" i="8"/>
  <c r="FN43" i="8"/>
  <c r="FN27" i="8"/>
  <c r="FN11" i="8"/>
  <c r="FN42" i="8"/>
  <c r="FN26" i="8"/>
  <c r="FN53" i="8"/>
  <c r="FN37" i="8"/>
  <c r="FN21" i="8"/>
  <c r="FN144" i="8"/>
  <c r="BW137" i="17" a="1"/>
  <c r="BW137" i="17"/>
  <c r="FN128" i="8"/>
  <c r="FN112" i="8"/>
  <c r="FN139" i="8"/>
  <c r="BW132" i="17" a="1"/>
  <c r="BW132" i="17"/>
  <c r="FN123" i="8"/>
  <c r="FN107" i="8"/>
  <c r="FN134" i="8"/>
  <c r="BW127" i="17" a="1"/>
  <c r="BW127" i="17"/>
  <c r="FN118" i="8"/>
  <c r="FN102" i="8"/>
  <c r="FN133" i="8"/>
  <c r="BW126" i="17" a="1"/>
  <c r="BW126" i="17"/>
  <c r="FN117" i="8"/>
  <c r="FN101" i="8"/>
  <c r="FN40" i="8"/>
  <c r="FN24" i="8"/>
  <c r="FN55" i="8"/>
  <c r="FN39" i="8"/>
  <c r="FN23" i="8"/>
  <c r="FN54" i="8"/>
  <c r="FN38" i="8"/>
  <c r="FN22" i="8"/>
  <c r="FN49" i="8"/>
  <c r="FN33" i="8"/>
  <c r="FN17" i="8"/>
  <c r="FN140" i="8"/>
  <c r="BW133" i="17" a="1"/>
  <c r="BW133" i="17"/>
  <c r="FN124" i="8"/>
  <c r="FN108" i="8"/>
  <c r="FN135" i="8"/>
  <c r="BW128" i="17" a="1"/>
  <c r="BW128" i="17"/>
  <c r="FN119" i="8"/>
  <c r="FN103" i="8"/>
  <c r="FN130" i="8"/>
  <c r="FN114" i="8"/>
  <c r="BW138" i="17" a="1"/>
  <c r="BW138" i="17"/>
  <c r="FN145" i="8"/>
  <c r="FN129" i="8"/>
  <c r="FN113" i="8"/>
  <c r="FN80" i="8"/>
  <c r="FN79" i="8"/>
  <c r="FN74" i="8"/>
  <c r="FN69" i="8"/>
  <c r="O59" i="8"/>
  <c r="FN92" i="8"/>
  <c r="FN76" i="8"/>
  <c r="FN60" i="8"/>
  <c r="FN91" i="8"/>
  <c r="FN75" i="8"/>
  <c r="FN59" i="8"/>
  <c r="FN86" i="8"/>
  <c r="FN70" i="8"/>
  <c r="FN97" i="8"/>
  <c r="FN81" i="8"/>
  <c r="FN65" i="8"/>
  <c r="FN52" i="8"/>
  <c r="FN36" i="8"/>
  <c r="FN20" i="8"/>
  <c r="FN51" i="8"/>
  <c r="FN35" i="8"/>
  <c r="FN19" i="8"/>
  <c r="FN50" i="8"/>
  <c r="FN34" i="8"/>
  <c r="FN18" i="8"/>
  <c r="FN45" i="8"/>
  <c r="FN29" i="8"/>
  <c r="FN13" i="8"/>
  <c r="FN136" i="8"/>
  <c r="BW129" i="17" a="1"/>
  <c r="BW129" i="17"/>
  <c r="FN120" i="8"/>
  <c r="FN104" i="8"/>
  <c r="FN131" i="8"/>
  <c r="BW124" i="17" a="1"/>
  <c r="BW124" i="17"/>
  <c r="FN115" i="8"/>
  <c r="FN142" i="8"/>
  <c r="BW135" i="17" a="1"/>
  <c r="BW135" i="17"/>
  <c r="FN126" i="8"/>
  <c r="FN110" i="8"/>
  <c r="FN141" i="8"/>
  <c r="BW134" i="17" a="1"/>
  <c r="BW134" i="17"/>
  <c r="FN125" i="8"/>
  <c r="FN109" i="8"/>
  <c r="FN96" i="8"/>
  <c r="FN64" i="8"/>
  <c r="FN95" i="8"/>
  <c r="FN63" i="8"/>
  <c r="FN90" i="8"/>
  <c r="FN58" i="8"/>
  <c r="FN85" i="8"/>
  <c r="AY63" i="8"/>
  <c r="AY65" i="8"/>
  <c r="FJ128" i="8"/>
  <c r="FJ47" i="8"/>
  <c r="O37" i="8"/>
  <c r="DE65" i="8"/>
  <c r="FJ21" i="8"/>
  <c r="FJ119" i="8"/>
  <c r="FJ32" i="8"/>
  <c r="DE112" i="8"/>
  <c r="DE140" i="8"/>
  <c r="DE133" i="8"/>
  <c r="O24" i="8"/>
  <c r="O12" i="8"/>
  <c r="O72" i="8"/>
  <c r="FN88" i="8"/>
  <c r="FN72" i="8"/>
  <c r="FN56" i="8"/>
  <c r="FN87" i="8"/>
  <c r="FN71" i="8"/>
  <c r="FN98" i="8"/>
  <c r="FN82" i="8"/>
  <c r="FN66" i="8"/>
  <c r="FN93" i="8"/>
  <c r="FN77" i="8"/>
  <c r="FN61" i="8"/>
  <c r="FN48" i="8"/>
  <c r="FN32" i="8"/>
  <c r="FN16" i="8"/>
  <c r="FN47" i="8"/>
  <c r="FN31" i="8"/>
  <c r="FN15" i="8"/>
  <c r="FN46" i="8"/>
  <c r="FN30" i="8"/>
  <c r="FN14" i="8"/>
  <c r="FN41" i="8"/>
  <c r="FN25" i="8"/>
  <c r="FN132" i="8"/>
  <c r="BW125" i="17" a="1"/>
  <c r="BW125" i="17"/>
  <c r="FN116" i="8"/>
  <c r="FN143" i="8"/>
  <c r="BW136" i="17" a="1"/>
  <c r="BW136" i="17"/>
  <c r="FN127" i="8"/>
  <c r="FN111" i="8"/>
  <c r="FN138" i="8"/>
  <c r="BW131" i="17" a="1"/>
  <c r="BW131" i="17"/>
  <c r="FN122" i="8"/>
  <c r="FN106" i="8"/>
  <c r="BW130" i="17" a="1"/>
  <c r="BW130" i="17"/>
  <c r="FN137" i="8"/>
  <c r="FN121" i="8"/>
  <c r="FN105" i="8"/>
  <c r="AY41" i="8"/>
  <c r="O70" i="8"/>
  <c r="AY83" i="8"/>
  <c r="O91" i="8"/>
  <c r="AX101" i="8"/>
  <c r="O82" i="8"/>
  <c r="O57" i="8"/>
  <c r="AX125" i="8"/>
  <c r="O93" i="8"/>
  <c r="O78" i="8"/>
  <c r="O56" i="8"/>
  <c r="AX119" i="8"/>
  <c r="AX95" i="8"/>
  <c r="AX53" i="8"/>
  <c r="O77" i="8"/>
  <c r="O89" i="8"/>
  <c r="O71" i="8"/>
  <c r="O99" i="8"/>
  <c r="AX107" i="8"/>
  <c r="O60" i="8"/>
  <c r="AY59" i="8"/>
  <c r="AY35" i="8"/>
  <c r="AX11" i="8"/>
  <c r="EH11" i="8"/>
  <c r="EI11" i="8"/>
  <c r="AX131" i="8"/>
  <c r="O86" i="8"/>
  <c r="O94" i="8"/>
  <c r="O81" i="8"/>
  <c r="AX89" i="8"/>
  <c r="AX143" i="8"/>
  <c r="O76" i="8"/>
  <c r="FQ117" i="8"/>
  <c r="FR44" i="8"/>
  <c r="FQ76" i="8"/>
  <c r="FR80" i="8"/>
  <c r="FS92" i="8"/>
  <c r="FS100" i="8"/>
  <c r="FQ108" i="8"/>
  <c r="FP118" i="8"/>
  <c r="FS133" i="8"/>
  <c r="BP126" i="17" a="1"/>
  <c r="BP126" i="17"/>
  <c r="FP13" i="8"/>
  <c r="FR29" i="8"/>
  <c r="FS37" i="8"/>
  <c r="FR61" i="8"/>
  <c r="FQ81" i="8"/>
  <c r="FS85" i="8"/>
  <c r="FP93" i="8"/>
  <c r="FR101" i="8"/>
  <c r="FP109" i="8"/>
  <c r="DO51" i="1"/>
  <c r="DS51" i="1"/>
  <c r="CM51" i="1"/>
  <c r="CU51" i="1"/>
  <c r="CQ51" i="1"/>
  <c r="FR108" i="8"/>
  <c r="FR112" i="8"/>
  <c r="FR116" i="8"/>
  <c r="FR120" i="8"/>
  <c r="FQ124" i="8"/>
  <c r="FS126" i="8"/>
  <c r="FP129" i="8"/>
  <c r="FP132" i="8"/>
  <c r="BX125" i="17" a="1"/>
  <c r="BX125" i="17"/>
  <c r="FP134" i="8"/>
  <c r="BX127" i="17" a="1"/>
  <c r="BX127" i="17"/>
  <c r="FR137" i="8"/>
  <c r="FP140" i="8"/>
  <c r="BX133" i="17" a="1"/>
  <c r="BX133" i="17"/>
  <c r="FP142" i="8"/>
  <c r="BX135" i="17" a="1"/>
  <c r="BX135" i="17"/>
  <c r="FR145" i="8"/>
  <c r="FR12" i="8"/>
  <c r="FP12" i="8"/>
  <c r="FQ20" i="8"/>
  <c r="FS20" i="8"/>
  <c r="FR24" i="8"/>
  <c r="FP24" i="8"/>
  <c r="FQ32" i="8"/>
  <c r="FS32" i="8"/>
  <c r="FR36" i="8"/>
  <c r="FP40" i="8"/>
  <c r="FR48" i="8"/>
  <c r="FP48" i="8"/>
  <c r="FR56" i="8"/>
  <c r="FP56" i="8"/>
  <c r="FQ64" i="8"/>
  <c r="FS64" i="8"/>
  <c r="FR68" i="8"/>
  <c r="FP72" i="8"/>
  <c r="FQ80" i="8"/>
  <c r="FS80" i="8"/>
  <c r="FR84" i="8"/>
  <c r="FP88" i="8"/>
  <c r="FR88" i="8"/>
  <c r="FS96" i="8"/>
  <c r="FQ96" i="8"/>
  <c r="FR104" i="8"/>
  <c r="FQ112" i="8"/>
  <c r="FS120" i="8"/>
  <c r="FS101" i="8"/>
  <c r="FS117" i="8"/>
  <c r="FP122" i="8"/>
  <c r="FQ129" i="8"/>
  <c r="FQ138" i="8"/>
  <c r="BY131" i="17" a="1"/>
  <c r="BY131" i="17"/>
  <c r="FS145" i="8"/>
  <c r="BP138" i="17" a="1"/>
  <c r="BP138" i="17"/>
  <c r="FP17" i="8"/>
  <c r="FR17" i="8"/>
  <c r="FQ25" i="8"/>
  <c r="FS25" i="8"/>
  <c r="FP33" i="8"/>
  <c r="FR33" i="8"/>
  <c r="FQ37" i="8"/>
  <c r="FS41" i="8"/>
  <c r="FQ45" i="8"/>
  <c r="FR49" i="8"/>
  <c r="FS49" i="8"/>
  <c r="FR53" i="8"/>
  <c r="FQ57" i="8"/>
  <c r="FS57" i="8"/>
  <c r="FP65" i="8"/>
  <c r="FR65" i="8"/>
  <c r="FQ69" i="8"/>
  <c r="FS73" i="8"/>
  <c r="FP81" i="8"/>
  <c r="FR81" i="8"/>
  <c r="FQ85" i="8"/>
  <c r="FS89" i="8"/>
  <c r="FQ89" i="8"/>
  <c r="FR97" i="8"/>
  <c r="FP97" i="8"/>
  <c r="FQ105" i="8"/>
  <c r="FP113" i="8"/>
  <c r="FR121" i="8"/>
  <c r="FR110" i="8"/>
  <c r="FR118" i="8"/>
  <c r="FS14" i="8"/>
  <c r="FQ14" i="8"/>
  <c r="FP22" i="8"/>
  <c r="FR22" i="8"/>
  <c r="FS30" i="8"/>
  <c r="FQ30" i="8"/>
  <c r="FP38" i="8"/>
  <c r="FR38" i="8"/>
  <c r="FP46" i="8"/>
  <c r="FR46" i="8"/>
  <c r="FP54" i="8"/>
  <c r="FR54" i="8"/>
  <c r="FS62" i="8"/>
  <c r="FQ62" i="8"/>
  <c r="FP70" i="8"/>
  <c r="FR70" i="8"/>
  <c r="FS78" i="8"/>
  <c r="FQ78" i="8"/>
  <c r="FQ86" i="8"/>
  <c r="FS86" i="8"/>
  <c r="FQ94" i="8"/>
  <c r="FS94" i="8"/>
  <c r="FQ102" i="8"/>
  <c r="FS102" i="8"/>
  <c r="FS110" i="8"/>
  <c r="FQ118" i="8"/>
  <c r="FO51" i="1"/>
  <c r="FP112" i="8"/>
  <c r="FP120" i="8"/>
  <c r="FS132" i="8"/>
  <c r="BP125" i="17" a="1"/>
  <c r="BP125" i="17"/>
  <c r="FR35" i="8"/>
  <c r="FP35" i="8"/>
  <c r="FS47" i="8"/>
  <c r="FP47" i="8"/>
  <c r="FS51" i="8"/>
  <c r="FP51" i="8"/>
  <c r="FS55" i="8"/>
  <c r="FQ55" i="8"/>
  <c r="FS59" i="8"/>
  <c r="FQ59" i="8"/>
  <c r="FR63" i="8"/>
  <c r="FP63" i="8"/>
  <c r="FR67" i="8"/>
  <c r="FP67" i="8"/>
  <c r="FS75" i="8"/>
  <c r="FQ75" i="8"/>
  <c r="FS79" i="8"/>
  <c r="FQ79" i="8"/>
  <c r="FS83" i="8"/>
  <c r="FQ83" i="8"/>
  <c r="FS87" i="8"/>
  <c r="FP99" i="8"/>
  <c r="FR99" i="8"/>
  <c r="FQ103" i="8"/>
  <c r="FP115" i="8"/>
  <c r="FQ119" i="8"/>
  <c r="FR123" i="8"/>
  <c r="FQ131" i="8"/>
  <c r="BY124" i="17" a="1"/>
  <c r="BY124" i="17"/>
  <c r="FQ135" i="8"/>
  <c r="BY128" i="17" a="1"/>
  <c r="BY128" i="17"/>
  <c r="FS143" i="8"/>
  <c r="BP136" i="17" a="1"/>
  <c r="BP136" i="17"/>
  <c r="FS129" i="8"/>
  <c r="FS140" i="8"/>
  <c r="BP133" i="17" a="1"/>
  <c r="BP133" i="17"/>
  <c r="FQ132" i="8"/>
  <c r="BY125" i="17" a="1"/>
  <c r="BY125" i="17"/>
  <c r="FP137" i="8"/>
  <c r="BX130" i="17" a="1"/>
  <c r="BX130" i="17"/>
  <c r="FR129" i="8"/>
  <c r="FR128" i="8"/>
  <c r="FQ140" i="8"/>
  <c r="BY133" i="17" a="1"/>
  <c r="BY133" i="17"/>
  <c r="CY51" i="1"/>
  <c r="FR102" i="8"/>
  <c r="FQ121" i="8"/>
  <c r="FQ16" i="8"/>
  <c r="FQ60" i="8"/>
  <c r="FS76" i="8"/>
  <c r="FP84" i="8"/>
  <c r="FQ92" i="8"/>
  <c r="FQ100" i="8"/>
  <c r="FS113" i="8"/>
  <c r="FR13" i="8"/>
  <c r="FS21" i="8"/>
  <c r="FP29" i="8"/>
  <c r="FS45" i="8"/>
  <c r="FP53" i="8"/>
  <c r="FP61" i="8"/>
  <c r="FR77" i="8"/>
  <c r="FR93" i="8"/>
  <c r="FP101" i="8"/>
  <c r="FP104" i="8"/>
  <c r="FQ126" i="8"/>
  <c r="FQ130" i="8"/>
  <c r="FR134" i="8"/>
  <c r="FR138" i="8"/>
  <c r="FR142" i="8"/>
  <c r="FP18" i="8"/>
  <c r="FR18" i="8"/>
  <c r="FS26" i="8"/>
  <c r="FQ26" i="8"/>
  <c r="FP34" i="8"/>
  <c r="FR34" i="8"/>
  <c r="FS42" i="8"/>
  <c r="FQ42" i="8"/>
  <c r="FQ50" i="8"/>
  <c r="FS50" i="8"/>
  <c r="FS58" i="8"/>
  <c r="FQ58" i="8"/>
  <c r="FP66" i="8"/>
  <c r="FR66" i="8"/>
  <c r="FS74" i="8"/>
  <c r="FQ74" i="8"/>
  <c r="FP82" i="8"/>
  <c r="FR82" i="8"/>
  <c r="FQ90" i="8"/>
  <c r="FS90" i="8"/>
  <c r="FR98" i="8"/>
  <c r="FP98" i="8"/>
  <c r="FQ106" i="8"/>
  <c r="FS106" i="8"/>
  <c r="FQ114" i="8"/>
  <c r="FS122" i="8"/>
  <c r="FS11" i="8"/>
  <c r="FQ11" i="8"/>
  <c r="EE51" i="1"/>
  <c r="FP128" i="8"/>
  <c r="FS15" i="8"/>
  <c r="FQ15" i="8"/>
  <c r="FS19" i="8"/>
  <c r="FQ19" i="8"/>
  <c r="FS23" i="8"/>
  <c r="FQ23" i="8"/>
  <c r="FS27" i="8"/>
  <c r="FQ27" i="8"/>
  <c r="FS31" i="8"/>
  <c r="FQ31" i="8"/>
  <c r="FR39" i="8"/>
  <c r="FP39" i="8"/>
  <c r="FS43" i="8"/>
  <c r="FQ43" i="8"/>
  <c r="FR71" i="8"/>
  <c r="FP71" i="8"/>
  <c r="FP87" i="8"/>
  <c r="FQ91" i="8"/>
  <c r="FS91" i="8"/>
  <c r="FQ95" i="8"/>
  <c r="FS95" i="8"/>
  <c r="FP103" i="8"/>
  <c r="FR103" i="8"/>
  <c r="FQ107" i="8"/>
  <c r="FR107" i="8"/>
  <c r="FS111" i="8"/>
  <c r="FR111" i="8"/>
  <c r="FS115" i="8"/>
  <c r="FR119" i="8"/>
  <c r="FS123" i="8"/>
  <c r="FQ127" i="8"/>
  <c r="FS127" i="8"/>
  <c r="FS131" i="8"/>
  <c r="BP124" i="17" a="1"/>
  <c r="BP124" i="17"/>
  <c r="FS135" i="8"/>
  <c r="BP128" i="17" a="1"/>
  <c r="BP128" i="17"/>
  <c r="FP139" i="8"/>
  <c r="BX132" i="17" a="1"/>
  <c r="BX132" i="17"/>
  <c r="FR139" i="8"/>
  <c r="FP133" i="8"/>
  <c r="BX126" i="17" a="1"/>
  <c r="BX126" i="17"/>
  <c r="FQ141" i="8"/>
  <c r="BY134" i="17" a="1"/>
  <c r="BY134" i="17"/>
  <c r="FR125" i="8"/>
  <c r="FP141" i="8"/>
  <c r="BX134" i="17" a="1"/>
  <c r="BX134" i="17"/>
  <c r="FQ137" i="8"/>
  <c r="BY130" i="17" a="1"/>
  <c r="BY130" i="17"/>
  <c r="FQ113" i="8"/>
  <c r="FS16" i="8"/>
  <c r="FS28" i="8"/>
  <c r="FP36" i="8"/>
  <c r="FQ52" i="8"/>
  <c r="FS60" i="8"/>
  <c r="FP68" i="8"/>
  <c r="FS116" i="8"/>
  <c r="FS105" i="8"/>
  <c r="FP126" i="8"/>
  <c r="FQ142" i="8"/>
  <c r="BY135" i="17" a="1"/>
  <c r="BY135" i="17"/>
  <c r="FS69" i="8"/>
  <c r="FP77" i="8"/>
  <c r="FR117" i="8"/>
  <c r="FP125" i="8"/>
  <c r="FQ128" i="8"/>
  <c r="FS130" i="8"/>
  <c r="FR133" i="8"/>
  <c r="FP136" i="8"/>
  <c r="BX129" i="17" a="1"/>
  <c r="BX129" i="17"/>
  <c r="FP138" i="8"/>
  <c r="BX131" i="17" a="1"/>
  <c r="BX131" i="17"/>
  <c r="FR141" i="8"/>
  <c r="FP144" i="8"/>
  <c r="BX137" i="17" a="1"/>
  <c r="BX137" i="17"/>
  <c r="FQ12" i="8"/>
  <c r="FS12" i="8"/>
  <c r="FR20" i="8"/>
  <c r="FP20" i="8"/>
  <c r="FQ24" i="8"/>
  <c r="FS24" i="8"/>
  <c r="FR32" i="8"/>
  <c r="FP32" i="8"/>
  <c r="FQ40" i="8"/>
  <c r="FS40" i="8"/>
  <c r="FS48" i="8"/>
  <c r="FQ48" i="8"/>
  <c r="FQ56" i="8"/>
  <c r="FS56" i="8"/>
  <c r="FR64" i="8"/>
  <c r="FP64" i="8"/>
  <c r="FQ72" i="8"/>
  <c r="FS72" i="8"/>
  <c r="FR76" i="8"/>
  <c r="FP80" i="8"/>
  <c r="FS88" i="8"/>
  <c r="FQ88" i="8"/>
  <c r="FP96" i="8"/>
  <c r="FR96" i="8"/>
  <c r="FS104" i="8"/>
  <c r="FQ104" i="8"/>
  <c r="FS112" i="8"/>
  <c r="FQ120" i="8"/>
  <c r="FS109" i="8"/>
  <c r="FP114" i="8"/>
  <c r="FP130" i="8"/>
  <c r="FS137" i="8"/>
  <c r="BP130" i="17" a="1"/>
  <c r="BP130" i="17"/>
  <c r="FQ17" i="8"/>
  <c r="FS17" i="8"/>
  <c r="FP25" i="8"/>
  <c r="FR25" i="8"/>
  <c r="FS33" i="8"/>
  <c r="FP41" i="8"/>
  <c r="FR41" i="8"/>
  <c r="FR45" i="8"/>
  <c r="FP49" i="8"/>
  <c r="FQ49" i="8"/>
  <c r="FQ53" i="8"/>
  <c r="FP57" i="8"/>
  <c r="FR57" i="8"/>
  <c r="FQ65" i="8"/>
  <c r="FS65" i="8"/>
  <c r="FP73" i="8"/>
  <c r="FR73" i="8"/>
  <c r="FQ77" i="8"/>
  <c r="FS81" i="8"/>
  <c r="FR89" i="8"/>
  <c r="FP89" i="8"/>
  <c r="FS97" i="8"/>
  <c r="FQ97" i="8"/>
  <c r="FR105" i="8"/>
  <c r="FP105" i="8"/>
  <c r="FR113" i="8"/>
  <c r="FP121" i="8"/>
  <c r="FR114" i="8"/>
  <c r="FR122" i="8"/>
  <c r="FP14" i="8"/>
  <c r="FR14" i="8"/>
  <c r="FS22" i="8"/>
  <c r="FQ22" i="8"/>
  <c r="FP30" i="8"/>
  <c r="FR30" i="8"/>
  <c r="FS38" i="8"/>
  <c r="FQ38" i="8"/>
  <c r="FQ46" i="8"/>
  <c r="FS46" i="8"/>
  <c r="FS54" i="8"/>
  <c r="FQ54" i="8"/>
  <c r="FP62" i="8"/>
  <c r="FR62" i="8"/>
  <c r="FS70" i="8"/>
  <c r="FQ70" i="8"/>
  <c r="FP78" i="8"/>
  <c r="FR78" i="8"/>
  <c r="FP86" i="8"/>
  <c r="FR86" i="8"/>
  <c r="FR94" i="8"/>
  <c r="FP94" i="8"/>
  <c r="FP102" i="8"/>
  <c r="FQ110" i="8"/>
  <c r="FS118" i="8"/>
  <c r="FP108" i="8"/>
  <c r="FP116" i="8"/>
  <c r="FP124" i="8"/>
  <c r="FS35" i="8"/>
  <c r="FQ35" i="8"/>
  <c r="FP43" i="8"/>
  <c r="FR47" i="8"/>
  <c r="FQ47" i="8"/>
  <c r="FR51" i="8"/>
  <c r="FQ51" i="8"/>
  <c r="FR55" i="8"/>
  <c r="FP55" i="8"/>
  <c r="FR59" i="8"/>
  <c r="FP59" i="8"/>
  <c r="FS63" i="8"/>
  <c r="FQ63" i="8"/>
  <c r="FS67" i="8"/>
  <c r="FQ67" i="8"/>
  <c r="FR75" i="8"/>
  <c r="FP75" i="8"/>
  <c r="FR79" i="8"/>
  <c r="FP79" i="8"/>
  <c r="FR83" i="8"/>
  <c r="FP83" i="8"/>
  <c r="FR87" i="8"/>
  <c r="FQ99" i="8"/>
  <c r="FS99" i="8"/>
  <c r="FP107" i="8"/>
  <c r="FR115" i="8"/>
  <c r="FS119" i="8"/>
  <c r="FP123" i="8"/>
  <c r="FP131" i="8"/>
  <c r="BX124" i="17" a="1"/>
  <c r="BX124" i="17"/>
  <c r="FP135" i="8"/>
  <c r="BX128" i="17" a="1"/>
  <c r="BX128" i="17"/>
  <c r="FP143" i="8"/>
  <c r="BX136" i="17" a="1"/>
  <c r="BX136" i="17"/>
  <c r="FR143" i="8"/>
  <c r="FQ133" i="8"/>
  <c r="BY126" i="17" a="1"/>
  <c r="BY126" i="17"/>
  <c r="FR124" i="8"/>
  <c r="FQ136" i="8"/>
  <c r="BY129" i="17" a="1"/>
  <c r="BY129" i="17"/>
  <c r="FQ144" i="8"/>
  <c r="BY137" i="17" a="1"/>
  <c r="BY137" i="17"/>
  <c r="FQ109" i="8"/>
  <c r="FQ28" i="8"/>
  <c r="FP44" i="8"/>
  <c r="FS52" i="8"/>
  <c r="FQ21" i="8"/>
  <c r="FQ33" i="8"/>
  <c r="DW51" i="1"/>
  <c r="BG51" i="1"/>
  <c r="FR106" i="8"/>
  <c r="FR16" i="8"/>
  <c r="FP16" i="8"/>
  <c r="FR28" i="8"/>
  <c r="FP28" i="8"/>
  <c r="FQ36" i="8"/>
  <c r="FS36" i="8"/>
  <c r="FR40" i="8"/>
  <c r="FS44" i="8"/>
  <c r="FQ44" i="8"/>
  <c r="FR52" i="8"/>
  <c r="FP52" i="8"/>
  <c r="FR60" i="8"/>
  <c r="FP60" i="8"/>
  <c r="FQ68" i="8"/>
  <c r="FS68" i="8"/>
  <c r="FR72" i="8"/>
  <c r="FP76" i="8"/>
  <c r="FQ84" i="8"/>
  <c r="FS84" i="8"/>
  <c r="FP92" i="8"/>
  <c r="FR92" i="8"/>
  <c r="FR100" i="8"/>
  <c r="FS108" i="8"/>
  <c r="FQ116" i="8"/>
  <c r="FP110" i="8"/>
  <c r="FS121" i="8"/>
  <c r="FQ125" i="8"/>
  <c r="FQ134" i="8"/>
  <c r="BY127" i="17" a="1"/>
  <c r="BY127" i="17"/>
  <c r="FS141" i="8"/>
  <c r="BP134" i="17" a="1"/>
  <c r="BP134" i="17"/>
  <c r="FQ13" i="8"/>
  <c r="FS13" i="8"/>
  <c r="FP21" i="8"/>
  <c r="FR21" i="8"/>
  <c r="FQ29" i="8"/>
  <c r="FS29" i="8"/>
  <c r="FP37" i="8"/>
  <c r="FR37" i="8"/>
  <c r="FQ41" i="8"/>
  <c r="FP45" i="8"/>
  <c r="FS53" i="8"/>
  <c r="FQ61" i="8"/>
  <c r="FS61" i="8"/>
  <c r="FP69" i="8"/>
  <c r="FR69" i="8"/>
  <c r="FQ73" i="8"/>
  <c r="FS77" i="8"/>
  <c r="FP85" i="8"/>
  <c r="FR85" i="8"/>
  <c r="FS93" i="8"/>
  <c r="FQ93" i="8"/>
  <c r="FQ101" i="8"/>
  <c r="FR109" i="8"/>
  <c r="FP117" i="8"/>
  <c r="FP100" i="8"/>
  <c r="FS124" i="8"/>
  <c r="FS128" i="8"/>
  <c r="FR132" i="8"/>
  <c r="FR136" i="8"/>
  <c r="FR140" i="8"/>
  <c r="FR144" i="8"/>
  <c r="FS18" i="8"/>
  <c r="FQ18" i="8"/>
  <c r="FP26" i="8"/>
  <c r="FR26" i="8"/>
  <c r="FS34" i="8"/>
  <c r="FQ34" i="8"/>
  <c r="FP42" i="8"/>
  <c r="FR42" i="8"/>
  <c r="FP50" i="8"/>
  <c r="FR50" i="8"/>
  <c r="FP58" i="8"/>
  <c r="FR58" i="8"/>
  <c r="FS66" i="8"/>
  <c r="FQ66" i="8"/>
  <c r="FP74" i="8"/>
  <c r="FR74" i="8"/>
  <c r="FS82" i="8"/>
  <c r="FQ82" i="8"/>
  <c r="FR90" i="8"/>
  <c r="FP90" i="8"/>
  <c r="FQ98" i="8"/>
  <c r="FS98" i="8"/>
  <c r="FP106" i="8"/>
  <c r="FS114" i="8"/>
  <c r="FQ122" i="8"/>
  <c r="FP11" i="8"/>
  <c r="FQ143" i="8"/>
  <c r="BY136" i="17" a="1"/>
  <c r="BY136" i="17"/>
  <c r="FR15" i="8"/>
  <c r="FP15" i="8"/>
  <c r="FR19" i="8"/>
  <c r="FP19" i="8"/>
  <c r="FR23" i="8"/>
  <c r="FP23" i="8"/>
  <c r="FR27" i="8"/>
  <c r="FP27" i="8"/>
  <c r="FR31" i="8"/>
  <c r="FP31" i="8"/>
  <c r="FS39" i="8"/>
  <c r="FQ39" i="8"/>
  <c r="FR43" i="8"/>
  <c r="FS71" i="8"/>
  <c r="FQ71" i="8"/>
  <c r="FQ87" i="8"/>
  <c r="FP91" i="8"/>
  <c r="FR91" i="8"/>
  <c r="FP95" i="8"/>
  <c r="FR95" i="8"/>
  <c r="FS103" i="8"/>
  <c r="FS107" i="8"/>
  <c r="FQ111" i="8"/>
  <c r="FP111" i="8"/>
  <c r="FQ115" i="8"/>
  <c r="FP119" i="8"/>
  <c r="FQ123" i="8"/>
  <c r="FP127" i="8"/>
  <c r="FR127" i="8"/>
  <c r="FR131" i="8"/>
  <c r="FR135" i="8"/>
  <c r="FQ139" i="8"/>
  <c r="BY132" i="17" a="1"/>
  <c r="BY132" i="17"/>
  <c r="FS139" i="8"/>
  <c r="BP132" i="17" a="1"/>
  <c r="BP132" i="17"/>
  <c r="FS136" i="8"/>
  <c r="BP129" i="17" a="1"/>
  <c r="BP129" i="17"/>
  <c r="FQ145" i="8"/>
  <c r="BY138" i="17" a="1"/>
  <c r="BY138" i="17"/>
  <c r="FS138" i="8"/>
  <c r="BP131" i="17" a="1"/>
  <c r="BP131" i="17"/>
  <c r="FR126" i="8"/>
  <c r="FR130" i="8"/>
  <c r="FS134" i="8"/>
  <c r="BP127" i="17" a="1"/>
  <c r="BP127" i="17"/>
  <c r="FS142" i="8"/>
  <c r="BP135" i="17" a="1"/>
  <c r="BP135" i="17"/>
  <c r="FS125" i="8"/>
  <c r="FP145" i="8"/>
  <c r="BX138" i="17" a="1"/>
  <c r="BX138" i="17"/>
  <c r="AQ51" i="1"/>
  <c r="AY23" i="8"/>
  <c r="AY71" i="8"/>
  <c r="O67" i="8"/>
  <c r="O79" i="8"/>
  <c r="O96" i="8"/>
  <c r="O87" i="8"/>
  <c r="AY47" i="8"/>
  <c r="O95" i="8"/>
  <c r="O69" i="8"/>
  <c r="O74" i="8"/>
  <c r="O62" i="8"/>
  <c r="O88" i="8"/>
  <c r="DE26" i="8"/>
  <c r="O84" i="8"/>
  <c r="O64" i="8"/>
  <c r="FR11" i="8"/>
  <c r="GM51" i="1"/>
  <c r="Z140" i="8"/>
  <c r="Z26" i="8"/>
  <c r="BA19" i="18" a="1"/>
  <c r="BA19" i="18"/>
  <c r="Z97" i="8"/>
  <c r="BA90" i="18" a="1"/>
  <c r="BA90" i="18"/>
  <c r="Z77" i="8"/>
  <c r="BA70" i="18" a="1"/>
  <c r="BA70" i="18"/>
  <c r="Z114" i="8"/>
  <c r="BA107" i="18" a="1"/>
  <c r="BA107" i="18"/>
  <c r="Z117" i="8"/>
  <c r="BA110" i="18" a="1"/>
  <c r="BA110" i="18"/>
  <c r="Z101" i="8"/>
  <c r="BA94" i="18" a="1"/>
  <c r="BA94" i="18"/>
  <c r="Z104" i="8"/>
  <c r="BA97" i="18" a="1"/>
  <c r="BA97" i="18"/>
  <c r="Z99" i="8"/>
  <c r="BA92" i="18" a="1"/>
  <c r="BA92" i="18"/>
  <c r="Z89" i="8"/>
  <c r="BA82" i="18" a="1"/>
  <c r="BA82" i="18"/>
  <c r="Z30" i="8"/>
  <c r="BA23" i="18" a="1"/>
  <c r="BA23" i="18"/>
  <c r="Z41" i="8"/>
  <c r="BA34" i="18" a="1"/>
  <c r="BA34" i="18"/>
  <c r="Z46" i="8"/>
  <c r="BA39" i="18" a="1"/>
  <c r="BA39" i="18"/>
  <c r="Z65" i="8"/>
  <c r="BA58" i="18" a="1"/>
  <c r="BA58" i="18"/>
  <c r="Z27" i="8"/>
  <c r="BA20" i="18" a="1"/>
  <c r="BA20" i="18"/>
  <c r="Z68" i="8"/>
  <c r="BA61" i="18" a="1"/>
  <c r="BA61" i="18"/>
  <c r="Z47" i="8"/>
  <c r="BA40" i="18" a="1"/>
  <c r="BA40" i="18"/>
  <c r="Z108" i="8"/>
  <c r="BA101" i="18" a="1"/>
  <c r="BA101" i="18"/>
  <c r="Z122" i="8"/>
  <c r="BA115" i="18" a="1"/>
  <c r="BA115" i="18"/>
  <c r="Z98" i="8"/>
  <c r="BA91" i="18" a="1"/>
  <c r="BA91" i="18"/>
  <c r="Z123" i="8"/>
  <c r="BA116" i="18" a="1"/>
  <c r="BA116" i="18"/>
  <c r="Z128" i="8"/>
  <c r="BA121" i="18" a="1"/>
  <c r="BA121" i="18"/>
  <c r="Z112" i="8"/>
  <c r="BA105" i="18" a="1"/>
  <c r="BA105" i="18"/>
  <c r="Z119" i="8"/>
  <c r="BA112" i="18" a="1"/>
  <c r="BA112" i="18"/>
  <c r="Z73" i="8"/>
  <c r="BA66" i="18" a="1"/>
  <c r="BA66" i="18"/>
  <c r="Z116" i="8"/>
  <c r="BA109" i="18" a="1"/>
  <c r="BA109" i="18"/>
  <c r="Z51" i="8"/>
  <c r="BA44" i="18" a="1"/>
  <c r="BA44" i="18"/>
  <c r="Z76" i="8"/>
  <c r="BA69" i="18" a="1"/>
  <c r="BA69" i="18"/>
  <c r="Z32" i="8"/>
  <c r="BA25" i="18" a="1"/>
  <c r="BA25" i="18"/>
  <c r="Z87" i="8"/>
  <c r="BA80" i="18" a="1"/>
  <c r="BA80" i="18"/>
  <c r="Z105" i="8"/>
  <c r="BA98" i="18" a="1"/>
  <c r="BA98" i="18"/>
  <c r="Z35" i="8"/>
  <c r="BA28" i="18" a="1"/>
  <c r="BA28" i="18"/>
  <c r="Z66" i="8"/>
  <c r="BA59" i="18" a="1"/>
  <c r="BA59" i="18"/>
  <c r="Z69" i="8"/>
  <c r="BA62" i="18" a="1"/>
  <c r="BA62" i="18"/>
  <c r="FJ22" i="8"/>
  <c r="FJ70" i="8"/>
  <c r="FJ67" i="8"/>
  <c r="FJ137" i="8"/>
  <c r="DE41" i="8"/>
  <c r="Z118" i="8"/>
  <c r="BA111" i="18" a="1"/>
  <c r="BA111" i="18"/>
  <c r="Z94" i="8"/>
  <c r="BA87" i="18" a="1"/>
  <c r="BA87" i="18"/>
  <c r="Z61" i="8"/>
  <c r="BA54" i="18" a="1"/>
  <c r="BA54" i="18"/>
  <c r="FJ50" i="8"/>
  <c r="FJ52" i="8"/>
  <c r="Z81" i="8"/>
  <c r="BA74" i="18" a="1"/>
  <c r="BA74" i="18"/>
  <c r="Z52" i="8"/>
  <c r="BA45" i="18" a="1"/>
  <c r="BA45" i="18"/>
  <c r="DE134" i="8"/>
  <c r="Z36" i="8"/>
  <c r="BA29" i="18" a="1"/>
  <c r="BA29" i="18"/>
  <c r="Z126" i="8"/>
  <c r="BA119" i="18" a="1"/>
  <c r="BA119" i="18"/>
  <c r="Z53" i="8"/>
  <c r="BA46" i="18" a="1"/>
  <c r="BA46" i="18"/>
  <c r="Z67" i="8"/>
  <c r="BA60" i="18" a="1"/>
  <c r="BA60" i="18"/>
  <c r="Z84" i="8"/>
  <c r="BA77" i="18" a="1"/>
  <c r="BA77" i="18"/>
  <c r="Z100" i="8"/>
  <c r="BA93" i="18" a="1"/>
  <c r="BA93" i="18"/>
  <c r="Z125" i="8"/>
  <c r="BA118" i="18" a="1"/>
  <c r="BA118" i="18"/>
  <c r="Z93" i="8"/>
  <c r="BA86" i="18" a="1"/>
  <c r="BA86" i="18"/>
  <c r="Z38" i="8"/>
  <c r="BA31" i="18" a="1"/>
  <c r="BA31" i="18"/>
  <c r="Z115" i="8"/>
  <c r="BA108" i="18" a="1"/>
  <c r="BA108" i="18"/>
  <c r="Z34" i="8"/>
  <c r="BA27" i="18" a="1"/>
  <c r="BA27" i="18"/>
  <c r="Z60" i="8"/>
  <c r="BA53" i="18" a="1"/>
  <c r="BA53" i="18"/>
  <c r="Z64" i="8"/>
  <c r="BA57" i="18" a="1"/>
  <c r="BA57" i="18"/>
  <c r="Z131" i="8"/>
  <c r="Z137" i="8"/>
  <c r="Z133" i="8"/>
  <c r="Z102" i="8"/>
  <c r="BA95" i="18" a="1"/>
  <c r="BA95" i="18"/>
  <c r="Z24" i="8"/>
  <c r="BA17" i="18" a="1"/>
  <c r="BA17" i="18"/>
  <c r="Z70" i="8"/>
  <c r="BA63" i="18" a="1"/>
  <c r="BA63" i="18"/>
  <c r="Z72" i="8"/>
  <c r="BA65" i="18" a="1"/>
  <c r="BA65" i="18"/>
  <c r="Z82" i="8"/>
  <c r="BA75" i="18" a="1"/>
  <c r="BA75" i="18"/>
  <c r="Z83" i="8"/>
  <c r="BA76" i="18" a="1"/>
  <c r="BA76" i="18"/>
  <c r="Z88" i="8"/>
  <c r="BA81" i="18" a="1"/>
  <c r="BA81" i="18"/>
  <c r="Z106" i="8"/>
  <c r="BA99" i="18" a="1"/>
  <c r="BA99" i="18"/>
  <c r="Z44" i="8"/>
  <c r="BA37" i="18" a="1"/>
  <c r="BA37" i="18"/>
  <c r="Z74" i="8"/>
  <c r="BA67" i="18" a="1"/>
  <c r="BA67" i="18"/>
  <c r="Z86" i="8"/>
  <c r="BA79" i="18" a="1"/>
  <c r="BA79" i="18"/>
  <c r="Z107" i="8"/>
  <c r="BA100" i="18" a="1"/>
  <c r="BA100" i="18"/>
  <c r="Z110" i="8"/>
  <c r="BA103" i="18" a="1"/>
  <c r="BA103" i="18"/>
  <c r="Z90" i="8"/>
  <c r="BA83" i="18" a="1"/>
  <c r="BA83" i="18"/>
  <c r="Z48" i="8"/>
  <c r="BA41" i="18" a="1"/>
  <c r="BA41" i="18"/>
  <c r="Z95" i="8"/>
  <c r="BA88" i="18" a="1"/>
  <c r="BA88" i="18"/>
  <c r="Z96" i="8"/>
  <c r="BA89" i="18" a="1"/>
  <c r="BA89" i="18"/>
  <c r="Z129" i="8"/>
  <c r="BA122" i="18" a="1"/>
  <c r="BA122" i="18"/>
  <c r="Z120" i="8"/>
  <c r="BA113" i="18" a="1"/>
  <c r="BA113" i="18"/>
  <c r="Z71" i="8"/>
  <c r="BA64" i="18" a="1"/>
  <c r="BA64" i="18"/>
  <c r="Z85" i="8"/>
  <c r="BA78" i="18" a="1"/>
  <c r="BA78" i="18"/>
  <c r="Z92" i="8"/>
  <c r="BA85" i="18" a="1"/>
  <c r="BA85" i="18"/>
  <c r="Z21" i="8"/>
  <c r="BA14" i="18" a="1"/>
  <c r="BA14" i="18"/>
  <c r="Z31" i="8"/>
  <c r="BA24" i="18" a="1"/>
  <c r="BA24" i="18"/>
  <c r="Z33" i="8"/>
  <c r="BA26" i="18" a="1"/>
  <c r="BA26" i="18"/>
  <c r="Z37" i="8"/>
  <c r="BA30" i="18" a="1"/>
  <c r="BA30" i="18"/>
  <c r="Z40" i="8"/>
  <c r="BA33" i="18" a="1"/>
  <c r="BA33" i="18"/>
  <c r="Z42" i="8"/>
  <c r="BA35" i="18" a="1"/>
  <c r="BA35" i="18"/>
  <c r="Z45" i="8"/>
  <c r="BA38" i="18" a="1"/>
  <c r="BA38" i="18"/>
  <c r="Z50" i="8"/>
  <c r="BA43" i="18" a="1"/>
  <c r="BA43" i="18"/>
  <c r="Z54" i="8"/>
  <c r="BA47" i="18" a="1"/>
  <c r="BA47" i="18"/>
  <c r="Z78" i="8"/>
  <c r="BA71" i="18" a="1"/>
  <c r="BA71" i="18"/>
  <c r="Z103" i="8"/>
  <c r="BA96" i="18" a="1"/>
  <c r="BA96" i="18"/>
  <c r="Z25" i="8"/>
  <c r="BA18" i="18" a="1"/>
  <c r="BA18" i="18"/>
  <c r="Z79" i="8"/>
  <c r="BA72" i="18" a="1"/>
  <c r="BA72" i="18"/>
  <c r="Z121" i="8"/>
  <c r="BA114" i="18" a="1"/>
  <c r="BA114" i="18"/>
  <c r="Z124" i="8"/>
  <c r="BA117" i="18" a="1"/>
  <c r="BA117" i="18"/>
  <c r="Z127" i="8"/>
  <c r="BA120" i="18" a="1"/>
  <c r="BA120" i="18"/>
  <c r="FJ124" i="8"/>
  <c r="DE94" i="8"/>
  <c r="Z111" i="8"/>
  <c r="BA104" i="18" a="1"/>
  <c r="BA104" i="18"/>
  <c r="Z130" i="8"/>
  <c r="BA123" i="18" a="1"/>
  <c r="BA123" i="18"/>
  <c r="Z75" i="8"/>
  <c r="BA68" i="18" a="1"/>
  <c r="BA68" i="18"/>
  <c r="Z22" i="8"/>
  <c r="BA15" i="18" a="1"/>
  <c r="BA15" i="18"/>
  <c r="Z109" i="8"/>
  <c r="BA102" i="18" a="1"/>
  <c r="BA102" i="18"/>
  <c r="Z91" i="8"/>
  <c r="BA84" i="18" a="1"/>
  <c r="BA84" i="18"/>
  <c r="Z113" i="8"/>
  <c r="BA106" i="18" a="1"/>
  <c r="BA106" i="18"/>
  <c r="Z23" i="8"/>
  <c r="BA16" i="18" a="1"/>
  <c r="BA16" i="18"/>
  <c r="Z39" i="8"/>
  <c r="BA32" i="18" a="1"/>
  <c r="BA32" i="18"/>
  <c r="Z43" i="8"/>
  <c r="BA36" i="18" a="1"/>
  <c r="BA36" i="18"/>
  <c r="Z55" i="8"/>
  <c r="BA48" i="18" a="1"/>
  <c r="BA48" i="18"/>
  <c r="FJ59" i="8"/>
  <c r="DE108" i="8"/>
  <c r="DE107" i="8"/>
  <c r="Z49" i="8"/>
  <c r="BA42" i="18" a="1"/>
  <c r="BA42" i="18"/>
  <c r="FJ69" i="8"/>
  <c r="DE114" i="8"/>
  <c r="FJ25" i="8"/>
  <c r="FJ113" i="8"/>
  <c r="DE19" i="8"/>
  <c r="FJ24" i="8"/>
  <c r="FJ68" i="8"/>
  <c r="Z15" i="8"/>
  <c r="BA8" i="18" a="1"/>
  <c r="BA8" i="18"/>
  <c r="Z17" i="8"/>
  <c r="BA10" i="18" a="1"/>
  <c r="BA10" i="18"/>
  <c r="Z19" i="8"/>
  <c r="BA12" i="18" a="1"/>
  <c r="BA12" i="18"/>
  <c r="Z28" i="8"/>
  <c r="BA21" i="18" a="1"/>
  <c r="BA21" i="18"/>
  <c r="Z59" i="8"/>
  <c r="BA52" i="18" a="1"/>
  <c r="BA52" i="18"/>
  <c r="Z63" i="8"/>
  <c r="BA56" i="18" a="1"/>
  <c r="BA56" i="18"/>
  <c r="Z132" i="8"/>
  <c r="Z134" i="8"/>
  <c r="Z135" i="8"/>
  <c r="Z138" i="8"/>
  <c r="Z143" i="8"/>
  <c r="Z144" i="8"/>
  <c r="Z145" i="8"/>
  <c r="Z13" i="8"/>
  <c r="BA6" i="18" a="1"/>
  <c r="BA6" i="18"/>
  <c r="Z62" i="8"/>
  <c r="BA55" i="18" a="1"/>
  <c r="BA55" i="18"/>
  <c r="Z141" i="8"/>
  <c r="Z58" i="8"/>
  <c r="BA51" i="18" a="1"/>
  <c r="BA51" i="18"/>
  <c r="Z139" i="8"/>
  <c r="Z142" i="8"/>
  <c r="Z136" i="8"/>
  <c r="Z20" i="8"/>
  <c r="BA13" i="18" a="1"/>
  <c r="BA13" i="18"/>
  <c r="Z29" i="8"/>
  <c r="BA22" i="18" a="1"/>
  <c r="BA22" i="18"/>
  <c r="Z80" i="8"/>
  <c r="BA73" i="18" a="1"/>
  <c r="BA73" i="18"/>
  <c r="FJ142" i="8"/>
  <c r="DE91" i="8"/>
  <c r="DE90" i="8"/>
  <c r="DE74" i="8"/>
  <c r="DE27" i="8"/>
  <c r="Z11" i="8"/>
  <c r="BA4" i="18" a="1"/>
  <c r="BA4" i="18"/>
  <c r="FJ45" i="8"/>
  <c r="DE51" i="8"/>
  <c r="FJ138" i="8"/>
  <c r="FJ136" i="8"/>
  <c r="FJ63" i="8"/>
  <c r="DE119" i="8"/>
  <c r="DE35" i="8"/>
  <c r="DE79" i="8"/>
  <c r="FJ118" i="8"/>
  <c r="FJ84" i="8"/>
  <c r="DE81" i="8"/>
  <c r="FJ127" i="8"/>
  <c r="DE37" i="8"/>
  <c r="DE40" i="8"/>
  <c r="DE125" i="8"/>
  <c r="DE71" i="8"/>
  <c r="Z12" i="8"/>
  <c r="BA5" i="18" a="1"/>
  <c r="BA5" i="18"/>
  <c r="Z14" i="8"/>
  <c r="BA7" i="18" a="1"/>
  <c r="BA7" i="18"/>
  <c r="Z16" i="8"/>
  <c r="BA9" i="18" a="1"/>
  <c r="BA9" i="18"/>
  <c r="Z18" i="8"/>
  <c r="BA11" i="18" a="1"/>
  <c r="BA11" i="18"/>
  <c r="Z56" i="8"/>
  <c r="BA49" i="18" a="1"/>
  <c r="BA49" i="18"/>
  <c r="Z57" i="8"/>
  <c r="BA50" i="18" a="1"/>
  <c r="BA50" i="18"/>
  <c r="DE32" i="8"/>
  <c r="DE53" i="8"/>
  <c r="FJ17" i="8"/>
  <c r="DE106" i="8"/>
  <c r="DE97" i="8"/>
  <c r="FJ112" i="8"/>
  <c r="FJ76" i="8"/>
  <c r="DE43" i="8"/>
  <c r="DE34" i="8"/>
  <c r="FJ130" i="8"/>
  <c r="FJ48" i="8"/>
  <c r="FJ145" i="8"/>
  <c r="FJ115" i="8"/>
  <c r="FJ131" i="8"/>
  <c r="FJ54" i="8"/>
  <c r="DE88" i="8"/>
  <c r="FJ55" i="8"/>
  <c r="DE139" i="8"/>
  <c r="FJ132" i="8"/>
  <c r="FJ49" i="8"/>
  <c r="DE135" i="8"/>
  <c r="DE129" i="8"/>
  <c r="FJ75" i="8"/>
  <c r="FJ72" i="8"/>
  <c r="DE95" i="8"/>
  <c r="FF112" i="8"/>
  <c r="BE105" i="18" a="1"/>
  <c r="BE105" i="18"/>
  <c r="FF64" i="8"/>
  <c r="BE57" i="18" a="1"/>
  <c r="BE57" i="18"/>
  <c r="FF102" i="8"/>
  <c r="BE95" i="18" a="1"/>
  <c r="BE95" i="18"/>
  <c r="FF113" i="8"/>
  <c r="BE106" i="18" a="1"/>
  <c r="BE106" i="18"/>
  <c r="FF60" i="8"/>
  <c r="BE53" i="18" a="1"/>
  <c r="BE53" i="18"/>
  <c r="FF114" i="8"/>
  <c r="BE107" i="18" a="1"/>
  <c r="BE107" i="18"/>
  <c r="FF59" i="8"/>
  <c r="BE52" i="18" a="1"/>
  <c r="BE52" i="18"/>
  <c r="FF22" i="8"/>
  <c r="BE15" i="18" a="1"/>
  <c r="BE15" i="18"/>
  <c r="FF62" i="8"/>
  <c r="BE55" i="18" a="1"/>
  <c r="BE55" i="18"/>
  <c r="FF63" i="8"/>
  <c r="BE56" i="18" a="1"/>
  <c r="BE56" i="18"/>
  <c r="FF20" i="8"/>
  <c r="BE13" i="18" a="1"/>
  <c r="BE13" i="18"/>
  <c r="FF16" i="8"/>
  <c r="BE9" i="18" a="1"/>
  <c r="BE9" i="18"/>
  <c r="FF56" i="8"/>
  <c r="BE49" i="18" a="1"/>
  <c r="BE49" i="18"/>
  <c r="FF104" i="8"/>
  <c r="BE97" i="18" a="1"/>
  <c r="BE97" i="18"/>
  <c r="FF110" i="8"/>
  <c r="BE103" i="18" a="1"/>
  <c r="BE103" i="18"/>
  <c r="FF105" i="8"/>
  <c r="BE98" i="18" a="1"/>
  <c r="BE98" i="18"/>
  <c r="FF68" i="8"/>
  <c r="BE61" i="18" a="1"/>
  <c r="BE61" i="18"/>
  <c r="FF106" i="8"/>
  <c r="BE99" i="18" a="1"/>
  <c r="BE99" i="18"/>
  <c r="FF18" i="8"/>
  <c r="BE11" i="18" a="1"/>
  <c r="BE11" i="18"/>
  <c r="FF109" i="8"/>
  <c r="BE102" i="18" a="1"/>
  <c r="BE102" i="18"/>
  <c r="FF61" i="8"/>
  <c r="BE54" i="18" a="1"/>
  <c r="BE54" i="18"/>
  <c r="FF115" i="8"/>
  <c r="BE108" i="18" a="1"/>
  <c r="BE108" i="18"/>
  <c r="FF108" i="8"/>
  <c r="BE101" i="18" a="1"/>
  <c r="BE101" i="18"/>
  <c r="FF57" i="8"/>
  <c r="BE50" i="18" a="1"/>
  <c r="BE50" i="18"/>
  <c r="FF111" i="8"/>
  <c r="BE104" i="18" a="1"/>
  <c r="BE104" i="18"/>
  <c r="FF14" i="8"/>
  <c r="BE7" i="18" a="1"/>
  <c r="BE7" i="18"/>
  <c r="FF17" i="8"/>
  <c r="BE10" i="18" a="1"/>
  <c r="BE10" i="18"/>
  <c r="FF23" i="8"/>
  <c r="BE16" i="18" a="1"/>
  <c r="BE16" i="18"/>
  <c r="FF24" i="8"/>
  <c r="BE17" i="18" a="1"/>
  <c r="BE17" i="18"/>
  <c r="FF21" i="8"/>
  <c r="BE14" i="18" a="1"/>
  <c r="BE14" i="18"/>
  <c r="DE102" i="8"/>
  <c r="DE58" i="8"/>
  <c r="FJ13" i="8"/>
  <c r="FJ56" i="8"/>
  <c r="DE57" i="8"/>
  <c r="FJ111" i="8"/>
  <c r="FJ38" i="8"/>
  <c r="DE64" i="8"/>
  <c r="DE87" i="8"/>
  <c r="DE89" i="8"/>
  <c r="DE15" i="8"/>
  <c r="FJ39" i="8"/>
  <c r="FJ46" i="8"/>
  <c r="DE128" i="8"/>
  <c r="FJ86" i="8"/>
  <c r="DE18" i="8"/>
  <c r="FJ16" i="8"/>
  <c r="FJ105" i="8"/>
  <c r="FJ60" i="8"/>
  <c r="FJ14" i="8"/>
  <c r="FJ133" i="8"/>
  <c r="FJ62" i="8"/>
  <c r="FJ140" i="8"/>
  <c r="FJ42" i="8"/>
  <c r="FJ100" i="8"/>
  <c r="DE98" i="8"/>
  <c r="FJ29" i="8"/>
  <c r="FJ44" i="8"/>
  <c r="FJ77" i="8"/>
  <c r="FJ116" i="8"/>
  <c r="FJ126" i="8"/>
  <c r="FJ92" i="8"/>
  <c r="FJ61" i="8"/>
  <c r="FJ117" i="8"/>
  <c r="DE144" i="8"/>
  <c r="FJ96" i="8"/>
  <c r="DE96" i="8"/>
  <c r="DE66" i="8"/>
  <c r="FJ66" i="8"/>
  <c r="DE85" i="8"/>
  <c r="FJ85" i="8"/>
  <c r="DE121" i="8"/>
  <c r="FJ121" i="8"/>
  <c r="FJ20" i="8"/>
  <c r="FJ80" i="8"/>
  <c r="FJ83" i="8"/>
  <c r="DE21" i="8"/>
  <c r="DE33" i="8"/>
  <c r="FJ110" i="8"/>
  <c r="FJ123" i="8"/>
  <c r="FJ65" i="8"/>
  <c r="DE36" i="8"/>
  <c r="DE109" i="8"/>
  <c r="DE141" i="8"/>
  <c r="DE47" i="8"/>
  <c r="FJ99" i="8"/>
  <c r="FJ23" i="8"/>
  <c r="FJ73" i="8"/>
  <c r="FJ28" i="8"/>
  <c r="FJ122" i="8"/>
  <c r="FJ30" i="8"/>
  <c r="FJ101" i="8"/>
  <c r="FJ11" i="8"/>
  <c r="DE143" i="8"/>
  <c r="DE78" i="8"/>
  <c r="FJ103" i="8"/>
  <c r="FJ31" i="8"/>
  <c r="FJ82" i="8"/>
  <c r="FJ12" i="8"/>
  <c r="FF12" i="8"/>
  <c r="FF58" i="8"/>
  <c r="BE51" i="18" a="1"/>
  <c r="BE51" i="18"/>
  <c r="FF13" i="8"/>
  <c r="BE6" i="18" a="1"/>
  <c r="BE6" i="18"/>
  <c r="BE4" i="18" a="1"/>
  <c r="BE4" i="18"/>
  <c r="FF70" i="8"/>
  <c r="BE63" i="18" a="1"/>
  <c r="BE63" i="18"/>
  <c r="BF11" i="8"/>
  <c r="BK4" i="18" a="1"/>
  <c r="BK4" i="18"/>
  <c r="EJ139" i="8"/>
  <c r="CG132" i="17" a="1"/>
  <c r="CG132" i="17"/>
  <c r="EJ100" i="8"/>
  <c r="CG93" i="18" a="1"/>
  <c r="CG93" i="18"/>
  <c r="CV91" i="8"/>
  <c r="BI84" i="18" a="1"/>
  <c r="BI84" i="18"/>
  <c r="EJ77" i="8"/>
  <c r="CG70" i="18" a="1"/>
  <c r="CG70" i="18"/>
  <c r="EK77" i="8"/>
  <c r="CH70" i="18" a="1"/>
  <c r="CH70" i="18"/>
  <c r="EJ135" i="8"/>
  <c r="CG128" i="17" a="1"/>
  <c r="CG128" i="17"/>
  <c r="EK135" i="8"/>
  <c r="EJ25" i="8"/>
  <c r="CG18" i="18" a="1"/>
  <c r="CG18" i="18"/>
  <c r="EK25" i="8"/>
  <c r="CH18" i="18" a="1"/>
  <c r="CH18" i="18"/>
  <c r="EJ83" i="8"/>
  <c r="CG76" i="18" a="1"/>
  <c r="CG76" i="18"/>
  <c r="EK83" i="8"/>
  <c r="CH76" i="18" a="1"/>
  <c r="CH76" i="18"/>
  <c r="EJ127" i="8"/>
  <c r="CG120" i="18" a="1"/>
  <c r="CG120" i="18"/>
  <c r="EK127" i="8"/>
  <c r="CH120" i="18" a="1"/>
  <c r="CH120" i="18"/>
  <c r="EJ133" i="8"/>
  <c r="CG126" i="17" a="1"/>
  <c r="CG126" i="17"/>
  <c r="EK133" i="8"/>
  <c r="EJ96" i="8"/>
  <c r="CG89" i="18" a="1"/>
  <c r="CG89" i="18"/>
  <c r="EK96" i="8"/>
  <c r="CH89" i="18" a="1"/>
  <c r="CH89" i="18"/>
  <c r="EJ60" i="8"/>
  <c r="CG53" i="18" a="1"/>
  <c r="CG53" i="18"/>
  <c r="EK60" i="8"/>
  <c r="CH53" i="18" a="1"/>
  <c r="CH53" i="18"/>
  <c r="EJ91" i="8"/>
  <c r="CG84" i="18" a="1"/>
  <c r="CG84" i="18"/>
  <c r="EK91" i="8"/>
  <c r="CH84" i="18" a="1"/>
  <c r="CH84" i="18"/>
  <c r="EJ120" i="8"/>
  <c r="CG113" i="18" a="1"/>
  <c r="CG113" i="18"/>
  <c r="EK120" i="8"/>
  <c r="CH113" i="18" a="1"/>
  <c r="CH113" i="18"/>
  <c r="EJ123" i="8"/>
  <c r="CG116" i="18" a="1"/>
  <c r="CG116" i="18"/>
  <c r="EK123" i="8"/>
  <c r="CH116" i="18" a="1"/>
  <c r="CH116" i="18"/>
  <c r="EJ43" i="8"/>
  <c r="CG36" i="18" a="1"/>
  <c r="CG36" i="18"/>
  <c r="EK43" i="8"/>
  <c r="CH36" i="18" a="1"/>
  <c r="CH36" i="18"/>
  <c r="EJ40" i="8"/>
  <c r="CG33" i="18" a="1"/>
  <c r="CG33" i="18"/>
  <c r="EK40" i="8"/>
  <c r="CH33" i="18" a="1"/>
  <c r="CH33" i="18"/>
  <c r="EJ124" i="8"/>
  <c r="CG117" i="18" a="1"/>
  <c r="CG117" i="18"/>
  <c r="EK124" i="8"/>
  <c r="CH117" i="18" a="1"/>
  <c r="CH117" i="18"/>
  <c r="EJ53" i="8"/>
  <c r="CG46" i="18" a="1"/>
  <c r="CG46" i="18"/>
  <c r="EK53" i="8"/>
  <c r="CH46" i="18" a="1"/>
  <c r="CH46" i="18"/>
  <c r="EJ111" i="8"/>
  <c r="CG104" i="18" a="1"/>
  <c r="CG104" i="18"/>
  <c r="EK111" i="8"/>
  <c r="CH104" i="18" a="1"/>
  <c r="CH104" i="18"/>
  <c r="EJ65" i="8"/>
  <c r="CG58" i="18" a="1"/>
  <c r="CG58" i="18"/>
  <c r="EK65" i="8"/>
  <c r="CH58" i="18" a="1"/>
  <c r="CH58" i="18"/>
  <c r="EJ92" i="8"/>
  <c r="CG85" i="18" a="1"/>
  <c r="CG85" i="18"/>
  <c r="EK92" i="8"/>
  <c r="CH85" i="18" a="1"/>
  <c r="CH85" i="18"/>
  <c r="EJ54" i="8"/>
  <c r="CG47" i="18" a="1"/>
  <c r="CG47" i="18"/>
  <c r="EK54" i="8"/>
  <c r="CH47" i="18" a="1"/>
  <c r="CH47" i="18"/>
  <c r="EJ122" i="8"/>
  <c r="CG115" i="18" a="1"/>
  <c r="CG115" i="18"/>
  <c r="EK122" i="8"/>
  <c r="CH115" i="18" a="1"/>
  <c r="CH115" i="18"/>
  <c r="EJ32" i="8"/>
  <c r="CG25" i="18" a="1"/>
  <c r="CG25" i="18"/>
  <c r="EK32" i="8"/>
  <c r="CH25" i="18" a="1"/>
  <c r="CH25" i="18"/>
  <c r="EJ50" i="8"/>
  <c r="CG43" i="18" a="1"/>
  <c r="CG43" i="18"/>
  <c r="EK50" i="8"/>
  <c r="CH43" i="18" a="1"/>
  <c r="CH43" i="18"/>
  <c r="EJ98" i="8"/>
  <c r="CG91" i="18" a="1"/>
  <c r="CG91" i="18"/>
  <c r="EK98" i="8"/>
  <c r="CH91" i="18" a="1"/>
  <c r="CH91" i="18"/>
  <c r="CG129" i="18" a="1"/>
  <c r="CG129" i="18"/>
  <c r="CG138" i="18" a="1"/>
  <c r="CG138" i="18"/>
  <c r="EJ132" i="8"/>
  <c r="CG125" i="17" a="1"/>
  <c r="CG125" i="17"/>
  <c r="EK132" i="8"/>
  <c r="CH125" i="17" a="1"/>
  <c r="CH125" i="17"/>
  <c r="EJ59" i="8"/>
  <c r="CG52" i="18" a="1"/>
  <c r="CG52" i="18"/>
  <c r="EK59" i="8"/>
  <c r="CH52" i="18" a="1"/>
  <c r="CH52" i="18"/>
  <c r="EJ76" i="8"/>
  <c r="CG69" i="18" a="1"/>
  <c r="CG69" i="18"/>
  <c r="EK76" i="8"/>
  <c r="CH69" i="18" a="1"/>
  <c r="CH69" i="18"/>
  <c r="EJ35" i="8"/>
  <c r="CG28" i="18" a="1"/>
  <c r="CG28" i="18"/>
  <c r="EK35" i="8"/>
  <c r="CH28" i="18" a="1"/>
  <c r="CH28" i="18"/>
  <c r="EJ45" i="8"/>
  <c r="CG38" i="18" a="1"/>
  <c r="CG38" i="18"/>
  <c r="EK45" i="8"/>
  <c r="CH38" i="18" a="1"/>
  <c r="CH38" i="18"/>
  <c r="EJ84" i="8"/>
  <c r="CG77" i="18" a="1"/>
  <c r="CG77" i="18"/>
  <c r="EK84" i="8"/>
  <c r="CH77" i="18" a="1"/>
  <c r="CH77" i="18"/>
  <c r="EJ88" i="8"/>
  <c r="CG81" i="18" a="1"/>
  <c r="CG81" i="18"/>
  <c r="EK88" i="8"/>
  <c r="CH81" i="18" a="1"/>
  <c r="CH81" i="18"/>
  <c r="EJ81" i="8"/>
  <c r="CG74" i="18" a="1"/>
  <c r="CG74" i="18"/>
  <c r="EK81" i="8"/>
  <c r="CH74" i="18" a="1"/>
  <c r="CH74" i="18"/>
  <c r="EJ56" i="8"/>
  <c r="CG49" i="18" a="1"/>
  <c r="CG49" i="18"/>
  <c r="EK56" i="8"/>
  <c r="CH49" i="18" a="1"/>
  <c r="CH49" i="18"/>
  <c r="EJ72" i="8"/>
  <c r="CG65" i="18" a="1"/>
  <c r="CG65" i="18"/>
  <c r="EK72" i="8"/>
  <c r="CH65" i="18" a="1"/>
  <c r="CH65" i="18"/>
  <c r="EJ101" i="8"/>
  <c r="CG94" i="18" a="1"/>
  <c r="CG94" i="18"/>
  <c r="EK101" i="8"/>
  <c r="CH94" i="18" a="1"/>
  <c r="CH94" i="18"/>
  <c r="EJ38" i="8"/>
  <c r="CG31" i="18" a="1"/>
  <c r="CG31" i="18"/>
  <c r="EK38" i="8"/>
  <c r="CH31" i="18" a="1"/>
  <c r="CH31" i="18"/>
  <c r="EJ48" i="8"/>
  <c r="CG41" i="18" a="1"/>
  <c r="CG41" i="18"/>
  <c r="EK48" i="8"/>
  <c r="CH41" i="18" a="1"/>
  <c r="CH41" i="18"/>
  <c r="EJ121" i="8"/>
  <c r="CG114" i="18" a="1"/>
  <c r="CG114" i="18"/>
  <c r="EK121" i="8"/>
  <c r="CH114" i="18" a="1"/>
  <c r="CH114" i="18"/>
  <c r="EJ109" i="8"/>
  <c r="CG102" i="18" a="1"/>
  <c r="CG102" i="18"/>
  <c r="EK109" i="8"/>
  <c r="CH102" i="18" a="1"/>
  <c r="CH102" i="18"/>
  <c r="EJ80" i="8"/>
  <c r="CG73" i="18" a="1"/>
  <c r="CG73" i="18"/>
  <c r="EK80" i="8"/>
  <c r="CH73" i="18" a="1"/>
  <c r="CH73" i="18"/>
  <c r="EJ85" i="8"/>
  <c r="CG78" i="18" a="1"/>
  <c r="CG78" i="18"/>
  <c r="EK85" i="8"/>
  <c r="CH78" i="18" a="1"/>
  <c r="CH78" i="18"/>
  <c r="EJ63" i="8"/>
  <c r="CG56" i="18" a="1"/>
  <c r="CG56" i="18"/>
  <c r="EK63" i="8"/>
  <c r="CH56" i="18" a="1"/>
  <c r="CH56" i="18"/>
  <c r="EJ90" i="8"/>
  <c r="CG83" i="18" a="1"/>
  <c r="CG83" i="18"/>
  <c r="EK90" i="8"/>
  <c r="CH83" i="18" a="1"/>
  <c r="CH83" i="18"/>
  <c r="EJ61" i="8"/>
  <c r="CG54" i="18" a="1"/>
  <c r="CG54" i="18"/>
  <c r="EK61" i="8"/>
  <c r="CH54" i="18" a="1"/>
  <c r="CH54" i="18"/>
  <c r="EJ44" i="8"/>
  <c r="CG37" i="18" a="1"/>
  <c r="CG37" i="18"/>
  <c r="EK44" i="8"/>
  <c r="CH37" i="18" a="1"/>
  <c r="CH37" i="18"/>
  <c r="EJ103" i="8"/>
  <c r="CG96" i="18" a="1"/>
  <c r="CG96" i="18"/>
  <c r="EK103" i="8"/>
  <c r="CH96" i="18" a="1"/>
  <c r="CH96" i="18"/>
  <c r="EJ73" i="8"/>
  <c r="CG66" i="18" a="1"/>
  <c r="CG66" i="18"/>
  <c r="EK73" i="8"/>
  <c r="CH66" i="18" a="1"/>
  <c r="CH66" i="18"/>
  <c r="EJ108" i="8"/>
  <c r="CG101" i="18" a="1"/>
  <c r="CG101" i="18"/>
  <c r="EK108" i="8"/>
  <c r="CH101" i="18" a="1"/>
  <c r="CH101" i="18"/>
  <c r="EJ129" i="8"/>
  <c r="CG122" i="18" a="1"/>
  <c r="CG122" i="18"/>
  <c r="EK129" i="8"/>
  <c r="CH122" i="18" a="1"/>
  <c r="CH122" i="18"/>
  <c r="EJ19" i="8"/>
  <c r="CG12" i="18" a="1"/>
  <c r="CG12" i="18"/>
  <c r="EK19" i="8"/>
  <c r="CH12" i="18" a="1"/>
  <c r="CH12" i="18"/>
  <c r="EJ137" i="8"/>
  <c r="CG130" i="17" a="1"/>
  <c r="CG130" i="17"/>
  <c r="EK137" i="8"/>
  <c r="CH130" i="17" a="1"/>
  <c r="CH130" i="17"/>
  <c r="EJ116" i="8"/>
  <c r="CG109" i="18" a="1"/>
  <c r="CG109" i="18"/>
  <c r="EK116" i="8"/>
  <c r="CH109" i="18" a="1"/>
  <c r="CH109" i="18"/>
  <c r="EJ95" i="8"/>
  <c r="CG88" i="18" a="1"/>
  <c r="CG88" i="18"/>
  <c r="EK95" i="8"/>
  <c r="CH88" i="18" a="1"/>
  <c r="CH88" i="18"/>
  <c r="EJ140" i="8"/>
  <c r="CG133" i="18" a="1"/>
  <c r="CG133" i="18"/>
  <c r="EK140" i="8"/>
  <c r="EJ110" i="8"/>
  <c r="CG103" i="18" a="1"/>
  <c r="CG103" i="18"/>
  <c r="EK110" i="8"/>
  <c r="CH103" i="18" a="1"/>
  <c r="CH103" i="18"/>
  <c r="EJ82" i="8"/>
  <c r="CG75" i="18" a="1"/>
  <c r="CG75" i="18"/>
  <c r="EK82" i="8"/>
  <c r="CH75" i="18" a="1"/>
  <c r="CH75" i="18"/>
  <c r="EJ16" i="8"/>
  <c r="CG9" i="18" a="1"/>
  <c r="CG9" i="18"/>
  <c r="EK16" i="8"/>
  <c r="CH9" i="18" a="1"/>
  <c r="CH9" i="18"/>
  <c r="EJ125" i="8"/>
  <c r="CG118" i="18" a="1"/>
  <c r="CG118" i="18"/>
  <c r="EK125" i="8"/>
  <c r="CH118" i="18" a="1"/>
  <c r="CH118" i="18"/>
  <c r="EJ55" i="8"/>
  <c r="CG48" i="18" a="1"/>
  <c r="CG48" i="18"/>
  <c r="EK55" i="8"/>
  <c r="CH48" i="18" a="1"/>
  <c r="CH48" i="18"/>
  <c r="EJ87" i="8"/>
  <c r="CG80" i="18" a="1"/>
  <c r="CG80" i="18"/>
  <c r="EK87" i="8"/>
  <c r="CH80" i="18" a="1"/>
  <c r="CH80" i="18"/>
  <c r="EJ51" i="8"/>
  <c r="CG44" i="18" a="1"/>
  <c r="CG44" i="18"/>
  <c r="EK51" i="8"/>
  <c r="CH44" i="18" a="1"/>
  <c r="CH44" i="18"/>
  <c r="EJ79" i="8"/>
  <c r="CG72" i="18" a="1"/>
  <c r="CG72" i="18"/>
  <c r="EK79" i="8"/>
  <c r="CH72" i="18" a="1"/>
  <c r="CH72" i="18"/>
  <c r="EJ68" i="8"/>
  <c r="CG61" i="18" a="1"/>
  <c r="CG61" i="18"/>
  <c r="EK68" i="8"/>
  <c r="CH61" i="18" a="1"/>
  <c r="CH61" i="18"/>
  <c r="EJ57" i="8"/>
  <c r="CG50" i="18" a="1"/>
  <c r="CG50" i="18"/>
  <c r="EK57" i="8"/>
  <c r="CH50" i="18" a="1"/>
  <c r="CH50" i="18"/>
  <c r="EJ23" i="8"/>
  <c r="CG16" i="18" a="1"/>
  <c r="CG16" i="18"/>
  <c r="EK23" i="8"/>
  <c r="CH16" i="18" a="1"/>
  <c r="CH16" i="18"/>
  <c r="EJ30" i="8"/>
  <c r="CG23" i="18" a="1"/>
  <c r="CG23" i="18"/>
  <c r="EK30" i="8"/>
  <c r="CH23" i="18" a="1"/>
  <c r="CH23" i="18"/>
  <c r="EJ13" i="8"/>
  <c r="CG6" i="18" a="1"/>
  <c r="CG6" i="18"/>
  <c r="EK13" i="8"/>
  <c r="CH6" i="18" a="1"/>
  <c r="CH6" i="18"/>
  <c r="EJ64" i="8"/>
  <c r="CG57" i="18" a="1"/>
  <c r="CG57" i="18"/>
  <c r="EK64" i="8"/>
  <c r="CH57" i="18" a="1"/>
  <c r="CH57" i="18"/>
  <c r="EJ21" i="8"/>
  <c r="CG14" i="18" a="1"/>
  <c r="CG14" i="18"/>
  <c r="EK21" i="8"/>
  <c r="CH14" i="18" a="1"/>
  <c r="CH14" i="18"/>
  <c r="EJ102" i="8"/>
  <c r="CG95" i="18" a="1"/>
  <c r="CG95" i="18"/>
  <c r="EK102" i="8"/>
  <c r="CH95" i="18" a="1"/>
  <c r="CH95" i="18"/>
  <c r="EJ14" i="8"/>
  <c r="CG7" i="18" a="1"/>
  <c r="CG7" i="18"/>
  <c r="EK14" i="8"/>
  <c r="CH7" i="18" a="1"/>
  <c r="CH7" i="18"/>
  <c r="EJ62" i="8"/>
  <c r="CG55" i="18" a="1"/>
  <c r="CG55" i="18"/>
  <c r="EK62" i="8"/>
  <c r="CH55" i="18" a="1"/>
  <c r="CH55" i="18"/>
  <c r="EJ67" i="8"/>
  <c r="CG60" i="18" a="1"/>
  <c r="CG60" i="18"/>
  <c r="EK67" i="8"/>
  <c r="CH60" i="18" a="1"/>
  <c r="CH60" i="18"/>
  <c r="EJ94" i="8"/>
  <c r="CG87" i="18" a="1"/>
  <c r="CG87" i="18"/>
  <c r="EK94" i="8"/>
  <c r="CH87" i="18" a="1"/>
  <c r="CH87" i="18"/>
  <c r="EJ78" i="8"/>
  <c r="CG71" i="18" a="1"/>
  <c r="CG71" i="18"/>
  <c r="EK78" i="8"/>
  <c r="CH71" i="18" a="1"/>
  <c r="CH71" i="18"/>
  <c r="EJ70" i="8"/>
  <c r="CG63" i="18" a="1"/>
  <c r="CG63" i="18"/>
  <c r="EK70" i="8"/>
  <c r="CH63" i="18" a="1"/>
  <c r="CH63" i="18"/>
  <c r="EJ52" i="8"/>
  <c r="CG45" i="18" a="1"/>
  <c r="CG45" i="18"/>
  <c r="EK52" i="8"/>
  <c r="CH45" i="18" a="1"/>
  <c r="CH45" i="18"/>
  <c r="EJ106" i="8"/>
  <c r="CG99" i="18" a="1"/>
  <c r="CG99" i="18"/>
  <c r="EK106" i="8"/>
  <c r="CH99" i="18" a="1"/>
  <c r="CH99" i="18"/>
  <c r="EJ105" i="8"/>
  <c r="CG98" i="18" a="1"/>
  <c r="CG98" i="18"/>
  <c r="EK105" i="8"/>
  <c r="CH98" i="18" a="1"/>
  <c r="CH98" i="18"/>
  <c r="EJ113" i="8"/>
  <c r="CG106" i="18" a="1"/>
  <c r="CG106" i="18"/>
  <c r="EK113" i="8"/>
  <c r="CH106" i="18" a="1"/>
  <c r="CH106" i="18"/>
  <c r="EJ33" i="8"/>
  <c r="CG26" i="18" a="1"/>
  <c r="CG26" i="18"/>
  <c r="EK33" i="8"/>
  <c r="CH26" i="18" a="1"/>
  <c r="CH26" i="18"/>
  <c r="EJ74" i="8"/>
  <c r="CG67" i="18" a="1"/>
  <c r="CG67" i="18"/>
  <c r="EK74" i="8"/>
  <c r="CH67" i="18" a="1"/>
  <c r="CH67" i="18"/>
  <c r="EJ86" i="8"/>
  <c r="CG79" i="18" a="1"/>
  <c r="CG79" i="18"/>
  <c r="EK86" i="8"/>
  <c r="CH79" i="18" a="1"/>
  <c r="CH79" i="18"/>
  <c r="EJ71" i="8"/>
  <c r="CG64" i="18" a="1"/>
  <c r="CG64" i="18"/>
  <c r="EK71" i="8"/>
  <c r="CH64" i="18" a="1"/>
  <c r="CH64" i="18"/>
  <c r="EJ93" i="8"/>
  <c r="CG86" i="18" a="1"/>
  <c r="CG86" i="18"/>
  <c r="EK93" i="8"/>
  <c r="CH86" i="18" a="1"/>
  <c r="CH86" i="18"/>
  <c r="EJ24" i="8"/>
  <c r="CG17" i="18" a="1"/>
  <c r="CG17" i="18"/>
  <c r="EK24" i="8"/>
  <c r="CH17" i="18" a="1"/>
  <c r="CH17" i="18"/>
  <c r="EJ37" i="8"/>
  <c r="CG30" i="18" a="1"/>
  <c r="CG30" i="18"/>
  <c r="EK37" i="8"/>
  <c r="CH30" i="18" a="1"/>
  <c r="CH30" i="18"/>
  <c r="EJ22" i="8"/>
  <c r="CG15" i="18" a="1"/>
  <c r="CG15" i="18"/>
  <c r="EK22" i="8"/>
  <c r="CH15" i="18" a="1"/>
  <c r="CH15" i="18"/>
  <c r="EJ66" i="8"/>
  <c r="CG59" i="18" a="1"/>
  <c r="CG59" i="18"/>
  <c r="EK66" i="8"/>
  <c r="CH59" i="18" a="1"/>
  <c r="CH59" i="18"/>
  <c r="EJ115" i="8"/>
  <c r="CG108" i="18" a="1"/>
  <c r="CG108" i="18"/>
  <c r="EK115" i="8"/>
  <c r="CH108" i="18" a="1"/>
  <c r="CH108" i="18"/>
  <c r="EJ11" i="8"/>
  <c r="CG4" i="18" a="1"/>
  <c r="CG4" i="18"/>
  <c r="EK11" i="8"/>
  <c r="EJ31" i="8"/>
  <c r="CG24" i="18" a="1"/>
  <c r="CG24" i="18"/>
  <c r="EK31" i="8"/>
  <c r="CH24" i="18" a="1"/>
  <c r="CH24" i="18"/>
  <c r="EJ126" i="8"/>
  <c r="CG119" i="18" a="1"/>
  <c r="CG119" i="18"/>
  <c r="EK126" i="8"/>
  <c r="CH119" i="18" a="1"/>
  <c r="CH119" i="18"/>
  <c r="EJ117" i="8"/>
  <c r="CG110" i="18" a="1"/>
  <c r="CG110" i="18"/>
  <c r="EK117" i="8"/>
  <c r="CH110" i="18" a="1"/>
  <c r="CH110" i="18"/>
  <c r="EJ104" i="8"/>
  <c r="CG97" i="18" a="1"/>
  <c r="CG97" i="18"/>
  <c r="EK104" i="8"/>
  <c r="CH97" i="18" a="1"/>
  <c r="CH97" i="18"/>
  <c r="EJ112" i="8"/>
  <c r="CG105" i="18" a="1"/>
  <c r="CG105" i="18"/>
  <c r="EK112" i="8"/>
  <c r="CH105" i="18" a="1"/>
  <c r="CH105" i="18"/>
  <c r="EJ128" i="8"/>
  <c r="CG121" i="18" a="1"/>
  <c r="CG121" i="18"/>
  <c r="EK128" i="8"/>
  <c r="CH121" i="18" a="1"/>
  <c r="CH121" i="18"/>
  <c r="EJ58" i="8"/>
  <c r="CG51" i="18" a="1"/>
  <c r="CG51" i="18"/>
  <c r="EK58" i="8"/>
  <c r="CH51" i="18" a="1"/>
  <c r="CH51" i="18"/>
  <c r="EJ27" i="8"/>
  <c r="CG20" i="18" a="1"/>
  <c r="CG20" i="18"/>
  <c r="EK27" i="8"/>
  <c r="CH20" i="18" a="1"/>
  <c r="CH20" i="18"/>
  <c r="EJ142" i="8"/>
  <c r="CG135" i="18" a="1"/>
  <c r="CG135" i="18"/>
  <c r="EK142" i="8"/>
  <c r="CH135" i="18" a="1"/>
  <c r="CH135" i="18"/>
  <c r="EJ97" i="8"/>
  <c r="CG90" i="18" a="1"/>
  <c r="CG90" i="18"/>
  <c r="EK97" i="8"/>
  <c r="CH90" i="18" a="1"/>
  <c r="CH90" i="18"/>
  <c r="EJ15" i="8"/>
  <c r="CG8" i="18" a="1"/>
  <c r="CG8" i="18"/>
  <c r="EK15" i="8"/>
  <c r="EJ41" i="8"/>
  <c r="CG34" i="18" a="1"/>
  <c r="CG34" i="18"/>
  <c r="EK41" i="8"/>
  <c r="CH34" i="18" a="1"/>
  <c r="CH34" i="18"/>
  <c r="EJ118" i="8"/>
  <c r="CG111" i="18" a="1"/>
  <c r="CG111" i="18"/>
  <c r="EK118" i="8"/>
  <c r="CH111" i="18" a="1"/>
  <c r="CH111" i="18"/>
  <c r="EJ119" i="8"/>
  <c r="CG112" i="18" a="1"/>
  <c r="CG112" i="18"/>
  <c r="EK119" i="8"/>
  <c r="CH112" i="18" a="1"/>
  <c r="CH112" i="18"/>
  <c r="EJ134" i="8"/>
  <c r="CG127" i="18" a="1"/>
  <c r="CG127" i="18"/>
  <c r="EK134" i="8"/>
  <c r="EJ20" i="8"/>
  <c r="CG13" i="18" a="1"/>
  <c r="CG13" i="18"/>
  <c r="EK20" i="8"/>
  <c r="CH13" i="18" a="1"/>
  <c r="CH13" i="18"/>
  <c r="EJ26" i="8"/>
  <c r="CG19" i="18" a="1"/>
  <c r="CG19" i="18"/>
  <c r="EK26" i="8"/>
  <c r="CH19" i="18" a="1"/>
  <c r="CH19" i="18"/>
  <c r="EJ130" i="8"/>
  <c r="CG123" i="18" a="1"/>
  <c r="CG123" i="18"/>
  <c r="EK130" i="8"/>
  <c r="CH123" i="18" a="1"/>
  <c r="CH123" i="18"/>
  <c r="EJ99" i="8"/>
  <c r="CG92" i="18" a="1"/>
  <c r="CG92" i="18"/>
  <c r="EK99" i="8"/>
  <c r="CH92" i="18" a="1"/>
  <c r="CH92" i="18"/>
  <c r="EJ12" i="8"/>
  <c r="CG5" i="18" a="1"/>
  <c r="CG5" i="18"/>
  <c r="EK12" i="8"/>
  <c r="EJ18" i="8"/>
  <c r="CG11" i="18" a="1"/>
  <c r="CG11" i="18"/>
  <c r="EK18" i="8"/>
  <c r="CH11" i="18" a="1"/>
  <c r="CH11" i="18"/>
  <c r="EJ114" i="8"/>
  <c r="CG107" i="18" a="1"/>
  <c r="CG107" i="18"/>
  <c r="EK114" i="8"/>
  <c r="CH107" i="18" a="1"/>
  <c r="CH107" i="18"/>
  <c r="EJ34" i="8"/>
  <c r="CG27" i="18" a="1"/>
  <c r="CG27" i="18"/>
  <c r="EK34" i="8"/>
  <c r="CH27" i="18" a="1"/>
  <c r="CH27" i="18"/>
  <c r="EJ107" i="8"/>
  <c r="CG100" i="18" a="1"/>
  <c r="CG100" i="18"/>
  <c r="EK107" i="8"/>
  <c r="CH100" i="18" a="1"/>
  <c r="CH100" i="18"/>
  <c r="EJ69" i="8"/>
  <c r="CG62" i="18" a="1"/>
  <c r="CG62" i="18"/>
  <c r="EK69" i="8"/>
  <c r="CH62" i="18" a="1"/>
  <c r="CH62" i="18"/>
  <c r="EJ89" i="8"/>
  <c r="CG82" i="18" a="1"/>
  <c r="CG82" i="18"/>
  <c r="EK89" i="8"/>
  <c r="CH82" i="18" a="1"/>
  <c r="CH82" i="18"/>
  <c r="EJ141" i="8"/>
  <c r="CG134" i="17" a="1"/>
  <c r="CG134" i="17"/>
  <c r="EK141" i="8"/>
  <c r="EJ143" i="8"/>
  <c r="CG136" i="17" a="1"/>
  <c r="CG136" i="17"/>
  <c r="EK143" i="8"/>
  <c r="EJ144" i="8"/>
  <c r="CG137" i="17" a="1"/>
  <c r="CG137" i="17"/>
  <c r="EK144" i="8"/>
  <c r="EJ42" i="8"/>
  <c r="CG35" i="18" a="1"/>
  <c r="CG35" i="18"/>
  <c r="EK42" i="8"/>
  <c r="CH35" i="18" a="1"/>
  <c r="CH35" i="18"/>
  <c r="EJ28" i="8"/>
  <c r="CG21" i="18" a="1"/>
  <c r="CG21" i="18"/>
  <c r="EK28" i="8"/>
  <c r="CH21" i="18" a="1"/>
  <c r="CH21" i="18"/>
  <c r="EJ49" i="8"/>
  <c r="CG42" i="18" a="1"/>
  <c r="CG42" i="18"/>
  <c r="EK49" i="8"/>
  <c r="CH42" i="18" a="1"/>
  <c r="CH42" i="18"/>
  <c r="EJ131" i="8"/>
  <c r="CG124" i="17" a="1"/>
  <c r="CG124" i="17"/>
  <c r="EK131" i="8"/>
  <c r="EJ138" i="8"/>
  <c r="CG131" i="18" a="1"/>
  <c r="CG131" i="18"/>
  <c r="EK138" i="8"/>
  <c r="CH131" i="18" a="1"/>
  <c r="CH131" i="18"/>
  <c r="EJ39" i="8"/>
  <c r="CG32" i="18" a="1"/>
  <c r="CG32" i="18"/>
  <c r="EK39" i="8"/>
  <c r="CH32" i="18" a="1"/>
  <c r="CH32" i="18"/>
  <c r="EJ46" i="8"/>
  <c r="CG39" i="18" a="1"/>
  <c r="CG39" i="18"/>
  <c r="EK46" i="8"/>
  <c r="CH39" i="18" a="1"/>
  <c r="CH39" i="18"/>
  <c r="AC93" i="18"/>
  <c r="AC79" i="18"/>
  <c r="AC83" i="18"/>
  <c r="AC77" i="18"/>
  <c r="AC124" i="18"/>
  <c r="AC90" i="18"/>
  <c r="AC17" i="18"/>
  <c r="AC20" i="18"/>
  <c r="AC130" i="18"/>
  <c r="AC43" i="18"/>
  <c r="AC112" i="18"/>
  <c r="AC69" i="18"/>
  <c r="AC16" i="18"/>
  <c r="AC92" i="18"/>
  <c r="AC125" i="17"/>
  <c r="AC127" i="17"/>
  <c r="AC129" i="17"/>
  <c r="AC131" i="17"/>
  <c r="AC133" i="17"/>
  <c r="AC135" i="17"/>
  <c r="AC137" i="17"/>
  <c r="AC18" i="18"/>
  <c r="AC122" i="18"/>
  <c r="AC21" i="18"/>
  <c r="AC67" i="18"/>
  <c r="AC56" i="18"/>
  <c r="AC65" i="18"/>
  <c r="AC14" i="18"/>
  <c r="AC138" i="18"/>
  <c r="AC115" i="18"/>
  <c r="AC131" i="18"/>
  <c r="AC23" i="18"/>
  <c r="AC136" i="18"/>
  <c r="AC71" i="18"/>
  <c r="AC124" i="17"/>
  <c r="AC126" i="17"/>
  <c r="AC128" i="17"/>
  <c r="AC130" i="17"/>
  <c r="AC132" i="17"/>
  <c r="AC134" i="17"/>
  <c r="AC136" i="17"/>
  <c r="AC138" i="17"/>
  <c r="AC76" i="18"/>
  <c r="AC4" i="18"/>
  <c r="AC13" i="18"/>
  <c r="AC33" i="18"/>
  <c r="AC113" i="18"/>
  <c r="AC110" i="18"/>
  <c r="AC52" i="18"/>
  <c r="AC120" i="18"/>
  <c r="AC89" i="18"/>
  <c r="AC134" i="18"/>
  <c r="AC98" i="18"/>
  <c r="AC8" i="18"/>
  <c r="AC42" i="18"/>
  <c r="AC109" i="18"/>
  <c r="AC78" i="18"/>
  <c r="AC36" i="18"/>
  <c r="AC12" i="18"/>
  <c r="AC45" i="18"/>
  <c r="AC57" i="18"/>
  <c r="AC132" i="18"/>
  <c r="AC27" i="18"/>
  <c r="AC55" i="18"/>
  <c r="AC121" i="18"/>
  <c r="AC40" i="18"/>
  <c r="AC58" i="18"/>
  <c r="AC100" i="18"/>
  <c r="AC49" i="18"/>
  <c r="AC75" i="18"/>
  <c r="AC108" i="18"/>
  <c r="AC38" i="18"/>
  <c r="AC137" i="18"/>
  <c r="AC104" i="18"/>
  <c r="AC35" i="18"/>
  <c r="AC84" i="18"/>
  <c r="AC135" i="18"/>
  <c r="AC68" i="18"/>
  <c r="AC105" i="18"/>
  <c r="AC103" i="18"/>
  <c r="AC51" i="18"/>
  <c r="AC48" i="18"/>
  <c r="AC81" i="18"/>
  <c r="AC60" i="18"/>
  <c r="AC129" i="18"/>
  <c r="AC50" i="18"/>
  <c r="AC66" i="18"/>
  <c r="AC114" i="18"/>
  <c r="AC29" i="18"/>
  <c r="AC62" i="18"/>
  <c r="AC106" i="18"/>
  <c r="AC107" i="18"/>
  <c r="AC126" i="18"/>
  <c r="AC61" i="18"/>
  <c r="AC19" i="18"/>
  <c r="AC118" i="18"/>
  <c r="AC9" i="18"/>
  <c r="AC10" i="18"/>
  <c r="AC31" i="18"/>
  <c r="AC111" i="18"/>
  <c r="AC15" i="18"/>
  <c r="AC127" i="18"/>
  <c r="AC74" i="18"/>
  <c r="AC59" i="18"/>
  <c r="AC26" i="18"/>
  <c r="AC28" i="18"/>
  <c r="AC102" i="18"/>
  <c r="AC63" i="18"/>
  <c r="AC37" i="18"/>
  <c r="AC54" i="18"/>
  <c r="AC123" i="18"/>
  <c r="AC46" i="18"/>
  <c r="AC72" i="18"/>
  <c r="AC87" i="18"/>
  <c r="AC85" i="18"/>
  <c r="AC119" i="18"/>
  <c r="AC99" i="18"/>
  <c r="AC101" i="18"/>
  <c r="AC11" i="18"/>
  <c r="AC39" i="18"/>
  <c r="AC70" i="18"/>
  <c r="AC64" i="18"/>
  <c r="AC34" i="18"/>
  <c r="AC22" i="18"/>
  <c r="AC97" i="18"/>
  <c r="AC6" i="18"/>
  <c r="AC88" i="18"/>
  <c r="AC32" i="18"/>
  <c r="AC94" i="18"/>
  <c r="AC41" i="18"/>
  <c r="AC86" i="18"/>
  <c r="AC95" i="18"/>
  <c r="AC117" i="18"/>
  <c r="AC80" i="18"/>
  <c r="AC133" i="18"/>
  <c r="AC73" i="18"/>
  <c r="AC91" i="18"/>
  <c r="AC116" i="18"/>
  <c r="AC25" i="18"/>
  <c r="AC24" i="18"/>
  <c r="AC30" i="18"/>
  <c r="AC44" i="18"/>
  <c r="AC47" i="18"/>
  <c r="AC128" i="18"/>
  <c r="AC96" i="18"/>
  <c r="AC82" i="18"/>
  <c r="AC125" i="18"/>
  <c r="AC7" i="18"/>
  <c r="AC5" i="18"/>
  <c r="AC53" i="18"/>
  <c r="CV93" i="8"/>
  <c r="BI86" i="18" a="1"/>
  <c r="BI86" i="18"/>
  <c r="AZ12" i="8"/>
  <c r="EH15" i="8"/>
  <c r="EI15" i="8"/>
  <c r="AZ21" i="8"/>
  <c r="AZ20" i="8"/>
  <c r="AZ13" i="8"/>
  <c r="AZ17" i="8"/>
  <c r="AZ16" i="8"/>
  <c r="CV11" i="8"/>
  <c r="BI4" i="18" a="1"/>
  <c r="BI4" i="18"/>
  <c r="AZ22" i="8"/>
  <c r="AZ14" i="8"/>
  <c r="AZ18" i="8"/>
  <c r="CV110" i="8"/>
  <c r="BI103" i="18" a="1"/>
  <c r="BI103" i="18"/>
  <c r="CV90" i="8"/>
  <c r="BI83" i="18" a="1"/>
  <c r="BI83" i="18"/>
  <c r="CV12" i="8"/>
  <c r="BI5" i="18" a="1"/>
  <c r="BI5" i="18"/>
  <c r="CV56" i="8"/>
  <c r="BI49" i="18" a="1"/>
  <c r="BI49" i="18"/>
  <c r="CV43" i="8"/>
  <c r="BI36" i="18" a="1"/>
  <c r="BI36" i="18"/>
  <c r="CV104" i="8"/>
  <c r="BI97" i="18" a="1"/>
  <c r="BI97" i="18"/>
  <c r="AH40" i="18"/>
  <c r="T124" i="17"/>
  <c r="T126" i="17"/>
  <c r="T128" i="17"/>
  <c r="T130" i="17"/>
  <c r="T132" i="17"/>
  <c r="T134" i="17"/>
  <c r="T136" i="17"/>
  <c r="T138" i="17"/>
  <c r="T125" i="17"/>
  <c r="T127" i="17"/>
  <c r="T129" i="17"/>
  <c r="T131" i="17"/>
  <c r="T133" i="17"/>
  <c r="T135" i="17"/>
  <c r="T137" i="17"/>
  <c r="AA124" i="17"/>
  <c r="AA126" i="17"/>
  <c r="AA128" i="17"/>
  <c r="AA130" i="17"/>
  <c r="AA132" i="17"/>
  <c r="AA134" i="17"/>
  <c r="AA136" i="17"/>
  <c r="AA138" i="17"/>
  <c r="AA125" i="17"/>
  <c r="AA127" i="17"/>
  <c r="AA129" i="17"/>
  <c r="AA131" i="17"/>
  <c r="AA133" i="17"/>
  <c r="AA135" i="17"/>
  <c r="AA137" i="17"/>
  <c r="AB124" i="17"/>
  <c r="AB126" i="17"/>
  <c r="AB128" i="17"/>
  <c r="AB130" i="17"/>
  <c r="AB132" i="17"/>
  <c r="AB134" i="17"/>
  <c r="AB136" i="17"/>
  <c r="AB138" i="17"/>
  <c r="AB125" i="17"/>
  <c r="AB127" i="17"/>
  <c r="AB129" i="17"/>
  <c r="AB131" i="17"/>
  <c r="AB133" i="17"/>
  <c r="AB135" i="17"/>
  <c r="AB137" i="17"/>
  <c r="H124" i="17"/>
  <c r="H126" i="17"/>
  <c r="H128" i="17"/>
  <c r="H130" i="17"/>
  <c r="H132" i="17"/>
  <c r="H134" i="17"/>
  <c r="H136" i="17"/>
  <c r="H138" i="17"/>
  <c r="H125" i="17"/>
  <c r="H127" i="17"/>
  <c r="H129" i="17"/>
  <c r="H131" i="17"/>
  <c r="H133" i="17"/>
  <c r="H135" i="17"/>
  <c r="H137" i="17"/>
  <c r="R124" i="17"/>
  <c r="R126" i="17"/>
  <c r="R128" i="17"/>
  <c r="R130" i="17"/>
  <c r="R132" i="17"/>
  <c r="R134" i="17"/>
  <c r="R136" i="17"/>
  <c r="R138" i="17"/>
  <c r="R125" i="17"/>
  <c r="R127" i="17"/>
  <c r="R129" i="17"/>
  <c r="R131" i="17"/>
  <c r="R133" i="17"/>
  <c r="R135" i="17"/>
  <c r="R137" i="17"/>
  <c r="AG124" i="17"/>
  <c r="AG126" i="17"/>
  <c r="AG128" i="17"/>
  <c r="AG130" i="17"/>
  <c r="AG132" i="17"/>
  <c r="AG134" i="17"/>
  <c r="AG136" i="17"/>
  <c r="AG138" i="17"/>
  <c r="AG125" i="17"/>
  <c r="AG127" i="17"/>
  <c r="AG129" i="17"/>
  <c r="AG131" i="17"/>
  <c r="AG133" i="17"/>
  <c r="AG135" i="17"/>
  <c r="AG137" i="17"/>
  <c r="Q124" i="17"/>
  <c r="Q126" i="17"/>
  <c r="Q128" i="17"/>
  <c r="Q130" i="17"/>
  <c r="Q132" i="17"/>
  <c r="Q134" i="17"/>
  <c r="Q136" i="17"/>
  <c r="Q138" i="17"/>
  <c r="Q125" i="17"/>
  <c r="Q127" i="17"/>
  <c r="Q129" i="17"/>
  <c r="Q131" i="17"/>
  <c r="Q133" i="17"/>
  <c r="Q135" i="17"/>
  <c r="Q137" i="17"/>
  <c r="U125" i="17"/>
  <c r="U127" i="17"/>
  <c r="U129" i="17"/>
  <c r="U131" i="17"/>
  <c r="U133" i="17"/>
  <c r="U135" i="17"/>
  <c r="U137" i="17"/>
  <c r="U124" i="17"/>
  <c r="U126" i="17"/>
  <c r="U128" i="17"/>
  <c r="U130" i="17"/>
  <c r="U132" i="17"/>
  <c r="U134" i="17"/>
  <c r="U136" i="17"/>
  <c r="U138" i="17"/>
  <c r="M125" i="17"/>
  <c r="M127" i="17"/>
  <c r="M129" i="17"/>
  <c r="M131" i="17"/>
  <c r="M133" i="17"/>
  <c r="M135" i="17"/>
  <c r="M137" i="17"/>
  <c r="M124" i="17"/>
  <c r="M126" i="17"/>
  <c r="M128" i="17"/>
  <c r="M130" i="17"/>
  <c r="M132" i="17"/>
  <c r="M134" i="17"/>
  <c r="M136" i="17"/>
  <c r="M138" i="17"/>
  <c r="P124" i="17"/>
  <c r="P126" i="17"/>
  <c r="P128" i="17"/>
  <c r="P130" i="17"/>
  <c r="P132" i="17"/>
  <c r="P134" i="17"/>
  <c r="P136" i="17"/>
  <c r="P138" i="17"/>
  <c r="P125" i="17"/>
  <c r="P127" i="17"/>
  <c r="P129" i="17"/>
  <c r="P131" i="17"/>
  <c r="P133" i="17"/>
  <c r="P135" i="17"/>
  <c r="P137" i="17"/>
  <c r="O125" i="17"/>
  <c r="O127" i="17"/>
  <c r="O129" i="17"/>
  <c r="O131" i="17"/>
  <c r="O133" i="17"/>
  <c r="O135" i="17"/>
  <c r="O137" i="17"/>
  <c r="O124" i="17"/>
  <c r="O126" i="17"/>
  <c r="O128" i="17"/>
  <c r="O130" i="17"/>
  <c r="O132" i="17"/>
  <c r="O134" i="17"/>
  <c r="O136" i="17"/>
  <c r="O138" i="17"/>
  <c r="G125" i="17"/>
  <c r="G127" i="17"/>
  <c r="G129" i="17"/>
  <c r="G131" i="17"/>
  <c r="G133" i="17"/>
  <c r="G135" i="17"/>
  <c r="G137" i="17"/>
  <c r="G124" i="17"/>
  <c r="G126" i="17"/>
  <c r="G128" i="17"/>
  <c r="G130" i="17"/>
  <c r="G132" i="17"/>
  <c r="G134" i="17"/>
  <c r="G136" i="17"/>
  <c r="G138" i="17"/>
  <c r="AH124" i="17"/>
  <c r="AH126" i="17"/>
  <c r="AH128" i="17"/>
  <c r="AH130" i="17"/>
  <c r="AH132" i="17"/>
  <c r="AH134" i="17"/>
  <c r="AH136" i="17"/>
  <c r="AH138" i="17"/>
  <c r="AH125" i="17"/>
  <c r="AH127" i="17"/>
  <c r="AH129" i="17"/>
  <c r="AH131" i="17"/>
  <c r="AH133" i="17"/>
  <c r="AH135" i="17"/>
  <c r="AH137" i="17"/>
  <c r="AH39" i="18"/>
  <c r="AG30" i="18"/>
  <c r="AB43" i="18"/>
  <c r="AH99" i="18"/>
  <c r="AH25" i="18"/>
  <c r="AH109" i="18"/>
  <c r="AH44" i="18"/>
  <c r="AG128" i="18"/>
  <c r="AG72" i="18"/>
  <c r="AB102" i="18"/>
  <c r="AH80" i="18"/>
  <c r="AH120" i="18"/>
  <c r="AH63" i="18"/>
  <c r="AG91" i="18"/>
  <c r="AH28" i="18"/>
  <c r="AG38" i="18"/>
  <c r="AB69" i="18"/>
  <c r="AH9" i="18"/>
  <c r="AH86" i="18"/>
  <c r="AH17" i="18"/>
  <c r="AH5" i="18"/>
  <c r="AG60" i="18"/>
  <c r="AG116" i="18"/>
  <c r="AB97" i="18"/>
  <c r="AH95" i="18"/>
  <c r="AH41" i="18"/>
  <c r="AH106" i="18"/>
  <c r="AH77" i="18"/>
  <c r="AH12" i="18"/>
  <c r="AG81" i="18"/>
  <c r="AG6" i="18"/>
  <c r="AH126" i="18"/>
  <c r="AH33" i="18"/>
  <c r="AH82" i="18"/>
  <c r="AH103" i="18"/>
  <c r="AH123" i="18"/>
  <c r="AH29" i="18"/>
  <c r="AH93" i="18"/>
  <c r="AH22" i="18"/>
  <c r="AG77" i="18"/>
  <c r="AG111" i="18"/>
  <c r="AG133" i="18"/>
  <c r="AH4" i="18"/>
  <c r="AH16" i="18"/>
  <c r="AH32" i="18"/>
  <c r="AH48" i="18"/>
  <c r="AH64" i="18"/>
  <c r="AH6" i="18"/>
  <c r="AH23" i="18"/>
  <c r="AH53" i="18"/>
  <c r="AH70" i="18"/>
  <c r="AH81" i="18"/>
  <c r="AH97" i="18"/>
  <c r="AH113" i="18"/>
  <c r="AH129" i="18"/>
  <c r="AH18" i="18"/>
  <c r="AH43" i="18"/>
  <c r="AH66" i="18"/>
  <c r="AH90" i="18"/>
  <c r="AH107" i="18"/>
  <c r="AH124" i="18"/>
  <c r="AH27" i="18"/>
  <c r="AH59" i="18"/>
  <c r="AH87" i="18"/>
  <c r="AH104" i="18"/>
  <c r="AH134" i="18"/>
  <c r="AH15" i="18"/>
  <c r="AH51" i="18"/>
  <c r="AH83" i="18"/>
  <c r="AH100" i="18"/>
  <c r="AH130" i="18"/>
  <c r="AH11" i="18"/>
  <c r="AH47" i="18"/>
  <c r="AH110" i="18"/>
  <c r="AH111" i="18"/>
  <c r="AH112" i="18"/>
  <c r="AH20" i="18"/>
  <c r="AH36" i="18"/>
  <c r="AH52" i="18"/>
  <c r="AH68" i="18"/>
  <c r="AH7" i="18"/>
  <c r="AH37" i="18"/>
  <c r="AH54" i="18"/>
  <c r="AH71" i="18"/>
  <c r="AH85" i="18"/>
  <c r="AH101" i="18"/>
  <c r="AH117" i="18"/>
  <c r="AH133" i="18"/>
  <c r="AH19" i="18"/>
  <c r="AH46" i="18"/>
  <c r="AH74" i="18"/>
  <c r="AH91" i="18"/>
  <c r="AH108" i="18"/>
  <c r="AH138" i="18"/>
  <c r="AH35" i="18"/>
  <c r="AH62" i="18"/>
  <c r="AH88" i="18"/>
  <c r="AH118" i="18"/>
  <c r="AH135" i="18"/>
  <c r="AH31" i="18"/>
  <c r="AH58" i="18"/>
  <c r="AH84" i="18"/>
  <c r="AH114" i="18"/>
  <c r="AH131" i="18"/>
  <c r="AH26" i="18"/>
  <c r="AH50" i="18"/>
  <c r="AH127" i="18"/>
  <c r="AH128" i="18"/>
  <c r="AH79" i="18"/>
  <c r="AH8" i="18"/>
  <c r="AH24" i="18"/>
  <c r="AH56" i="18"/>
  <c r="AH72" i="18"/>
  <c r="AH21" i="18"/>
  <c r="AH38" i="18"/>
  <c r="AH55" i="18"/>
  <c r="AH73" i="18"/>
  <c r="AH89" i="18"/>
  <c r="AH105" i="18"/>
  <c r="AH121" i="18"/>
  <c r="AH137" i="18"/>
  <c r="AH14" i="18"/>
  <c r="AH49" i="18"/>
  <c r="AH75" i="18"/>
  <c r="AH92" i="18"/>
  <c r="AH122" i="18"/>
  <c r="AH10" i="18"/>
  <c r="AH42" i="18"/>
  <c r="AH65" i="18"/>
  <c r="AH102" i="18"/>
  <c r="AH119" i="18"/>
  <c r="AH136" i="18"/>
  <c r="AH34" i="18"/>
  <c r="AH61" i="18"/>
  <c r="AH98" i="18"/>
  <c r="AH115" i="18"/>
  <c r="AH132" i="18"/>
  <c r="AH30" i="18"/>
  <c r="AH57" i="18"/>
  <c r="AH67" i="18"/>
  <c r="AH78" i="18"/>
  <c r="AH96" i="18"/>
  <c r="AG5" i="18"/>
  <c r="AG21" i="18"/>
  <c r="AG37" i="18"/>
  <c r="AG53" i="18"/>
  <c r="AG69" i="18"/>
  <c r="AG34" i="18"/>
  <c r="AG51" i="18"/>
  <c r="AG68" i="18"/>
  <c r="AG86" i="18"/>
  <c r="AG102" i="18"/>
  <c r="AG118" i="18"/>
  <c r="AG134" i="18"/>
  <c r="AG16" i="18"/>
  <c r="AG32" i="18"/>
  <c r="AG59" i="18"/>
  <c r="AG88" i="18"/>
  <c r="AG105" i="18"/>
  <c r="AG135" i="18"/>
  <c r="AG8" i="18"/>
  <c r="AG48" i="18"/>
  <c r="AG83" i="18"/>
  <c r="AG100" i="18"/>
  <c r="AG117" i="18"/>
  <c r="AG11" i="18"/>
  <c r="AG44" i="18"/>
  <c r="AG71" i="18"/>
  <c r="AG95" i="18"/>
  <c r="AG112" i="18"/>
  <c r="AG129" i="18"/>
  <c r="AG40" i="18"/>
  <c r="AG76" i="18"/>
  <c r="AG107" i="18"/>
  <c r="AG108" i="18"/>
  <c r="AG92" i="18"/>
  <c r="AG9" i="18"/>
  <c r="AG25" i="18"/>
  <c r="AG41" i="18"/>
  <c r="AG57" i="18"/>
  <c r="AG18" i="18"/>
  <c r="AG35" i="18"/>
  <c r="AG52" i="18"/>
  <c r="AG74" i="18"/>
  <c r="AG90" i="18"/>
  <c r="AG106" i="18"/>
  <c r="AG122" i="18"/>
  <c r="AG138" i="18"/>
  <c r="AG10" i="18"/>
  <c r="AG39" i="18"/>
  <c r="AG62" i="18"/>
  <c r="AG89" i="18"/>
  <c r="AG119" i="18"/>
  <c r="AG136" i="18"/>
  <c r="AG23" i="18"/>
  <c r="AG55" i="18"/>
  <c r="AG84" i="18"/>
  <c r="AG101" i="18"/>
  <c r="AG131" i="18"/>
  <c r="AG26" i="18"/>
  <c r="AG47" i="18"/>
  <c r="AG79" i="18"/>
  <c r="AG96" i="18"/>
  <c r="AG113" i="18"/>
  <c r="AG7" i="18"/>
  <c r="AG43" i="18"/>
  <c r="AG93" i="18"/>
  <c r="AG124" i="18"/>
  <c r="AG125" i="18"/>
  <c r="AG109" i="18"/>
  <c r="AG13" i="18"/>
  <c r="AG29" i="18"/>
  <c r="AG45" i="18"/>
  <c r="AG61" i="18"/>
  <c r="AG19" i="18"/>
  <c r="AG36" i="18"/>
  <c r="AG66" i="18"/>
  <c r="AG78" i="18"/>
  <c r="AG94" i="18"/>
  <c r="AG110" i="18"/>
  <c r="AG126" i="18"/>
  <c r="AG14" i="18"/>
  <c r="AG12" i="18"/>
  <c r="AG42" i="18"/>
  <c r="AG73" i="18"/>
  <c r="AG103" i="18"/>
  <c r="AG120" i="18"/>
  <c r="AG137" i="18"/>
  <c r="AG31" i="18"/>
  <c r="AG58" i="18"/>
  <c r="AG85" i="18"/>
  <c r="AG115" i="18"/>
  <c r="AG132" i="18"/>
  <c r="AG28" i="18"/>
  <c r="AG54" i="18"/>
  <c r="AG80" i="18"/>
  <c r="AG97" i="18"/>
  <c r="AG127" i="18"/>
  <c r="AG22" i="18"/>
  <c r="AG46" i="18"/>
  <c r="AG123" i="18"/>
  <c r="AG63" i="18"/>
  <c r="AG70" i="18"/>
  <c r="AG17" i="18"/>
  <c r="AG33" i="18"/>
  <c r="AG49" i="18"/>
  <c r="AG65" i="18"/>
  <c r="AG20" i="18"/>
  <c r="AG50" i="18"/>
  <c r="AG67" i="18"/>
  <c r="AG82" i="18"/>
  <c r="AG98" i="18"/>
  <c r="AG114" i="18"/>
  <c r="AG130" i="18"/>
  <c r="AG15" i="18"/>
  <c r="AG27" i="18"/>
  <c r="AG56" i="18"/>
  <c r="AG87" i="18"/>
  <c r="AG104" i="18"/>
  <c r="AH94" i="18"/>
  <c r="AH116" i="18"/>
  <c r="AH13" i="18"/>
  <c r="AH45" i="18"/>
  <c r="AH76" i="18"/>
  <c r="AH125" i="18"/>
  <c r="AH69" i="18"/>
  <c r="AH60" i="18"/>
  <c r="AG75" i="18"/>
  <c r="AG24" i="18"/>
  <c r="AG64" i="18"/>
  <c r="AG99" i="18"/>
  <c r="AG121" i="18"/>
  <c r="AB116" i="18"/>
  <c r="AB61" i="18"/>
  <c r="AB22" i="18"/>
  <c r="AB44" i="18"/>
  <c r="AB128" i="18"/>
  <c r="AB103" i="18"/>
  <c r="AB75" i="18"/>
  <c r="AB49" i="18"/>
  <c r="AB134" i="18"/>
  <c r="AB50" i="18"/>
  <c r="AB34" i="18"/>
  <c r="AB26" i="18"/>
  <c r="AB28" i="18"/>
  <c r="AB109" i="18"/>
  <c r="AB66" i="18"/>
  <c r="AB15" i="18"/>
  <c r="AB106" i="18"/>
  <c r="AB118" i="18"/>
  <c r="AB104" i="18"/>
  <c r="AB7" i="18"/>
  <c r="AB9" i="18"/>
  <c r="AB12" i="18"/>
  <c r="T65" i="18"/>
  <c r="AG4" i="18"/>
  <c r="AB99" i="18"/>
  <c r="AB133" i="18"/>
  <c r="AB121" i="18"/>
  <c r="AB87" i="18"/>
  <c r="AB94" i="18"/>
  <c r="AB83" i="18"/>
  <c r="AB76" i="18"/>
  <c r="AB60" i="18"/>
  <c r="AB85" i="18"/>
  <c r="AB6" i="18"/>
  <c r="AB79" i="18"/>
  <c r="AB131" i="18"/>
  <c r="AB23" i="18"/>
  <c r="AB119" i="18"/>
  <c r="AB30" i="18"/>
  <c r="AB39" i="18"/>
  <c r="AB126" i="18"/>
  <c r="AB77" i="18"/>
  <c r="AB33" i="18"/>
  <c r="AB81" i="18"/>
  <c r="AB17" i="18"/>
  <c r="AB58" i="18"/>
  <c r="AB11" i="18"/>
  <c r="AB52" i="18"/>
  <c r="AB20" i="18"/>
  <c r="AB129" i="18"/>
  <c r="AB112" i="18"/>
  <c r="AB47" i="18"/>
  <c r="AB98" i="18"/>
  <c r="AB136" i="18"/>
  <c r="AB86" i="18"/>
  <c r="AB91" i="18"/>
  <c r="AB5" i="18"/>
  <c r="AB110" i="18"/>
  <c r="AB65" i="18"/>
  <c r="AB96" i="18"/>
  <c r="AB51" i="18"/>
  <c r="AB84" i="18"/>
  <c r="AB41" i="18"/>
  <c r="AB68" i="18"/>
  <c r="AB36" i="18"/>
  <c r="AB125" i="18"/>
  <c r="AB127" i="18"/>
  <c r="AB124" i="18"/>
  <c r="AB111" i="18"/>
  <c r="AB70" i="18"/>
  <c r="AB13" i="18"/>
  <c r="AB117" i="18"/>
  <c r="AB78" i="18"/>
  <c r="AB19" i="18"/>
  <c r="AB135" i="18"/>
  <c r="AB108" i="18"/>
  <c r="AB53" i="18"/>
  <c r="AB107" i="18"/>
  <c r="AB90" i="18"/>
  <c r="AB35" i="18"/>
  <c r="AB138" i="18"/>
  <c r="AB122" i="18"/>
  <c r="AB95" i="18"/>
  <c r="AB74" i="18"/>
  <c r="AB63" i="18"/>
  <c r="AB29" i="18"/>
  <c r="AB92" i="18"/>
  <c r="AB71" i="18"/>
  <c r="AB37" i="18"/>
  <c r="AB14" i="18"/>
  <c r="AB80" i="18"/>
  <c r="AB57" i="18"/>
  <c r="AB27" i="18"/>
  <c r="AB10" i="18"/>
  <c r="AB64" i="18"/>
  <c r="AB48" i="18"/>
  <c r="AB32" i="18"/>
  <c r="AB16" i="18"/>
  <c r="AA5" i="18"/>
  <c r="AA9" i="18"/>
  <c r="AA13" i="18"/>
  <c r="AA17" i="18"/>
  <c r="AA21" i="18"/>
  <c r="AA25" i="18"/>
  <c r="AA29" i="18"/>
  <c r="AA33" i="18"/>
  <c r="AA37" i="18"/>
  <c r="AA41" i="18"/>
  <c r="AA45" i="18"/>
  <c r="AA49" i="18"/>
  <c r="AA53" i="18"/>
  <c r="AA57" i="18"/>
  <c r="AA61" i="18"/>
  <c r="AA65" i="18"/>
  <c r="AA69" i="18"/>
  <c r="AA6" i="18"/>
  <c r="AA7" i="18"/>
  <c r="AA8" i="18"/>
  <c r="AA22" i="18"/>
  <c r="AA23" i="18"/>
  <c r="AA24" i="18"/>
  <c r="AA38" i="18"/>
  <c r="AA39" i="18"/>
  <c r="AA40" i="18"/>
  <c r="AA54" i="18"/>
  <c r="AA55" i="18"/>
  <c r="AA56" i="18"/>
  <c r="AA70" i="18"/>
  <c r="AA71" i="18"/>
  <c r="AA72" i="18"/>
  <c r="AA73" i="18"/>
  <c r="AA77" i="18"/>
  <c r="AA81" i="18"/>
  <c r="AA85" i="18"/>
  <c r="AA89" i="18"/>
  <c r="AA10" i="18"/>
  <c r="AA20" i="18"/>
  <c r="AA27" i="18"/>
  <c r="AA30" i="18"/>
  <c r="AA44" i="18"/>
  <c r="AA47" i="18"/>
  <c r="AA50" i="18"/>
  <c r="AA64" i="18"/>
  <c r="AA67" i="18"/>
  <c r="AA78" i="18"/>
  <c r="AA79" i="18"/>
  <c r="AA80" i="18"/>
  <c r="AA93" i="18"/>
  <c r="AA97" i="18"/>
  <c r="AA101" i="18"/>
  <c r="AA105" i="18"/>
  <c r="AA12" i="18"/>
  <c r="AA14" i="18"/>
  <c r="AA16" i="18"/>
  <c r="AA18" i="18"/>
  <c r="AA31" i="18"/>
  <c r="AA35" i="18"/>
  <c r="AA48" i="18"/>
  <c r="AA52" i="18"/>
  <c r="AA84" i="18"/>
  <c r="AA87" i="18"/>
  <c r="AA90" i="18"/>
  <c r="AA91" i="18"/>
  <c r="AA92" i="18"/>
  <c r="AA106" i="18"/>
  <c r="AA107" i="18"/>
  <c r="AA111" i="18"/>
  <c r="AA115" i="18"/>
  <c r="AA119" i="18"/>
  <c r="AA123" i="18"/>
  <c r="AA127" i="18"/>
  <c r="AA131" i="18"/>
  <c r="AA135" i="18"/>
  <c r="AA26" i="18"/>
  <c r="AA43" i="18"/>
  <c r="AA58" i="18"/>
  <c r="AA60" i="18"/>
  <c r="AA62" i="18"/>
  <c r="AA66" i="18"/>
  <c r="AA76" i="18"/>
  <c r="AA83" i="18"/>
  <c r="AA86" i="18"/>
  <c r="AA102" i="18"/>
  <c r="AA103" i="18"/>
  <c r="AA104" i="18"/>
  <c r="AA108" i="18"/>
  <c r="AA11" i="18"/>
  <c r="AA15" i="18"/>
  <c r="AA19" i="18"/>
  <c r="AA34" i="18"/>
  <c r="AA68" i="18"/>
  <c r="AA75" i="18"/>
  <c r="AA98" i="18"/>
  <c r="AA100" i="18"/>
  <c r="AA116" i="18"/>
  <c r="AA117" i="18"/>
  <c r="AA118" i="18"/>
  <c r="AA132" i="18"/>
  <c r="AA133" i="18"/>
  <c r="AA134" i="18"/>
  <c r="AA42" i="18"/>
  <c r="AA46" i="18"/>
  <c r="AA94" i="18"/>
  <c r="AA96" i="18"/>
  <c r="AA112" i="18"/>
  <c r="AA113" i="18"/>
  <c r="AA114" i="18"/>
  <c r="AA128" i="18"/>
  <c r="AA129" i="18"/>
  <c r="AA130" i="18"/>
  <c r="AA28" i="18"/>
  <c r="AA32" i="18"/>
  <c r="AA36" i="18"/>
  <c r="AA51" i="18"/>
  <c r="AA82" i="18"/>
  <c r="AA99" i="18"/>
  <c r="AA109" i="18"/>
  <c r="AA110" i="18"/>
  <c r="AA124" i="18"/>
  <c r="AA63" i="18"/>
  <c r="AA88" i="18"/>
  <c r="AA120" i="18"/>
  <c r="AA137" i="18"/>
  <c r="AA121" i="18"/>
  <c r="AA125" i="18"/>
  <c r="AA122" i="18"/>
  <c r="AA136" i="18"/>
  <c r="AA138" i="18"/>
  <c r="AA59" i="18"/>
  <c r="AA74" i="18"/>
  <c r="AA95" i="18"/>
  <c r="AA126" i="18"/>
  <c r="T10" i="18"/>
  <c r="AB123" i="18"/>
  <c r="AB55" i="18"/>
  <c r="AB21" i="18"/>
  <c r="AB113" i="18"/>
  <c r="AB101" i="18"/>
  <c r="AB62" i="18"/>
  <c r="AB132" i="18"/>
  <c r="AB115" i="18"/>
  <c r="AB38" i="18"/>
  <c r="AB137" i="18"/>
  <c r="AB120" i="18"/>
  <c r="AB89" i="18"/>
  <c r="AB45" i="18"/>
  <c r="AB105" i="18"/>
  <c r="AB73" i="18"/>
  <c r="AB18" i="18"/>
  <c r="AB130" i="18"/>
  <c r="AB114" i="18"/>
  <c r="AB93" i="18"/>
  <c r="AB67" i="18"/>
  <c r="AB46" i="18"/>
  <c r="AB100" i="18"/>
  <c r="AB82" i="18"/>
  <c r="AB54" i="18"/>
  <c r="AB31" i="18"/>
  <c r="AB88" i="18"/>
  <c r="AB59" i="18"/>
  <c r="AB42" i="18"/>
  <c r="AB25" i="18"/>
  <c r="AB72" i="18"/>
  <c r="AB56" i="18"/>
  <c r="AB40" i="18"/>
  <c r="AB24" i="18"/>
  <c r="T69" i="18"/>
  <c r="T75" i="18"/>
  <c r="T49" i="18"/>
  <c r="T57" i="18"/>
  <c r="T24" i="18"/>
  <c r="T134" i="18"/>
  <c r="T61" i="18"/>
  <c r="T25" i="18"/>
  <c r="T34" i="18"/>
  <c r="T36" i="18"/>
  <c r="T30" i="18"/>
  <c r="T88" i="18"/>
  <c r="T8" i="18"/>
  <c r="T98" i="18"/>
  <c r="T100" i="18"/>
  <c r="T94" i="18"/>
  <c r="T31" i="18"/>
  <c r="AB4" i="18"/>
  <c r="T66" i="18"/>
  <c r="T130" i="18"/>
  <c r="T91" i="18"/>
  <c r="T79" i="18"/>
  <c r="T68" i="18"/>
  <c r="T132" i="18"/>
  <c r="T99" i="18"/>
  <c r="T87" i="18"/>
  <c r="T62" i="18"/>
  <c r="T11" i="18"/>
  <c r="T97" i="18"/>
  <c r="T56" i="18"/>
  <c r="T120" i="18"/>
  <c r="T51" i="18"/>
  <c r="T137" i="18"/>
  <c r="U6" i="18"/>
  <c r="T74" i="18"/>
  <c r="T138" i="18"/>
  <c r="T123" i="18"/>
  <c r="T111" i="18"/>
  <c r="T76" i="18"/>
  <c r="T7" i="18"/>
  <c r="T131" i="18"/>
  <c r="T135" i="18"/>
  <c r="T70" i="18"/>
  <c r="T27" i="18"/>
  <c r="T129" i="18"/>
  <c r="T64" i="18"/>
  <c r="T128" i="18"/>
  <c r="T83" i="18"/>
  <c r="T71" i="18"/>
  <c r="T63" i="18"/>
  <c r="AA4" i="18"/>
  <c r="T42" i="18"/>
  <c r="T106" i="18"/>
  <c r="T93" i="18"/>
  <c r="T81" i="18"/>
  <c r="T44" i="18"/>
  <c r="T108" i="18"/>
  <c r="T101" i="18"/>
  <c r="T89" i="18"/>
  <c r="T38" i="18"/>
  <c r="T102" i="18"/>
  <c r="T5" i="18"/>
  <c r="T32" i="18"/>
  <c r="T96" i="18"/>
  <c r="T53" i="18"/>
  <c r="T41" i="18"/>
  <c r="T45" i="18"/>
  <c r="P125" i="18"/>
  <c r="U105" i="18"/>
  <c r="U89" i="18"/>
  <c r="U41" i="18"/>
  <c r="U126" i="18"/>
  <c r="U78" i="18"/>
  <c r="U46" i="18"/>
  <c r="U96" i="18"/>
  <c r="U48" i="18"/>
  <c r="U15" i="18"/>
  <c r="U103" i="18"/>
  <c r="U71" i="18"/>
  <c r="U32" i="18"/>
  <c r="U4" i="18"/>
  <c r="M83" i="18"/>
  <c r="T4" i="18"/>
  <c r="T18" i="18"/>
  <c r="T50" i="18"/>
  <c r="T82" i="18"/>
  <c r="T114" i="18"/>
  <c r="T19" i="18"/>
  <c r="T125" i="18"/>
  <c r="T13" i="18"/>
  <c r="T113" i="18"/>
  <c r="T20" i="18"/>
  <c r="T52" i="18"/>
  <c r="T84" i="18"/>
  <c r="T116" i="18"/>
  <c r="T23" i="18"/>
  <c r="T133" i="18"/>
  <c r="T17" i="18"/>
  <c r="T121" i="18"/>
  <c r="T6" i="18"/>
  <c r="T46" i="18"/>
  <c r="T78" i="18"/>
  <c r="T118" i="18"/>
  <c r="T77" i="18"/>
  <c r="T21" i="18"/>
  <c r="T95" i="18"/>
  <c r="T40" i="18"/>
  <c r="T72" i="18"/>
  <c r="T104" i="18"/>
  <c r="T136" i="18"/>
  <c r="T85" i="18"/>
  <c r="T115" i="18"/>
  <c r="T73" i="18"/>
  <c r="T103" i="18"/>
  <c r="U137" i="18"/>
  <c r="U113" i="18"/>
  <c r="U97" i="18"/>
  <c r="U81" i="18"/>
  <c r="U65" i="18"/>
  <c r="U49" i="18"/>
  <c r="U33" i="18"/>
  <c r="U17" i="18"/>
  <c r="U134" i="18"/>
  <c r="U118" i="18"/>
  <c r="U102" i="18"/>
  <c r="U86" i="18"/>
  <c r="U70" i="18"/>
  <c r="U54" i="18"/>
  <c r="U136" i="18"/>
  <c r="U120" i="18"/>
  <c r="U104" i="18"/>
  <c r="U88" i="18"/>
  <c r="U72" i="18"/>
  <c r="U56" i="18"/>
  <c r="U39" i="18"/>
  <c r="U23" i="18"/>
  <c r="U7" i="18"/>
  <c r="U127" i="18"/>
  <c r="U111" i="18"/>
  <c r="U95" i="18"/>
  <c r="U79" i="18"/>
  <c r="U63" i="18"/>
  <c r="U47" i="18"/>
  <c r="U36" i="18"/>
  <c r="U28" i="18"/>
  <c r="U20" i="18"/>
  <c r="U12" i="18"/>
  <c r="T14" i="18"/>
  <c r="T109" i="18"/>
  <c r="T127" i="18"/>
  <c r="U129" i="18"/>
  <c r="U121" i="18"/>
  <c r="U73" i="18"/>
  <c r="U57" i="18"/>
  <c r="U25" i="18"/>
  <c r="U9" i="18"/>
  <c r="U110" i="18"/>
  <c r="U94" i="18"/>
  <c r="U62" i="18"/>
  <c r="U128" i="18"/>
  <c r="U112" i="18"/>
  <c r="U80" i="18"/>
  <c r="U64" i="18"/>
  <c r="U31" i="18"/>
  <c r="U135" i="18"/>
  <c r="U119" i="18"/>
  <c r="U87" i="18"/>
  <c r="U55" i="18"/>
  <c r="U40" i="18"/>
  <c r="U24" i="18"/>
  <c r="U16" i="18"/>
  <c r="U8" i="18"/>
  <c r="P98" i="18"/>
  <c r="U108" i="18"/>
  <c r="U124" i="18"/>
  <c r="U100" i="18"/>
  <c r="U84" i="18"/>
  <c r="U68" i="18"/>
  <c r="U52" i="18"/>
  <c r="U37" i="18"/>
  <c r="U21" i="18"/>
  <c r="U5" i="18"/>
  <c r="U123" i="18"/>
  <c r="U107" i="18"/>
  <c r="U91" i="18"/>
  <c r="U75" i="18"/>
  <c r="U59" i="18"/>
  <c r="U43" i="18"/>
  <c r="U125" i="18"/>
  <c r="U109" i="18"/>
  <c r="U93" i="18"/>
  <c r="U77" i="18"/>
  <c r="U61" i="18"/>
  <c r="U45" i="18"/>
  <c r="U27" i="18"/>
  <c r="U11" i="18"/>
  <c r="U130" i="18"/>
  <c r="U114" i="18"/>
  <c r="U98" i="18"/>
  <c r="U82" i="18"/>
  <c r="U66" i="18"/>
  <c r="U50" i="18"/>
  <c r="U38" i="18"/>
  <c r="U30" i="18"/>
  <c r="U22" i="18"/>
  <c r="U14" i="18"/>
  <c r="O23" i="18"/>
  <c r="T26" i="18"/>
  <c r="T58" i="18"/>
  <c r="T90" i="18"/>
  <c r="T122" i="18"/>
  <c r="T35" i="18"/>
  <c r="T59" i="18"/>
  <c r="T29" i="18"/>
  <c r="T47" i="18"/>
  <c r="T28" i="18"/>
  <c r="T60" i="18"/>
  <c r="T92" i="18"/>
  <c r="T124" i="18"/>
  <c r="T39" i="18"/>
  <c r="T67" i="18"/>
  <c r="T33" i="18"/>
  <c r="T55" i="18"/>
  <c r="T22" i="18"/>
  <c r="T54" i="18"/>
  <c r="T86" i="18"/>
  <c r="T126" i="18"/>
  <c r="T43" i="18"/>
  <c r="T37" i="18"/>
  <c r="T16" i="18"/>
  <c r="T48" i="18"/>
  <c r="T80" i="18"/>
  <c r="T112" i="18"/>
  <c r="T15" i="18"/>
  <c r="T117" i="18"/>
  <c r="T9" i="18"/>
  <c r="T105" i="18"/>
  <c r="T119" i="18"/>
  <c r="U116" i="18"/>
  <c r="U132" i="18"/>
  <c r="U92" i="18"/>
  <c r="U76" i="18"/>
  <c r="U60" i="18"/>
  <c r="U44" i="18"/>
  <c r="U29" i="18"/>
  <c r="U13" i="18"/>
  <c r="U131" i="18"/>
  <c r="U115" i="18"/>
  <c r="U99" i="18"/>
  <c r="U83" i="18"/>
  <c r="U67" i="18"/>
  <c r="U51" i="18"/>
  <c r="U133" i="18"/>
  <c r="U117" i="18"/>
  <c r="U101" i="18"/>
  <c r="U85" i="18"/>
  <c r="U69" i="18"/>
  <c r="U53" i="18"/>
  <c r="U35" i="18"/>
  <c r="U19" i="18"/>
  <c r="U138" i="18"/>
  <c r="U122" i="18"/>
  <c r="U106" i="18"/>
  <c r="U90" i="18"/>
  <c r="U74" i="18"/>
  <c r="U58" i="18"/>
  <c r="U42" i="18"/>
  <c r="U34" i="18"/>
  <c r="U26" i="18"/>
  <c r="U18" i="18"/>
  <c r="U10" i="18"/>
  <c r="T110" i="18"/>
  <c r="T107" i="18"/>
  <c r="T12" i="18"/>
  <c r="O118" i="18"/>
  <c r="O17" i="18"/>
  <c r="M42" i="18"/>
  <c r="M135" i="18"/>
  <c r="O95" i="18"/>
  <c r="M10" i="18"/>
  <c r="O84" i="18"/>
  <c r="O36" i="18"/>
  <c r="P87" i="18"/>
  <c r="M124" i="18"/>
  <c r="O56" i="18"/>
  <c r="O64" i="18"/>
  <c r="P91" i="18"/>
  <c r="P96" i="18"/>
  <c r="Q77" i="18"/>
  <c r="R54" i="18"/>
  <c r="M101" i="18"/>
  <c r="O124" i="18"/>
  <c r="P17" i="18"/>
  <c r="P48" i="18"/>
  <c r="P112" i="18"/>
  <c r="P86" i="18"/>
  <c r="P12" i="18"/>
  <c r="P93" i="18"/>
  <c r="P133" i="18"/>
  <c r="P113" i="18"/>
  <c r="P46" i="18"/>
  <c r="P119" i="18"/>
  <c r="P97" i="18"/>
  <c r="P79" i="18"/>
  <c r="P49" i="18"/>
  <c r="P80" i="18"/>
  <c r="P31" i="18"/>
  <c r="P126" i="18"/>
  <c r="P71" i="18"/>
  <c r="P117" i="18"/>
  <c r="P78" i="18"/>
  <c r="P36" i="18"/>
  <c r="P69" i="18"/>
  <c r="P62" i="18"/>
  <c r="P39" i="18"/>
  <c r="P115" i="18"/>
  <c r="P22" i="18"/>
  <c r="P33" i="18"/>
  <c r="P64" i="18"/>
  <c r="P26" i="18"/>
  <c r="P105" i="18"/>
  <c r="P55" i="18"/>
  <c r="P106" i="18"/>
  <c r="P52" i="18"/>
  <c r="P128" i="18"/>
  <c r="P63" i="18"/>
  <c r="P135" i="18"/>
  <c r="P124" i="18"/>
  <c r="P85" i="18"/>
  <c r="M95" i="18"/>
  <c r="O102" i="18"/>
  <c r="O34" i="18"/>
  <c r="O5" i="18"/>
  <c r="P131" i="18"/>
  <c r="P42" i="18"/>
  <c r="P7" i="18"/>
  <c r="O28" i="18"/>
  <c r="O10" i="18"/>
  <c r="O55" i="18"/>
  <c r="O87" i="18"/>
  <c r="O14" i="18"/>
  <c r="O58" i="18"/>
  <c r="O96" i="18"/>
  <c r="O133" i="18"/>
  <c r="O78" i="18"/>
  <c r="O116" i="18"/>
  <c r="O66" i="18"/>
  <c r="O135" i="18"/>
  <c r="O89" i="18"/>
  <c r="O51" i="18"/>
  <c r="O131" i="18"/>
  <c r="O73" i="18"/>
  <c r="O138" i="18"/>
  <c r="Q123" i="18"/>
  <c r="Q49" i="18"/>
  <c r="Q50" i="18"/>
  <c r="Q70" i="18"/>
  <c r="R27" i="18"/>
  <c r="R32" i="18"/>
  <c r="R133" i="18"/>
  <c r="R91" i="18"/>
  <c r="M69" i="18"/>
  <c r="M137" i="18"/>
  <c r="O31" i="18"/>
  <c r="O72" i="18"/>
  <c r="O109" i="18"/>
  <c r="O63" i="18"/>
  <c r="P47" i="18"/>
  <c r="P107" i="18"/>
  <c r="P67" i="18"/>
  <c r="O16" i="18"/>
  <c r="M58" i="18"/>
  <c r="M64" i="18"/>
  <c r="M20" i="18"/>
  <c r="M130" i="18"/>
  <c r="M52" i="18"/>
  <c r="M104" i="18"/>
  <c r="M27" i="18"/>
  <c r="O122" i="18"/>
  <c r="O41" i="18"/>
  <c r="O115" i="18"/>
  <c r="O47" i="18"/>
  <c r="O60" i="18"/>
  <c r="O119" i="18"/>
  <c r="O46" i="18"/>
  <c r="O110" i="18"/>
  <c r="O65" i="18"/>
  <c r="O125" i="18"/>
  <c r="O90" i="18"/>
  <c r="O22" i="18"/>
  <c r="O111" i="18"/>
  <c r="O79" i="18"/>
  <c r="O42" i="18"/>
  <c r="O52" i="18"/>
  <c r="O20" i="18"/>
  <c r="R130" i="18"/>
  <c r="R41" i="18"/>
  <c r="Q107" i="18"/>
  <c r="Q39" i="18"/>
  <c r="M120" i="18"/>
  <c r="M99" i="18"/>
  <c r="M100" i="18"/>
  <c r="M32" i="18"/>
  <c r="M76" i="18"/>
  <c r="M119" i="18"/>
  <c r="R77" i="18"/>
  <c r="M17" i="18"/>
  <c r="M31" i="18"/>
  <c r="M125" i="18"/>
  <c r="M114" i="18"/>
  <c r="M47" i="18"/>
  <c r="M72" i="18"/>
  <c r="O108" i="18"/>
  <c r="O35" i="18"/>
  <c r="O85" i="18"/>
  <c r="O134" i="18"/>
  <c r="O54" i="18"/>
  <c r="O101" i="18"/>
  <c r="O132" i="18"/>
  <c r="O97" i="18"/>
  <c r="O9" i="18"/>
  <c r="O117" i="18"/>
  <c r="O77" i="18"/>
  <c r="O19" i="18"/>
  <c r="O103" i="18"/>
  <c r="O71" i="18"/>
  <c r="O29" i="18"/>
  <c r="O44" i="18"/>
  <c r="O12" i="18"/>
  <c r="R119" i="18"/>
  <c r="Q11" i="18"/>
  <c r="M6" i="18"/>
  <c r="M22" i="18"/>
  <c r="M38" i="18"/>
  <c r="M5" i="18"/>
  <c r="M24" i="18"/>
  <c r="M43" i="18"/>
  <c r="M65" i="18"/>
  <c r="M81" i="18"/>
  <c r="M97" i="18"/>
  <c r="M113" i="18"/>
  <c r="M62" i="18"/>
  <c r="M88" i="18"/>
  <c r="M107" i="18"/>
  <c r="M123" i="18"/>
  <c r="M41" i="18"/>
  <c r="M48" i="18"/>
  <c r="M60" i="18"/>
  <c r="M79" i="18"/>
  <c r="M98" i="18"/>
  <c r="M118" i="18"/>
  <c r="M134" i="18"/>
  <c r="M36" i="18"/>
  <c r="M86" i="18"/>
  <c r="M133" i="18"/>
  <c r="M68" i="18"/>
  <c r="M103" i="18"/>
  <c r="M132" i="18"/>
  <c r="M33" i="18"/>
  <c r="M67" i="18"/>
  <c r="M102" i="18"/>
  <c r="M9" i="18"/>
  <c r="M19" i="18"/>
  <c r="M84" i="18"/>
  <c r="M128" i="18"/>
  <c r="M14" i="18"/>
  <c r="M30" i="18"/>
  <c r="M46" i="18"/>
  <c r="M11" i="18"/>
  <c r="M37" i="18"/>
  <c r="M57" i="18"/>
  <c r="M73" i="18"/>
  <c r="M89" i="18"/>
  <c r="M105" i="18"/>
  <c r="M56" i="18"/>
  <c r="M75" i="18"/>
  <c r="M94" i="18"/>
  <c r="M115" i="18"/>
  <c r="M131" i="18"/>
  <c r="M45" i="18"/>
  <c r="M51" i="18"/>
  <c r="M66" i="18"/>
  <c r="M92" i="18"/>
  <c r="M111" i="18"/>
  <c r="M126" i="18"/>
  <c r="M28" i="18"/>
  <c r="M80" i="18"/>
  <c r="M117" i="18"/>
  <c r="M16" i="18"/>
  <c r="M74" i="18"/>
  <c r="M116" i="18"/>
  <c r="M29" i="18"/>
  <c r="M39" i="18"/>
  <c r="M96" i="18"/>
  <c r="M129" i="18"/>
  <c r="M15" i="18"/>
  <c r="M55" i="18"/>
  <c r="M90" i="18"/>
  <c r="M18" i="18"/>
  <c r="M34" i="18"/>
  <c r="M50" i="18"/>
  <c r="M21" i="18"/>
  <c r="M40" i="18"/>
  <c r="M61" i="18"/>
  <c r="M77" i="18"/>
  <c r="M93" i="18"/>
  <c r="M109" i="18"/>
  <c r="M59" i="18"/>
  <c r="M78" i="18"/>
  <c r="Q6" i="18"/>
  <c r="Q22" i="18"/>
  <c r="Q38" i="18"/>
  <c r="Q9" i="18"/>
  <c r="Q28" i="18"/>
  <c r="Q47" i="18"/>
  <c r="Q65" i="18"/>
  <c r="Q81" i="18"/>
  <c r="Q97" i="18"/>
  <c r="Q113" i="18"/>
  <c r="Q35" i="18"/>
  <c r="Q40" i="18"/>
  <c r="Q66" i="18"/>
  <c r="Q92" i="18"/>
  <c r="Q111" i="18"/>
  <c r="Q127" i="18"/>
  <c r="Q16" i="18"/>
  <c r="Q21" i="18"/>
  <c r="Q54" i="18"/>
  <c r="Q80" i="18"/>
  <c r="Q99" i="18"/>
  <c r="Q118" i="18"/>
  <c r="Q134" i="18"/>
  <c r="Q55" i="18"/>
  <c r="Q90" i="18"/>
  <c r="Q138" i="18"/>
  <c r="Q75" i="18"/>
  <c r="Q110" i="18"/>
  <c r="Q8" i="18"/>
  <c r="Q100" i="18"/>
  <c r="Q125" i="18"/>
  <c r="Q51" i="18"/>
  <c r="Q88" i="18"/>
  <c r="Q124" i="18"/>
  <c r="Q14" i="18"/>
  <c r="Q30" i="18"/>
  <c r="Q46" i="18"/>
  <c r="Q15" i="18"/>
  <c r="Q41" i="18"/>
  <c r="Q57" i="18"/>
  <c r="Q73" i="18"/>
  <c r="Q89" i="18"/>
  <c r="Q105" i="18"/>
  <c r="Q32" i="18"/>
  <c r="Q37" i="18"/>
  <c r="Q60" i="18"/>
  <c r="Q79" i="18"/>
  <c r="Q98" i="18"/>
  <c r="Q119" i="18"/>
  <c r="Q135" i="18"/>
  <c r="Q19" i="18"/>
  <c r="Q24" i="18"/>
  <c r="Q67" i="18"/>
  <c r="Q86" i="18"/>
  <c r="Q112" i="18"/>
  <c r="Q126" i="18"/>
  <c r="Q7" i="18"/>
  <c r="Q84" i="18"/>
  <c r="Q129" i="18"/>
  <c r="Q52" i="18"/>
  <c r="Q104" i="18"/>
  <c r="Q128" i="18"/>
  <c r="Q71" i="18"/>
  <c r="Q106" i="18"/>
  <c r="Q45" i="18"/>
  <c r="Q59" i="18"/>
  <c r="Q94" i="18"/>
  <c r="Q10" i="18"/>
  <c r="Q42" i="18"/>
  <c r="Q31" i="18"/>
  <c r="Q69" i="18"/>
  <c r="Q101" i="18"/>
  <c r="Q36" i="18"/>
  <c r="Q76" i="18"/>
  <c r="Q115" i="18"/>
  <c r="Q17" i="18"/>
  <c r="Q64" i="18"/>
  <c r="Q102" i="18"/>
  <c r="Q5" i="18"/>
  <c r="Q121" i="18"/>
  <c r="Q78" i="18"/>
  <c r="Q68" i="18"/>
  <c r="Q133" i="18"/>
  <c r="Q91" i="18"/>
  <c r="Q26" i="18"/>
  <c r="Q12" i="18"/>
  <c r="Q53" i="18"/>
  <c r="Q85" i="18"/>
  <c r="Q29" i="18"/>
  <c r="Q43" i="18"/>
  <c r="Q95" i="18"/>
  <c r="Q131" i="18"/>
  <c r="Q23" i="18"/>
  <c r="Q83" i="18"/>
  <c r="Q122" i="18"/>
  <c r="Q58" i="18"/>
  <c r="Q48" i="18"/>
  <c r="Q120" i="18"/>
  <c r="Q103" i="18"/>
  <c r="Q56" i="18"/>
  <c r="Q132" i="18"/>
  <c r="Q34" i="18"/>
  <c r="Q25" i="18"/>
  <c r="Q61" i="18"/>
  <c r="Q93" i="18"/>
  <c r="Q33" i="18"/>
  <c r="Q63" i="18"/>
  <c r="Q108" i="18"/>
  <c r="Q13" i="18"/>
  <c r="Q27" i="18"/>
  <c r="Q96" i="18"/>
  <c r="Q130" i="18"/>
  <c r="Q87" i="18"/>
  <c r="Q72" i="18"/>
  <c r="Q136" i="18"/>
  <c r="Q117" i="18"/>
  <c r="Q62" i="18"/>
  <c r="R15" i="18"/>
  <c r="R31" i="18"/>
  <c r="R47" i="18"/>
  <c r="R18" i="18"/>
  <c r="R37" i="18"/>
  <c r="R58" i="18"/>
  <c r="R74" i="18"/>
  <c r="R90" i="18"/>
  <c r="R106" i="18"/>
  <c r="R42" i="18"/>
  <c r="R48" i="18"/>
  <c r="R56" i="18"/>
  <c r="R75" i="18"/>
  <c r="R101" i="18"/>
  <c r="R120" i="18"/>
  <c r="R136" i="18"/>
  <c r="R28" i="18"/>
  <c r="R33" i="18"/>
  <c r="R63" i="18"/>
  <c r="R89" i="18"/>
  <c r="R108" i="18"/>
  <c r="R123" i="18"/>
  <c r="R9" i="18"/>
  <c r="R64" i="18"/>
  <c r="R99" i="18"/>
  <c r="R55" i="18"/>
  <c r="R113" i="18"/>
  <c r="R138" i="18"/>
  <c r="R14" i="18"/>
  <c r="R80" i="18"/>
  <c r="R118" i="18"/>
  <c r="R68" i="18"/>
  <c r="R103" i="18"/>
  <c r="R7" i="18"/>
  <c r="R23" i="18"/>
  <c r="R39" i="18"/>
  <c r="R5" i="18"/>
  <c r="R24" i="18"/>
  <c r="R50" i="18"/>
  <c r="R66" i="18"/>
  <c r="R82" i="18"/>
  <c r="R98" i="18"/>
  <c r="R38" i="18"/>
  <c r="R45" i="18"/>
  <c r="R52" i="18"/>
  <c r="R69" i="18"/>
  <c r="R88" i="18"/>
  <c r="R107" i="18"/>
  <c r="R128" i="18"/>
  <c r="R25" i="18"/>
  <c r="R30" i="18"/>
  <c r="R57" i="18"/>
  <c r="R76" i="18"/>
  <c r="R95" i="18"/>
  <c r="R115" i="18"/>
  <c r="R131" i="18"/>
  <c r="R17" i="18"/>
  <c r="R93" i="18"/>
  <c r="R122" i="18"/>
  <c r="R84" i="18"/>
  <c r="R129" i="18"/>
  <c r="R10" i="18"/>
  <c r="R20" i="18"/>
  <c r="R109" i="18"/>
  <c r="R134" i="18"/>
  <c r="R97" i="18"/>
  <c r="R125" i="18"/>
  <c r="R19" i="18"/>
  <c r="R51" i="18"/>
  <c r="R40" i="18"/>
  <c r="R78" i="18"/>
  <c r="R110" i="18"/>
  <c r="R49" i="18"/>
  <c r="R85" i="18"/>
  <c r="R124" i="18"/>
  <c r="R29" i="18"/>
  <c r="R73" i="18"/>
  <c r="R111" i="18"/>
  <c r="R13" i="18"/>
  <c r="R114" i="18"/>
  <c r="R121" i="18"/>
  <c r="R16" i="18"/>
  <c r="R126" i="18"/>
  <c r="R117" i="18"/>
  <c r="R35" i="18"/>
  <c r="R21" i="18"/>
  <c r="R62" i="18"/>
  <c r="R94" i="18"/>
  <c r="R44" i="18"/>
  <c r="R59" i="18"/>
  <c r="R104" i="18"/>
  <c r="R22" i="18"/>
  <c r="R36" i="18"/>
  <c r="R92" i="18"/>
  <c r="R127" i="18"/>
  <c r="R67" i="18"/>
  <c r="R81" i="18"/>
  <c r="R6" i="18"/>
  <c r="R83" i="18"/>
  <c r="R71" i="18"/>
  <c r="R11" i="18"/>
  <c r="R43" i="18"/>
  <c r="R34" i="18"/>
  <c r="R70" i="18"/>
  <c r="R102" i="18"/>
  <c r="R46" i="18"/>
  <c r="R72" i="18"/>
  <c r="R116" i="18"/>
  <c r="R26" i="18"/>
  <c r="R60" i="18"/>
  <c r="R105" i="18"/>
  <c r="R135" i="18"/>
  <c r="R96" i="18"/>
  <c r="R87" i="18"/>
  <c r="R12" i="18"/>
  <c r="R112" i="18"/>
  <c r="R100" i="18"/>
  <c r="M87" i="18"/>
  <c r="M13" i="18"/>
  <c r="M70" i="18"/>
  <c r="M25" i="18"/>
  <c r="M71" i="18"/>
  <c r="M112" i="18"/>
  <c r="M138" i="18"/>
  <c r="M108" i="18"/>
  <c r="M63" i="18"/>
  <c r="M44" i="18"/>
  <c r="M110" i="18"/>
  <c r="M7" i="18"/>
  <c r="M53" i="18"/>
  <c r="M26" i="18"/>
  <c r="R137" i="18"/>
  <c r="R79" i="18"/>
  <c r="R53" i="18"/>
  <c r="R8" i="18"/>
  <c r="Q74" i="18"/>
  <c r="Q114" i="18"/>
  <c r="Q82" i="18"/>
  <c r="Q44" i="18"/>
  <c r="R4" i="18"/>
  <c r="M136" i="18"/>
  <c r="M23" i="18"/>
  <c r="M121" i="18"/>
  <c r="M35" i="18"/>
  <c r="M106" i="18"/>
  <c r="M12" i="18"/>
  <c r="M54" i="18"/>
  <c r="M122" i="18"/>
  <c r="M82" i="18"/>
  <c r="M49" i="18"/>
  <c r="M127" i="18"/>
  <c r="M91" i="18"/>
  <c r="M85" i="18"/>
  <c r="M8" i="18"/>
  <c r="R65" i="18"/>
  <c r="R61" i="18"/>
  <c r="R132" i="18"/>
  <c r="R86" i="18"/>
  <c r="Q116" i="18"/>
  <c r="Q137" i="18"/>
  <c r="Q20" i="18"/>
  <c r="Q109" i="18"/>
  <c r="Q18" i="18"/>
  <c r="M4" i="18"/>
  <c r="O4" i="18"/>
  <c r="P4" i="18"/>
  <c r="P5" i="18"/>
  <c r="P21" i="18"/>
  <c r="P37" i="18"/>
  <c r="P6" i="18"/>
  <c r="P32" i="18"/>
  <c r="P51" i="18"/>
  <c r="P68" i="18"/>
  <c r="P84" i="18"/>
  <c r="P100" i="18"/>
  <c r="P20" i="18"/>
  <c r="P27" i="18"/>
  <c r="P34" i="18"/>
  <c r="P70" i="18"/>
  <c r="P89" i="18"/>
  <c r="P114" i="18"/>
  <c r="P130" i="18"/>
  <c r="P8" i="18"/>
  <c r="P14" i="18"/>
  <c r="P58" i="18"/>
  <c r="P77" i="18"/>
  <c r="P13" i="18"/>
  <c r="P29" i="18"/>
  <c r="P45" i="18"/>
  <c r="P19" i="18"/>
  <c r="P38" i="18"/>
  <c r="P60" i="18"/>
  <c r="P76" i="18"/>
  <c r="P92" i="18"/>
  <c r="P108" i="18"/>
  <c r="P24" i="18"/>
  <c r="P30" i="18"/>
  <c r="P57" i="18"/>
  <c r="P83" i="18"/>
  <c r="P102" i="18"/>
  <c r="P122" i="18"/>
  <c r="P138" i="18"/>
  <c r="P11" i="18"/>
  <c r="P18" i="18"/>
  <c r="O130" i="18"/>
  <c r="O105" i="18"/>
  <c r="O70" i="18"/>
  <c r="O33" i="18"/>
  <c r="O123" i="18"/>
  <c r="O82" i="18"/>
  <c r="O49" i="18"/>
  <c r="O126" i="18"/>
  <c r="O86" i="18"/>
  <c r="O38" i="18"/>
  <c r="O127" i="18"/>
  <c r="O98" i="18"/>
  <c r="O50" i="18"/>
  <c r="O128" i="18"/>
  <c r="O113" i="18"/>
  <c r="O94" i="18"/>
  <c r="O68" i="18"/>
  <c r="O6" i="18"/>
  <c r="O129" i="18"/>
  <c r="O112" i="18"/>
  <c r="O93" i="18"/>
  <c r="O74" i="18"/>
  <c r="O25" i="18"/>
  <c r="O18" i="18"/>
  <c r="O11" i="18"/>
  <c r="O99" i="18"/>
  <c r="O83" i="18"/>
  <c r="O67" i="18"/>
  <c r="O45" i="18"/>
  <c r="O26" i="18"/>
  <c r="O7" i="18"/>
  <c r="O40" i="18"/>
  <c r="O24" i="18"/>
  <c r="O8" i="18"/>
  <c r="P111" i="18"/>
  <c r="P53" i="18"/>
  <c r="P132" i="18"/>
  <c r="P94" i="18"/>
  <c r="P59" i="18"/>
  <c r="P101" i="18"/>
  <c r="P66" i="18"/>
  <c r="P44" i="18"/>
  <c r="P136" i="18"/>
  <c r="P110" i="18"/>
  <c r="P75" i="18"/>
  <c r="P129" i="18"/>
  <c r="P109" i="18"/>
  <c r="P90" i="18"/>
  <c r="P61" i="18"/>
  <c r="P10" i="18"/>
  <c r="P118" i="18"/>
  <c r="P73" i="18"/>
  <c r="P28" i="18"/>
  <c r="P104" i="18"/>
  <c r="P72" i="18"/>
  <c r="P35" i="18"/>
  <c r="P41" i="18"/>
  <c r="P9" i="18"/>
  <c r="O114" i="18"/>
  <c r="O76" i="18"/>
  <c r="O37" i="18"/>
  <c r="O27" i="18"/>
  <c r="O88" i="18"/>
  <c r="O53" i="18"/>
  <c r="O43" i="18"/>
  <c r="O92" i="18"/>
  <c r="O57" i="18"/>
  <c r="O30" i="18"/>
  <c r="O104" i="18"/>
  <c r="O69" i="18"/>
  <c r="O136" i="18"/>
  <c r="O120" i="18"/>
  <c r="O100" i="18"/>
  <c r="O81" i="18"/>
  <c r="O62" i="18"/>
  <c r="O137" i="18"/>
  <c r="O121" i="18"/>
  <c r="O106" i="18"/>
  <c r="O80" i="18"/>
  <c r="O61" i="18"/>
  <c r="O21" i="18"/>
  <c r="O15" i="18"/>
  <c r="O107" i="18"/>
  <c r="O91" i="18"/>
  <c r="O75" i="18"/>
  <c r="O59" i="18"/>
  <c r="O39" i="18"/>
  <c r="O13" i="18"/>
  <c r="O48" i="18"/>
  <c r="O32" i="18"/>
  <c r="P123" i="18"/>
  <c r="P82" i="18"/>
  <c r="P43" i="18"/>
  <c r="P116" i="18"/>
  <c r="P65" i="18"/>
  <c r="P127" i="18"/>
  <c r="P95" i="18"/>
  <c r="P50" i="18"/>
  <c r="P40" i="18"/>
  <c r="P120" i="18"/>
  <c r="P81" i="18"/>
  <c r="P137" i="18"/>
  <c r="P121" i="18"/>
  <c r="P103" i="18"/>
  <c r="P74" i="18"/>
  <c r="P15" i="18"/>
  <c r="P134" i="18"/>
  <c r="P99" i="18"/>
  <c r="P54" i="18"/>
  <c r="P23" i="18"/>
  <c r="P88" i="18"/>
  <c r="P56" i="18"/>
  <c r="P16" i="18"/>
  <c r="P25" i="18"/>
  <c r="Q4" i="18"/>
  <c r="G11" i="18"/>
  <c r="G7" i="18"/>
  <c r="G5" i="18"/>
  <c r="G118" i="18"/>
  <c r="G86" i="18"/>
  <c r="G54" i="18"/>
  <c r="G120" i="18"/>
  <c r="G88" i="18"/>
  <c r="G56" i="18"/>
  <c r="G32" i="18"/>
  <c r="G16" i="18"/>
  <c r="G130" i="18"/>
  <c r="G98" i="18"/>
  <c r="G66" i="18"/>
  <c r="G132" i="18"/>
  <c r="G100" i="18"/>
  <c r="G68" i="18"/>
  <c r="G38" i="18"/>
  <c r="G22" i="18"/>
  <c r="G6" i="18"/>
  <c r="G131" i="18"/>
  <c r="G123" i="18"/>
  <c r="G115" i="18"/>
  <c r="G107" i="18"/>
  <c r="G99" i="18"/>
  <c r="G91" i="18"/>
  <c r="G83" i="18"/>
  <c r="G75" i="18"/>
  <c r="G67" i="18"/>
  <c r="G59" i="18"/>
  <c r="G51" i="18"/>
  <c r="G43" i="18"/>
  <c r="G35" i="18"/>
  <c r="G27" i="18"/>
  <c r="G19" i="18"/>
  <c r="G4" i="18"/>
  <c r="G126" i="18"/>
  <c r="G78" i="18"/>
  <c r="G46" i="18"/>
  <c r="G112" i="18"/>
  <c r="G80" i="18"/>
  <c r="G48" i="18"/>
  <c r="G28" i="18"/>
  <c r="G12" i="18"/>
  <c r="G122" i="18"/>
  <c r="G90" i="18"/>
  <c r="G58" i="18"/>
  <c r="G124" i="18"/>
  <c r="G92" i="18"/>
  <c r="G60" i="18"/>
  <c r="G34" i="18"/>
  <c r="G18" i="18"/>
  <c r="G137" i="18"/>
  <c r="G129" i="18"/>
  <c r="G121" i="18"/>
  <c r="G113" i="18"/>
  <c r="G105" i="18"/>
  <c r="G97" i="18"/>
  <c r="G89" i="18"/>
  <c r="G81" i="18"/>
  <c r="G73" i="18"/>
  <c r="G65" i="18"/>
  <c r="G57" i="18"/>
  <c r="G49" i="18"/>
  <c r="G41" i="18"/>
  <c r="G33" i="18"/>
  <c r="G25" i="18"/>
  <c r="G17" i="18"/>
  <c r="G9" i="18"/>
  <c r="G134" i="18"/>
  <c r="G102" i="18"/>
  <c r="G70" i="18"/>
  <c r="G136" i="18"/>
  <c r="G104" i="18"/>
  <c r="G72" i="18"/>
  <c r="G40" i="18"/>
  <c r="G24" i="18"/>
  <c r="G8" i="18"/>
  <c r="G114" i="18"/>
  <c r="G82" i="18"/>
  <c r="G50" i="18"/>
  <c r="G116" i="18"/>
  <c r="G84" i="18"/>
  <c r="G52" i="18"/>
  <c r="G30" i="18"/>
  <c r="G14" i="18"/>
  <c r="G135" i="18"/>
  <c r="G127" i="18"/>
  <c r="G119" i="18"/>
  <c r="G111" i="18"/>
  <c r="G103" i="18"/>
  <c r="G95" i="18"/>
  <c r="G87" i="18"/>
  <c r="G79" i="18"/>
  <c r="G71" i="18"/>
  <c r="G63" i="18"/>
  <c r="G55" i="18"/>
  <c r="G47" i="18"/>
  <c r="G39" i="18"/>
  <c r="G31" i="18"/>
  <c r="G23" i="18"/>
  <c r="G15" i="18"/>
  <c r="G110" i="18"/>
  <c r="G94" i="18"/>
  <c r="G62" i="18"/>
  <c r="G128" i="18"/>
  <c r="G96" i="18"/>
  <c r="G64" i="18"/>
  <c r="G36" i="18"/>
  <c r="G20" i="18"/>
  <c r="G138" i="18"/>
  <c r="G106" i="18"/>
  <c r="G74" i="18"/>
  <c r="G42" i="18"/>
  <c r="G108" i="18"/>
  <c r="G76" i="18"/>
  <c r="G44" i="18"/>
  <c r="G26" i="18"/>
  <c r="G10" i="18"/>
  <c r="G133" i="18"/>
  <c r="G125" i="18"/>
  <c r="G117" i="18"/>
  <c r="G109" i="18"/>
  <c r="G101" i="18"/>
  <c r="G93" i="18"/>
  <c r="G85" i="18"/>
  <c r="G77" i="18"/>
  <c r="G69" i="18"/>
  <c r="G61" i="18"/>
  <c r="G53" i="18"/>
  <c r="G45" i="18"/>
  <c r="G37" i="18"/>
  <c r="G29" i="18"/>
  <c r="G21" i="18"/>
  <c r="G13" i="18"/>
  <c r="CV62" i="8"/>
  <c r="BI55" i="18" a="1"/>
  <c r="BI55" i="18"/>
  <c r="CV139" i="8"/>
  <c r="BI132" i="18" a="1"/>
  <c r="BI132" i="18"/>
  <c r="BE5" i="18" a="1"/>
  <c r="BE5" i="18"/>
  <c r="H5" i="18"/>
  <c r="BA129" i="17" a="1"/>
  <c r="BA129" i="17"/>
  <c r="BA129" i="18" a="1"/>
  <c r="BA129" i="18"/>
  <c r="BA137" i="17" a="1"/>
  <c r="BA137" i="17"/>
  <c r="BA137" i="18" a="1"/>
  <c r="BA137" i="18"/>
  <c r="BA127" i="17" a="1"/>
  <c r="BA127" i="17"/>
  <c r="BA127" i="18" a="1"/>
  <c r="BA127" i="18"/>
  <c r="BA124" i="17" a="1"/>
  <c r="BA124" i="17"/>
  <c r="BA124" i="18" a="1"/>
  <c r="BA124" i="18"/>
  <c r="BA133" i="17" a="1"/>
  <c r="BA133" i="17"/>
  <c r="BA133" i="18" a="1"/>
  <c r="BA133" i="18"/>
  <c r="CH129" i="17" a="1"/>
  <c r="CH129" i="17"/>
  <c r="CH129" i="18" a="1"/>
  <c r="CH129" i="18"/>
  <c r="BA134" i="17" a="1"/>
  <c r="BA134" i="17"/>
  <c r="BA134" i="18" a="1"/>
  <c r="BA134" i="18"/>
  <c r="BA135" i="17" a="1"/>
  <c r="BA135" i="17"/>
  <c r="BA135" i="18" a="1"/>
  <c r="BA135" i="18"/>
  <c r="BA136" i="17" a="1"/>
  <c r="BA136" i="17"/>
  <c r="BA136" i="18" a="1"/>
  <c r="BA136" i="18"/>
  <c r="BA125" i="17" a="1"/>
  <c r="BA125" i="17"/>
  <c r="BA125" i="18" a="1"/>
  <c r="BA125" i="18"/>
  <c r="BI133" i="17" a="1"/>
  <c r="BI133" i="17"/>
  <c r="BI133" i="18" a="1"/>
  <c r="BI133" i="18"/>
  <c r="CH132" i="17" a="1"/>
  <c r="CH132" i="17"/>
  <c r="CH132" i="18" a="1"/>
  <c r="CH132" i="18"/>
  <c r="BA132" i="17" a="1"/>
  <c r="BA132" i="17"/>
  <c r="BA132" i="18" a="1"/>
  <c r="BA132" i="18"/>
  <c r="BA131" i="17" a="1"/>
  <c r="BA131" i="17"/>
  <c r="BA131" i="18" a="1"/>
  <c r="BA131" i="18"/>
  <c r="BA126" i="17" a="1"/>
  <c r="BA126" i="17"/>
  <c r="BA126" i="18" a="1"/>
  <c r="BA126" i="18"/>
  <c r="BA138" i="17" a="1"/>
  <c r="BA138" i="17"/>
  <c r="BA138" i="18" a="1"/>
  <c r="BA138" i="18"/>
  <c r="BA128" i="17" a="1"/>
  <c r="BA128" i="17"/>
  <c r="BA128" i="18" a="1"/>
  <c r="BA128" i="18"/>
  <c r="BA130" i="17" a="1"/>
  <c r="BA130" i="17"/>
  <c r="BA130" i="18" a="1"/>
  <c r="BA130" i="18"/>
  <c r="CH138" i="17" a="1"/>
  <c r="CH138" i="17"/>
  <c r="CH138" i="18" a="1"/>
  <c r="CH138" i="18"/>
  <c r="CV143" i="8"/>
  <c r="CV38" i="8"/>
  <c r="BI31" i="18" a="1"/>
  <c r="BI31" i="18"/>
  <c r="CV141" i="8"/>
  <c r="BW51" i="1"/>
  <c r="CV23" i="8"/>
  <c r="BI16" i="18" a="1"/>
  <c r="BI16" i="18"/>
  <c r="CV25" i="8"/>
  <c r="BI18" i="18" a="1"/>
  <c r="BI18" i="18"/>
  <c r="CV35" i="8"/>
  <c r="BI28" i="18" a="1"/>
  <c r="BI28" i="18"/>
  <c r="CV111" i="8"/>
  <c r="BI104" i="18" a="1"/>
  <c r="BI104" i="18"/>
  <c r="CV17" i="8"/>
  <c r="BI10" i="18" a="1"/>
  <c r="BI10" i="18"/>
  <c r="CV77" i="8"/>
  <c r="BI70" i="18" a="1"/>
  <c r="BI70" i="18"/>
  <c r="CV68" i="8"/>
  <c r="BI61" i="18" a="1"/>
  <c r="BI61" i="18"/>
  <c r="CV126" i="8"/>
  <c r="BI119" i="18" a="1"/>
  <c r="BI119" i="18"/>
  <c r="CV135" i="8"/>
  <c r="CV15" i="8"/>
  <c r="BI8" i="18" a="1"/>
  <c r="BI8" i="18"/>
  <c r="CV136" i="8"/>
  <c r="CV42" i="8"/>
  <c r="BI35" i="18" a="1"/>
  <c r="BI35" i="18"/>
  <c r="CV80" i="8"/>
  <c r="BI73" i="18" a="1"/>
  <c r="BI73" i="18"/>
  <c r="CV51" i="8"/>
  <c r="BI44" i="18" a="1"/>
  <c r="BI44" i="18"/>
  <c r="CV58" i="8"/>
  <c r="BI51" i="18" a="1"/>
  <c r="BI51" i="18"/>
  <c r="CV86" i="8"/>
  <c r="BI79" i="18" a="1"/>
  <c r="BI79" i="18"/>
  <c r="CV106" i="8"/>
  <c r="BI99" i="18" a="1"/>
  <c r="BI99" i="18"/>
  <c r="CV112" i="8"/>
  <c r="BI105" i="18" a="1"/>
  <c r="BI105" i="18"/>
  <c r="CV138" i="8"/>
  <c r="CV122" i="8"/>
  <c r="BI115" i="18" a="1"/>
  <c r="BI115" i="18"/>
  <c r="CV22" i="8"/>
  <c r="BI15" i="18" a="1"/>
  <c r="BI15" i="18"/>
  <c r="CV60" i="8"/>
  <c r="BI53" i="18" a="1"/>
  <c r="BI53" i="18"/>
  <c r="CV137" i="8"/>
  <c r="CV64" i="8"/>
  <c r="BI57" i="18" a="1"/>
  <c r="BI57" i="18"/>
  <c r="CV14" i="8"/>
  <c r="BI7" i="18" a="1"/>
  <c r="BI7" i="18"/>
  <c r="CV129" i="8"/>
  <c r="BI122" i="18" a="1"/>
  <c r="BI122" i="18"/>
  <c r="CV27" i="8"/>
  <c r="BI20" i="18" a="1"/>
  <c r="BI20" i="18"/>
  <c r="CV121" i="8"/>
  <c r="BI114" i="18" a="1"/>
  <c r="BI114" i="18"/>
  <c r="CV67" i="8"/>
  <c r="BI60" i="18" a="1"/>
  <c r="BI60" i="18"/>
  <c r="CV127" i="8"/>
  <c r="BI120" i="18" a="1"/>
  <c r="BI120" i="18"/>
  <c r="CV82" i="8"/>
  <c r="BI75" i="18" a="1"/>
  <c r="BI75" i="18"/>
  <c r="CV115" i="8"/>
  <c r="BI108" i="18" a="1"/>
  <c r="BI108" i="18"/>
  <c r="CV114" i="8"/>
  <c r="BI107" i="18" a="1"/>
  <c r="BI107" i="18"/>
  <c r="CV145" i="8"/>
  <c r="CV49" i="8"/>
  <c r="BI42" i="18" a="1"/>
  <c r="BI42" i="18"/>
  <c r="CV100" i="8"/>
  <c r="BI93" i="18" a="1"/>
  <c r="BI93" i="18"/>
  <c r="CV34" i="8"/>
  <c r="BI27" i="18" a="1"/>
  <c r="BI27" i="18"/>
  <c r="CV44" i="8"/>
  <c r="BI37" i="18" a="1"/>
  <c r="BI37" i="18"/>
  <c r="CV78" i="8"/>
  <c r="BI71" i="18" a="1"/>
  <c r="BI71" i="18"/>
  <c r="CV123" i="8"/>
  <c r="BI116" i="18" a="1"/>
  <c r="BI116" i="18"/>
  <c r="CV132" i="8"/>
  <c r="CV18" i="8"/>
  <c r="BI11" i="18" a="1"/>
  <c r="BI11" i="18"/>
  <c r="CV81" i="8"/>
  <c r="BI74" i="18" a="1"/>
  <c r="BI74" i="18"/>
  <c r="CV39" i="8"/>
  <c r="BI32" i="18" a="1"/>
  <c r="BI32" i="18"/>
  <c r="CV28" i="8"/>
  <c r="BI21" i="18" a="1"/>
  <c r="BI21" i="18"/>
  <c r="CV33" i="8"/>
  <c r="BI26" i="18" a="1"/>
  <c r="BI26" i="18"/>
  <c r="CV61" i="8"/>
  <c r="BI54" i="18" a="1"/>
  <c r="BI54" i="18"/>
  <c r="CV55" i="8"/>
  <c r="BI48" i="18" a="1"/>
  <c r="BI48" i="18"/>
  <c r="CV29" i="8"/>
  <c r="BI22" i="18" a="1"/>
  <c r="BI22" i="18"/>
  <c r="CV26" i="8"/>
  <c r="BI19" i="18" a="1"/>
  <c r="BI19" i="18"/>
  <c r="CV20" i="8"/>
  <c r="BI13" i="18" a="1"/>
  <c r="BI13" i="18"/>
  <c r="CV87" i="8"/>
  <c r="BI80" i="18" a="1"/>
  <c r="BI80" i="18"/>
  <c r="CV97" i="8"/>
  <c r="BI90" i="18" a="1"/>
  <c r="BI90" i="18"/>
  <c r="CV66" i="8"/>
  <c r="BI59" i="18" a="1"/>
  <c r="BI59" i="18"/>
  <c r="CV117" i="8"/>
  <c r="BI110" i="18" a="1"/>
  <c r="BI110" i="18"/>
  <c r="CV72" i="8"/>
  <c r="BI65" i="18" a="1"/>
  <c r="BI65" i="18"/>
  <c r="CV13" i="8"/>
  <c r="BI6" i="18" a="1"/>
  <c r="BI6" i="18"/>
  <c r="CV92" i="8"/>
  <c r="BI85" i="18" a="1"/>
  <c r="BI85" i="18"/>
  <c r="CV130" i="8"/>
  <c r="BI123" i="18" a="1"/>
  <c r="BI123" i="18"/>
  <c r="CV94" i="8"/>
  <c r="BI87" i="18" a="1"/>
  <c r="BI87" i="18"/>
  <c r="CV105" i="8"/>
  <c r="BI98" i="18" a="1"/>
  <c r="BI98" i="18"/>
  <c r="CV75" i="8"/>
  <c r="BI68" i="18" a="1"/>
  <c r="BI68" i="18"/>
  <c r="CV144" i="8"/>
  <c r="CV96" i="8"/>
  <c r="BI89" i="18" a="1"/>
  <c r="BI89" i="18"/>
  <c r="CV109" i="8"/>
  <c r="BI102" i="18" a="1"/>
  <c r="BI102" i="18"/>
  <c r="CV52" i="8"/>
  <c r="BI45" i="18" a="1"/>
  <c r="BI45" i="18"/>
  <c r="CV124" i="8"/>
  <c r="BI117" i="18" a="1"/>
  <c r="BI117" i="18"/>
  <c r="CV108" i="8"/>
  <c r="BI101" i="18" a="1"/>
  <c r="BI101" i="18"/>
  <c r="CV48" i="8"/>
  <c r="BI41" i="18" a="1"/>
  <c r="BI41" i="18"/>
  <c r="CV21" i="8"/>
  <c r="BI14" i="18" a="1"/>
  <c r="BI14" i="18"/>
  <c r="CV19" i="8"/>
  <c r="BI12" i="18" a="1"/>
  <c r="BI12" i="18"/>
  <c r="CV118" i="8"/>
  <c r="BI111" i="18" a="1"/>
  <c r="BI111" i="18"/>
  <c r="CV57" i="8"/>
  <c r="BI50" i="18" a="1"/>
  <c r="BI50" i="18"/>
  <c r="CV128" i="8"/>
  <c r="BI121" i="18" a="1"/>
  <c r="BI121" i="18"/>
  <c r="CV46" i="8"/>
  <c r="BI39" i="18" a="1"/>
  <c r="BI39" i="18"/>
  <c r="CV76" i="8"/>
  <c r="BI69" i="18" a="1"/>
  <c r="BI69" i="18"/>
  <c r="CV69" i="8"/>
  <c r="BI62" i="18" a="1"/>
  <c r="BI62" i="18"/>
  <c r="CV74" i="8"/>
  <c r="BI67" i="18" a="1"/>
  <c r="BI67" i="18"/>
  <c r="CV40" i="8"/>
  <c r="BI33" i="18" a="1"/>
  <c r="BI33" i="18"/>
  <c r="CV88" i="8"/>
  <c r="BI81" i="18" a="1"/>
  <c r="BI81" i="18"/>
  <c r="CV31" i="8"/>
  <c r="BI24" i="18" a="1"/>
  <c r="BI24" i="18"/>
  <c r="CV54" i="8"/>
  <c r="BI47" i="18" a="1"/>
  <c r="BI47" i="18"/>
  <c r="CV32" i="8"/>
  <c r="BI25" i="18" a="1"/>
  <c r="BI25" i="18"/>
  <c r="CV120" i="8"/>
  <c r="BI113" i="18" a="1"/>
  <c r="BI113" i="18"/>
  <c r="CV16" i="8"/>
  <c r="BI9" i="18" a="1"/>
  <c r="BI9" i="18"/>
  <c r="CV142" i="8"/>
  <c r="CV133" i="8"/>
  <c r="CV116" i="8"/>
  <c r="BI109" i="18" a="1"/>
  <c r="BI109" i="18"/>
  <c r="CV85" i="8"/>
  <c r="BI78" i="18" a="1"/>
  <c r="BI78" i="18"/>
  <c r="CV113" i="8"/>
  <c r="BI106" i="18" a="1"/>
  <c r="BI106" i="18"/>
  <c r="CV45" i="8"/>
  <c r="BI38" i="18" a="1"/>
  <c r="BI38" i="18"/>
  <c r="CV24" i="8"/>
  <c r="BI17" i="18" a="1"/>
  <c r="BI17" i="18"/>
  <c r="CV70" i="8"/>
  <c r="BI63" i="18" a="1"/>
  <c r="BI63" i="18"/>
  <c r="CV98" i="8"/>
  <c r="BI91" i="18" a="1"/>
  <c r="BI91" i="18"/>
  <c r="CV103" i="8"/>
  <c r="BI96" i="18" a="1"/>
  <c r="BI96" i="18"/>
  <c r="CV36" i="8"/>
  <c r="BI29" i="18" a="1"/>
  <c r="BI29" i="18"/>
  <c r="CV63" i="8"/>
  <c r="BI56" i="18" a="1"/>
  <c r="BI56" i="18"/>
  <c r="CV134" i="8"/>
  <c r="CV37" i="8"/>
  <c r="BI30" i="18" a="1"/>
  <c r="BI30" i="18"/>
  <c r="CV84" i="8"/>
  <c r="BI77" i="18" a="1"/>
  <c r="BI77" i="18"/>
  <c r="CV73" i="8"/>
  <c r="BI66" i="18" a="1"/>
  <c r="BI66" i="18"/>
  <c r="CV101" i="8"/>
  <c r="BI94" i="18" a="1"/>
  <c r="BI94" i="18"/>
  <c r="CV65" i="8"/>
  <c r="BI58" i="18" a="1"/>
  <c r="BI58" i="18"/>
  <c r="CV99" i="8"/>
  <c r="BI92" i="18" a="1"/>
  <c r="BI92" i="18"/>
  <c r="CV83" i="8"/>
  <c r="BI76" i="18" a="1"/>
  <c r="BI76" i="18"/>
  <c r="CV89" i="8"/>
  <c r="BI82" i="18" a="1"/>
  <c r="BI82" i="18"/>
  <c r="CV131" i="8"/>
  <c r="CV41" i="8"/>
  <c r="BI34" i="18" a="1"/>
  <c r="BI34" i="18"/>
  <c r="CV125" i="8"/>
  <c r="BI118" i="18" a="1"/>
  <c r="BI118" i="18"/>
  <c r="CV119" i="8"/>
  <c r="BI112" i="18" a="1"/>
  <c r="BI112" i="18"/>
  <c r="CV95" i="8"/>
  <c r="BI88" i="18" a="1"/>
  <c r="BI88" i="18"/>
  <c r="CV107" i="8"/>
  <c r="BI100" i="18" a="1"/>
  <c r="BI100" i="18"/>
  <c r="CV53" i="8"/>
  <c r="BI46" i="18" a="1"/>
  <c r="BI46" i="18"/>
  <c r="CV59" i="8"/>
  <c r="BI52" i="18" a="1"/>
  <c r="BI52" i="18"/>
  <c r="CV47" i="8"/>
  <c r="BI40" i="18" a="1"/>
  <c r="BI40" i="18"/>
  <c r="CV71" i="8"/>
  <c r="BI64" i="18" a="1"/>
  <c r="BI64" i="18"/>
  <c r="AU51" i="1"/>
  <c r="BS51" i="1"/>
  <c r="AB51" i="1"/>
  <c r="CH8" i="18" a="1"/>
  <c r="CH8" i="18"/>
  <c r="CG137" i="18" a="1"/>
  <c r="CG137" i="18"/>
  <c r="CG132" i="18" a="1"/>
  <c r="CG132" i="18"/>
  <c r="CG124" i="18" a="1"/>
  <c r="CG124" i="18"/>
  <c r="AZ15" i="8"/>
  <c r="BF15" i="8"/>
  <c r="CG125" i="18" a="1"/>
  <c r="CG125" i="18"/>
  <c r="BK51" i="1"/>
  <c r="CG131" i="17" a="1"/>
  <c r="CG131" i="17"/>
  <c r="CG133" i="17" a="1"/>
  <c r="CG133" i="17"/>
  <c r="CG128" i="18" a="1"/>
  <c r="CG128" i="18"/>
  <c r="CG134" i="18" a="1"/>
  <c r="CG134" i="18"/>
  <c r="CG127" i="17" a="1"/>
  <c r="CG127" i="17"/>
  <c r="CG130" i="18" a="1"/>
  <c r="CG130" i="18"/>
  <c r="CG126" i="18" a="1"/>
  <c r="CG126" i="18"/>
  <c r="CG136" i="18" a="1"/>
  <c r="CG136" i="18"/>
  <c r="CA51" i="1"/>
  <c r="CG135" i="17" a="1"/>
  <c r="CG135" i="17"/>
  <c r="CH130" i="18" a="1"/>
  <c r="CH130" i="18"/>
  <c r="AZ11" i="8"/>
  <c r="DF11" i="8"/>
  <c r="DI6" i="8"/>
  <c r="CF4" i="18" a="1"/>
  <c r="CF4" i="18"/>
  <c r="CH131" i="17" a="1"/>
  <c r="CH131" i="17"/>
  <c r="BI132" i="17" a="1"/>
  <c r="BI132" i="17"/>
  <c r="CH125" i="18" a="1"/>
  <c r="CH125" i="18"/>
  <c r="CH135" i="17" a="1"/>
  <c r="CH135" i="17"/>
  <c r="H131" i="18"/>
  <c r="H136" i="18"/>
  <c r="H96" i="18"/>
  <c r="H80" i="18"/>
  <c r="H64" i="18"/>
  <c r="H48" i="18"/>
  <c r="H32" i="18"/>
  <c r="H16" i="18"/>
  <c r="H133" i="18"/>
  <c r="H117" i="18"/>
  <c r="H101" i="18"/>
  <c r="H85" i="18"/>
  <c r="H69" i="18"/>
  <c r="H53" i="18"/>
  <c r="H135" i="18"/>
  <c r="H119" i="18"/>
  <c r="H103" i="18"/>
  <c r="H87" i="18"/>
  <c r="H71" i="18"/>
  <c r="H55" i="18"/>
  <c r="H38" i="18"/>
  <c r="H22" i="18"/>
  <c r="H6" i="18"/>
  <c r="H126" i="18"/>
  <c r="H110" i="18"/>
  <c r="H94" i="18"/>
  <c r="H78" i="18"/>
  <c r="H62" i="18"/>
  <c r="H46" i="18"/>
  <c r="H35" i="18"/>
  <c r="H27" i="18"/>
  <c r="H19" i="18"/>
  <c r="H11" i="18"/>
  <c r="H4" i="18"/>
  <c r="H120" i="18"/>
  <c r="H115" i="18"/>
  <c r="H91" i="18"/>
  <c r="H75" i="18"/>
  <c r="H59" i="18"/>
  <c r="H43" i="18"/>
  <c r="H28" i="18"/>
  <c r="H12" i="18"/>
  <c r="H130" i="18"/>
  <c r="H114" i="18"/>
  <c r="H98" i="18"/>
  <c r="H82" i="18"/>
  <c r="H66" i="18"/>
  <c r="H50" i="18"/>
  <c r="H132" i="18"/>
  <c r="H116" i="18"/>
  <c r="H100" i="18"/>
  <c r="H84" i="18"/>
  <c r="H68" i="18"/>
  <c r="H52" i="18"/>
  <c r="H34" i="18"/>
  <c r="H18" i="18"/>
  <c r="H137" i="18"/>
  <c r="H121" i="18"/>
  <c r="H105" i="18"/>
  <c r="H89" i="18"/>
  <c r="H73" i="18"/>
  <c r="H57" i="18"/>
  <c r="H41" i="18"/>
  <c r="H33" i="18"/>
  <c r="H25" i="18"/>
  <c r="H17" i="18"/>
  <c r="H9" i="18"/>
  <c r="H123" i="18"/>
  <c r="H128" i="18"/>
  <c r="H104" i="18"/>
  <c r="H88" i="18"/>
  <c r="H72" i="18"/>
  <c r="H56" i="18"/>
  <c r="H40" i="18"/>
  <c r="H24" i="18"/>
  <c r="H8" i="18"/>
  <c r="H125" i="18"/>
  <c r="H109" i="18"/>
  <c r="H93" i="18"/>
  <c r="H77" i="18"/>
  <c r="H61" i="18"/>
  <c r="H45" i="18"/>
  <c r="H127" i="18"/>
  <c r="H111" i="18"/>
  <c r="H95" i="18"/>
  <c r="H79" i="18"/>
  <c r="H63" i="18"/>
  <c r="H47" i="18"/>
  <c r="H30" i="18"/>
  <c r="H14" i="18"/>
  <c r="H134" i="18"/>
  <c r="H118" i="18"/>
  <c r="H102" i="18"/>
  <c r="H86" i="18"/>
  <c r="H70" i="18"/>
  <c r="H54" i="18"/>
  <c r="H39" i="18"/>
  <c r="H31" i="18"/>
  <c r="H23" i="18"/>
  <c r="H15" i="18"/>
  <c r="H7" i="18"/>
  <c r="H112" i="18"/>
  <c r="H107" i="18"/>
  <c r="H99" i="18"/>
  <c r="H83" i="18"/>
  <c r="H67" i="18"/>
  <c r="H51" i="18"/>
  <c r="H36" i="18"/>
  <c r="H20" i="18"/>
  <c r="H138" i="18"/>
  <c r="H122" i="18"/>
  <c r="H106" i="18"/>
  <c r="H90" i="18"/>
  <c r="H74" i="18"/>
  <c r="H58" i="18"/>
  <c r="H42" i="18"/>
  <c r="H124" i="18"/>
  <c r="H108" i="18"/>
  <c r="H92" i="18"/>
  <c r="H76" i="18"/>
  <c r="H60" i="18"/>
  <c r="H44" i="18"/>
  <c r="H26" i="18"/>
  <c r="H10" i="18"/>
  <c r="H129" i="18"/>
  <c r="H113" i="18"/>
  <c r="H97" i="18"/>
  <c r="H81" i="18"/>
  <c r="H65" i="18"/>
  <c r="H49" i="18"/>
  <c r="H37" i="18"/>
  <c r="H29" i="18"/>
  <c r="H21" i="18"/>
  <c r="H13" i="18"/>
  <c r="BI124" i="17" a="1"/>
  <c r="BI124" i="17"/>
  <c r="BI124" i="18" a="1"/>
  <c r="BI124" i="18"/>
  <c r="BI137" i="17" a="1"/>
  <c r="BI137" i="17"/>
  <c r="BI137" i="18" a="1"/>
  <c r="BI137" i="18"/>
  <c r="BI130" i="17" a="1"/>
  <c r="BI130" i="17"/>
  <c r="BI130" i="18" a="1"/>
  <c r="BI130" i="18"/>
  <c r="BI131" i="17" a="1"/>
  <c r="BI131" i="17"/>
  <c r="BI131" i="18" a="1"/>
  <c r="BI131" i="18"/>
  <c r="BI129" i="17" a="1"/>
  <c r="BI129" i="17"/>
  <c r="BI129" i="18" a="1"/>
  <c r="BI129" i="18"/>
  <c r="CH128" i="17" a="1"/>
  <c r="CH128" i="17"/>
  <c r="CH128" i="18" a="1"/>
  <c r="CH128" i="18"/>
  <c r="CH4" i="18" a="1"/>
  <c r="CH4" i="18"/>
  <c r="CH133" i="17" a="1"/>
  <c r="CH133" i="17"/>
  <c r="CH133" i="18" a="1"/>
  <c r="CH133" i="18"/>
  <c r="CH136" i="17" a="1"/>
  <c r="CH136" i="17"/>
  <c r="CH136" i="18" a="1"/>
  <c r="CH136" i="18"/>
  <c r="BI126" i="17" a="1"/>
  <c r="BI126" i="17"/>
  <c r="BI126" i="18" a="1"/>
  <c r="BI126" i="18"/>
  <c r="BI136" i="17" a="1"/>
  <c r="BI136" i="17"/>
  <c r="BI136" i="18" a="1"/>
  <c r="BI136" i="18"/>
  <c r="BI127" i="17" a="1"/>
  <c r="BI127" i="17"/>
  <c r="BI127" i="18" a="1"/>
  <c r="BI127" i="18"/>
  <c r="BI125" i="17" a="1"/>
  <c r="BI125" i="17"/>
  <c r="BI125" i="18" a="1"/>
  <c r="BI125" i="18"/>
  <c r="BI128" i="17" a="1"/>
  <c r="BI128" i="17"/>
  <c r="BI128" i="18" a="1"/>
  <c r="BI128" i="18"/>
  <c r="CH127" i="17" a="1"/>
  <c r="CH127" i="17"/>
  <c r="CH127" i="18" a="1"/>
  <c r="CH127" i="18"/>
  <c r="CH134" i="17" a="1"/>
  <c r="CH134" i="17"/>
  <c r="CH134" i="18" a="1"/>
  <c r="CH134" i="18"/>
  <c r="CH124" i="17" a="1"/>
  <c r="CH124" i="17"/>
  <c r="CH124" i="18" a="1"/>
  <c r="CH124" i="18"/>
  <c r="CH126" i="17" a="1"/>
  <c r="CH126" i="17"/>
  <c r="CH126" i="18" a="1"/>
  <c r="CH126" i="18"/>
  <c r="BI135" i="17" a="1"/>
  <c r="BI135" i="17"/>
  <c r="BI135" i="18" a="1"/>
  <c r="BI135" i="18"/>
  <c r="BI138" i="17" a="1"/>
  <c r="BI138" i="17"/>
  <c r="BI138" i="18" a="1"/>
  <c r="BI138" i="18"/>
  <c r="CH5" i="18" a="1"/>
  <c r="CH5" i="18"/>
  <c r="CH137" i="17" a="1"/>
  <c r="CH137" i="17"/>
  <c r="CH137" i="18" a="1"/>
  <c r="CH137" i="18"/>
  <c r="BI134" i="17" a="1"/>
  <c r="BI134" i="17"/>
  <c r="BI134" i="18" a="1"/>
  <c r="BI134" i="18"/>
  <c r="CE51" i="1"/>
  <c r="AJ24" i="18"/>
  <c r="AJ125" i="17"/>
  <c r="AJ127" i="17"/>
  <c r="AJ129" i="17"/>
  <c r="AJ131" i="17"/>
  <c r="AJ133" i="17"/>
  <c r="AJ135" i="17"/>
  <c r="AJ137" i="17"/>
  <c r="AJ124" i="17"/>
  <c r="AJ126" i="17"/>
  <c r="AJ128" i="17"/>
  <c r="AJ130" i="17"/>
  <c r="AJ132" i="17"/>
  <c r="AJ134" i="17"/>
  <c r="AJ136" i="17"/>
  <c r="AJ138" i="17"/>
  <c r="AJ85" i="18"/>
  <c r="AJ57" i="18"/>
  <c r="AJ68" i="18"/>
  <c r="AJ51" i="18"/>
  <c r="AJ127" i="18"/>
  <c r="AJ136" i="18"/>
  <c r="AJ115" i="18"/>
  <c r="AJ86" i="18"/>
  <c r="AJ84" i="18"/>
  <c r="AJ17" i="18"/>
  <c r="AJ22" i="18"/>
  <c r="AJ117" i="18"/>
  <c r="AJ102" i="18"/>
  <c r="AJ48" i="18"/>
  <c r="AJ47" i="18"/>
  <c r="AJ37" i="18"/>
  <c r="AJ8" i="18"/>
  <c r="AJ64" i="18"/>
  <c r="AJ9" i="18"/>
  <c r="AJ128" i="18"/>
  <c r="AJ82" i="18"/>
  <c r="AJ40" i="18"/>
  <c r="AJ5" i="18"/>
  <c r="AJ81" i="18"/>
  <c r="AJ131" i="18"/>
  <c r="AJ98" i="18"/>
  <c r="AJ25" i="18"/>
  <c r="AJ71" i="18"/>
  <c r="AJ15" i="18"/>
  <c r="AJ106" i="18"/>
  <c r="AJ44" i="18"/>
  <c r="AJ11" i="18"/>
  <c r="AJ92" i="18"/>
  <c r="AJ46" i="18"/>
  <c r="AJ39" i="18"/>
  <c r="AJ34" i="18"/>
  <c r="AJ16" i="18"/>
  <c r="AJ137" i="18"/>
  <c r="AJ61" i="18"/>
  <c r="AJ32" i="18"/>
  <c r="AJ28" i="18"/>
  <c r="AJ109" i="18"/>
  <c r="AJ62" i="18"/>
  <c r="AJ76" i="18"/>
  <c r="AJ50" i="18"/>
  <c r="AJ77" i="18"/>
  <c r="AJ125" i="18"/>
  <c r="AJ87" i="18"/>
  <c r="AJ55" i="18"/>
  <c r="AJ45" i="18"/>
  <c r="AJ126" i="18"/>
  <c r="AJ12" i="18"/>
  <c r="AJ93" i="18"/>
  <c r="AJ66" i="18"/>
  <c r="AJ124" i="18"/>
  <c r="AJ103" i="18"/>
  <c r="AJ74" i="18"/>
  <c r="AJ75" i="18"/>
  <c r="AJ35" i="18"/>
  <c r="AJ29" i="18"/>
  <c r="AJ110" i="18"/>
  <c r="AJ13" i="18"/>
  <c r="AJ21" i="18"/>
  <c r="AJ33" i="18"/>
  <c r="AJ91" i="18"/>
  <c r="AJ69" i="18"/>
  <c r="AJ67" i="18"/>
  <c r="AJ43" i="18"/>
  <c r="AJ73" i="18"/>
  <c r="AJ54" i="18"/>
  <c r="AJ135" i="18"/>
  <c r="AJ56" i="18"/>
  <c r="AJ121" i="18"/>
  <c r="AJ26" i="18"/>
  <c r="AJ107" i="18"/>
  <c r="AJ129" i="18"/>
  <c r="AJ88" i="18"/>
  <c r="AJ134" i="18"/>
  <c r="AJ79" i="18"/>
  <c r="AJ96" i="18"/>
  <c r="AJ49" i="18"/>
  <c r="AJ132" i="18"/>
  <c r="AJ60" i="18"/>
  <c r="AJ80" i="18"/>
  <c r="AJ38" i="18"/>
  <c r="AJ119" i="18"/>
  <c r="AJ104" i="18"/>
  <c r="AJ10" i="18"/>
  <c r="AJ112" i="18"/>
  <c r="AJ116" i="18"/>
  <c r="AJ59" i="18"/>
  <c r="AJ19" i="18"/>
  <c r="AJ101" i="18"/>
  <c r="AJ52" i="18"/>
  <c r="AJ70" i="18"/>
  <c r="AJ23" i="18"/>
  <c r="AJ78" i="18"/>
  <c r="AJ138" i="18"/>
  <c r="AJ42" i="18"/>
  <c r="AJ123" i="18"/>
  <c r="AJ36" i="18"/>
  <c r="AJ105" i="18"/>
  <c r="AJ14" i="18"/>
  <c r="AJ95" i="18"/>
  <c r="AJ113" i="18"/>
  <c r="AJ72" i="18"/>
  <c r="AJ133" i="18"/>
  <c r="AJ83" i="18"/>
  <c r="AJ97" i="18"/>
  <c r="AJ65" i="18"/>
  <c r="AJ27" i="18"/>
  <c r="AJ20" i="18"/>
  <c r="AJ108" i="18"/>
  <c r="AJ41" i="18"/>
  <c r="AJ58" i="18"/>
  <c r="AJ7" i="18"/>
  <c r="AJ63" i="18"/>
  <c r="AJ122" i="18"/>
  <c r="AJ30" i="18"/>
  <c r="AJ111" i="18"/>
  <c r="AJ130" i="18"/>
  <c r="AJ89" i="18"/>
  <c r="AJ18" i="18"/>
  <c r="AJ99" i="18"/>
  <c r="AJ114" i="18"/>
  <c r="AJ118" i="18"/>
  <c r="AJ31" i="18"/>
  <c r="AJ100" i="18"/>
  <c r="AJ90" i="18"/>
  <c r="AJ4" i="18"/>
  <c r="AJ53" i="18"/>
  <c r="AJ120" i="18"/>
  <c r="AJ6" i="18"/>
  <c r="AJ94" i="18"/>
  <c r="BG4" i="18" a="1"/>
  <c r="BG4" i="18"/>
  <c r="BC51" i="1"/>
  <c r="FK11" i="8"/>
  <c r="FZ11" i="8"/>
  <c r="AK124" i="17"/>
  <c r="AK126" i="17"/>
  <c r="AK128" i="17"/>
  <c r="AK130" i="17"/>
  <c r="AK132" i="17"/>
  <c r="AK134" i="17"/>
  <c r="AK136" i="17"/>
  <c r="AK138" i="17"/>
  <c r="AK125" i="17"/>
  <c r="AK127" i="17"/>
  <c r="AK129" i="17"/>
  <c r="AK131" i="17"/>
  <c r="AK133" i="17"/>
  <c r="AK135" i="17"/>
  <c r="AK137" i="17"/>
  <c r="L124" i="17"/>
  <c r="L126" i="17"/>
  <c r="L128" i="17"/>
  <c r="L130" i="17"/>
  <c r="L132" i="17"/>
  <c r="L134" i="17"/>
  <c r="L136" i="17"/>
  <c r="L138" i="17"/>
  <c r="L125" i="17"/>
  <c r="L127" i="17"/>
  <c r="L129" i="17"/>
  <c r="L131" i="17"/>
  <c r="L133" i="17"/>
  <c r="L135" i="17"/>
  <c r="L137" i="17"/>
  <c r="AK5" i="18"/>
  <c r="AK9" i="18"/>
  <c r="AK13" i="18"/>
  <c r="AK17" i="18"/>
  <c r="AK21" i="18"/>
  <c r="AK25" i="18"/>
  <c r="AK29" i="18"/>
  <c r="AK33" i="18"/>
  <c r="AK37" i="18"/>
  <c r="AK41" i="18"/>
  <c r="AK45" i="18"/>
  <c r="AK49" i="18"/>
  <c r="AK53" i="18"/>
  <c r="AK57" i="18"/>
  <c r="AK61" i="18"/>
  <c r="AK65" i="18"/>
  <c r="AK69" i="18"/>
  <c r="AK14" i="18"/>
  <c r="AK15" i="18"/>
  <c r="AK16" i="18"/>
  <c r="AK30" i="18"/>
  <c r="AK31" i="18"/>
  <c r="AK32" i="18"/>
  <c r="AK46" i="18"/>
  <c r="AK47" i="18"/>
  <c r="AK48" i="18"/>
  <c r="AK62" i="18"/>
  <c r="AK63" i="18"/>
  <c r="AK64" i="18"/>
  <c r="AK74" i="18"/>
  <c r="AK78" i="18"/>
  <c r="AK82" i="18"/>
  <c r="AK86" i="18"/>
  <c r="AK90" i="18"/>
  <c r="AK94" i="18"/>
  <c r="AK98" i="18"/>
  <c r="AK102" i="18"/>
  <c r="AK106" i="18"/>
  <c r="AK110" i="18"/>
  <c r="AK114" i="18"/>
  <c r="AK118" i="18"/>
  <c r="AK122" i="18"/>
  <c r="AK126" i="18"/>
  <c r="AK130" i="18"/>
  <c r="AK134" i="18"/>
  <c r="AK138" i="18"/>
  <c r="AK10" i="18"/>
  <c r="AK11" i="18"/>
  <c r="AK12" i="18"/>
  <c r="AK26" i="18"/>
  <c r="AK27" i="18"/>
  <c r="AK28" i="18"/>
  <c r="AK7" i="18"/>
  <c r="AK22" i="18"/>
  <c r="AK24" i="18"/>
  <c r="AK34" i="18"/>
  <c r="AK44" i="18"/>
  <c r="AK51" i="18"/>
  <c r="AK54" i="18"/>
  <c r="AK68" i="18"/>
  <c r="AK71" i="18"/>
  <c r="AK83" i="18"/>
  <c r="AK84" i="18"/>
  <c r="AK85" i="18"/>
  <c r="AK99" i="18"/>
  <c r="AK100" i="18"/>
  <c r="AK101" i="18"/>
  <c r="AK115" i="18"/>
  <c r="AK116" i="18"/>
  <c r="AK117" i="18"/>
  <c r="AK131" i="18"/>
  <c r="AK132" i="18"/>
  <c r="AK133" i="18"/>
  <c r="AK18" i="18"/>
  <c r="AK20" i="18"/>
  <c r="AK40" i="18"/>
  <c r="AK43" i="18"/>
  <c r="AK50" i="18"/>
  <c r="AK60" i="18"/>
  <c r="AK67" i="18"/>
  <c r="AK70" i="18"/>
  <c r="AK79" i="18"/>
  <c r="AK80" i="18"/>
  <c r="AK81" i="18"/>
  <c r="AK95" i="18"/>
  <c r="AK96" i="18"/>
  <c r="AK97" i="18"/>
  <c r="AK111" i="18"/>
  <c r="AK112" i="18"/>
  <c r="AK113" i="18"/>
  <c r="AK127" i="18"/>
  <c r="AK128" i="18"/>
  <c r="AK129" i="18"/>
  <c r="AK6" i="18"/>
  <c r="AK8" i="18"/>
  <c r="AK23" i="18"/>
  <c r="AK36" i="18"/>
  <c r="AK39" i="18"/>
  <c r="AK42" i="18"/>
  <c r="AK56" i="18"/>
  <c r="AK59" i="18"/>
  <c r="AK66" i="18"/>
  <c r="AK75" i="18"/>
  <c r="AK76" i="18"/>
  <c r="AK77" i="18"/>
  <c r="AK91" i="18"/>
  <c r="AK92" i="18"/>
  <c r="AK93" i="18"/>
  <c r="AK107" i="18"/>
  <c r="AK108" i="18"/>
  <c r="AK109" i="18"/>
  <c r="AK123" i="18"/>
  <c r="AK124" i="18"/>
  <c r="AK125" i="18"/>
  <c r="AK19" i="18"/>
  <c r="AK35" i="18"/>
  <c r="AK38" i="18"/>
  <c r="AK52" i="18"/>
  <c r="AK55" i="18"/>
  <c r="AK58" i="18"/>
  <c r="AK88" i="18"/>
  <c r="AK105" i="18"/>
  <c r="AK135" i="18"/>
  <c r="AK72" i="18"/>
  <c r="AK89" i="18"/>
  <c r="AK119" i="18"/>
  <c r="AK136" i="18"/>
  <c r="AK73" i="18"/>
  <c r="AK103" i="18"/>
  <c r="AK120" i="18"/>
  <c r="AK137" i="18"/>
  <c r="AK87" i="18"/>
  <c r="AK104" i="18"/>
  <c r="AK121" i="18"/>
  <c r="AK4" i="18"/>
  <c r="AS5" i="17"/>
  <c r="AS4" i="17"/>
  <c r="DI11" i="8"/>
  <c r="DK11" i="8"/>
  <c r="FZ6" i="8"/>
  <c r="AS7" i="17"/>
  <c r="AS6" i="17"/>
  <c r="AS8" i="17"/>
  <c r="AS9" i="17"/>
  <c r="AS11" i="17"/>
  <c r="AS10" i="17"/>
  <c r="AS13" i="17"/>
  <c r="AS12" i="17"/>
  <c r="AS15" i="17"/>
  <c r="AS14" i="17"/>
  <c r="AS16" i="17"/>
  <c r="AS17" i="17"/>
  <c r="AS18" i="17"/>
  <c r="AS19" i="17"/>
  <c r="GM37" i="1"/>
  <c r="GM47" i="1"/>
  <c r="GM30" i="1"/>
  <c r="GM32" i="1"/>
  <c r="GM34" i="1"/>
  <c r="GM36" i="1"/>
  <c r="GM42" i="1"/>
  <c r="GM38" i="1"/>
  <c r="GM44" i="1"/>
  <c r="GM41" i="1"/>
  <c r="GM43" i="1"/>
  <c r="GM48" i="1"/>
  <c r="GM46" i="1"/>
  <c r="GM49" i="1"/>
  <c r="GM35" i="1"/>
  <c r="GM45" i="1"/>
  <c r="GM40" i="1"/>
  <c r="GM33" i="1"/>
  <c r="GM28" i="1"/>
  <c r="GM29" i="1"/>
  <c r="AS20" i="17"/>
  <c r="AS21" i="17"/>
  <c r="AS23" i="17"/>
  <c r="AS22" i="17"/>
  <c r="AS25" i="17"/>
  <c r="AS24" i="17"/>
  <c r="AS26" i="17"/>
  <c r="AS27" i="17"/>
  <c r="AS29" i="17"/>
  <c r="AS28" i="17"/>
  <c r="AS30" i="17"/>
  <c r="AS31" i="17"/>
  <c r="AS32" i="17"/>
  <c r="AS33" i="17"/>
  <c r="AS35" i="17"/>
  <c r="AS34" i="17"/>
  <c r="AS36" i="17"/>
  <c r="AS37" i="17"/>
  <c r="AS39" i="17"/>
  <c r="AS38" i="17"/>
  <c r="AS40" i="17"/>
  <c r="AS41" i="17"/>
  <c r="AS43" i="17"/>
  <c r="AS42" i="17"/>
  <c r="AS44" i="17"/>
  <c r="AS45" i="17"/>
  <c r="AS47" i="17"/>
  <c r="AS46" i="17"/>
  <c r="AS48" i="17"/>
  <c r="AS49" i="17"/>
  <c r="AS51" i="17"/>
  <c r="AS50" i="17"/>
  <c r="AS52" i="17"/>
  <c r="AS53" i="17"/>
  <c r="AS54" i="17"/>
  <c r="AS55" i="17"/>
  <c r="AS56" i="17"/>
  <c r="AS57" i="17"/>
  <c r="AS59" i="17"/>
  <c r="AS58" i="17"/>
  <c r="AS61" i="17"/>
  <c r="AS60" i="17"/>
  <c r="AS62" i="17"/>
  <c r="AS63" i="17"/>
  <c r="AS64" i="17"/>
  <c r="AS65" i="17"/>
  <c r="AS67" i="17"/>
  <c r="AS66" i="17"/>
  <c r="AS68" i="17"/>
  <c r="AS69" i="17"/>
  <c r="AS70" i="17"/>
  <c r="AS71" i="17"/>
  <c r="AS73" i="17"/>
  <c r="AS72" i="17"/>
  <c r="AS74" i="17"/>
  <c r="AS75" i="17"/>
  <c r="DT128" i="8"/>
  <c r="DZ135" i="8"/>
  <c r="DS43" i="8"/>
  <c r="DR23" i="8"/>
  <c r="DU128" i="8"/>
  <c r="EC116" i="8"/>
  <c r="DZ29" i="8"/>
  <c r="DP92" i="8"/>
  <c r="EC119" i="8"/>
  <c r="EB89" i="8"/>
  <c r="DW105" i="8"/>
  <c r="DU73" i="8"/>
  <c r="DQ53" i="8"/>
  <c r="DT133" i="8"/>
  <c r="DW101" i="8"/>
  <c r="DV120" i="8"/>
  <c r="DR84" i="8"/>
  <c r="DZ91" i="8"/>
  <c r="DZ78" i="8"/>
  <c r="DU129" i="8"/>
  <c r="DV127" i="8"/>
  <c r="DV60" i="8"/>
  <c r="DR101" i="8"/>
  <c r="DX140" i="8"/>
  <c r="EC20" i="8"/>
  <c r="DV35" i="8"/>
  <c r="DW79" i="8"/>
  <c r="DU126" i="8"/>
  <c r="DV64" i="8"/>
  <c r="DX64" i="8"/>
  <c r="EC86" i="8"/>
  <c r="DR110" i="8"/>
  <c r="DT59" i="8"/>
  <c r="DP78" i="8"/>
  <c r="DP110" i="8"/>
  <c r="DW44" i="8"/>
  <c r="DV52" i="8"/>
  <c r="DP24" i="8"/>
  <c r="DQ78" i="8"/>
  <c r="DP122" i="8"/>
  <c r="DR64" i="8"/>
  <c r="DV70" i="8"/>
  <c r="DZ130" i="8"/>
  <c r="DZ141" i="8"/>
  <c r="DV27" i="8"/>
  <c r="DU133" i="8"/>
  <c r="DX24" i="8"/>
  <c r="DX100" i="8"/>
  <c r="DS27" i="8"/>
  <c r="DZ67" i="8"/>
  <c r="DS16" i="8"/>
  <c r="DP61" i="8"/>
  <c r="DX13" i="8"/>
  <c r="DW31" i="8"/>
  <c r="DP106" i="8"/>
  <c r="DU76" i="8"/>
  <c r="DZ33" i="8"/>
  <c r="DU84" i="8"/>
  <c r="DR81" i="8"/>
  <c r="DR13" i="8"/>
  <c r="DV123" i="8"/>
  <c r="DS126" i="8"/>
  <c r="DX27" i="8"/>
  <c r="DR52" i="8"/>
  <c r="EB142" i="8"/>
  <c r="EB63" i="8"/>
  <c r="EC142" i="8"/>
  <c r="DQ80" i="8"/>
  <c r="DT53" i="8"/>
  <c r="EC58" i="8"/>
  <c r="DU112" i="8"/>
  <c r="DP17" i="8"/>
  <c r="DV33" i="8"/>
  <c r="DV77" i="8"/>
  <c r="EC13" i="8"/>
  <c r="DR97" i="8"/>
  <c r="DV121" i="8"/>
  <c r="EB118" i="8"/>
  <c r="DQ69" i="8"/>
  <c r="DU35" i="8"/>
  <c r="DS56" i="8"/>
  <c r="EC17" i="8"/>
  <c r="DV87" i="8"/>
  <c r="DU143" i="8"/>
  <c r="DR118" i="8"/>
  <c r="EB83" i="8"/>
  <c r="DZ55" i="8"/>
  <c r="DQ110" i="8"/>
  <c r="DU142" i="8"/>
  <c r="DS83" i="8"/>
  <c r="DV132" i="8"/>
  <c r="DT16" i="8"/>
  <c r="DZ127" i="8"/>
  <c r="DX30" i="8"/>
  <c r="EB127" i="8"/>
  <c r="DT139" i="8"/>
  <c r="DT22" i="8"/>
  <c r="DX75" i="8"/>
  <c r="DZ113" i="8"/>
  <c r="DV139" i="8"/>
  <c r="DS21" i="8"/>
  <c r="DP58" i="8"/>
  <c r="DU55" i="8"/>
  <c r="DP36" i="8"/>
  <c r="DT102" i="8"/>
  <c r="EB111" i="8"/>
  <c r="DR28" i="8"/>
  <c r="EC25" i="8"/>
  <c r="DX126" i="8"/>
  <c r="DR40" i="8"/>
  <c r="DQ28" i="8"/>
  <c r="DT13" i="8"/>
  <c r="DU64" i="8"/>
  <c r="EB62" i="8"/>
  <c r="DT57" i="8"/>
  <c r="DQ57" i="8"/>
  <c r="DQ142" i="8"/>
  <c r="EB134" i="8"/>
  <c r="DQ81" i="8"/>
  <c r="DZ131" i="8"/>
  <c r="DW72" i="8"/>
  <c r="DT143" i="8"/>
  <c r="DU110" i="8"/>
  <c r="EB35" i="8"/>
  <c r="DV74" i="8"/>
  <c r="DZ86" i="8"/>
  <c r="DP30" i="8"/>
  <c r="DW50" i="8"/>
  <c r="DX145" i="8"/>
  <c r="DT21" i="8"/>
  <c r="DT109" i="8"/>
  <c r="DW59" i="8"/>
  <c r="DQ29" i="8"/>
  <c r="DS118" i="8"/>
  <c r="EB46" i="8"/>
  <c r="DX36" i="8"/>
  <c r="DR25" i="8"/>
  <c r="DZ53" i="8"/>
  <c r="EB73" i="8"/>
  <c r="DX144" i="8"/>
  <c r="DW14" i="8"/>
  <c r="DR76" i="8"/>
  <c r="EB145" i="8"/>
  <c r="DP86" i="8"/>
  <c r="DQ73" i="8"/>
  <c r="DW17" i="8"/>
  <c r="DR42" i="8"/>
  <c r="DX37" i="8"/>
  <c r="DP129" i="8"/>
  <c r="DX79" i="8"/>
  <c r="DW140" i="8"/>
  <c r="DQ50" i="8"/>
  <c r="DU140" i="8"/>
  <c r="DW19" i="8"/>
  <c r="DT145" i="8"/>
  <c r="DS62" i="8"/>
  <c r="DV114" i="8"/>
  <c r="DZ50" i="8"/>
  <c r="DZ27" i="8"/>
  <c r="DU144" i="8"/>
  <c r="DP43" i="8"/>
  <c r="DW62" i="8"/>
  <c r="DS76" i="8"/>
  <c r="DZ87" i="8"/>
  <c r="DQ68" i="8"/>
  <c r="DQ107" i="8"/>
  <c r="DR50" i="8"/>
  <c r="EB66" i="8"/>
  <c r="EC122" i="8"/>
  <c r="DV53" i="8"/>
  <c r="DP141" i="8"/>
  <c r="DS19" i="8"/>
  <c r="DP53" i="8"/>
  <c r="DU134" i="8"/>
  <c r="DT89" i="8"/>
  <c r="EB74" i="8"/>
  <c r="DR123" i="8"/>
  <c r="EB43" i="8"/>
  <c r="DQ105" i="8"/>
  <c r="DV34" i="8"/>
  <c r="DS134" i="8"/>
  <c r="EC143" i="8"/>
  <c r="DP134" i="8"/>
  <c r="DZ125" i="8"/>
  <c r="EB90" i="8"/>
  <c r="DS25" i="8"/>
  <c r="DX63" i="8"/>
  <c r="DW21" i="8"/>
  <c r="EC73" i="8"/>
  <c r="DQ129" i="8"/>
  <c r="DT41" i="8"/>
  <c r="DS60" i="8"/>
  <c r="DU59" i="8"/>
  <c r="DP136" i="8"/>
  <c r="DZ107" i="8"/>
  <c r="DT131" i="8"/>
  <c r="DQ66" i="8"/>
  <c r="EB17" i="8"/>
  <c r="DW74" i="8"/>
  <c r="DT43" i="8"/>
  <c r="DS123" i="8"/>
  <c r="DR35" i="8"/>
  <c r="DQ104" i="8"/>
  <c r="DZ111" i="8"/>
  <c r="DT32" i="8"/>
  <c r="EC69" i="8"/>
  <c r="DW89" i="8"/>
  <c r="DW128" i="8"/>
  <c r="DT114" i="8"/>
  <c r="DV98" i="8"/>
  <c r="DW131" i="8"/>
  <c r="EC136" i="8"/>
  <c r="EB110" i="8"/>
  <c r="DU53" i="8"/>
  <c r="DV137" i="8"/>
  <c r="DV100" i="8"/>
  <c r="DW120" i="8"/>
  <c r="DQ27" i="8"/>
  <c r="DS35" i="8"/>
  <c r="DR108" i="8"/>
  <c r="DW93" i="8"/>
  <c r="DT134" i="8"/>
  <c r="DU70" i="8"/>
  <c r="DZ32" i="8"/>
  <c r="DQ137" i="8"/>
  <c r="DP33" i="8"/>
  <c r="DS92" i="8"/>
  <c r="DR137" i="8"/>
  <c r="DP94" i="8"/>
  <c r="DP69" i="8"/>
  <c r="DZ15" i="8"/>
  <c r="DR107" i="8"/>
  <c r="DX113" i="8"/>
  <c r="EC128" i="8"/>
  <c r="DT64" i="8"/>
  <c r="DR14" i="8"/>
  <c r="DT45" i="8"/>
  <c r="DS13" i="8"/>
  <c r="DT127" i="8"/>
  <c r="DV54" i="8"/>
  <c r="DR20" i="8"/>
  <c r="EB120" i="8"/>
  <c r="DW118" i="8"/>
  <c r="DT65" i="8"/>
  <c r="DR43" i="8"/>
  <c r="DR128" i="8"/>
  <c r="DS130" i="8"/>
  <c r="DQ31" i="8"/>
  <c r="DV44" i="8"/>
  <c r="DU101" i="8"/>
  <c r="DS129" i="8"/>
  <c r="DX78" i="8"/>
  <c r="DT25" i="8"/>
  <c r="DU130" i="8"/>
  <c r="DR70" i="8"/>
  <c r="EB126" i="8"/>
  <c r="DU83" i="8"/>
  <c r="DZ73" i="8"/>
  <c r="EB79" i="8"/>
  <c r="DX20" i="8"/>
  <c r="DU107" i="8"/>
  <c r="DS125" i="8"/>
  <c r="DZ51" i="8"/>
  <c r="DU18" i="8"/>
  <c r="EB19" i="8"/>
  <c r="DT73" i="8"/>
  <c r="EC110" i="8"/>
  <c r="DV107" i="8"/>
  <c r="DZ72" i="8"/>
  <c r="DR79" i="8"/>
  <c r="DR144" i="8"/>
  <c r="DR71" i="8"/>
  <c r="EB99" i="8"/>
  <c r="DV86" i="8"/>
  <c r="DS68" i="8"/>
  <c r="DV31" i="8"/>
  <c r="DW144" i="8"/>
  <c r="DP121" i="8"/>
  <c r="DZ115" i="8"/>
  <c r="DR87" i="8"/>
  <c r="DQ41" i="8"/>
  <c r="DP44" i="8"/>
  <c r="EB95" i="8"/>
  <c r="DX41" i="8"/>
  <c r="DV21" i="8"/>
  <c r="EC99" i="8"/>
  <c r="DQ111" i="8"/>
  <c r="DR45" i="8"/>
  <c r="DP45" i="8"/>
  <c r="DZ11" i="8"/>
  <c r="EB102" i="8"/>
  <c r="DR126" i="8"/>
  <c r="EB129" i="8"/>
  <c r="DP31" i="8"/>
  <c r="DX130" i="8"/>
  <c r="DX121" i="8"/>
  <c r="EB130" i="8"/>
  <c r="EC115" i="8"/>
  <c r="DP97" i="8"/>
  <c r="EB53" i="8"/>
  <c r="DZ75" i="8"/>
  <c r="DX111" i="8"/>
  <c r="EB34" i="8"/>
  <c r="DP98" i="8"/>
  <c r="DT67" i="8"/>
  <c r="EB41" i="8"/>
  <c r="DV48" i="8"/>
  <c r="DV75" i="8"/>
  <c r="DS80" i="8"/>
  <c r="DU127" i="8"/>
  <c r="DT137" i="8"/>
  <c r="DW39" i="8"/>
  <c r="DP124" i="8"/>
  <c r="DR46" i="8"/>
  <c r="DR15" i="8"/>
  <c r="DS66" i="8"/>
  <c r="DX51" i="8"/>
  <c r="DV42" i="8"/>
  <c r="EC33" i="8"/>
  <c r="EC50" i="8"/>
  <c r="DW28" i="8"/>
  <c r="DZ140" i="8"/>
  <c r="EC68" i="8"/>
  <c r="DZ139" i="8"/>
  <c r="EC53" i="8"/>
  <c r="DS53" i="8"/>
  <c r="DQ62" i="8"/>
  <c r="DQ67" i="8"/>
  <c r="EB65" i="8"/>
  <c r="DQ116" i="8"/>
  <c r="DX50" i="8"/>
  <c r="DW32" i="8"/>
  <c r="DW65" i="8"/>
  <c r="DT69" i="8"/>
  <c r="DW37" i="8"/>
  <c r="DX58" i="8"/>
  <c r="DT37" i="8"/>
  <c r="DU11" i="8"/>
  <c r="DU12" i="8"/>
  <c r="DR17" i="8"/>
  <c r="DQ42" i="8"/>
  <c r="EB121" i="8"/>
  <c r="DX97" i="8"/>
  <c r="DV90" i="8"/>
  <c r="EC101" i="8"/>
  <c r="EC55" i="8"/>
  <c r="DW40" i="8"/>
  <c r="EB64" i="8"/>
  <c r="DQ139" i="8"/>
  <c r="DU61" i="8"/>
  <c r="EB42" i="8"/>
  <c r="DU141" i="8"/>
  <c r="DW129" i="8"/>
  <c r="DV118" i="8"/>
  <c r="DU54" i="8"/>
  <c r="DS111" i="8"/>
  <c r="DX122" i="8"/>
  <c r="DS61" i="8"/>
  <c r="DP19" i="8"/>
  <c r="DQ124" i="8"/>
  <c r="DQ131" i="8"/>
  <c r="DU30" i="8"/>
  <c r="DT79" i="8"/>
  <c r="DX136" i="8"/>
  <c r="DR82" i="8"/>
  <c r="DX14" i="8"/>
  <c r="DP130" i="8"/>
  <c r="DQ63" i="8"/>
  <c r="DR69" i="8"/>
  <c r="EB25" i="8"/>
  <c r="DQ56" i="8"/>
  <c r="DX96" i="8"/>
  <c r="DX68" i="8"/>
  <c r="DQ74" i="8"/>
  <c r="DV140" i="8"/>
  <c r="DX31" i="8"/>
  <c r="DW109" i="8"/>
  <c r="DV61" i="8"/>
  <c r="DZ122" i="8"/>
  <c r="DT75" i="8"/>
  <c r="DU57" i="8"/>
  <c r="DX142" i="8"/>
  <c r="DV122" i="8"/>
  <c r="DV23" i="8"/>
  <c r="DQ134" i="8"/>
  <c r="DQ113" i="8"/>
  <c r="EC15" i="8"/>
  <c r="DQ59" i="8"/>
  <c r="EC139" i="8"/>
  <c r="DZ80" i="8"/>
  <c r="DU132" i="8"/>
  <c r="DU125" i="8"/>
  <c r="DW15" i="8"/>
  <c r="DU38" i="8"/>
  <c r="DW12" i="8"/>
  <c r="DV26" i="8"/>
  <c r="DZ134" i="8"/>
  <c r="DV96" i="8"/>
  <c r="DR124" i="8"/>
  <c r="EB21" i="8"/>
  <c r="DQ40" i="8"/>
  <c r="DS12" i="8"/>
  <c r="DV106" i="8"/>
  <c r="DQ120" i="8"/>
  <c r="DR120" i="8"/>
  <c r="DP118" i="8"/>
  <c r="DZ82" i="8"/>
  <c r="DQ126" i="8"/>
  <c r="DT87" i="8"/>
  <c r="DU25" i="8"/>
  <c r="DU15" i="8"/>
  <c r="DW98" i="8"/>
  <c r="DQ72" i="8"/>
  <c r="DR36" i="8"/>
  <c r="DT55" i="8"/>
  <c r="DW135" i="8"/>
  <c r="DX55" i="8"/>
  <c r="DR65" i="8"/>
  <c r="DP133" i="8"/>
  <c r="DP29" i="8"/>
  <c r="DR100" i="8"/>
  <c r="EB136" i="8"/>
  <c r="DR91" i="8"/>
  <c r="DR72" i="8"/>
  <c r="DP83" i="8"/>
  <c r="DR125" i="8"/>
  <c r="DW103" i="8"/>
  <c r="DT33" i="8"/>
  <c r="DT26" i="8"/>
  <c r="DS98" i="8"/>
  <c r="DW127" i="8"/>
  <c r="DT99" i="8"/>
  <c r="DW71" i="8"/>
  <c r="DX80" i="8"/>
  <c r="DR77" i="8"/>
  <c r="DP15" i="8"/>
  <c r="EC70" i="8"/>
  <c r="DS104" i="8"/>
  <c r="DU29" i="8"/>
  <c r="DT27" i="8"/>
  <c r="EC44" i="8"/>
  <c r="DU60" i="8"/>
  <c r="DS128" i="8"/>
  <c r="DX15" i="8"/>
  <c r="EC71" i="8"/>
  <c r="DX65" i="8"/>
  <c r="DP27" i="8"/>
  <c r="EC37" i="8"/>
  <c r="DQ82" i="8"/>
  <c r="EB114" i="8"/>
  <c r="DZ57" i="8"/>
  <c r="DV102" i="8"/>
  <c r="DW42" i="8"/>
  <c r="EC97" i="8"/>
  <c r="DU45" i="8"/>
  <c r="DS67" i="8"/>
  <c r="DP84" i="8"/>
  <c r="DX131" i="8"/>
  <c r="DQ143" i="8"/>
  <c r="DQ34" i="8"/>
  <c r="DS29" i="8"/>
  <c r="DR78" i="8"/>
  <c r="DX81" i="8"/>
  <c r="DZ128" i="8"/>
  <c r="EC28" i="8"/>
  <c r="EB18" i="8"/>
  <c r="DX89" i="8"/>
  <c r="DS137" i="8"/>
  <c r="EB29" i="8"/>
  <c r="DW130" i="8"/>
  <c r="DW85" i="8"/>
  <c r="DW43" i="8"/>
  <c r="DV39" i="8"/>
  <c r="DT70" i="8"/>
  <c r="DQ112" i="8"/>
  <c r="DW23" i="8"/>
  <c r="EB104" i="8"/>
  <c r="DR73" i="8"/>
  <c r="DS18" i="8"/>
  <c r="DX46" i="8"/>
  <c r="DV22" i="8"/>
  <c r="DQ45" i="8"/>
  <c r="EB119" i="8"/>
  <c r="EC135" i="8"/>
  <c r="DP114" i="8"/>
  <c r="DQ119" i="8"/>
  <c r="DU51" i="8"/>
  <c r="DR34" i="8"/>
  <c r="DP68" i="8"/>
  <c r="DW26" i="8"/>
  <c r="EB14" i="8"/>
  <c r="DV51" i="8"/>
  <c r="DW24" i="8"/>
  <c r="DZ98" i="8"/>
  <c r="DR86" i="8"/>
  <c r="DT76" i="8"/>
  <c r="DR29" i="8"/>
  <c r="DW53" i="8"/>
  <c r="DW67" i="8"/>
  <c r="EB76" i="8"/>
  <c r="DT122" i="8"/>
  <c r="DW81" i="8"/>
  <c r="DU23" i="8"/>
  <c r="DS82" i="8"/>
  <c r="DU89" i="8"/>
  <c r="DZ138" i="8"/>
  <c r="DW69" i="8"/>
  <c r="DU21" i="8"/>
  <c r="DX44" i="8"/>
  <c r="DQ94" i="8"/>
  <c r="DV25" i="8"/>
  <c r="DU100" i="8"/>
  <c r="EC36" i="8"/>
  <c r="EB31" i="8"/>
  <c r="DW51" i="8"/>
  <c r="DS58" i="8"/>
  <c r="DW117" i="8"/>
  <c r="DS112" i="8"/>
  <c r="DW52" i="8"/>
  <c r="DQ48" i="8"/>
  <c r="DT18" i="8"/>
  <c r="DS116" i="8"/>
  <c r="DX85" i="8"/>
  <c r="DS79" i="8"/>
  <c r="DQ106" i="8"/>
  <c r="DS57" i="8"/>
  <c r="DP90" i="8"/>
  <c r="DX107" i="8"/>
  <c r="DU97" i="8"/>
  <c r="DS24" i="8"/>
  <c r="DU72" i="8"/>
  <c r="DR32" i="8"/>
  <c r="DT81" i="8"/>
  <c r="EB139" i="8"/>
  <c r="DR83" i="8"/>
  <c r="DP96" i="8"/>
  <c r="DU37" i="8"/>
  <c r="DZ17" i="8"/>
  <c r="DZ142" i="8"/>
  <c r="DQ64" i="8"/>
  <c r="DV28" i="8"/>
  <c r="DQ13" i="8"/>
  <c r="DW11" i="8"/>
  <c r="DS54" i="8"/>
  <c r="DV101" i="8"/>
  <c r="DP73" i="8"/>
  <c r="DX39" i="8"/>
  <c r="EC80" i="8"/>
  <c r="DW82" i="8"/>
  <c r="DS96" i="8"/>
  <c r="DU109" i="8"/>
  <c r="DQ15" i="8"/>
  <c r="EB70" i="8"/>
  <c r="DQ91" i="8"/>
  <c r="DX112" i="8"/>
  <c r="EC24" i="8"/>
  <c r="DQ145" i="8"/>
  <c r="DT78" i="8"/>
  <c r="DQ12" i="8"/>
  <c r="DP95" i="8"/>
  <c r="DX59" i="8"/>
  <c r="DW20" i="8"/>
  <c r="DQ135" i="8"/>
  <c r="EC104" i="8"/>
  <c r="DP28" i="8"/>
  <c r="EC43" i="8"/>
  <c r="DW57" i="8"/>
  <c r="DV73" i="8"/>
  <c r="DR27" i="8"/>
  <c r="DV141" i="8"/>
  <c r="DR135" i="8"/>
  <c r="DR95" i="8"/>
  <c r="EB140" i="8"/>
  <c r="DU91" i="8"/>
  <c r="DZ59" i="8"/>
  <c r="DR59" i="8"/>
  <c r="DZ116" i="8"/>
  <c r="EB69" i="8"/>
  <c r="DP67" i="8"/>
  <c r="EB30" i="8"/>
  <c r="DR127" i="8"/>
  <c r="DQ138" i="8"/>
  <c r="DQ86" i="8"/>
  <c r="DW97" i="8"/>
  <c r="EB135" i="8"/>
  <c r="DT30" i="8"/>
  <c r="DT44" i="8"/>
  <c r="DU34" i="8"/>
  <c r="DZ136" i="8"/>
  <c r="DW18" i="8"/>
  <c r="DU138" i="8"/>
  <c r="DS142" i="8"/>
  <c r="EC52" i="8"/>
  <c r="DQ75" i="8"/>
  <c r="DU56" i="8"/>
  <c r="EB85" i="8"/>
  <c r="DX110" i="8"/>
  <c r="EB128" i="8"/>
  <c r="EC133" i="8"/>
  <c r="DX17" i="8"/>
  <c r="DP47" i="8"/>
  <c r="DT119" i="8"/>
  <c r="DT51" i="8"/>
  <c r="DU46" i="8"/>
  <c r="DX32" i="8"/>
  <c r="DU75" i="8"/>
  <c r="DU52" i="8"/>
  <c r="DV78" i="8"/>
  <c r="DS71" i="8"/>
  <c r="EC107" i="8"/>
  <c r="DU139" i="8"/>
  <c r="DX115" i="8"/>
  <c r="DZ70" i="8"/>
  <c r="DQ60" i="8"/>
  <c r="DZ108" i="8"/>
  <c r="DS59" i="8"/>
  <c r="DU95" i="8"/>
  <c r="DP108" i="8"/>
  <c r="DR130" i="8"/>
  <c r="DQ61" i="8"/>
  <c r="DR21" i="8"/>
  <c r="DX117" i="8"/>
  <c r="DP20" i="8"/>
  <c r="DU98" i="8"/>
  <c r="DZ97" i="8"/>
  <c r="DR48" i="8"/>
  <c r="DR39" i="8"/>
  <c r="DR44" i="8"/>
  <c r="DZ52" i="8"/>
  <c r="DP79" i="8"/>
  <c r="DZ58" i="8"/>
  <c r="DP37" i="8"/>
  <c r="DT83" i="8"/>
  <c r="DX72" i="8"/>
  <c r="DZ100" i="8"/>
  <c r="DZ14" i="8"/>
  <c r="DZ79" i="8"/>
  <c r="DZ63" i="8"/>
  <c r="DS64" i="8"/>
  <c r="DR105" i="8"/>
  <c r="DW108" i="8"/>
  <c r="DZ37" i="8"/>
  <c r="DS74" i="8"/>
  <c r="DV131" i="8"/>
  <c r="DX70" i="8"/>
  <c r="DZ129" i="8"/>
  <c r="DS91" i="8"/>
  <c r="DZ101" i="8"/>
  <c r="DR31" i="8"/>
  <c r="DX123" i="8"/>
  <c r="DZ26" i="8"/>
  <c r="EC83" i="8"/>
  <c r="DW88" i="8"/>
  <c r="DT121" i="8"/>
  <c r="DW55" i="8"/>
  <c r="DQ90" i="8"/>
  <c r="DP55" i="8"/>
  <c r="DZ40" i="8"/>
  <c r="DP127" i="8"/>
  <c r="DZ121" i="8"/>
  <c r="DR12" i="8"/>
  <c r="DW145" i="8"/>
  <c r="DV13" i="8"/>
  <c r="EB72" i="8"/>
  <c r="DZ47" i="8"/>
  <c r="DU65" i="8"/>
  <c r="DX120" i="8"/>
  <c r="DZ105" i="8"/>
  <c r="DW70" i="8"/>
  <c r="DW112" i="8"/>
  <c r="DS36" i="8"/>
  <c r="DX11" i="8"/>
  <c r="DZ81" i="8"/>
  <c r="EC78" i="8"/>
  <c r="EC64" i="8"/>
  <c r="DW58" i="8"/>
  <c r="DZ60" i="8"/>
  <c r="DV93" i="8"/>
  <c r="DS51" i="8"/>
  <c r="DP26" i="8"/>
  <c r="DX33" i="8"/>
  <c r="DS41" i="8"/>
  <c r="EC87" i="8"/>
  <c r="DZ43" i="8"/>
  <c r="DR141" i="8"/>
  <c r="DR92" i="8"/>
  <c r="DX52" i="8"/>
  <c r="DV49" i="8"/>
  <c r="DS107" i="8"/>
  <c r="DV99" i="8"/>
  <c r="EB81" i="8"/>
  <c r="DV17" i="8"/>
  <c r="DP82" i="8"/>
  <c r="DQ77" i="8"/>
  <c r="DQ136" i="8"/>
  <c r="DZ93" i="8"/>
  <c r="DU81" i="8"/>
  <c r="DZ49" i="8"/>
  <c r="DW75" i="8"/>
  <c r="DR41" i="8"/>
  <c r="DZ24" i="8"/>
  <c r="DW46" i="8"/>
  <c r="DR30" i="8"/>
  <c r="DT101" i="8"/>
  <c r="DP117" i="8"/>
  <c r="DW61" i="8"/>
  <c r="DT58" i="8"/>
  <c r="EC144" i="8"/>
  <c r="DT95" i="8"/>
  <c r="DT120" i="8"/>
  <c r="DS145" i="8"/>
  <c r="DZ36" i="8"/>
  <c r="DP56" i="8"/>
  <c r="DT12" i="8"/>
  <c r="EC77" i="8"/>
  <c r="EB80" i="8"/>
  <c r="DX94" i="8"/>
  <c r="DR89" i="8"/>
  <c r="EC91" i="8"/>
  <c r="DR60" i="8"/>
  <c r="DP91" i="8"/>
  <c r="DZ18" i="8"/>
  <c r="DQ103" i="8"/>
  <c r="EC42" i="8"/>
  <c r="DS70" i="8"/>
  <c r="EB71" i="8"/>
  <c r="EB123" i="8"/>
  <c r="DR11" i="8"/>
  <c r="DU63" i="8"/>
  <c r="DT96" i="8"/>
  <c r="DQ102" i="8"/>
  <c r="EB138" i="8"/>
  <c r="DP144" i="8"/>
  <c r="EC141" i="8"/>
  <c r="DV82" i="8"/>
  <c r="EB116" i="8"/>
  <c r="DS90" i="8"/>
  <c r="DX90" i="8"/>
  <c r="DS97" i="8"/>
  <c r="DR66" i="8"/>
  <c r="DU92" i="8"/>
  <c r="DW114" i="8"/>
  <c r="DT66" i="8"/>
  <c r="DP81" i="8"/>
  <c r="DQ47" i="8"/>
  <c r="DZ84" i="8"/>
  <c r="DS42" i="8"/>
  <c r="DV92" i="8"/>
  <c r="DX99" i="8"/>
  <c r="DQ35" i="8"/>
  <c r="DT23" i="8"/>
  <c r="DT112" i="8"/>
  <c r="DU33" i="8"/>
  <c r="DP132" i="8"/>
  <c r="EB38" i="8"/>
  <c r="DR49" i="8"/>
  <c r="DP60" i="8"/>
  <c r="EB131" i="8"/>
  <c r="DW104" i="8"/>
  <c r="EC103" i="8"/>
  <c r="DT132" i="8"/>
  <c r="DV110" i="8"/>
  <c r="DP38" i="8"/>
  <c r="DZ114" i="8"/>
  <c r="DW116" i="8"/>
  <c r="DP104" i="8"/>
  <c r="DS30" i="8"/>
  <c r="DV138" i="8"/>
  <c r="DS28" i="8"/>
  <c r="DV103" i="8"/>
  <c r="DX43" i="8"/>
  <c r="DZ132" i="8"/>
  <c r="DU105" i="8"/>
  <c r="DS49" i="8"/>
  <c r="DS140" i="8"/>
  <c r="DQ140" i="8"/>
  <c r="DS143" i="8"/>
  <c r="DP126" i="8"/>
  <c r="EB107" i="8"/>
  <c r="DS22" i="8"/>
  <c r="DP42" i="8"/>
  <c r="DT140" i="8"/>
  <c r="DQ30" i="8"/>
  <c r="DW49" i="8"/>
  <c r="EB97" i="8"/>
  <c r="EB87" i="8"/>
  <c r="DP52" i="8"/>
  <c r="DP21" i="8"/>
  <c r="DR134" i="8"/>
  <c r="DS139" i="8"/>
  <c r="DT39" i="8"/>
  <c r="DR129" i="8"/>
  <c r="EB28" i="8"/>
  <c r="DP39" i="8"/>
  <c r="DV88" i="8"/>
  <c r="DW125" i="8"/>
  <c r="DR132" i="8"/>
  <c r="EC134" i="8"/>
  <c r="DV24" i="8"/>
  <c r="DV136" i="8"/>
  <c r="DR75" i="8"/>
  <c r="DW60" i="8"/>
  <c r="DS113" i="8"/>
  <c r="DT86" i="8"/>
  <c r="DS106" i="8"/>
  <c r="EC56" i="8"/>
  <c r="DP138" i="8"/>
  <c r="DW142" i="8"/>
  <c r="DR80" i="8"/>
  <c r="EC11" i="8"/>
  <c r="DX69" i="8"/>
  <c r="DT130" i="8"/>
  <c r="DU68" i="8"/>
  <c r="DU103" i="8"/>
  <c r="DP120" i="8"/>
  <c r="DP40" i="8"/>
  <c r="DT24" i="8"/>
  <c r="EB101" i="8"/>
  <c r="DX105" i="8"/>
  <c r="EB109" i="8"/>
  <c r="DZ90" i="8"/>
  <c r="DX114" i="8"/>
  <c r="EB105" i="8"/>
  <c r="DQ14" i="8"/>
  <c r="DW115" i="8"/>
  <c r="DS63" i="8"/>
  <c r="EC16" i="8"/>
  <c r="EB78" i="8"/>
  <c r="DS105" i="8"/>
  <c r="DP18" i="8"/>
  <c r="DX57" i="8"/>
  <c r="DV45" i="8"/>
  <c r="DP50" i="8"/>
  <c r="DW121" i="8"/>
  <c r="DS75" i="8"/>
  <c r="DS102" i="8"/>
  <c r="DQ65" i="8"/>
  <c r="DX134" i="8"/>
  <c r="DP99" i="8"/>
  <c r="EB84" i="8"/>
  <c r="DT124" i="8"/>
  <c r="DX74" i="8"/>
  <c r="DR85" i="8"/>
  <c r="DQ21" i="8"/>
  <c r="EB51" i="8"/>
  <c r="EC114" i="8"/>
  <c r="DR63" i="8"/>
  <c r="DU124" i="8"/>
  <c r="DX135" i="8"/>
  <c r="DR90" i="8"/>
  <c r="DP85" i="8"/>
  <c r="DU111" i="8"/>
  <c r="DS132" i="8"/>
  <c r="EC31" i="8"/>
  <c r="DQ58" i="8"/>
  <c r="DU67" i="8"/>
  <c r="EC82" i="8"/>
  <c r="DP131" i="8"/>
  <c r="DU85" i="8"/>
  <c r="DW77" i="8"/>
  <c r="DW73" i="8"/>
  <c r="DT90" i="8"/>
  <c r="DT28" i="8"/>
  <c r="DQ128" i="8"/>
  <c r="DU115" i="8"/>
  <c r="DS117" i="8"/>
  <c r="DU14" i="8"/>
  <c r="EC72" i="8"/>
  <c r="EC61" i="8"/>
  <c r="DV62" i="8"/>
  <c r="DT98" i="8"/>
  <c r="EB16" i="8"/>
  <c r="DW126" i="8"/>
  <c r="DZ95" i="8"/>
  <c r="DW94" i="8"/>
  <c r="DT116" i="8"/>
  <c r="DW54" i="8"/>
  <c r="EC48" i="8"/>
  <c r="DT144" i="8"/>
  <c r="DX103" i="8"/>
  <c r="DX101" i="8"/>
  <c r="DT84" i="8"/>
  <c r="DV79" i="8"/>
  <c r="DV15" i="8"/>
  <c r="DW141" i="8"/>
  <c r="DS99" i="8"/>
  <c r="DX83" i="8"/>
  <c r="EC130" i="8"/>
  <c r="EC30" i="8"/>
  <c r="DQ95" i="8"/>
  <c r="DR98" i="8"/>
  <c r="DU77" i="8"/>
  <c r="DP62" i="8"/>
  <c r="DR113" i="8"/>
  <c r="DS38" i="8"/>
  <c r="DU47" i="8"/>
  <c r="DT129" i="8"/>
  <c r="DV115" i="8"/>
  <c r="DT15" i="8"/>
  <c r="DX38" i="8"/>
  <c r="DS40" i="8"/>
  <c r="DZ12" i="8"/>
  <c r="EC40" i="8"/>
  <c r="EB94" i="8"/>
  <c r="DQ108" i="8"/>
  <c r="DZ41" i="8"/>
  <c r="DU32" i="8"/>
  <c r="DS45" i="8"/>
  <c r="DQ114" i="8"/>
  <c r="DW64" i="8"/>
  <c r="DW25" i="8"/>
  <c r="DQ38" i="8"/>
  <c r="DW56" i="8"/>
  <c r="DR122" i="8"/>
  <c r="DQ122" i="8"/>
  <c r="DR47" i="8"/>
  <c r="DU69" i="8"/>
  <c r="DX124" i="8"/>
  <c r="DV71" i="8"/>
  <c r="DZ25" i="8"/>
  <c r="DV111" i="8"/>
  <c r="DV63" i="8"/>
  <c r="DS46" i="8"/>
  <c r="DQ100" i="8"/>
  <c r="EC62" i="8"/>
  <c r="DR51" i="8"/>
  <c r="DV130" i="8"/>
  <c r="DZ66" i="8"/>
  <c r="DW136" i="8"/>
  <c r="DQ52" i="8"/>
  <c r="EB61" i="8"/>
  <c r="DT138" i="8"/>
  <c r="DP105" i="8"/>
  <c r="DR26" i="8"/>
  <c r="DQ127" i="8"/>
  <c r="EC19" i="8"/>
  <c r="EB96" i="8"/>
  <c r="DQ101" i="8"/>
  <c r="DX143" i="8"/>
  <c r="DR145" i="8"/>
  <c r="DP101" i="8"/>
  <c r="DV29" i="8"/>
  <c r="DR114" i="8"/>
  <c r="DU36" i="8"/>
  <c r="EB26" i="8"/>
  <c r="DR24" i="8"/>
  <c r="DR53" i="8"/>
  <c r="DZ143" i="8"/>
  <c r="DQ46" i="8"/>
  <c r="DW63" i="8"/>
  <c r="DT11" i="8"/>
  <c r="EC113" i="8"/>
  <c r="DR62" i="8"/>
  <c r="DX77" i="8"/>
  <c r="DX18" i="8"/>
  <c r="DR115" i="8"/>
  <c r="EC90" i="8"/>
  <c r="DX35" i="8"/>
  <c r="DU28" i="8"/>
  <c r="DR140" i="8"/>
  <c r="DZ83" i="8"/>
  <c r="DZ68" i="8"/>
  <c r="DT93" i="8"/>
  <c r="DV112" i="8"/>
  <c r="DW27" i="8"/>
  <c r="DT111" i="8"/>
  <c r="DP25" i="8"/>
  <c r="DS39" i="8"/>
  <c r="DT40" i="8"/>
  <c r="DP89" i="8"/>
  <c r="DQ89" i="8"/>
  <c r="DV89" i="8"/>
  <c r="EC84" i="8"/>
  <c r="DT82" i="8"/>
  <c r="DR111" i="8"/>
  <c r="EB144" i="8"/>
  <c r="EC22" i="8"/>
  <c r="DP119" i="8"/>
  <c r="DV18" i="8"/>
  <c r="DZ54" i="8"/>
  <c r="DU145" i="8"/>
  <c r="EC137" i="8"/>
  <c r="DU13" i="8"/>
  <c r="DT113" i="8"/>
  <c r="DP80" i="8"/>
  <c r="DR94" i="8"/>
  <c r="DU41" i="8"/>
  <c r="DS86" i="8"/>
  <c r="DT97" i="8"/>
  <c r="DZ64" i="8"/>
  <c r="DX125" i="8"/>
  <c r="DU24" i="8"/>
  <c r="DV94" i="8"/>
  <c r="DW80" i="8"/>
  <c r="DZ120" i="8"/>
  <c r="DZ16" i="8"/>
  <c r="DQ130" i="8"/>
  <c r="EB122" i="8"/>
  <c r="DR37" i="8"/>
  <c r="EC140" i="8"/>
  <c r="EC131" i="8"/>
  <c r="DX47" i="8"/>
  <c r="EC98" i="8"/>
  <c r="DX102" i="8"/>
  <c r="DP116" i="8"/>
  <c r="EC75" i="8"/>
  <c r="EC45" i="8"/>
  <c r="DX22" i="8"/>
  <c r="DP65" i="8"/>
  <c r="EB117" i="8"/>
  <c r="DU66" i="8"/>
  <c r="DT19" i="8"/>
  <c r="EB113" i="8"/>
  <c r="DZ56" i="8"/>
  <c r="DT106" i="8"/>
  <c r="EC123" i="8"/>
  <c r="EB88" i="8"/>
  <c r="EC95" i="8"/>
  <c r="EB115" i="8"/>
  <c r="DQ43" i="8"/>
  <c r="DU113" i="8"/>
  <c r="DR22" i="8"/>
  <c r="DX106" i="8"/>
  <c r="DU106" i="8"/>
  <c r="EB106" i="8"/>
  <c r="DV143" i="8"/>
  <c r="DU114" i="8"/>
  <c r="DP16" i="8"/>
  <c r="DV128" i="8"/>
  <c r="DP11" i="8"/>
  <c r="DT136" i="8"/>
  <c r="DQ83" i="8"/>
  <c r="DT117" i="8"/>
  <c r="DW41" i="8"/>
  <c r="DP135" i="8"/>
  <c r="DW110" i="8"/>
  <c r="DX91" i="8"/>
  <c r="DU136" i="8"/>
  <c r="EB20" i="8"/>
  <c r="EC88" i="8"/>
  <c r="DZ119" i="8"/>
  <c r="DT54" i="8"/>
  <c r="DT85" i="8"/>
  <c r="EC39" i="8"/>
  <c r="DW87" i="8"/>
  <c r="DR138" i="8"/>
  <c r="DU87" i="8"/>
  <c r="DV72" i="8"/>
  <c r="DT48" i="8"/>
  <c r="DX62" i="8"/>
  <c r="DV37" i="8"/>
  <c r="DX132" i="8"/>
  <c r="EB60" i="8"/>
  <c r="DX48" i="8"/>
  <c r="EB137" i="8"/>
  <c r="DQ71" i="8"/>
  <c r="DR112" i="8"/>
  <c r="DV32" i="8"/>
  <c r="DX49" i="8"/>
  <c r="DP100" i="8"/>
  <c r="DR143" i="8"/>
  <c r="DV19" i="8"/>
  <c r="DU121" i="8"/>
  <c r="DU94" i="8"/>
  <c r="DT49" i="8"/>
  <c r="EC14" i="8"/>
  <c r="EB12" i="8"/>
  <c r="DV134" i="8"/>
  <c r="DU82" i="8"/>
  <c r="DS15" i="8"/>
  <c r="DT141" i="8"/>
  <c r="DZ92" i="8"/>
  <c r="DU123" i="8"/>
  <c r="DQ109" i="8"/>
  <c r="DV40" i="8"/>
  <c r="DQ93" i="8"/>
  <c r="DR19" i="8"/>
  <c r="DP13" i="8"/>
  <c r="DZ65" i="8"/>
  <c r="DQ16" i="8"/>
  <c r="DQ24" i="8"/>
  <c r="DR119" i="8"/>
  <c r="DP23" i="8"/>
  <c r="EC109" i="8"/>
  <c r="DU96" i="8"/>
  <c r="DP75" i="8"/>
  <c r="DX19" i="8"/>
  <c r="DW86" i="8"/>
  <c r="DU42" i="8"/>
  <c r="EC129" i="8"/>
  <c r="DS72" i="8"/>
  <c r="DW102" i="8"/>
  <c r="DR67" i="8"/>
  <c r="DT77" i="8"/>
  <c r="DX119" i="8"/>
  <c r="EC93" i="8"/>
  <c r="DP46" i="8"/>
  <c r="DP140" i="8"/>
  <c r="DT62" i="8"/>
  <c r="DR93" i="8"/>
  <c r="EC117" i="8"/>
  <c r="EC132" i="8"/>
  <c r="EC94" i="8"/>
  <c r="DR133" i="8"/>
  <c r="DQ144" i="8"/>
  <c r="DP76" i="8"/>
  <c r="DZ117" i="8"/>
  <c r="DV91" i="8"/>
  <c r="DS48" i="8"/>
  <c r="DQ25" i="8"/>
  <c r="DV105" i="8"/>
  <c r="DQ123" i="8"/>
  <c r="DP143" i="8"/>
  <c r="EB50" i="8"/>
  <c r="DU108" i="8"/>
  <c r="DQ18" i="8"/>
  <c r="DP49" i="8"/>
  <c r="DV43" i="8"/>
  <c r="EB23" i="8"/>
  <c r="DV55" i="8"/>
  <c r="DT118" i="8"/>
  <c r="DW92" i="8"/>
  <c r="DP113" i="8"/>
  <c r="DR68" i="8"/>
  <c r="EC145" i="8"/>
  <c r="DX53" i="8"/>
  <c r="DV67" i="8"/>
  <c r="EC102" i="8"/>
  <c r="DS114" i="8"/>
  <c r="DU62" i="8"/>
  <c r="DR99" i="8"/>
  <c r="DP12" i="8"/>
  <c r="EB68" i="8"/>
  <c r="DW123" i="8"/>
  <c r="DX95" i="8"/>
  <c r="EB13" i="8"/>
  <c r="DV119" i="8"/>
  <c r="DS78" i="8"/>
  <c r="EC126" i="8"/>
  <c r="EC23" i="8"/>
  <c r="DV12" i="8"/>
  <c r="EC67" i="8"/>
  <c r="DR106" i="8"/>
  <c r="DX118" i="8"/>
  <c r="DT123" i="8"/>
  <c r="DS110" i="8"/>
  <c r="DU131" i="8"/>
  <c r="DR104" i="8"/>
  <c r="DT115" i="8"/>
  <c r="DZ22" i="8"/>
  <c r="DZ85" i="8"/>
  <c r="DQ84" i="8"/>
  <c r="DQ22" i="8"/>
  <c r="DW48" i="8"/>
  <c r="DP123" i="8"/>
  <c r="DW139" i="8"/>
  <c r="DZ69" i="8"/>
  <c r="EB82" i="8"/>
  <c r="EB58" i="8"/>
  <c r="DS26" i="8"/>
  <c r="DW22" i="8"/>
  <c r="DT108" i="8"/>
  <c r="DP71" i="8"/>
  <c r="DR117" i="8"/>
  <c r="EB22" i="8"/>
  <c r="DT71" i="8"/>
  <c r="DQ23" i="8"/>
  <c r="DQ97" i="8"/>
  <c r="DS20" i="8"/>
  <c r="DZ104" i="8"/>
  <c r="DV16" i="8"/>
  <c r="EB92" i="8"/>
  <c r="DX67" i="8"/>
  <c r="DZ76" i="8"/>
  <c r="DP70" i="8"/>
  <c r="DP88" i="8"/>
  <c r="DS119" i="8"/>
  <c r="DX84" i="8"/>
  <c r="DX116" i="8"/>
  <c r="DQ55" i="8"/>
  <c r="DZ19" i="8"/>
  <c r="DV58" i="8"/>
  <c r="EB54" i="8"/>
  <c r="DV76" i="8"/>
  <c r="DQ117" i="8"/>
  <c r="DT56" i="8"/>
  <c r="EC108" i="8"/>
  <c r="EC112" i="8"/>
  <c r="DP63" i="8"/>
  <c r="DS87" i="8"/>
  <c r="DQ54" i="8"/>
  <c r="EC38" i="8"/>
  <c r="DV81" i="8"/>
  <c r="DW36" i="8"/>
  <c r="DW99" i="8"/>
  <c r="EC29" i="8"/>
  <c r="DP74" i="8"/>
  <c r="DV66" i="8"/>
  <c r="DP125" i="8"/>
  <c r="EC60" i="8"/>
  <c r="DZ48" i="8"/>
  <c r="EC118" i="8"/>
  <c r="DS122" i="8"/>
  <c r="DT105" i="8"/>
  <c r="DP64" i="8"/>
  <c r="DS17" i="8"/>
  <c r="DT63" i="8"/>
  <c r="DV85" i="8"/>
  <c r="EC76" i="8"/>
  <c r="DV14" i="8"/>
  <c r="DT110" i="8"/>
  <c r="DP102" i="8"/>
  <c r="DS77" i="8"/>
  <c r="DX28" i="8"/>
  <c r="DW124" i="8"/>
  <c r="DT17" i="8"/>
  <c r="DV142" i="8"/>
  <c r="DP93" i="8"/>
  <c r="DX98" i="8"/>
  <c r="DZ144" i="8"/>
  <c r="EB125" i="8"/>
  <c r="DZ94" i="8"/>
  <c r="EB91" i="8"/>
  <c r="EC12" i="8"/>
  <c r="DS108" i="8"/>
  <c r="DP41" i="8"/>
  <c r="DZ109" i="8"/>
  <c r="DT60" i="8"/>
  <c r="DU86" i="8"/>
  <c r="DZ74" i="8"/>
  <c r="DQ20" i="8"/>
  <c r="DV50" i="8"/>
  <c r="EB47" i="8"/>
  <c r="DV20" i="8"/>
  <c r="DV41" i="8"/>
  <c r="DT46" i="8"/>
  <c r="DS94" i="8"/>
  <c r="EB124" i="8"/>
  <c r="DV83" i="8"/>
  <c r="DP35" i="8"/>
  <c r="DV46" i="8"/>
  <c r="DT88" i="8"/>
  <c r="DR74" i="8"/>
  <c r="DW107" i="8"/>
  <c r="DP59" i="8"/>
  <c r="DS11" i="8"/>
  <c r="DZ38" i="8"/>
  <c r="DT125" i="8"/>
  <c r="DS14" i="8"/>
  <c r="DV135" i="8"/>
  <c r="DU116" i="8"/>
  <c r="DX88" i="8"/>
  <c r="EC27" i="8"/>
  <c r="DW106" i="8"/>
  <c r="DX23" i="8"/>
  <c r="DU137" i="8"/>
  <c r="DP142" i="8"/>
  <c r="DS100" i="8"/>
  <c r="DS127" i="8"/>
  <c r="DV59" i="8"/>
  <c r="DR102" i="8"/>
  <c r="DS141" i="8"/>
  <c r="DV133" i="8"/>
  <c r="DZ28" i="8"/>
  <c r="DS95" i="8"/>
  <c r="DR136" i="8"/>
  <c r="EB15" i="8"/>
  <c r="DQ33" i="8"/>
  <c r="DW68" i="8"/>
  <c r="EC85" i="8"/>
  <c r="EB132" i="8"/>
  <c r="DS44" i="8"/>
  <c r="DW138" i="8"/>
  <c r="DP107" i="8"/>
  <c r="EC54" i="8"/>
  <c r="DW100" i="8"/>
  <c r="DX129" i="8"/>
  <c r="EB40" i="8"/>
  <c r="EB108" i="8"/>
  <c r="DQ36" i="8"/>
  <c r="DQ96" i="8"/>
  <c r="DQ17" i="8"/>
  <c r="DX16" i="8"/>
  <c r="DS34" i="8"/>
  <c r="DP66" i="8"/>
  <c r="EC57" i="8"/>
  <c r="DS103" i="8"/>
  <c r="DQ121" i="8"/>
  <c r="DX25" i="8"/>
  <c r="DQ98" i="8"/>
  <c r="DR109" i="8"/>
  <c r="EC41" i="8"/>
  <c r="DQ132" i="8"/>
  <c r="DW137" i="8"/>
  <c r="DZ21" i="8"/>
  <c r="DP32" i="8"/>
  <c r="EB52" i="8"/>
  <c r="DW90" i="8"/>
  <c r="DU22" i="8"/>
  <c r="EC32" i="8"/>
  <c r="DS101" i="8"/>
  <c r="DS89" i="8"/>
  <c r="DU93" i="8"/>
  <c r="EC125" i="8"/>
  <c r="DV124" i="8"/>
  <c r="DX128" i="8"/>
  <c r="DQ85" i="8"/>
  <c r="DV56" i="8"/>
  <c r="DT42" i="8"/>
  <c r="DR18" i="8"/>
  <c r="DV47" i="8"/>
  <c r="DS31" i="8"/>
  <c r="EC66" i="8"/>
  <c r="DZ99" i="8"/>
  <c r="DS136" i="8"/>
  <c r="EB55" i="8"/>
  <c r="DX56" i="8"/>
  <c r="DQ37" i="8"/>
  <c r="DX60" i="8"/>
  <c r="DT94" i="8"/>
  <c r="DQ11" i="8"/>
  <c r="DS120" i="8"/>
  <c r="DP72" i="8"/>
  <c r="DR55" i="8"/>
  <c r="DU71" i="8"/>
  <c r="DZ20" i="8"/>
  <c r="DT80" i="8"/>
  <c r="DZ145" i="8"/>
  <c r="EC89" i="8"/>
  <c r="EC96" i="8"/>
  <c r="DR61" i="8"/>
  <c r="DZ123" i="8"/>
  <c r="DT50" i="8"/>
  <c r="DP115" i="8"/>
  <c r="DX73" i="8"/>
  <c r="DZ39" i="8"/>
  <c r="DS47" i="8"/>
  <c r="DP77" i="8"/>
  <c r="DV144" i="8"/>
  <c r="DV109" i="8"/>
  <c r="EB45" i="8"/>
  <c r="DQ70" i="8"/>
  <c r="DZ126" i="8"/>
  <c r="DR139" i="8"/>
  <c r="EC26" i="8"/>
  <c r="DV117" i="8"/>
  <c r="DZ118" i="8"/>
  <c r="DP51" i="8"/>
  <c r="EC47" i="8"/>
  <c r="EB67" i="8"/>
  <c r="EB100" i="8"/>
  <c r="DU19" i="8"/>
  <c r="EC35" i="8"/>
  <c r="DW35" i="8"/>
  <c r="DW33" i="8"/>
  <c r="DZ31" i="8"/>
  <c r="DS144" i="8"/>
  <c r="DU78" i="8"/>
  <c r="DT47" i="8"/>
  <c r="DV38" i="8"/>
  <c r="EB48" i="8"/>
  <c r="EB103" i="8"/>
  <c r="DW13" i="8"/>
  <c r="DQ49" i="8"/>
  <c r="DR103" i="8"/>
  <c r="EC49" i="8"/>
  <c r="EB98" i="8"/>
  <c r="DP145" i="8"/>
  <c r="DS121" i="8"/>
  <c r="DX82" i="8"/>
  <c r="DS23" i="8"/>
  <c r="DS32" i="8"/>
  <c r="DW30" i="8"/>
  <c r="EC51" i="8"/>
  <c r="DX54" i="8"/>
  <c r="EB77" i="8"/>
  <c r="DX87" i="8"/>
  <c r="DQ99" i="8"/>
  <c r="EC79" i="8"/>
  <c r="DP57" i="8"/>
  <c r="DU31" i="8"/>
  <c r="DX21" i="8"/>
  <c r="DW113" i="8"/>
  <c r="DT36" i="8"/>
  <c r="DV57" i="8"/>
  <c r="DU40" i="8"/>
  <c r="DP103" i="8"/>
  <c r="DW91" i="8"/>
  <c r="DX92" i="8"/>
  <c r="DS109" i="8"/>
  <c r="EC59" i="8"/>
  <c r="DS73" i="8"/>
  <c r="EC106" i="8"/>
  <c r="DT142" i="8"/>
  <c r="DR121" i="8"/>
  <c r="DX86" i="8"/>
  <c r="DZ137" i="8"/>
  <c r="DW38" i="8"/>
  <c r="DZ23" i="8"/>
  <c r="DQ44" i="8"/>
  <c r="DV126" i="8"/>
  <c r="EC127" i="8"/>
  <c r="DU50" i="8"/>
  <c r="DU118" i="8"/>
  <c r="DV30" i="8"/>
  <c r="DZ30" i="8"/>
  <c r="DR38" i="8"/>
  <c r="EC34" i="8"/>
  <c r="DU80" i="8"/>
  <c r="DX93" i="8"/>
  <c r="DS50" i="8"/>
  <c r="DP34" i="8"/>
  <c r="DX139" i="8"/>
  <c r="DQ19" i="8"/>
  <c r="DS69" i="8"/>
  <c r="DQ125" i="8"/>
  <c r="EB33" i="8"/>
  <c r="EB56" i="8"/>
  <c r="DR56" i="8"/>
  <c r="DQ115" i="8"/>
  <c r="DQ26" i="8"/>
  <c r="DX29" i="8"/>
  <c r="DQ32" i="8"/>
  <c r="DZ133" i="8"/>
  <c r="DU88" i="8"/>
  <c r="DP22" i="8"/>
  <c r="DU79" i="8"/>
  <c r="DZ77" i="8"/>
  <c r="DW119" i="8"/>
  <c r="DV125" i="8"/>
  <c r="DQ133" i="8"/>
  <c r="EB93" i="8"/>
  <c r="DX71" i="8"/>
  <c r="DT74" i="8"/>
  <c r="EB49" i="8"/>
  <c r="DP54" i="8"/>
  <c r="DX34" i="8"/>
  <c r="DU74" i="8"/>
  <c r="DT38" i="8"/>
  <c r="DT35" i="8"/>
  <c r="EC74" i="8"/>
  <c r="DT103" i="8"/>
  <c r="DS65" i="8"/>
  <c r="DU58" i="8"/>
  <c r="DS88" i="8"/>
  <c r="EC21" i="8"/>
  <c r="DX45" i="8"/>
  <c r="DT126" i="8"/>
  <c r="DZ42" i="8"/>
  <c r="DX109" i="8"/>
  <c r="DQ39" i="8"/>
  <c r="DT52" i="8"/>
  <c r="DU135" i="8"/>
  <c r="EC92" i="8"/>
  <c r="DS37" i="8"/>
  <c r="DU117" i="8"/>
  <c r="DQ79" i="8"/>
  <c r="DV113" i="8"/>
  <c r="DS133" i="8"/>
  <c r="DU17" i="8"/>
  <c r="DZ103" i="8"/>
  <c r="DR88" i="8"/>
  <c r="DW76" i="8"/>
  <c r="DT61" i="8"/>
  <c r="DP128" i="8"/>
  <c r="EC81" i="8"/>
  <c r="DU16" i="8"/>
  <c r="DS81" i="8"/>
  <c r="DU49" i="8"/>
  <c r="DQ92" i="8"/>
  <c r="EC105" i="8"/>
  <c r="DR57" i="8"/>
  <c r="DV145" i="8"/>
  <c r="DU48" i="8"/>
  <c r="EC124" i="8"/>
  <c r="DZ62" i="8"/>
  <c r="DU20" i="8"/>
  <c r="DU119" i="8"/>
  <c r="DT104" i="8"/>
  <c r="DR131" i="8"/>
  <c r="DT91" i="8"/>
  <c r="DW84" i="8"/>
  <c r="DU99" i="8"/>
  <c r="DU104" i="8"/>
  <c r="DW122" i="8"/>
  <c r="DQ87" i="8"/>
  <c r="DW83" i="8"/>
  <c r="EC65" i="8"/>
  <c r="EB75" i="8"/>
  <c r="DX137" i="8"/>
  <c r="DV108" i="8"/>
  <c r="DZ13" i="8"/>
  <c r="EC18" i="8"/>
  <c r="DX42" i="8"/>
  <c r="DW96" i="8"/>
  <c r="EB32" i="8"/>
  <c r="DX104" i="8"/>
  <c r="EB44" i="8"/>
  <c r="EC120" i="8"/>
  <c r="DX76" i="8"/>
  <c r="DU43" i="8"/>
  <c r="DT31" i="8"/>
  <c r="DZ112" i="8"/>
  <c r="DU27" i="8"/>
  <c r="DU122" i="8"/>
  <c r="DR96" i="8"/>
  <c r="DP14" i="8"/>
  <c r="DZ61" i="8"/>
  <c r="DS135" i="8"/>
  <c r="DT68" i="8"/>
  <c r="DV129" i="8"/>
  <c r="EC63" i="8"/>
  <c r="DQ118" i="8"/>
  <c r="DW132" i="8"/>
  <c r="DU44" i="8"/>
  <c r="DR54" i="8"/>
  <c r="EC100" i="8"/>
  <c r="EB36" i="8"/>
  <c r="DW95" i="8"/>
  <c r="EB143" i="8"/>
  <c r="DT34" i="8"/>
  <c r="DW45" i="8"/>
  <c r="DP87" i="8"/>
  <c r="DZ106" i="8"/>
  <c r="DX61" i="8"/>
  <c r="DQ141" i="8"/>
  <c r="DX127" i="8"/>
  <c r="DT107" i="8"/>
  <c r="DV11" i="8"/>
  <c r="DW134" i="8"/>
  <c r="DS84" i="8"/>
  <c r="EB141" i="8"/>
  <c r="EB11" i="8"/>
  <c r="DZ102" i="8"/>
  <c r="DZ110" i="8"/>
  <c r="DQ76" i="8"/>
  <c r="DQ51" i="8"/>
  <c r="DS93" i="8"/>
  <c r="DS115" i="8"/>
  <c r="DT100" i="8"/>
  <c r="EC138" i="8"/>
  <c r="DS85" i="8"/>
  <c r="EB27" i="8"/>
  <c r="DV65" i="8"/>
  <c r="DX108" i="8"/>
  <c r="DZ71" i="8"/>
  <c r="DP112" i="8"/>
  <c r="EB37" i="8"/>
  <c r="DZ44" i="8"/>
  <c r="DT14" i="8"/>
  <c r="DW133" i="8"/>
  <c r="DX26" i="8"/>
  <c r="DZ34" i="8"/>
  <c r="DR116" i="8"/>
  <c r="DS131" i="8"/>
  <c r="DS52" i="8"/>
  <c r="DT72" i="8"/>
  <c r="DX40" i="8"/>
  <c r="DP109" i="8"/>
  <c r="DP111" i="8"/>
  <c r="DZ96" i="8"/>
  <c r="EB57" i="8"/>
  <c r="DP139" i="8"/>
  <c r="DV95" i="8"/>
  <c r="DR142" i="8"/>
  <c r="DS138" i="8"/>
  <c r="DR58" i="8"/>
  <c r="DV104" i="8"/>
  <c r="DV69" i="8"/>
  <c r="DS124" i="8"/>
  <c r="DU120" i="8"/>
  <c r="EB39" i="8"/>
  <c r="DQ88" i="8"/>
  <c r="DW47" i="8"/>
  <c r="DR33" i="8"/>
  <c r="DZ35" i="8"/>
  <c r="DX133" i="8"/>
  <c r="EC111" i="8"/>
  <c r="DW66" i="8"/>
  <c r="DW16" i="8"/>
  <c r="DW29" i="8"/>
  <c r="EC46" i="8"/>
  <c r="DX138" i="8"/>
  <c r="DR16" i="8"/>
  <c r="DV80" i="8"/>
  <c r="DS33" i="8"/>
  <c r="DW111" i="8"/>
  <c r="EB59" i="8"/>
  <c r="DW143" i="8"/>
  <c r="DP48" i="8"/>
  <c r="DU26" i="8"/>
  <c r="DV84" i="8"/>
  <c r="DZ124" i="8"/>
  <c r="DT29" i="8"/>
  <c r="DS55" i="8"/>
  <c r="EB112" i="8"/>
  <c r="DV97" i="8"/>
  <c r="DX12" i="8"/>
  <c r="DW78" i="8"/>
  <c r="DZ88" i="8"/>
  <c r="DZ46" i="8"/>
  <c r="DV36" i="8"/>
  <c r="DX141" i="8"/>
  <c r="DZ89" i="8"/>
  <c r="DU102" i="8"/>
  <c r="DT20" i="8"/>
  <c r="DV116" i="8"/>
  <c r="EB133" i="8"/>
  <c r="DW34" i="8"/>
  <c r="EC121" i="8"/>
  <c r="EB24" i="8"/>
  <c r="DP137" i="8"/>
  <c r="DX66" i="8"/>
  <c r="DU90" i="8"/>
  <c r="EB86" i="8"/>
  <c r="DZ45" i="8"/>
  <c r="DU39" i="8"/>
  <c r="DV68" i="8"/>
  <c r="DT92" i="8"/>
  <c r="DT135" i="8"/>
  <c r="EN135" i="8"/>
  <c r="EN92" i="8"/>
  <c r="FG92" i="8"/>
  <c r="BC85" i="18" a="1"/>
  <c r="BC85" i="18"/>
  <c r="EN20" i="8"/>
  <c r="EN29" i="8"/>
  <c r="BF22" i="18" a="1"/>
  <c r="BF22" i="18"/>
  <c r="EN72" i="8"/>
  <c r="EN14" i="8"/>
  <c r="EN100" i="8"/>
  <c r="EN107" i="8"/>
  <c r="FG107" i="8"/>
  <c r="BC100" i="18" a="1"/>
  <c r="BC100" i="18"/>
  <c r="EN34" i="8"/>
  <c r="EN68" i="8"/>
  <c r="FG68" i="8"/>
  <c r="BC61" i="18" a="1"/>
  <c r="BC61" i="18"/>
  <c r="EN31" i="8"/>
  <c r="BF24" i="18" a="1"/>
  <c r="BF24" i="18"/>
  <c r="EN91" i="8"/>
  <c r="FG91" i="8"/>
  <c r="BC84" i="18" a="1"/>
  <c r="BC84" i="18"/>
  <c r="EN104" i="8"/>
  <c r="EN61" i="8"/>
  <c r="FG61" i="8"/>
  <c r="BC54" i="18" a="1"/>
  <c r="BC54" i="18"/>
  <c r="EN52" i="8"/>
  <c r="EN126" i="8"/>
  <c r="EN103" i="8"/>
  <c r="BF96" i="18" a="1"/>
  <c r="BF96" i="18"/>
  <c r="EN35" i="8"/>
  <c r="EN38" i="8"/>
  <c r="FG38" i="8"/>
  <c r="BC31" i="18" a="1"/>
  <c r="BC31" i="18"/>
  <c r="EN74" i="8"/>
  <c r="BF67" i="18" a="1"/>
  <c r="BF67" i="18"/>
  <c r="EN142" i="8"/>
  <c r="EN36" i="8"/>
  <c r="BF29" i="18" a="1"/>
  <c r="BF29" i="18"/>
  <c r="EN47" i="8"/>
  <c r="BF40" i="18" a="1"/>
  <c r="BF40" i="18"/>
  <c r="EN50" i="8"/>
  <c r="BF43" i="18" a="1"/>
  <c r="BF43" i="18"/>
  <c r="EN80" i="8"/>
  <c r="EN94" i="8"/>
  <c r="BF87" i="18" a="1"/>
  <c r="BF87" i="18"/>
  <c r="EN42" i="8"/>
  <c r="FG42" i="8"/>
  <c r="BC35" i="18" a="1"/>
  <c r="BC35" i="18"/>
  <c r="EN125" i="8"/>
  <c r="EN88" i="8"/>
  <c r="BF81" i="18" a="1"/>
  <c r="BF81" i="18"/>
  <c r="EN46" i="8"/>
  <c r="EN60" i="8"/>
  <c r="EN17" i="8"/>
  <c r="EN110" i="8"/>
  <c r="BF103" i="18" a="1"/>
  <c r="BF103" i="18"/>
  <c r="EN63" i="8"/>
  <c r="BF56" i="18" a="1"/>
  <c r="BF56" i="18"/>
  <c r="EN105" i="8"/>
  <c r="BF98" i="18" a="1"/>
  <c r="BF98" i="18"/>
  <c r="EN56" i="8"/>
  <c r="BF49" i="18" a="1"/>
  <c r="BF49" i="18"/>
  <c r="EN71" i="8"/>
  <c r="EN108" i="8"/>
  <c r="FG108" i="8"/>
  <c r="BC101" i="18" a="1"/>
  <c r="BC101" i="18"/>
  <c r="EN115" i="8"/>
  <c r="EN123" i="8"/>
  <c r="BF116" i="18" a="1"/>
  <c r="BF116" i="18"/>
  <c r="EN118" i="8"/>
  <c r="BF111" i="18" a="1"/>
  <c r="BF111" i="18"/>
  <c r="EN62" i="8"/>
  <c r="FG62" i="8"/>
  <c r="BC55" i="18" a="1"/>
  <c r="BC55" i="18"/>
  <c r="EN77" i="8"/>
  <c r="EN141" i="8"/>
  <c r="FG141" i="8"/>
  <c r="BC134" i="17" a="1"/>
  <c r="BC134" i="17"/>
  <c r="EN49" i="8"/>
  <c r="EN48" i="8"/>
  <c r="BF41" i="18" a="1"/>
  <c r="BF41" i="18"/>
  <c r="EN85" i="8"/>
  <c r="EN54" i="8"/>
  <c r="FG54" i="8"/>
  <c r="BC47" i="18" a="1"/>
  <c r="BC47" i="18"/>
  <c r="EN117" i="8"/>
  <c r="FG117" i="8"/>
  <c r="BC110" i="18" a="1"/>
  <c r="BC110" i="18"/>
  <c r="EN136" i="8"/>
  <c r="FG136" i="8"/>
  <c r="EN106" i="8"/>
  <c r="BF99" i="18" a="1"/>
  <c r="BF99" i="18"/>
  <c r="EN19" i="8"/>
  <c r="FG19" i="8"/>
  <c r="BC12" i="18" a="1"/>
  <c r="BC12" i="18"/>
  <c r="EN97" i="8"/>
  <c r="EN113" i="8"/>
  <c r="BF106" i="18" a="1"/>
  <c r="BF106" i="18"/>
  <c r="EN82" i="8"/>
  <c r="BF75" i="18" a="1"/>
  <c r="BF75" i="18"/>
  <c r="EN40" i="8"/>
  <c r="BF33" i="18" a="1"/>
  <c r="BF33" i="18"/>
  <c r="EN111" i="8"/>
  <c r="BF104" i="18" a="1"/>
  <c r="BF104" i="18"/>
  <c r="EN93" i="8"/>
  <c r="EN11" i="8"/>
  <c r="EN138" i="8"/>
  <c r="BF131" i="18" a="1"/>
  <c r="BF131" i="18"/>
  <c r="EN15" i="8"/>
  <c r="FG15" i="8"/>
  <c r="BC8" i="18" a="1"/>
  <c r="BC8" i="18"/>
  <c r="EN129" i="8"/>
  <c r="FG129" i="8"/>
  <c r="BC122" i="18" a="1"/>
  <c r="BC122" i="18"/>
  <c r="EN84" i="8"/>
  <c r="EN144" i="8"/>
  <c r="FG144" i="8"/>
  <c r="BC137" i="18" a="1"/>
  <c r="BC137" i="18"/>
  <c r="EN116" i="8"/>
  <c r="EN98" i="8"/>
  <c r="FG98" i="8"/>
  <c r="BC91" i="18" a="1"/>
  <c r="BC91" i="18"/>
  <c r="EN28" i="8"/>
  <c r="EN90" i="8"/>
  <c r="BF83" i="18" a="1"/>
  <c r="BF83" i="18"/>
  <c r="EN124" i="8"/>
  <c r="EN24" i="8"/>
  <c r="EN130" i="8"/>
  <c r="BF123" i="18" a="1"/>
  <c r="BF123" i="18"/>
  <c r="EN86" i="8"/>
  <c r="EN39" i="8"/>
  <c r="EN140" i="8"/>
  <c r="FG140" i="8"/>
  <c r="BC133" i="17" a="1"/>
  <c r="BC133" i="17"/>
  <c r="EN132" i="8"/>
  <c r="BF125" i="18" a="1"/>
  <c r="BF125" i="18"/>
  <c r="EN112" i="8"/>
  <c r="EN23" i="8"/>
  <c r="BF16" i="18" a="1"/>
  <c r="BF16" i="18"/>
  <c r="EN66" i="8"/>
  <c r="FG66" i="8"/>
  <c r="BC59" i="18" a="1"/>
  <c r="BC59" i="18"/>
  <c r="EN96" i="8"/>
  <c r="EN12" i="8"/>
  <c r="EN120" i="8"/>
  <c r="BF113" i="18" a="1"/>
  <c r="BF113" i="18"/>
  <c r="EN95" i="8"/>
  <c r="BF88" i="18" a="1"/>
  <c r="BF88" i="18"/>
  <c r="EN58" i="8"/>
  <c r="EN101" i="8"/>
  <c r="FG101" i="8"/>
  <c r="BC94" i="18" a="1"/>
  <c r="BC94" i="18"/>
  <c r="EN121" i="8"/>
  <c r="EN83" i="8"/>
  <c r="BF76" i="18" a="1"/>
  <c r="BF76" i="18"/>
  <c r="EN51" i="8"/>
  <c r="FG51" i="8"/>
  <c r="BC44" i="18" a="1"/>
  <c r="BC44" i="18"/>
  <c r="EN119" i="8"/>
  <c r="FG119" i="8"/>
  <c r="BC112" i="18" a="1"/>
  <c r="BC112" i="18"/>
  <c r="EN44" i="8"/>
  <c r="FG44" i="8"/>
  <c r="BC37" i="18" a="1"/>
  <c r="BC37" i="18"/>
  <c r="EN30" i="8"/>
  <c r="BF23" i="18" a="1"/>
  <c r="BF23" i="18"/>
  <c r="EN78" i="8"/>
  <c r="FG78" i="8"/>
  <c r="BC71" i="18" a="1"/>
  <c r="BC71" i="18"/>
  <c r="EN81" i="8"/>
  <c r="BF74" i="18" a="1"/>
  <c r="BF74" i="18"/>
  <c r="EN18" i="8"/>
  <c r="BF11" i="18" a="1"/>
  <c r="BF11" i="18"/>
  <c r="EN122" i="8"/>
  <c r="EN76" i="8"/>
  <c r="FG76" i="8"/>
  <c r="BC69" i="18" a="1"/>
  <c r="BC69" i="18"/>
  <c r="EN70" i="8"/>
  <c r="EN27" i="8"/>
  <c r="FG27" i="8"/>
  <c r="BC20" i="18" a="1"/>
  <c r="BC20" i="18"/>
  <c r="EN99" i="8"/>
  <c r="EN26" i="8"/>
  <c r="FG26" i="8"/>
  <c r="BC19" i="18" a="1"/>
  <c r="BC19" i="18"/>
  <c r="EN33" i="8"/>
  <c r="BF26" i="18" a="1"/>
  <c r="BF26" i="18"/>
  <c r="EN55" i="8"/>
  <c r="BF48" i="18" a="1"/>
  <c r="BF48" i="18"/>
  <c r="EN87" i="8"/>
  <c r="FG87" i="8"/>
  <c r="BC80" i="18" a="1"/>
  <c r="BC80" i="18"/>
  <c r="EN75" i="8"/>
  <c r="BF68" i="18" a="1"/>
  <c r="BF68" i="18"/>
  <c r="EN79" i="8"/>
  <c r="EN37" i="8"/>
  <c r="FG37" i="8"/>
  <c r="BC30" i="18" a="1"/>
  <c r="BC30" i="18"/>
  <c r="EN69" i="8"/>
  <c r="BF62" i="18" a="1"/>
  <c r="BF62" i="18"/>
  <c r="EN137" i="8"/>
  <c r="EN67" i="8"/>
  <c r="EN73" i="8"/>
  <c r="EN25" i="8"/>
  <c r="FG25" i="8"/>
  <c r="BC18" i="18" a="1"/>
  <c r="BC18" i="18"/>
  <c r="EN65" i="8"/>
  <c r="BF58" i="18" a="1"/>
  <c r="BF58" i="18"/>
  <c r="EN127" i="8"/>
  <c r="FG127" i="8"/>
  <c r="BC120" i="18" a="1"/>
  <c r="BC120" i="18"/>
  <c r="EN45" i="8"/>
  <c r="EN64" i="8"/>
  <c r="FG64" i="8"/>
  <c r="BC57" i="18" a="1"/>
  <c r="BC57" i="18"/>
  <c r="EN134" i="8"/>
  <c r="BF127" i="18" a="1"/>
  <c r="BF127" i="18"/>
  <c r="EN114" i="8"/>
  <c r="EN32" i="8"/>
  <c r="EN43" i="8"/>
  <c r="FG43" i="8"/>
  <c r="BC36" i="18" a="1"/>
  <c r="BC36" i="18"/>
  <c r="EN131" i="8"/>
  <c r="FG131" i="8"/>
  <c r="EN41" i="8"/>
  <c r="FG41" i="8"/>
  <c r="BC34" i="18" a="1"/>
  <c r="BC34" i="18"/>
  <c r="EN89" i="8"/>
  <c r="BF82" i="18" a="1"/>
  <c r="BF82" i="18"/>
  <c r="EN145" i="8"/>
  <c r="FG145" i="8"/>
  <c r="EN109" i="8"/>
  <c r="BF102" i="18" a="1"/>
  <c r="BF102" i="18"/>
  <c r="EN21" i="8"/>
  <c r="EN143" i="8"/>
  <c r="BF136" i="17" a="1"/>
  <c r="BF136" i="17"/>
  <c r="EN57" i="8"/>
  <c r="FG57" i="8"/>
  <c r="BC50" i="18" a="1"/>
  <c r="BC50" i="18"/>
  <c r="EN13" i="8"/>
  <c r="BF6" i="18" a="1"/>
  <c r="BF6" i="18"/>
  <c r="EN102" i="8"/>
  <c r="BF95" i="18" a="1"/>
  <c r="BF95" i="18"/>
  <c r="EN22" i="8"/>
  <c r="FG22" i="8"/>
  <c r="BC15" i="18" a="1"/>
  <c r="BC15" i="18"/>
  <c r="EN139" i="8"/>
  <c r="BF132" i="18" a="1"/>
  <c r="BF132" i="18"/>
  <c r="EN16" i="8"/>
  <c r="FG16" i="8"/>
  <c r="BC9" i="18" a="1"/>
  <c r="BC9" i="18"/>
  <c r="EN53" i="8"/>
  <c r="BF46" i="18" a="1"/>
  <c r="BF46" i="18"/>
  <c r="EN59" i="8"/>
  <c r="FG59" i="8"/>
  <c r="BC52" i="18" a="1"/>
  <c r="BC52" i="18"/>
  <c r="EN133" i="8"/>
  <c r="BF126" i="18" a="1"/>
  <c r="BF126" i="18"/>
  <c r="EN128" i="8"/>
  <c r="BF121" i="18" a="1"/>
  <c r="BF121" i="18"/>
  <c r="FG123" i="8"/>
  <c r="BC116" i="18" a="1"/>
  <c r="BC116" i="18"/>
  <c r="FG134" i="8"/>
  <c r="BC127" i="17" a="1"/>
  <c r="BC127" i="17"/>
  <c r="FG120" i="8"/>
  <c r="BC113" i="18" a="1"/>
  <c r="BC113" i="18"/>
  <c r="FG106" i="8"/>
  <c r="BC99" i="18" a="1"/>
  <c r="BC99" i="18"/>
  <c r="FG88" i="8"/>
  <c r="BC81" i="18" a="1"/>
  <c r="BC81" i="18"/>
  <c r="BF31" i="18" a="1"/>
  <c r="BF31" i="18"/>
  <c r="BF61" i="18" a="1"/>
  <c r="BF61" i="18"/>
  <c r="FG110" i="8"/>
  <c r="BC103" i="18" a="1"/>
  <c r="BC103" i="18"/>
  <c r="BC133" i="18" a="1"/>
  <c r="BC133" i="18"/>
  <c r="FG118" i="8"/>
  <c r="BC111" i="18" a="1"/>
  <c r="BC111" i="18"/>
  <c r="BF127" i="17" a="1"/>
  <c r="BF127" i="17"/>
  <c r="BF35" i="18" a="1"/>
  <c r="BF35" i="18"/>
  <c r="FG23" i="8"/>
  <c r="BC16" i="18" a="1"/>
  <c r="BC16" i="18"/>
  <c r="BF20" i="18" a="1"/>
  <c r="BF20" i="18"/>
  <c r="BF110" i="18" a="1"/>
  <c r="BF110" i="18"/>
  <c r="BF15" i="18" a="1"/>
  <c r="BF15" i="18"/>
  <c r="BF124" i="18" a="1"/>
  <c r="BF124" i="18"/>
  <c r="BF9" i="18" a="1"/>
  <c r="BF9" i="18"/>
  <c r="FG18" i="8"/>
  <c r="BC11" i="18" a="1"/>
  <c r="BC11" i="18"/>
  <c r="BF37" i="18" a="1"/>
  <c r="BF37" i="18"/>
  <c r="FG130" i="8"/>
  <c r="BC123" i="18" a="1"/>
  <c r="BC123" i="18"/>
  <c r="BF69" i="18" a="1"/>
  <c r="BF69" i="18"/>
  <c r="BF8" i="18" a="1"/>
  <c r="BF8" i="18"/>
  <c r="BF126" i="17" a="1"/>
  <c r="BF126" i="17"/>
  <c r="FG111" i="8"/>
  <c r="BC104" i="18" a="1"/>
  <c r="BC104" i="18"/>
  <c r="BF129" i="17" a="1"/>
  <c r="BF129" i="17"/>
  <c r="AY51" i="1"/>
  <c r="AL51" i="1"/>
  <c r="FG105" i="8"/>
  <c r="BC98" i="18" a="1"/>
  <c r="BC98" i="18"/>
  <c r="FG47" i="8"/>
  <c r="BC40" i="18" a="1"/>
  <c r="BC40" i="18"/>
  <c r="FG113" i="8"/>
  <c r="BC106" i="18" a="1"/>
  <c r="BC106" i="18"/>
  <c r="FG104" i="8"/>
  <c r="BC97" i="18" a="1"/>
  <c r="BC97" i="18"/>
  <c r="BF97" i="18" a="1"/>
  <c r="BF97" i="18"/>
  <c r="BF59" i="18" a="1"/>
  <c r="BF59" i="18"/>
  <c r="BF13" i="18" a="1"/>
  <c r="BF13" i="18"/>
  <c r="FG20" i="8"/>
  <c r="BC13" i="18" a="1"/>
  <c r="BC13" i="18"/>
  <c r="FG82" i="8"/>
  <c r="BC75" i="18" a="1"/>
  <c r="BC75" i="18"/>
  <c r="BF18" i="18" a="1"/>
  <c r="BF18" i="18"/>
  <c r="FG55" i="8"/>
  <c r="BC48" i="18" a="1"/>
  <c r="BC48" i="18"/>
  <c r="FG85" i="8"/>
  <c r="BC78" i="18" a="1"/>
  <c r="BC78" i="18"/>
  <c r="BF78" i="18" a="1"/>
  <c r="BF78" i="18"/>
  <c r="FG80" i="8"/>
  <c r="BC73" i="18" a="1"/>
  <c r="BC73" i="18"/>
  <c r="BF73" i="18" a="1"/>
  <c r="BF73" i="18"/>
  <c r="FG49" i="8"/>
  <c r="BC42" i="18" a="1"/>
  <c r="BC42" i="18"/>
  <c r="BF42" i="18" a="1"/>
  <c r="BF42" i="18"/>
  <c r="BF91" i="18" a="1"/>
  <c r="BF91" i="18"/>
  <c r="BF93" i="18" a="1"/>
  <c r="BF93" i="18"/>
  <c r="FG100" i="8"/>
  <c r="BC93" i="18" a="1"/>
  <c r="BC93" i="18"/>
  <c r="BF128" i="18" a="1"/>
  <c r="BF128" i="18"/>
  <c r="FG135" i="8"/>
  <c r="BF128" i="17" a="1"/>
  <c r="BF128" i="17"/>
  <c r="FG84" i="8"/>
  <c r="BC77" i="18" a="1"/>
  <c r="BC77" i="18"/>
  <c r="BF77" i="18" a="1"/>
  <c r="BF77" i="18"/>
  <c r="BF70" i="18" a="1"/>
  <c r="BF70" i="18"/>
  <c r="FG77" i="8"/>
  <c r="BC70" i="18" a="1"/>
  <c r="BC70" i="18"/>
  <c r="BF30" i="18" a="1"/>
  <c r="BF30" i="18"/>
  <c r="FG103" i="8"/>
  <c r="BC96" i="18" a="1"/>
  <c r="BC96" i="18"/>
  <c r="FG31" i="8"/>
  <c r="BC24" i="18" a="1"/>
  <c r="BC24" i="18"/>
  <c r="FG65" i="8"/>
  <c r="BC58" i="18" a="1"/>
  <c r="BC58" i="18"/>
  <c r="FG128" i="8"/>
  <c r="BC121" i="18" a="1"/>
  <c r="BC121" i="18"/>
  <c r="FG48" i="8"/>
  <c r="BC41" i="18" a="1"/>
  <c r="BC41" i="18"/>
  <c r="FG142" i="8"/>
  <c r="BF135" i="17" a="1"/>
  <c r="BF135" i="17"/>
  <c r="BF135" i="18" a="1"/>
  <c r="BF135" i="18"/>
  <c r="BF65" i="18" a="1"/>
  <c r="BF65" i="18"/>
  <c r="FG72" i="8"/>
  <c r="BC65" i="18" a="1"/>
  <c r="BC65" i="18"/>
  <c r="FG132" i="8"/>
  <c r="BF125" i="17" a="1"/>
  <c r="BF125" i="17"/>
  <c r="AS76" i="17"/>
  <c r="AS77" i="17"/>
  <c r="BF122" i="18" a="1"/>
  <c r="BF122" i="18"/>
  <c r="BF85" i="18" a="1"/>
  <c r="BF85" i="18"/>
  <c r="BF80" i="18" a="1"/>
  <c r="BF80" i="18"/>
  <c r="BF36" i="18" a="1"/>
  <c r="BF36" i="18"/>
  <c r="BF55" i="18" a="1"/>
  <c r="BF55" i="18"/>
  <c r="BF138" i="18" a="1"/>
  <c r="BF138" i="18"/>
  <c r="BF50" i="18" a="1"/>
  <c r="BF50" i="18"/>
  <c r="BF129" i="18" a="1"/>
  <c r="BF129" i="18"/>
  <c r="FG139" i="8"/>
  <c r="BC132" i="18" a="1"/>
  <c r="BC132" i="18"/>
  <c r="BF54" i="18" a="1"/>
  <c r="BF54" i="18"/>
  <c r="FG83" i="8"/>
  <c r="BC76" i="18" a="1"/>
  <c r="BC76" i="18"/>
  <c r="FG30" i="8"/>
  <c r="BC23" i="18" a="1"/>
  <c r="BC23" i="18"/>
  <c r="FG133" i="8"/>
  <c r="BC126" i="18" a="1"/>
  <c r="BC126" i="18"/>
  <c r="BF132" i="17" a="1"/>
  <c r="BF132" i="17"/>
  <c r="BF52" i="18" a="1"/>
  <c r="BF52" i="18"/>
  <c r="BF133" i="17" a="1"/>
  <c r="BF133" i="17"/>
  <c r="BF101" i="18" a="1"/>
  <c r="BF101" i="18"/>
  <c r="BF57" i="18" a="1"/>
  <c r="BF57" i="18"/>
  <c r="FG36" i="8"/>
  <c r="BC29" i="18" a="1"/>
  <c r="BC29" i="18"/>
  <c r="FG94" i="8"/>
  <c r="BC87" i="18" a="1"/>
  <c r="BC87" i="18"/>
  <c r="FG69" i="8"/>
  <c r="BC62" i="18" a="1"/>
  <c r="BC62" i="18"/>
  <c r="FG95" i="8"/>
  <c r="BC88" i="18" a="1"/>
  <c r="BC88" i="18"/>
  <c r="FG63" i="8"/>
  <c r="BC56" i="18" a="1"/>
  <c r="BC56" i="18"/>
  <c r="BF138" i="17" a="1"/>
  <c r="BF138" i="17"/>
  <c r="BF133" i="18" a="1"/>
  <c r="BF133" i="18"/>
  <c r="BF134" i="17" a="1"/>
  <c r="BF134" i="17"/>
  <c r="FG29" i="8"/>
  <c r="BC22" i="18" a="1"/>
  <c r="BC22" i="18"/>
  <c r="BF136" i="18" a="1"/>
  <c r="BF136" i="18"/>
  <c r="FG89" i="8"/>
  <c r="BC82" i="18" a="1"/>
  <c r="BC82" i="18"/>
  <c r="BC134" i="18" a="1"/>
  <c r="BC134" i="18"/>
  <c r="FG143" i="8"/>
  <c r="BC136" i="17" a="1"/>
  <c r="BC136" i="17"/>
  <c r="FG33" i="8"/>
  <c r="BC26" i="18" a="1"/>
  <c r="BC26" i="18"/>
  <c r="FG50" i="8"/>
  <c r="BC43" i="18" a="1"/>
  <c r="BC43" i="18"/>
  <c r="BF112" i="18" a="1"/>
  <c r="BF112" i="18"/>
  <c r="BF44" i="18" a="1"/>
  <c r="BF44" i="18"/>
  <c r="FG138" i="8"/>
  <c r="BC131" i="18" a="1"/>
  <c r="BC131" i="18"/>
  <c r="FG109" i="8"/>
  <c r="BC102" i="18" a="1"/>
  <c r="BC102" i="18"/>
  <c r="BF124" i="17" a="1"/>
  <c r="BF124" i="17"/>
  <c r="BF120" i="18" a="1"/>
  <c r="BF120" i="18"/>
  <c r="BC137" i="17" a="1"/>
  <c r="BC137" i="17"/>
  <c r="BF71" i="18" a="1"/>
  <c r="BF71" i="18"/>
  <c r="FG75" i="8"/>
  <c r="BC68" i="18" a="1"/>
  <c r="BC68" i="18"/>
  <c r="FG13" i="8"/>
  <c r="BC6" i="18" a="1"/>
  <c r="BC6" i="18"/>
  <c r="FG40" i="8"/>
  <c r="BC33" i="18" a="1"/>
  <c r="BC33" i="18"/>
  <c r="BF19" i="18" a="1"/>
  <c r="BF19" i="18"/>
  <c r="BF14" i="18" a="1"/>
  <c r="BF14" i="18"/>
  <c r="FG21" i="8"/>
  <c r="BC14" i="18" a="1"/>
  <c r="BC14" i="18"/>
  <c r="BF107" i="18" a="1"/>
  <c r="BF107" i="18"/>
  <c r="FG114" i="8"/>
  <c r="BC107" i="18" a="1"/>
  <c r="BC107" i="18"/>
  <c r="FG67" i="8"/>
  <c r="BC60" i="18" a="1"/>
  <c r="BC60" i="18"/>
  <c r="BF60" i="18" a="1"/>
  <c r="BF60" i="18"/>
  <c r="FG79" i="8"/>
  <c r="BC72" i="18" a="1"/>
  <c r="BC72" i="18"/>
  <c r="BF72" i="18" a="1"/>
  <c r="BF72" i="18"/>
  <c r="BF63" i="18" a="1"/>
  <c r="BF63" i="18"/>
  <c r="FG70" i="8"/>
  <c r="BC63" i="18" a="1"/>
  <c r="BC63" i="18"/>
  <c r="FG12" i="8"/>
  <c r="BC5" i="18" a="1"/>
  <c r="BC5" i="18"/>
  <c r="BF5" i="18" a="1"/>
  <c r="BF5" i="18"/>
  <c r="FG112" i="8"/>
  <c r="BC105" i="18" a="1"/>
  <c r="BC105" i="18"/>
  <c r="BF105" i="18" a="1"/>
  <c r="BF105" i="18"/>
  <c r="BF79" i="18" a="1"/>
  <c r="BF79" i="18"/>
  <c r="FG86" i="8"/>
  <c r="BC79" i="18" a="1"/>
  <c r="BC79" i="18"/>
  <c r="BF10" i="18" a="1"/>
  <c r="BF10" i="18"/>
  <c r="FG17" i="8"/>
  <c r="BC10" i="18" a="1"/>
  <c r="BC10" i="18"/>
  <c r="BF118" i="18" a="1"/>
  <c r="BF118" i="18"/>
  <c r="FG125" i="8"/>
  <c r="BC118" i="18" a="1"/>
  <c r="BC118" i="18"/>
  <c r="BF119" i="18" a="1"/>
  <c r="BF119" i="18"/>
  <c r="FG126" i="8"/>
  <c r="BC119" i="18" a="1"/>
  <c r="BC119" i="18"/>
  <c r="BC132" i="17" a="1"/>
  <c r="BC132" i="17"/>
  <c r="BF34" i="18" a="1"/>
  <c r="BF34" i="18"/>
  <c r="BF94" i="18" a="1"/>
  <c r="BF94" i="18"/>
  <c r="BF134" i="18" a="1"/>
  <c r="BF134" i="18"/>
  <c r="BF137" i="17" a="1"/>
  <c r="BF137" i="17"/>
  <c r="BF12" i="18" a="1"/>
  <c r="BF12" i="18"/>
  <c r="FG56" i="8"/>
  <c r="BC49" i="18" a="1"/>
  <c r="BC49" i="18"/>
  <c r="FG102" i="8"/>
  <c r="BC95" i="18" a="1"/>
  <c r="BC95" i="18"/>
  <c r="BF131" i="17" a="1"/>
  <c r="BF131" i="17"/>
  <c r="BF84" i="18" a="1"/>
  <c r="BF84" i="18"/>
  <c r="BC124" i="17" a="1"/>
  <c r="BC124" i="17"/>
  <c r="BC124" i="18" a="1"/>
  <c r="BC124" i="18"/>
  <c r="BF130" i="17" a="1"/>
  <c r="BF130" i="17"/>
  <c r="FG137" i="8"/>
  <c r="BF130" i="18" a="1"/>
  <c r="BF130" i="18"/>
  <c r="BF51" i="18" a="1"/>
  <c r="BF51" i="18"/>
  <c r="FG58" i="8"/>
  <c r="BC51" i="18" a="1"/>
  <c r="BC51" i="18"/>
  <c r="BF89" i="18" a="1"/>
  <c r="BF89" i="18"/>
  <c r="FG96" i="8"/>
  <c r="BC89" i="18" a="1"/>
  <c r="BC89" i="18"/>
  <c r="FG28" i="8"/>
  <c r="BC21" i="18" a="1"/>
  <c r="BC21" i="18"/>
  <c r="BF21" i="18" a="1"/>
  <c r="BF21" i="18"/>
  <c r="BF4" i="18" a="1"/>
  <c r="BF4" i="18"/>
  <c r="FG11" i="8"/>
  <c r="BC4" i="18" a="1"/>
  <c r="BC4" i="18"/>
  <c r="FG115" i="8"/>
  <c r="BC108" i="18" a="1"/>
  <c r="BC108" i="18"/>
  <c r="BF108" i="18" a="1"/>
  <c r="BF108" i="18"/>
  <c r="FG60" i="8"/>
  <c r="BC53" i="18" a="1"/>
  <c r="BC53" i="18"/>
  <c r="BF53" i="18" a="1"/>
  <c r="BF53" i="18"/>
  <c r="FG52" i="8"/>
  <c r="BC45" i="18" a="1"/>
  <c r="BC45" i="18"/>
  <c r="BF45" i="18" a="1"/>
  <c r="BF45" i="18"/>
  <c r="BF137" i="18" a="1"/>
  <c r="BF137" i="18"/>
  <c r="BF47" i="18" a="1"/>
  <c r="BF47" i="18"/>
  <c r="BC138" i="18" a="1"/>
  <c r="BC138" i="18"/>
  <c r="BC138" i="17" a="1"/>
  <c r="BC138" i="17"/>
  <c r="BF92" i="18" a="1"/>
  <c r="BF92" i="18"/>
  <c r="FG99" i="8"/>
  <c r="BC92" i="18" a="1"/>
  <c r="BC92" i="18"/>
  <c r="FG122" i="8"/>
  <c r="BC115" i="18" a="1"/>
  <c r="BC115" i="18"/>
  <c r="BF115" i="18" a="1"/>
  <c r="BF115" i="18"/>
  <c r="FG24" i="8"/>
  <c r="BC17" i="18" a="1"/>
  <c r="BC17" i="18"/>
  <c r="BF17" i="18" a="1"/>
  <c r="BF17" i="18"/>
  <c r="BF86" i="18" a="1"/>
  <c r="BF86" i="18"/>
  <c r="FG93" i="8"/>
  <c r="BC86" i="18" a="1"/>
  <c r="BC86" i="18"/>
  <c r="FG46" i="8"/>
  <c r="BC39" i="18" a="1"/>
  <c r="BC39" i="18"/>
  <c r="BF39" i="18" a="1"/>
  <c r="BF39" i="18"/>
  <c r="FG35" i="8"/>
  <c r="BC28" i="18" a="1"/>
  <c r="BC28" i="18"/>
  <c r="BF28" i="18" a="1"/>
  <c r="BF28" i="18"/>
  <c r="BF7" i="18" a="1"/>
  <c r="BF7" i="18"/>
  <c r="FG14" i="8"/>
  <c r="BC7" i="18" a="1"/>
  <c r="BC7" i="18"/>
  <c r="FG53" i="8"/>
  <c r="BC46" i="18" a="1"/>
  <c r="BC46" i="18"/>
  <c r="FG81" i="8"/>
  <c r="BC74" i="18" a="1"/>
  <c r="BC74" i="18"/>
  <c r="FG90" i="8"/>
  <c r="BC83" i="18" a="1"/>
  <c r="BC83" i="18"/>
  <c r="BF100" i="18" a="1"/>
  <c r="BF100" i="18"/>
  <c r="FG74" i="8"/>
  <c r="BC67" i="18" a="1"/>
  <c r="BC67" i="18"/>
  <c r="BF25" i="18" a="1"/>
  <c r="BF25" i="18"/>
  <c r="FG32" i="8"/>
  <c r="BC25" i="18" a="1"/>
  <c r="BC25" i="18"/>
  <c r="BF38" i="18" a="1"/>
  <c r="BF38" i="18"/>
  <c r="FG45" i="8"/>
  <c r="BC38" i="18" a="1"/>
  <c r="BC38" i="18"/>
  <c r="BF66" i="18" a="1"/>
  <c r="BF66" i="18"/>
  <c r="FG73" i="8"/>
  <c r="BC66" i="18" a="1"/>
  <c r="BC66" i="18"/>
  <c r="BF114" i="18" a="1"/>
  <c r="BF114" i="18"/>
  <c r="FG121" i="8"/>
  <c r="BC114" i="18" a="1"/>
  <c r="BC114" i="18"/>
  <c r="FG39" i="8"/>
  <c r="BC32" i="18" a="1"/>
  <c r="BC32" i="18"/>
  <c r="BF32" i="18" a="1"/>
  <c r="BF32" i="18"/>
  <c r="FG124" i="8"/>
  <c r="BC117" i="18" a="1"/>
  <c r="BC117" i="18"/>
  <c r="BF117" i="18" a="1"/>
  <c r="BF117" i="18"/>
  <c r="BF109" i="18" a="1"/>
  <c r="BF109" i="18"/>
  <c r="FG116" i="8"/>
  <c r="BC109" i="18" a="1"/>
  <c r="BC109" i="18"/>
  <c r="BF90" i="18" a="1"/>
  <c r="BF90" i="18"/>
  <c r="FG97" i="8"/>
  <c r="BC90" i="18" a="1"/>
  <c r="BC90" i="18"/>
  <c r="BF64" i="18" a="1"/>
  <c r="BF64" i="18"/>
  <c r="FG71" i="8"/>
  <c r="BC64" i="18" a="1"/>
  <c r="BC64" i="18"/>
  <c r="BF27" i="18" a="1"/>
  <c r="BF27" i="18"/>
  <c r="FG34" i="8"/>
  <c r="BC27" i="18" a="1"/>
  <c r="BC27" i="18"/>
  <c r="BC127" i="18" a="1"/>
  <c r="BC127" i="18"/>
  <c r="BC125" i="18" a="1"/>
  <c r="BC125" i="18"/>
  <c r="BC125" i="17" a="1"/>
  <c r="BC125" i="17"/>
  <c r="BC126" i="17" a="1"/>
  <c r="BC126" i="17"/>
  <c r="BC128" i="18" a="1"/>
  <c r="BC128" i="18"/>
  <c r="BC128" i="17" a="1"/>
  <c r="BC128" i="17"/>
  <c r="BC129" i="18" a="1"/>
  <c r="BC129" i="18"/>
  <c r="BC129" i="17" a="1"/>
  <c r="BC129" i="17"/>
  <c r="BC135" i="18" a="1"/>
  <c r="BC135" i="18"/>
  <c r="BC135" i="17" a="1"/>
  <c r="BC135" i="17"/>
  <c r="AS78" i="17"/>
  <c r="AS79" i="17"/>
  <c r="BC131" i="17" a="1"/>
  <c r="BC131" i="17"/>
  <c r="BC136" i="18" a="1"/>
  <c r="BC136" i="18"/>
  <c r="BC130" i="17" a="1"/>
  <c r="BC130" i="17"/>
  <c r="BC130" i="18" a="1"/>
  <c r="BC130" i="18"/>
  <c r="AS81" i="17"/>
  <c r="AS80" i="17"/>
  <c r="AS82" i="17"/>
  <c r="AS83" i="17"/>
  <c r="AS84" i="17"/>
  <c r="AS85" i="17"/>
  <c r="AS87" i="17"/>
  <c r="AS86" i="17"/>
  <c r="AS89" i="17"/>
  <c r="AS88" i="17"/>
  <c r="AS90" i="17"/>
  <c r="AS91" i="17"/>
  <c r="AS93" i="17"/>
  <c r="AS92" i="17"/>
  <c r="AS95" i="17"/>
  <c r="AS94" i="17"/>
  <c r="AS97" i="17"/>
  <c r="AS96" i="17"/>
  <c r="AS99" i="17"/>
  <c r="AS98" i="17"/>
  <c r="AS100" i="17"/>
  <c r="AS101" i="17"/>
  <c r="AS103" i="17"/>
  <c r="AS102" i="17"/>
  <c r="AS104" i="17"/>
  <c r="AS105" i="17"/>
  <c r="AS106" i="17"/>
  <c r="AS107" i="17"/>
  <c r="AS109" i="17"/>
  <c r="AS108" i="17"/>
  <c r="AS110" i="17"/>
  <c r="AS111" i="17"/>
  <c r="AS113" i="17"/>
  <c r="AS112" i="17"/>
  <c r="AS115" i="17"/>
  <c r="AS114" i="17"/>
  <c r="AS116" i="17"/>
  <c r="AS117" i="17"/>
  <c r="AS119" i="17"/>
  <c r="AS118" i="17"/>
  <c r="AS121" i="17"/>
  <c r="AS120" i="17"/>
  <c r="AS122" i="17"/>
  <c r="AS123" i="17"/>
  <c r="AS23" i="8"/>
  <c r="EH23" i="8"/>
  <c r="EI23" i="8"/>
  <c r="AS24" i="8"/>
  <c r="AS25" i="8"/>
  <c r="AS38" i="8"/>
  <c r="AS39" i="8"/>
  <c r="AS40" i="8"/>
  <c r="AS53" i="8"/>
  <c r="AS54" i="8"/>
  <c r="AS55" i="8"/>
  <c r="AS68" i="8"/>
  <c r="AS69" i="8"/>
  <c r="AS70" i="8"/>
  <c r="AS83" i="8"/>
  <c r="AS84" i="8"/>
  <c r="AS85" i="8"/>
  <c r="AS98" i="8"/>
  <c r="AS99" i="8"/>
  <c r="AS100" i="8"/>
  <c r="AS113" i="8"/>
  <c r="AS114" i="8"/>
  <c r="AS115" i="8"/>
  <c r="AS128" i="8"/>
  <c r="AS129" i="8"/>
  <c r="AS130" i="8"/>
  <c r="AS143" i="8"/>
  <c r="AS144" i="8"/>
  <c r="AS145" i="8"/>
  <c r="AZ23" i="8"/>
  <c r="BG16" i="18" a="1"/>
  <c r="BG16" i="18"/>
  <c r="BF23" i="8"/>
  <c r="BK16" i="18" a="1"/>
  <c r="BK16" i="18"/>
  <c r="EH70" i="8"/>
  <c r="EI70" i="8"/>
  <c r="BF70" i="8"/>
  <c r="EH38" i="8"/>
  <c r="EI38" i="8"/>
  <c r="BF38" i="8"/>
  <c r="EH144" i="8"/>
  <c r="EI144" i="8"/>
  <c r="EH143" i="8"/>
  <c r="EI143" i="8"/>
  <c r="BF143" i="8"/>
  <c r="BK136" i="17" a="1"/>
  <c r="BK136" i="17"/>
  <c r="EH55" i="8"/>
  <c r="EI55" i="8"/>
  <c r="BF55" i="8"/>
  <c r="BK48" i="18" a="1"/>
  <c r="BK48" i="18"/>
  <c r="EH114" i="8"/>
  <c r="EI114" i="8"/>
  <c r="EH69" i="8"/>
  <c r="EI69" i="8"/>
  <c r="CF16" i="18" a="1"/>
  <c r="CF16" i="18"/>
  <c r="EH115" i="8"/>
  <c r="EI115" i="8"/>
  <c r="EH83" i="8"/>
  <c r="EI83" i="8"/>
  <c r="BF83" i="8"/>
  <c r="EH113" i="8"/>
  <c r="EI113" i="8"/>
  <c r="BF113" i="8"/>
  <c r="BK106" i="18" a="1"/>
  <c r="BK106" i="18"/>
  <c r="EH25" i="8"/>
  <c r="EI25" i="8"/>
  <c r="EH100" i="8"/>
  <c r="EI100" i="8"/>
  <c r="EH24" i="8"/>
  <c r="EI24" i="8"/>
  <c r="BF24" i="8"/>
  <c r="EH99" i="8"/>
  <c r="EI99" i="8"/>
  <c r="BF99" i="8"/>
  <c r="BK92" i="18" a="1"/>
  <c r="BK92" i="18"/>
  <c r="EH130" i="8"/>
  <c r="EI130" i="8"/>
  <c r="EH98" i="8"/>
  <c r="EI98" i="8"/>
  <c r="EH54" i="8"/>
  <c r="EI54" i="8"/>
  <c r="BF54" i="8"/>
  <c r="EH129" i="8"/>
  <c r="EI129" i="8"/>
  <c r="EH85" i="8"/>
  <c r="EI85" i="8"/>
  <c r="EH53" i="8"/>
  <c r="EI53" i="8"/>
  <c r="EH39" i="8"/>
  <c r="EI39" i="8"/>
  <c r="EH145" i="8"/>
  <c r="EI145" i="8"/>
  <c r="EH68" i="8"/>
  <c r="EI68" i="8"/>
  <c r="EH128" i="8"/>
  <c r="EI128" i="8"/>
  <c r="EH84" i="8"/>
  <c r="EI84" i="8"/>
  <c r="EH40" i="8"/>
  <c r="EI40" i="8"/>
  <c r="I4" i="19"/>
  <c r="I23" i="19"/>
  <c r="FK23" i="8"/>
  <c r="FZ23" i="8"/>
  <c r="GF23" i="8"/>
  <c r="DF23" i="8"/>
  <c r="DI23" i="8"/>
  <c r="DK23" i="8"/>
  <c r="BF145" i="8"/>
  <c r="CF48" i="18" a="1"/>
  <c r="CF48" i="18"/>
  <c r="CF46" i="18" a="1"/>
  <c r="CF46" i="18"/>
  <c r="BF53" i="8"/>
  <c r="BK46" i="18" a="1"/>
  <c r="BK46" i="18"/>
  <c r="CF78" i="18" a="1"/>
  <c r="CF78" i="18"/>
  <c r="BF85" i="8"/>
  <c r="BK78" i="18" a="1"/>
  <c r="BK78" i="18"/>
  <c r="AZ115" i="8"/>
  <c r="FK115" i="8"/>
  <c r="FZ115" i="8"/>
  <c r="BF115" i="8"/>
  <c r="BK108" i="18" a="1"/>
  <c r="BK108" i="18"/>
  <c r="CF61" i="18" a="1"/>
  <c r="CF61" i="18"/>
  <c r="BF68" i="8"/>
  <c r="BK61" i="18" a="1"/>
  <c r="BK61" i="18"/>
  <c r="CF137" i="17" a="1"/>
  <c r="CF137" i="17"/>
  <c r="BF144" i="8"/>
  <c r="BK137" i="17" a="1"/>
  <c r="BK137" i="17"/>
  <c r="CF123" i="18" a="1"/>
  <c r="CF123" i="18"/>
  <c r="BF130" i="8"/>
  <c r="BK123" i="18" a="1"/>
  <c r="BK123" i="18"/>
  <c r="CF122" i="18" a="1"/>
  <c r="CF122" i="18"/>
  <c r="BF129" i="8"/>
  <c r="BK122" i="18" a="1"/>
  <c r="BK122" i="18"/>
  <c r="AZ100" i="8"/>
  <c r="BG93" i="18" a="1"/>
  <c r="BG93" i="18"/>
  <c r="BF100" i="8"/>
  <c r="BK93" i="18" a="1"/>
  <c r="BK93" i="18"/>
  <c r="CF62" i="18" a="1"/>
  <c r="CF62" i="18"/>
  <c r="BF69" i="8"/>
  <c r="BK62" i="18" a="1"/>
  <c r="BK62" i="18"/>
  <c r="AZ84" i="8"/>
  <c r="FK84" i="8"/>
  <c r="FZ84" i="8"/>
  <c r="BF84" i="8"/>
  <c r="BK77" i="18" a="1"/>
  <c r="BK77" i="18"/>
  <c r="AZ145" i="8"/>
  <c r="DF145" i="8"/>
  <c r="DI145" i="8"/>
  <c r="DK145" i="8"/>
  <c r="BK138" i="18" a="1"/>
  <c r="BK138" i="18"/>
  <c r="AZ98" i="8"/>
  <c r="BG91" i="18" a="1"/>
  <c r="BG91" i="18"/>
  <c r="BF98" i="8"/>
  <c r="BK91" i="18" a="1"/>
  <c r="BK91" i="18"/>
  <c r="AZ25" i="8"/>
  <c r="BG18" i="18" a="1"/>
  <c r="BG18" i="18"/>
  <c r="BF25" i="8"/>
  <c r="BK18" i="18" a="1"/>
  <c r="BK18" i="18"/>
  <c r="AZ114" i="8"/>
  <c r="FK114" i="8"/>
  <c r="FZ114" i="8"/>
  <c r="BF114" i="8"/>
  <c r="BK107" i="18" a="1"/>
  <c r="BK107" i="18"/>
  <c r="AZ128" i="8"/>
  <c r="BG121" i="18" a="1"/>
  <c r="BG121" i="18"/>
  <c r="BF128" i="8"/>
  <c r="BK121" i="18" a="1"/>
  <c r="BK121" i="18"/>
  <c r="AZ113" i="8"/>
  <c r="DF113" i="8"/>
  <c r="DI113" i="8"/>
  <c r="DK113" i="8"/>
  <c r="CF106" i="18" a="1"/>
  <c r="CF106" i="18"/>
  <c r="AZ40" i="8"/>
  <c r="BG33" i="18" a="1"/>
  <c r="BG33" i="18"/>
  <c r="BF40" i="8"/>
  <c r="BK33" i="18" a="1"/>
  <c r="BK33" i="18"/>
  <c r="AZ39" i="8"/>
  <c r="FK39" i="8"/>
  <c r="FZ39" i="8"/>
  <c r="BF39" i="8"/>
  <c r="BK32" i="18" a="1"/>
  <c r="BK32" i="18"/>
  <c r="CF32" i="18" a="1"/>
  <c r="CF32" i="18"/>
  <c r="CF91" i="18" a="1"/>
  <c r="CF91" i="18"/>
  <c r="AZ130" i="8"/>
  <c r="DF130" i="8"/>
  <c r="DI130" i="8"/>
  <c r="DK130" i="8"/>
  <c r="CF18" i="18" a="1"/>
  <c r="CF18" i="18"/>
  <c r="AZ68" i="8"/>
  <c r="BG61" i="18" a="1"/>
  <c r="BG61" i="18"/>
  <c r="CF107" i="18" a="1"/>
  <c r="CF107" i="18"/>
  <c r="CF93" i="18" a="1"/>
  <c r="CF93" i="18"/>
  <c r="CF108" i="18" a="1"/>
  <c r="CF108" i="18"/>
  <c r="AZ144" i="8"/>
  <c r="DF144" i="8"/>
  <c r="DI144" i="8"/>
  <c r="DK144" i="8"/>
  <c r="CF138" i="18" a="1"/>
  <c r="CF138" i="18"/>
  <c r="AZ69" i="8"/>
  <c r="DF69" i="8"/>
  <c r="DI69" i="8"/>
  <c r="DK69" i="8"/>
  <c r="CF33" i="18" a="1"/>
  <c r="CF33" i="18"/>
  <c r="CF77" i="18" a="1"/>
  <c r="CF77" i="18"/>
  <c r="CF121" i="18" a="1"/>
  <c r="CF121" i="18"/>
  <c r="CF136" i="17" a="1"/>
  <c r="CF136" i="17"/>
  <c r="AZ55" i="8"/>
  <c r="DF55" i="8"/>
  <c r="DI55" i="8"/>
  <c r="DK55" i="8"/>
  <c r="AZ129" i="8"/>
  <c r="BG122" i="18" a="1"/>
  <c r="BG122" i="18"/>
  <c r="AZ53" i="8"/>
  <c r="BG46" i="18" a="1"/>
  <c r="BG46" i="18"/>
  <c r="AZ85" i="8"/>
  <c r="DF85" i="8"/>
  <c r="DI85" i="8"/>
  <c r="DK85" i="8"/>
  <c r="AZ38" i="8"/>
  <c r="BG31" i="18" a="1"/>
  <c r="BG31" i="18"/>
  <c r="AZ70" i="8"/>
  <c r="BG63" i="18" a="1"/>
  <c r="BG63" i="18"/>
  <c r="AZ99" i="8"/>
  <c r="FK99" i="8"/>
  <c r="FZ99" i="8"/>
  <c r="AZ54" i="8"/>
  <c r="FK54" i="8"/>
  <c r="FZ54" i="8"/>
  <c r="AZ24" i="8"/>
  <c r="DF24" i="8"/>
  <c r="DI24" i="8"/>
  <c r="DK24" i="8"/>
  <c r="AZ83" i="8"/>
  <c r="FK83" i="8"/>
  <c r="FZ83" i="8"/>
  <c r="CF137" i="18" a="1"/>
  <c r="CF137" i="18"/>
  <c r="CF138" i="17" a="1"/>
  <c r="CF138" i="17"/>
  <c r="BK136" i="18" a="1"/>
  <c r="BK136" i="18"/>
  <c r="BK47" i="18" a="1"/>
  <c r="BK47" i="18"/>
  <c r="BK31" i="18" a="1"/>
  <c r="BK31" i="18"/>
  <c r="BK63" i="18" a="1"/>
  <c r="BK63" i="18"/>
  <c r="BK17" i="18" a="1"/>
  <c r="BK17" i="18"/>
  <c r="BK76" i="18" a="1"/>
  <c r="BK76" i="18"/>
  <c r="DF40" i="8"/>
  <c r="DI40" i="8"/>
  <c r="DK40" i="8"/>
  <c r="DF114" i="8"/>
  <c r="DI114" i="8"/>
  <c r="DK114" i="8"/>
  <c r="BK137" i="18" a="1"/>
  <c r="BK137" i="18"/>
  <c r="FK25" i="8"/>
  <c r="FZ25" i="8"/>
  <c r="GF25" i="8"/>
  <c r="FK68" i="8"/>
  <c r="FZ68" i="8"/>
  <c r="DF84" i="8"/>
  <c r="DI84" i="8"/>
  <c r="DK84" i="8"/>
  <c r="BG107" i="18" a="1"/>
  <c r="BG107" i="18"/>
  <c r="FK40" i="8"/>
  <c r="FZ40" i="8"/>
  <c r="DF25" i="8"/>
  <c r="DI25" i="8"/>
  <c r="DK25" i="8"/>
  <c r="FK128" i="8"/>
  <c r="FZ128" i="8"/>
  <c r="BG138" i="18" a="1"/>
  <c r="BG138" i="18"/>
  <c r="DF39" i="8"/>
  <c r="DI39" i="8"/>
  <c r="DK39" i="8"/>
  <c r="FK145" i="8"/>
  <c r="FZ145" i="8"/>
  <c r="BG77" i="18" a="1"/>
  <c r="BG77" i="18"/>
  <c r="DF128" i="8"/>
  <c r="DI128" i="8"/>
  <c r="DK128" i="8"/>
  <c r="BG32" i="18" a="1"/>
  <c r="BG32" i="18"/>
  <c r="BG108" i="18" a="1"/>
  <c r="BG108" i="18"/>
  <c r="DF115" i="8"/>
  <c r="DI115" i="8"/>
  <c r="DK115" i="8"/>
  <c r="BG138" i="17" a="1"/>
  <c r="BG138" i="17"/>
  <c r="BK138" i="17" a="1"/>
  <c r="BK138" i="17"/>
  <c r="BG106" i="18" a="1"/>
  <c r="BG106" i="18"/>
  <c r="FK100" i="8"/>
  <c r="FZ100" i="8"/>
  <c r="DF100" i="8"/>
  <c r="DI100" i="8"/>
  <c r="DK100" i="8"/>
  <c r="DF98" i="8"/>
  <c r="DI98" i="8"/>
  <c r="DK98" i="8"/>
  <c r="FK113" i="8"/>
  <c r="FZ113" i="8"/>
  <c r="FK98" i="8"/>
  <c r="FZ98" i="8"/>
  <c r="BG123" i="18" a="1"/>
  <c r="BG123" i="18"/>
  <c r="DF68" i="8"/>
  <c r="DI68" i="8"/>
  <c r="DK68" i="8"/>
  <c r="FK130" i="8"/>
  <c r="FZ130" i="8"/>
  <c r="BG47" i="18" a="1"/>
  <c r="BG47" i="18"/>
  <c r="FK55" i="8"/>
  <c r="FZ55" i="8"/>
  <c r="BG48" i="18" a="1"/>
  <c r="BG48" i="18"/>
  <c r="FK144" i="8"/>
  <c r="FZ144" i="8"/>
  <c r="BG78" i="18" a="1"/>
  <c r="BG78" i="18"/>
  <c r="BG137" i="17" a="1"/>
  <c r="BG137" i="17"/>
  <c r="BG137" i="18" a="1"/>
  <c r="BG137" i="18"/>
  <c r="DF129" i="8"/>
  <c r="DI129" i="8"/>
  <c r="DK129" i="8"/>
  <c r="FK129" i="8"/>
  <c r="FZ129" i="8"/>
  <c r="DF70" i="8"/>
  <c r="DI70" i="8"/>
  <c r="DK70" i="8"/>
  <c r="FK69" i="8"/>
  <c r="FZ69" i="8"/>
  <c r="BG62" i="18" a="1"/>
  <c r="BG62" i="18"/>
  <c r="FK85" i="8"/>
  <c r="FZ85" i="8"/>
  <c r="CF136" i="18" a="1"/>
  <c r="CF136" i="18"/>
  <c r="AZ143" i="8"/>
  <c r="DF53" i="8"/>
  <c r="DI53" i="8"/>
  <c r="DK53" i="8"/>
  <c r="FK70" i="8"/>
  <c r="FZ70" i="8"/>
  <c r="FK53" i="8"/>
  <c r="FZ53" i="8"/>
  <c r="DF54" i="8"/>
  <c r="DI54" i="8"/>
  <c r="DK54" i="8"/>
  <c r="DF38" i="8"/>
  <c r="DI38" i="8"/>
  <c r="DK38" i="8"/>
  <c r="CF47" i="18" a="1"/>
  <c r="CF47" i="18"/>
  <c r="BG76" i="18" a="1"/>
  <c r="BG76" i="18"/>
  <c r="DF99" i="8"/>
  <c r="DI99" i="8"/>
  <c r="DK99" i="8"/>
  <c r="CF92" i="18" a="1"/>
  <c r="CF92" i="18"/>
  <c r="BG92" i="18" a="1"/>
  <c r="BG92" i="18"/>
  <c r="FK24" i="8"/>
  <c r="FZ24" i="8"/>
  <c r="GF24" i="8"/>
  <c r="FK38" i="8"/>
  <c r="FZ38" i="8"/>
  <c r="CF31" i="18" a="1"/>
  <c r="CF31" i="18"/>
  <c r="CF63" i="18" a="1"/>
  <c r="CF63" i="18"/>
  <c r="BG17" i="18" a="1"/>
  <c r="BG17" i="18"/>
  <c r="CF76" i="18" a="1"/>
  <c r="CF76" i="18"/>
  <c r="DF83" i="8"/>
  <c r="DI83" i="8"/>
  <c r="DK83" i="8"/>
  <c r="CF17" i="18" a="1"/>
  <c r="CF17" i="18"/>
  <c r="FK12" i="8"/>
  <c r="FZ12" i="8"/>
  <c r="BK7" i="18" a="1"/>
  <c r="BK7" i="18"/>
  <c r="CF7" i="18" a="1"/>
  <c r="CF7" i="18"/>
  <c r="BG8" i="18" a="1"/>
  <c r="BG8" i="18"/>
  <c r="FK16" i="8"/>
  <c r="FZ16" i="8"/>
  <c r="BK11" i="18" a="1"/>
  <c r="BK11" i="18"/>
  <c r="CF11" i="18" a="1"/>
  <c r="CF11" i="18"/>
  <c r="BG12" i="18" a="1"/>
  <c r="BG12" i="18"/>
  <c r="FK20" i="8"/>
  <c r="FZ20" i="8"/>
  <c r="BK15" i="18" a="1"/>
  <c r="BK15" i="18"/>
  <c r="FK22" i="8"/>
  <c r="FZ22" i="8"/>
  <c r="CF15" i="18" a="1"/>
  <c r="CF15" i="18"/>
  <c r="BG9" i="18" a="1"/>
  <c r="BG9" i="18"/>
  <c r="BG136" i="17" a="1"/>
  <c r="BG136" i="17"/>
  <c r="FK143" i="8"/>
  <c r="FZ143" i="8"/>
  <c r="BG136" i="18" a="1"/>
  <c r="BG136" i="18"/>
  <c r="DF143" i="8"/>
  <c r="DI143" i="8"/>
  <c r="DK143" i="8"/>
  <c r="BG13" i="18" a="1"/>
  <c r="BG13" i="18"/>
  <c r="BK13" i="18" a="1"/>
  <c r="BK13" i="18"/>
  <c r="CF8" i="18" a="1"/>
  <c r="CF8" i="18"/>
  <c r="CF5" i="18" a="1"/>
  <c r="CF5" i="18"/>
  <c r="BG5" i="18" a="1"/>
  <c r="BG5" i="18"/>
  <c r="CF13" i="18" a="1"/>
  <c r="CF13" i="18"/>
  <c r="BK8" i="18" a="1"/>
  <c r="BK8" i="18"/>
  <c r="DF12" i="8"/>
  <c r="DI12" i="8"/>
  <c r="DK12" i="8"/>
  <c r="DF20" i="8"/>
  <c r="DI20" i="8"/>
  <c r="DK20" i="8"/>
  <c r="BK5" i="18" a="1"/>
  <c r="BK5" i="18"/>
  <c r="CF12" i="18" a="1"/>
  <c r="CF12" i="18"/>
  <c r="DF16" i="8"/>
  <c r="DI16" i="8"/>
  <c r="DK16" i="8"/>
  <c r="BK12" i="18" a="1"/>
  <c r="BK12" i="18"/>
  <c r="BK9" i="18" a="1"/>
  <c r="BK9" i="18"/>
  <c r="DF22" i="8"/>
  <c r="DI22" i="8"/>
  <c r="DK22" i="8"/>
  <c r="BG15" i="18" a="1"/>
  <c r="BG15" i="18"/>
  <c r="DF19" i="8"/>
  <c r="DI19" i="8"/>
  <c r="DK19" i="8"/>
  <c r="FK19" i="8"/>
  <c r="FZ19" i="8"/>
  <c r="DF15" i="8"/>
  <c r="DI15" i="8"/>
  <c r="DK15" i="8"/>
  <c r="FK15" i="8"/>
  <c r="FZ15" i="8"/>
  <c r="FK17" i="8"/>
  <c r="FZ17" i="8"/>
  <c r="DF17" i="8"/>
  <c r="DI17" i="8"/>
  <c r="DK17" i="8"/>
  <c r="BG10" i="18" a="1"/>
  <c r="BG10" i="18"/>
  <c r="DF18" i="8"/>
  <c r="DI18" i="8"/>
  <c r="DK18" i="8"/>
  <c r="FK18" i="8"/>
  <c r="FZ18" i="8"/>
  <c r="BG11" i="18" a="1"/>
  <c r="BG11" i="18"/>
  <c r="CF14" i="18" a="1"/>
  <c r="CF14" i="18"/>
  <c r="BK6" i="18" a="1"/>
  <c r="BK6" i="18"/>
  <c r="DF14" i="8"/>
  <c r="DI14" i="8"/>
  <c r="DK14" i="8"/>
  <c r="BG7" i="18" a="1"/>
  <c r="BG7" i="18"/>
  <c r="FK14" i="8"/>
  <c r="FZ14" i="8"/>
  <c r="CF9" i="18" a="1"/>
  <c r="CF9" i="18"/>
  <c r="CF6" i="18" a="1"/>
  <c r="CF6" i="18"/>
  <c r="BK10" i="18" a="1"/>
  <c r="BK10" i="18"/>
  <c r="DF21" i="8"/>
  <c r="DI21" i="8"/>
  <c r="DK21" i="8"/>
  <c r="BG14" i="18" a="1"/>
  <c r="BG14" i="18"/>
  <c r="FK21" i="8"/>
  <c r="FZ21" i="8"/>
  <c r="BK14" i="18" a="1"/>
  <c r="BK14" i="18"/>
  <c r="FK13" i="8"/>
  <c r="FZ13" i="8"/>
  <c r="DF13" i="8"/>
  <c r="DI13" i="8"/>
  <c r="DK13" i="8"/>
  <c r="BG6" i="18" a="1"/>
  <c r="BG6" i="18"/>
  <c r="CF10" i="18" a="1"/>
  <c r="CF10" i="18"/>
  <c r="AS26" i="8"/>
  <c r="AS27" i="8"/>
  <c r="AS28" i="8"/>
  <c r="AS29" i="8"/>
  <c r="AS30" i="8"/>
  <c r="AS31" i="8"/>
  <c r="AS32" i="8"/>
  <c r="AS33" i="8"/>
  <c r="AS34" i="8"/>
  <c r="AS35" i="8"/>
  <c r="AS36" i="8"/>
  <c r="AS37" i="8"/>
  <c r="AS41" i="8"/>
  <c r="AS42" i="8"/>
  <c r="AS43" i="8"/>
  <c r="AS44" i="8"/>
  <c r="AS45" i="8"/>
  <c r="AS46" i="8"/>
  <c r="AS47" i="8"/>
  <c r="AS48" i="8"/>
  <c r="AS49" i="8"/>
  <c r="AS50" i="8"/>
  <c r="AS51" i="8"/>
  <c r="AS52" i="8"/>
  <c r="AS56" i="8"/>
  <c r="AS57" i="8"/>
  <c r="AS58" i="8"/>
  <c r="AS59" i="8"/>
  <c r="AS60" i="8"/>
  <c r="AS61" i="8"/>
  <c r="AS62" i="8"/>
  <c r="AS63" i="8"/>
  <c r="AS64" i="8"/>
  <c r="AS65" i="8"/>
  <c r="AS66" i="8"/>
  <c r="AS67" i="8"/>
  <c r="AS71" i="8"/>
  <c r="AS72" i="8"/>
  <c r="AS73" i="8"/>
  <c r="AS74" i="8"/>
  <c r="AS75" i="8"/>
  <c r="AS76" i="8"/>
  <c r="AS77" i="8"/>
  <c r="AS78" i="8"/>
  <c r="AS79" i="8"/>
  <c r="AS80" i="8"/>
  <c r="AS81" i="8"/>
  <c r="AS82" i="8"/>
  <c r="AS86" i="8"/>
  <c r="AS87" i="8"/>
  <c r="AS88" i="8"/>
  <c r="AS89" i="8"/>
  <c r="AS90" i="8"/>
  <c r="AS91" i="8"/>
  <c r="AS92" i="8"/>
  <c r="AS93" i="8"/>
  <c r="AS94" i="8"/>
  <c r="AS95" i="8"/>
  <c r="AS96" i="8"/>
  <c r="AS97" i="8"/>
  <c r="AS101" i="8"/>
  <c r="AS102" i="8"/>
  <c r="AS103" i="8"/>
  <c r="AS104" i="8"/>
  <c r="AS105" i="8"/>
  <c r="AS106" i="8"/>
  <c r="AS107" i="8"/>
  <c r="AS108" i="8"/>
  <c r="AS109" i="8"/>
  <c r="AS110" i="8"/>
  <c r="AS111" i="8"/>
  <c r="AS112" i="8"/>
  <c r="AS116" i="8"/>
  <c r="AS117" i="8"/>
  <c r="AS118" i="8"/>
  <c r="AS119" i="8"/>
  <c r="AS120" i="8"/>
  <c r="AS121" i="8"/>
  <c r="AS122" i="8"/>
  <c r="AS123" i="8"/>
  <c r="AS124" i="8"/>
  <c r="AS125" i="8"/>
  <c r="AS126" i="8"/>
  <c r="AS127" i="8"/>
  <c r="AS131" i="8"/>
  <c r="AS132" i="8"/>
  <c r="AS133" i="8"/>
  <c r="AS134" i="8"/>
  <c r="AS135" i="8"/>
  <c r="AS136" i="8"/>
  <c r="AS137" i="8"/>
  <c r="AS138" i="8"/>
  <c r="AS139" i="8"/>
  <c r="AS140" i="8"/>
  <c r="AS141" i="8"/>
  <c r="AS142" i="8"/>
  <c r="EH117" i="8"/>
  <c r="EI117" i="8"/>
  <c r="BF117" i="8"/>
  <c r="BK110" i="18" a="1"/>
  <c r="BK110" i="18"/>
  <c r="EH87" i="8"/>
  <c r="EI87" i="8"/>
  <c r="BF87" i="8"/>
  <c r="BK80" i="18" a="1"/>
  <c r="BK80" i="18"/>
  <c r="EH35" i="8"/>
  <c r="EI35" i="8"/>
  <c r="BF35" i="8"/>
  <c r="BK28" i="18" a="1"/>
  <c r="BK28" i="18"/>
  <c r="EH124" i="8"/>
  <c r="EI124" i="8"/>
  <c r="EH34" i="8"/>
  <c r="EI34" i="8"/>
  <c r="BF34" i="8"/>
  <c r="EH142" i="8"/>
  <c r="EI142" i="8"/>
  <c r="EH104" i="8"/>
  <c r="EI104" i="8"/>
  <c r="EH63" i="8"/>
  <c r="EI63" i="8"/>
  <c r="BF63" i="8"/>
  <c r="BK56" i="18" a="1"/>
  <c r="BK56" i="18"/>
  <c r="EH33" i="8"/>
  <c r="EI33" i="8"/>
  <c r="BF33" i="8"/>
  <c r="EH141" i="8"/>
  <c r="EI141" i="8"/>
  <c r="BF141" i="8"/>
  <c r="EH133" i="8"/>
  <c r="EI133" i="8"/>
  <c r="EH92" i="8"/>
  <c r="EI92" i="8"/>
  <c r="BF92" i="8"/>
  <c r="BK85" i="18" a="1"/>
  <c r="BK85" i="18"/>
  <c r="EH81" i="8"/>
  <c r="EI81" i="8"/>
  <c r="BF81" i="8"/>
  <c r="BK74" i="18" a="1"/>
  <c r="BK74" i="18"/>
  <c r="EH73" i="8"/>
  <c r="EI73" i="8"/>
  <c r="EH62" i="8"/>
  <c r="EI62" i="8"/>
  <c r="BF62" i="8"/>
  <c r="EH51" i="8"/>
  <c r="EI51" i="8"/>
  <c r="BF51" i="8"/>
  <c r="BK44" i="18" a="1"/>
  <c r="BK44" i="18"/>
  <c r="EH125" i="8"/>
  <c r="EI125" i="8"/>
  <c r="BF125" i="8"/>
  <c r="BK118" i="18" a="1"/>
  <c r="BK118" i="18"/>
  <c r="EH57" i="8"/>
  <c r="EI57" i="8"/>
  <c r="EH105" i="8"/>
  <c r="EI105" i="8"/>
  <c r="EH26" i="8"/>
  <c r="EI26" i="8"/>
  <c r="BF26" i="8"/>
  <c r="BK19" i="18" a="1"/>
  <c r="BK19" i="18"/>
  <c r="EH112" i="8"/>
  <c r="EI112" i="8"/>
  <c r="BF112" i="8"/>
  <c r="BK105" i="18" a="1"/>
  <c r="BK105" i="18"/>
  <c r="EH110" i="8"/>
  <c r="EI110" i="8"/>
  <c r="BF110" i="8"/>
  <c r="BK103" i="18" a="1"/>
  <c r="BK103" i="18"/>
  <c r="EH91" i="8"/>
  <c r="EI91" i="8"/>
  <c r="EH80" i="8"/>
  <c r="EI80" i="8"/>
  <c r="BF80" i="8"/>
  <c r="BK73" i="18" a="1"/>
  <c r="BK73" i="18"/>
  <c r="EH72" i="8"/>
  <c r="EI72" i="8"/>
  <c r="BF72" i="8"/>
  <c r="BK65" i="18" a="1"/>
  <c r="BK65" i="18"/>
  <c r="EH61" i="8"/>
  <c r="EI61" i="8"/>
  <c r="BF61" i="8"/>
  <c r="BK54" i="18" a="1"/>
  <c r="BK54" i="18"/>
  <c r="EH50" i="8"/>
  <c r="EI50" i="8"/>
  <c r="BF50" i="8"/>
  <c r="EH42" i="8"/>
  <c r="EI42" i="8"/>
  <c r="EH31" i="8"/>
  <c r="EI31" i="8"/>
  <c r="BF31" i="8"/>
  <c r="BK24" i="18" a="1"/>
  <c r="BK24" i="18"/>
  <c r="EH136" i="8"/>
  <c r="EI136" i="8"/>
  <c r="BF136" i="8"/>
  <c r="EH95" i="8"/>
  <c r="EI95" i="8"/>
  <c r="BF95" i="8"/>
  <c r="BK88" i="18" a="1"/>
  <c r="BK88" i="18"/>
  <c r="EH46" i="8"/>
  <c r="EI46" i="8"/>
  <c r="BF46" i="8"/>
  <c r="BK39" i="18" a="1"/>
  <c r="BK39" i="18"/>
  <c r="EH116" i="8"/>
  <c r="EI116" i="8"/>
  <c r="EH86" i="8"/>
  <c r="EI86" i="8"/>
  <c r="EH45" i="8"/>
  <c r="EI45" i="8"/>
  <c r="BF45" i="8"/>
  <c r="BK38" i="18" a="1"/>
  <c r="BK38" i="18"/>
  <c r="EH93" i="8"/>
  <c r="EI93" i="8"/>
  <c r="BF93" i="8"/>
  <c r="BK86" i="18" a="1"/>
  <c r="BK86" i="18"/>
  <c r="EH52" i="8"/>
  <c r="EI52" i="8"/>
  <c r="EH132" i="8"/>
  <c r="EI132" i="8"/>
  <c r="BF132" i="8"/>
  <c r="EH121" i="8"/>
  <c r="EI121" i="8"/>
  <c r="BF121" i="8"/>
  <c r="BK114" i="18" a="1"/>
  <c r="BK114" i="18"/>
  <c r="EH102" i="8"/>
  <c r="EI102" i="8"/>
  <c r="BF102" i="8"/>
  <c r="EH131" i="8"/>
  <c r="EI131" i="8"/>
  <c r="BF131" i="8"/>
  <c r="BK124" i="18" a="1"/>
  <c r="BK124" i="18"/>
  <c r="EH120" i="8"/>
  <c r="EI120" i="8"/>
  <c r="EH109" i="8"/>
  <c r="EI109" i="8"/>
  <c r="EH101" i="8"/>
  <c r="EI101" i="8"/>
  <c r="EH90" i="8"/>
  <c r="EI90" i="8"/>
  <c r="EH79" i="8"/>
  <c r="EI79" i="8"/>
  <c r="EH71" i="8"/>
  <c r="EI71" i="8"/>
  <c r="BF71" i="8"/>
  <c r="BK64" i="18" a="1"/>
  <c r="BK64" i="18"/>
  <c r="EH60" i="8"/>
  <c r="EI60" i="8"/>
  <c r="BF60" i="8"/>
  <c r="BK53" i="18" a="1"/>
  <c r="BK53" i="18"/>
  <c r="EH49" i="8"/>
  <c r="EI49" i="8"/>
  <c r="BF49" i="8"/>
  <c r="BK42" i="18" a="1"/>
  <c r="BK42" i="18"/>
  <c r="EH41" i="8"/>
  <c r="EI41" i="8"/>
  <c r="BF41" i="8"/>
  <c r="BK34" i="18" a="1"/>
  <c r="BK34" i="18"/>
  <c r="EH30" i="8"/>
  <c r="EI30" i="8"/>
  <c r="BF30" i="8"/>
  <c r="BK23" i="18" a="1"/>
  <c r="BK23" i="18"/>
  <c r="EH76" i="8"/>
  <c r="EI76" i="8"/>
  <c r="BF76" i="8"/>
  <c r="EH135" i="8"/>
  <c r="EI135" i="8"/>
  <c r="EH64" i="8"/>
  <c r="EI64" i="8"/>
  <c r="BF64" i="8"/>
  <c r="BK57" i="18" a="1"/>
  <c r="BK57" i="18"/>
  <c r="EH74" i="8"/>
  <c r="EI74" i="8"/>
  <c r="BF74" i="8"/>
  <c r="BK67" i="18" a="1"/>
  <c r="BK67" i="18"/>
  <c r="EH138" i="8"/>
  <c r="EI138" i="8"/>
  <c r="BF138" i="8"/>
  <c r="EH108" i="8"/>
  <c r="EI108" i="8"/>
  <c r="BF108" i="8"/>
  <c r="BK101" i="18" a="1"/>
  <c r="BK101" i="18"/>
  <c r="EH89" i="8"/>
  <c r="EI89" i="8"/>
  <c r="BF89" i="8"/>
  <c r="EH78" i="8"/>
  <c r="EI78" i="8"/>
  <c r="BF78" i="8"/>
  <c r="BK71" i="18" a="1"/>
  <c r="BK71" i="18"/>
  <c r="EH67" i="8"/>
  <c r="EI67" i="8"/>
  <c r="BF67" i="8"/>
  <c r="BK60" i="18" a="1"/>
  <c r="BK60" i="18"/>
  <c r="EH59" i="8"/>
  <c r="EI59" i="8"/>
  <c r="EH48" i="8"/>
  <c r="EI48" i="8"/>
  <c r="EH37" i="8"/>
  <c r="EI37" i="8"/>
  <c r="EH29" i="8"/>
  <c r="EI29" i="8"/>
  <c r="EH106" i="8"/>
  <c r="EI106" i="8"/>
  <c r="BF106" i="8"/>
  <c r="BK99" i="18" a="1"/>
  <c r="BK99" i="18"/>
  <c r="EH65" i="8"/>
  <c r="EI65" i="8"/>
  <c r="EH27" i="8"/>
  <c r="EI27" i="8"/>
  <c r="BF27" i="8"/>
  <c r="BK20" i="18" a="1"/>
  <c r="BK20" i="18"/>
  <c r="EH94" i="8"/>
  <c r="EI94" i="8"/>
  <c r="EH56" i="8"/>
  <c r="EI56" i="8"/>
  <c r="BF56" i="8"/>
  <c r="BK49" i="18" a="1"/>
  <c r="BK49" i="18"/>
  <c r="EH123" i="8"/>
  <c r="EI123" i="8"/>
  <c r="EH82" i="8"/>
  <c r="EI82" i="8"/>
  <c r="BF82" i="8"/>
  <c r="BK75" i="18" a="1"/>
  <c r="BK75" i="18"/>
  <c r="EH44" i="8"/>
  <c r="EI44" i="8"/>
  <c r="BF44" i="8"/>
  <c r="BK37" i="18" a="1"/>
  <c r="BK37" i="18"/>
  <c r="EH127" i="8"/>
  <c r="EI127" i="8"/>
  <c r="BF127" i="8"/>
  <c r="BK120" i="18" a="1"/>
  <c r="BK120" i="18"/>
  <c r="EH119" i="8"/>
  <c r="EI119" i="8"/>
  <c r="BF119" i="8"/>
  <c r="BK112" i="18" a="1"/>
  <c r="BK112" i="18"/>
  <c r="EH97" i="8"/>
  <c r="EI97" i="8"/>
  <c r="EH126" i="8"/>
  <c r="EI126" i="8"/>
  <c r="EH118" i="8"/>
  <c r="EI118" i="8"/>
  <c r="BF118" i="8"/>
  <c r="BK111" i="18" a="1"/>
  <c r="BK111" i="18"/>
  <c r="EH107" i="8"/>
  <c r="EI107" i="8"/>
  <c r="BF107" i="8"/>
  <c r="BK100" i="18" a="1"/>
  <c r="BK100" i="18"/>
  <c r="EH96" i="8"/>
  <c r="EI96" i="8"/>
  <c r="EH88" i="8"/>
  <c r="EI88" i="8"/>
  <c r="BF88" i="8"/>
  <c r="BK81" i="18" a="1"/>
  <c r="BK81" i="18"/>
  <c r="EH77" i="8"/>
  <c r="EI77" i="8"/>
  <c r="EH66" i="8"/>
  <c r="EI66" i="8"/>
  <c r="EH58" i="8"/>
  <c r="EI58" i="8"/>
  <c r="BF58" i="8"/>
  <c r="BK51" i="18" a="1"/>
  <c r="BK51" i="18"/>
  <c r="EH47" i="8"/>
  <c r="EI47" i="8"/>
  <c r="BF47" i="8"/>
  <c r="BK40" i="18" a="1"/>
  <c r="BK40" i="18"/>
  <c r="EH36" i="8"/>
  <c r="EI36" i="8"/>
  <c r="BF36" i="8"/>
  <c r="BK29" i="18" a="1"/>
  <c r="BK29" i="18"/>
  <c r="EH28" i="8"/>
  <c r="EI28" i="8"/>
  <c r="F4" i="19"/>
  <c r="F23" i="19"/>
  <c r="EH140" i="8"/>
  <c r="EI140" i="8"/>
  <c r="BF140" i="8"/>
  <c r="BK133" i="18" a="1"/>
  <c r="BK133" i="18"/>
  <c r="EH75" i="8"/>
  <c r="EI75" i="8"/>
  <c r="BF75" i="8"/>
  <c r="BK68" i="18" a="1"/>
  <c r="BK68" i="18"/>
  <c r="EH139" i="8"/>
  <c r="EI139" i="8"/>
  <c r="BF139" i="8"/>
  <c r="BK132" i="17" a="1"/>
  <c r="BK132" i="17"/>
  <c r="H4" i="19"/>
  <c r="H23" i="19"/>
  <c r="EH134" i="8"/>
  <c r="EI134" i="8"/>
  <c r="BF134" i="8"/>
  <c r="BK127" i="17" a="1"/>
  <c r="BK127" i="17"/>
  <c r="E4" i="19"/>
  <c r="EH137" i="8"/>
  <c r="EI137" i="8"/>
  <c r="BF137" i="8"/>
  <c r="BK130" i="18" a="1"/>
  <c r="BK130" i="18"/>
  <c r="EH122" i="8"/>
  <c r="EI122" i="8"/>
  <c r="BF122" i="8"/>
  <c r="BK115" i="18" a="1"/>
  <c r="BK115" i="18"/>
  <c r="EH111" i="8"/>
  <c r="EI111" i="8"/>
  <c r="BF111" i="8"/>
  <c r="BK104" i="18" a="1"/>
  <c r="BK104" i="18"/>
  <c r="EH103" i="8"/>
  <c r="EI103" i="8"/>
  <c r="BF103" i="8"/>
  <c r="BK96" i="18" a="1"/>
  <c r="BK96" i="18"/>
  <c r="EH43" i="8"/>
  <c r="EI43" i="8"/>
  <c r="BF43" i="8"/>
  <c r="BK36" i="18" a="1"/>
  <c r="BK36" i="18"/>
  <c r="EH32" i="8"/>
  <c r="EI32" i="8"/>
  <c r="BF32" i="8"/>
  <c r="BK25" i="18" a="1"/>
  <c r="BK25" i="18"/>
  <c r="G4" i="19"/>
  <c r="K5" i="19"/>
  <c r="AZ33" i="8"/>
  <c r="AZ90" i="8"/>
  <c r="FK90" i="8"/>
  <c r="FZ90" i="8"/>
  <c r="BF90" i="8"/>
  <c r="BK83" i="18" a="1"/>
  <c r="BK83" i="18"/>
  <c r="AZ66" i="8"/>
  <c r="FK66" i="8"/>
  <c r="FZ66" i="8"/>
  <c r="BF66" i="8"/>
  <c r="BK59" i="18" a="1"/>
  <c r="BK59" i="18"/>
  <c r="AZ101" i="8"/>
  <c r="FK101" i="8"/>
  <c r="FZ101" i="8"/>
  <c r="BF101" i="8"/>
  <c r="BK94" i="18" a="1"/>
  <c r="BK94" i="18"/>
  <c r="AZ116" i="8"/>
  <c r="DF116" i="8"/>
  <c r="DI116" i="8"/>
  <c r="DK116" i="8"/>
  <c r="BF116" i="8"/>
  <c r="BK109" i="18" a="1"/>
  <c r="BK109" i="18"/>
  <c r="AZ124" i="8"/>
  <c r="FK124" i="8"/>
  <c r="FZ124" i="8"/>
  <c r="BF124" i="8"/>
  <c r="BK117" i="18" a="1"/>
  <c r="BK117" i="18"/>
  <c r="AZ77" i="8"/>
  <c r="DF77" i="8"/>
  <c r="DI77" i="8"/>
  <c r="DK77" i="8"/>
  <c r="BF77" i="8"/>
  <c r="BK70" i="18" a="1"/>
  <c r="BK70" i="18"/>
  <c r="AZ65" i="8"/>
  <c r="FK65" i="8"/>
  <c r="FZ65" i="8"/>
  <c r="BF65" i="8"/>
  <c r="BK58" i="18" a="1"/>
  <c r="BK58" i="18"/>
  <c r="AZ28" i="8"/>
  <c r="FK28" i="8"/>
  <c r="FZ28" i="8"/>
  <c r="BF28" i="8"/>
  <c r="BK21" i="18" a="1"/>
  <c r="BK21" i="18"/>
  <c r="AZ135" i="8"/>
  <c r="BG128" i="18" a="1"/>
  <c r="BG128" i="18"/>
  <c r="BF135" i="8"/>
  <c r="BK128" i="17" a="1"/>
  <c r="BK128" i="17"/>
  <c r="AZ109" i="8"/>
  <c r="BG102" i="18" a="1"/>
  <c r="BG102" i="18"/>
  <c r="BF109" i="8"/>
  <c r="BK102" i="18" a="1"/>
  <c r="BK102" i="18"/>
  <c r="AZ52" i="8"/>
  <c r="DF52" i="8"/>
  <c r="DI52" i="8"/>
  <c r="DK52" i="8"/>
  <c r="BF52" i="8"/>
  <c r="BK45" i="18" a="1"/>
  <c r="BK45" i="18"/>
  <c r="AZ86" i="8"/>
  <c r="BG79" i="18" a="1"/>
  <c r="BG79" i="18"/>
  <c r="BF86" i="8"/>
  <c r="BK79" i="18" a="1"/>
  <c r="BK79" i="18"/>
  <c r="AZ97" i="8"/>
  <c r="FK97" i="8"/>
  <c r="FZ97" i="8"/>
  <c r="BF97" i="8"/>
  <c r="BK90" i="18" a="1"/>
  <c r="BK90" i="18"/>
  <c r="AZ29" i="8"/>
  <c r="DF29" i="8"/>
  <c r="DI29" i="8"/>
  <c r="DK29" i="8"/>
  <c r="BF29" i="8"/>
  <c r="BK22" i="18" a="1"/>
  <c r="BK22" i="18"/>
  <c r="AZ73" i="8"/>
  <c r="DF73" i="8"/>
  <c r="DI73" i="8"/>
  <c r="DK73" i="8"/>
  <c r="BF73" i="8"/>
  <c r="BK66" i="18" a="1"/>
  <c r="BK66" i="18"/>
  <c r="BK132" i="18" a="1"/>
  <c r="BK132" i="18"/>
  <c r="AZ123" i="8"/>
  <c r="DF123" i="8"/>
  <c r="DI123" i="8"/>
  <c r="DK123" i="8"/>
  <c r="BF123" i="8"/>
  <c r="BK116" i="18" a="1"/>
  <c r="BK116" i="18"/>
  <c r="AZ37" i="8"/>
  <c r="DF37" i="8"/>
  <c r="DI37" i="8"/>
  <c r="DK37" i="8"/>
  <c r="BF37" i="8"/>
  <c r="BK30" i="18" a="1"/>
  <c r="BK30" i="18"/>
  <c r="AZ120" i="8"/>
  <c r="DF120" i="8"/>
  <c r="DI120" i="8"/>
  <c r="DK120" i="8"/>
  <c r="BF120" i="8"/>
  <c r="BK113" i="18" a="1"/>
  <c r="BK113" i="18"/>
  <c r="AZ105" i="8"/>
  <c r="FK105" i="8"/>
  <c r="FZ105" i="8"/>
  <c r="BF105" i="8"/>
  <c r="BK98" i="18" a="1"/>
  <c r="BK98" i="18"/>
  <c r="AZ133" i="8"/>
  <c r="DF133" i="8"/>
  <c r="DI133" i="8"/>
  <c r="DK133" i="8"/>
  <c r="BF133" i="8"/>
  <c r="BK126" i="18" a="1"/>
  <c r="BK126" i="18"/>
  <c r="AZ104" i="8"/>
  <c r="DF104" i="8"/>
  <c r="DI104" i="8"/>
  <c r="DK104" i="8"/>
  <c r="BF104" i="8"/>
  <c r="BK97" i="18" a="1"/>
  <c r="BK97" i="18"/>
  <c r="AZ42" i="8"/>
  <c r="DF42" i="8"/>
  <c r="DI42" i="8"/>
  <c r="DK42" i="8"/>
  <c r="BF42" i="8"/>
  <c r="BK35" i="18" a="1"/>
  <c r="BK35" i="18"/>
  <c r="AZ34" i="8"/>
  <c r="DF34" i="8"/>
  <c r="DI34" i="8"/>
  <c r="DK34" i="8"/>
  <c r="AZ126" i="8"/>
  <c r="BG119" i="18" a="1"/>
  <c r="BG119" i="18"/>
  <c r="BF126" i="8"/>
  <c r="BK119" i="18" a="1"/>
  <c r="BK119" i="18"/>
  <c r="AZ96" i="8"/>
  <c r="BG89" i="18" a="1"/>
  <c r="BG89" i="18"/>
  <c r="BF96" i="8"/>
  <c r="BK89" i="18" a="1"/>
  <c r="BK89" i="18"/>
  <c r="AZ48" i="8"/>
  <c r="DF48" i="8"/>
  <c r="DI48" i="8"/>
  <c r="DK48" i="8"/>
  <c r="BF48" i="8"/>
  <c r="BK41" i="18" a="1"/>
  <c r="BK41" i="18"/>
  <c r="AZ94" i="8"/>
  <c r="DF94" i="8"/>
  <c r="DI94" i="8"/>
  <c r="DK94" i="8"/>
  <c r="BF94" i="8"/>
  <c r="BK87" i="18" a="1"/>
  <c r="BK87" i="18"/>
  <c r="AZ59" i="8"/>
  <c r="BG52" i="18" a="1"/>
  <c r="BG52" i="18"/>
  <c r="BF59" i="8"/>
  <c r="BK52" i="18" a="1"/>
  <c r="BK52" i="18"/>
  <c r="AZ79" i="8"/>
  <c r="DF79" i="8"/>
  <c r="DI79" i="8"/>
  <c r="DK79" i="8"/>
  <c r="BF79" i="8"/>
  <c r="BK72" i="18" a="1"/>
  <c r="BK72" i="18"/>
  <c r="AZ91" i="8"/>
  <c r="FK91" i="8"/>
  <c r="FZ91" i="8"/>
  <c r="BF91" i="8"/>
  <c r="BK84" i="18" a="1"/>
  <c r="BK84" i="18"/>
  <c r="AZ57" i="8"/>
  <c r="DF57" i="8"/>
  <c r="DI57" i="8"/>
  <c r="DK57" i="8"/>
  <c r="BF57" i="8"/>
  <c r="BK50" i="18" a="1"/>
  <c r="BK50" i="18"/>
  <c r="BF142" i="8"/>
  <c r="BK135" i="18" a="1"/>
  <c r="BK135" i="18"/>
  <c r="G23" i="19"/>
  <c r="E29" i="19"/>
  <c r="E30" i="19"/>
  <c r="E23" i="19"/>
  <c r="CF89" i="18" a="1"/>
  <c r="CF89" i="18"/>
  <c r="CF21" i="18" a="1"/>
  <c r="CF21" i="18"/>
  <c r="CF35" i="18" a="1"/>
  <c r="CF35" i="18"/>
  <c r="AZ95" i="8"/>
  <c r="CF53" i="18" a="1"/>
  <c r="CF53" i="18"/>
  <c r="AZ122" i="8"/>
  <c r="CF57" i="18" a="1"/>
  <c r="CF57" i="18"/>
  <c r="CF19" i="18" a="1"/>
  <c r="CF19" i="18"/>
  <c r="CF60" i="18" a="1"/>
  <c r="CF60" i="18"/>
  <c r="AZ136" i="8"/>
  <c r="CF20" i="18" a="1"/>
  <c r="CF20" i="18"/>
  <c r="AZ111" i="8"/>
  <c r="CF38" i="18" a="1"/>
  <c r="CF38" i="18"/>
  <c r="AZ31" i="8"/>
  <c r="AZ46" i="8"/>
  <c r="AZ134" i="8"/>
  <c r="CF56" i="18" a="1"/>
  <c r="CF56" i="18"/>
  <c r="AZ110" i="8"/>
  <c r="CF133" i="18" a="1"/>
  <c r="CF133" i="18"/>
  <c r="AZ106" i="8"/>
  <c r="AZ82" i="8"/>
  <c r="AZ107" i="8"/>
  <c r="CF124" i="17" a="1"/>
  <c r="CF124" i="17"/>
  <c r="AZ72" i="8"/>
  <c r="CF25" i="18" a="1"/>
  <c r="CF25" i="18"/>
  <c r="AZ47" i="8"/>
  <c r="AZ35" i="8"/>
  <c r="AZ142" i="8"/>
  <c r="BG135" i="18" a="1"/>
  <c r="BG135" i="18"/>
  <c r="CF125" i="17" a="1"/>
  <c r="CF125" i="17"/>
  <c r="AZ141" i="8"/>
  <c r="CF37" i="18" a="1"/>
  <c r="CF37" i="18"/>
  <c r="AZ50" i="8"/>
  <c r="CF23" i="18" a="1"/>
  <c r="CF23" i="18"/>
  <c r="AZ75" i="8"/>
  <c r="AZ89" i="8"/>
  <c r="AZ76" i="8"/>
  <c r="FK76" i="8"/>
  <c r="FZ76" i="8"/>
  <c r="CF67" i="18" a="1"/>
  <c r="CF67" i="18"/>
  <c r="CF114" i="18" a="1"/>
  <c r="CF114" i="18"/>
  <c r="CF132" i="17" a="1"/>
  <c r="CF132" i="17"/>
  <c r="AZ71" i="8"/>
  <c r="CF130" i="17" a="1"/>
  <c r="CF130" i="17"/>
  <c r="CF116" i="18" a="1"/>
  <c r="CF116" i="18"/>
  <c r="BK130" i="17" a="1"/>
  <c r="BK130" i="17"/>
  <c r="CF119" i="18" a="1"/>
  <c r="CF119" i="18"/>
  <c r="BK133" i="17" a="1"/>
  <c r="BK133" i="17"/>
  <c r="CF88" i="18" a="1"/>
  <c r="CF88" i="18"/>
  <c r="CF27" i="18" a="1"/>
  <c r="CF27" i="18"/>
  <c r="BK127" i="18" a="1"/>
  <c r="BK127" i="18"/>
  <c r="BK124" i="17" a="1"/>
  <c r="BK124" i="17"/>
  <c r="CF65" i="18" a="1"/>
  <c r="CF65" i="18"/>
  <c r="CF97" i="18" a="1"/>
  <c r="CF97" i="18"/>
  <c r="CF50" i="18" a="1"/>
  <c r="CF50" i="18"/>
  <c r="AZ92" i="8"/>
  <c r="AZ93" i="8"/>
  <c r="FK93" i="8"/>
  <c r="FZ93" i="8"/>
  <c r="AZ61" i="8"/>
  <c r="AZ51" i="8"/>
  <c r="BG44" i="18" a="1"/>
  <c r="BG44" i="18"/>
  <c r="AZ62" i="8"/>
  <c r="DF62" i="8"/>
  <c r="DI62" i="8"/>
  <c r="DK62" i="8"/>
  <c r="AZ119" i="8"/>
  <c r="FK119" i="8"/>
  <c r="FZ119" i="8"/>
  <c r="AZ88" i="8"/>
  <c r="AZ102" i="8"/>
  <c r="DF102" i="8"/>
  <c r="DI102" i="8"/>
  <c r="DK102" i="8"/>
  <c r="AZ117" i="8"/>
  <c r="AZ80" i="8"/>
  <c r="DF80" i="8"/>
  <c r="DI80" i="8"/>
  <c r="DK80" i="8"/>
  <c r="AZ108" i="8"/>
  <c r="DF108" i="8"/>
  <c r="DI108" i="8"/>
  <c r="DK108" i="8"/>
  <c r="AZ49" i="8"/>
  <c r="AZ87" i="8"/>
  <c r="FK87" i="8"/>
  <c r="FZ87" i="8"/>
  <c r="AZ118" i="8"/>
  <c r="AZ36" i="8"/>
  <c r="DF36" i="8"/>
  <c r="DI36" i="8"/>
  <c r="DK36" i="8"/>
  <c r="AZ43" i="8"/>
  <c r="DF43" i="8"/>
  <c r="DI43" i="8"/>
  <c r="DK43" i="8"/>
  <c r="AZ41" i="8"/>
  <c r="BG34" i="18" a="1"/>
  <c r="BG34" i="18"/>
  <c r="AZ58" i="8"/>
  <c r="AZ127" i="8"/>
  <c r="AZ56" i="8"/>
  <c r="BG49" i="18" a="1"/>
  <c r="BG49" i="18"/>
  <c r="AZ138" i="8"/>
  <c r="AZ81" i="8"/>
  <c r="DF81" i="8"/>
  <c r="DI81" i="8"/>
  <c r="DK81" i="8"/>
  <c r="AZ103" i="8"/>
  <c r="FK103" i="8"/>
  <c r="FZ103" i="8"/>
  <c r="AZ125" i="8"/>
  <c r="BG118" i="18" a="1"/>
  <c r="BG118" i="18"/>
  <c r="AZ112" i="8"/>
  <c r="AZ78" i="8"/>
  <c r="CF127" i="18" a="1"/>
  <c r="CF127" i="18"/>
  <c r="CF127" i="17" a="1"/>
  <c r="CF127" i="17"/>
  <c r="CF135" i="17" a="1"/>
  <c r="CF135" i="17"/>
  <c r="CF135" i="18" a="1"/>
  <c r="CF135" i="18"/>
  <c r="BK125" i="18" a="1"/>
  <c r="BK125" i="18"/>
  <c r="BK125" i="17" a="1"/>
  <c r="BK125" i="17"/>
  <c r="BK129" i="17" a="1"/>
  <c r="BK129" i="17"/>
  <c r="BK129" i="18" a="1"/>
  <c r="BK129" i="18"/>
  <c r="BK131" i="17" a="1"/>
  <c r="BK131" i="17"/>
  <c r="BK131" i="18" a="1"/>
  <c r="BK131" i="18"/>
  <c r="CF83" i="18" a="1"/>
  <c r="CF83" i="18"/>
  <c r="CF84" i="18" a="1"/>
  <c r="CF84" i="18"/>
  <c r="BK69" i="18" a="1"/>
  <c r="BK69" i="18"/>
  <c r="BK43" i="18" a="1"/>
  <c r="BK43" i="18"/>
  <c r="BK26" i="18" a="1"/>
  <c r="BK26" i="18"/>
  <c r="CF52" i="18" a="1"/>
  <c r="CF52" i="18"/>
  <c r="CF126" i="17" a="1"/>
  <c r="CF126" i="17"/>
  <c r="CF126" i="18" a="1"/>
  <c r="CF126" i="18"/>
  <c r="CF98" i="18" a="1"/>
  <c r="CF98" i="18"/>
  <c r="BK27" i="18" a="1"/>
  <c r="BK27" i="18"/>
  <c r="BK82" i="18" a="1"/>
  <c r="BK82" i="18"/>
  <c r="CF94" i="18" a="1"/>
  <c r="CF94" i="18"/>
  <c r="FK79" i="8"/>
  <c r="FZ79" i="8"/>
  <c r="BK134" i="18" a="1"/>
  <c r="BK134" i="18"/>
  <c r="BK134" i="17" a="1"/>
  <c r="BK134" i="17"/>
  <c r="CF59" i="18" a="1"/>
  <c r="CF59" i="18"/>
  <c r="CF124" i="18" a="1"/>
  <c r="CF124" i="18"/>
  <c r="CF22" i="18" a="1"/>
  <c r="CF22" i="18"/>
  <c r="BK55" i="18" a="1"/>
  <c r="BK55" i="18"/>
  <c r="DF33" i="8"/>
  <c r="DI33" i="8"/>
  <c r="DK33" i="8"/>
  <c r="BG26" i="18" a="1"/>
  <c r="BG26" i="18"/>
  <c r="FK33" i="8"/>
  <c r="FZ33" i="8"/>
  <c r="CF90" i="18" a="1"/>
  <c r="CF90" i="18"/>
  <c r="CF104" i="18" a="1"/>
  <c r="CF104" i="18"/>
  <c r="CF79" i="18" a="1"/>
  <c r="CF79" i="18"/>
  <c r="CF72" i="18" a="1"/>
  <c r="CF72" i="18"/>
  <c r="CF113" i="18" a="1"/>
  <c r="CF113" i="18"/>
  <c r="DF90" i="8"/>
  <c r="DI90" i="8"/>
  <c r="DK90" i="8"/>
  <c r="CF41" i="18" a="1"/>
  <c r="CF41" i="18"/>
  <c r="CF43" i="18" a="1"/>
  <c r="CF43" i="18"/>
  <c r="CF64" i="18" a="1"/>
  <c r="CF64" i="18"/>
  <c r="CF45" i="18" a="1"/>
  <c r="CF45" i="18"/>
  <c r="DF97" i="8"/>
  <c r="DI97" i="8"/>
  <c r="DK97" i="8"/>
  <c r="CF128" i="18" a="1"/>
  <c r="CF128" i="18"/>
  <c r="CF128" i="17" a="1"/>
  <c r="CF128" i="17"/>
  <c r="CF70" i="18" a="1"/>
  <c r="CF70" i="18"/>
  <c r="CF117" i="18" a="1"/>
  <c r="CF117" i="18"/>
  <c r="CF69" i="18" a="1"/>
  <c r="CF69" i="18"/>
  <c r="CF102" i="18" a="1"/>
  <c r="CF102" i="18"/>
  <c r="CF58" i="18" a="1"/>
  <c r="CF58" i="18"/>
  <c r="CF109" i="18" a="1"/>
  <c r="CF109" i="18"/>
  <c r="CF30" i="18" a="1"/>
  <c r="CF30" i="18"/>
  <c r="CF26" i="18" a="1"/>
  <c r="CF26" i="18"/>
  <c r="BG128" i="17" a="1"/>
  <c r="BG128" i="17"/>
  <c r="BK95" i="18" a="1"/>
  <c r="BK95" i="18"/>
  <c r="CF87" i="18" a="1"/>
  <c r="CF87" i="18"/>
  <c r="CF66" i="18" a="1"/>
  <c r="CF66" i="18"/>
  <c r="DF124" i="8"/>
  <c r="DI124" i="8"/>
  <c r="DK124" i="8"/>
  <c r="BG22" i="18" a="1"/>
  <c r="BG22" i="18"/>
  <c r="BG117" i="18" a="1"/>
  <c r="BG117" i="18"/>
  <c r="FK135" i="8"/>
  <c r="FZ135" i="8"/>
  <c r="BG83" i="18" a="1"/>
  <c r="BG83" i="18"/>
  <c r="DF96" i="8"/>
  <c r="DI96" i="8"/>
  <c r="DK96" i="8"/>
  <c r="DF135" i="8"/>
  <c r="DI135" i="8"/>
  <c r="DK135" i="8"/>
  <c r="BG90" i="18" a="1"/>
  <c r="BG90" i="18"/>
  <c r="BG72" i="18" a="1"/>
  <c r="BG72" i="18"/>
  <c r="FK96" i="8"/>
  <c r="FZ96" i="8"/>
  <c r="BK128" i="18" a="1"/>
  <c r="BK128" i="18"/>
  <c r="N69" i="18"/>
  <c r="FK37" i="8"/>
  <c r="FZ37" i="8"/>
  <c r="BG97" i="18" a="1"/>
  <c r="BG97" i="18"/>
  <c r="FK29" i="8"/>
  <c r="FZ29" i="8"/>
  <c r="BG41" i="18" a="1"/>
  <c r="BG41" i="18"/>
  <c r="BG70" i="18" a="1"/>
  <c r="BG70" i="18"/>
  <c r="FK52" i="8"/>
  <c r="FZ52" i="8"/>
  <c r="FK77" i="8"/>
  <c r="FZ77" i="8"/>
  <c r="FK109" i="8"/>
  <c r="FZ109" i="8"/>
  <c r="BK126" i="17" a="1"/>
  <c r="BK126" i="17"/>
  <c r="FK48" i="8"/>
  <c r="FZ48" i="8"/>
  <c r="DF91" i="8"/>
  <c r="DI91" i="8"/>
  <c r="DK91" i="8"/>
  <c r="DF66" i="8"/>
  <c r="DI66" i="8"/>
  <c r="DK66" i="8"/>
  <c r="DF109" i="8"/>
  <c r="DI109" i="8"/>
  <c r="DK109" i="8"/>
  <c r="BG35" i="18" a="1"/>
  <c r="BG35" i="18"/>
  <c r="BG59" i="18" a="1"/>
  <c r="BG59" i="18"/>
  <c r="BG84" i="18" a="1"/>
  <c r="BG84" i="18"/>
  <c r="BG30" i="18" a="1"/>
  <c r="BG30" i="18"/>
  <c r="FK104" i="8"/>
  <c r="FZ104" i="8"/>
  <c r="FK120" i="8"/>
  <c r="FZ120" i="8"/>
  <c r="BG45" i="18" a="1"/>
  <c r="BG45" i="18"/>
  <c r="FK34" i="8"/>
  <c r="FZ34" i="8"/>
  <c r="FK42" i="8"/>
  <c r="FZ42" i="8"/>
  <c r="BG98" i="18" a="1"/>
  <c r="BG98" i="18"/>
  <c r="BG113" i="18" a="1"/>
  <c r="BG113" i="18"/>
  <c r="BG58" i="18" a="1"/>
  <c r="BG58" i="18"/>
  <c r="FK57" i="8"/>
  <c r="FZ57" i="8"/>
  <c r="FK94" i="8"/>
  <c r="FZ94" i="8"/>
  <c r="DF65" i="8"/>
  <c r="DI65" i="8"/>
  <c r="DK65" i="8"/>
  <c r="BG66" i="18" a="1"/>
  <c r="BG66" i="18"/>
  <c r="BG50" i="18" a="1"/>
  <c r="BG50" i="18"/>
  <c r="FK73" i="8"/>
  <c r="FZ73" i="8"/>
  <c r="DF101" i="8"/>
  <c r="DI101" i="8"/>
  <c r="DK101" i="8"/>
  <c r="BG87" i="18" a="1"/>
  <c r="BG87" i="18"/>
  <c r="BG94" i="18" a="1"/>
  <c r="BG94" i="18"/>
  <c r="DF105" i="8"/>
  <c r="DI105" i="8"/>
  <c r="DK105" i="8"/>
  <c r="BG27" i="18" a="1"/>
  <c r="BG27" i="18"/>
  <c r="DF59" i="8"/>
  <c r="DI59" i="8"/>
  <c r="DK59" i="8"/>
  <c r="DF126" i="8"/>
  <c r="DI126" i="8"/>
  <c r="DK126" i="8"/>
  <c r="FK123" i="8"/>
  <c r="FZ123" i="8"/>
  <c r="FK59" i="8"/>
  <c r="FZ59" i="8"/>
  <c r="DF86" i="8"/>
  <c r="DI86" i="8"/>
  <c r="DK86" i="8"/>
  <c r="FK126" i="8"/>
  <c r="FZ126" i="8"/>
  <c r="DF28" i="8"/>
  <c r="DI28" i="8"/>
  <c r="DK28" i="8"/>
  <c r="BG21" i="18" a="1"/>
  <c r="BG21" i="18"/>
  <c r="FK116" i="8"/>
  <c r="FZ116" i="8"/>
  <c r="FK86" i="8"/>
  <c r="FZ86" i="8"/>
  <c r="BG109" i="18" a="1"/>
  <c r="BG109" i="18"/>
  <c r="BK135" i="17" a="1"/>
  <c r="BK135" i="17"/>
  <c r="BG126" i="17" a="1"/>
  <c r="BG126" i="17"/>
  <c r="BG101" i="18" a="1"/>
  <c r="BG101" i="18"/>
  <c r="BG126" i="18" a="1"/>
  <c r="BG126" i="18"/>
  <c r="FK133" i="8"/>
  <c r="FZ133" i="8"/>
  <c r="BG116" i="18" a="1"/>
  <c r="BG116" i="18"/>
  <c r="FK102" i="8"/>
  <c r="FZ102" i="8"/>
  <c r="CF134" i="18" a="1"/>
  <c r="CF134" i="18"/>
  <c r="CF129" i="17" a="1"/>
  <c r="CF129" i="17"/>
  <c r="CF68" i="18" a="1"/>
  <c r="CF68" i="18"/>
  <c r="CF134" i="17" a="1"/>
  <c r="CF134" i="17"/>
  <c r="CF129" i="18" a="1"/>
  <c r="CF129" i="18"/>
  <c r="CF103" i="18" a="1"/>
  <c r="CF103" i="18"/>
  <c r="CF24" i="18" a="1"/>
  <c r="CF24" i="18"/>
  <c r="BG64" i="18" a="1"/>
  <c r="BG64" i="18"/>
  <c r="DF71" i="8"/>
  <c r="DI71" i="8"/>
  <c r="DK71" i="8"/>
  <c r="FK71" i="8"/>
  <c r="FZ71" i="8"/>
  <c r="FK43" i="8"/>
  <c r="FZ43" i="8"/>
  <c r="CF133" i="17" a="1"/>
  <c r="CF133" i="17"/>
  <c r="DF75" i="8"/>
  <c r="DI75" i="8"/>
  <c r="DK75" i="8"/>
  <c r="FK75" i="8"/>
  <c r="FZ75" i="8"/>
  <c r="BG68" i="18" a="1"/>
  <c r="BG68" i="18"/>
  <c r="DF72" i="8"/>
  <c r="DI72" i="8"/>
  <c r="DK72" i="8"/>
  <c r="BG65" i="18" a="1"/>
  <c r="BG65" i="18"/>
  <c r="FK106" i="8"/>
  <c r="FZ106" i="8"/>
  <c r="DF106" i="8"/>
  <c r="DI106" i="8"/>
  <c r="DK106" i="8"/>
  <c r="BG88" i="18" a="1"/>
  <c r="BG88" i="18"/>
  <c r="FK95" i="8"/>
  <c r="FZ95" i="8"/>
  <c r="DF95" i="8"/>
  <c r="DI95" i="8"/>
  <c r="DK95" i="8"/>
  <c r="BG40" i="18" a="1"/>
  <c r="BG40" i="18"/>
  <c r="DF47" i="8"/>
  <c r="DI47" i="8"/>
  <c r="DK47" i="8"/>
  <c r="FK47" i="8"/>
  <c r="FZ47" i="8"/>
  <c r="BG43" i="18" a="1"/>
  <c r="BG43" i="18"/>
  <c r="DF50" i="8"/>
  <c r="DI50" i="8"/>
  <c r="DK50" i="8"/>
  <c r="FK50" i="8"/>
  <c r="FZ50" i="8"/>
  <c r="FK72" i="8"/>
  <c r="FZ72" i="8"/>
  <c r="CF40" i="18" a="1"/>
  <c r="CF40" i="18"/>
  <c r="CF99" i="18" a="1"/>
  <c r="CF99" i="18"/>
  <c r="CF115" i="18" a="1"/>
  <c r="CF115" i="18"/>
  <c r="AZ26" i="8"/>
  <c r="BG115" i="18" a="1"/>
  <c r="BG115" i="18"/>
  <c r="FK122" i="8"/>
  <c r="FZ122" i="8"/>
  <c r="DF122" i="8"/>
  <c r="DI122" i="8"/>
  <c r="DK122" i="8"/>
  <c r="DF141" i="8"/>
  <c r="DI141" i="8"/>
  <c r="DK141" i="8"/>
  <c r="FK141" i="8"/>
  <c r="FZ141" i="8"/>
  <c r="BG134" i="17" a="1"/>
  <c r="BG134" i="17"/>
  <c r="BG134" i="18" a="1"/>
  <c r="BG134" i="18"/>
  <c r="BG103" i="18" a="1"/>
  <c r="BG103" i="18"/>
  <c r="DF110" i="8"/>
  <c r="DI110" i="8"/>
  <c r="DK110" i="8"/>
  <c r="FK110" i="8"/>
  <c r="FZ110" i="8"/>
  <c r="FK107" i="8"/>
  <c r="FZ107" i="8"/>
  <c r="BG100" i="18" a="1"/>
  <c r="BG100" i="18"/>
  <c r="DF107" i="8"/>
  <c r="DI107" i="8"/>
  <c r="DK107" i="8"/>
  <c r="BG99" i="18" a="1"/>
  <c r="BG99" i="18"/>
  <c r="BG55" i="18" a="1"/>
  <c r="BG55" i="18"/>
  <c r="DF76" i="8"/>
  <c r="DI76" i="8"/>
  <c r="DK76" i="8"/>
  <c r="CF100" i="18" a="1"/>
  <c r="CF100" i="18"/>
  <c r="BG69" i="18" a="1"/>
  <c r="BG69" i="18"/>
  <c r="AZ121" i="8"/>
  <c r="FK121" i="8"/>
  <c r="FZ121" i="8"/>
  <c r="FK142" i="8"/>
  <c r="FZ142" i="8"/>
  <c r="BG135" i="17" a="1"/>
  <c r="BG135" i="17"/>
  <c r="DF142" i="8"/>
  <c r="DI142" i="8"/>
  <c r="DK142" i="8"/>
  <c r="BG82" i="18" a="1"/>
  <c r="BG82" i="18"/>
  <c r="FK89" i="8"/>
  <c r="FZ89" i="8"/>
  <c r="DF89" i="8"/>
  <c r="DI89" i="8"/>
  <c r="DK89" i="8"/>
  <c r="DF35" i="8"/>
  <c r="DI35" i="8"/>
  <c r="DK35" i="8"/>
  <c r="BG28" i="18" a="1"/>
  <c r="BG28" i="18"/>
  <c r="FK35" i="8"/>
  <c r="FZ35" i="8"/>
  <c r="DF134" i="8"/>
  <c r="DI134" i="8"/>
  <c r="DK134" i="8"/>
  <c r="FK134" i="8"/>
  <c r="FZ134" i="8"/>
  <c r="BG127" i="18" a="1"/>
  <c r="BG127" i="18"/>
  <c r="BG127" i="17" a="1"/>
  <c r="BG127" i="17"/>
  <c r="DF111" i="8"/>
  <c r="DI111" i="8"/>
  <c r="DK111" i="8"/>
  <c r="BG104" i="18" a="1"/>
  <c r="BG104" i="18"/>
  <c r="FK111" i="8"/>
  <c r="FZ111" i="8"/>
  <c r="DF82" i="8"/>
  <c r="DI82" i="8"/>
  <c r="DK82" i="8"/>
  <c r="BG75" i="18" a="1"/>
  <c r="BG75" i="18"/>
  <c r="FK82" i="8"/>
  <c r="FZ82" i="8"/>
  <c r="BG39" i="18" a="1"/>
  <c r="BG39" i="18"/>
  <c r="FK46" i="8"/>
  <c r="FZ46" i="8"/>
  <c r="DF46" i="8"/>
  <c r="DI46" i="8"/>
  <c r="DK46" i="8"/>
  <c r="BG24" i="18" a="1"/>
  <c r="BG24" i="18"/>
  <c r="DF31" i="8"/>
  <c r="DI31" i="8"/>
  <c r="DK31" i="8"/>
  <c r="FK31" i="8"/>
  <c r="FZ31" i="8"/>
  <c r="BG129" i="18" a="1"/>
  <c r="BG129" i="18"/>
  <c r="DF136" i="8"/>
  <c r="DI136" i="8"/>
  <c r="DK136" i="8"/>
  <c r="FK136" i="8"/>
  <c r="FZ136" i="8"/>
  <c r="BG129" i="17" a="1"/>
  <c r="BG129" i="17"/>
  <c r="CF82" i="18" a="1"/>
  <c r="CF82" i="18"/>
  <c r="CF125" i="18" a="1"/>
  <c r="CF125" i="18"/>
  <c r="CF75" i="18" a="1"/>
  <c r="CF75" i="18"/>
  <c r="CF28" i="18" a="1"/>
  <c r="CF28" i="18"/>
  <c r="CF39" i="18" a="1"/>
  <c r="CF39" i="18"/>
  <c r="AZ137" i="8"/>
  <c r="AZ139" i="8"/>
  <c r="AZ74" i="8"/>
  <c r="AZ30" i="8"/>
  <c r="AZ44" i="8"/>
  <c r="AZ132" i="8"/>
  <c r="AZ32" i="8"/>
  <c r="AZ131" i="8"/>
  <c r="AZ140" i="8"/>
  <c r="AZ63" i="8"/>
  <c r="AZ45" i="8"/>
  <c r="AZ27" i="8"/>
  <c r="AZ67" i="8"/>
  <c r="AZ64" i="8"/>
  <c r="AZ60" i="8"/>
  <c r="CF130" i="18" a="1"/>
  <c r="CF130" i="18"/>
  <c r="CF132" i="18" a="1"/>
  <c r="CF132" i="18"/>
  <c r="FK36" i="8"/>
  <c r="FZ36" i="8"/>
  <c r="FK108" i="8"/>
  <c r="FZ108" i="8"/>
  <c r="DF87" i="8"/>
  <c r="DI87" i="8"/>
  <c r="DK87" i="8"/>
  <c r="BG86" i="18" a="1"/>
  <c r="BG86" i="18"/>
  <c r="BG95" i="18" a="1"/>
  <c r="BG95" i="18"/>
  <c r="BG36" i="18" a="1"/>
  <c r="BG36" i="18"/>
  <c r="BG80" i="18" a="1"/>
  <c r="BG80" i="18"/>
  <c r="DF103" i="8"/>
  <c r="DI103" i="8"/>
  <c r="DK103" i="8"/>
  <c r="FK62" i="8"/>
  <c r="FZ62" i="8"/>
  <c r="BG73" i="18" a="1"/>
  <c r="BG73" i="18"/>
  <c r="FK80" i="8"/>
  <c r="FZ80" i="8"/>
  <c r="CF73" i="18" a="1"/>
  <c r="CF73" i="18"/>
  <c r="FK56" i="8"/>
  <c r="FZ56" i="8"/>
  <c r="DF56" i="8"/>
  <c r="DI56" i="8"/>
  <c r="DK56" i="8"/>
  <c r="FK125" i="8"/>
  <c r="FZ125" i="8"/>
  <c r="FK51" i="8"/>
  <c r="FZ51" i="8"/>
  <c r="CF105" i="18" a="1"/>
  <c r="CF105" i="18"/>
  <c r="CF36" i="18" a="1"/>
  <c r="CF36" i="18"/>
  <c r="BG112" i="18" a="1"/>
  <c r="BG112" i="18"/>
  <c r="DF93" i="8"/>
  <c r="DI93" i="8"/>
  <c r="DK93" i="8"/>
  <c r="CF131" i="18" a="1"/>
  <c r="CF131" i="18"/>
  <c r="CF42" i="18" a="1"/>
  <c r="CF42" i="18"/>
  <c r="CF86" i="18" a="1"/>
  <c r="CF86" i="18"/>
  <c r="DF125" i="8"/>
  <c r="DI125" i="8"/>
  <c r="DK125" i="8"/>
  <c r="DF119" i="8"/>
  <c r="DI119" i="8"/>
  <c r="DK119" i="8"/>
  <c r="CF96" i="18" a="1"/>
  <c r="CF96" i="18"/>
  <c r="BG29" i="18" a="1"/>
  <c r="BG29" i="18"/>
  <c r="BG96" i="18" a="1"/>
  <c r="BG96" i="18"/>
  <c r="DF51" i="8"/>
  <c r="DI51" i="8"/>
  <c r="DK51" i="8"/>
  <c r="CF95" i="18" a="1"/>
  <c r="CF95" i="18"/>
  <c r="CF120" i="18" a="1"/>
  <c r="CF120" i="18"/>
  <c r="CF131" i="17" a="1"/>
  <c r="CF131" i="17"/>
  <c r="CF111" i="18" a="1"/>
  <c r="CF111" i="18"/>
  <c r="CF112" i="18" a="1"/>
  <c r="CF112" i="18"/>
  <c r="BG105" i="18" a="1"/>
  <c r="BG105" i="18"/>
  <c r="FK112" i="8"/>
  <c r="FZ112" i="8"/>
  <c r="DF112" i="8"/>
  <c r="DI112" i="8"/>
  <c r="DK112" i="8"/>
  <c r="BG131" i="17" a="1"/>
  <c r="BG131" i="17"/>
  <c r="DF138" i="8"/>
  <c r="DI138" i="8"/>
  <c r="DK138" i="8"/>
  <c r="FK138" i="8"/>
  <c r="FZ138" i="8"/>
  <c r="BG131" i="18" a="1"/>
  <c r="BG131" i="18"/>
  <c r="FK127" i="8"/>
  <c r="FZ127" i="8"/>
  <c r="DF127" i="8"/>
  <c r="DI127" i="8"/>
  <c r="DK127" i="8"/>
  <c r="BG120" i="18" a="1"/>
  <c r="BG120" i="18"/>
  <c r="DF118" i="8"/>
  <c r="DI118" i="8"/>
  <c r="DK118" i="8"/>
  <c r="FK118" i="8"/>
  <c r="FZ118" i="8"/>
  <c r="BG111" i="18" a="1"/>
  <c r="BG111" i="18"/>
  <c r="FK49" i="8"/>
  <c r="FZ49" i="8"/>
  <c r="DF49" i="8"/>
  <c r="DI49" i="8"/>
  <c r="DK49" i="8"/>
  <c r="BG42" i="18" a="1"/>
  <c r="BG42" i="18"/>
  <c r="BG54" i="18" a="1"/>
  <c r="BG54" i="18"/>
  <c r="FK61" i="8"/>
  <c r="FZ61" i="8"/>
  <c r="DF61" i="8"/>
  <c r="DI61" i="8"/>
  <c r="DK61" i="8"/>
  <c r="DF78" i="8"/>
  <c r="DI78" i="8"/>
  <c r="DK78" i="8"/>
  <c r="BG71" i="18" a="1"/>
  <c r="BG71" i="18"/>
  <c r="FK78" i="8"/>
  <c r="FZ78" i="8"/>
  <c r="BG74" i="18" a="1"/>
  <c r="BG74" i="18"/>
  <c r="FK81" i="8"/>
  <c r="FZ81" i="8"/>
  <c r="FK58" i="8"/>
  <c r="FZ58" i="8"/>
  <c r="BG51" i="18" a="1"/>
  <c r="BG51" i="18"/>
  <c r="DF58" i="8"/>
  <c r="DI58" i="8"/>
  <c r="DK58" i="8"/>
  <c r="FK41" i="8"/>
  <c r="FZ41" i="8"/>
  <c r="DF41" i="8"/>
  <c r="DI41" i="8"/>
  <c r="DK41" i="8"/>
  <c r="DF117" i="8"/>
  <c r="DI117" i="8"/>
  <c r="DK117" i="8"/>
  <c r="FK117" i="8"/>
  <c r="FZ117" i="8"/>
  <c r="BG110" i="18" a="1"/>
  <c r="BG110" i="18"/>
  <c r="BG81" i="18" a="1"/>
  <c r="BG81" i="18"/>
  <c r="DF88" i="8"/>
  <c r="DI88" i="8"/>
  <c r="DK88" i="8"/>
  <c r="FK88" i="8"/>
  <c r="FZ88" i="8"/>
  <c r="CF54" i="18" a="1"/>
  <c r="CF54" i="18"/>
  <c r="BG85" i="18" a="1"/>
  <c r="BG85" i="18"/>
  <c r="DF92" i="8"/>
  <c r="DI92" i="8"/>
  <c r="DK92" i="8"/>
  <c r="FK92" i="8"/>
  <c r="FZ92" i="8"/>
  <c r="CF71" i="18" a="1"/>
  <c r="CF71" i="18"/>
  <c r="CF118" i="18" a="1"/>
  <c r="CF118" i="18"/>
  <c r="CF74" i="18" a="1"/>
  <c r="CF74" i="18"/>
  <c r="CF49" i="18" a="1"/>
  <c r="CF49" i="18"/>
  <c r="CF51" i="18" a="1"/>
  <c r="CF51" i="18"/>
  <c r="CF34" i="18" a="1"/>
  <c r="CF34" i="18"/>
  <c r="CF29" i="18" a="1"/>
  <c r="CF29" i="18"/>
  <c r="CF80" i="18" a="1"/>
  <c r="CF80" i="18"/>
  <c r="CF101" i="18" a="1"/>
  <c r="CF101" i="18"/>
  <c r="CF110" i="18" a="1"/>
  <c r="CF110" i="18"/>
  <c r="CF81" i="18" a="1"/>
  <c r="CF81" i="18"/>
  <c r="CF55" i="18" a="1"/>
  <c r="CF55" i="18"/>
  <c r="CF44" i="18" a="1"/>
  <c r="CF44" i="18"/>
  <c r="CF85" i="18" a="1"/>
  <c r="CF85" i="18"/>
  <c r="N27" i="18"/>
  <c r="N26" i="18"/>
  <c r="N35" i="18"/>
  <c r="N43" i="18"/>
  <c r="N66" i="18"/>
  <c r="N41" i="18"/>
  <c r="N84" i="18"/>
  <c r="N12" i="18"/>
  <c r="N33" i="18"/>
  <c r="N37" i="18"/>
  <c r="N116" i="18"/>
  <c r="N128" i="18"/>
  <c r="N126" i="18"/>
  <c r="N129" i="18"/>
  <c r="N10" i="18"/>
  <c r="N13" i="18"/>
  <c r="N4" i="18"/>
  <c r="N107" i="18"/>
  <c r="N71" i="18"/>
  <c r="N113" i="18"/>
  <c r="N14" i="18"/>
  <c r="N106" i="18"/>
  <c r="N62" i="18"/>
  <c r="N88" i="18"/>
  <c r="N131" i="18"/>
  <c r="N77" i="18"/>
  <c r="N48" i="18"/>
  <c r="N115" i="18"/>
  <c r="N53" i="18"/>
  <c r="N80" i="18"/>
  <c r="N54" i="18"/>
  <c r="N7" i="18"/>
  <c r="N32" i="18"/>
  <c r="N96" i="18"/>
  <c r="N47" i="18"/>
  <c r="N60" i="18"/>
  <c r="N136" i="18"/>
  <c r="N34" i="18"/>
  <c r="N24" i="18"/>
  <c r="N99" i="18"/>
  <c r="N57" i="18"/>
  <c r="N120" i="18"/>
  <c r="N127" i="18"/>
  <c r="N104" i="18"/>
  <c r="N133" i="18"/>
  <c r="N36" i="18"/>
  <c r="N11" i="18"/>
  <c r="N81" i="18"/>
  <c r="N86" i="18"/>
  <c r="N75" i="18"/>
  <c r="N74" i="18"/>
  <c r="N100" i="18"/>
  <c r="N67" i="18"/>
  <c r="N102" i="18"/>
  <c r="N39" i="18"/>
  <c r="N40" i="18"/>
  <c r="N114" i="18"/>
  <c r="N121" i="18"/>
  <c r="N68" i="18"/>
  <c r="N63" i="18"/>
  <c r="N28" i="18"/>
  <c r="N94" i="18"/>
  <c r="N58" i="18"/>
  <c r="N95" i="18"/>
  <c r="N119" i="18"/>
  <c r="N87" i="18"/>
  <c r="N55" i="18"/>
  <c r="N98" i="18"/>
  <c r="N79" i="18"/>
  <c r="N117" i="18"/>
  <c r="N51" i="18"/>
  <c r="N123" i="18"/>
  <c r="N89" i="18"/>
  <c r="N19" i="18"/>
  <c r="N97" i="18"/>
  <c r="N15" i="18"/>
  <c r="N73" i="18"/>
  <c r="N101" i="18"/>
  <c r="N83" i="18"/>
  <c r="N25" i="18"/>
  <c r="N61" i="18"/>
  <c r="N125" i="18"/>
  <c r="N111" i="18"/>
  <c r="N122" i="18"/>
  <c r="N108" i="18"/>
  <c r="N72" i="18"/>
  <c r="N76" i="18"/>
  <c r="N118" i="18"/>
  <c r="N132" i="18"/>
  <c r="N44" i="18"/>
  <c r="N16" i="18"/>
  <c r="N110" i="18"/>
  <c r="N93" i="18"/>
  <c r="N31" i="18"/>
  <c r="N29" i="18"/>
  <c r="N56" i="18"/>
  <c r="N6" i="18"/>
  <c r="N45" i="18"/>
  <c r="N30" i="18"/>
  <c r="N82" i="18"/>
  <c r="N22" i="18"/>
  <c r="N59" i="18"/>
  <c r="N70" i="18"/>
  <c r="N109" i="18"/>
  <c r="N124" i="18"/>
  <c r="N103" i="18"/>
  <c r="N92" i="18"/>
  <c r="N91" i="18"/>
  <c r="N42" i="18"/>
  <c r="N135" i="18"/>
  <c r="N20" i="18"/>
  <c r="N18" i="18"/>
  <c r="N64" i="18"/>
  <c r="N8" i="18"/>
  <c r="N46" i="18"/>
  <c r="N65" i="18"/>
  <c r="N9" i="18"/>
  <c r="N17" i="18"/>
  <c r="N21" i="18"/>
  <c r="N50" i="18"/>
  <c r="N137" i="18"/>
  <c r="N138" i="18"/>
  <c r="N130" i="18"/>
  <c r="N5" i="18"/>
  <c r="N78" i="18"/>
  <c r="N112" i="18"/>
  <c r="N23" i="18"/>
  <c r="N49" i="18"/>
  <c r="N38" i="18"/>
  <c r="N85" i="18"/>
  <c r="N105" i="18"/>
  <c r="N90" i="18"/>
  <c r="N52" i="18"/>
  <c r="N134" i="18"/>
  <c r="N125" i="17"/>
  <c r="N127" i="17"/>
  <c r="N129" i="17"/>
  <c r="N131" i="17"/>
  <c r="N133" i="17"/>
  <c r="N135" i="17"/>
  <c r="N137" i="17"/>
  <c r="N124" i="17"/>
  <c r="N126" i="17"/>
  <c r="N128" i="17"/>
  <c r="N130" i="17"/>
  <c r="N132" i="17"/>
  <c r="N134" i="17"/>
  <c r="N136" i="17"/>
  <c r="N138" i="17"/>
  <c r="AI124" i="17"/>
  <c r="AI126" i="17"/>
  <c r="AI128" i="17"/>
  <c r="AI130" i="17"/>
  <c r="AI132" i="17"/>
  <c r="AI134" i="17"/>
  <c r="AI136" i="17"/>
  <c r="AI138" i="17"/>
  <c r="BG19" i="18" a="1"/>
  <c r="BG19" i="18"/>
  <c r="FK26" i="8"/>
  <c r="FZ26" i="8"/>
  <c r="DF26" i="8"/>
  <c r="DI26" i="8"/>
  <c r="DK26" i="8"/>
  <c r="BG114" i="18" a="1"/>
  <c r="BG114" i="18"/>
  <c r="DF121" i="8"/>
  <c r="DI121" i="8"/>
  <c r="DK121" i="8"/>
  <c r="FK131" i="8"/>
  <c r="FZ131" i="8"/>
  <c r="BG124" i="17" a="1"/>
  <c r="BG124" i="17"/>
  <c r="DF131" i="8"/>
  <c r="DI131" i="8"/>
  <c r="DK131" i="8"/>
  <c r="BG124" i="18" a="1"/>
  <c r="BG124" i="18"/>
  <c r="BG23" i="18" a="1"/>
  <c r="BG23" i="18"/>
  <c r="FK30" i="8"/>
  <c r="FZ30" i="8"/>
  <c r="DF30" i="8"/>
  <c r="DI30" i="8"/>
  <c r="DK30" i="8"/>
  <c r="FK60" i="8"/>
  <c r="FZ60" i="8"/>
  <c r="DF60" i="8"/>
  <c r="DI60" i="8"/>
  <c r="DK60" i="8"/>
  <c r="BG53" i="18" a="1"/>
  <c r="BG53" i="18"/>
  <c r="BG38" i="18" a="1"/>
  <c r="BG38" i="18"/>
  <c r="DF45" i="8"/>
  <c r="DI45" i="8"/>
  <c r="DK45" i="8"/>
  <c r="FK45" i="8"/>
  <c r="FZ45" i="8"/>
  <c r="DF32" i="8"/>
  <c r="DI32" i="8"/>
  <c r="DK32" i="8"/>
  <c r="BG25" i="18" a="1"/>
  <c r="BG25" i="18"/>
  <c r="FK32" i="8"/>
  <c r="FZ32" i="8"/>
  <c r="BG67" i="18" a="1"/>
  <c r="BG67" i="18"/>
  <c r="DF74" i="8"/>
  <c r="DI74" i="8"/>
  <c r="DK74" i="8"/>
  <c r="FK74" i="8"/>
  <c r="FZ74" i="8"/>
  <c r="FK64" i="8"/>
  <c r="FZ64" i="8"/>
  <c r="DF64" i="8"/>
  <c r="DI64" i="8"/>
  <c r="DK64" i="8"/>
  <c r="BG57" i="18" a="1"/>
  <c r="BG57" i="18"/>
  <c r="BG56" i="18" a="1"/>
  <c r="BG56" i="18"/>
  <c r="DF63" i="8"/>
  <c r="DI63" i="8"/>
  <c r="DK63" i="8"/>
  <c r="FK63" i="8"/>
  <c r="FZ63" i="8"/>
  <c r="FK132" i="8"/>
  <c r="FZ132" i="8"/>
  <c r="DF132" i="8"/>
  <c r="DI132" i="8"/>
  <c r="DK132" i="8"/>
  <c r="BG125" i="18" a="1"/>
  <c r="BG125" i="18"/>
  <c r="BG125" i="17" a="1"/>
  <c r="BG125" i="17"/>
  <c r="BG132" i="18" a="1"/>
  <c r="BG132" i="18"/>
  <c r="FK139" i="8"/>
  <c r="FZ139" i="8"/>
  <c r="DF139" i="8"/>
  <c r="DI139" i="8"/>
  <c r="DK139" i="8"/>
  <c r="BG132" i="17" a="1"/>
  <c r="BG132" i="17"/>
  <c r="BG20" i="18" a="1"/>
  <c r="BG20" i="18"/>
  <c r="FK27" i="8"/>
  <c r="FZ27" i="8"/>
  <c r="DF27" i="8"/>
  <c r="DI27" i="8"/>
  <c r="DK27" i="8"/>
  <c r="FK67" i="8"/>
  <c r="FZ67" i="8"/>
  <c r="DF67" i="8"/>
  <c r="DI67" i="8"/>
  <c r="DK67" i="8"/>
  <c r="BG60" i="18" a="1"/>
  <c r="BG60" i="18"/>
  <c r="BG133" i="17" a="1"/>
  <c r="BG133" i="17"/>
  <c r="DF140" i="8"/>
  <c r="DI140" i="8"/>
  <c r="DK140" i="8"/>
  <c r="BG133" i="18" a="1"/>
  <c r="BG133" i="18"/>
  <c r="FK140" i="8"/>
  <c r="FZ140" i="8"/>
  <c r="BG37" i="18" a="1"/>
  <c r="BG37" i="18"/>
  <c r="DF44" i="8"/>
  <c r="DI44" i="8"/>
  <c r="DK44" i="8"/>
  <c r="FK44" i="8"/>
  <c r="FZ44" i="8"/>
  <c r="DF137" i="8"/>
  <c r="DI137" i="8"/>
  <c r="DK137" i="8"/>
  <c r="FK137" i="8"/>
  <c r="FZ137" i="8"/>
  <c r="BG130" i="18" a="1"/>
  <c r="BG130" i="18"/>
  <c r="BG130" i="17" a="1"/>
  <c r="BG130" i="17"/>
  <c r="AI63" i="18"/>
  <c r="AI16" i="18"/>
  <c r="AI137" i="18"/>
  <c r="AI52" i="18"/>
  <c r="AI17" i="18"/>
  <c r="AI89" i="18"/>
  <c r="AI129" i="18"/>
  <c r="AI125" i="17"/>
  <c r="AI127" i="17"/>
  <c r="AI129" i="17"/>
  <c r="AI131" i="17"/>
  <c r="AI133" i="17"/>
  <c r="AI135" i="17"/>
  <c r="AI137" i="17"/>
  <c r="AI91" i="18"/>
  <c r="AI71" i="18"/>
  <c r="AI77" i="18"/>
  <c r="AI117" i="18"/>
  <c r="AI95" i="18"/>
  <c r="AI27" i="18"/>
  <c r="AI131" i="18"/>
  <c r="AI123" i="18"/>
  <c r="AI86" i="18"/>
  <c r="AI8" i="18"/>
  <c r="AI33" i="18"/>
  <c r="AI55" i="18"/>
  <c r="AI60" i="18"/>
  <c r="AI75" i="18"/>
  <c r="AI105" i="18"/>
  <c r="AI46" i="18"/>
  <c r="AI58" i="18"/>
  <c r="AI41" i="18"/>
  <c r="AI31" i="18"/>
  <c r="AI62" i="18"/>
  <c r="AI53" i="18"/>
  <c r="AI85" i="18"/>
  <c r="AI113" i="18"/>
  <c r="AI48" i="18"/>
  <c r="AI84" i="18"/>
  <c r="AI116" i="18"/>
  <c r="AI25" i="18"/>
  <c r="AI101" i="18"/>
  <c r="AI23" i="18"/>
  <c r="AI108" i="18"/>
  <c r="AI15" i="18"/>
  <c r="AI67" i="18"/>
  <c r="AI47" i="18"/>
  <c r="AI12" i="18"/>
  <c r="AI111" i="18"/>
  <c r="AI119" i="18"/>
  <c r="AI45" i="18"/>
  <c r="AI65" i="18"/>
  <c r="AI106" i="18"/>
  <c r="AI103" i="18"/>
  <c r="AI6" i="18"/>
  <c r="AI49" i="18"/>
  <c r="AI100" i="18"/>
  <c r="AI120" i="18"/>
  <c r="AI21" i="18"/>
  <c r="AI73" i="18"/>
  <c r="AI133" i="18"/>
  <c r="AI80" i="18"/>
  <c r="AI51" i="18"/>
  <c r="AI44" i="18"/>
  <c r="AI4" i="18"/>
  <c r="AI96" i="18"/>
  <c r="AI64" i="18"/>
  <c r="AI70" i="18"/>
  <c r="AI82" i="18"/>
  <c r="AI38" i="18"/>
  <c r="AI136" i="18"/>
  <c r="AI122" i="18"/>
  <c r="AI14" i="18"/>
  <c r="AI74" i="18"/>
  <c r="AI35" i="18"/>
  <c r="AI107" i="18"/>
  <c r="AI88" i="18"/>
  <c r="AI81" i="18"/>
  <c r="AI36" i="18"/>
  <c r="AI18" i="18"/>
  <c r="AI97" i="18"/>
  <c r="AI39" i="18"/>
  <c r="AI127" i="18"/>
  <c r="AI9" i="18"/>
  <c r="AI72" i="18"/>
  <c r="AI34" i="18"/>
  <c r="AI98" i="18"/>
  <c r="AI54" i="18"/>
  <c r="AI134" i="18"/>
  <c r="AI104" i="18"/>
  <c r="AI115" i="18"/>
  <c r="AI66" i="18"/>
  <c r="AI30" i="18"/>
  <c r="AI26" i="18"/>
  <c r="AI138" i="18"/>
  <c r="AI42" i="18"/>
  <c r="AI61" i="18"/>
  <c r="AI11" i="18"/>
  <c r="AI10" i="18"/>
  <c r="AI79" i="18"/>
  <c r="AI109" i="18"/>
  <c r="AI32" i="18"/>
  <c r="AI102" i="18"/>
  <c r="AI124" i="18"/>
  <c r="AI20" i="18"/>
  <c r="AI99" i="18"/>
  <c r="AI110" i="18"/>
  <c r="AI128" i="18"/>
  <c r="AI112" i="18"/>
  <c r="AI7" i="18"/>
  <c r="AI135" i="18"/>
  <c r="AI19" i="18"/>
  <c r="AI56" i="18"/>
  <c r="AI76" i="18"/>
  <c r="AI68" i="18"/>
  <c r="AI13" i="18"/>
  <c r="AI59" i="18"/>
  <c r="AI118" i="18"/>
  <c r="AI43" i="18"/>
  <c r="AI40" i="18"/>
  <c r="AI28" i="18"/>
  <c r="AI121" i="18"/>
  <c r="AI50" i="18"/>
  <c r="AI130" i="18"/>
  <c r="AI94" i="18"/>
  <c r="AI87" i="18"/>
  <c r="AI57" i="18"/>
  <c r="AI90" i="18"/>
  <c r="AI92" i="18"/>
  <c r="AI93" i="18"/>
  <c r="AI126" i="18"/>
  <c r="AI37" i="18"/>
  <c r="AI29" i="18"/>
  <c r="AI132" i="18"/>
  <c r="AI5" i="18"/>
  <c r="AI24" i="18"/>
  <c r="AI69" i="18"/>
  <c r="AI125" i="18"/>
  <c r="AI114" i="18"/>
  <c r="AI78" i="18"/>
  <c r="AI22" i="18"/>
  <c r="AI83" i="18"/>
  <c r="J30" i="18"/>
  <c r="AS30" i="18"/>
  <c r="EV37" i="8"/>
  <c r="GE37" i="8"/>
  <c r="GF37" i="8"/>
  <c r="DM95" i="8"/>
  <c r="DM123" i="8"/>
  <c r="DM97" i="8"/>
  <c r="DM68" i="8"/>
  <c r="DM144" i="8"/>
  <c r="DM84" i="8"/>
  <c r="DM94" i="8"/>
  <c r="J48" i="18"/>
  <c r="AS48" i="18"/>
  <c r="EV55" i="8"/>
  <c r="GE55" i="8"/>
  <c r="GF55" i="8"/>
  <c r="J7" i="18"/>
  <c r="AS7" i="18"/>
  <c r="EV14" i="8"/>
  <c r="GE14" i="8"/>
  <c r="GF14" i="8"/>
  <c r="J77" i="18"/>
  <c r="AS77" i="18"/>
  <c r="EV84" i="8"/>
  <c r="GE84" i="8"/>
  <c r="GF84" i="8"/>
  <c r="J16" i="18"/>
  <c r="AS16" i="18"/>
  <c r="EV23" i="8"/>
  <c r="GE23" i="8"/>
  <c r="J31" i="18"/>
  <c r="AS31" i="18"/>
  <c r="EV38" i="8"/>
  <c r="GE38" i="8"/>
  <c r="GF38" i="8"/>
  <c r="J125" i="17"/>
  <c r="DM45" i="8"/>
  <c r="DM38" i="8"/>
  <c r="DM42" i="8"/>
  <c r="DM91" i="8"/>
  <c r="J95" i="18"/>
  <c r="AS95" i="18"/>
  <c r="EV102" i="8"/>
  <c r="GE102" i="8"/>
  <c r="GF102" i="8"/>
  <c r="DM74" i="8"/>
  <c r="J98" i="18"/>
  <c r="AS98" i="18"/>
  <c r="EV105" i="8"/>
  <c r="GE105" i="8"/>
  <c r="GF105" i="8"/>
  <c r="J124" i="17"/>
  <c r="J126" i="17"/>
  <c r="DM93" i="8"/>
  <c r="DM16" i="8"/>
  <c r="DM108" i="8"/>
  <c r="DM135" i="8"/>
  <c r="DM77" i="8"/>
  <c r="DM106" i="8"/>
  <c r="DM30" i="8"/>
  <c r="DM80" i="8"/>
  <c r="DM100" i="8"/>
  <c r="DM12" i="8"/>
  <c r="DM58" i="8"/>
  <c r="DM141" i="8"/>
  <c r="DM99" i="8"/>
  <c r="DM26" i="8"/>
  <c r="DM27" i="8"/>
  <c r="DM81" i="8"/>
  <c r="DM54" i="8"/>
  <c r="DM48" i="8"/>
  <c r="DM109" i="8"/>
  <c r="DM51" i="8"/>
  <c r="DM65" i="8"/>
  <c r="DM137" i="8"/>
  <c r="DM79" i="8"/>
  <c r="DM17" i="8"/>
  <c r="DM136" i="8"/>
  <c r="DM116" i="8"/>
  <c r="DM62" i="8"/>
  <c r="DM102" i="8"/>
  <c r="DM113" i="8"/>
  <c r="DM124" i="8"/>
  <c r="DM139" i="8"/>
  <c r="DM111" i="8"/>
  <c r="DM67" i="8"/>
  <c r="DM92" i="8"/>
  <c r="DM128" i="8"/>
  <c r="DM71" i="8"/>
  <c r="DM11" i="8"/>
  <c r="DN11" i="8" a="1"/>
  <c r="DN11" i="8"/>
  <c r="DM14" i="8"/>
  <c r="DM41" i="8"/>
  <c r="DM43" i="8"/>
  <c r="DM101" i="8"/>
  <c r="DM59" i="8"/>
  <c r="DM142" i="8"/>
  <c r="DM55" i="8"/>
  <c r="DM66" i="8"/>
  <c r="DM78" i="8"/>
  <c r="DM28" i="8"/>
  <c r="DM70" i="8"/>
  <c r="DM131" i="8"/>
  <c r="DM56" i="8"/>
  <c r="DM107" i="8"/>
  <c r="DM117" i="8"/>
  <c r="DM46" i="8"/>
  <c r="DM115" i="8"/>
  <c r="DM35" i="8"/>
  <c r="DM60" i="8"/>
  <c r="DM130" i="8"/>
  <c r="DM23" i="8"/>
  <c r="DM39" i="8"/>
  <c r="DM125" i="8"/>
  <c r="DM75" i="8"/>
  <c r="J49" i="18"/>
  <c r="AS49" i="18"/>
  <c r="EV56" i="8"/>
  <c r="GE56" i="8"/>
  <c r="GF56" i="8"/>
  <c r="DM126" i="8"/>
  <c r="DM129" i="8"/>
  <c r="DM86" i="8"/>
  <c r="J25" i="18"/>
  <c r="AS25" i="18"/>
  <c r="EV32" i="8"/>
  <c r="GE32" i="8"/>
  <c r="GF32" i="8"/>
  <c r="DM134" i="8"/>
  <c r="J4" i="18"/>
  <c r="AS4" i="18"/>
  <c r="DM32" i="8"/>
  <c r="J60" i="18"/>
  <c r="AS60" i="18"/>
  <c r="EV67" i="8"/>
  <c r="GE67" i="8"/>
  <c r="GF67" i="8"/>
  <c r="J71" i="18"/>
  <c r="AS71" i="18"/>
  <c r="EV78" i="8"/>
  <c r="GE78" i="8"/>
  <c r="GF78" i="8"/>
  <c r="J59" i="18"/>
  <c r="AS59" i="18"/>
  <c r="EV66" i="8"/>
  <c r="GE66" i="8"/>
  <c r="GF66" i="8"/>
  <c r="J123" i="18"/>
  <c r="AS123" i="18"/>
  <c r="EV130" i="8"/>
  <c r="GE130" i="8"/>
  <c r="GF130" i="8"/>
  <c r="J131" i="18"/>
  <c r="AS131" i="18"/>
  <c r="EV138" i="8"/>
  <c r="GE138" i="8"/>
  <c r="GF138" i="8"/>
  <c r="J138" i="18"/>
  <c r="AS138" i="18"/>
  <c r="EV145" i="8"/>
  <c r="GE145" i="8"/>
  <c r="GF145" i="8"/>
  <c r="J42" i="18"/>
  <c r="AS42" i="18"/>
  <c r="EV49" i="8"/>
  <c r="GE49" i="8"/>
  <c r="GF49" i="8"/>
  <c r="J15" i="18"/>
  <c r="AS15" i="18"/>
  <c r="J88" i="18"/>
  <c r="AS88" i="18"/>
  <c r="EV95" i="8"/>
  <c r="GE95" i="8"/>
  <c r="GF95" i="8"/>
  <c r="J87" i="18"/>
  <c r="AS87" i="18"/>
  <c r="EV94" i="8"/>
  <c r="GE94" i="8"/>
  <c r="GF94" i="8"/>
  <c r="J43" i="18"/>
  <c r="AS43" i="18"/>
  <c r="EV50" i="8"/>
  <c r="GE50" i="8"/>
  <c r="GF50" i="8"/>
  <c r="J14" i="18"/>
  <c r="AS14" i="18"/>
  <c r="EV21" i="8"/>
  <c r="GE21" i="8"/>
  <c r="GF21" i="8"/>
  <c r="J34" i="18"/>
  <c r="AS34" i="18"/>
  <c r="EV41" i="8"/>
  <c r="GE41" i="8"/>
  <c r="GF41" i="8"/>
  <c r="J83" i="18"/>
  <c r="AS83" i="18"/>
  <c r="EV90" i="8"/>
  <c r="GE90" i="8"/>
  <c r="GF90" i="8"/>
  <c r="J132" i="18"/>
  <c r="AS132" i="18"/>
  <c r="EV139" i="8"/>
  <c r="GE139" i="8"/>
  <c r="GF139" i="8"/>
  <c r="J135" i="18"/>
  <c r="AS135" i="18"/>
  <c r="EV142" i="8"/>
  <c r="GE142" i="8"/>
  <c r="GF142" i="8"/>
  <c r="J44" i="18"/>
  <c r="AS44" i="18"/>
  <c r="EV51" i="8"/>
  <c r="GE51" i="8"/>
  <c r="GF51" i="8"/>
  <c r="J41" i="18"/>
  <c r="AS41" i="18"/>
  <c r="EV48" i="8"/>
  <c r="GE48" i="8"/>
  <c r="GF48" i="8"/>
  <c r="J29" i="18"/>
  <c r="AS29" i="18"/>
  <c r="EV36" i="8"/>
  <c r="GE36" i="8"/>
  <c r="GF36" i="8"/>
  <c r="J136" i="18"/>
  <c r="AS136" i="18"/>
  <c r="EV143" i="8"/>
  <c r="GE143" i="8"/>
  <c r="GF143" i="8"/>
  <c r="J127" i="18"/>
  <c r="AS127" i="18"/>
  <c r="EV134" i="8"/>
  <c r="GE134" i="8"/>
  <c r="GF134" i="8"/>
  <c r="J108" i="18"/>
  <c r="AS108" i="18"/>
  <c r="EV115" i="8"/>
  <c r="GE115" i="8"/>
  <c r="GF115" i="8"/>
  <c r="J38" i="18"/>
  <c r="AS38" i="18"/>
  <c r="EV45" i="8"/>
  <c r="GE45" i="8"/>
  <c r="GF45" i="8"/>
  <c r="J86" i="18"/>
  <c r="AS86" i="18"/>
  <c r="EV93" i="8"/>
  <c r="GE93" i="8"/>
  <c r="GF93" i="8"/>
  <c r="J32" i="18"/>
  <c r="AS32" i="18"/>
  <c r="EV39" i="8"/>
  <c r="GE39" i="8"/>
  <c r="GF39" i="8"/>
  <c r="J51" i="18"/>
  <c r="AS51" i="18"/>
  <c r="EV58" i="8"/>
  <c r="GE58" i="8"/>
  <c r="GF58" i="8"/>
  <c r="J105" i="18"/>
  <c r="AS105" i="18"/>
  <c r="EV112" i="8"/>
  <c r="GE112" i="8"/>
  <c r="GF112" i="8"/>
  <c r="J78" i="18"/>
  <c r="AS78" i="18"/>
  <c r="EV85" i="8"/>
  <c r="GE85" i="8"/>
  <c r="GF85" i="8"/>
  <c r="J37" i="18"/>
  <c r="AS37" i="18"/>
  <c r="EV44" i="8"/>
  <c r="GE44" i="8"/>
  <c r="GF44" i="8"/>
  <c r="J128" i="18"/>
  <c r="AS128" i="18"/>
  <c r="EV135" i="8"/>
  <c r="GE135" i="8"/>
  <c r="GF135" i="8"/>
  <c r="J94" i="18"/>
  <c r="AS94" i="18"/>
  <c r="EV101" i="8"/>
  <c r="GE101" i="8"/>
  <c r="GF101" i="8"/>
  <c r="J113" i="18"/>
  <c r="AS113" i="18"/>
  <c r="EV120" i="8"/>
  <c r="GE120" i="8"/>
  <c r="GF120" i="8"/>
  <c r="J53" i="18"/>
  <c r="AS53" i="18"/>
  <c r="EV60" i="8"/>
  <c r="GE60" i="8"/>
  <c r="GF60" i="8"/>
  <c r="J56" i="18"/>
  <c r="AS56" i="18"/>
  <c r="EV63" i="8"/>
  <c r="GE63" i="8"/>
  <c r="GF63" i="8"/>
  <c r="J67" i="18"/>
  <c r="AS67" i="18"/>
  <c r="EV74" i="8"/>
  <c r="GE74" i="8"/>
  <c r="GF74" i="8"/>
  <c r="J26" i="18"/>
  <c r="AS26" i="18"/>
  <c r="EV33" i="8"/>
  <c r="GE33" i="8"/>
  <c r="GF33" i="8"/>
  <c r="J114" i="18"/>
  <c r="AS114" i="18"/>
  <c r="EV121" i="8"/>
  <c r="GE121" i="8"/>
  <c r="GF121" i="8"/>
  <c r="J82" i="18"/>
  <c r="AS82" i="18"/>
  <c r="EV89" i="8"/>
  <c r="GE89" i="8"/>
  <c r="GF89" i="8"/>
  <c r="J112" i="18"/>
  <c r="AS112" i="18"/>
  <c r="EV119" i="8"/>
  <c r="GE119" i="8"/>
  <c r="GF119" i="8"/>
  <c r="J120" i="18"/>
  <c r="AS120" i="18"/>
  <c r="EV127" i="8"/>
  <c r="GE127" i="8"/>
  <c r="GF127" i="8"/>
  <c r="J129" i="18"/>
  <c r="AS129" i="18"/>
  <c r="EV136" i="8"/>
  <c r="GE136" i="8"/>
  <c r="GF136" i="8"/>
  <c r="J90" i="18"/>
  <c r="AS90" i="18"/>
  <c r="EV97" i="8"/>
  <c r="GE97" i="8"/>
  <c r="GF97" i="8"/>
  <c r="J92" i="18"/>
  <c r="AS92" i="18"/>
  <c r="EV99" i="8"/>
  <c r="GE99" i="8"/>
  <c r="GF99" i="8"/>
  <c r="J24" i="18"/>
  <c r="AS24" i="18"/>
  <c r="EV31" i="8"/>
  <c r="GE31" i="8"/>
  <c r="GF31" i="8"/>
  <c r="J118" i="18"/>
  <c r="AS118" i="18"/>
  <c r="EV125" i="8"/>
  <c r="GE125" i="8"/>
  <c r="GF125" i="8"/>
  <c r="J5" i="18"/>
  <c r="AS5" i="18"/>
  <c r="EV12" i="8"/>
  <c r="GE12" i="8"/>
  <c r="GF12" i="8"/>
  <c r="J79" i="18"/>
  <c r="AS79" i="18"/>
  <c r="EV86" i="8"/>
  <c r="GE86" i="8"/>
  <c r="GF86" i="8"/>
  <c r="J40" i="18"/>
  <c r="AS40" i="18"/>
  <c r="EV47" i="8"/>
  <c r="GE47" i="8"/>
  <c r="GF47" i="8"/>
  <c r="J72" i="18"/>
  <c r="AS72" i="18"/>
  <c r="EV79" i="8"/>
  <c r="GE79" i="8"/>
  <c r="GF79" i="8"/>
  <c r="J54" i="18"/>
  <c r="AS54" i="18"/>
  <c r="EV61" i="8"/>
  <c r="GE61" i="8"/>
  <c r="GF61" i="8"/>
  <c r="J65" i="18"/>
  <c r="AS65" i="18"/>
  <c r="EV72" i="8"/>
  <c r="GE72" i="8"/>
  <c r="GF72" i="8"/>
  <c r="J96" i="18"/>
  <c r="AS96" i="18"/>
  <c r="EV103" i="8"/>
  <c r="GE103" i="8"/>
  <c r="GF103" i="8"/>
  <c r="J134" i="18"/>
  <c r="AS134" i="18"/>
  <c r="EV141" i="8"/>
  <c r="GE141" i="8"/>
  <c r="GF141" i="8"/>
  <c r="J81" i="18"/>
  <c r="AS81" i="18"/>
  <c r="EV88" i="8"/>
  <c r="GE88" i="8"/>
  <c r="GF88" i="8"/>
  <c r="J110" i="18"/>
  <c r="AS110" i="18"/>
  <c r="EV117" i="8"/>
  <c r="GE117" i="8"/>
  <c r="GF117" i="8"/>
  <c r="J107" i="18"/>
  <c r="AS107" i="18"/>
  <c r="EV114" i="8"/>
  <c r="GE114" i="8"/>
  <c r="GF114" i="8"/>
  <c r="J8" i="18"/>
  <c r="AS8" i="18"/>
  <c r="EV15" i="8"/>
  <c r="GE15" i="8"/>
  <c r="GF15" i="8"/>
  <c r="J104" i="18"/>
  <c r="AS104" i="18"/>
  <c r="EV111" i="8"/>
  <c r="GE111" i="8"/>
  <c r="GF111" i="8"/>
  <c r="J18" i="18"/>
  <c r="AS18" i="18"/>
  <c r="EV25" i="8"/>
  <c r="GE25" i="8"/>
  <c r="J19" i="18"/>
  <c r="AS19" i="18"/>
  <c r="EV26" i="8"/>
  <c r="GE26" i="8"/>
  <c r="GF26" i="8"/>
  <c r="J133" i="18"/>
  <c r="AS133" i="18"/>
  <c r="EV140" i="8"/>
  <c r="GE140" i="8"/>
  <c r="GF140" i="8"/>
  <c r="J46" i="18"/>
  <c r="AS46" i="18"/>
  <c r="EV53" i="8"/>
  <c r="GE53" i="8"/>
  <c r="GF53" i="8"/>
  <c r="J55" i="18"/>
  <c r="AS55" i="18"/>
  <c r="EV62" i="8"/>
  <c r="GE62" i="8"/>
  <c r="GF62" i="8"/>
  <c r="J27" i="18"/>
  <c r="AS27" i="18"/>
  <c r="EV34" i="8"/>
  <c r="GE34" i="8"/>
  <c r="GF34" i="8"/>
  <c r="J122" i="18"/>
  <c r="AS122" i="18"/>
  <c r="EV129" i="8"/>
  <c r="GE129" i="8"/>
  <c r="GF129" i="8"/>
  <c r="J36" i="18"/>
  <c r="AS36" i="18"/>
  <c r="EV43" i="8"/>
  <c r="GE43" i="8"/>
  <c r="GF43" i="8"/>
  <c r="J103" i="18"/>
  <c r="AS103" i="18"/>
  <c r="EV110" i="8"/>
  <c r="GE110" i="8"/>
  <c r="GF110" i="8"/>
  <c r="J91" i="18"/>
  <c r="AS91" i="18"/>
  <c r="EV98" i="8"/>
  <c r="GE98" i="8"/>
  <c r="GF98" i="8"/>
  <c r="J115" i="18"/>
  <c r="AS115" i="18"/>
  <c r="EV122" i="8"/>
  <c r="GE122" i="8"/>
  <c r="GF122" i="8"/>
  <c r="J39" i="18"/>
  <c r="AS39" i="18"/>
  <c r="EV46" i="8"/>
  <c r="GE46" i="8"/>
  <c r="GF46" i="8"/>
  <c r="J66" i="18"/>
  <c r="AS66" i="18"/>
  <c r="EV73" i="8"/>
  <c r="GE73" i="8"/>
  <c r="GF73" i="8"/>
  <c r="J76" i="18"/>
  <c r="AS76" i="18"/>
  <c r="EV83" i="8"/>
  <c r="GE83" i="8"/>
  <c r="GF83" i="8"/>
  <c r="J74" i="18"/>
  <c r="AS74" i="18"/>
  <c r="EV81" i="8"/>
  <c r="GE81" i="8"/>
  <c r="GF81" i="8"/>
  <c r="J106" i="18"/>
  <c r="AS106" i="18"/>
  <c r="EV113" i="8"/>
  <c r="GE113" i="8"/>
  <c r="GF113" i="8"/>
  <c r="J119" i="18"/>
  <c r="AS119" i="18"/>
  <c r="EV126" i="8"/>
  <c r="GE126" i="8"/>
  <c r="GF126" i="8"/>
  <c r="J125" i="18"/>
  <c r="AS125" i="18"/>
  <c r="EV132" i="8"/>
  <c r="GE132" i="8"/>
  <c r="GF132" i="8"/>
  <c r="J100" i="18"/>
  <c r="AS100" i="18"/>
  <c r="EV107" i="8"/>
  <c r="GE107" i="8"/>
  <c r="GF107" i="8"/>
  <c r="J9" i="18"/>
  <c r="AS9" i="18"/>
  <c r="EV16" i="8"/>
  <c r="GE16" i="8"/>
  <c r="GF16" i="8"/>
  <c r="J11" i="18"/>
  <c r="AS11" i="18"/>
  <c r="EV18" i="8"/>
  <c r="GE18" i="8"/>
  <c r="GF18" i="8"/>
  <c r="J10" i="18"/>
  <c r="AS10" i="18"/>
  <c r="EV17" i="8"/>
  <c r="GE17" i="8"/>
  <c r="GF17" i="8"/>
  <c r="J28" i="18"/>
  <c r="AS28" i="18"/>
  <c r="EV35" i="8"/>
  <c r="GE35" i="8"/>
  <c r="GF35" i="8"/>
  <c r="J6" i="18"/>
  <c r="AS6" i="18"/>
  <c r="EV13" i="8"/>
  <c r="GE13" i="8"/>
  <c r="GF13" i="8"/>
  <c r="J17" i="18"/>
  <c r="AS17" i="18"/>
  <c r="EV24" i="8"/>
  <c r="GE24" i="8"/>
  <c r="J84" i="18"/>
  <c r="AS84" i="18"/>
  <c r="EV91" i="8"/>
  <c r="GE91" i="8"/>
  <c r="GF91" i="8"/>
  <c r="J69" i="18"/>
  <c r="AS69" i="18"/>
  <c r="EV76" i="8"/>
  <c r="GE76" i="8"/>
  <c r="GF76" i="8"/>
  <c r="J75" i="18"/>
  <c r="AS75" i="18"/>
  <c r="EV82" i="8"/>
  <c r="GE82" i="8"/>
  <c r="GF82" i="8"/>
  <c r="J130" i="18"/>
  <c r="AS130" i="18"/>
  <c r="EV137" i="8"/>
  <c r="GE137" i="8"/>
  <c r="GF137" i="8"/>
  <c r="J70" i="18"/>
  <c r="AS70" i="18"/>
  <c r="EV77" i="8"/>
  <c r="GE77" i="8"/>
  <c r="GF77" i="8"/>
  <c r="J117" i="18"/>
  <c r="AS117" i="18"/>
  <c r="EV124" i="8"/>
  <c r="GE124" i="8"/>
  <c r="GF124" i="8"/>
  <c r="J35" i="18"/>
  <c r="AS35" i="18"/>
  <c r="EV42" i="8"/>
  <c r="GE42" i="8"/>
  <c r="GF42" i="8"/>
  <c r="J45" i="18"/>
  <c r="AS45" i="18"/>
  <c r="EV52" i="8"/>
  <c r="GE52" i="8"/>
  <c r="GF52" i="8"/>
  <c r="J20" i="18"/>
  <c r="AS20" i="18"/>
  <c r="EV27" i="8"/>
  <c r="GE27" i="8"/>
  <c r="GF27" i="8"/>
  <c r="J21" i="18"/>
  <c r="AS21" i="18"/>
  <c r="EV28" i="8"/>
  <c r="GE28" i="8"/>
  <c r="GF28" i="8"/>
  <c r="J68" i="18"/>
  <c r="AS68" i="18"/>
  <c r="EV75" i="8"/>
  <c r="GE75" i="8"/>
  <c r="GF75" i="8"/>
  <c r="J97" i="18"/>
  <c r="AS97" i="18"/>
  <c r="EV104" i="8"/>
  <c r="GE104" i="8"/>
  <c r="GF104" i="8"/>
  <c r="J93" i="18"/>
  <c r="AS93" i="18"/>
  <c r="EV100" i="8"/>
  <c r="GE100" i="8"/>
  <c r="GF100" i="8"/>
  <c r="J50" i="18"/>
  <c r="AS50" i="18"/>
  <c r="EV57" i="8"/>
  <c r="GE57" i="8"/>
  <c r="GF57" i="8"/>
  <c r="J33" i="18"/>
  <c r="AS33" i="18"/>
  <c r="EV40" i="8"/>
  <c r="GE40" i="8"/>
  <c r="GF40" i="8"/>
  <c r="J57" i="18"/>
  <c r="AS57" i="18"/>
  <c r="EV64" i="8"/>
  <c r="GE64" i="8"/>
  <c r="GF64" i="8"/>
  <c r="J61" i="18"/>
  <c r="AS61" i="18"/>
  <c r="EV68" i="8"/>
  <c r="GE68" i="8"/>
  <c r="GF68" i="8"/>
  <c r="J89" i="18"/>
  <c r="AS89" i="18"/>
  <c r="EV96" i="8"/>
  <c r="GE96" i="8"/>
  <c r="GF96" i="8"/>
  <c r="J101" i="18"/>
  <c r="AS101" i="18"/>
  <c r="EV108" i="8"/>
  <c r="GE108" i="8"/>
  <c r="GF108" i="8"/>
  <c r="J102" i="18"/>
  <c r="AS102" i="18"/>
  <c r="EV109" i="8"/>
  <c r="GE109" i="8"/>
  <c r="GF109" i="8"/>
  <c r="J85" i="18"/>
  <c r="AS85" i="18"/>
  <c r="EV92" i="8"/>
  <c r="GE92" i="8"/>
  <c r="GF92" i="8"/>
  <c r="J121" i="18"/>
  <c r="AS121" i="18"/>
  <c r="EV128" i="8"/>
  <c r="GE128" i="8"/>
  <c r="GF128" i="8"/>
  <c r="J13" i="18"/>
  <c r="AS13" i="18"/>
  <c r="EV20" i="8"/>
  <c r="GE20" i="8"/>
  <c r="GF20" i="8"/>
  <c r="J73" i="18"/>
  <c r="AS73" i="18"/>
  <c r="EV80" i="8"/>
  <c r="GE80" i="8"/>
  <c r="GF80" i="8"/>
  <c r="J62" i="18"/>
  <c r="AS62" i="18"/>
  <c r="EV69" i="8"/>
  <c r="GE69" i="8"/>
  <c r="GF69" i="8"/>
  <c r="J109" i="18"/>
  <c r="AS109" i="18"/>
  <c r="EV116" i="8"/>
  <c r="GE116" i="8"/>
  <c r="GF116" i="8"/>
  <c r="J64" i="18"/>
  <c r="AS64" i="18"/>
  <c r="EV71" i="8"/>
  <c r="GE71" i="8"/>
  <c r="GF71" i="8"/>
  <c r="J116" i="18"/>
  <c r="AS116" i="18"/>
  <c r="EV123" i="8"/>
  <c r="GE123" i="8"/>
  <c r="GF123" i="8"/>
  <c r="J137" i="18"/>
  <c r="AS137" i="18"/>
  <c r="EV144" i="8"/>
  <c r="GE144" i="8"/>
  <c r="GF144" i="8"/>
  <c r="J126" i="18"/>
  <c r="AS126" i="18"/>
  <c r="EV133" i="8"/>
  <c r="GE133" i="8"/>
  <c r="GF133" i="8"/>
  <c r="DM118" i="8"/>
  <c r="DM132" i="8"/>
  <c r="DM20" i="8"/>
  <c r="DM31" i="8"/>
  <c r="J22" i="18"/>
  <c r="AS22" i="18"/>
  <c r="EV29" i="8"/>
  <c r="GE29" i="8"/>
  <c r="GF29" i="8"/>
  <c r="J63" i="18"/>
  <c r="AS63" i="18"/>
  <c r="EV70" i="8"/>
  <c r="GE70" i="8"/>
  <c r="GF70" i="8"/>
  <c r="DM112" i="8"/>
  <c r="DM37" i="8"/>
  <c r="DM22" i="8"/>
  <c r="DM21" i="8"/>
  <c r="DM52" i="8"/>
  <c r="DM119" i="8"/>
  <c r="J111" i="18"/>
  <c r="AS111" i="18"/>
  <c r="EV118" i="8"/>
  <c r="GE118" i="8"/>
  <c r="GF118" i="8"/>
  <c r="J12" i="18"/>
  <c r="AS12" i="18"/>
  <c r="EV19" i="8"/>
  <c r="GE19" i="8"/>
  <c r="GF19" i="8"/>
  <c r="DM82" i="8"/>
  <c r="DM44" i="8"/>
  <c r="J80" i="18"/>
  <c r="AS80" i="18"/>
  <c r="EV87" i="8"/>
  <c r="GE87" i="8"/>
  <c r="GF87" i="8"/>
  <c r="J52" i="18"/>
  <c r="AS52" i="18"/>
  <c r="EV59" i="8"/>
  <c r="GE59" i="8"/>
  <c r="GF59" i="8"/>
  <c r="DM63" i="8"/>
  <c r="DM120" i="8"/>
  <c r="DM96" i="8"/>
  <c r="DM121" i="8"/>
  <c r="J124" i="18"/>
  <c r="AS124" i="18"/>
  <c r="EV131" i="8"/>
  <c r="GE131" i="8"/>
  <c r="GF131" i="8"/>
  <c r="J23" i="18"/>
  <c r="AS23" i="18"/>
  <c r="EV30" i="8"/>
  <c r="GE30" i="8"/>
  <c r="GF30" i="8"/>
  <c r="J58" i="18"/>
  <c r="AS58" i="18"/>
  <c r="EV65" i="8"/>
  <c r="GE65" i="8"/>
  <c r="GF65" i="8"/>
  <c r="J99" i="18"/>
  <c r="AS99" i="18"/>
  <c r="EV106" i="8"/>
  <c r="GE106" i="8"/>
  <c r="GF106" i="8"/>
  <c r="DM145" i="8"/>
  <c r="J47" i="18"/>
  <c r="AS47" i="18"/>
  <c r="EV54" i="8"/>
  <c r="GE54" i="8"/>
  <c r="GF54" i="8"/>
  <c r="DM127" i="8"/>
  <c r="DM64" i="8"/>
  <c r="DM72" i="8"/>
  <c r="DM24" i="8"/>
  <c r="DM69" i="8"/>
  <c r="DM83" i="8"/>
  <c r="DM18" i="8"/>
  <c r="DM143" i="8"/>
  <c r="DM73" i="8"/>
  <c r="DM103" i="8"/>
  <c r="DM88" i="8"/>
  <c r="DM114" i="8"/>
  <c r="DM104" i="8"/>
  <c r="DM87" i="8"/>
  <c r="DM13" i="8"/>
  <c r="DM15" i="8"/>
  <c r="DM47" i="8"/>
  <c r="DM105" i="8"/>
  <c r="DM34" i="8"/>
  <c r="DM89" i="8"/>
  <c r="DM36" i="8"/>
  <c r="DM76" i="8"/>
  <c r="DM110" i="8"/>
  <c r="DM50" i="8"/>
  <c r="DM133" i="8"/>
  <c r="DM25" i="8"/>
  <c r="DM19" i="8"/>
  <c r="DM85" i="8"/>
  <c r="DM29" i="8"/>
  <c r="DM138" i="8"/>
  <c r="DM98" i="8"/>
  <c r="DM33" i="8"/>
  <c r="DM90" i="8"/>
  <c r="DM57" i="8"/>
  <c r="DM40" i="8"/>
  <c r="DM140" i="8"/>
  <c r="DM49" i="8"/>
  <c r="DM61" i="8"/>
  <c r="DM122" i="8"/>
  <c r="DM53" i="8"/>
  <c r="EV11" i="8"/>
  <c r="GE11" i="8"/>
  <c r="GF11" i="8"/>
  <c r="AT4" i="18"/>
  <c r="AU4" i="18"/>
  <c r="AV4" i="18"/>
  <c r="AT8" i="18"/>
  <c r="AU8" i="18"/>
  <c r="AV8" i="18"/>
  <c r="AT12" i="18"/>
  <c r="AU12" i="18"/>
  <c r="AX12" i="18"/>
  <c r="AT16" i="18"/>
  <c r="AU16" i="18"/>
  <c r="AX16" i="18"/>
  <c r="AT20" i="18"/>
  <c r="AU20" i="18"/>
  <c r="AX20" i="18"/>
  <c r="AT24" i="18"/>
  <c r="AU24" i="18"/>
  <c r="AW24" i="18"/>
  <c r="AT28" i="18"/>
  <c r="AU28" i="18"/>
  <c r="AW28" i="18"/>
  <c r="AT32" i="18"/>
  <c r="AU32" i="18"/>
  <c r="AV32" i="18"/>
  <c r="AT36" i="18"/>
  <c r="AU36" i="18"/>
  <c r="AV36" i="18"/>
  <c r="AT40" i="18"/>
  <c r="AU40" i="18"/>
  <c r="AW40" i="18"/>
  <c r="AT44" i="18"/>
  <c r="AU44" i="18"/>
  <c r="AV44" i="18"/>
  <c r="AT48" i="18"/>
  <c r="AU48" i="18"/>
  <c r="AW48" i="18"/>
  <c r="AT52" i="18"/>
  <c r="AU52" i="18"/>
  <c r="AW52" i="18"/>
  <c r="AT56" i="18"/>
  <c r="AU56" i="18"/>
  <c r="AY56" i="18"/>
  <c r="AT60" i="18"/>
  <c r="AU60" i="18"/>
  <c r="AX60" i="18"/>
  <c r="AT64" i="18"/>
  <c r="AU64" i="18"/>
  <c r="AW64" i="18"/>
  <c r="AT68" i="18"/>
  <c r="AU68" i="18"/>
  <c r="AV68" i="18"/>
  <c r="AT72" i="18"/>
  <c r="AU72" i="18"/>
  <c r="AY72" i="18"/>
  <c r="AT76" i="18"/>
  <c r="AU76" i="18"/>
  <c r="AW76" i="18"/>
  <c r="AT80" i="18"/>
  <c r="AU80" i="18"/>
  <c r="AX80" i="18"/>
  <c r="AT84" i="18"/>
  <c r="AU84" i="18"/>
  <c r="AY84" i="18"/>
  <c r="AT88" i="18"/>
  <c r="AU88" i="18"/>
  <c r="AX88" i="18"/>
  <c r="AT92" i="18"/>
  <c r="AU92" i="18"/>
  <c r="AX92" i="18"/>
  <c r="AT96" i="18"/>
  <c r="AT100" i="18"/>
  <c r="AU100" i="18"/>
  <c r="AV100" i="18"/>
  <c r="AT104" i="18"/>
  <c r="AU104" i="18"/>
  <c r="AX104" i="18"/>
  <c r="AT108" i="18"/>
  <c r="AU108" i="18"/>
  <c r="AY108" i="18"/>
  <c r="AT112" i="18"/>
  <c r="AU112" i="18"/>
  <c r="AY112" i="18"/>
  <c r="AT116" i="18"/>
  <c r="AU116" i="18"/>
  <c r="AW116" i="18"/>
  <c r="AT120" i="18"/>
  <c r="AU120" i="18"/>
  <c r="AV120" i="18"/>
  <c r="AT124" i="18"/>
  <c r="AU124" i="18"/>
  <c r="AV124" i="18"/>
  <c r="AT128" i="18"/>
  <c r="AU128" i="18"/>
  <c r="AW128" i="18"/>
  <c r="AT132" i="18"/>
  <c r="AU132" i="18"/>
  <c r="AV132" i="18"/>
  <c r="AT136" i="18"/>
  <c r="AU136" i="18"/>
  <c r="AY136" i="18"/>
  <c r="AT10" i="18"/>
  <c r="AU10" i="18"/>
  <c r="AV10" i="18"/>
  <c r="AT18" i="18"/>
  <c r="AU18" i="18"/>
  <c r="AX18" i="18"/>
  <c r="AT30" i="18"/>
  <c r="AU30" i="18"/>
  <c r="AV30" i="18"/>
  <c r="AT38" i="18"/>
  <c r="AU38" i="18"/>
  <c r="AV38" i="18"/>
  <c r="AT46" i="18"/>
  <c r="AU46" i="18"/>
  <c r="AV46" i="18"/>
  <c r="AT54" i="18"/>
  <c r="AU54" i="18"/>
  <c r="AW54" i="18"/>
  <c r="AT58" i="18"/>
  <c r="AU58" i="18"/>
  <c r="AW58" i="18"/>
  <c r="AT66" i="18"/>
  <c r="AU66" i="18"/>
  <c r="AY66" i="18"/>
  <c r="AT74" i="18"/>
  <c r="AU74" i="18"/>
  <c r="AV74" i="18"/>
  <c r="AT82" i="18"/>
  <c r="AU82" i="18"/>
  <c r="AY82" i="18"/>
  <c r="AT86" i="18"/>
  <c r="AU86" i="18"/>
  <c r="AX86" i="18"/>
  <c r="AT94" i="18"/>
  <c r="AU94" i="18"/>
  <c r="AW94" i="18"/>
  <c r="AT102" i="18"/>
  <c r="AU102" i="18"/>
  <c r="AV102" i="18"/>
  <c r="AT114" i="18"/>
  <c r="AT122" i="18"/>
  <c r="AU122" i="18"/>
  <c r="AY122" i="18"/>
  <c r="AT130" i="18"/>
  <c r="AU130" i="18"/>
  <c r="AV130" i="18"/>
  <c r="AT138" i="18"/>
  <c r="AU138" i="18"/>
  <c r="AV138" i="18"/>
  <c r="AT7" i="18"/>
  <c r="AU7" i="18"/>
  <c r="AV7" i="18"/>
  <c r="AT15" i="18"/>
  <c r="AU15" i="18"/>
  <c r="AY15" i="18"/>
  <c r="AT23" i="18"/>
  <c r="AU23" i="18"/>
  <c r="AY23" i="18"/>
  <c r="AT31" i="18"/>
  <c r="AU31" i="18"/>
  <c r="AY31" i="18"/>
  <c r="AT35" i="18"/>
  <c r="AU35" i="18"/>
  <c r="AW35" i="18"/>
  <c r="AT43" i="18"/>
  <c r="AU43" i="18"/>
  <c r="AV43" i="18"/>
  <c r="AT55" i="18"/>
  <c r="AU55" i="18"/>
  <c r="AY55" i="18"/>
  <c r="AT63" i="18"/>
  <c r="AU63" i="18"/>
  <c r="AY63" i="18"/>
  <c r="AT71" i="18"/>
  <c r="AU71" i="18"/>
  <c r="AX71" i="18"/>
  <c r="AT75" i="18"/>
  <c r="AU75" i="18"/>
  <c r="AX75" i="18"/>
  <c r="AT83" i="18"/>
  <c r="AU83" i="18"/>
  <c r="AV83" i="18"/>
  <c r="AT95" i="18"/>
  <c r="AU95" i="18"/>
  <c r="AV95" i="18"/>
  <c r="AT103" i="18"/>
  <c r="AU103" i="18"/>
  <c r="AX103" i="18"/>
  <c r="AT111" i="18"/>
  <c r="AU111" i="18"/>
  <c r="AV111" i="18"/>
  <c r="AT119" i="18"/>
  <c r="AU119" i="18"/>
  <c r="AV119" i="18"/>
  <c r="AT127" i="18"/>
  <c r="AU127" i="18"/>
  <c r="AW127" i="18"/>
  <c r="AT135" i="18"/>
  <c r="AU135" i="18"/>
  <c r="AV135" i="18"/>
  <c r="AT5" i="18"/>
  <c r="AU5" i="18"/>
  <c r="AW5" i="18"/>
  <c r="AT9" i="18"/>
  <c r="AU9" i="18"/>
  <c r="AV9" i="18"/>
  <c r="AT13" i="18"/>
  <c r="AU13" i="18"/>
  <c r="AV13" i="18"/>
  <c r="AT17" i="18"/>
  <c r="AU17" i="18"/>
  <c r="AV17" i="18"/>
  <c r="AT21" i="18"/>
  <c r="AU21" i="18"/>
  <c r="AV21" i="18"/>
  <c r="AT25" i="18"/>
  <c r="AU25" i="18"/>
  <c r="AV25" i="18"/>
  <c r="AT29" i="18"/>
  <c r="AU29" i="18"/>
  <c r="AX29" i="18"/>
  <c r="AT33" i="18"/>
  <c r="AU33" i="18"/>
  <c r="AX33" i="18"/>
  <c r="AT37" i="18"/>
  <c r="AU37" i="18"/>
  <c r="AW37" i="18"/>
  <c r="AT41" i="18"/>
  <c r="AU41" i="18"/>
  <c r="AX41" i="18"/>
  <c r="AT45" i="18"/>
  <c r="AU45" i="18"/>
  <c r="AY45" i="18"/>
  <c r="AT49" i="18"/>
  <c r="AU49" i="18"/>
  <c r="AV49" i="18"/>
  <c r="AT53" i="18"/>
  <c r="AU53" i="18"/>
  <c r="AY53" i="18"/>
  <c r="AT57" i="18"/>
  <c r="AU57" i="18"/>
  <c r="AV57" i="18"/>
  <c r="AT61" i="18"/>
  <c r="AU61" i="18"/>
  <c r="AX61" i="18"/>
  <c r="AT65" i="18"/>
  <c r="AU65" i="18"/>
  <c r="AX65" i="18"/>
  <c r="AT69" i="18"/>
  <c r="AU69" i="18"/>
  <c r="AY69" i="18"/>
  <c r="AT73" i="18"/>
  <c r="AU73" i="18"/>
  <c r="AX73" i="18"/>
  <c r="AT77" i="18"/>
  <c r="AU77" i="18"/>
  <c r="AW77" i="18"/>
  <c r="AT81" i="18"/>
  <c r="AT85" i="18"/>
  <c r="AU85" i="18"/>
  <c r="AX85" i="18"/>
  <c r="AT89" i="18"/>
  <c r="AU89" i="18"/>
  <c r="AV89" i="18"/>
  <c r="AT93" i="18"/>
  <c r="AU93" i="18"/>
  <c r="AV93" i="18"/>
  <c r="AT97" i="18"/>
  <c r="AU97" i="18"/>
  <c r="AX97" i="18"/>
  <c r="AT101" i="18"/>
  <c r="AU101" i="18"/>
  <c r="AY101" i="18"/>
  <c r="AT105" i="18"/>
  <c r="AU105" i="18"/>
  <c r="AX105" i="18"/>
  <c r="AT109" i="18"/>
  <c r="AU109" i="18"/>
  <c r="AX109" i="18"/>
  <c r="AT113" i="18"/>
  <c r="AU113" i="18"/>
  <c r="AY113" i="18"/>
  <c r="AT117" i="18"/>
  <c r="AU117" i="18"/>
  <c r="AW117" i="18"/>
  <c r="AT121" i="18"/>
  <c r="AU121" i="18"/>
  <c r="AY121" i="18"/>
  <c r="AT125" i="18"/>
  <c r="AU125" i="18"/>
  <c r="AW125" i="18"/>
  <c r="AT129" i="18"/>
  <c r="AU129" i="18"/>
  <c r="AY129" i="18"/>
  <c r="AT133" i="18"/>
  <c r="AU133" i="18"/>
  <c r="AW133" i="18"/>
  <c r="AT137" i="18"/>
  <c r="AU137" i="18"/>
  <c r="AW137" i="18"/>
  <c r="AT6" i="18"/>
  <c r="AU6" i="18"/>
  <c r="AW6" i="18"/>
  <c r="AT14" i="18"/>
  <c r="AU14" i="18"/>
  <c r="AY14" i="18"/>
  <c r="AT22" i="18"/>
  <c r="AU22" i="18"/>
  <c r="AX22" i="18"/>
  <c r="AT26" i="18"/>
  <c r="AU26" i="18"/>
  <c r="AW26" i="18"/>
  <c r="AT34" i="18"/>
  <c r="AU34" i="18"/>
  <c r="AV34" i="18"/>
  <c r="AT42" i="18"/>
  <c r="AU42" i="18"/>
  <c r="AW42" i="18"/>
  <c r="AT50" i="18"/>
  <c r="AU50" i="18"/>
  <c r="AY50" i="18"/>
  <c r="AT62" i="18"/>
  <c r="AU62" i="18"/>
  <c r="AW62" i="18"/>
  <c r="AT70" i="18"/>
  <c r="AU70" i="18"/>
  <c r="AV70" i="18"/>
  <c r="AT78" i="18"/>
  <c r="AU78" i="18"/>
  <c r="AY78" i="18"/>
  <c r="AT90" i="18"/>
  <c r="AU90" i="18"/>
  <c r="AY90" i="18"/>
  <c r="AT98" i="18"/>
  <c r="AU98" i="18"/>
  <c r="AX98" i="18"/>
  <c r="AT106" i="18"/>
  <c r="AU106" i="18"/>
  <c r="AX106" i="18"/>
  <c r="AT110" i="18"/>
  <c r="AU110" i="18"/>
  <c r="AY110" i="18"/>
  <c r="AT118" i="18"/>
  <c r="AU118" i="18"/>
  <c r="AW118" i="18"/>
  <c r="AT126" i="18"/>
  <c r="AU126" i="18"/>
  <c r="AY126" i="18"/>
  <c r="AT134" i="18"/>
  <c r="AU134" i="18"/>
  <c r="AV134" i="18"/>
  <c r="AT11" i="18"/>
  <c r="AU11" i="18"/>
  <c r="AV11" i="18"/>
  <c r="AT19" i="18"/>
  <c r="AU19" i="18"/>
  <c r="AV19" i="18"/>
  <c r="AT27" i="18"/>
  <c r="AU27" i="18"/>
  <c r="AY27" i="18"/>
  <c r="AT39" i="18"/>
  <c r="AU39" i="18"/>
  <c r="AY39" i="18"/>
  <c r="AT47" i="18"/>
  <c r="AU47" i="18"/>
  <c r="AX47" i="18"/>
  <c r="AT51" i="18"/>
  <c r="AU51" i="18"/>
  <c r="AX51" i="18"/>
  <c r="AT59" i="18"/>
  <c r="AU59" i="18"/>
  <c r="AY59" i="18"/>
  <c r="AT67" i="18"/>
  <c r="AU67" i="18"/>
  <c r="AW67" i="18"/>
  <c r="AT79" i="18"/>
  <c r="AU79" i="18"/>
  <c r="AX79" i="18"/>
  <c r="AT87" i="18"/>
  <c r="AU87" i="18"/>
  <c r="AY87" i="18"/>
  <c r="AT91" i="18"/>
  <c r="AU91" i="18"/>
  <c r="AW91" i="18"/>
  <c r="AT99" i="18"/>
  <c r="AU99" i="18"/>
  <c r="AX99" i="18"/>
  <c r="AT107" i="18"/>
  <c r="AU107" i="18"/>
  <c r="AV107" i="18"/>
  <c r="AT115" i="18"/>
  <c r="AU115" i="18"/>
  <c r="AV115" i="18"/>
  <c r="AT123" i="18"/>
  <c r="AU123" i="18"/>
  <c r="AY123" i="18"/>
  <c r="AT131" i="18"/>
  <c r="AU131" i="18"/>
  <c r="AY131" i="18"/>
  <c r="DN13" i="8" a="1"/>
  <c r="DN13" i="8"/>
  <c r="DN19" i="8" a="1"/>
  <c r="DN19" i="8"/>
  <c r="DN24" i="8" a="1"/>
  <c r="DN24" i="8"/>
  <c r="DN101" i="8" a="1"/>
  <c r="DN101" i="8"/>
  <c r="DN104" i="8" a="1"/>
  <c r="DN104" i="8"/>
  <c r="DN90" i="8" a="1"/>
  <c r="DN90" i="8"/>
  <c r="DN25" i="8" a="1"/>
  <c r="DN25" i="8"/>
  <c r="DN12" i="8" a="1"/>
  <c r="DN12" i="8"/>
  <c r="DN31" i="8" a="1"/>
  <c r="DN31" i="8"/>
  <c r="DN116" i="8" a="1"/>
  <c r="DN116" i="8"/>
  <c r="DN99" i="8" a="1"/>
  <c r="DN99" i="8"/>
  <c r="DN135" i="8" a="1"/>
  <c r="DN135" i="8"/>
  <c r="DN91" i="8" a="1"/>
  <c r="DN91" i="8"/>
  <c r="DN86" i="8" a="1"/>
  <c r="DN86" i="8"/>
  <c r="DN45" i="8" a="1"/>
  <c r="DN45" i="8"/>
  <c r="DN34" i="8" a="1"/>
  <c r="DN34" i="8"/>
  <c r="DN50" i="8" a="1"/>
  <c r="DN50" i="8"/>
  <c r="DN96" i="8" a="1"/>
  <c r="DN96" i="8"/>
  <c r="DN143" i="8" a="1"/>
  <c r="DN143" i="8"/>
  <c r="DN100" i="8" a="1"/>
  <c r="DN100" i="8"/>
  <c r="DN66" i="8" a="1"/>
  <c r="DN66" i="8"/>
  <c r="DN61" i="8" a="1"/>
  <c r="DN61" i="8"/>
  <c r="DN112" i="8" a="1"/>
  <c r="DN112" i="8"/>
  <c r="DN32" i="8" a="1"/>
  <c r="DN32" i="8"/>
  <c r="DN75" i="8" a="1"/>
  <c r="DN75" i="8"/>
  <c r="DN60" i="8" a="1"/>
  <c r="DN60" i="8"/>
  <c r="DN69" i="8" a="1"/>
  <c r="DN69" i="8"/>
  <c r="DN64" i="8" a="1"/>
  <c r="DN64" i="8"/>
  <c r="DN70" i="8" a="1"/>
  <c r="DN70" i="8"/>
  <c r="DN43" i="8" a="1"/>
  <c r="DN43" i="8"/>
  <c r="DN71" i="8" a="1"/>
  <c r="DN71" i="8"/>
  <c r="DN111" i="8" a="1"/>
  <c r="DN111" i="8"/>
  <c r="DN51" i="8" a="1"/>
  <c r="DN51" i="8"/>
  <c r="DN52" i="8" a="1"/>
  <c r="DN52" i="8"/>
  <c r="DN130" i="8" a="1"/>
  <c r="DN130" i="8"/>
  <c r="DN55" i="8" a="1"/>
  <c r="DN55" i="8"/>
  <c r="DN17" i="8" a="1"/>
  <c r="DN17" i="8"/>
  <c r="DN80" i="8" a="1"/>
  <c r="DN80" i="8"/>
  <c r="DN97" i="8" a="1"/>
  <c r="DN97" i="8"/>
  <c r="DN124" i="8" a="1"/>
  <c r="DN124" i="8"/>
  <c r="DN127" i="8" a="1"/>
  <c r="DN127" i="8"/>
  <c r="DN85" i="8" a="1"/>
  <c r="DN85" i="8"/>
  <c r="DN95" i="8" a="1"/>
  <c r="DN95" i="8"/>
  <c r="DN138" i="8" a="1"/>
  <c r="DN138" i="8"/>
  <c r="DN110" i="8" a="1"/>
  <c r="DN110" i="8"/>
  <c r="DN79" i="8" a="1"/>
  <c r="DN79" i="8"/>
  <c r="DN88" i="8" a="1"/>
  <c r="DN88" i="8"/>
  <c r="DN21" i="8" a="1"/>
  <c r="DN21" i="8"/>
  <c r="DN125" i="8" a="1"/>
  <c r="DN125" i="8"/>
  <c r="AS124" i="17"/>
  <c r="DN114" i="8" a="1"/>
  <c r="DN114" i="8"/>
  <c r="DN20" i="8" a="1"/>
  <c r="DN20" i="8"/>
  <c r="DN115" i="8" a="1"/>
  <c r="DN115" i="8"/>
  <c r="DN117" i="8" a="1"/>
  <c r="DN117" i="8"/>
  <c r="DN102" i="8" a="1"/>
  <c r="DN102" i="8"/>
  <c r="DN81" i="8" a="1"/>
  <c r="DN81" i="8"/>
  <c r="DN141" i="8" a="1"/>
  <c r="DN141" i="8"/>
  <c r="AS125" i="17"/>
  <c r="J127" i="17"/>
  <c r="DN28" i="8" a="1"/>
  <c r="DN28" i="8"/>
  <c r="DN73" i="8" a="1"/>
  <c r="DN73" i="8"/>
  <c r="DN47" i="8" a="1"/>
  <c r="DN47" i="8"/>
  <c r="DN109" i="8" a="1"/>
  <c r="DN109" i="8"/>
  <c r="DN92" i="8" a="1"/>
  <c r="DN92" i="8"/>
  <c r="DN145" i="8" a="1"/>
  <c r="DN145" i="8"/>
  <c r="DN49" i="8" a="1"/>
  <c r="DN49" i="8"/>
  <c r="DN140" i="8" a="1"/>
  <c r="DN140" i="8"/>
  <c r="DN82" i="8" a="1"/>
  <c r="DN82" i="8"/>
  <c r="DN76" i="8" a="1"/>
  <c r="DN76" i="8"/>
  <c r="DN77" i="8" a="1"/>
  <c r="DN77" i="8"/>
  <c r="DN103" i="8" a="1"/>
  <c r="DN103" i="8"/>
  <c r="DN129" i="8" a="1"/>
  <c r="DN129" i="8"/>
  <c r="DN30" i="8" a="1"/>
  <c r="DN30" i="8"/>
  <c r="DN136" i="8" a="1"/>
  <c r="DN136" i="8"/>
  <c r="DN74" i="8" a="1"/>
  <c r="DN74" i="8"/>
  <c r="DN107" i="8" a="1"/>
  <c r="DN107" i="8"/>
  <c r="DN15" i="8" a="1"/>
  <c r="DN15" i="8"/>
  <c r="DN94" i="8" a="1"/>
  <c r="DN94" i="8"/>
  <c r="DN29" i="8" a="1"/>
  <c r="DN29" i="8"/>
  <c r="DN105" i="8" a="1"/>
  <c r="DN105" i="8"/>
  <c r="DN83" i="8" a="1"/>
  <c r="DN83" i="8"/>
  <c r="DN120" i="8" a="1"/>
  <c r="DN120" i="8"/>
  <c r="DN44" i="8" a="1"/>
  <c r="DN44" i="8"/>
  <c r="DN22" i="8" a="1"/>
  <c r="DN22" i="8"/>
  <c r="DN57" i="8" a="1"/>
  <c r="DN57" i="8"/>
  <c r="DN67" i="8" a="1"/>
  <c r="DN67" i="8"/>
  <c r="DN144" i="8" a="1"/>
  <c r="DN144" i="8"/>
  <c r="DN72" i="8" a="1"/>
  <c r="DN72" i="8"/>
  <c r="DN37" i="8" a="1"/>
  <c r="DN37" i="8"/>
  <c r="DN46" i="8" a="1"/>
  <c r="DN46" i="8"/>
  <c r="DN132" i="8" a="1"/>
  <c r="DN132" i="8"/>
  <c r="DN118" i="8" a="1"/>
  <c r="DN118" i="8"/>
  <c r="DN33" i="8" a="1"/>
  <c r="DN33" i="8"/>
  <c r="DN23" i="8" a="1"/>
  <c r="DN23" i="8"/>
  <c r="DN131" i="8" a="1"/>
  <c r="DN131" i="8"/>
  <c r="DN54" i="8" a="1"/>
  <c r="DN54" i="8"/>
  <c r="DN93" i="8" a="1"/>
  <c r="DN93" i="8"/>
  <c r="EV22" i="8"/>
  <c r="GE22" i="8"/>
  <c r="GF22" i="8"/>
  <c r="DN98" i="8" a="1"/>
  <c r="DN98" i="8"/>
  <c r="DN35" i="8" a="1"/>
  <c r="DN35" i="8"/>
  <c r="DN48" i="8" a="1"/>
  <c r="DN48" i="8"/>
  <c r="DN59" i="8" a="1"/>
  <c r="DN59" i="8"/>
  <c r="DN123" i="8" a="1"/>
  <c r="DN123" i="8"/>
  <c r="DN68" i="8" a="1"/>
  <c r="DN68" i="8"/>
  <c r="DN128" i="8" a="1"/>
  <c r="DN128" i="8"/>
  <c r="DN137" i="8" a="1"/>
  <c r="DN137" i="8"/>
  <c r="DN40" i="8" a="1"/>
  <c r="DN40" i="8"/>
  <c r="DN87" i="8" a="1"/>
  <c r="DN87" i="8"/>
  <c r="DN56" i="8" a="1"/>
  <c r="DN56" i="8"/>
  <c r="DN14" i="8" a="1"/>
  <c r="DN14" i="8"/>
  <c r="DN119" i="8" a="1"/>
  <c r="DN119" i="8"/>
  <c r="DN89" i="8" a="1"/>
  <c r="DN89" i="8"/>
  <c r="DN113" i="8" a="1"/>
  <c r="DN113" i="8"/>
  <c r="DN36" i="8" a="1"/>
  <c r="DN36" i="8"/>
  <c r="DN122" i="8" a="1"/>
  <c r="DN122" i="8"/>
  <c r="DN65" i="8" a="1"/>
  <c r="DN65" i="8"/>
  <c r="DN78" i="8" a="1"/>
  <c r="DN78" i="8"/>
  <c r="DN134" i="8" a="1"/>
  <c r="DN134" i="8"/>
  <c r="DN139" i="8" a="1"/>
  <c r="DN139" i="8"/>
  <c r="DN106" i="8" a="1"/>
  <c r="DN106" i="8"/>
  <c r="DN39" i="8" a="1"/>
  <c r="DN39" i="8"/>
  <c r="DN53" i="8" a="1"/>
  <c r="DN53" i="8"/>
  <c r="DN38" i="8" a="1"/>
  <c r="DN38" i="8"/>
  <c r="DN27" i="8" a="1"/>
  <c r="DN27" i="8"/>
  <c r="DN133" i="8" a="1"/>
  <c r="DN133" i="8"/>
  <c r="DN108" i="8" a="1"/>
  <c r="DN108" i="8"/>
  <c r="DN121" i="8" a="1"/>
  <c r="DN121" i="8"/>
  <c r="DN42" i="8" a="1"/>
  <c r="DN42" i="8"/>
  <c r="DN126" i="8" a="1"/>
  <c r="DN126" i="8"/>
  <c r="DN62" i="8" a="1"/>
  <c r="DN62" i="8"/>
  <c r="DN41" i="8" a="1"/>
  <c r="DN41" i="8"/>
  <c r="DN58" i="8" a="1"/>
  <c r="DN58" i="8"/>
  <c r="DN84" i="8" a="1"/>
  <c r="DN84" i="8"/>
  <c r="DN26" i="8" a="1"/>
  <c r="DN26" i="8"/>
  <c r="DN63" i="8" a="1"/>
  <c r="DN63" i="8"/>
  <c r="DN142" i="8" a="1"/>
  <c r="DN142" i="8"/>
  <c r="DN18" i="8" a="1"/>
  <c r="DN18" i="8"/>
  <c r="DN16" i="8" a="1"/>
  <c r="DN16" i="8"/>
  <c r="AS126" i="17"/>
  <c r="J128" i="17"/>
  <c r="AU96" i="18"/>
  <c r="AX96" i="18"/>
  <c r="AU81" i="18"/>
  <c r="AX81" i="18"/>
  <c r="AU114" i="18"/>
  <c r="AV114" i="18"/>
  <c r="GH12" i="8"/>
  <c r="AV128" i="18"/>
  <c r="AY40" i="18"/>
  <c r="AX111" i="18"/>
  <c r="AW17" i="18"/>
  <c r="AY48" i="18"/>
  <c r="AV6" i="18"/>
  <c r="AW7" i="18"/>
  <c r="AW96" i="18"/>
  <c r="AV65" i="18"/>
  <c r="AY58" i="18"/>
  <c r="AV76" i="18"/>
  <c r="AW123" i="18"/>
  <c r="AV55" i="18"/>
  <c r="AW65" i="18"/>
  <c r="AX93" i="18"/>
  <c r="AV96" i="18"/>
  <c r="AV56" i="18"/>
  <c r="AY19" i="18"/>
  <c r="GH67" i="8"/>
  <c r="GH78" i="8"/>
  <c r="GH90" i="8"/>
  <c r="GH129" i="8"/>
  <c r="GH40" i="8"/>
  <c r="GH22" i="8"/>
  <c r="GH75" i="8"/>
  <c r="GH134" i="8"/>
  <c r="GH88" i="8"/>
  <c r="GH48" i="8"/>
  <c r="GH26" i="8"/>
  <c r="GH39" i="8"/>
  <c r="GH70" i="8"/>
  <c r="GH66" i="8"/>
  <c r="GH126" i="8"/>
  <c r="GH44" i="8"/>
  <c r="GH79" i="8"/>
  <c r="GH100" i="8"/>
  <c r="GH63" i="8"/>
  <c r="GH47" i="8"/>
  <c r="GH95" i="8"/>
  <c r="GH118" i="8"/>
  <c r="GH49" i="8"/>
  <c r="GH52" i="8"/>
  <c r="GH34" i="8"/>
  <c r="GH72" i="8"/>
  <c r="GH139" i="8"/>
  <c r="GH102" i="8"/>
  <c r="GH20" i="8"/>
  <c r="GH80" i="8"/>
  <c r="GH132" i="8"/>
  <c r="GH32" i="8"/>
  <c r="GH36" i="8"/>
  <c r="GH81" i="8"/>
  <c r="AY130" i="18"/>
  <c r="AV92" i="18"/>
  <c r="AX128" i="18"/>
  <c r="AY13" i="18"/>
  <c r="AY25" i="18"/>
  <c r="AX113" i="18"/>
  <c r="AY128" i="18"/>
  <c r="AW22" i="18"/>
  <c r="AX135" i="18"/>
  <c r="AY21" i="18"/>
  <c r="AW16" i="18"/>
  <c r="AY111" i="18"/>
  <c r="AX119" i="18"/>
  <c r="AY43" i="18"/>
  <c r="AW73" i="18"/>
  <c r="AY103" i="18"/>
  <c r="AW98" i="18"/>
  <c r="AX90" i="18"/>
  <c r="AY124" i="18"/>
  <c r="AY125" i="18"/>
  <c r="AV78" i="18"/>
  <c r="AV58" i="18"/>
  <c r="AY96" i="18"/>
  <c r="AX55" i="18"/>
  <c r="AV52" i="18"/>
  <c r="AY65" i="18"/>
  <c r="AY61" i="18"/>
  <c r="AW55" i="18"/>
  <c r="AX58" i="18"/>
  <c r="AY105" i="18"/>
  <c r="AX74" i="18"/>
  <c r="AX62" i="18"/>
  <c r="AY57" i="18"/>
  <c r="AX124" i="18"/>
  <c r="AX114" i="18"/>
  <c r="AW4" i="18"/>
  <c r="AW124" i="18"/>
  <c r="AY6" i="18"/>
  <c r="AY51" i="18"/>
  <c r="AY138" i="18"/>
  <c r="AX68" i="18"/>
  <c r="AV110" i="18"/>
  <c r="AW122" i="18"/>
  <c r="AY20" i="18"/>
  <c r="GH111" i="8"/>
  <c r="GH123" i="8"/>
  <c r="GH114" i="8"/>
  <c r="GH145" i="8"/>
  <c r="GH53" i="8"/>
  <c r="GH130" i="8"/>
  <c r="GH96" i="8"/>
  <c r="GH85" i="8"/>
  <c r="GH98" i="8"/>
  <c r="GH60" i="8"/>
  <c r="GH62" i="8"/>
  <c r="GH110" i="8"/>
  <c r="GH124" i="8"/>
  <c r="GH54" i="8"/>
  <c r="GH82" i="8"/>
  <c r="GH31" i="8"/>
  <c r="GH138" i="8"/>
  <c r="GH42" i="8"/>
  <c r="GH141" i="8"/>
  <c r="GH61" i="8"/>
  <c r="GH37" i="8"/>
  <c r="GH16" i="8"/>
  <c r="GH23" i="8"/>
  <c r="GH120" i="8"/>
  <c r="GH57" i="8"/>
  <c r="GH137" i="8"/>
  <c r="GH27" i="8"/>
  <c r="BU12" i="1"/>
  <c r="GH113" i="8"/>
  <c r="GH55" i="8"/>
  <c r="GH84" i="8"/>
  <c r="GH94" i="8"/>
  <c r="GH112" i="8"/>
  <c r="GH38" i="8"/>
  <c r="GH116" i="8"/>
  <c r="GH64" i="8"/>
  <c r="GH89" i="8"/>
  <c r="GH86" i="8"/>
  <c r="GH28" i="8"/>
  <c r="GH104" i="8"/>
  <c r="GH71" i="8"/>
  <c r="GH127" i="8"/>
  <c r="GH77" i="8"/>
  <c r="GH119" i="8"/>
  <c r="GH142" i="8"/>
  <c r="GH108" i="8"/>
  <c r="GH35" i="8"/>
  <c r="GH45" i="8"/>
  <c r="GH15" i="8"/>
  <c r="GH74" i="8"/>
  <c r="GH105" i="8"/>
  <c r="GH73" i="8"/>
  <c r="GH50" i="8"/>
  <c r="GH24" i="8"/>
  <c r="GH125" i="8"/>
  <c r="GH128" i="8"/>
  <c r="GH76" i="8"/>
  <c r="GH83" i="8"/>
  <c r="GH140" i="8"/>
  <c r="GH68" i="8"/>
  <c r="GH99" i="8"/>
  <c r="GH131" i="8"/>
  <c r="GH115" i="8"/>
  <c r="GH135" i="8"/>
  <c r="GH91" i="8"/>
  <c r="GH106" i="8"/>
  <c r="GH143" i="8"/>
  <c r="GH133" i="8"/>
  <c r="GH121" i="8"/>
  <c r="GH43" i="8"/>
  <c r="GH18" i="8"/>
  <c r="GH25" i="8"/>
  <c r="GH21" i="8"/>
  <c r="GH117" i="8"/>
  <c r="GH17" i="8"/>
  <c r="GH136" i="8"/>
  <c r="GH51" i="8"/>
  <c r="AE6" i="15"/>
  <c r="GH122" i="8"/>
  <c r="GH65" i="8"/>
  <c r="GH13" i="8"/>
  <c r="GH69" i="8"/>
  <c r="GH109" i="8"/>
  <c r="GH107" i="8"/>
  <c r="GH103" i="8"/>
  <c r="GH144" i="8"/>
  <c r="GH93" i="8"/>
  <c r="GH46" i="8"/>
  <c r="GH87" i="8"/>
  <c r="GH11" i="8"/>
  <c r="GH29" i="8"/>
  <c r="GH14" i="8"/>
  <c r="GH58" i="8"/>
  <c r="GH30" i="8"/>
  <c r="GH101" i="8"/>
  <c r="GH41" i="8"/>
  <c r="GH33" i="8"/>
  <c r="GH97" i="8"/>
  <c r="GH92" i="8"/>
  <c r="GH19" i="8"/>
  <c r="GH59" i="8"/>
  <c r="GH56" i="8"/>
  <c r="AV71" i="18"/>
  <c r="AW36" i="18"/>
  <c r="AV137" i="18"/>
  <c r="AY17" i="18"/>
  <c r="AY76" i="18"/>
  <c r="AV48" i="18"/>
  <c r="AV103" i="18"/>
  <c r="AX133" i="18"/>
  <c r="AW119" i="18"/>
  <c r="AV85" i="18"/>
  <c r="AW43" i="18"/>
  <c r="AY10" i="18"/>
  <c r="AW31" i="18"/>
  <c r="AV73" i="18"/>
  <c r="AW111" i="18"/>
  <c r="AX54" i="18"/>
  <c r="AW71" i="18"/>
  <c r="AV54" i="18"/>
  <c r="AX43" i="18"/>
  <c r="AW103" i="18"/>
  <c r="AX10" i="18"/>
  <c r="AV31" i="18"/>
  <c r="AX91" i="18"/>
  <c r="AX53" i="18"/>
  <c r="AX37" i="18"/>
  <c r="AV118" i="18"/>
  <c r="AY47" i="18"/>
  <c r="AY26" i="18"/>
  <c r="AV112" i="18"/>
  <c r="AX112" i="18"/>
  <c r="AV77" i="18"/>
  <c r="AX130" i="18"/>
  <c r="AW53" i="18"/>
  <c r="AW47" i="18"/>
  <c r="AW99" i="18"/>
  <c r="AV106" i="18"/>
  <c r="AV37" i="18"/>
  <c r="AY52" i="18"/>
  <c r="AX125" i="18"/>
  <c r="AX26" i="18"/>
  <c r="AW82" i="18"/>
  <c r="AY118" i="18"/>
  <c r="AW130" i="18"/>
  <c r="AY71" i="18"/>
  <c r="AV126" i="18"/>
  <c r="AV53" i="18"/>
  <c r="AV47" i="18"/>
  <c r="AW100" i="18"/>
  <c r="AV105" i="18"/>
  <c r="AX117" i="18"/>
  <c r="AY120" i="18"/>
  <c r="AY37" i="18"/>
  <c r="AY119" i="18"/>
  <c r="AX52" i="18"/>
  <c r="AX17" i="18"/>
  <c r="AY12" i="18"/>
  <c r="AW112" i="18"/>
  <c r="AY85" i="18"/>
  <c r="AX63" i="18"/>
  <c r="AV69" i="18"/>
  <c r="AX48" i="18"/>
  <c r="AV125" i="18"/>
  <c r="AW10" i="18"/>
  <c r="AW129" i="18"/>
  <c r="AX72" i="18"/>
  <c r="AV26" i="18"/>
  <c r="AX118" i="18"/>
  <c r="AX31" i="18"/>
  <c r="AW75" i="18"/>
  <c r="AS127" i="17"/>
  <c r="J129" i="17"/>
  <c r="AX100" i="18"/>
  <c r="AX36" i="18"/>
  <c r="AY11" i="18"/>
  <c r="AW49" i="18"/>
  <c r="AV116" i="18"/>
  <c r="AW60" i="18"/>
  <c r="AW33" i="18"/>
  <c r="AV39" i="18"/>
  <c r="J130" i="17"/>
  <c r="AS128" i="17"/>
  <c r="AY107" i="18"/>
  <c r="AW88" i="18"/>
  <c r="AX83" i="18"/>
  <c r="AW34" i="18"/>
  <c r="AW41" i="18"/>
  <c r="AW81" i="18"/>
  <c r="AV24" i="18"/>
  <c r="AX25" i="18"/>
  <c r="AV113" i="18"/>
  <c r="AW121" i="18"/>
  <c r="AY5" i="18"/>
  <c r="AV131" i="18"/>
  <c r="AX50" i="18"/>
  <c r="AX19" i="18"/>
  <c r="AV5" i="18"/>
  <c r="AW84" i="18"/>
  <c r="AY135" i="18"/>
  <c r="AV98" i="18"/>
  <c r="AX121" i="18"/>
  <c r="AX5" i="18"/>
  <c r="AX21" i="18"/>
  <c r="AY132" i="18"/>
  <c r="AX102" i="18"/>
  <c r="AY32" i="18"/>
  <c r="AY67" i="18"/>
  <c r="AY30" i="18"/>
  <c r="AV45" i="18"/>
  <c r="AW46" i="18"/>
  <c r="AY94" i="18"/>
  <c r="AW25" i="18"/>
  <c r="AV104" i="18"/>
  <c r="AV28" i="18"/>
  <c r="AV121" i="18"/>
  <c r="AW21" i="18"/>
  <c r="AW50" i="18"/>
  <c r="AW19" i="18"/>
  <c r="AW97" i="18"/>
  <c r="AX42" i="18"/>
  <c r="AX101" i="18"/>
  <c r="AY115" i="18"/>
  <c r="AY46" i="18"/>
  <c r="AW108" i="18"/>
  <c r="AV97" i="18"/>
  <c r="AY42" i="18"/>
  <c r="AW104" i="18"/>
  <c r="AY92" i="18"/>
  <c r="AY89" i="18"/>
  <c r="AW80" i="18"/>
  <c r="AX56" i="18"/>
  <c r="AX108" i="18"/>
  <c r="AX87" i="18"/>
  <c r="AX84" i="18"/>
  <c r="AW101" i="18"/>
  <c r="AW132" i="18"/>
  <c r="AX115" i="18"/>
  <c r="AX28" i="18"/>
  <c r="AX89" i="18"/>
  <c r="AV86" i="18"/>
  <c r="AV22" i="18"/>
  <c r="AV16" i="18"/>
  <c r="AV80" i="18"/>
  <c r="AX13" i="18"/>
  <c r="AX15" i="18"/>
  <c r="AV94" i="18"/>
  <c r="AX70" i="18"/>
  <c r="AX131" i="18"/>
  <c r="AW90" i="18"/>
  <c r="AW15" i="18"/>
  <c r="AW87" i="18"/>
  <c r="AV66" i="18"/>
  <c r="AW70" i="18"/>
  <c r="AW66" i="18"/>
  <c r="AY97" i="18"/>
  <c r="AV42" i="18"/>
  <c r="AV84" i="18"/>
  <c r="AW135" i="18"/>
  <c r="AY98" i="18"/>
  <c r="AV101" i="18"/>
  <c r="AW113" i="18"/>
  <c r="AX132" i="18"/>
  <c r="AY104" i="18"/>
  <c r="AW115" i="18"/>
  <c r="AW92" i="18"/>
  <c r="AY28" i="18"/>
  <c r="AX46" i="18"/>
  <c r="AW89" i="18"/>
  <c r="AW131" i="18"/>
  <c r="AV90" i="18"/>
  <c r="AV50" i="18"/>
  <c r="AY22" i="18"/>
  <c r="AY16" i="18"/>
  <c r="AY80" i="18"/>
  <c r="AW13" i="18"/>
  <c r="AV15" i="18"/>
  <c r="AW56" i="18"/>
  <c r="AV87" i="18"/>
  <c r="AX94" i="18"/>
  <c r="AV108" i="18"/>
  <c r="AY70" i="18"/>
  <c r="AX66" i="18"/>
  <c r="AX95" i="18"/>
  <c r="AY109" i="18"/>
  <c r="AV64" i="18"/>
  <c r="AX8" i="18"/>
  <c r="AW59" i="18"/>
  <c r="AY44" i="18"/>
  <c r="AV27" i="18"/>
  <c r="AW38" i="18"/>
  <c r="AX134" i="18"/>
  <c r="AV79" i="18"/>
  <c r="AV23" i="18"/>
  <c r="AV29" i="18"/>
  <c r="AX126" i="18"/>
  <c r="AV117" i="18"/>
  <c r="AW12" i="18"/>
  <c r="AY49" i="18"/>
  <c r="AY68" i="18"/>
  <c r="AX40" i="18"/>
  <c r="AY60" i="18"/>
  <c r="AW110" i="18"/>
  <c r="AY7" i="18"/>
  <c r="AV75" i="18"/>
  <c r="AW51" i="18"/>
  <c r="AV61" i="18"/>
  <c r="AY114" i="18"/>
  <c r="AW138" i="18"/>
  <c r="AX123" i="18"/>
  <c r="AX57" i="18"/>
  <c r="AY4" i="18"/>
  <c r="AY116" i="18"/>
  <c r="AY77" i="18"/>
  <c r="AX69" i="18"/>
  <c r="AY74" i="18"/>
  <c r="AX122" i="18"/>
  <c r="AX78" i="18"/>
  <c r="AV62" i="18"/>
  <c r="AW20" i="18"/>
  <c r="AY93" i="18"/>
  <c r="AW126" i="18"/>
  <c r="AX6" i="18"/>
  <c r="AV14" i="18"/>
  <c r="AV51" i="18"/>
  <c r="AW61" i="18"/>
  <c r="AW105" i="18"/>
  <c r="AW114" i="18"/>
  <c r="AY117" i="18"/>
  <c r="AX138" i="18"/>
  <c r="AV123" i="18"/>
  <c r="AW57" i="18"/>
  <c r="AV12" i="18"/>
  <c r="AX49" i="18"/>
  <c r="AX136" i="18"/>
  <c r="AX4" i="18"/>
  <c r="AX116" i="18"/>
  <c r="AX77" i="18"/>
  <c r="AW68" i="18"/>
  <c r="AV40" i="18"/>
  <c r="AV60" i="18"/>
  <c r="AW69" i="18"/>
  <c r="AX110" i="18"/>
  <c r="AX7" i="18"/>
  <c r="AV35" i="18"/>
  <c r="AW74" i="18"/>
  <c r="AV122" i="18"/>
  <c r="AW78" i="18"/>
  <c r="AY62" i="18"/>
  <c r="AY75" i="18"/>
  <c r="AV20" i="18"/>
  <c r="AW93" i="18"/>
  <c r="AW11" i="18"/>
  <c r="AY137" i="18"/>
  <c r="AV136" i="18"/>
  <c r="AV63" i="18"/>
  <c r="AY24" i="18"/>
  <c r="AW107" i="18"/>
  <c r="AX9" i="18"/>
  <c r="AY86" i="18"/>
  <c r="AV129" i="18"/>
  <c r="AW29" i="18"/>
  <c r="AY18" i="18"/>
  <c r="AY73" i="18"/>
  <c r="AY88" i="18"/>
  <c r="AW83" i="18"/>
  <c r="AW9" i="18"/>
  <c r="AY54" i="18"/>
  <c r="AW85" i="18"/>
  <c r="AV81" i="18"/>
  <c r="AY33" i="18"/>
  <c r="AW86" i="18"/>
  <c r="AW72" i="18"/>
  <c r="AX24" i="18"/>
  <c r="AY133" i="18"/>
  <c r="AY91" i="18"/>
  <c r="AY29" i="18"/>
  <c r="AV18" i="18"/>
  <c r="AX107" i="18"/>
  <c r="AY100" i="18"/>
  <c r="AV88" i="18"/>
  <c r="AY83" i="18"/>
  <c r="AY36" i="18"/>
  <c r="AY9" i="18"/>
  <c r="AX11" i="18"/>
  <c r="AX137" i="18"/>
  <c r="AW136" i="18"/>
  <c r="AX127" i="18"/>
  <c r="AY81" i="18"/>
  <c r="AW63" i="18"/>
  <c r="AX76" i="18"/>
  <c r="AV33" i="18"/>
  <c r="AX129" i="18"/>
  <c r="AV72" i="18"/>
  <c r="AV133" i="18"/>
  <c r="AV91" i="18"/>
  <c r="AW18" i="18"/>
  <c r="AW44" i="18"/>
  <c r="AY95" i="18"/>
  <c r="AV59" i="18"/>
  <c r="AX45" i="18"/>
  <c r="AY8" i="18"/>
  <c r="AX14" i="18"/>
  <c r="AY102" i="18"/>
  <c r="AV67" i="18"/>
  <c r="AX27" i="18"/>
  <c r="AV99" i="18"/>
  <c r="AX30" i="18"/>
  <c r="AY38" i="18"/>
  <c r="AW106" i="18"/>
  <c r="AY134" i="18"/>
  <c r="AY34" i="18"/>
  <c r="AW120" i="18"/>
  <c r="AV41" i="18"/>
  <c r="AV109" i="18"/>
  <c r="AY127" i="18"/>
  <c r="AW79" i="18"/>
  <c r="AW23" i="18"/>
  <c r="AX35" i="18"/>
  <c r="AX39" i="18"/>
  <c r="AX82" i="18"/>
  <c r="AX64" i="18"/>
  <c r="AW32" i="18"/>
  <c r="AX44" i="18"/>
  <c r="AW95" i="18"/>
  <c r="AX59" i="18"/>
  <c r="AW45" i="18"/>
  <c r="AW8" i="18"/>
  <c r="AW14" i="18"/>
  <c r="AW102" i="18"/>
  <c r="AX67" i="18"/>
  <c r="AW27" i="18"/>
  <c r="AY99" i="18"/>
  <c r="AW30" i="18"/>
  <c r="AX38" i="18"/>
  <c r="AY106" i="18"/>
  <c r="AW134" i="18"/>
  <c r="AX34" i="18"/>
  <c r="AX120" i="18"/>
  <c r="AY41" i="18"/>
  <c r="AW109" i="18"/>
  <c r="AV127" i="18"/>
  <c r="AY79" i="18"/>
  <c r="AX23" i="18"/>
  <c r="AY35" i="18"/>
  <c r="AW39" i="18"/>
  <c r="AV82" i="18"/>
  <c r="AY64" i="18"/>
  <c r="AX32" i="18"/>
  <c r="GI117" i="8" a="1"/>
  <c r="GI117" i="8"/>
  <c r="B112" i="9"/>
  <c r="V112" i="9"/>
  <c r="GI97" i="8" a="1"/>
  <c r="GI97" i="8"/>
  <c r="B92" i="9"/>
  <c r="BJ92" i="9" a="1"/>
  <c r="BJ92" i="9"/>
  <c r="GI56" i="8" a="1"/>
  <c r="GI56" i="8"/>
  <c r="B51" i="9"/>
  <c r="AQ51" i="9" a="1"/>
  <c r="AQ51" i="9"/>
  <c r="GI30" i="8" a="1"/>
  <c r="GI30" i="8"/>
  <c r="B25" i="9"/>
  <c r="CD25" i="9" a="1"/>
  <c r="CD25" i="9"/>
  <c r="GE49" i="1"/>
  <c r="GI88" i="8" a="1"/>
  <c r="GI88" i="8"/>
  <c r="B83" i="9"/>
  <c r="F83" i="9"/>
  <c r="GI115" i="8" a="1"/>
  <c r="GI115" i="8"/>
  <c r="B110" i="9"/>
  <c r="L110" i="9"/>
  <c r="GI15" i="8" a="1"/>
  <c r="GI15" i="8"/>
  <c r="B10" i="9"/>
  <c r="BQ10" i="9" a="1"/>
  <c r="BQ10" i="9"/>
  <c r="DK33" i="1"/>
  <c r="GI23" i="8" a="1"/>
  <c r="GI23" i="8"/>
  <c r="B18" i="9"/>
  <c r="AX18" i="9"/>
  <c r="BC42" i="1"/>
  <c r="GI16" i="8" a="1"/>
  <c r="GI16" i="8"/>
  <c r="B11" i="9"/>
  <c r="BN11" i="9" a="1"/>
  <c r="BN11" i="9"/>
  <c r="BO34" i="1"/>
  <c r="GI64" i="8" a="1"/>
  <c r="GI64" i="8"/>
  <c r="B59" i="9"/>
  <c r="U59" i="9"/>
  <c r="GI25" i="8" a="1"/>
  <c r="GI25" i="8"/>
  <c r="B20" i="9"/>
  <c r="BD20" i="9" a="1"/>
  <c r="BD20" i="9"/>
  <c r="EI44" i="1"/>
  <c r="GI74" i="8" a="1"/>
  <c r="GI74" i="8"/>
  <c r="B69" i="9"/>
  <c r="CB69" i="9" a="1"/>
  <c r="CB69" i="9"/>
  <c r="GI17" i="8" a="1"/>
  <c r="GI17" i="8"/>
  <c r="B12" i="9"/>
  <c r="BI12" i="9" a="1"/>
  <c r="BI12" i="9"/>
  <c r="FS35" i="1"/>
  <c r="GI34" i="8" a="1"/>
  <c r="GI34" i="8"/>
  <c r="B29" i="9"/>
  <c r="BT29" i="9" a="1"/>
  <c r="BT29" i="9"/>
  <c r="GI110" i="8" a="1"/>
  <c r="GI110" i="8"/>
  <c r="B105" i="9"/>
  <c r="F105" i="9"/>
  <c r="GI11" i="8" a="1"/>
  <c r="GI11" i="8"/>
  <c r="B6" i="9"/>
  <c r="GI109" i="8" a="1"/>
  <c r="GI109" i="8"/>
  <c r="B104" i="9"/>
  <c r="AG104" i="9"/>
  <c r="GI40" i="8" a="1"/>
  <c r="GI40" i="8"/>
  <c r="B35" i="9"/>
  <c r="GI67" i="8" a="1"/>
  <c r="GI67" i="8"/>
  <c r="B62" i="9"/>
  <c r="GI75" i="8" a="1"/>
  <c r="GI75" i="8"/>
  <c r="B70" i="9"/>
  <c r="BT70" i="9" a="1"/>
  <c r="BT70" i="9"/>
  <c r="GI29" i="8" a="1"/>
  <c r="GI29" i="8"/>
  <c r="B24" i="9"/>
  <c r="GI126" i="8" a="1"/>
  <c r="GI126" i="8"/>
  <c r="B121" i="9"/>
  <c r="AM121" i="9" a="1"/>
  <c r="AM121" i="9"/>
  <c r="GI84" i="8" a="1"/>
  <c r="GI84" i="8"/>
  <c r="B79" i="9"/>
  <c r="GI141" i="8" a="1"/>
  <c r="GI141" i="8"/>
  <c r="B136" i="9"/>
  <c r="L136" i="9"/>
  <c r="GI66" i="8" a="1"/>
  <c r="GI66" i="8"/>
  <c r="B61" i="9"/>
  <c r="AJ61" i="9" a="1"/>
  <c r="AJ61" i="9"/>
  <c r="GI36" i="8" a="1"/>
  <c r="GI36" i="8"/>
  <c r="B31" i="9"/>
  <c r="BM31" i="9" a="1"/>
  <c r="BM31" i="9"/>
  <c r="GI118" i="8" a="1"/>
  <c r="GI118" i="8"/>
  <c r="B113" i="9"/>
  <c r="Z113" i="9"/>
  <c r="GI14" i="8" a="1"/>
  <c r="GI14" i="8"/>
  <c r="B9" i="9"/>
  <c r="AB9" i="9"/>
  <c r="AC9" i="9"/>
  <c r="GI81" i="8" a="1"/>
  <c r="GI81" i="8"/>
  <c r="B76" i="9"/>
  <c r="CC76" i="9" a="1"/>
  <c r="CC76" i="9"/>
  <c r="GI28" i="8" a="1"/>
  <c r="GI28" i="8"/>
  <c r="B23" i="9"/>
  <c r="AD23" i="9"/>
  <c r="GI27" i="8" a="1"/>
  <c r="GI27" i="8"/>
  <c r="B22" i="9"/>
  <c r="BM22" i="9" a="1"/>
  <c r="BM22" i="9"/>
  <c r="BG46" i="1"/>
  <c r="GI53" i="8" a="1"/>
  <c r="GI53" i="8"/>
  <c r="B48" i="9"/>
  <c r="AU48" i="9" a="1"/>
  <c r="AU48" i="9"/>
  <c r="GI62" i="8" a="1"/>
  <c r="GI62" i="8"/>
  <c r="B57" i="9"/>
  <c r="E57" i="9"/>
  <c r="GI105" i="8" a="1"/>
  <c r="GI105" i="8"/>
  <c r="B100" i="9"/>
  <c r="AM100" i="9" a="1"/>
  <c r="AM100" i="9"/>
  <c r="GI94" i="8" a="1"/>
  <c r="GI94" i="8"/>
  <c r="B89" i="9"/>
  <c r="D89" i="9"/>
  <c r="GI125" i="8" a="1"/>
  <c r="GI125" i="8"/>
  <c r="B120" i="9"/>
  <c r="BT120" i="9" a="1"/>
  <c r="BT120" i="9"/>
  <c r="GI99" i="8" a="1"/>
  <c r="GI99" i="8"/>
  <c r="B94" i="9"/>
  <c r="CB94" i="9" a="1"/>
  <c r="CB94" i="9"/>
  <c r="GI21" i="8" a="1"/>
  <c r="GI21" i="8"/>
  <c r="B16" i="9"/>
  <c r="BA16" i="9" a="1"/>
  <c r="BA16" i="9"/>
  <c r="CA40" i="1"/>
  <c r="GI20" i="8" a="1"/>
  <c r="GI20" i="8"/>
  <c r="B15" i="9"/>
  <c r="BT15" i="9" a="1"/>
  <c r="BT15" i="9"/>
  <c r="FG38" i="1"/>
  <c r="GI93" i="8" a="1"/>
  <c r="GI93" i="8"/>
  <c r="B88" i="9"/>
  <c r="GI46" i="8" a="1"/>
  <c r="GI46" i="8"/>
  <c r="B41" i="9"/>
  <c r="GI100" i="8" a="1"/>
  <c r="GI100" i="8"/>
  <c r="B95" i="9"/>
  <c r="GI63" i="8" a="1"/>
  <c r="GI63" i="8"/>
  <c r="B58" i="9"/>
  <c r="GI101" i="8" a="1"/>
  <c r="GI101" i="8"/>
  <c r="B96" i="9"/>
  <c r="GI95" i="8" a="1"/>
  <c r="GI95" i="8"/>
  <c r="B90" i="9"/>
  <c r="Y90" i="9"/>
  <c r="GI71" i="8" a="1"/>
  <c r="GI71" i="8"/>
  <c r="B66" i="9"/>
  <c r="BF66" i="9" a="1"/>
  <c r="BF66" i="9"/>
  <c r="GI82" i="8" a="1"/>
  <c r="GI82" i="8"/>
  <c r="B77" i="9"/>
  <c r="Y77" i="9"/>
  <c r="GI80" i="8" a="1"/>
  <c r="GI80" i="8"/>
  <c r="B75" i="9"/>
  <c r="BT75" i="9" a="1"/>
  <c r="BT75" i="9"/>
  <c r="GI129" i="8" a="1"/>
  <c r="GI129" i="8"/>
  <c r="B124" i="9"/>
  <c r="M124" i="9"/>
  <c r="GI44" i="8" a="1"/>
  <c r="GI44" i="8"/>
  <c r="B39" i="9"/>
  <c r="GI12" i="8" a="1"/>
  <c r="GI12" i="8"/>
  <c r="B7" i="9"/>
  <c r="AT7" i="9" a="1"/>
  <c r="AT7" i="9"/>
  <c r="GI68" i="8" a="1"/>
  <c r="GI68" i="8"/>
  <c r="B63" i="9"/>
  <c r="AP63" i="9" a="1"/>
  <c r="AP63" i="9"/>
  <c r="GI33" i="8" a="1"/>
  <c r="GI33" i="8"/>
  <c r="B28" i="9"/>
  <c r="GI79" i="8" a="1"/>
  <c r="GI79" i="8"/>
  <c r="B74" i="9"/>
  <c r="AB74" i="9"/>
  <c r="AC74" i="9"/>
  <c r="GI119" i="8" a="1"/>
  <c r="GI119" i="8"/>
  <c r="B114" i="9"/>
  <c r="AL114" i="9" a="1"/>
  <c r="AL114" i="9"/>
  <c r="AV114" i="9"/>
  <c r="GI77" i="8" a="1"/>
  <c r="GI77" i="8"/>
  <c r="B72" i="9"/>
  <c r="AO72" i="9" a="1"/>
  <c r="AO72" i="9"/>
  <c r="GI50" i="8" a="1"/>
  <c r="GI50" i="8"/>
  <c r="B45" i="9"/>
  <c r="BH45" i="9" a="1"/>
  <c r="BH45" i="9"/>
  <c r="GI85" i="8" a="1"/>
  <c r="GI85" i="8"/>
  <c r="B80" i="9"/>
  <c r="BF80" i="9" a="1"/>
  <c r="BF80" i="9"/>
  <c r="GI114" i="8" a="1"/>
  <c r="GI114" i="8"/>
  <c r="B109" i="9"/>
  <c r="AO109" i="9" a="1"/>
  <c r="AO109" i="9"/>
  <c r="GI98" i="8" a="1"/>
  <c r="GI98" i="8"/>
  <c r="B93" i="9"/>
  <c r="AQ93" i="9" a="1"/>
  <c r="AQ93" i="9"/>
  <c r="GI54" i="8" a="1"/>
  <c r="GI54" i="8"/>
  <c r="B49" i="9"/>
  <c r="Z49" i="9"/>
  <c r="GI120" i="8" a="1"/>
  <c r="GI120" i="8"/>
  <c r="B115" i="9"/>
  <c r="S115" i="9" a="1"/>
  <c r="S115" i="9"/>
  <c r="GI113" i="8" a="1"/>
  <c r="GI113" i="8"/>
  <c r="B108" i="9"/>
  <c r="AX108" i="9"/>
  <c r="GI65" i="8" a="1"/>
  <c r="GI65" i="8"/>
  <c r="B60" i="9"/>
  <c r="AQ60" i="9" a="1"/>
  <c r="AQ60" i="9"/>
  <c r="GI122" i="8" a="1"/>
  <c r="GI122" i="8"/>
  <c r="B117" i="9"/>
  <c r="I117" i="9"/>
  <c r="GI59" i="8" a="1"/>
  <c r="GI59" i="8"/>
  <c r="B54" i="9"/>
  <c r="J54" i="9"/>
  <c r="GI139" i="8" a="1"/>
  <c r="GI139" i="8"/>
  <c r="B134" i="9"/>
  <c r="GI102" i="8" a="1"/>
  <c r="GI102" i="8"/>
  <c r="B97" i="9"/>
  <c r="BR97" i="9" a="1"/>
  <c r="BR97" i="9"/>
  <c r="GI47" i="8" a="1"/>
  <c r="GI47" i="8"/>
  <c r="B42" i="9"/>
  <c r="GI143" i="8" a="1"/>
  <c r="GI143" i="8"/>
  <c r="B138" i="9"/>
  <c r="AS138" i="9" a="1"/>
  <c r="AS138" i="9"/>
  <c r="GI132" i="8" a="1"/>
  <c r="GI132" i="8"/>
  <c r="B127" i="9"/>
  <c r="F127" i="9"/>
  <c r="GI138" i="8" a="1"/>
  <c r="GI138" i="8"/>
  <c r="B133" i="9"/>
  <c r="BC133" i="9" a="1"/>
  <c r="BC133" i="9"/>
  <c r="GI70" i="8" a="1"/>
  <c r="GI70" i="8"/>
  <c r="B65" i="9"/>
  <c r="BA65" i="9" a="1"/>
  <c r="BA65" i="9"/>
  <c r="GI52" i="8" a="1"/>
  <c r="GI52" i="8"/>
  <c r="B47" i="9"/>
  <c r="U47" i="9"/>
  <c r="GI90" i="8" a="1"/>
  <c r="GI90" i="8"/>
  <c r="B85" i="9"/>
  <c r="BD85" i="9" a="1"/>
  <c r="BD85" i="9"/>
  <c r="GI92" i="8" a="1"/>
  <c r="GI92" i="8"/>
  <c r="B87" i="9"/>
  <c r="P87" i="9"/>
  <c r="GI72" i="8" a="1"/>
  <c r="GI72" i="8"/>
  <c r="B67" i="9"/>
  <c r="BC67" i="9" a="1"/>
  <c r="BC67" i="9"/>
  <c r="GI135" i="8" a="1"/>
  <c r="GI135" i="8"/>
  <c r="B130" i="9"/>
  <c r="BE130" i="9" a="1"/>
  <c r="BE130" i="9"/>
  <c r="GI57" i="8" a="1"/>
  <c r="GI57" i="8"/>
  <c r="B52" i="9"/>
  <c r="BJ52" i="9" a="1"/>
  <c r="BJ52" i="9"/>
  <c r="GI145" i="8" a="1"/>
  <c r="GI145" i="8"/>
  <c r="B140" i="9"/>
  <c r="CC140" i="9" a="1"/>
  <c r="CC140" i="9"/>
  <c r="GI31" i="8" a="1"/>
  <c r="GI31" i="8"/>
  <c r="B26" i="9"/>
  <c r="U26" i="9"/>
  <c r="GI45" i="8" a="1"/>
  <c r="GI45" i="8"/>
  <c r="B40" i="9"/>
  <c r="AJ40" i="9" a="1"/>
  <c r="AJ40" i="9"/>
  <c r="GI89" i="8" a="1"/>
  <c r="GI89" i="8"/>
  <c r="B84" i="9"/>
  <c r="AJ84" i="9" a="1"/>
  <c r="AJ84" i="9"/>
  <c r="GI142" i="8" a="1"/>
  <c r="GI142" i="8"/>
  <c r="B137" i="9"/>
  <c r="BA137" i="9" a="1"/>
  <c r="BA137" i="9"/>
  <c r="GI73" i="8" a="1"/>
  <c r="GI73" i="8"/>
  <c r="B68" i="9"/>
  <c r="D68" i="9"/>
  <c r="GI140" i="8" a="1"/>
  <c r="GI140" i="8"/>
  <c r="B135" i="9"/>
  <c r="S135" i="9" a="1"/>
  <c r="S135" i="9"/>
  <c r="GI91" i="8" a="1"/>
  <c r="GI91" i="8"/>
  <c r="B86" i="9"/>
  <c r="G86" i="9"/>
  <c r="GI18" i="8" a="1"/>
  <c r="GI18" i="8"/>
  <c r="B13" i="9"/>
  <c r="BO13" i="9" a="1"/>
  <c r="BO13" i="9"/>
  <c r="BK36" i="1"/>
  <c r="GI133" i="8" a="1"/>
  <c r="GI133" i="8"/>
  <c r="B128" i="9"/>
  <c r="BR128" i="9" a="1"/>
  <c r="BR128" i="9"/>
  <c r="GI124" i="8" a="1"/>
  <c r="GI124" i="8"/>
  <c r="B119" i="9"/>
  <c r="BB119" i="9" a="1"/>
  <c r="BB119" i="9"/>
  <c r="GI49" i="8" a="1"/>
  <c r="GI49" i="8"/>
  <c r="B44" i="9"/>
  <c r="V44" i="9"/>
  <c r="GI78" i="8" a="1"/>
  <c r="GI78" i="8"/>
  <c r="B73" i="9"/>
  <c r="Q73" i="9" a="1"/>
  <c r="Q73" i="9"/>
  <c r="GI61" i="8" a="1"/>
  <c r="GI61" i="8"/>
  <c r="B56" i="9"/>
  <c r="U56" i="9"/>
  <c r="GI96" i="8" a="1"/>
  <c r="GI96" i="8"/>
  <c r="B91" i="9"/>
  <c r="P91" i="9"/>
  <c r="GI116" i="8" a="1"/>
  <c r="GI116" i="8"/>
  <c r="B111" i="9"/>
  <c r="BR111" i="9" a="1"/>
  <c r="BR111" i="9"/>
  <c r="GI35" i="8" a="1"/>
  <c r="GI35" i="8"/>
  <c r="B30" i="9"/>
  <c r="AT30" i="9" a="1"/>
  <c r="AT30" i="9"/>
  <c r="GI131" i="8" a="1"/>
  <c r="GI131" i="8"/>
  <c r="B126" i="9"/>
  <c r="AR126" i="9" a="1"/>
  <c r="AR126" i="9"/>
  <c r="GI107" i="8" a="1"/>
  <c r="GI107" i="8"/>
  <c r="B102" i="9"/>
  <c r="GI13" i="8" a="1"/>
  <c r="GI13" i="8"/>
  <c r="B8" i="9"/>
  <c r="GI48" i="8" a="1"/>
  <c r="GI48" i="8"/>
  <c r="B43" i="9"/>
  <c r="BF43" i="9" a="1"/>
  <c r="BF43" i="9"/>
  <c r="GI39" i="8" a="1"/>
  <c r="GI39" i="8"/>
  <c r="B34" i="9"/>
  <c r="CB34" i="9" a="1"/>
  <c r="CB34" i="9"/>
  <c r="GI32" i="8" a="1"/>
  <c r="GI32" i="8"/>
  <c r="B27" i="9"/>
  <c r="BK27" i="9" a="1"/>
  <c r="BK27" i="9"/>
  <c r="GI112" i="8" a="1"/>
  <c r="GI112" i="8"/>
  <c r="B107" i="9"/>
  <c r="BR107" i="9" a="1"/>
  <c r="BR107" i="9"/>
  <c r="GI37" i="8" a="1"/>
  <c r="GI37" i="8"/>
  <c r="B32" i="9"/>
  <c r="F32" i="9"/>
  <c r="GI104" i="8" a="1"/>
  <c r="GI104" i="8"/>
  <c r="B99" i="9"/>
  <c r="BL99" i="9" a="1"/>
  <c r="BL99" i="9"/>
  <c r="GI128" i="8" a="1"/>
  <c r="GI128" i="8"/>
  <c r="B123" i="9"/>
  <c r="AK123" i="9" a="1"/>
  <c r="AK123" i="9"/>
  <c r="GI19" i="8" a="1"/>
  <c r="GI19" i="8"/>
  <c r="B14" i="9"/>
  <c r="BD14" i="9" a="1"/>
  <c r="BD14" i="9"/>
  <c r="EI37" i="1"/>
  <c r="GI103" i="8" a="1"/>
  <c r="GI103" i="8"/>
  <c r="B98" i="9"/>
  <c r="BR98" i="9" a="1"/>
  <c r="BR98" i="9"/>
  <c r="GI26" i="8" a="1"/>
  <c r="GI26" i="8"/>
  <c r="B21" i="9"/>
  <c r="GI134" i="8" a="1"/>
  <c r="GI134" i="8"/>
  <c r="B129" i="9"/>
  <c r="BC129" i="9" a="1"/>
  <c r="BC129" i="9"/>
  <c r="GI58" i="8" a="1"/>
  <c r="GI58" i="8"/>
  <c r="B53" i="9"/>
  <c r="CA53" i="9" a="1"/>
  <c r="CA53" i="9"/>
  <c r="GI111" i="8" a="1"/>
  <c r="GI111" i="8"/>
  <c r="B106" i="9"/>
  <c r="AE106" i="9"/>
  <c r="AF106" i="9"/>
  <c r="GI137" i="8" a="1"/>
  <c r="GI137" i="8"/>
  <c r="B132" i="9"/>
  <c r="GI127" i="8" a="1"/>
  <c r="GI127" i="8"/>
  <c r="B122" i="9"/>
  <c r="G122" i="9"/>
  <c r="GI76" i="8" a="1"/>
  <c r="GI76" i="8"/>
  <c r="B71" i="9"/>
  <c r="BF71" i="9" a="1"/>
  <c r="BF71" i="9"/>
  <c r="GI22" i="8" a="1"/>
  <c r="GI22" i="8"/>
  <c r="B17" i="9"/>
  <c r="AP17" i="9" a="1"/>
  <c r="AP17" i="9"/>
  <c r="GI69" i="8" a="1"/>
  <c r="GI69" i="8"/>
  <c r="B64" i="9"/>
  <c r="AL64" i="9" a="1"/>
  <c r="AL64" i="9"/>
  <c r="AV64" i="9"/>
  <c r="GI106" i="8" a="1"/>
  <c r="GI106" i="8"/>
  <c r="B101" i="9"/>
  <c r="CF101" i="9"/>
  <c r="GI41" i="8" a="1"/>
  <c r="GI41" i="8"/>
  <c r="B36" i="9"/>
  <c r="AP36" i="9" a="1"/>
  <c r="AP36" i="9"/>
  <c r="GI83" i="8" a="1"/>
  <c r="GI83" i="8"/>
  <c r="B78" i="9"/>
  <c r="U78" i="9"/>
  <c r="GI24" i="8" a="1"/>
  <c r="GI24" i="8"/>
  <c r="B19" i="9"/>
  <c r="BW19" i="9" a="1"/>
  <c r="BW19" i="9"/>
  <c r="FO43" i="1"/>
  <c r="GI108" i="8" a="1"/>
  <c r="GI108" i="8"/>
  <c r="B103" i="9"/>
  <c r="BN103" i="9" a="1"/>
  <c r="BN103" i="9"/>
  <c r="GI86" i="8" a="1"/>
  <c r="GI86" i="8"/>
  <c r="B81" i="9"/>
  <c r="AL81" i="9" a="1"/>
  <c r="AL81" i="9"/>
  <c r="AW81" i="9"/>
  <c r="GI38" i="8" a="1"/>
  <c r="GI38" i="8"/>
  <c r="B33" i="9"/>
  <c r="V33" i="9"/>
  <c r="GI55" i="8" a="1"/>
  <c r="GI55" i="8"/>
  <c r="B50" i="9"/>
  <c r="K50" i="9"/>
  <c r="GI42" i="8" a="1"/>
  <c r="GI42" i="8"/>
  <c r="B37" i="9"/>
  <c r="BE37" i="9" a="1"/>
  <c r="BE37" i="9"/>
  <c r="GI60" i="8" a="1"/>
  <c r="GI60" i="8"/>
  <c r="B55" i="9"/>
  <c r="J55" i="9"/>
  <c r="GI130" i="8" a="1"/>
  <c r="GI130" i="8"/>
  <c r="B125" i="9"/>
  <c r="Z125" i="9"/>
  <c r="GI123" i="8" a="1"/>
  <c r="GI123" i="8"/>
  <c r="B118" i="9"/>
  <c r="BA118" i="9" a="1"/>
  <c r="BA118" i="9"/>
  <c r="GI51" i="8" a="1"/>
  <c r="GI51" i="8"/>
  <c r="B46" i="9"/>
  <c r="GI136" i="8" a="1"/>
  <c r="GI136" i="8"/>
  <c r="B131" i="9"/>
  <c r="GI144" i="8" a="1"/>
  <c r="GI144" i="8"/>
  <c r="B139" i="9"/>
  <c r="GI43" i="8" a="1"/>
  <c r="GI43" i="8"/>
  <c r="B38" i="9"/>
  <c r="GI87" i="8" a="1"/>
  <c r="GI87" i="8"/>
  <c r="B82" i="9"/>
  <c r="GI121" i="8" a="1"/>
  <c r="GI121" i="8"/>
  <c r="B116" i="9"/>
  <c r="J131" i="17"/>
  <c r="AS129" i="17"/>
  <c r="AS130" i="17"/>
  <c r="J132" i="17"/>
  <c r="AM112" i="9" a="1"/>
  <c r="AM112" i="9"/>
  <c r="BR112" i="9" a="1"/>
  <c r="BR112" i="9"/>
  <c r="AK112" i="9" a="1"/>
  <c r="AK112" i="9"/>
  <c r="Q112" i="9" a="1"/>
  <c r="Q112" i="9"/>
  <c r="AY112" i="9" a="1"/>
  <c r="AY112" i="9"/>
  <c r="D112" i="9"/>
  <c r="BF112" i="9" a="1"/>
  <c r="BF112" i="9"/>
  <c r="BS112" i="9" a="1"/>
  <c r="BS112" i="9"/>
  <c r="BN112" i="9" a="1"/>
  <c r="BN112" i="9"/>
  <c r="AO112" i="9" a="1"/>
  <c r="AO112" i="9"/>
  <c r="BZ112" i="9" a="1"/>
  <c r="BZ112" i="9"/>
  <c r="AU112" i="9" a="1"/>
  <c r="AU112" i="9"/>
  <c r="BW112" i="9" a="1"/>
  <c r="BW112" i="9"/>
  <c r="BE112" i="9" a="1"/>
  <c r="BE112" i="9"/>
  <c r="J112" i="9"/>
  <c r="F112" i="9"/>
  <c r="CD112" i="9" a="1"/>
  <c r="CD112" i="9"/>
  <c r="AI112" i="9" a="1"/>
  <c r="AI112" i="9"/>
  <c r="AT112" i="9" a="1"/>
  <c r="AT112" i="9"/>
  <c r="BU112" i="9" a="1"/>
  <c r="BU112" i="9"/>
  <c r="BT112" i="9" a="1"/>
  <c r="BT112" i="9"/>
  <c r="BM112" i="9" a="1"/>
  <c r="BM112" i="9"/>
  <c r="AB112" i="9"/>
  <c r="AC112" i="9"/>
  <c r="AN112" i="9" a="1"/>
  <c r="AN112" i="9"/>
  <c r="AG112" i="9"/>
  <c r="N112" i="9"/>
  <c r="BQ112" i="9" a="1"/>
  <c r="BQ112" i="9"/>
  <c r="BO112" i="9" a="1"/>
  <c r="BO112" i="9"/>
  <c r="AP112" i="9" a="1"/>
  <c r="AP112" i="9"/>
  <c r="BL112" i="9" a="1"/>
  <c r="BL112" i="9"/>
  <c r="AJ112" i="9" a="1"/>
  <c r="AJ112" i="9"/>
  <c r="G112" i="9"/>
  <c r="S112" i="9" a="1"/>
  <c r="S112" i="9"/>
  <c r="K112" i="9"/>
  <c r="BK112" i="9" a="1"/>
  <c r="BK112" i="9"/>
  <c r="AS112" i="9" a="1"/>
  <c r="AS112" i="9"/>
  <c r="M112" i="9"/>
  <c r="CF112" i="9"/>
  <c r="Y112" i="9"/>
  <c r="AD112" i="9"/>
  <c r="BJ112" i="9" a="1"/>
  <c r="BJ112" i="9"/>
  <c r="BB112" i="9" a="1"/>
  <c r="BB112" i="9"/>
  <c r="AR112" i="9" a="1"/>
  <c r="AR112" i="9"/>
  <c r="I112" i="9"/>
  <c r="Z112" i="9"/>
  <c r="T112" i="9"/>
  <c r="P112" i="9"/>
  <c r="AQ112" i="9" a="1"/>
  <c r="AQ112" i="9"/>
  <c r="CB112" i="9" a="1"/>
  <c r="CB112" i="9"/>
  <c r="O112" i="9"/>
  <c r="L112" i="9"/>
  <c r="E112" i="9"/>
  <c r="BI112" i="9" a="1"/>
  <c r="BI112" i="9"/>
  <c r="AZ112" i="9" a="1"/>
  <c r="AZ112" i="9"/>
  <c r="U112" i="9"/>
  <c r="CC112" i="9" a="1"/>
  <c r="CC112" i="9"/>
  <c r="BG112" i="9" a="1"/>
  <c r="BG112" i="9"/>
  <c r="BD112" i="9" a="1"/>
  <c r="BD112" i="9"/>
  <c r="BC112" i="9" a="1"/>
  <c r="BC112" i="9"/>
  <c r="X112" i="9"/>
  <c r="BH112" i="9" a="1"/>
  <c r="BH112" i="9"/>
  <c r="AE112" i="9"/>
  <c r="AF112" i="9"/>
  <c r="BA112" i="9" a="1"/>
  <c r="BA112" i="9"/>
  <c r="AL112" i="9" a="1"/>
  <c r="AL112" i="9"/>
  <c r="AW112" i="9"/>
  <c r="AX112" i="9"/>
  <c r="CA112" i="9" a="1"/>
  <c r="CA112" i="9"/>
  <c r="AR51" i="9" a="1"/>
  <c r="AR51" i="9"/>
  <c r="K51" i="9"/>
  <c r="BE92" i="9" a="1"/>
  <c r="BE92" i="9"/>
  <c r="J110" i="9"/>
  <c r="BT51" i="9" a="1"/>
  <c r="BT51" i="9"/>
  <c r="AN51" i="9" a="1"/>
  <c r="AN51" i="9"/>
  <c r="AX51" i="9"/>
  <c r="BN51" i="9" a="1"/>
  <c r="BN51" i="9"/>
  <c r="X51" i="9"/>
  <c r="T51" i="9"/>
  <c r="BD25" i="9" a="1"/>
  <c r="BD25" i="9"/>
  <c r="EI49" i="1"/>
  <c r="AD92" i="9"/>
  <c r="AP51" i="9" a="1"/>
  <c r="AP51" i="9"/>
  <c r="BJ51" i="9" a="1"/>
  <c r="BJ51" i="9"/>
  <c r="AT51" i="9" a="1"/>
  <c r="AT51" i="9"/>
  <c r="BI51" i="9" a="1"/>
  <c r="BI51" i="9"/>
  <c r="N51" i="9"/>
  <c r="V51" i="9"/>
  <c r="BE51" i="9" a="1"/>
  <c r="BE51" i="9"/>
  <c r="AY51" i="9" a="1"/>
  <c r="AY51" i="9"/>
  <c r="BW51" i="9" a="1"/>
  <c r="BW51" i="9"/>
  <c r="BK51" i="9" a="1"/>
  <c r="BK51" i="9"/>
  <c r="AO51" i="9" a="1"/>
  <c r="AO51" i="9"/>
  <c r="AM51" i="9" a="1"/>
  <c r="AM51" i="9"/>
  <c r="BA51" i="9" a="1"/>
  <c r="BA51" i="9"/>
  <c r="AG51" i="9"/>
  <c r="Z51" i="9"/>
  <c r="M51" i="9"/>
  <c r="O51" i="9"/>
  <c r="E51" i="9"/>
  <c r="F51" i="9"/>
  <c r="P92" i="9"/>
  <c r="AB92" i="9"/>
  <c r="AC92" i="9"/>
  <c r="AI51" i="9" a="1"/>
  <c r="AI51" i="9"/>
  <c r="CC51" i="9" a="1"/>
  <c r="CC51" i="9"/>
  <c r="Y51" i="9"/>
  <c r="CA51" i="9" a="1"/>
  <c r="CA51" i="9"/>
  <c r="S51" i="9" a="1"/>
  <c r="S51" i="9"/>
  <c r="AZ51" i="9" a="1"/>
  <c r="AZ51" i="9"/>
  <c r="BH51" i="9" a="1"/>
  <c r="BH51" i="9"/>
  <c r="BR51" i="9" a="1"/>
  <c r="BR51" i="9"/>
  <c r="BD51" i="9" a="1"/>
  <c r="BD51" i="9"/>
  <c r="P51" i="9"/>
  <c r="AN25" i="9" a="1"/>
  <c r="AN25" i="9"/>
  <c r="AL51" i="9" a="1"/>
  <c r="AL51" i="9"/>
  <c r="AV51" i="9"/>
  <c r="CF51" i="9"/>
  <c r="I51" i="9"/>
  <c r="BF51" i="9" a="1"/>
  <c r="BF51" i="9"/>
  <c r="AE51" i="9"/>
  <c r="AF51" i="9"/>
  <c r="BO51" i="9" a="1"/>
  <c r="BO51" i="9"/>
  <c r="AU51" i="9" a="1"/>
  <c r="AU51" i="9"/>
  <c r="BQ51" i="9" a="1"/>
  <c r="BQ51" i="9"/>
  <c r="U51" i="9"/>
  <c r="BG51" i="9" a="1"/>
  <c r="BG51" i="9"/>
  <c r="CB51" i="9" a="1"/>
  <c r="CB51" i="9"/>
  <c r="AJ51" i="9" a="1"/>
  <c r="AJ51" i="9"/>
  <c r="BB51" i="9" a="1"/>
  <c r="BB51" i="9"/>
  <c r="BZ51" i="9" a="1"/>
  <c r="BZ51" i="9"/>
  <c r="V25" i="9"/>
  <c r="AU110" i="9" a="1"/>
  <c r="AU110" i="9"/>
  <c r="U92" i="9"/>
  <c r="CD110" i="9" a="1"/>
  <c r="CD110" i="9"/>
  <c r="D110" i="9"/>
  <c r="AG92" i="9"/>
  <c r="AU92" i="9" a="1"/>
  <c r="AU92" i="9"/>
  <c r="E92" i="9"/>
  <c r="BM92" i="9" a="1"/>
  <c r="BM92" i="9"/>
  <c r="AS92" i="9" a="1"/>
  <c r="AS92" i="9"/>
  <c r="BA110" i="9" a="1"/>
  <c r="BA110" i="9"/>
  <c r="M92" i="9"/>
  <c r="Z92" i="9"/>
  <c r="AY92" i="9" a="1"/>
  <c r="AY92" i="9"/>
  <c r="BH12" i="9" a="1"/>
  <c r="BH12" i="9"/>
  <c r="DC35" i="1"/>
  <c r="BH57" i="9" a="1"/>
  <c r="BH57" i="9"/>
  <c r="I115" i="9"/>
  <c r="AP61" i="9" a="1"/>
  <c r="AP61" i="9"/>
  <c r="AX92" i="9"/>
  <c r="BU92" i="9" a="1"/>
  <c r="BU92" i="9"/>
  <c r="AP92" i="9" a="1"/>
  <c r="AP92" i="9"/>
  <c r="AQ110" i="9" a="1"/>
  <c r="AQ110" i="9"/>
  <c r="Q12" i="9" a="1"/>
  <c r="Q12" i="9"/>
  <c r="AG35" i="1"/>
  <c r="AX110" i="9"/>
  <c r="P110" i="9"/>
  <c r="BF110" i="9" a="1"/>
  <c r="BF110" i="9"/>
  <c r="BE110" i="9" a="1"/>
  <c r="BE110" i="9"/>
  <c r="AY110" i="9" a="1"/>
  <c r="AY110" i="9"/>
  <c r="AE110" i="9"/>
  <c r="AF110" i="9"/>
  <c r="O92" i="9"/>
  <c r="AM92" i="9" a="1"/>
  <c r="AM92" i="9"/>
  <c r="AO92" i="9" a="1"/>
  <c r="AO92" i="9"/>
  <c r="AJ92" i="9" a="1"/>
  <c r="AJ92" i="9"/>
  <c r="BG92" i="9" a="1"/>
  <c r="BG92" i="9"/>
  <c r="D92" i="9"/>
  <c r="CA92" i="9" a="1"/>
  <c r="CA92" i="9"/>
  <c r="AL92" i="9" a="1"/>
  <c r="AL92" i="9"/>
  <c r="AW92" i="9"/>
  <c r="Y92" i="9"/>
  <c r="BF12" i="9" a="1"/>
  <c r="BF12" i="9"/>
  <c r="EQ35" i="1"/>
  <c r="BB12" i="9" a="1"/>
  <c r="BB12" i="9"/>
  <c r="BW35" i="1"/>
  <c r="F110" i="9"/>
  <c r="AD110" i="9"/>
  <c r="BR110" i="9" a="1"/>
  <c r="BR110" i="9"/>
  <c r="I110" i="9"/>
  <c r="CF110" i="9"/>
  <c r="BK92" i="9" a="1"/>
  <c r="BK92" i="9"/>
  <c r="AQ92" i="9" a="1"/>
  <c r="AQ92" i="9"/>
  <c r="BW92" i="9" a="1"/>
  <c r="BW92" i="9"/>
  <c r="BC92" i="9" a="1"/>
  <c r="BC92" i="9"/>
  <c r="Q92" i="9" a="1"/>
  <c r="Q92" i="9"/>
  <c r="J92" i="9"/>
  <c r="CB92" i="9" a="1"/>
  <c r="CB92" i="9"/>
  <c r="BO92" i="9" a="1"/>
  <c r="BO92" i="9"/>
  <c r="AI92" i="9" a="1"/>
  <c r="AI92" i="9"/>
  <c r="BF92" i="9" a="1"/>
  <c r="BF92" i="9"/>
  <c r="AR92" i="9" a="1"/>
  <c r="AR92" i="9"/>
  <c r="AK92" i="9" a="1"/>
  <c r="AK92" i="9"/>
  <c r="E12" i="9"/>
  <c r="D35" i="1"/>
  <c r="BD110" i="9" a="1"/>
  <c r="BD110" i="9"/>
  <c r="AK110" i="9" a="1"/>
  <c r="AK110" i="9"/>
  <c r="BM110" i="9" a="1"/>
  <c r="BM110" i="9"/>
  <c r="AT110" i="9" a="1"/>
  <c r="AT110" i="9"/>
  <c r="BS110" i="9" a="1"/>
  <c r="BS110" i="9"/>
  <c r="CC110" i="9" a="1"/>
  <c r="CC110" i="9"/>
  <c r="CD92" i="9" a="1"/>
  <c r="CD92" i="9"/>
  <c r="CF92" i="9"/>
  <c r="CC92" i="9" a="1"/>
  <c r="CC92" i="9"/>
  <c r="BS92" i="9" a="1"/>
  <c r="BS92" i="9"/>
  <c r="BT92" i="9" a="1"/>
  <c r="BT92" i="9"/>
  <c r="BI92" i="9" a="1"/>
  <c r="BI92" i="9"/>
  <c r="BZ92" i="9" a="1"/>
  <c r="BZ92" i="9"/>
  <c r="BR92" i="9" a="1"/>
  <c r="BR92" i="9"/>
  <c r="AZ92" i="9" a="1"/>
  <c r="AZ92" i="9"/>
  <c r="L92" i="9"/>
  <c r="T92" i="9"/>
  <c r="BN92" i="9" a="1"/>
  <c r="BN92" i="9"/>
  <c r="G92" i="9"/>
  <c r="V45" i="9"/>
  <c r="AT76" i="9" a="1"/>
  <c r="AT76" i="9"/>
  <c r="BL94" i="9" a="1"/>
  <c r="BL94" i="9"/>
  <c r="BU49" i="9" a="1"/>
  <c r="BU49" i="9"/>
  <c r="U76" i="9"/>
  <c r="AS57" i="9" a="1"/>
  <c r="AS57" i="9"/>
  <c r="AN59" i="9" a="1"/>
  <c r="AN59" i="9"/>
  <c r="BW59" i="9" a="1"/>
  <c r="BW59" i="9"/>
  <c r="J59" i="9"/>
  <c r="BE12" i="9" a="1"/>
  <c r="BE12" i="9"/>
  <c r="EM35" i="1"/>
  <c r="AJ12" i="9" a="1"/>
  <c r="AJ12" i="9"/>
  <c r="BS12" i="9" a="1"/>
  <c r="BS12" i="9"/>
  <c r="FC35" i="1"/>
  <c r="BL12" i="9" a="1"/>
  <c r="BL12" i="9"/>
  <c r="EU35" i="1"/>
  <c r="BU12" i="9" a="1"/>
  <c r="BU12" i="9"/>
  <c r="FK35" i="1"/>
  <c r="AY59" i="9" a="1"/>
  <c r="AY59" i="9"/>
  <c r="CC94" i="9" a="1"/>
  <c r="CC94" i="9"/>
  <c r="J57" i="9"/>
  <c r="AU57" i="9" a="1"/>
  <c r="AU57" i="9"/>
  <c r="X59" i="9"/>
  <c r="CC59" i="9" a="1"/>
  <c r="CC59" i="9"/>
  <c r="O59" i="9"/>
  <c r="BN76" i="9" a="1"/>
  <c r="BN76" i="9"/>
  <c r="N12" i="9"/>
  <c r="E13" i="12"/>
  <c r="AL12" i="9" a="1"/>
  <c r="AL12" i="9"/>
  <c r="AW12" i="9"/>
  <c r="AI12" i="9" a="1"/>
  <c r="AI12" i="9"/>
  <c r="CF12" i="9"/>
  <c r="BS35" i="1"/>
  <c r="AS12" i="9" a="1"/>
  <c r="AS12" i="9"/>
  <c r="AD57" i="9"/>
  <c r="BR57" i="9" a="1"/>
  <c r="BR57" i="9"/>
  <c r="BM57" i="9" a="1"/>
  <c r="BM57" i="9"/>
  <c r="N76" i="9"/>
  <c r="BA59" i="9" a="1"/>
  <c r="BA59" i="9"/>
  <c r="BL59" i="9" a="1"/>
  <c r="BL59" i="9"/>
  <c r="BS59" i="9" a="1"/>
  <c r="BS59" i="9"/>
  <c r="Y59" i="9"/>
  <c r="BB59" i="9" a="1"/>
  <c r="BB59" i="9"/>
  <c r="BG59" i="9" a="1"/>
  <c r="BG59" i="9"/>
  <c r="BG76" i="9" a="1"/>
  <c r="BG76" i="9"/>
  <c r="M76" i="9"/>
  <c r="AE94" i="9"/>
  <c r="AF94" i="9"/>
  <c r="Q59" i="9" a="1"/>
  <c r="Q59" i="9"/>
  <c r="S59" i="9" a="1"/>
  <c r="S59" i="9"/>
  <c r="AL59" i="9" a="1"/>
  <c r="AL59" i="9"/>
  <c r="AW59" i="9"/>
  <c r="P61" i="9"/>
  <c r="BQ12" i="9" a="1"/>
  <c r="BQ12" i="9"/>
  <c r="DK35" i="1"/>
  <c r="D12" i="9"/>
  <c r="I35" i="1"/>
  <c r="P12" i="9"/>
  <c r="G13" i="12"/>
  <c r="O12" i="9"/>
  <c r="F13" i="12"/>
  <c r="BK12" i="9" a="1"/>
  <c r="BK12" i="9"/>
  <c r="GA35" i="1"/>
  <c r="BE57" i="9" a="1"/>
  <c r="BE57" i="9"/>
  <c r="V57" i="9"/>
  <c r="AO57" i="9" a="1"/>
  <c r="AO57" i="9"/>
  <c r="BU59" i="9" a="1"/>
  <c r="BU59" i="9"/>
  <c r="D59" i="9"/>
  <c r="AU59" i="9" a="1"/>
  <c r="AU59" i="9"/>
  <c r="AB59" i="9"/>
  <c r="AC59" i="9"/>
  <c r="AE59" i="9"/>
  <c r="AF59" i="9"/>
  <c r="AG76" i="9"/>
  <c r="AN12" i="9" a="1"/>
  <c r="AN12" i="9"/>
  <c r="BO83" i="9" a="1"/>
  <c r="BO83" i="9"/>
  <c r="AK25" i="9" a="1"/>
  <c r="AK25" i="9"/>
  <c r="S25" i="9" a="1"/>
  <c r="S25" i="9"/>
  <c r="DG49" i="1"/>
  <c r="M12" i="9"/>
  <c r="D13" i="12"/>
  <c r="BT12" i="9" a="1"/>
  <c r="BT12" i="9"/>
  <c r="FG35" i="1"/>
  <c r="AD12" i="9"/>
  <c r="AX12" i="9"/>
  <c r="BC35" i="1"/>
  <c r="Z12" i="9"/>
  <c r="AM12" i="9" a="1"/>
  <c r="AM12" i="9"/>
  <c r="AP12" i="9" a="1"/>
  <c r="AP12" i="9"/>
  <c r="AP110" i="9" a="1"/>
  <c r="AP110" i="9"/>
  <c r="BU110" i="9" a="1"/>
  <c r="BU110" i="9"/>
  <c r="M59" i="9"/>
  <c r="AE57" i="9"/>
  <c r="AF57" i="9"/>
  <c r="BB94" i="9" a="1"/>
  <c r="BB94" i="9"/>
  <c r="T57" i="9"/>
  <c r="AI57" i="9" a="1"/>
  <c r="AI57" i="9"/>
  <c r="BH76" i="9" a="1"/>
  <c r="BH76" i="9"/>
  <c r="K59" i="9"/>
  <c r="AR59" i="9" a="1"/>
  <c r="AR59" i="9"/>
  <c r="BF59" i="9" a="1"/>
  <c r="BF59" i="9"/>
  <c r="E110" i="9"/>
  <c r="Y110" i="9"/>
  <c r="CB110" i="9" a="1"/>
  <c r="CB110" i="9"/>
  <c r="P59" i="9"/>
  <c r="AZ45" i="9" a="1"/>
  <c r="AZ45" i="9"/>
  <c r="BS45" i="9" a="1"/>
  <c r="BS45" i="9"/>
  <c r="BO59" i="9" a="1"/>
  <c r="BO59" i="9"/>
  <c r="AJ59" i="9" a="1"/>
  <c r="AJ59" i="9"/>
  <c r="G110" i="9"/>
  <c r="AN76" i="9" a="1"/>
  <c r="AN76" i="9"/>
  <c r="Z94" i="9"/>
  <c r="CD12" i="9" a="1"/>
  <c r="CD12" i="9"/>
  <c r="GE35" i="1"/>
  <c r="BU76" i="9" a="1"/>
  <c r="BU76" i="9"/>
  <c r="AB61" i="9"/>
  <c r="AC61" i="9"/>
  <c r="BK25" i="9" a="1"/>
  <c r="BK25" i="9"/>
  <c r="GA49" i="1"/>
  <c r="AG25" i="9"/>
  <c r="AP25" i="9" a="1"/>
  <c r="AP25" i="9"/>
  <c r="G25" i="9"/>
  <c r="P49" i="1"/>
  <c r="AE92" i="9"/>
  <c r="AF92" i="9"/>
  <c r="BL92" i="9" a="1"/>
  <c r="BL92" i="9"/>
  <c r="AT92" i="9" a="1"/>
  <c r="AT92" i="9"/>
  <c r="BB92" i="9" a="1"/>
  <c r="BB92" i="9"/>
  <c r="N92" i="9"/>
  <c r="BD92" i="9" a="1"/>
  <c r="BD92" i="9"/>
  <c r="V92" i="9"/>
  <c r="AN92" i="9" a="1"/>
  <c r="AN92" i="9"/>
  <c r="X92" i="9"/>
  <c r="K92" i="9"/>
  <c r="F92" i="9"/>
  <c r="I92" i="9"/>
  <c r="S92" i="9" a="1"/>
  <c r="S92" i="9"/>
  <c r="BH92" i="9" a="1"/>
  <c r="BH92" i="9"/>
  <c r="BQ92" i="9" a="1"/>
  <c r="BQ92" i="9"/>
  <c r="BA92" i="9" a="1"/>
  <c r="BA92" i="9"/>
  <c r="Y49" i="9"/>
  <c r="BR49" i="9" a="1"/>
  <c r="BR49" i="9"/>
  <c r="AY25" i="9" a="1"/>
  <c r="AY25" i="9"/>
  <c r="CI49" i="1"/>
  <c r="E25" i="9"/>
  <c r="D49" i="1"/>
  <c r="BB25" i="9" a="1"/>
  <c r="BB25" i="9"/>
  <c r="BW49" i="1"/>
  <c r="BU25" i="9" a="1"/>
  <c r="BU25" i="9"/>
  <c r="FK49" i="1"/>
  <c r="P25" i="9"/>
  <c r="DW49" i="1"/>
  <c r="BQ25" i="9" a="1"/>
  <c r="BQ25" i="9"/>
  <c r="DK49" i="1"/>
  <c r="BH25" i="9" a="1"/>
  <c r="BH25" i="9"/>
  <c r="DC49" i="1"/>
  <c r="BM25" i="9" a="1"/>
  <c r="BM25" i="9"/>
  <c r="BG49" i="1"/>
  <c r="Q25" i="9" a="1"/>
  <c r="Q25" i="9"/>
  <c r="AG49" i="1"/>
  <c r="AE25" i="9"/>
  <c r="AF25" i="9"/>
  <c r="BT25" i="9" a="1"/>
  <c r="BT25" i="9"/>
  <c r="FG49" i="1"/>
  <c r="BZ25" i="9" a="1"/>
  <c r="BZ25" i="9"/>
  <c r="AL49" i="1"/>
  <c r="BR25" i="9" a="1"/>
  <c r="BR25" i="9"/>
  <c r="EY49" i="1"/>
  <c r="BO25" i="9" a="1"/>
  <c r="BO25" i="9"/>
  <c r="BK49" i="1"/>
  <c r="I25" i="9"/>
  <c r="AB49" i="1"/>
  <c r="BJ25" i="9" a="1"/>
  <c r="BJ25" i="9"/>
  <c r="FW49" i="1"/>
  <c r="CC25" i="9" a="1"/>
  <c r="CC25" i="9"/>
  <c r="AU49" i="1"/>
  <c r="U25" i="9"/>
  <c r="BF25" i="9" a="1"/>
  <c r="BF25" i="9"/>
  <c r="EQ49" i="1"/>
  <c r="CA25" i="9" a="1"/>
  <c r="CA25" i="9"/>
  <c r="AQ49" i="1"/>
  <c r="BN25" i="9" a="1"/>
  <c r="BN25" i="9"/>
  <c r="BO49" i="1"/>
  <c r="N25" i="9"/>
  <c r="DO49" i="1"/>
  <c r="BG25" i="9" a="1"/>
  <c r="BG25" i="9"/>
  <c r="EA49" i="1"/>
  <c r="O25" i="9"/>
  <c r="DS49" i="1"/>
  <c r="AI25" i="9" a="1"/>
  <c r="AI25" i="9"/>
  <c r="AT25" i="9" a="1"/>
  <c r="AT25" i="9"/>
  <c r="AZ25" i="9" a="1"/>
  <c r="AZ25" i="9"/>
  <c r="CE49" i="1"/>
  <c r="AD25" i="9"/>
  <c r="BA25" i="9" a="1"/>
  <c r="BA25" i="9"/>
  <c r="CA49" i="1"/>
  <c r="BC25" i="9" a="1"/>
  <c r="BC25" i="9"/>
  <c r="EE49" i="1"/>
  <c r="AM25" i="9" a="1"/>
  <c r="AM25" i="9"/>
  <c r="BE25" i="9" a="1"/>
  <c r="BE25" i="9"/>
  <c r="EM49" i="1"/>
  <c r="CB25" i="9" a="1"/>
  <c r="CB25" i="9"/>
  <c r="AY49" i="1"/>
  <c r="BW25" i="9" a="1"/>
  <c r="BW25" i="9"/>
  <c r="FO49" i="1"/>
  <c r="L25" i="9"/>
  <c r="CU49" i="1"/>
  <c r="BI25" i="9" a="1"/>
  <c r="BI25" i="9"/>
  <c r="FS49" i="1"/>
  <c r="AX25" i="9"/>
  <c r="BC49" i="1"/>
  <c r="BS25" i="9" a="1"/>
  <c r="BS25" i="9"/>
  <c r="FC49" i="1"/>
  <c r="K25" i="9"/>
  <c r="CQ49" i="1"/>
  <c r="J25" i="9"/>
  <c r="CM49" i="1"/>
  <c r="D25" i="9"/>
  <c r="I49" i="1"/>
  <c r="Y25" i="9"/>
  <c r="M25" i="9"/>
  <c r="CY49" i="1"/>
  <c r="AJ25" i="9" a="1"/>
  <c r="AJ25" i="9"/>
  <c r="Z25" i="9"/>
  <c r="T25" i="9"/>
  <c r="X25" i="9"/>
  <c r="AO25" i="9" a="1"/>
  <c r="AO25" i="9"/>
  <c r="AB25" i="9"/>
  <c r="AC25" i="9"/>
  <c r="AL25" i="9" a="1"/>
  <c r="AL25" i="9"/>
  <c r="AW25" i="9"/>
  <c r="AR25" i="9" a="1"/>
  <c r="AR25" i="9"/>
  <c r="BL25" i="9" a="1"/>
  <c r="BL25" i="9"/>
  <c r="EU49" i="1"/>
  <c r="AQ25" i="9" a="1"/>
  <c r="AQ25" i="9"/>
  <c r="AU25" i="9" a="1"/>
  <c r="AU25" i="9"/>
  <c r="AS25" i="9" a="1"/>
  <c r="AS25" i="9"/>
  <c r="CF25" i="9"/>
  <c r="BS49" i="1"/>
  <c r="F25" i="9"/>
  <c r="V49" i="1"/>
  <c r="AZ56" i="9" a="1"/>
  <c r="AZ56" i="9"/>
  <c r="BC94" i="9" a="1"/>
  <c r="BC94" i="9"/>
  <c r="AB57" i="9"/>
  <c r="AC57" i="9"/>
  <c r="AN57" i="9" a="1"/>
  <c r="AN57" i="9"/>
  <c r="BD57" i="9" a="1"/>
  <c r="BD57" i="9"/>
  <c r="AY57" i="9" a="1"/>
  <c r="AY57" i="9"/>
  <c r="I76" i="9"/>
  <c r="T76" i="9"/>
  <c r="AX57" i="9"/>
  <c r="AU94" i="9" a="1"/>
  <c r="AU94" i="9"/>
  <c r="Z57" i="9"/>
  <c r="Y57" i="9"/>
  <c r="S49" i="9" a="1"/>
  <c r="S49" i="9"/>
  <c r="BD76" i="9" a="1"/>
  <c r="BD76" i="9"/>
  <c r="BI76" i="9" a="1"/>
  <c r="BI76" i="9"/>
  <c r="AQ76" i="9" a="1"/>
  <c r="AQ76" i="9"/>
  <c r="AD94" i="9"/>
  <c r="BN61" i="9" a="1"/>
  <c r="BN61" i="9"/>
  <c r="T12" i="9"/>
  <c r="F12" i="9"/>
  <c r="V35" i="1"/>
  <c r="S12" i="9" a="1"/>
  <c r="S12" i="9"/>
  <c r="DG35" i="1"/>
  <c r="Y12" i="9"/>
  <c r="L12" i="9"/>
  <c r="C13" i="12"/>
  <c r="BG12" i="9" a="1"/>
  <c r="BG12" i="9"/>
  <c r="EA35" i="1"/>
  <c r="X12" i="9"/>
  <c r="AU12" i="9" a="1"/>
  <c r="AU12" i="9"/>
  <c r="BR12" i="9" a="1"/>
  <c r="BR12" i="9"/>
  <c r="EY35" i="1"/>
  <c r="AN110" i="9" a="1"/>
  <c r="AN110" i="9"/>
  <c r="BO110" i="9" a="1"/>
  <c r="BO110" i="9"/>
  <c r="AJ110" i="9" a="1"/>
  <c r="AJ110" i="9"/>
  <c r="T110" i="9"/>
  <c r="AT59" i="9" a="1"/>
  <c r="AT59" i="9"/>
  <c r="AP57" i="9" a="1"/>
  <c r="AP57" i="9"/>
  <c r="AT94" i="9" a="1"/>
  <c r="AT94" i="9"/>
  <c r="T94" i="9"/>
  <c r="AM57" i="9" a="1"/>
  <c r="AM57" i="9"/>
  <c r="AJ57" i="9" a="1"/>
  <c r="AJ57" i="9"/>
  <c r="BQ57" i="9" a="1"/>
  <c r="BQ57" i="9"/>
  <c r="N57" i="9"/>
  <c r="BI57" i="9" a="1"/>
  <c r="BI57" i="9"/>
  <c r="D57" i="9"/>
  <c r="O110" i="9"/>
  <c r="BN59" i="9" a="1"/>
  <c r="BN59" i="9"/>
  <c r="AZ59" i="9" a="1"/>
  <c r="AZ59" i="9"/>
  <c r="CA59" i="9" a="1"/>
  <c r="CA59" i="9"/>
  <c r="AG110" i="9"/>
  <c r="BK110" i="9" a="1"/>
  <c r="BK110" i="9"/>
  <c r="AL110" i="9" a="1"/>
  <c r="AL110" i="9"/>
  <c r="AV110" i="9"/>
  <c r="V110" i="9"/>
  <c r="BI59" i="9" a="1"/>
  <c r="BI59" i="9"/>
  <c r="CB67" i="9" a="1"/>
  <c r="CB67" i="9"/>
  <c r="BF45" i="9" a="1"/>
  <c r="BF45" i="9"/>
  <c r="K49" i="9"/>
  <c r="N59" i="9"/>
  <c r="BT59" i="9" a="1"/>
  <c r="BT59" i="9"/>
  <c r="AD59" i="9"/>
  <c r="D76" i="9"/>
  <c r="AJ76" i="9" a="1"/>
  <c r="AJ76" i="9"/>
  <c r="BO76" i="9" a="1"/>
  <c r="BO76" i="9"/>
  <c r="AP76" i="9" a="1"/>
  <c r="AP76" i="9"/>
  <c r="V12" i="9"/>
  <c r="I94" i="9"/>
  <c r="X76" i="9"/>
  <c r="E76" i="9"/>
  <c r="Q61" i="9" a="1"/>
  <c r="Q61" i="9"/>
  <c r="AT61" i="9" a="1"/>
  <c r="AT61" i="9"/>
  <c r="BM83" i="9" a="1"/>
  <c r="BM83" i="9"/>
  <c r="BN67" i="9" a="1"/>
  <c r="BN67" i="9"/>
  <c r="AI83" i="9" a="1"/>
  <c r="AI83" i="9"/>
  <c r="BS72" i="9" a="1"/>
  <c r="BS72" i="9"/>
  <c r="BF83" i="9" a="1"/>
  <c r="BF83" i="9"/>
  <c r="D83" i="9"/>
  <c r="BB83" i="9" a="1"/>
  <c r="BB83" i="9"/>
  <c r="E83" i="9"/>
  <c r="Q83" i="9" a="1"/>
  <c r="Q83" i="9"/>
  <c r="M83" i="9"/>
  <c r="BL51" i="9" a="1"/>
  <c r="BL51" i="9"/>
  <c r="D51" i="9"/>
  <c r="BM51" i="9" a="1"/>
  <c r="BM51" i="9"/>
  <c r="BU51" i="9" a="1"/>
  <c r="BU51" i="9"/>
  <c r="Q51" i="9" a="1"/>
  <c r="Q51" i="9"/>
  <c r="J51" i="9"/>
  <c r="L29" i="9"/>
  <c r="CD51" i="9" a="1"/>
  <c r="CD51" i="9"/>
  <c r="AK51" i="9" a="1"/>
  <c r="AK51" i="9"/>
  <c r="L51" i="9"/>
  <c r="G51" i="9"/>
  <c r="S10" i="9" a="1"/>
  <c r="S10" i="9"/>
  <c r="DG33" i="1"/>
  <c r="BS51" i="9" a="1"/>
  <c r="BS51" i="9"/>
  <c r="AB51" i="9"/>
  <c r="AC51" i="9"/>
  <c r="AD51" i="9"/>
  <c r="AS51" i="9" a="1"/>
  <c r="AS51" i="9"/>
  <c r="BC51" i="9" a="1"/>
  <c r="BC51" i="9"/>
  <c r="I83" i="9"/>
  <c r="BZ83" i="9" a="1"/>
  <c r="BZ83" i="9"/>
  <c r="AJ83" i="9" a="1"/>
  <c r="AJ83" i="9"/>
  <c r="AL23" i="9" a="1"/>
  <c r="AL23" i="9"/>
  <c r="AV23" i="9"/>
  <c r="AB10" i="9"/>
  <c r="AC10" i="9"/>
  <c r="CD20" i="9" a="1"/>
  <c r="CD20" i="9"/>
  <c r="GE44" i="1"/>
  <c r="AZ12" i="9" a="1"/>
  <c r="AZ12" i="9"/>
  <c r="CE35" i="1"/>
  <c r="AO12" i="9" a="1"/>
  <c r="AO12" i="9"/>
  <c r="K12" i="9"/>
  <c r="CQ35" i="1"/>
  <c r="BM12" i="9" a="1"/>
  <c r="BM12" i="9"/>
  <c r="BG35" i="1"/>
  <c r="AG12" i="9"/>
  <c r="BA12" i="9" a="1"/>
  <c r="BA12" i="9"/>
  <c r="CA35" i="1"/>
  <c r="BO12" i="9" a="1"/>
  <c r="BO12" i="9"/>
  <c r="BK35" i="1"/>
  <c r="BN12" i="9" a="1"/>
  <c r="BN12" i="9"/>
  <c r="BO35" i="1"/>
  <c r="BJ12" i="9" a="1"/>
  <c r="BJ12" i="9"/>
  <c r="FW35" i="1"/>
  <c r="AE12" i="9"/>
  <c r="AF12" i="9"/>
  <c r="U12" i="9"/>
  <c r="AB12" i="9"/>
  <c r="AC12" i="9"/>
  <c r="AT12" i="9" a="1"/>
  <c r="AT12" i="9"/>
  <c r="K110" i="9"/>
  <c r="Z110" i="9"/>
  <c r="BL110" i="9" a="1"/>
  <c r="BL110" i="9"/>
  <c r="CA110" i="9" a="1"/>
  <c r="CA110" i="9"/>
  <c r="BJ110" i="9" a="1"/>
  <c r="BJ110" i="9"/>
  <c r="Q110" i="9" a="1"/>
  <c r="Q110" i="9"/>
  <c r="AG59" i="9"/>
  <c r="CC57" i="9" a="1"/>
  <c r="CC57" i="9"/>
  <c r="BB57" i="9" a="1"/>
  <c r="BB57" i="9"/>
  <c r="AG94" i="9"/>
  <c r="Q94" i="9" a="1"/>
  <c r="Q94" i="9"/>
  <c r="X57" i="9"/>
  <c r="CA57" i="9" a="1"/>
  <c r="CA57" i="9"/>
  <c r="BL57" i="9" a="1"/>
  <c r="BL57" i="9"/>
  <c r="P57" i="9"/>
  <c r="Q57" i="9" a="1"/>
  <c r="Q57" i="9"/>
  <c r="G57" i="9"/>
  <c r="BJ76" i="9" a="1"/>
  <c r="BJ76" i="9"/>
  <c r="BD59" i="9" a="1"/>
  <c r="BD59" i="9"/>
  <c r="BQ59" i="9" a="1"/>
  <c r="BQ59" i="9"/>
  <c r="BC59" i="9" a="1"/>
  <c r="BC59" i="9"/>
  <c r="BH59" i="9" a="1"/>
  <c r="BH59" i="9"/>
  <c r="CB59" i="9" a="1"/>
  <c r="CB59" i="9"/>
  <c r="BB110" i="9" a="1"/>
  <c r="BB110" i="9"/>
  <c r="AI110" i="9" a="1"/>
  <c r="AI110" i="9"/>
  <c r="BH110" i="9" a="1"/>
  <c r="BH110" i="9"/>
  <c r="N110" i="9"/>
  <c r="BN110" i="9" a="1"/>
  <c r="BN110" i="9"/>
  <c r="V59" i="9"/>
  <c r="L59" i="9"/>
  <c r="BZ49" i="9" a="1"/>
  <c r="BZ49" i="9"/>
  <c r="BO45" i="9" a="1"/>
  <c r="BO45" i="9"/>
  <c r="AQ49" i="9" a="1"/>
  <c r="AQ49" i="9"/>
  <c r="BT45" i="9" a="1"/>
  <c r="BT45" i="9"/>
  <c r="AD45" i="9"/>
  <c r="AX59" i="9"/>
  <c r="AK59" i="9" a="1"/>
  <c r="AK59" i="9"/>
  <c r="E59" i="9"/>
  <c r="AR76" i="9" a="1"/>
  <c r="AR76" i="9"/>
  <c r="AM76" i="9" a="1"/>
  <c r="AM76" i="9"/>
  <c r="BR76" i="9" a="1"/>
  <c r="BR76" i="9"/>
  <c r="BL76" i="9" a="1"/>
  <c r="BL76" i="9"/>
  <c r="AQ94" i="9" a="1"/>
  <c r="AQ94" i="9"/>
  <c r="AK76" i="9" a="1"/>
  <c r="AK76" i="9"/>
  <c r="D94" i="9"/>
  <c r="AL61" i="9" a="1"/>
  <c r="AL61" i="9"/>
  <c r="AW61" i="9"/>
  <c r="AO61" i="9" a="1"/>
  <c r="AO61" i="9"/>
  <c r="AN115" i="9" a="1"/>
  <c r="AN115" i="9"/>
  <c r="Z23" i="9"/>
  <c r="BT115" i="9" a="1"/>
  <c r="BT115" i="9"/>
  <c r="BD29" i="9" a="1"/>
  <c r="BD29" i="9"/>
  <c r="BF29" i="9" a="1"/>
  <c r="BF29" i="9"/>
  <c r="AP83" i="9" a="1"/>
  <c r="AP83" i="9"/>
  <c r="O83" i="9"/>
  <c r="V83" i="9"/>
  <c r="CD83" i="9" a="1"/>
  <c r="CD83" i="9"/>
  <c r="AL83" i="9" a="1"/>
  <c r="AL83" i="9"/>
  <c r="AW83" i="9"/>
  <c r="AQ115" i="9" a="1"/>
  <c r="AQ115" i="9"/>
  <c r="AK80" i="9" a="1"/>
  <c r="AK80" i="9"/>
  <c r="S56" i="9" a="1"/>
  <c r="S56" i="9"/>
  <c r="AE67" i="9"/>
  <c r="AF67" i="9"/>
  <c r="CB49" i="9" a="1"/>
  <c r="CB49" i="9"/>
  <c r="I45" i="9"/>
  <c r="E45" i="9"/>
  <c r="BK100" i="9" a="1"/>
  <c r="BK100" i="9"/>
  <c r="J23" i="9"/>
  <c r="CM47" i="1"/>
  <c r="BU29" i="9" a="1"/>
  <c r="BU29" i="9"/>
  <c r="BQ119" i="9" a="1"/>
  <c r="BQ119" i="9"/>
  <c r="AD115" i="9"/>
  <c r="BO23" i="9" a="1"/>
  <c r="BO23" i="9"/>
  <c r="BK47" i="1"/>
  <c r="BB29" i="9" a="1"/>
  <c r="BB29" i="9"/>
  <c r="BJ31" i="9" a="1"/>
  <c r="BJ31" i="9"/>
  <c r="BL115" i="9" a="1"/>
  <c r="BL115" i="9"/>
  <c r="BA115" i="9" a="1"/>
  <c r="BA115" i="9"/>
  <c r="AX100" i="9"/>
  <c r="V23" i="9"/>
  <c r="AB115" i="9"/>
  <c r="AC115" i="9"/>
  <c r="AS29" i="9" a="1"/>
  <c r="AS29" i="9"/>
  <c r="BD27" i="9" a="1"/>
  <c r="BD27" i="9"/>
  <c r="BO80" i="9" a="1"/>
  <c r="BO80" i="9"/>
  <c r="AE10" i="9"/>
  <c r="AF10" i="9"/>
  <c r="AT20" i="9" a="1"/>
  <c r="AT20" i="9"/>
  <c r="AZ31" i="9" a="1"/>
  <c r="AZ31" i="9"/>
  <c r="BF20" i="9" a="1"/>
  <c r="BF20" i="9"/>
  <c r="EQ44" i="1"/>
  <c r="BJ66" i="9" a="1"/>
  <c r="BJ66" i="9"/>
  <c r="BC115" i="9" a="1"/>
  <c r="BC115" i="9"/>
  <c r="AG115" i="9"/>
  <c r="AK23" i="9" a="1"/>
  <c r="AK23" i="9"/>
  <c r="O100" i="9"/>
  <c r="CD23" i="9" a="1"/>
  <c r="CD23" i="9"/>
  <c r="GE47" i="1"/>
  <c r="AE80" i="9"/>
  <c r="AF80" i="9"/>
  <c r="BM29" i="9" a="1"/>
  <c r="BM29" i="9"/>
  <c r="AU29" i="9" a="1"/>
  <c r="AU29" i="9"/>
  <c r="F80" i="9"/>
  <c r="BS20" i="9" a="1"/>
  <c r="BS20" i="9"/>
  <c r="FC44" i="1"/>
  <c r="BW20" i="9" a="1"/>
  <c r="BW20" i="9"/>
  <c r="FO44" i="1"/>
  <c r="BL100" i="9" a="1"/>
  <c r="BL100" i="9"/>
  <c r="BU31" i="9" a="1"/>
  <c r="BU31" i="9"/>
  <c r="T130" i="9"/>
  <c r="E54" i="9"/>
  <c r="BT80" i="9" a="1"/>
  <c r="BT80" i="9"/>
  <c r="AN129" i="9" a="1"/>
  <c r="AN129" i="9"/>
  <c r="AJ98" i="9" a="1"/>
  <c r="AJ98" i="9"/>
  <c r="AE56" i="9"/>
  <c r="AF56" i="9"/>
  <c r="BI103" i="9" a="1"/>
  <c r="BI103" i="9"/>
  <c r="BA119" i="9" a="1"/>
  <c r="BA119" i="9"/>
  <c r="V27" i="9"/>
  <c r="BM47" i="9" a="1"/>
  <c r="BM47" i="9"/>
  <c r="Q91" i="9" a="1"/>
  <c r="Q91" i="9"/>
  <c r="U115" i="9"/>
  <c r="CB115" i="9" a="1"/>
  <c r="CB115" i="9"/>
  <c r="U122" i="9"/>
  <c r="M100" i="9"/>
  <c r="BB23" i="9" a="1"/>
  <c r="BB23" i="9"/>
  <c r="BW47" i="1"/>
  <c r="AZ23" i="9" a="1"/>
  <c r="AZ23" i="9"/>
  <c r="CE47" i="1"/>
  <c r="BH100" i="9" a="1"/>
  <c r="BH100" i="9"/>
  <c r="BK80" i="9" a="1"/>
  <c r="BK80" i="9"/>
  <c r="BU115" i="9" a="1"/>
  <c r="BU115" i="9"/>
  <c r="S122" i="9" a="1"/>
  <c r="S122" i="9"/>
  <c r="AO119" i="9" a="1"/>
  <c r="AO119" i="9"/>
  <c r="CA29" i="9" a="1"/>
  <c r="CA29" i="9"/>
  <c r="K29" i="9"/>
  <c r="BD10" i="9" a="1"/>
  <c r="BD10" i="9"/>
  <c r="EI33" i="1"/>
  <c r="AG119" i="9"/>
  <c r="BT27" i="9" a="1"/>
  <c r="BT27" i="9"/>
  <c r="D29" i="9"/>
  <c r="AM80" i="9" a="1"/>
  <c r="AM80" i="9"/>
  <c r="AK10" i="9" a="1"/>
  <c r="AK10" i="9"/>
  <c r="M20" i="9"/>
  <c r="CY44" i="1"/>
  <c r="BS47" i="9" a="1"/>
  <c r="BS47" i="9"/>
  <c r="BO20" i="9" a="1"/>
  <c r="BO20" i="9"/>
  <c r="BK44" i="1"/>
  <c r="BG20" i="9" a="1"/>
  <c r="BG20" i="9"/>
  <c r="EA44" i="1"/>
  <c r="AQ119" i="9" a="1"/>
  <c r="AQ119" i="9"/>
  <c r="Z47" i="9"/>
  <c r="AY103" i="9" a="1"/>
  <c r="AY103" i="9"/>
  <c r="AG129" i="9"/>
  <c r="BH115" i="9" a="1"/>
  <c r="BH115" i="9"/>
  <c r="J115" i="9"/>
  <c r="CC100" i="9" a="1"/>
  <c r="CC100" i="9"/>
  <c r="U23" i="9"/>
  <c r="N100" i="9"/>
  <c r="AQ23" i="9" a="1"/>
  <c r="AQ23" i="9"/>
  <c r="D23" i="9"/>
  <c r="I47" i="1"/>
  <c r="BZ23" i="9" a="1"/>
  <c r="BZ23" i="9"/>
  <c r="AL47" i="1"/>
  <c r="AT100" i="9" a="1"/>
  <c r="AT100" i="9"/>
  <c r="AY115" i="9" a="1"/>
  <c r="AY115" i="9"/>
  <c r="T10" i="9"/>
  <c r="AQ10" i="9" a="1"/>
  <c r="AQ10" i="9"/>
  <c r="AU119" i="9" a="1"/>
  <c r="AU119" i="9"/>
  <c r="AS27" i="9" a="1"/>
  <c r="AS27" i="9"/>
  <c r="L129" i="9"/>
  <c r="G29" i="9"/>
  <c r="AX80" i="9"/>
  <c r="AB80" i="9"/>
  <c r="AC80" i="9"/>
  <c r="E115" i="9"/>
  <c r="CA122" i="9" a="1"/>
  <c r="CA122" i="9"/>
  <c r="BM10" i="9" a="1"/>
  <c r="BM10" i="9"/>
  <c r="BG33" i="1"/>
  <c r="U20" i="9"/>
  <c r="BI23" i="9" a="1"/>
  <c r="BI23" i="9"/>
  <c r="FS47" i="1"/>
  <c r="BC31" i="9" a="1"/>
  <c r="BC31" i="9"/>
  <c r="AX31" i="9"/>
  <c r="AQ31" i="9" a="1"/>
  <c r="AQ31" i="9"/>
  <c r="BO16" i="9" a="1"/>
  <c r="BO16" i="9"/>
  <c r="BK40" i="1"/>
  <c r="N115" i="9"/>
  <c r="AX115" i="9"/>
  <c r="BO115" i="9" a="1"/>
  <c r="BO115" i="9"/>
  <c r="AJ115" i="9" a="1"/>
  <c r="AJ115" i="9"/>
  <c r="AO115" i="9" a="1"/>
  <c r="AO115" i="9"/>
  <c r="AG100" i="9"/>
  <c r="AS103" i="9" a="1"/>
  <c r="AS103" i="9"/>
  <c r="Y100" i="9"/>
  <c r="BQ37" i="9" a="1"/>
  <c r="BQ37" i="9"/>
  <c r="BK23" i="9" a="1"/>
  <c r="BK23" i="9"/>
  <c r="GA47" i="1"/>
  <c r="AP23" i="9" a="1"/>
  <c r="AP23" i="9"/>
  <c r="P23" i="9"/>
  <c r="DW47" i="1"/>
  <c r="AU23" i="9" a="1"/>
  <c r="AU23" i="9"/>
  <c r="CF23" i="9"/>
  <c r="BS47" i="1"/>
  <c r="S100" i="9" a="1"/>
  <c r="S100" i="9"/>
  <c r="U100" i="9"/>
  <c r="AJ80" i="9" a="1"/>
  <c r="AJ80" i="9"/>
  <c r="BR115" i="9" a="1"/>
  <c r="BR115" i="9"/>
  <c r="BF115" i="9" a="1"/>
  <c r="BF115" i="9"/>
  <c r="E122" i="9"/>
  <c r="BN122" i="9" a="1"/>
  <c r="BN122" i="9"/>
  <c r="V80" i="9"/>
  <c r="BO29" i="9" a="1"/>
  <c r="BO29" i="9"/>
  <c r="BC10" i="9" a="1"/>
  <c r="BC10" i="9"/>
  <c r="EE33" i="1"/>
  <c r="BE10" i="9" a="1"/>
  <c r="BE10" i="9"/>
  <c r="EM33" i="1"/>
  <c r="M29" i="9"/>
  <c r="CB10" i="9" a="1"/>
  <c r="CB10" i="9"/>
  <c r="AY33" i="1"/>
  <c r="BL119" i="9" a="1"/>
  <c r="BL119" i="9"/>
  <c r="I119" i="9"/>
  <c r="AY119" i="9" a="1"/>
  <c r="AY119" i="9"/>
  <c r="Q27" i="9" a="1"/>
  <c r="Q27" i="9"/>
  <c r="CC27" i="9" a="1"/>
  <c r="CC27" i="9"/>
  <c r="CF129" i="9"/>
  <c r="BG29" i="9" a="1"/>
  <c r="BG29" i="9"/>
  <c r="BN29" i="9" a="1"/>
  <c r="BN29" i="9"/>
  <c r="AG29" i="9"/>
  <c r="BU80" i="9" a="1"/>
  <c r="BU80" i="9"/>
  <c r="CC80" i="9" a="1"/>
  <c r="CC80" i="9"/>
  <c r="BS80" i="9" a="1"/>
  <c r="BS80" i="9"/>
  <c r="J80" i="9"/>
  <c r="BW10" i="9" a="1"/>
  <c r="BW10" i="9"/>
  <c r="FO33" i="1"/>
  <c r="V10" i="9"/>
  <c r="AI47" i="9" a="1"/>
  <c r="AI47" i="9"/>
  <c r="X10" i="9"/>
  <c r="L20" i="9"/>
  <c r="CU44" i="1"/>
  <c r="BN20" i="9" a="1"/>
  <c r="BN20" i="9"/>
  <c r="BO44" i="1"/>
  <c r="BQ23" i="9" a="1"/>
  <c r="BQ23" i="9"/>
  <c r="DK47" i="1"/>
  <c r="AL31" i="9" a="1"/>
  <c r="AL31" i="9"/>
  <c r="AV31" i="9"/>
  <c r="BS31" i="9" a="1"/>
  <c r="BS31" i="9"/>
  <c r="AU31" i="9" a="1"/>
  <c r="AU31" i="9"/>
  <c r="O31" i="9"/>
  <c r="Z10" i="9"/>
  <c r="AS16" i="9" a="1"/>
  <c r="AS16" i="9"/>
  <c r="CF40" i="9"/>
  <c r="BN115" i="9" a="1"/>
  <c r="BN115" i="9"/>
  <c r="BJ115" i="9" a="1"/>
  <c r="BJ115" i="9"/>
  <c r="M115" i="9"/>
  <c r="BG115" i="9" a="1"/>
  <c r="BG115" i="9"/>
  <c r="BE115" i="9" a="1"/>
  <c r="BE115" i="9"/>
  <c r="N122" i="9"/>
  <c r="BQ100" i="9" a="1"/>
  <c r="BQ100" i="9"/>
  <c r="AT23" i="9" a="1"/>
  <c r="AT23" i="9"/>
  <c r="K23" i="9"/>
  <c r="CQ47" i="1"/>
  <c r="BA100" i="9" a="1"/>
  <c r="BA100" i="9"/>
  <c r="AS23" i="9" a="1"/>
  <c r="AS23" i="9"/>
  <c r="AG23" i="9"/>
  <c r="AJ23" i="9" a="1"/>
  <c r="AJ23" i="9"/>
  <c r="I23" i="9"/>
  <c r="AB47" i="1"/>
  <c r="F23" i="9"/>
  <c r="V47" i="1"/>
  <c r="AJ100" i="9" a="1"/>
  <c r="AJ100" i="9"/>
  <c r="AS100" i="9" a="1"/>
  <c r="AS100" i="9"/>
  <c r="G80" i="9"/>
  <c r="AZ80" i="9" a="1"/>
  <c r="AZ80" i="9"/>
  <c r="CB122" i="9" a="1"/>
  <c r="CB122" i="9"/>
  <c r="BK29" i="9" a="1"/>
  <c r="BK29" i="9"/>
  <c r="X29" i="9"/>
  <c r="CA10" i="9" a="1"/>
  <c r="CA10" i="9"/>
  <c r="AQ33" i="1"/>
  <c r="BQ27" i="9" a="1"/>
  <c r="BQ27" i="9"/>
  <c r="G10" i="9"/>
  <c r="P33" i="1"/>
  <c r="BS10" i="9" a="1"/>
  <c r="BS10" i="9"/>
  <c r="FC33" i="1"/>
  <c r="S119" i="9" a="1"/>
  <c r="S119" i="9"/>
  <c r="Z119" i="9"/>
  <c r="AK119" i="9" a="1"/>
  <c r="AK119" i="9"/>
  <c r="AQ27" i="9" a="1"/>
  <c r="AQ27" i="9"/>
  <c r="Z129" i="9"/>
  <c r="U29" i="9"/>
  <c r="AO29" i="9" a="1"/>
  <c r="AO29" i="9"/>
  <c r="Y29" i="9"/>
  <c r="P80" i="9"/>
  <c r="BE80" i="9" a="1"/>
  <c r="BE80" i="9"/>
  <c r="AO80" i="9" a="1"/>
  <c r="AO80" i="9"/>
  <c r="M10" i="9"/>
  <c r="CY33" i="1"/>
  <c r="AB20" i="9"/>
  <c r="AC20" i="9"/>
  <c r="BC47" i="9" a="1"/>
  <c r="BC47" i="9"/>
  <c r="AQ20" i="9" a="1"/>
  <c r="AQ20" i="9"/>
  <c r="D31" i="9"/>
  <c r="BD135" i="9" a="1"/>
  <c r="BD135" i="9"/>
  <c r="AN16" i="9" a="1"/>
  <c r="AN16" i="9"/>
  <c r="BR103" i="9" a="1"/>
  <c r="BR103" i="9"/>
  <c r="I37" i="9"/>
  <c r="BR129" i="9" a="1"/>
  <c r="BR129" i="9"/>
  <c r="P129" i="9"/>
  <c r="AN83" i="9" a="1"/>
  <c r="AN83" i="9"/>
  <c r="J83" i="9"/>
  <c r="BG83" i="9" a="1"/>
  <c r="BG83" i="9"/>
  <c r="BO48" i="9" a="1"/>
  <c r="BO48" i="9"/>
  <c r="X83" i="9"/>
  <c r="K83" i="9"/>
  <c r="AD83" i="9"/>
  <c r="CA83" i="9" a="1"/>
  <c r="CA83" i="9"/>
  <c r="AT83" i="9" a="1"/>
  <c r="AT83" i="9"/>
  <c r="AM83" i="9" a="1"/>
  <c r="AM83" i="9"/>
  <c r="BN83" i="9" a="1"/>
  <c r="BN83" i="9"/>
  <c r="BC83" i="9" a="1"/>
  <c r="BC83" i="9"/>
  <c r="G83" i="9"/>
  <c r="AB83" i="9"/>
  <c r="AC83" i="9"/>
  <c r="CC83" i="9" a="1"/>
  <c r="CC83" i="9"/>
  <c r="BJ83" i="9" a="1"/>
  <c r="BJ83" i="9"/>
  <c r="AS83" i="9" a="1"/>
  <c r="AS83" i="9"/>
  <c r="U83" i="9"/>
  <c r="N83" i="9"/>
  <c r="BK83" i="9" a="1"/>
  <c r="BK83" i="9"/>
  <c r="L83" i="9"/>
  <c r="BH83" i="9" a="1"/>
  <c r="BH83" i="9"/>
  <c r="BI83" i="9" a="1"/>
  <c r="BI83" i="9"/>
  <c r="AE83" i="9"/>
  <c r="AF83" i="9"/>
  <c r="AG83" i="9"/>
  <c r="S83" i="9" a="1"/>
  <c r="S83" i="9"/>
  <c r="AO83" i="9" a="1"/>
  <c r="AO83" i="9"/>
  <c r="T83" i="9"/>
  <c r="AZ83" i="9" a="1"/>
  <c r="AZ83" i="9"/>
  <c r="AK83" i="9" a="1"/>
  <c r="AK83" i="9"/>
  <c r="AQ83" i="9" a="1"/>
  <c r="AQ83" i="9"/>
  <c r="BU83" i="9" a="1"/>
  <c r="BU83" i="9"/>
  <c r="P83" i="9"/>
  <c r="BD83" i="9" a="1"/>
  <c r="BD83" i="9"/>
  <c r="AX122" i="9"/>
  <c r="AY122" i="9" a="1"/>
  <c r="AY122" i="9"/>
  <c r="Q103" i="9" a="1"/>
  <c r="Q103" i="9"/>
  <c r="D37" i="9"/>
  <c r="V122" i="9"/>
  <c r="AE27" i="9"/>
  <c r="AF27" i="9"/>
  <c r="AY27" i="9" a="1"/>
  <c r="AY27" i="9"/>
  <c r="AJ129" i="9" a="1"/>
  <c r="AJ129" i="9"/>
  <c r="CB83" i="9" a="1"/>
  <c r="CB83" i="9"/>
  <c r="BE83" i="9" a="1"/>
  <c r="BE83" i="9"/>
  <c r="BS83" i="9" a="1"/>
  <c r="BS83" i="9"/>
  <c r="CF83" i="9"/>
  <c r="BL83" i="9" a="1"/>
  <c r="BL83" i="9"/>
  <c r="AR83" i="9" a="1"/>
  <c r="AR83" i="9"/>
  <c r="BR83" i="9" a="1"/>
  <c r="BR83" i="9"/>
  <c r="AY83" i="9" a="1"/>
  <c r="AY83" i="9"/>
  <c r="BQ83" i="9" a="1"/>
  <c r="BQ83" i="9"/>
  <c r="BW83" i="9" a="1"/>
  <c r="BW83" i="9"/>
  <c r="BT83" i="9" a="1"/>
  <c r="BT83" i="9"/>
  <c r="AX83" i="9"/>
  <c r="Z83" i="9"/>
  <c r="AU83" i="9" a="1"/>
  <c r="AU83" i="9"/>
  <c r="BA83" i="9" a="1"/>
  <c r="BA83" i="9"/>
  <c r="Y83" i="9"/>
  <c r="BB103" i="9" a="1"/>
  <c r="BB103" i="9"/>
  <c r="AU103" i="9" a="1"/>
  <c r="AU103" i="9"/>
  <c r="BD103" i="9" a="1"/>
  <c r="BD103" i="9"/>
  <c r="P103" i="9"/>
  <c r="AK103" i="9" a="1"/>
  <c r="AK103" i="9"/>
  <c r="AB103" i="9"/>
  <c r="AC103" i="9"/>
  <c r="BL103" i="9" a="1"/>
  <c r="BL103" i="9"/>
  <c r="U103" i="9"/>
  <c r="N103" i="9"/>
  <c r="BZ103" i="9" a="1"/>
  <c r="BZ103" i="9"/>
  <c r="BJ122" i="9" a="1"/>
  <c r="BJ122" i="9"/>
  <c r="CD122" i="9" a="1"/>
  <c r="CD122" i="9"/>
  <c r="BC122" i="9" a="1"/>
  <c r="BC122" i="9"/>
  <c r="AO122" i="9" a="1"/>
  <c r="AO122" i="9"/>
  <c r="AS122" i="9" a="1"/>
  <c r="AS122" i="9"/>
  <c r="T103" i="9"/>
  <c r="AZ103" i="9" a="1"/>
  <c r="AZ103" i="9"/>
  <c r="BE103" i="9" a="1"/>
  <c r="BE103" i="9"/>
  <c r="L103" i="9"/>
  <c r="AP103" i="9" a="1"/>
  <c r="AP103" i="9"/>
  <c r="BK103" i="9" a="1"/>
  <c r="BK103" i="9"/>
  <c r="BM37" i="9" a="1"/>
  <c r="BM37" i="9"/>
  <c r="AU37" i="9" a="1"/>
  <c r="AU37" i="9"/>
  <c r="AS37" i="9" a="1"/>
  <c r="AS37" i="9"/>
  <c r="BE122" i="9" a="1"/>
  <c r="BE122" i="9"/>
  <c r="BW122" i="9" a="1"/>
  <c r="BW122" i="9"/>
  <c r="BL122" i="9" a="1"/>
  <c r="BL122" i="9"/>
  <c r="BB122" i="9" a="1"/>
  <c r="BB122" i="9"/>
  <c r="BS122" i="9" a="1"/>
  <c r="BS122" i="9"/>
  <c r="BI122" i="9" a="1"/>
  <c r="BI122" i="9"/>
  <c r="AT122" i="9" a="1"/>
  <c r="AT122" i="9"/>
  <c r="AS129" i="9" a="1"/>
  <c r="AS129" i="9"/>
  <c r="BA129" i="9" a="1"/>
  <c r="BA129" i="9"/>
  <c r="AI119" i="9" a="1"/>
  <c r="AI119" i="9"/>
  <c r="BK119" i="9" a="1"/>
  <c r="BK119" i="9"/>
  <c r="D119" i="9"/>
  <c r="K119" i="9"/>
  <c r="E119" i="9"/>
  <c r="BT119" i="9" a="1"/>
  <c r="BT119" i="9"/>
  <c r="L119" i="9"/>
  <c r="AM119" i="9" a="1"/>
  <c r="AM119" i="9"/>
  <c r="O119" i="9"/>
  <c r="N119" i="9"/>
  <c r="O27" i="9"/>
  <c r="BA27" i="9" a="1"/>
  <c r="BA27" i="9"/>
  <c r="AP27" i="9" a="1"/>
  <c r="AP27" i="9"/>
  <c r="CA27" i="9" a="1"/>
  <c r="CA27" i="9"/>
  <c r="AB27" i="9"/>
  <c r="AC27" i="9"/>
  <c r="E27" i="9"/>
  <c r="F27" i="9"/>
  <c r="G27" i="9"/>
  <c r="BU27" i="9" a="1"/>
  <c r="BU27" i="9"/>
  <c r="BQ129" i="9" a="1"/>
  <c r="BQ129" i="9"/>
  <c r="AO129" i="9" a="1"/>
  <c r="AO129" i="9"/>
  <c r="AX129" i="9"/>
  <c r="BB129" i="9" a="1"/>
  <c r="BB129" i="9"/>
  <c r="G47" i="9"/>
  <c r="BT103" i="9" a="1"/>
  <c r="BT103" i="9"/>
  <c r="BR47" i="9" a="1"/>
  <c r="BR47" i="9"/>
  <c r="CF47" i="9"/>
  <c r="BO47" i="9" a="1"/>
  <c r="BO47" i="9"/>
  <c r="BC130" i="9" a="1"/>
  <c r="BC130" i="9"/>
  <c r="AK16" i="9" a="1"/>
  <c r="AK16" i="9"/>
  <c r="AI101" i="9" a="1"/>
  <c r="AI101" i="9"/>
  <c r="S74" i="9" a="1"/>
  <c r="S74" i="9"/>
  <c r="AS54" i="9" a="1"/>
  <c r="AS54" i="9"/>
  <c r="BR37" i="9" a="1"/>
  <c r="BR37" i="9"/>
  <c r="P37" i="9"/>
  <c r="AN37" i="9" a="1"/>
  <c r="AN37" i="9"/>
  <c r="AO37" i="9" a="1"/>
  <c r="AO37" i="9"/>
  <c r="BK37" i="9" a="1"/>
  <c r="BK37" i="9"/>
  <c r="AY37" i="9" a="1"/>
  <c r="AY37" i="9"/>
  <c r="AD37" i="9"/>
  <c r="M122" i="9"/>
  <c r="AR122" i="9" a="1"/>
  <c r="AR122" i="9"/>
  <c r="BU122" i="9" a="1"/>
  <c r="BU122" i="9"/>
  <c r="AL122" i="9" a="1"/>
  <c r="AL122" i="9"/>
  <c r="AV122" i="9"/>
  <c r="BZ122" i="9" a="1"/>
  <c r="BZ122" i="9"/>
  <c r="AM122" i="9" a="1"/>
  <c r="AM122" i="9"/>
  <c r="I122" i="9"/>
  <c r="AQ122" i="9" a="1"/>
  <c r="AQ122" i="9"/>
  <c r="BT122" i="9" a="1"/>
  <c r="BT122" i="9"/>
  <c r="D122" i="9"/>
  <c r="Q122" i="9" a="1"/>
  <c r="Q122" i="9"/>
  <c r="BU129" i="9" a="1"/>
  <c r="BU129" i="9"/>
  <c r="CD129" i="9" a="1"/>
  <c r="CD129" i="9"/>
  <c r="CC129" i="9" a="1"/>
  <c r="CC129" i="9"/>
  <c r="AR129" i="9" a="1"/>
  <c r="AR129" i="9"/>
  <c r="I129" i="9"/>
  <c r="BO129" i="9" a="1"/>
  <c r="BO129" i="9"/>
  <c r="J129" i="9"/>
  <c r="AU129" i="9" a="1"/>
  <c r="AU129" i="9"/>
  <c r="CB129" i="9" a="1"/>
  <c r="CB129" i="9"/>
  <c r="BL129" i="9" a="1"/>
  <c r="BL129" i="9"/>
  <c r="BF129" i="9" a="1"/>
  <c r="BF129" i="9"/>
  <c r="K129" i="9"/>
  <c r="AO27" i="9" a="1"/>
  <c r="AO27" i="9"/>
  <c r="AL27" i="9" a="1"/>
  <c r="AL27" i="9"/>
  <c r="AV27" i="9"/>
  <c r="X27" i="9"/>
  <c r="BL27" i="9" a="1"/>
  <c r="BL27" i="9"/>
  <c r="J27" i="9"/>
  <c r="AN27" i="9" a="1"/>
  <c r="AN27" i="9"/>
  <c r="AR27" i="9" a="1"/>
  <c r="AR27" i="9"/>
  <c r="CB27" i="9" a="1"/>
  <c r="CB27" i="9"/>
  <c r="BI27" i="9" a="1"/>
  <c r="BI27" i="9"/>
  <c r="P27" i="9"/>
  <c r="T27" i="9"/>
  <c r="K27" i="9"/>
  <c r="N27" i="9"/>
  <c r="BI91" i="9" a="1"/>
  <c r="BI91" i="9"/>
  <c r="AR91" i="9" a="1"/>
  <c r="AR91" i="9"/>
  <c r="BH119" i="9" a="1"/>
  <c r="BH119" i="9"/>
  <c r="BU119" i="9" a="1"/>
  <c r="BU119" i="9"/>
  <c r="J119" i="9"/>
  <c r="BR119" i="9" a="1"/>
  <c r="BR119" i="9"/>
  <c r="AT119" i="9" a="1"/>
  <c r="AT119" i="9"/>
  <c r="AJ119" i="9" a="1"/>
  <c r="AJ119" i="9"/>
  <c r="BN119" i="9" a="1"/>
  <c r="BN119" i="9"/>
  <c r="AZ119" i="9" a="1"/>
  <c r="AZ119" i="9"/>
  <c r="AB119" i="9"/>
  <c r="AC119" i="9"/>
  <c r="AP119" i="9" a="1"/>
  <c r="AP119" i="9"/>
  <c r="CB119" i="9" a="1"/>
  <c r="CB119" i="9"/>
  <c r="CC119" i="9" a="1"/>
  <c r="CC119" i="9"/>
  <c r="T119" i="9"/>
  <c r="AX119" i="9"/>
  <c r="BD119" i="9" a="1"/>
  <c r="BD119" i="9"/>
  <c r="BF119" i="9" a="1"/>
  <c r="BF119" i="9"/>
  <c r="Y119" i="9"/>
  <c r="D135" i="9"/>
  <c r="BO135" i="9" a="1"/>
  <c r="BO135" i="9"/>
  <c r="T135" i="9"/>
  <c r="BE135" i="9" a="1"/>
  <c r="BE135" i="9"/>
  <c r="M135" i="9"/>
  <c r="BJ135" i="9" a="1"/>
  <c r="BJ135" i="9"/>
  <c r="X135" i="9"/>
  <c r="L135" i="9"/>
  <c r="O135" i="9"/>
  <c r="U40" i="9"/>
  <c r="AE40" i="9"/>
  <c r="AF40" i="9"/>
  <c r="BD40" i="9" a="1"/>
  <c r="BD40" i="9"/>
  <c r="Z40" i="9"/>
  <c r="T40" i="9"/>
  <c r="CC130" i="9" a="1"/>
  <c r="CC130" i="9"/>
  <c r="M130" i="9"/>
  <c r="BR130" i="9" a="1"/>
  <c r="BR130" i="9"/>
  <c r="U130" i="9"/>
  <c r="E130" i="9"/>
  <c r="G130" i="9"/>
  <c r="AP130" i="9" a="1"/>
  <c r="AP130" i="9"/>
  <c r="AS47" i="9" a="1"/>
  <c r="AS47" i="9"/>
  <c r="BE47" i="9" a="1"/>
  <c r="BE47" i="9"/>
  <c r="E47" i="9"/>
  <c r="Q47" i="9" a="1"/>
  <c r="Q47" i="9"/>
  <c r="BJ47" i="9" a="1"/>
  <c r="BJ47" i="9"/>
  <c r="CD47" i="9" a="1"/>
  <c r="CD47" i="9"/>
  <c r="AB47" i="9"/>
  <c r="AC47" i="9"/>
  <c r="AE47" i="9"/>
  <c r="AF47" i="9"/>
  <c r="AM47" i="9" a="1"/>
  <c r="AM47" i="9"/>
  <c r="O47" i="9"/>
  <c r="P47" i="9"/>
  <c r="F47" i="9"/>
  <c r="BN47" i="9" a="1"/>
  <c r="BN47" i="9"/>
  <c r="AZ47" i="9" a="1"/>
  <c r="AZ47" i="9"/>
  <c r="BZ47" i="9" a="1"/>
  <c r="BZ47" i="9"/>
  <c r="T47" i="9"/>
  <c r="Y115" i="9"/>
  <c r="BS115" i="9" a="1"/>
  <c r="BS115" i="9"/>
  <c r="AP115" i="9" a="1"/>
  <c r="AP115" i="9"/>
  <c r="BB115" i="9" a="1"/>
  <c r="BB115" i="9"/>
  <c r="BW115" i="9" a="1"/>
  <c r="BW115" i="9"/>
  <c r="AL115" i="9" a="1"/>
  <c r="AL115" i="9"/>
  <c r="AW115" i="9"/>
  <c r="AE115" i="9"/>
  <c r="AF115" i="9"/>
  <c r="BW80" i="9" a="1"/>
  <c r="BW80" i="9"/>
  <c r="S80" i="9" a="1"/>
  <c r="S80" i="9"/>
  <c r="I80" i="9"/>
  <c r="AS80" i="9" a="1"/>
  <c r="AS80" i="9"/>
  <c r="BM80" i="9" a="1"/>
  <c r="BM80" i="9"/>
  <c r="BD80" i="9" a="1"/>
  <c r="BD80" i="9"/>
  <c r="D80" i="9"/>
  <c r="BJ80" i="9" a="1"/>
  <c r="BJ80" i="9"/>
  <c r="BL80" i="9" a="1"/>
  <c r="BL80" i="9"/>
  <c r="AU80" i="9" a="1"/>
  <c r="AU80" i="9"/>
  <c r="BZ80" i="9" a="1"/>
  <c r="BZ80" i="9"/>
  <c r="L80" i="9"/>
  <c r="CF80" i="9"/>
  <c r="Q80" i="9" a="1"/>
  <c r="Q80" i="9"/>
  <c r="AQ80" i="9" a="1"/>
  <c r="AQ80" i="9"/>
  <c r="AD80" i="9"/>
  <c r="X80" i="9"/>
  <c r="M80" i="9"/>
  <c r="AR80" i="9" a="1"/>
  <c r="AR80" i="9"/>
  <c r="AP80" i="9" a="1"/>
  <c r="AP80" i="9"/>
  <c r="AL80" i="9" a="1"/>
  <c r="AL80" i="9"/>
  <c r="AW80" i="9"/>
  <c r="BH80" i="9" a="1"/>
  <c r="BH80" i="9"/>
  <c r="BI80" i="9" a="1"/>
  <c r="BI80" i="9"/>
  <c r="Z80" i="9"/>
  <c r="AI80" i="9" a="1"/>
  <c r="AI80" i="9"/>
  <c r="E80" i="9"/>
  <c r="AJ39" i="9" a="1"/>
  <c r="AJ39" i="9"/>
  <c r="BB39" i="9" a="1"/>
  <c r="BB39" i="9"/>
  <c r="AT39" i="9" a="1"/>
  <c r="AT39" i="9"/>
  <c r="V16" i="9"/>
  <c r="AP16" i="9" a="1"/>
  <c r="AP16" i="9"/>
  <c r="K16" i="9"/>
  <c r="CQ40" i="1"/>
  <c r="BF16" i="9" a="1"/>
  <c r="BF16" i="9"/>
  <c r="EQ40" i="1"/>
  <c r="Y16" i="9"/>
  <c r="AB100" i="9"/>
  <c r="AC100" i="9"/>
  <c r="BJ100" i="9" a="1"/>
  <c r="BJ100" i="9"/>
  <c r="D100" i="9"/>
  <c r="AQ100" i="9" a="1"/>
  <c r="AQ100" i="9"/>
  <c r="BU100" i="9" a="1"/>
  <c r="BU100" i="9"/>
  <c r="Z100" i="9"/>
  <c r="BO100" i="9" a="1"/>
  <c r="BO100" i="9"/>
  <c r="P100" i="9"/>
  <c r="E100" i="9"/>
  <c r="BS100" i="9" a="1"/>
  <c r="BS100" i="9"/>
  <c r="BZ100" i="9" a="1"/>
  <c r="BZ100" i="9"/>
  <c r="BG100" i="9" a="1"/>
  <c r="BG100" i="9"/>
  <c r="CB100" i="9" a="1"/>
  <c r="CB100" i="9"/>
  <c r="AI100" i="9" a="1"/>
  <c r="AI100" i="9"/>
  <c r="BE100" i="9" a="1"/>
  <c r="BE100" i="9"/>
  <c r="G100" i="9"/>
  <c r="CD100" i="9" a="1"/>
  <c r="CD100" i="9"/>
  <c r="K100" i="9"/>
  <c r="BR23" i="9" a="1"/>
  <c r="BR23" i="9"/>
  <c r="EY47" i="1"/>
  <c r="N23" i="9"/>
  <c r="DO47" i="1"/>
  <c r="S23" i="9" a="1"/>
  <c r="S23" i="9"/>
  <c r="DG47" i="1"/>
  <c r="BW23" i="9" a="1"/>
  <c r="BW23" i="9"/>
  <c r="FO47" i="1"/>
  <c r="BL23" i="9" a="1"/>
  <c r="BL23" i="9"/>
  <c r="EU47" i="1"/>
  <c r="BF23" i="9" a="1"/>
  <c r="BF23" i="9"/>
  <c r="EQ47" i="1"/>
  <c r="AN23" i="9" a="1"/>
  <c r="AN23" i="9"/>
  <c r="M23" i="9"/>
  <c r="CY47" i="1"/>
  <c r="BC23" i="9" a="1"/>
  <c r="BC23" i="9"/>
  <c r="EE47" i="1"/>
  <c r="BJ23" i="9" a="1"/>
  <c r="BJ23" i="9"/>
  <c r="FW47" i="1"/>
  <c r="AR23" i="9" a="1"/>
  <c r="AR23" i="9"/>
  <c r="X23" i="9"/>
  <c r="BE23" i="9" a="1"/>
  <c r="BE23" i="9"/>
  <c r="EM47" i="1"/>
  <c r="BH23" i="9" a="1"/>
  <c r="BH23" i="9"/>
  <c r="DC47" i="1"/>
  <c r="G23" i="9"/>
  <c r="P47" i="1"/>
  <c r="AY23" i="9" a="1"/>
  <c r="AY23" i="9"/>
  <c r="CI47" i="1"/>
  <c r="BQ31" i="9" a="1"/>
  <c r="BQ31" i="9"/>
  <c r="K31" i="9"/>
  <c r="BF31" i="9" a="1"/>
  <c r="BF31" i="9"/>
  <c r="BB31" i="9" a="1"/>
  <c r="BB31" i="9"/>
  <c r="BN31" i="9" a="1"/>
  <c r="BN31" i="9"/>
  <c r="AG31" i="9"/>
  <c r="BI31" i="9" a="1"/>
  <c r="BI31" i="9"/>
  <c r="X31" i="9"/>
  <c r="N31" i="9"/>
  <c r="I31" i="9"/>
  <c r="CB31" i="9" a="1"/>
  <c r="CB31" i="9"/>
  <c r="BE31" i="9" a="1"/>
  <c r="BE31" i="9"/>
  <c r="G31" i="9"/>
  <c r="Y31" i="9"/>
  <c r="AR31" i="9" a="1"/>
  <c r="AR31" i="9"/>
  <c r="AT31" i="9" a="1"/>
  <c r="AT31" i="9"/>
  <c r="AX121" i="9"/>
  <c r="AJ121" i="9" a="1"/>
  <c r="AJ121" i="9"/>
  <c r="BK121" i="9" a="1"/>
  <c r="BK121" i="9"/>
  <c r="BZ121" i="9" a="1"/>
  <c r="BZ121" i="9"/>
  <c r="AB121" i="9"/>
  <c r="AC121" i="9"/>
  <c r="BB35" i="9" a="1"/>
  <c r="BB35" i="9"/>
  <c r="E35" i="9"/>
  <c r="AN29" i="9" a="1"/>
  <c r="AN29" i="9"/>
  <c r="AL29" i="9" a="1"/>
  <c r="AL29" i="9"/>
  <c r="AV29" i="9"/>
  <c r="BL29" i="9" a="1"/>
  <c r="BL29" i="9"/>
  <c r="CF29" i="9"/>
  <c r="E29" i="9"/>
  <c r="BE29" i="9" a="1"/>
  <c r="BE29" i="9"/>
  <c r="BS29" i="9" a="1"/>
  <c r="BS29" i="9"/>
  <c r="AQ29" i="9" a="1"/>
  <c r="AQ29" i="9"/>
  <c r="BA29" i="9" a="1"/>
  <c r="BA29" i="9"/>
  <c r="AJ29" i="9" a="1"/>
  <c r="AJ29" i="9"/>
  <c r="BQ29" i="9" a="1"/>
  <c r="BQ29" i="9"/>
  <c r="N29" i="9"/>
  <c r="V29" i="9"/>
  <c r="BZ29" i="9" a="1"/>
  <c r="BZ29" i="9"/>
  <c r="BJ29" i="9" a="1"/>
  <c r="BJ29" i="9"/>
  <c r="AE29" i="9"/>
  <c r="AF29" i="9"/>
  <c r="F29" i="9"/>
  <c r="CB29" i="9" a="1"/>
  <c r="CB29" i="9"/>
  <c r="AT29" i="9" a="1"/>
  <c r="AT29" i="9"/>
  <c r="Z29" i="9"/>
  <c r="F20" i="9"/>
  <c r="V44" i="1"/>
  <c r="BT20" i="9" a="1"/>
  <c r="BT20" i="9"/>
  <c r="FG44" i="1"/>
  <c r="AU20" i="9" a="1"/>
  <c r="AU20" i="9"/>
  <c r="AO20" i="9" a="1"/>
  <c r="AO20" i="9"/>
  <c r="E20" i="9"/>
  <c r="D44" i="1"/>
  <c r="AE20" i="9"/>
  <c r="AF20" i="9"/>
  <c r="BB20" i="9" a="1"/>
  <c r="BB20" i="9"/>
  <c r="BW44" i="1"/>
  <c r="AP20" i="9" a="1"/>
  <c r="AP20" i="9"/>
  <c r="CC20" i="9" a="1"/>
  <c r="CC20" i="9"/>
  <c r="AU44" i="1"/>
  <c r="CA20" i="9" a="1"/>
  <c r="CA20" i="9"/>
  <c r="AQ44" i="1"/>
  <c r="AM20" i="9" a="1"/>
  <c r="AM20" i="9"/>
  <c r="BC20" i="9" a="1"/>
  <c r="BC20" i="9"/>
  <c r="EE44" i="1"/>
  <c r="BQ20" i="9" a="1"/>
  <c r="BQ20" i="9"/>
  <c r="DK44" i="1"/>
  <c r="BU20" i="9" a="1"/>
  <c r="BU20" i="9"/>
  <c r="FK44" i="1"/>
  <c r="N20" i="9"/>
  <c r="DO44" i="1"/>
  <c r="AG20" i="9"/>
  <c r="AD20" i="9"/>
  <c r="BZ20" i="9" a="1"/>
  <c r="BZ20" i="9"/>
  <c r="AL44" i="1"/>
  <c r="F10" i="9"/>
  <c r="V33" i="1"/>
  <c r="BN10" i="9" a="1"/>
  <c r="BN10" i="9"/>
  <c r="BO33" i="1"/>
  <c r="BL10" i="9" a="1"/>
  <c r="BL10" i="9"/>
  <c r="EU33" i="1"/>
  <c r="BB10" i="9" a="1"/>
  <c r="BB10" i="9"/>
  <c r="BW33" i="1"/>
  <c r="AO10" i="9" a="1"/>
  <c r="AO10" i="9"/>
  <c r="BK10" i="9" a="1"/>
  <c r="BK10" i="9"/>
  <c r="GA33" i="1"/>
  <c r="AT10" i="9" a="1"/>
  <c r="AT10" i="9"/>
  <c r="AZ10" i="9" a="1"/>
  <c r="AZ10" i="9"/>
  <c r="CE33" i="1"/>
  <c r="BA10" i="9" a="1"/>
  <c r="BA10" i="9"/>
  <c r="CA33" i="1"/>
  <c r="Y10" i="9"/>
  <c r="AU10" i="9" a="1"/>
  <c r="AU10" i="9"/>
  <c r="BO10" i="9" a="1"/>
  <c r="BO10" i="9"/>
  <c r="BK33" i="1"/>
  <c r="U10" i="9"/>
  <c r="CD10" i="9" a="1"/>
  <c r="CD10" i="9"/>
  <c r="GE33" i="1"/>
  <c r="L10" i="9"/>
  <c r="C11" i="12"/>
  <c r="BF10" i="9" a="1"/>
  <c r="BF10" i="9"/>
  <c r="EQ33" i="1"/>
  <c r="J10" i="9"/>
  <c r="CM33" i="1"/>
  <c r="AR10" i="9" a="1"/>
  <c r="AR10" i="9"/>
  <c r="AD10" i="9"/>
  <c r="BG10" i="9" a="1"/>
  <c r="BG10" i="9"/>
  <c r="EA33" i="1"/>
  <c r="AP10" i="9" a="1"/>
  <c r="AP10" i="9"/>
  <c r="AL10" i="9" a="1"/>
  <c r="AL10" i="9"/>
  <c r="AW10" i="9"/>
  <c r="AI10" i="9" a="1"/>
  <c r="AI10" i="9"/>
  <c r="E10" i="9"/>
  <c r="D33" i="1"/>
  <c r="AD122" i="9"/>
  <c r="F115" i="9"/>
  <c r="BM115" i="9" a="1"/>
  <c r="BM115" i="9"/>
  <c r="AS115" i="9" a="1"/>
  <c r="AS115" i="9"/>
  <c r="BI115" i="9" a="1"/>
  <c r="BI115" i="9"/>
  <c r="AT115" i="9" a="1"/>
  <c r="AT115" i="9"/>
  <c r="L115" i="9"/>
  <c r="CF115" i="9"/>
  <c r="CD115" i="9" a="1"/>
  <c r="CD115" i="9"/>
  <c r="X115" i="9"/>
  <c r="BD115" i="9" a="1"/>
  <c r="BD115" i="9"/>
  <c r="AZ115" i="9" a="1"/>
  <c r="AZ115" i="9"/>
  <c r="Z122" i="9"/>
  <c r="BM122" i="9" a="1"/>
  <c r="BM122" i="9"/>
  <c r="J122" i="9"/>
  <c r="L122" i="9"/>
  <c r="AP122" i="9" a="1"/>
  <c r="AP122" i="9"/>
  <c r="AY100" i="9" a="1"/>
  <c r="AY100" i="9"/>
  <c r="AL100" i="9" a="1"/>
  <c r="AL100" i="9"/>
  <c r="AW100" i="9"/>
  <c r="AN103" i="9" a="1"/>
  <c r="AN103" i="9"/>
  <c r="V103" i="9"/>
  <c r="CF103" i="9"/>
  <c r="L23" i="9"/>
  <c r="CU47" i="1"/>
  <c r="BB100" i="9" a="1"/>
  <c r="BB100" i="9"/>
  <c r="BD100" i="9" a="1"/>
  <c r="BD100" i="9"/>
  <c r="Q100" i="9" a="1"/>
  <c r="Q100" i="9"/>
  <c r="D103" i="9"/>
  <c r="BQ103" i="9" a="1"/>
  <c r="BQ103" i="9"/>
  <c r="CC103" i="9" a="1"/>
  <c r="CC103" i="9"/>
  <c r="AZ37" i="9" a="1"/>
  <c r="AZ37" i="9"/>
  <c r="AJ37" i="9" a="1"/>
  <c r="AJ37" i="9"/>
  <c r="G37" i="9"/>
  <c r="O23" i="9"/>
  <c r="DS47" i="1"/>
  <c r="BD23" i="9" a="1"/>
  <c r="BD23" i="9"/>
  <c r="EI47" i="1"/>
  <c r="CB23" i="9" a="1"/>
  <c r="CB23" i="9"/>
  <c r="AY47" i="1"/>
  <c r="BG23" i="9" a="1"/>
  <c r="BG23" i="9"/>
  <c r="EA47" i="1"/>
  <c r="BM23" i="9" a="1"/>
  <c r="BM23" i="9"/>
  <c r="BG47" i="1"/>
  <c r="AX23" i="9"/>
  <c r="BC47" i="1"/>
  <c r="AI23" i="9" a="1"/>
  <c r="AI23" i="9"/>
  <c r="BA23" i="9" a="1"/>
  <c r="BA23" i="9"/>
  <c r="CA47" i="1"/>
  <c r="BT23" i="9" a="1"/>
  <c r="BT23" i="9"/>
  <c r="FG47" i="1"/>
  <c r="BS23" i="9" a="1"/>
  <c r="BS23" i="9"/>
  <c r="FC47" i="1"/>
  <c r="BM100" i="9" a="1"/>
  <c r="BM100" i="9"/>
  <c r="X100" i="9"/>
  <c r="T100" i="9"/>
  <c r="BD122" i="9" a="1"/>
  <c r="BD122" i="9"/>
  <c r="BB80" i="9" a="1"/>
  <c r="BB80" i="9"/>
  <c r="CD80" i="9" a="1"/>
  <c r="CD80" i="9"/>
  <c r="BQ80" i="9" a="1"/>
  <c r="BQ80" i="9"/>
  <c r="BK115" i="9" a="1"/>
  <c r="BK115" i="9"/>
  <c r="CA115" i="9" a="1"/>
  <c r="CA115" i="9"/>
  <c r="BQ115" i="9" a="1"/>
  <c r="BQ115" i="9"/>
  <c r="AK115" i="9" a="1"/>
  <c r="AK115" i="9"/>
  <c r="Y122" i="9"/>
  <c r="K122" i="9"/>
  <c r="X122" i="9"/>
  <c r="AB122" i="9"/>
  <c r="AC122" i="9"/>
  <c r="BO119" i="9" a="1"/>
  <c r="BO119" i="9"/>
  <c r="AD29" i="9"/>
  <c r="BF27" i="9" a="1"/>
  <c r="BF27" i="9"/>
  <c r="AM129" i="9" a="1"/>
  <c r="AM129" i="9"/>
  <c r="I29" i="9"/>
  <c r="CD29" i="9" a="1"/>
  <c r="CD29" i="9"/>
  <c r="AS10" i="9" a="1"/>
  <c r="AS10" i="9"/>
  <c r="AG10" i="9"/>
  <c r="BM129" i="9" a="1"/>
  <c r="BM129" i="9"/>
  <c r="BI29" i="9" a="1"/>
  <c r="BI29" i="9"/>
  <c r="S29" i="9" a="1"/>
  <c r="S29" i="9"/>
  <c r="AN10" i="9" a="1"/>
  <c r="AN10" i="9"/>
  <c r="D10" i="9"/>
  <c r="I33" i="1"/>
  <c r="BG119" i="9" a="1"/>
  <c r="BG119" i="9"/>
  <c r="P119" i="9"/>
  <c r="CF119" i="9"/>
  <c r="BE119" i="9" a="1"/>
  <c r="BE119" i="9"/>
  <c r="AL119" i="9" a="1"/>
  <c r="AL119" i="9"/>
  <c r="AW119" i="9"/>
  <c r="CA119" i="9" a="1"/>
  <c r="CA119" i="9"/>
  <c r="AS119" i="9" a="1"/>
  <c r="AS119" i="9"/>
  <c r="U119" i="9"/>
  <c r="BM119" i="9" a="1"/>
  <c r="BM119" i="9"/>
  <c r="BC119" i="9" a="1"/>
  <c r="BC119" i="9"/>
  <c r="AD119" i="9"/>
  <c r="BJ119" i="9" a="1"/>
  <c r="BJ119" i="9"/>
  <c r="BO27" i="9" a="1"/>
  <c r="BO27" i="9"/>
  <c r="BG27" i="9" a="1"/>
  <c r="BG27" i="9"/>
  <c r="BE27" i="9" a="1"/>
  <c r="BE27" i="9"/>
  <c r="Z27" i="9"/>
  <c r="U27" i="9"/>
  <c r="M27" i="9"/>
  <c r="AJ27" i="9" a="1"/>
  <c r="AJ27" i="9"/>
  <c r="L27" i="9"/>
  <c r="AK27" i="9" a="1"/>
  <c r="AK27" i="9"/>
  <c r="AY129" i="9" a="1"/>
  <c r="AY129" i="9"/>
  <c r="BK129" i="9" a="1"/>
  <c r="BK129" i="9"/>
  <c r="AZ129" i="9" a="1"/>
  <c r="AZ129" i="9"/>
  <c r="BI129" i="9" a="1"/>
  <c r="BI129" i="9"/>
  <c r="AD129" i="9"/>
  <c r="BS129" i="9" a="1"/>
  <c r="BS129" i="9"/>
  <c r="BR29" i="9" a="1"/>
  <c r="BR29" i="9"/>
  <c r="Q29" i="9" a="1"/>
  <c r="Q29" i="9"/>
  <c r="T29" i="9"/>
  <c r="AK29" i="9" a="1"/>
  <c r="AK29" i="9"/>
  <c r="AY29" i="9" a="1"/>
  <c r="AY29" i="9"/>
  <c r="BN80" i="9" a="1"/>
  <c r="BN80" i="9"/>
  <c r="BR80" i="9" a="1"/>
  <c r="BR80" i="9"/>
  <c r="Y80" i="9"/>
  <c r="BC80" i="9" a="1"/>
  <c r="BC80" i="9"/>
  <c r="CA80" i="9" a="1"/>
  <c r="CA80" i="9"/>
  <c r="AG80" i="9"/>
  <c r="N80" i="9"/>
  <c r="BZ115" i="9" a="1"/>
  <c r="BZ115" i="9"/>
  <c r="AJ122" i="9" a="1"/>
  <c r="AJ122" i="9"/>
  <c r="BG122" i="9" a="1"/>
  <c r="BG122" i="9"/>
  <c r="O10" i="9"/>
  <c r="DS33" i="1"/>
  <c r="AJ10" i="9" a="1"/>
  <c r="AJ10" i="9"/>
  <c r="CF31" i="9"/>
  <c r="AZ20" i="9" a="1"/>
  <c r="AZ20" i="9"/>
  <c r="CE44" i="1"/>
  <c r="AX20" i="9"/>
  <c r="BC44" i="1"/>
  <c r="AP47" i="9" a="1"/>
  <c r="AP47" i="9"/>
  <c r="AG47" i="9"/>
  <c r="AX47" i="9"/>
  <c r="BF47" i="9" a="1"/>
  <c r="BF47" i="9"/>
  <c r="BD47" i="9" a="1"/>
  <c r="BD47" i="9"/>
  <c r="K10" i="9"/>
  <c r="B11" i="12"/>
  <c r="V20" i="9"/>
  <c r="BL20" i="9" a="1"/>
  <c r="BL20" i="9"/>
  <c r="EU44" i="1"/>
  <c r="AY20" i="9" a="1"/>
  <c r="AY20" i="9"/>
  <c r="CI44" i="1"/>
  <c r="P20" i="9"/>
  <c r="DW44" i="1"/>
  <c r="I20" i="9"/>
  <c r="AB44" i="1"/>
  <c r="BH29" i="9" a="1"/>
  <c r="BH29" i="9"/>
  <c r="BW100" i="9" a="1"/>
  <c r="BW100" i="9"/>
  <c r="BH103" i="9" a="1"/>
  <c r="BH103" i="9"/>
  <c r="BZ31" i="9" a="1"/>
  <c r="BZ31" i="9"/>
  <c r="CC135" i="9" a="1"/>
  <c r="CC135" i="9"/>
  <c r="S31" i="9" a="1"/>
  <c r="S31" i="9"/>
  <c r="BD31" i="9" a="1"/>
  <c r="BD31" i="9"/>
  <c r="AD135" i="9"/>
  <c r="AN20" i="9" a="1"/>
  <c r="AN20" i="9"/>
  <c r="AU135" i="9" a="1"/>
  <c r="AU135" i="9"/>
  <c r="BI40" i="9" a="1"/>
  <c r="BI40" i="9"/>
  <c r="AU16" i="9" a="1"/>
  <c r="AU16" i="9"/>
  <c r="X39" i="9"/>
  <c r="AG74" i="9"/>
  <c r="BA39" i="9" a="1"/>
  <c r="BA39" i="9"/>
  <c r="CC121" i="9" a="1"/>
  <c r="CC121" i="9"/>
  <c r="BG121" i="9" a="1"/>
  <c r="BG121" i="9"/>
  <c r="AM66" i="9" a="1"/>
  <c r="AM66" i="9"/>
  <c r="O122" i="9"/>
  <c r="CF122" i="9"/>
  <c r="O115" i="9"/>
  <c r="AM115" i="9" a="1"/>
  <c r="AM115" i="9"/>
  <c r="AR115" i="9" a="1"/>
  <c r="AR115" i="9"/>
  <c r="AI115" i="9" a="1"/>
  <c r="AI115" i="9"/>
  <c r="D115" i="9"/>
  <c r="Z115" i="9"/>
  <c r="K115" i="9"/>
  <c r="CC115" i="9" a="1"/>
  <c r="CC115" i="9"/>
  <c r="G115" i="9"/>
  <c r="V115" i="9"/>
  <c r="AG122" i="9"/>
  <c r="BO122" i="9" a="1"/>
  <c r="BO122" i="9"/>
  <c r="BF122" i="9" a="1"/>
  <c r="BF122" i="9"/>
  <c r="BQ122" i="9" a="1"/>
  <c r="BQ122" i="9"/>
  <c r="CC23" i="9" a="1"/>
  <c r="CC23" i="9"/>
  <c r="AU47" i="1"/>
  <c r="BN100" i="9" a="1"/>
  <c r="BN100" i="9"/>
  <c r="BT100" i="9" a="1"/>
  <c r="BT100" i="9"/>
  <c r="J100" i="9"/>
  <c r="BF103" i="9" a="1"/>
  <c r="BF103" i="9"/>
  <c r="BO103" i="9" a="1"/>
  <c r="BO103" i="9"/>
  <c r="I103" i="9"/>
  <c r="CA23" i="9" a="1"/>
  <c r="CA23" i="9"/>
  <c r="AQ47" i="1"/>
  <c r="AK100" i="9" a="1"/>
  <c r="AK100" i="9"/>
  <c r="F100" i="9"/>
  <c r="AR100" i="9" a="1"/>
  <c r="AR100" i="9"/>
  <c r="F103" i="9"/>
  <c r="AQ103" i="9" a="1"/>
  <c r="AQ103" i="9"/>
  <c r="BA103" i="9" a="1"/>
  <c r="BA103" i="9"/>
  <c r="L37" i="9"/>
  <c r="BC37" i="9" a="1"/>
  <c r="BC37" i="9"/>
  <c r="V37" i="9"/>
  <c r="E23" i="9"/>
  <c r="D47" i="1"/>
  <c r="Y23" i="9"/>
  <c r="Q23" i="9" a="1"/>
  <c r="Q23" i="9"/>
  <c r="AG47" i="1"/>
  <c r="BN23" i="9" a="1"/>
  <c r="BN23" i="9"/>
  <c r="BO47" i="1"/>
  <c r="AO23" i="9" a="1"/>
  <c r="AO23" i="9"/>
  <c r="AM23" i="9" a="1"/>
  <c r="AM23" i="9"/>
  <c r="AB23" i="9"/>
  <c r="AC23" i="9"/>
  <c r="T23" i="9"/>
  <c r="BU23" i="9" a="1"/>
  <c r="BU23" i="9"/>
  <c r="FK47" i="1"/>
  <c r="AE23" i="9"/>
  <c r="AF23" i="9"/>
  <c r="BI100" i="9" a="1"/>
  <c r="BI100" i="9"/>
  <c r="AU100" i="9" a="1"/>
  <c r="AU100" i="9"/>
  <c r="CA100" i="9" a="1"/>
  <c r="CA100" i="9"/>
  <c r="BF100" i="9" a="1"/>
  <c r="BF100" i="9"/>
  <c r="AU122" i="9" a="1"/>
  <c r="AU122" i="9"/>
  <c r="AT80" i="9" a="1"/>
  <c r="AT80" i="9"/>
  <c r="AY80" i="9" a="1"/>
  <c r="AY80" i="9"/>
  <c r="AN80" i="9" a="1"/>
  <c r="AN80" i="9"/>
  <c r="AU115" i="9" a="1"/>
  <c r="AU115" i="9"/>
  <c r="P115" i="9"/>
  <c r="T115" i="9"/>
  <c r="AN122" i="9" a="1"/>
  <c r="AN122" i="9"/>
  <c r="P122" i="9"/>
  <c r="BK122" i="9" a="1"/>
  <c r="BK122" i="9"/>
  <c r="Q115" i="9" a="1"/>
  <c r="Q115" i="9"/>
  <c r="AI122" i="9" a="1"/>
  <c r="AI122" i="9"/>
  <c r="BG129" i="9" a="1"/>
  <c r="BG129" i="9"/>
  <c r="P29" i="9"/>
  <c r="AX29" i="9"/>
  <c r="BS119" i="9" a="1"/>
  <c r="BS119" i="9"/>
  <c r="AR29" i="9" a="1"/>
  <c r="AR29" i="9"/>
  <c r="AI29" i="9" a="1"/>
  <c r="AI29" i="9"/>
  <c r="I10" i="9"/>
  <c r="AB33" i="1"/>
  <c r="AX10" i="9"/>
  <c r="BC33" i="1"/>
  <c r="M119" i="9"/>
  <c r="AM29" i="9" a="1"/>
  <c r="AM29" i="9"/>
  <c r="N10" i="9"/>
  <c r="E11" i="12"/>
  <c r="AM10" i="9" a="1"/>
  <c r="AM10" i="9"/>
  <c r="BH10" i="9" a="1"/>
  <c r="BH10" i="9"/>
  <c r="DC33" i="1"/>
  <c r="AN119" i="9" a="1"/>
  <c r="AN119" i="9"/>
  <c r="AE119" i="9"/>
  <c r="AF119" i="9"/>
  <c r="X119" i="9"/>
  <c r="BI119" i="9" a="1"/>
  <c r="BI119" i="9"/>
  <c r="G119" i="9"/>
  <c r="CD119" i="9" a="1"/>
  <c r="CD119" i="9"/>
  <c r="V119" i="9"/>
  <c r="AR119" i="9" a="1"/>
  <c r="AR119" i="9"/>
  <c r="F119" i="9"/>
  <c r="Q119" i="9" a="1"/>
  <c r="Q119" i="9"/>
  <c r="BW119" i="9" a="1"/>
  <c r="BW119" i="9"/>
  <c r="BZ119" i="9" a="1"/>
  <c r="BZ119" i="9"/>
  <c r="AZ27" i="9" a="1"/>
  <c r="AZ27" i="9"/>
  <c r="BB27" i="9" a="1"/>
  <c r="BB27" i="9"/>
  <c r="BR27" i="9" a="1"/>
  <c r="BR27" i="9"/>
  <c r="BS27" i="9" a="1"/>
  <c r="BS27" i="9"/>
  <c r="AT27" i="9" a="1"/>
  <c r="AT27" i="9"/>
  <c r="BC27" i="9" a="1"/>
  <c r="BC27" i="9"/>
  <c r="AM27" i="9" a="1"/>
  <c r="AM27" i="9"/>
  <c r="BN27" i="9" a="1"/>
  <c r="BN27" i="9"/>
  <c r="BM27" i="9" a="1"/>
  <c r="BM27" i="9"/>
  <c r="Y129" i="9"/>
  <c r="T129" i="9"/>
  <c r="AK129" i="9" a="1"/>
  <c r="AK129" i="9"/>
  <c r="E129" i="9"/>
  <c r="AE129" i="9"/>
  <c r="AF129" i="9"/>
  <c r="BD129" i="9" a="1"/>
  <c r="BD129" i="9"/>
  <c r="AP29" i="9" a="1"/>
  <c r="AP29" i="9"/>
  <c r="O29" i="9"/>
  <c r="AZ29" i="9" a="1"/>
  <c r="AZ29" i="9"/>
  <c r="J29" i="9"/>
  <c r="AB29" i="9"/>
  <c r="AC29" i="9"/>
  <c r="U80" i="9"/>
  <c r="CB80" i="9" a="1"/>
  <c r="CB80" i="9"/>
  <c r="K80" i="9"/>
  <c r="BA80" i="9" a="1"/>
  <c r="BA80" i="9"/>
  <c r="T80" i="9"/>
  <c r="BG80" i="9" a="1"/>
  <c r="BG80" i="9"/>
  <c r="O80" i="9"/>
  <c r="T122" i="9"/>
  <c r="AE122" i="9"/>
  <c r="AF122" i="9"/>
  <c r="BZ10" i="9" a="1"/>
  <c r="BZ10" i="9"/>
  <c r="AL33" i="1"/>
  <c r="CF10" i="9"/>
  <c r="BS33" i="1"/>
  <c r="L47" i="9"/>
  <c r="O20" i="9"/>
  <c r="DS44" i="1"/>
  <c r="CF100" i="9"/>
  <c r="BW47" i="9" a="1"/>
  <c r="BW47" i="9"/>
  <c r="AD47" i="9"/>
  <c r="J47" i="9"/>
  <c r="AJ47" i="9" a="1"/>
  <c r="AJ47" i="9"/>
  <c r="BJ10" i="9" a="1"/>
  <c r="BJ10" i="9"/>
  <c r="FW33" i="1"/>
  <c r="BI10" i="9" a="1"/>
  <c r="BI10" i="9"/>
  <c r="FS33" i="1"/>
  <c r="BR20" i="9" a="1"/>
  <c r="BR20" i="9"/>
  <c r="EY44" i="1"/>
  <c r="AR20" i="9" a="1"/>
  <c r="AR20" i="9"/>
  <c r="AI20" i="9" a="1"/>
  <c r="AI20" i="9"/>
  <c r="BW29" i="9" a="1"/>
  <c r="BW29" i="9"/>
  <c r="AK37" i="9" a="1"/>
  <c r="AK37" i="9"/>
  <c r="AE100" i="9"/>
  <c r="AF100" i="9"/>
  <c r="BJ103" i="9" a="1"/>
  <c r="BJ103" i="9"/>
  <c r="E31" i="9"/>
  <c r="BG31" i="9" a="1"/>
  <c r="BG31" i="9"/>
  <c r="AS31" i="9" a="1"/>
  <c r="AS31" i="9"/>
  <c r="CC31" i="9" a="1"/>
  <c r="CC31" i="9"/>
  <c r="AB31" i="9"/>
  <c r="AC31" i="9"/>
  <c r="BE20" i="9" a="1"/>
  <c r="BE20" i="9"/>
  <c r="EM44" i="1"/>
  <c r="BU135" i="9" a="1"/>
  <c r="BU135" i="9"/>
  <c r="CB20" i="9" a="1"/>
  <c r="CB20" i="9"/>
  <c r="AY44" i="1"/>
  <c r="BA20" i="9" a="1"/>
  <c r="BA20" i="9"/>
  <c r="CA44" i="1"/>
  <c r="AR130" i="9" a="1"/>
  <c r="AR130" i="9"/>
  <c r="D130" i="9"/>
  <c r="V31" i="9"/>
  <c r="K40" i="9"/>
  <c r="BR16" i="9" a="1"/>
  <c r="BR16" i="9"/>
  <c r="EY40" i="1"/>
  <c r="BO91" i="9" a="1"/>
  <c r="BO91" i="9"/>
  <c r="AU74" i="9" a="1"/>
  <c r="AU74" i="9"/>
  <c r="CA39" i="9" a="1"/>
  <c r="CA39" i="9"/>
  <c r="AE74" i="9"/>
  <c r="AF74" i="9"/>
  <c r="BG138" i="9" a="1"/>
  <c r="BG138" i="9"/>
  <c r="BZ76" i="9" a="1"/>
  <c r="BZ76" i="9"/>
  <c r="BQ76" i="9" a="1"/>
  <c r="BQ76" i="9"/>
  <c r="N56" i="9"/>
  <c r="P56" i="9"/>
  <c r="AY56" i="9" a="1"/>
  <c r="AY56" i="9"/>
  <c r="BG49" i="9" a="1"/>
  <c r="BG49" i="9"/>
  <c r="AT49" i="9" a="1"/>
  <c r="AT49" i="9"/>
  <c r="AZ49" i="9" a="1"/>
  <c r="AZ49" i="9"/>
  <c r="AI49" i="9" a="1"/>
  <c r="AI49" i="9"/>
  <c r="F49" i="9"/>
  <c r="G45" i="9"/>
  <c r="BR45" i="9" a="1"/>
  <c r="BR45" i="9"/>
  <c r="BU45" i="9" a="1"/>
  <c r="BU45" i="9"/>
  <c r="BG45" i="9" a="1"/>
  <c r="BG45" i="9"/>
  <c r="AS45" i="9" a="1"/>
  <c r="AS45" i="9"/>
  <c r="BO124" i="9" a="1"/>
  <c r="BO124" i="9"/>
  <c r="AG124" i="9"/>
  <c r="K94" i="9"/>
  <c r="AX94" i="9"/>
  <c r="BH94" i="9" a="1"/>
  <c r="BH94" i="9"/>
  <c r="AR94" i="9" a="1"/>
  <c r="AR94" i="9"/>
  <c r="BI94" i="9" a="1"/>
  <c r="BI94" i="9"/>
  <c r="BT94" i="9" a="1"/>
  <c r="BT94" i="9"/>
  <c r="AK57" i="9" a="1"/>
  <c r="AK57" i="9"/>
  <c r="AT57" i="9" a="1"/>
  <c r="AT57" i="9"/>
  <c r="BO57" i="9" a="1"/>
  <c r="BO57" i="9"/>
  <c r="AR57" i="9" a="1"/>
  <c r="AR57" i="9"/>
  <c r="BU57" i="9" a="1"/>
  <c r="BU57" i="9"/>
  <c r="BC57" i="9" a="1"/>
  <c r="BC57" i="9"/>
  <c r="I57" i="9"/>
  <c r="K57" i="9"/>
  <c r="U57" i="9"/>
  <c r="BF57" i="9" a="1"/>
  <c r="BF57" i="9"/>
  <c r="CD57" i="9" a="1"/>
  <c r="CD57" i="9"/>
  <c r="AL57" i="9" a="1"/>
  <c r="AL57" i="9"/>
  <c r="AV57" i="9"/>
  <c r="BN57" i="9" a="1"/>
  <c r="BN57" i="9"/>
  <c r="BW76" i="9" a="1"/>
  <c r="BW76" i="9"/>
  <c r="AO76" i="9" a="1"/>
  <c r="AO76" i="9"/>
  <c r="AI76" i="9" a="1"/>
  <c r="AI76" i="9"/>
  <c r="S76" i="9" a="1"/>
  <c r="S76" i="9"/>
  <c r="BB76" i="9" a="1"/>
  <c r="BB76" i="9"/>
  <c r="AE76" i="9"/>
  <c r="AF76" i="9"/>
  <c r="BA76" i="9" a="1"/>
  <c r="BA76" i="9"/>
  <c r="Q76" i="9" a="1"/>
  <c r="Q76" i="9"/>
  <c r="AD76" i="9"/>
  <c r="AL76" i="9" a="1"/>
  <c r="AL76" i="9"/>
  <c r="AW76" i="9"/>
  <c r="V76" i="9"/>
  <c r="AX76" i="9"/>
  <c r="BM76" i="9" a="1"/>
  <c r="BM76" i="9"/>
  <c r="AS61" i="9" a="1"/>
  <c r="AS61" i="9"/>
  <c r="AI61" i="9" a="1"/>
  <c r="AI61" i="9"/>
  <c r="S61" i="9" a="1"/>
  <c r="S61" i="9"/>
  <c r="BC12" i="9" a="1"/>
  <c r="BC12" i="9"/>
  <c r="EE35" i="1"/>
  <c r="CA12" i="9" a="1"/>
  <c r="CA12" i="9"/>
  <c r="AQ35" i="1"/>
  <c r="J12" i="9"/>
  <c r="A13" i="12"/>
  <c r="BW12" i="9" a="1"/>
  <c r="BW12" i="9"/>
  <c r="FO35" i="1"/>
  <c r="CC12" i="9" a="1"/>
  <c r="CC12" i="9"/>
  <c r="AU35" i="1"/>
  <c r="BZ12" i="9" a="1"/>
  <c r="BZ12" i="9"/>
  <c r="AL35" i="1"/>
  <c r="I12" i="9"/>
  <c r="AB35" i="1"/>
  <c r="BZ59" i="9" a="1"/>
  <c r="BZ59" i="9"/>
  <c r="AI59" i="9" a="1"/>
  <c r="AI59" i="9"/>
  <c r="AO59" i="9" a="1"/>
  <c r="AO59" i="9"/>
  <c r="BE59" i="9" a="1"/>
  <c r="BE59" i="9"/>
  <c r="AS59" i="9" a="1"/>
  <c r="AS59" i="9"/>
  <c r="AM59" i="9" a="1"/>
  <c r="AM59" i="9"/>
  <c r="CD59" i="9" a="1"/>
  <c r="CD59" i="9"/>
  <c r="F59" i="9"/>
  <c r="CF59" i="9"/>
  <c r="I59" i="9"/>
  <c r="BJ59" i="9" a="1"/>
  <c r="BJ59" i="9"/>
  <c r="G59" i="9"/>
  <c r="AP59" i="9" a="1"/>
  <c r="AP59" i="9"/>
  <c r="BR59" i="9" a="1"/>
  <c r="BR59" i="9"/>
  <c r="BM59" i="9" a="1"/>
  <c r="BM59" i="9"/>
  <c r="BK59" i="9" a="1"/>
  <c r="BK59" i="9"/>
  <c r="T59" i="9"/>
  <c r="Z59" i="9"/>
  <c r="AQ59" i="9" a="1"/>
  <c r="AQ59" i="9"/>
  <c r="BW110" i="9" a="1"/>
  <c r="BW110" i="9"/>
  <c r="U110" i="9"/>
  <c r="AZ110" i="9" a="1"/>
  <c r="AZ110" i="9"/>
  <c r="BC110" i="9" a="1"/>
  <c r="BC110" i="9"/>
  <c r="M110" i="9"/>
  <c r="AS110" i="9" a="1"/>
  <c r="AS110" i="9"/>
  <c r="BQ110" i="9" a="1"/>
  <c r="BQ110" i="9"/>
  <c r="S110" i="9" a="1"/>
  <c r="S110" i="9"/>
  <c r="AR110" i="9" a="1"/>
  <c r="AR110" i="9"/>
  <c r="BI110" i="9" a="1"/>
  <c r="BI110" i="9"/>
  <c r="AM110" i="9" a="1"/>
  <c r="AM110" i="9"/>
  <c r="BG110" i="9" a="1"/>
  <c r="BG110" i="9"/>
  <c r="AO110" i="9" a="1"/>
  <c r="AO110" i="9"/>
  <c r="BT110" i="9" a="1"/>
  <c r="BT110" i="9"/>
  <c r="BZ110" i="9" a="1"/>
  <c r="BZ110" i="9"/>
  <c r="AB110" i="9"/>
  <c r="AC110" i="9"/>
  <c r="X110" i="9"/>
  <c r="Q37" i="9" a="1"/>
  <c r="Q37" i="9"/>
  <c r="BH129" i="9" a="1"/>
  <c r="BH129" i="9"/>
  <c r="AB129" i="9"/>
  <c r="AC129" i="9"/>
  <c r="V129" i="9"/>
  <c r="F129" i="9"/>
  <c r="BW129" i="9" a="1"/>
  <c r="BW129" i="9"/>
  <c r="N129" i="9"/>
  <c r="BT129" i="9" a="1"/>
  <c r="BT129" i="9"/>
  <c r="AL129" i="9" a="1"/>
  <c r="AL129" i="9"/>
  <c r="AV129" i="9"/>
  <c r="CA129" i="9" a="1"/>
  <c r="CA129" i="9"/>
  <c r="AQ129" i="9" a="1"/>
  <c r="AQ129" i="9"/>
  <c r="BH122" i="9" a="1"/>
  <c r="BH122" i="9"/>
  <c r="BA122" i="9" a="1"/>
  <c r="BA122" i="9"/>
  <c r="BR122" i="9" a="1"/>
  <c r="BR122" i="9"/>
  <c r="AL37" i="9" a="1"/>
  <c r="AL37" i="9"/>
  <c r="AV37" i="9"/>
  <c r="Z103" i="9"/>
  <c r="BT135" i="9" a="1"/>
  <c r="BT135" i="9"/>
  <c r="BC135" i="9" a="1"/>
  <c r="BC135" i="9"/>
  <c r="BS135" i="9" a="1"/>
  <c r="BS135" i="9"/>
  <c r="I130" i="9"/>
  <c r="N40" i="9"/>
  <c r="AG91" i="9"/>
  <c r="BT138" i="9" a="1"/>
  <c r="BT138" i="9"/>
  <c r="CF89" i="9"/>
  <c r="D67" i="9"/>
  <c r="BZ67" i="9" a="1"/>
  <c r="BZ67" i="9"/>
  <c r="S67" i="9" a="1"/>
  <c r="S67" i="9"/>
  <c r="AS56" i="9" a="1"/>
  <c r="AS56" i="9"/>
  <c r="AN56" i="9" a="1"/>
  <c r="AN56" i="9"/>
  <c r="G56" i="9"/>
  <c r="BL56" i="9" a="1"/>
  <c r="BL56" i="9"/>
  <c r="AK67" i="9" a="1"/>
  <c r="AK67" i="9"/>
  <c r="AO56" i="9" a="1"/>
  <c r="AO56" i="9"/>
  <c r="E56" i="9"/>
  <c r="BN56" i="9" a="1"/>
  <c r="BN56" i="9"/>
  <c r="AN67" i="9" a="1"/>
  <c r="AN67" i="9"/>
  <c r="AT67" i="9" a="1"/>
  <c r="AT67" i="9"/>
  <c r="U67" i="9"/>
  <c r="BQ67" i="9" a="1"/>
  <c r="BQ67" i="9"/>
  <c r="AG67" i="9"/>
  <c r="CB56" i="9" a="1"/>
  <c r="CB56" i="9"/>
  <c r="K56" i="9"/>
  <c r="AK56" i="9" a="1"/>
  <c r="AK56" i="9"/>
  <c r="BM56" i="9" a="1"/>
  <c r="BM56" i="9"/>
  <c r="Y56" i="9"/>
  <c r="Z56" i="9"/>
  <c r="AR56" i="9" a="1"/>
  <c r="AR56" i="9"/>
  <c r="AZ67" i="9" a="1"/>
  <c r="AZ67" i="9"/>
  <c r="BI67" i="9" a="1"/>
  <c r="BI67" i="9"/>
  <c r="BU67" i="9" a="1"/>
  <c r="BU67" i="9"/>
  <c r="BJ67" i="9" a="1"/>
  <c r="BJ67" i="9"/>
  <c r="BS13" i="9" a="1"/>
  <c r="BS13" i="9"/>
  <c r="FC36" i="1"/>
  <c r="D56" i="9"/>
  <c r="CD56" i="9" a="1"/>
  <c r="CD56" i="9"/>
  <c r="AQ56" i="9" a="1"/>
  <c r="AQ56" i="9"/>
  <c r="BI56" i="9" a="1"/>
  <c r="BI56" i="9"/>
  <c r="AG56" i="9"/>
  <c r="AJ67" i="9" a="1"/>
  <c r="AJ67" i="9"/>
  <c r="BD67" i="9" a="1"/>
  <c r="BD67" i="9"/>
  <c r="G67" i="9"/>
  <c r="M67" i="9"/>
  <c r="BE67" i="9" a="1"/>
  <c r="BE67" i="9"/>
  <c r="CD67" i="9" a="1"/>
  <c r="CD67" i="9"/>
  <c r="Z11" i="9"/>
  <c r="AK72" i="9" a="1"/>
  <c r="AK72" i="9"/>
  <c r="G11" i="9"/>
  <c r="P34" i="1"/>
  <c r="AP72" i="9" a="1"/>
  <c r="AP72" i="9"/>
  <c r="P73" i="9"/>
  <c r="BA37" i="9" a="1"/>
  <c r="BA37" i="9"/>
  <c r="CF37" i="9"/>
  <c r="AJ103" i="9" a="1"/>
  <c r="AJ103" i="9"/>
  <c r="AI103" i="9" a="1"/>
  <c r="AI103" i="9"/>
  <c r="BM101" i="9" a="1"/>
  <c r="BM101" i="9"/>
  <c r="G101" i="9"/>
  <c r="AL101" i="9" a="1"/>
  <c r="AL101" i="9"/>
  <c r="AV101" i="9"/>
  <c r="AI135" i="9" a="1"/>
  <c r="AI135" i="9"/>
  <c r="AQ135" i="9" a="1"/>
  <c r="AQ135" i="9"/>
  <c r="CF135" i="9"/>
  <c r="K135" i="9"/>
  <c r="AM135" i="9" a="1"/>
  <c r="AM135" i="9"/>
  <c r="BJ40" i="9" a="1"/>
  <c r="BJ40" i="9"/>
  <c r="I40" i="9"/>
  <c r="AS40" i="9" a="1"/>
  <c r="AS40" i="9"/>
  <c r="BQ40" i="9" a="1"/>
  <c r="BQ40" i="9"/>
  <c r="AO130" i="9" a="1"/>
  <c r="AO130" i="9"/>
  <c r="AM130" i="9" a="1"/>
  <c r="AM130" i="9"/>
  <c r="L130" i="9"/>
  <c r="BW130" i="9" a="1"/>
  <c r="BW130" i="9"/>
  <c r="AX130" i="9"/>
  <c r="S47" i="9" a="1"/>
  <c r="S47" i="9"/>
  <c r="I47" i="9"/>
  <c r="CB47" i="9" a="1"/>
  <c r="CB47" i="9"/>
  <c r="BK47" i="9" a="1"/>
  <c r="BK47" i="9"/>
  <c r="AN47" i="9" a="1"/>
  <c r="AN47" i="9"/>
  <c r="AL47" i="9" a="1"/>
  <c r="AL47" i="9"/>
  <c r="AV47" i="9"/>
  <c r="N47" i="9"/>
  <c r="AK47" i="9" a="1"/>
  <c r="AK47" i="9"/>
  <c r="AY47" i="9" a="1"/>
  <c r="AY47" i="9"/>
  <c r="AT47" i="9" a="1"/>
  <c r="AT47" i="9"/>
  <c r="K47" i="9"/>
  <c r="BQ47" i="9" a="1"/>
  <c r="BQ47" i="9"/>
  <c r="BG47" i="9" a="1"/>
  <c r="BG47" i="9"/>
  <c r="AR47" i="9" a="1"/>
  <c r="AR47" i="9"/>
  <c r="BT39" i="9" a="1"/>
  <c r="BT39" i="9"/>
  <c r="F39" i="9"/>
  <c r="BQ16" i="9" a="1"/>
  <c r="BQ16" i="9"/>
  <c r="DK40" i="1"/>
  <c r="BN16" i="9" a="1"/>
  <c r="BN16" i="9"/>
  <c r="BO40" i="1"/>
  <c r="L16" i="9"/>
  <c r="CU40" i="1"/>
  <c r="BC16" i="9" a="1"/>
  <c r="BC16" i="9"/>
  <c r="EE40" i="1"/>
  <c r="J16" i="9"/>
  <c r="CM40" i="1"/>
  <c r="BT16" i="9" a="1"/>
  <c r="BT16" i="9"/>
  <c r="FG40" i="1"/>
  <c r="L100" i="9"/>
  <c r="I100" i="9"/>
  <c r="AP100" i="9" a="1"/>
  <c r="AP100" i="9"/>
  <c r="AO100" i="9" a="1"/>
  <c r="AO100" i="9"/>
  <c r="BR100" i="9" a="1"/>
  <c r="BR100" i="9"/>
  <c r="V100" i="9"/>
  <c r="AN100" i="9" a="1"/>
  <c r="AN100" i="9"/>
  <c r="AM31" i="9" a="1"/>
  <c r="AM31" i="9"/>
  <c r="BO31" i="9" a="1"/>
  <c r="BO31" i="9"/>
  <c r="BL31" i="9" a="1"/>
  <c r="BL31" i="9"/>
  <c r="AK31" i="9" a="1"/>
  <c r="AK31" i="9"/>
  <c r="BW31" i="9" a="1"/>
  <c r="BW31" i="9"/>
  <c r="M31" i="9"/>
  <c r="AP31" i="9" a="1"/>
  <c r="AP31" i="9"/>
  <c r="AN31" i="9" a="1"/>
  <c r="AN31" i="9"/>
  <c r="BH31" i="9" a="1"/>
  <c r="BH31" i="9"/>
  <c r="AI31" i="9" a="1"/>
  <c r="AI31" i="9"/>
  <c r="AE31" i="9"/>
  <c r="AF31" i="9"/>
  <c r="CD31" i="9" a="1"/>
  <c r="CD31" i="9"/>
  <c r="AD31" i="9"/>
  <c r="BT31" i="9" a="1"/>
  <c r="BT31" i="9"/>
  <c r="F31" i="9"/>
  <c r="X121" i="9"/>
  <c r="AR121" i="9" a="1"/>
  <c r="AR121" i="9"/>
  <c r="BT121" i="9" a="1"/>
  <c r="BT121" i="9"/>
  <c r="AL121" i="9" a="1"/>
  <c r="AL121" i="9"/>
  <c r="AV121" i="9"/>
  <c r="AK20" i="9" a="1"/>
  <c r="AK20" i="9"/>
  <c r="AS20" i="9" a="1"/>
  <c r="AS20" i="9"/>
  <c r="BM20" i="9" a="1"/>
  <c r="BM20" i="9"/>
  <c r="BG44" i="1"/>
  <c r="AJ20" i="9" a="1"/>
  <c r="AJ20" i="9"/>
  <c r="Z20" i="9"/>
  <c r="CF20" i="9"/>
  <c r="BS44" i="1"/>
  <c r="T20" i="9"/>
  <c r="S20" i="9" a="1"/>
  <c r="S20" i="9"/>
  <c r="DG44" i="1"/>
  <c r="D20" i="9"/>
  <c r="I44" i="1"/>
  <c r="BK20" i="9" a="1"/>
  <c r="BK20" i="9"/>
  <c r="GA44" i="1"/>
  <c r="BJ20" i="9" a="1"/>
  <c r="BJ20" i="9"/>
  <c r="FW44" i="1"/>
  <c r="AL20" i="9" a="1"/>
  <c r="AL20" i="9"/>
  <c r="AV20" i="9"/>
  <c r="BU10" i="9" a="1"/>
  <c r="BU10" i="9"/>
  <c r="FK33" i="1"/>
  <c r="Q10" i="9" a="1"/>
  <c r="Q10" i="9"/>
  <c r="AG33" i="1"/>
  <c r="P10" i="9"/>
  <c r="G11" i="12"/>
  <c r="F122" i="9"/>
  <c r="AD27" i="9"/>
  <c r="I27" i="9"/>
  <c r="AU27" i="9" a="1"/>
  <c r="AU27" i="9"/>
  <c r="AG27" i="9"/>
  <c r="CF27" i="9"/>
  <c r="S27" i="9" a="1"/>
  <c r="S27" i="9"/>
  <c r="AI27" i="9" a="1"/>
  <c r="AI27" i="9"/>
  <c r="BJ27" i="9" a="1"/>
  <c r="BJ27" i="9"/>
  <c r="BZ27" i="9" a="1"/>
  <c r="BZ27" i="9"/>
  <c r="AX27" i="9"/>
  <c r="CD27" i="9" a="1"/>
  <c r="CD27" i="9"/>
  <c r="BH27" i="9" a="1"/>
  <c r="BH27" i="9"/>
  <c r="Y27" i="9"/>
  <c r="BW27" i="9" a="1"/>
  <c r="BW27" i="9"/>
  <c r="D27" i="9"/>
  <c r="AP129" i="9" a="1"/>
  <c r="AP129" i="9"/>
  <c r="AI129" i="9" a="1"/>
  <c r="AI129" i="9"/>
  <c r="BN129" i="9" a="1"/>
  <c r="BN129" i="9"/>
  <c r="AT129" i="9" a="1"/>
  <c r="AT129" i="9"/>
  <c r="G129" i="9"/>
  <c r="BZ129" i="9" a="1"/>
  <c r="BZ129" i="9"/>
  <c r="M129" i="9"/>
  <c r="U129" i="9"/>
  <c r="Q129" i="9" a="1"/>
  <c r="Q129" i="9"/>
  <c r="S129" i="9" a="1"/>
  <c r="S129" i="9"/>
  <c r="D129" i="9"/>
  <c r="BJ129" i="9" a="1"/>
  <c r="BJ129" i="9"/>
  <c r="X129" i="9"/>
  <c r="AK122" i="9" a="1"/>
  <c r="AK122" i="9"/>
  <c r="AZ122" i="9" a="1"/>
  <c r="AZ122" i="9"/>
  <c r="CC122" i="9" a="1"/>
  <c r="CC122" i="9"/>
  <c r="M103" i="9"/>
  <c r="BJ37" i="9" a="1"/>
  <c r="BJ37" i="9"/>
  <c r="AB37" i="9"/>
  <c r="AC37" i="9"/>
  <c r="BU47" i="9" a="1"/>
  <c r="BU47" i="9"/>
  <c r="Y47" i="9"/>
  <c r="BB47" i="9" a="1"/>
  <c r="BB47" i="9"/>
  <c r="CA47" i="9" a="1"/>
  <c r="CA47" i="9"/>
  <c r="X47" i="9"/>
  <c r="AO47" i="9" a="1"/>
  <c r="AO47" i="9"/>
  <c r="BH47" i="9" a="1"/>
  <c r="BH47" i="9"/>
  <c r="V47" i="9"/>
  <c r="BL47" i="9" a="1"/>
  <c r="BL47" i="9"/>
  <c r="D47" i="9"/>
  <c r="CC47" i="9" a="1"/>
  <c r="CC47" i="9"/>
  <c r="BO37" i="9" a="1"/>
  <c r="BO37" i="9"/>
  <c r="AJ135" i="9" a="1"/>
  <c r="AJ135" i="9"/>
  <c r="AS135" i="9" a="1"/>
  <c r="AS135" i="9"/>
  <c r="BF135" i="9" a="1"/>
  <c r="BF135" i="9"/>
  <c r="AL135" i="9" a="1"/>
  <c r="AL135" i="9"/>
  <c r="AV135" i="9"/>
  <c r="I135" i="9"/>
  <c r="Y37" i="9"/>
  <c r="BB37" i="9" a="1"/>
  <c r="BB37" i="9"/>
  <c r="BU16" i="9" a="1"/>
  <c r="BU16" i="9"/>
  <c r="FK40" i="1"/>
  <c r="AL130" i="9" a="1"/>
  <c r="AL130" i="9"/>
  <c r="AV130" i="9"/>
  <c r="AR135" i="9" a="1"/>
  <c r="AR135" i="9"/>
  <c r="BM130" i="9" a="1"/>
  <c r="BM130" i="9"/>
  <c r="AJ130" i="9" a="1"/>
  <c r="AJ130" i="9"/>
  <c r="J130" i="9"/>
  <c r="BS101" i="9" a="1"/>
  <c r="BS101" i="9"/>
  <c r="AY40" i="9" a="1"/>
  <c r="AY40" i="9"/>
  <c r="BM40" i="9" a="1"/>
  <c r="BM40" i="9"/>
  <c r="E16" i="9"/>
  <c r="D40" i="1"/>
  <c r="AQ16" i="9" a="1"/>
  <c r="AQ16" i="9"/>
  <c r="I16" i="9"/>
  <c r="AB40" i="1"/>
  <c r="AZ39" i="9" a="1"/>
  <c r="AZ39" i="9"/>
  <c r="AL91" i="9" a="1"/>
  <c r="AL91" i="9"/>
  <c r="AV91" i="9"/>
  <c r="BM91" i="9" a="1"/>
  <c r="BM91" i="9"/>
  <c r="AO74" i="9" a="1"/>
  <c r="AO74" i="9"/>
  <c r="BR74" i="9" a="1"/>
  <c r="BR74" i="9"/>
  <c r="BI20" i="9" a="1"/>
  <c r="BI20" i="9"/>
  <c r="FS44" i="1"/>
  <c r="T74" i="9"/>
  <c r="AW64" i="9"/>
  <c r="CA76" i="9" a="1"/>
  <c r="CA76" i="9"/>
  <c r="F94" i="9"/>
  <c r="X61" i="9"/>
  <c r="BM61" i="9" a="1"/>
  <c r="BM61" i="9"/>
  <c r="AD61" i="9"/>
  <c r="V61" i="9"/>
  <c r="AQ126" i="9" a="1"/>
  <c r="AQ126" i="9"/>
  <c r="AX65" i="9"/>
  <c r="V114" i="9"/>
  <c r="AD109" i="9"/>
  <c r="F37" i="9"/>
  <c r="AE103" i="9"/>
  <c r="AF103" i="9"/>
  <c r="S103" i="9" a="1"/>
  <c r="S103" i="9"/>
  <c r="BB101" i="9" a="1"/>
  <c r="BB101" i="9"/>
  <c r="BD123" i="9" a="1"/>
  <c r="BD123" i="9"/>
  <c r="AE101" i="9"/>
  <c r="AF101" i="9"/>
  <c r="E101" i="9"/>
  <c r="BQ123" i="9" a="1"/>
  <c r="BQ123" i="9"/>
  <c r="AG37" i="9"/>
  <c r="AT37" i="9" a="1"/>
  <c r="AT37" i="9"/>
  <c r="BW37" i="9" a="1"/>
  <c r="BW37" i="9"/>
  <c r="T101" i="9"/>
  <c r="J101" i="9"/>
  <c r="CC101" i="9" a="1"/>
  <c r="CC101" i="9"/>
  <c r="BJ101" i="9" a="1"/>
  <c r="BJ101" i="9"/>
  <c r="BG101" i="9" a="1"/>
  <c r="BG101" i="9"/>
  <c r="BL91" i="9" a="1"/>
  <c r="BL91" i="9"/>
  <c r="BE91" i="9" a="1"/>
  <c r="BE91" i="9"/>
  <c r="BJ91" i="9" a="1"/>
  <c r="BJ91" i="9"/>
  <c r="AN135" i="9" a="1"/>
  <c r="AN135" i="9"/>
  <c r="BQ135" i="9" a="1"/>
  <c r="BQ135" i="9"/>
  <c r="BK135" i="9" a="1"/>
  <c r="BK135" i="9"/>
  <c r="AO135" i="9" a="1"/>
  <c r="AO135" i="9"/>
  <c r="J135" i="9"/>
  <c r="CB135" i="9" a="1"/>
  <c r="CB135" i="9"/>
  <c r="Z135" i="9"/>
  <c r="G135" i="9"/>
  <c r="BI135" i="9" a="1"/>
  <c r="BI135" i="9"/>
  <c r="V135" i="9"/>
  <c r="BR135" i="9" a="1"/>
  <c r="BR135" i="9"/>
  <c r="CD135" i="9" a="1"/>
  <c r="CD135" i="9"/>
  <c r="BG135" i="9" a="1"/>
  <c r="BG135" i="9"/>
  <c r="AY135" i="9" a="1"/>
  <c r="AY135" i="9"/>
  <c r="L40" i="9"/>
  <c r="X40" i="9"/>
  <c r="BG40" i="9" a="1"/>
  <c r="BG40" i="9"/>
  <c r="AU40" i="9" a="1"/>
  <c r="AU40" i="9"/>
  <c r="AL40" i="9" a="1"/>
  <c r="AL40" i="9"/>
  <c r="AW40" i="9"/>
  <c r="AB40" i="9"/>
  <c r="AC40" i="9"/>
  <c r="CA40" i="9" a="1"/>
  <c r="CA40" i="9"/>
  <c r="P40" i="9"/>
  <c r="AQ40" i="9" a="1"/>
  <c r="AQ40" i="9"/>
  <c r="X130" i="9"/>
  <c r="BG130" i="9" a="1"/>
  <c r="BG130" i="9"/>
  <c r="AT130" i="9" a="1"/>
  <c r="AT130" i="9"/>
  <c r="BT130" i="9" a="1"/>
  <c r="BT130" i="9"/>
  <c r="F130" i="9"/>
  <c r="CA130" i="9" a="1"/>
  <c r="CA130" i="9"/>
  <c r="AG130" i="9"/>
  <c r="BJ130" i="9" a="1"/>
  <c r="BJ130" i="9"/>
  <c r="AU47" i="9" a="1"/>
  <c r="AU47" i="9"/>
  <c r="BA47" i="9" a="1"/>
  <c r="BA47" i="9"/>
  <c r="AX74" i="9"/>
  <c r="F74" i="9"/>
  <c r="AT74" i="9" a="1"/>
  <c r="AT74" i="9"/>
  <c r="V74" i="9"/>
  <c r="BR39" i="9" a="1"/>
  <c r="BR39" i="9"/>
  <c r="N39" i="9"/>
  <c r="BS39" i="9" a="1"/>
  <c r="BS39" i="9"/>
  <c r="BK39" i="9" a="1"/>
  <c r="BK39" i="9"/>
  <c r="AU39" i="9" a="1"/>
  <c r="AU39" i="9"/>
  <c r="Q66" i="9" a="1"/>
  <c r="Q66" i="9"/>
  <c r="N66" i="9"/>
  <c r="AY66" i="9" a="1"/>
  <c r="AY66" i="9"/>
  <c r="BG95" i="9" a="1"/>
  <c r="BG95" i="9"/>
  <c r="Q95" i="9" a="1"/>
  <c r="Q95" i="9"/>
  <c r="AX16" i="9"/>
  <c r="BC40" i="1"/>
  <c r="T16" i="9"/>
  <c r="D16" i="9"/>
  <c r="I40" i="1"/>
  <c r="BM16" i="9" a="1"/>
  <c r="BM16" i="9"/>
  <c r="BG40" i="1"/>
  <c r="AZ16" i="9" a="1"/>
  <c r="AZ16" i="9"/>
  <c r="CE40" i="1"/>
  <c r="CA16" i="9" a="1"/>
  <c r="CA16" i="9"/>
  <c r="AQ40" i="1"/>
  <c r="U16" i="9"/>
  <c r="AY31" i="9" a="1"/>
  <c r="AY31" i="9"/>
  <c r="Q31" i="9" a="1"/>
  <c r="Q31" i="9"/>
  <c r="BR31" i="9" a="1"/>
  <c r="BR31" i="9"/>
  <c r="CA31" i="9" a="1"/>
  <c r="CA31" i="9"/>
  <c r="L31" i="9"/>
  <c r="BA31" i="9" a="1"/>
  <c r="BA31" i="9"/>
  <c r="AJ31" i="9" a="1"/>
  <c r="AJ31" i="9"/>
  <c r="Z31" i="9"/>
  <c r="P31" i="9"/>
  <c r="BK31" i="9" a="1"/>
  <c r="BK31" i="9"/>
  <c r="J31" i="9"/>
  <c r="AO31" i="9" a="1"/>
  <c r="AO31" i="9"/>
  <c r="T31" i="9"/>
  <c r="U31" i="9"/>
  <c r="BO121" i="9" a="1"/>
  <c r="BO121" i="9"/>
  <c r="O121" i="9"/>
  <c r="BN121" i="9" a="1"/>
  <c r="BN121" i="9"/>
  <c r="Y20" i="9"/>
  <c r="X20" i="9"/>
  <c r="J20" i="9"/>
  <c r="CM44" i="1"/>
  <c r="BR10" i="9" a="1"/>
  <c r="BR10" i="9"/>
  <c r="EY33" i="1"/>
  <c r="AY10" i="9" a="1"/>
  <c r="AY10" i="9"/>
  <c r="CI33" i="1"/>
  <c r="BG103" i="9" a="1"/>
  <c r="BG103" i="9"/>
  <c r="CC37" i="9" a="1"/>
  <c r="CC37" i="9"/>
  <c r="M37" i="9"/>
  <c r="N37" i="9"/>
  <c r="BM103" i="9" a="1"/>
  <c r="BM103" i="9"/>
  <c r="BW103" i="9" a="1"/>
  <c r="BW103" i="9"/>
  <c r="AP135" i="9" a="1"/>
  <c r="AP135" i="9"/>
  <c r="F135" i="9"/>
  <c r="AZ135" i="9" a="1"/>
  <c r="AZ135" i="9"/>
  <c r="AE135" i="9"/>
  <c r="AF135" i="9"/>
  <c r="BZ135" i="9" a="1"/>
  <c r="BZ135" i="9"/>
  <c r="U135" i="9"/>
  <c r="Y135" i="9"/>
  <c r="BH135" i="9" a="1"/>
  <c r="BH135" i="9"/>
  <c r="AE37" i="9"/>
  <c r="AF37" i="9"/>
  <c r="AZ40" i="9" a="1"/>
  <c r="AZ40" i="9"/>
  <c r="AR101" i="9" a="1"/>
  <c r="AR101" i="9"/>
  <c r="CD130" i="9" a="1"/>
  <c r="CD130" i="9"/>
  <c r="BI130" i="9" a="1"/>
  <c r="BI130" i="9"/>
  <c r="BM135" i="9" a="1"/>
  <c r="BM135" i="9"/>
  <c r="P16" i="9"/>
  <c r="DW40" i="1"/>
  <c r="BK130" i="9" a="1"/>
  <c r="BK130" i="9"/>
  <c r="BB40" i="9" a="1"/>
  <c r="BB40" i="9"/>
  <c r="AI130" i="9" a="1"/>
  <c r="AI130" i="9"/>
  <c r="BN101" i="9" a="1"/>
  <c r="BN101" i="9"/>
  <c r="BH101" i="9" a="1"/>
  <c r="BH101" i="9"/>
  <c r="N101" i="9"/>
  <c r="BL40" i="9" a="1"/>
  <c r="BL40" i="9"/>
  <c r="F40" i="9"/>
  <c r="AX40" i="9"/>
  <c r="BN40" i="9" a="1"/>
  <c r="BN40" i="9"/>
  <c r="CB16" i="9" a="1"/>
  <c r="CB16" i="9"/>
  <c r="AY40" i="1"/>
  <c r="F16" i="9"/>
  <c r="V40" i="1"/>
  <c r="AD16" i="9"/>
  <c r="BZ16" i="9" a="1"/>
  <c r="BZ16" i="9"/>
  <c r="AL40" i="1"/>
  <c r="AJ16" i="9" a="1"/>
  <c r="AJ16" i="9"/>
  <c r="AI39" i="9" a="1"/>
  <c r="AI39" i="9"/>
  <c r="E39" i="9"/>
  <c r="BQ39" i="9" a="1"/>
  <c r="BQ39" i="9"/>
  <c r="Y91" i="9"/>
  <c r="BB91" i="9" a="1"/>
  <c r="BB91" i="9"/>
  <c r="BB16" i="9" a="1"/>
  <c r="BB16" i="9"/>
  <c r="BW40" i="1"/>
  <c r="BU74" i="9" a="1"/>
  <c r="BU74" i="9"/>
  <c r="BC39" i="9" a="1"/>
  <c r="BC39" i="9"/>
  <c r="V91" i="9"/>
  <c r="AY74" i="9" a="1"/>
  <c r="AY74" i="9"/>
  <c r="L121" i="9"/>
  <c r="AN121" i="9" a="1"/>
  <c r="AN121" i="9"/>
  <c r="G138" i="9"/>
  <c r="E138" i="9"/>
  <c r="S35" i="9" a="1"/>
  <c r="S35" i="9"/>
  <c r="BU54" i="9" a="1"/>
  <c r="BU54" i="9"/>
  <c r="AQ101" i="9" a="1"/>
  <c r="AQ101" i="9"/>
  <c r="I101" i="9"/>
  <c r="AS101" i="9" a="1"/>
  <c r="AS101" i="9"/>
  <c r="CB101" i="9" a="1"/>
  <c r="CB101" i="9"/>
  <c r="AX101" i="9"/>
  <c r="AZ101" i="9" a="1"/>
  <c r="AZ101" i="9"/>
  <c r="BK101" i="9" a="1"/>
  <c r="BK101" i="9"/>
  <c r="AD101" i="9"/>
  <c r="AO101" i="9" a="1"/>
  <c r="AO101" i="9"/>
  <c r="BI101" i="9" a="1"/>
  <c r="BI101" i="9"/>
  <c r="I123" i="9"/>
  <c r="AY123" i="9" a="1"/>
  <c r="AY123" i="9"/>
  <c r="AO123" i="9" a="1"/>
  <c r="AO123" i="9"/>
  <c r="CB91" i="9" a="1"/>
  <c r="CB91" i="9"/>
  <c r="Z91" i="9"/>
  <c r="U91" i="9"/>
  <c r="AS91" i="9" a="1"/>
  <c r="AS91" i="9"/>
  <c r="CA91" i="9" a="1"/>
  <c r="CA91" i="9"/>
  <c r="BK91" i="9" a="1"/>
  <c r="BK91" i="9"/>
  <c r="BD91" i="9" a="1"/>
  <c r="BD91" i="9"/>
  <c r="E91" i="9"/>
  <c r="AI40" i="9" a="1"/>
  <c r="AI40" i="9"/>
  <c r="AG40" i="9"/>
  <c r="BH40" i="9" a="1"/>
  <c r="BH40" i="9"/>
  <c r="AM40" i="9" a="1"/>
  <c r="AM40" i="9"/>
  <c r="BC40" i="9" a="1"/>
  <c r="BC40" i="9"/>
  <c r="BE40" i="9" a="1"/>
  <c r="BE40" i="9"/>
  <c r="J40" i="9"/>
  <c r="S40" i="9" a="1"/>
  <c r="S40" i="9"/>
  <c r="AK40" i="9" a="1"/>
  <c r="AK40" i="9"/>
  <c r="V40" i="9"/>
  <c r="P130" i="9"/>
  <c r="BQ130" i="9" a="1"/>
  <c r="BQ130" i="9"/>
  <c r="AE130" i="9"/>
  <c r="AF130" i="9"/>
  <c r="CF130" i="9"/>
  <c r="O130" i="9"/>
  <c r="BB130" i="9" a="1"/>
  <c r="BB130" i="9"/>
  <c r="Y130" i="9"/>
  <c r="BL130" i="9" a="1"/>
  <c r="BL130" i="9"/>
  <c r="Q130" i="9" a="1"/>
  <c r="Q130" i="9"/>
  <c r="AK130" i="9" a="1"/>
  <c r="AK130" i="9"/>
  <c r="AB130" i="9"/>
  <c r="AC130" i="9"/>
  <c r="AY138" i="9" a="1"/>
  <c r="AY138" i="9"/>
  <c r="AP138" i="9" a="1"/>
  <c r="AP138" i="9"/>
  <c r="CC138" i="9" a="1"/>
  <c r="CC138" i="9"/>
  <c r="CD138" i="9" a="1"/>
  <c r="CD138" i="9"/>
  <c r="AN138" i="9" a="1"/>
  <c r="AN138" i="9"/>
  <c r="AR74" i="9" a="1"/>
  <c r="AR74" i="9"/>
  <c r="CD74" i="9" a="1"/>
  <c r="CD74" i="9"/>
  <c r="CF74" i="9"/>
  <c r="BL74" i="9" a="1"/>
  <c r="BL74" i="9"/>
  <c r="AN39" i="9" a="1"/>
  <c r="AN39" i="9"/>
  <c r="AB39" i="9"/>
  <c r="AC39" i="9"/>
  <c r="BW39" i="9" a="1"/>
  <c r="BW39" i="9"/>
  <c r="O39" i="9"/>
  <c r="AG39" i="9"/>
  <c r="CC39" i="9" a="1"/>
  <c r="CC39" i="9"/>
  <c r="BI39" i="9" a="1"/>
  <c r="BI39" i="9"/>
  <c r="AE39" i="9"/>
  <c r="AF39" i="9"/>
  <c r="BU39" i="9" a="1"/>
  <c r="BU39" i="9"/>
  <c r="S39" i="9" a="1"/>
  <c r="S39" i="9"/>
  <c r="L66" i="9"/>
  <c r="M66" i="9"/>
  <c r="G16" i="9"/>
  <c r="P40" i="1"/>
  <c r="CD16" i="9" a="1"/>
  <c r="CD16" i="9"/>
  <c r="GE40" i="1"/>
  <c r="BD16" i="9" a="1"/>
  <c r="BD16" i="9"/>
  <c r="EI40" i="1"/>
  <c r="N16" i="9"/>
  <c r="DO40" i="1"/>
  <c r="AG16" i="9"/>
  <c r="S16" i="9" a="1"/>
  <c r="S16" i="9"/>
  <c r="DG40" i="1"/>
  <c r="BH16" i="9" a="1"/>
  <c r="BH16" i="9"/>
  <c r="DC40" i="1"/>
  <c r="BE16" i="9" a="1"/>
  <c r="BE16" i="9"/>
  <c r="EM40" i="1"/>
  <c r="AY16" i="9" a="1"/>
  <c r="AY16" i="9"/>
  <c r="CI40" i="1"/>
  <c r="AM16" i="9" a="1"/>
  <c r="AM16" i="9"/>
  <c r="BL16" i="9" a="1"/>
  <c r="BL16" i="9"/>
  <c r="EU40" i="1"/>
  <c r="BK16" i="9" a="1"/>
  <c r="BK16" i="9"/>
  <c r="GA40" i="1"/>
  <c r="AI16" i="9" a="1"/>
  <c r="AI16" i="9"/>
  <c r="X16" i="9"/>
  <c r="BC100" i="9" a="1"/>
  <c r="BC100" i="9"/>
  <c r="AD100" i="9"/>
  <c r="BJ121" i="9" a="1"/>
  <c r="BJ121" i="9"/>
  <c r="AQ121" i="9" a="1"/>
  <c r="AQ121" i="9"/>
  <c r="U121" i="9"/>
  <c r="BS121" i="9" a="1"/>
  <c r="BS121" i="9"/>
  <c r="J121" i="9"/>
  <c r="M121" i="9"/>
  <c r="BD121" i="9" a="1"/>
  <c r="BD121" i="9"/>
  <c r="BM35" i="9" a="1"/>
  <c r="BM35" i="9"/>
  <c r="CA35" i="9" a="1"/>
  <c r="CA35" i="9"/>
  <c r="Y103" i="9"/>
  <c r="BN37" i="9" a="1"/>
  <c r="BN37" i="9"/>
  <c r="E37" i="9"/>
  <c r="BS37" i="9" a="1"/>
  <c r="BS37" i="9"/>
  <c r="J103" i="9"/>
  <c r="J37" i="9"/>
  <c r="AQ37" i="9" a="1"/>
  <c r="AQ37" i="9"/>
  <c r="AX103" i="9"/>
  <c r="AL103" i="9" a="1"/>
  <c r="AL103" i="9"/>
  <c r="AV103" i="9"/>
  <c r="CA135" i="9" a="1"/>
  <c r="CA135" i="9"/>
  <c r="BB135" i="9" a="1"/>
  <c r="BB135" i="9"/>
  <c r="E135" i="9"/>
  <c r="Q135" i="9" a="1"/>
  <c r="Q135" i="9"/>
  <c r="AK135" i="9" a="1"/>
  <c r="AK135" i="9"/>
  <c r="AT135" i="9" a="1"/>
  <c r="AT135" i="9"/>
  <c r="AB135" i="9"/>
  <c r="AC135" i="9"/>
  <c r="P135" i="9"/>
  <c r="N135" i="9"/>
  <c r="AX135" i="9"/>
  <c r="AG135" i="9"/>
  <c r="BW135" i="9" a="1"/>
  <c r="BW135" i="9"/>
  <c r="BL135" i="9" a="1"/>
  <c r="BL135" i="9"/>
  <c r="BN135" i="9" a="1"/>
  <c r="BN135" i="9"/>
  <c r="BS103" i="9" a="1"/>
  <c r="BS103" i="9"/>
  <c r="CB37" i="9" a="1"/>
  <c r="CB37" i="9"/>
  <c r="BI47" i="9" a="1"/>
  <c r="BI47" i="9"/>
  <c r="AZ100" i="9" a="1"/>
  <c r="AZ100" i="9"/>
  <c r="AM37" i="9" a="1"/>
  <c r="AM37" i="9"/>
  <c r="AR40" i="9" a="1"/>
  <c r="AR40" i="9"/>
  <c r="AE16" i="9"/>
  <c r="AF16" i="9"/>
  <c r="AU101" i="9" a="1"/>
  <c r="AU101" i="9"/>
  <c r="AD130" i="9"/>
  <c r="CB130" i="9" a="1"/>
  <c r="CB130" i="9"/>
  <c r="BD130" i="9" a="1"/>
  <c r="BD130" i="9"/>
  <c r="BO130" i="9" a="1"/>
  <c r="BO130" i="9"/>
  <c r="BA135" i="9" a="1"/>
  <c r="BA135" i="9"/>
  <c r="AD40" i="9"/>
  <c r="P101" i="9"/>
  <c r="BN130" i="9" a="1"/>
  <c r="BN130" i="9"/>
  <c r="AZ130" i="9" a="1"/>
  <c r="AZ130" i="9"/>
  <c r="AY130" i="9" a="1"/>
  <c r="AY130" i="9"/>
  <c r="AN40" i="9" a="1"/>
  <c r="AN40" i="9"/>
  <c r="M16" i="9"/>
  <c r="CY40" i="1"/>
  <c r="BS130" i="9" a="1"/>
  <c r="BS130" i="9"/>
  <c r="BH130" i="9" a="1"/>
  <c r="BH130" i="9"/>
  <c r="BU130" i="9" a="1"/>
  <c r="BU130" i="9"/>
  <c r="AY101" i="9" a="1"/>
  <c r="AY101" i="9"/>
  <c r="BU101" i="9" a="1"/>
  <c r="BU101" i="9"/>
  <c r="Q101" i="9" a="1"/>
  <c r="Q101" i="9"/>
  <c r="BR101" i="9" a="1"/>
  <c r="BR101" i="9"/>
  <c r="L101" i="9"/>
  <c r="Z101" i="9"/>
  <c r="BO40" i="9" a="1"/>
  <c r="BO40" i="9"/>
  <c r="BU40" i="9" a="1"/>
  <c r="BU40" i="9"/>
  <c r="AT40" i="9" a="1"/>
  <c r="AT40" i="9"/>
  <c r="BA40" i="9" a="1"/>
  <c r="BA40" i="9"/>
  <c r="D40" i="9"/>
  <c r="BZ40" i="9" a="1"/>
  <c r="BZ40" i="9"/>
  <c r="CC40" i="9" a="1"/>
  <c r="CC40" i="9"/>
  <c r="AB16" i="9"/>
  <c r="AC16" i="9"/>
  <c r="BI16" i="9" a="1"/>
  <c r="BI16" i="9"/>
  <c r="FS40" i="1"/>
  <c r="AO16" i="9" a="1"/>
  <c r="AO16" i="9"/>
  <c r="BS16" i="9" a="1"/>
  <c r="BS16" i="9"/>
  <c r="FC40" i="1"/>
  <c r="CC16" i="9" a="1"/>
  <c r="CC16" i="9"/>
  <c r="AU40" i="1"/>
  <c r="AR16" i="9" a="1"/>
  <c r="AR16" i="9"/>
  <c r="CF16" i="9"/>
  <c r="BS40" i="1"/>
  <c r="BG16" i="9" a="1"/>
  <c r="BG16" i="9"/>
  <c r="EA40" i="1"/>
  <c r="BJ16" i="9" a="1"/>
  <c r="BJ16" i="9"/>
  <c r="FW40" i="1"/>
  <c r="BH39" i="9" a="1"/>
  <c r="BH39" i="9"/>
  <c r="AY39" i="9" a="1"/>
  <c r="AY39" i="9"/>
  <c r="BJ39" i="9" a="1"/>
  <c r="BJ39" i="9"/>
  <c r="AK39" i="9" a="1"/>
  <c r="AK39" i="9"/>
  <c r="T39" i="9"/>
  <c r="X91" i="9"/>
  <c r="BT91" i="9" a="1"/>
  <c r="BT91" i="9"/>
  <c r="AD91" i="9"/>
  <c r="CD40" i="9" a="1"/>
  <c r="CD40" i="9"/>
  <c r="AS130" i="9" a="1"/>
  <c r="AS130" i="9"/>
  <c r="AR123" i="9" a="1"/>
  <c r="AR123" i="9"/>
  <c r="AK74" i="9" a="1"/>
  <c r="AK74" i="9"/>
  <c r="BM39" i="9" a="1"/>
  <c r="BM39" i="9"/>
  <c r="Y39" i="9"/>
  <c r="BR91" i="9" a="1"/>
  <c r="BR91" i="9"/>
  <c r="AB123" i="9"/>
  <c r="AC123" i="9"/>
  <c r="G74" i="9"/>
  <c r="BU121" i="9" a="1"/>
  <c r="BU121" i="9"/>
  <c r="CD121" i="9" a="1"/>
  <c r="CD121" i="9"/>
  <c r="AG121" i="9"/>
  <c r="D121" i="9"/>
  <c r="V121" i="9"/>
  <c r="BQ121" i="9" a="1"/>
  <c r="BQ121" i="9"/>
  <c r="BW121" i="9" a="1"/>
  <c r="BW121" i="9"/>
  <c r="CF138" i="9"/>
  <c r="AZ138" i="9" a="1"/>
  <c r="AZ138" i="9"/>
  <c r="AN66" i="9" a="1"/>
  <c r="AN66" i="9"/>
  <c r="AT138" i="9" a="1"/>
  <c r="AT138" i="9"/>
  <c r="AR95" i="9" a="1"/>
  <c r="AR95" i="9"/>
  <c r="BN54" i="9" a="1"/>
  <c r="BN54" i="9"/>
  <c r="X13" i="9"/>
  <c r="BU13" i="9" a="1"/>
  <c r="BU13" i="9"/>
  <c r="FK36" i="1"/>
  <c r="CF57" i="9"/>
  <c r="CC56" i="9" a="1"/>
  <c r="CC56" i="9"/>
  <c r="F57" i="9"/>
  <c r="BA57" i="9" a="1"/>
  <c r="BA57" i="9"/>
  <c r="O94" i="9"/>
  <c r="J94" i="9"/>
  <c r="L94" i="9"/>
  <c r="M94" i="9"/>
  <c r="AX56" i="9"/>
  <c r="AU56" i="9" a="1"/>
  <c r="AU56" i="9"/>
  <c r="J56" i="9"/>
  <c r="BA56" i="9" a="1"/>
  <c r="BA56" i="9"/>
  <c r="AP56" i="9" a="1"/>
  <c r="AP56" i="9"/>
  <c r="BR56" i="9" a="1"/>
  <c r="BR56" i="9"/>
  <c r="AQ57" i="9" a="1"/>
  <c r="AQ57" i="9"/>
  <c r="BZ57" i="9" a="1"/>
  <c r="BZ57" i="9"/>
  <c r="BS57" i="9" a="1"/>
  <c r="BS57" i="9"/>
  <c r="BG57" i="9" a="1"/>
  <c r="BG57" i="9"/>
  <c r="S57" i="9" a="1"/>
  <c r="S57" i="9"/>
  <c r="BJ57" i="9" a="1"/>
  <c r="BJ57" i="9"/>
  <c r="AZ57" i="9" a="1"/>
  <c r="AZ57" i="9"/>
  <c r="BT57" i="9" a="1"/>
  <c r="BT57" i="9"/>
  <c r="M57" i="9"/>
  <c r="AG57" i="9"/>
  <c r="BW57" i="9" a="1"/>
  <c r="BW57" i="9"/>
  <c r="O57" i="9"/>
  <c r="BA87" i="9" a="1"/>
  <c r="BA87" i="9"/>
  <c r="Q67" i="9" a="1"/>
  <c r="Q67" i="9"/>
  <c r="Y67" i="9"/>
  <c r="BB67" i="9" a="1"/>
  <c r="BB67" i="9"/>
  <c r="BM67" i="9" a="1"/>
  <c r="BM67" i="9"/>
  <c r="L67" i="9"/>
  <c r="J67" i="9"/>
  <c r="BA67" i="9" a="1"/>
  <c r="BA67" i="9"/>
  <c r="BH50" i="9" a="1"/>
  <c r="BH50" i="9"/>
  <c r="BN49" i="9" a="1"/>
  <c r="BN49" i="9"/>
  <c r="AO49" i="9" a="1"/>
  <c r="AO49" i="9"/>
  <c r="AQ45" i="9" a="1"/>
  <c r="AQ45" i="9"/>
  <c r="CB45" i="9" a="1"/>
  <c r="CB45" i="9"/>
  <c r="D49" i="9"/>
  <c r="BE49" i="9" a="1"/>
  <c r="BE49" i="9"/>
  <c r="AY45" i="9" a="1"/>
  <c r="AY45" i="9"/>
  <c r="O45" i="9"/>
  <c r="BA45" i="9" a="1"/>
  <c r="BA45" i="9"/>
  <c r="CF49" i="9"/>
  <c r="AB49" i="9"/>
  <c r="AC49" i="9"/>
  <c r="J126" i="9"/>
  <c r="BO94" i="9" a="1"/>
  <c r="BO94" i="9"/>
  <c r="BR94" i="9" a="1"/>
  <c r="BR94" i="9"/>
  <c r="CD65" i="9" a="1"/>
  <c r="CD65" i="9"/>
  <c r="AK45" i="9" a="1"/>
  <c r="AK45" i="9"/>
  <c r="O103" i="9"/>
  <c r="T37" i="9"/>
  <c r="X37" i="9"/>
  <c r="AP94" i="9" a="1"/>
  <c r="AP94" i="9"/>
  <c r="AO94" i="9" a="1"/>
  <c r="AO94" i="9"/>
  <c r="AM103" i="9" a="1"/>
  <c r="AM103" i="9"/>
  <c r="AR103" i="9" a="1"/>
  <c r="AR103" i="9"/>
  <c r="CA103" i="9" a="1"/>
  <c r="CA103" i="9"/>
  <c r="K103" i="9"/>
  <c r="AG103" i="9"/>
  <c r="BZ37" i="9" a="1"/>
  <c r="BZ37" i="9"/>
  <c r="BQ101" i="9" a="1"/>
  <c r="BQ101" i="9"/>
  <c r="V101" i="9"/>
  <c r="BW101" i="9" a="1"/>
  <c r="BW101" i="9"/>
  <c r="BL101" i="9" a="1"/>
  <c r="BL101" i="9"/>
  <c r="S101" i="9" a="1"/>
  <c r="S101" i="9"/>
  <c r="AT101" i="9" a="1"/>
  <c r="AT101" i="9"/>
  <c r="BA101" i="9" a="1"/>
  <c r="BA101" i="9"/>
  <c r="CA101" i="9" a="1"/>
  <c r="CA101" i="9"/>
  <c r="AB101" i="9"/>
  <c r="AC101" i="9"/>
  <c r="BO101" i="9" a="1"/>
  <c r="BO101" i="9"/>
  <c r="F101" i="9"/>
  <c r="K101" i="9"/>
  <c r="F123" i="9"/>
  <c r="CD91" i="9" a="1"/>
  <c r="CD91" i="9"/>
  <c r="T91" i="9"/>
  <c r="BE129" i="9" a="1"/>
  <c r="BE129" i="9"/>
  <c r="BB49" i="9" a="1"/>
  <c r="BB49" i="9"/>
  <c r="AG49" i="9"/>
  <c r="P126" i="9"/>
  <c r="BG65" i="9" a="1"/>
  <c r="BG65" i="9"/>
  <c r="V94" i="9"/>
  <c r="BF94" i="9" a="1"/>
  <c r="BF94" i="9"/>
  <c r="AZ94" i="9" a="1"/>
  <c r="AZ94" i="9"/>
  <c r="AR124" i="9" a="1"/>
  <c r="AR124" i="9"/>
  <c r="AL90" i="9" a="1"/>
  <c r="AL90" i="9"/>
  <c r="AV90" i="9"/>
  <c r="AE18" i="9"/>
  <c r="AF18" i="9"/>
  <c r="Z81" i="9"/>
  <c r="BU71" i="9" a="1"/>
  <c r="BU71" i="9"/>
  <c r="Q18" i="9" a="1"/>
  <c r="Q18" i="9"/>
  <c r="AG42" i="1"/>
  <c r="CD101" i="9" a="1"/>
  <c r="CD101" i="9"/>
  <c r="CA123" i="9" a="1"/>
  <c r="CA123" i="9"/>
  <c r="Z68" i="9"/>
  <c r="U118" i="9"/>
  <c r="CF124" i="9"/>
  <c r="AS94" i="9" a="1"/>
  <c r="AS94" i="9"/>
  <c r="BU33" i="9" a="1"/>
  <c r="BU33" i="9"/>
  <c r="BL37" i="9" a="1"/>
  <c r="BL37" i="9"/>
  <c r="BT37" i="9" a="1"/>
  <c r="BT37" i="9"/>
  <c r="BR123" i="9" a="1"/>
  <c r="BR123" i="9"/>
  <c r="CB123" i="9" a="1"/>
  <c r="CB123" i="9"/>
  <c r="L123" i="9"/>
  <c r="BU123" i="9" a="1"/>
  <c r="BU123" i="9"/>
  <c r="BI123" i="9" a="1"/>
  <c r="BI123" i="9"/>
  <c r="Z102" i="9"/>
  <c r="U102" i="9"/>
  <c r="AM91" i="9" a="1"/>
  <c r="AM91" i="9"/>
  <c r="CF91" i="9"/>
  <c r="G91" i="9"/>
  <c r="AK91" i="9" a="1"/>
  <c r="AK91" i="9"/>
  <c r="BU91" i="9" a="1"/>
  <c r="BU91" i="9"/>
  <c r="D91" i="9"/>
  <c r="BS91" i="9" a="1"/>
  <c r="BS91" i="9"/>
  <c r="AN91" i="9" a="1"/>
  <c r="AN91" i="9"/>
  <c r="AE91" i="9"/>
  <c r="AF91" i="9"/>
  <c r="BH91" i="9" a="1"/>
  <c r="BH91" i="9"/>
  <c r="AX91" i="9"/>
  <c r="N91" i="9"/>
  <c r="AB91" i="9"/>
  <c r="AC91" i="9"/>
  <c r="AT91" i="9" a="1"/>
  <c r="AT91" i="9"/>
  <c r="BK40" i="9" a="1"/>
  <c r="BK40" i="9"/>
  <c r="AP40" i="9" a="1"/>
  <c r="AP40" i="9"/>
  <c r="S130" i="9" a="1"/>
  <c r="S130" i="9"/>
  <c r="Z130" i="9"/>
  <c r="V130" i="9"/>
  <c r="BA130" i="9" a="1"/>
  <c r="BA130" i="9"/>
  <c r="J138" i="9"/>
  <c r="I138" i="9"/>
  <c r="BA138" i="9" a="1"/>
  <c r="BA138" i="9"/>
  <c r="BQ138" i="9" a="1"/>
  <c r="BQ138" i="9"/>
  <c r="K138" i="9"/>
  <c r="AK54" i="9" a="1"/>
  <c r="AK54" i="9"/>
  <c r="CD54" i="9" a="1"/>
  <c r="CD54" i="9"/>
  <c r="CB74" i="9" a="1"/>
  <c r="CB74" i="9"/>
  <c r="AS74" i="9" a="1"/>
  <c r="AS74" i="9"/>
  <c r="U74" i="9"/>
  <c r="AQ74" i="9" a="1"/>
  <c r="AQ74" i="9"/>
  <c r="BH74" i="9" a="1"/>
  <c r="BH74" i="9"/>
  <c r="BF74" i="9" a="1"/>
  <c r="BF74" i="9"/>
  <c r="Y74" i="9"/>
  <c r="N74" i="9"/>
  <c r="CC74" i="9" a="1"/>
  <c r="CC74" i="9"/>
  <c r="I39" i="9"/>
  <c r="AX39" i="9"/>
  <c r="BO39" i="9" a="1"/>
  <c r="BO39" i="9"/>
  <c r="D39" i="9"/>
  <c r="P39" i="9"/>
  <c r="AM39" i="9" a="1"/>
  <c r="AM39" i="9"/>
  <c r="BL39" i="9" a="1"/>
  <c r="BL39" i="9"/>
  <c r="AQ39" i="9" a="1"/>
  <c r="AQ39" i="9"/>
  <c r="U39" i="9"/>
  <c r="CF39" i="9"/>
  <c r="BN39" i="9" a="1"/>
  <c r="BN39" i="9"/>
  <c r="Z39" i="9"/>
  <c r="BD39" i="9" a="1"/>
  <c r="BD39" i="9"/>
  <c r="M39" i="9"/>
  <c r="J39" i="9"/>
  <c r="F66" i="9"/>
  <c r="BU66" i="9" a="1"/>
  <c r="BU66" i="9"/>
  <c r="AT66" i="9" a="1"/>
  <c r="AT66" i="9"/>
  <c r="BC66" i="9" a="1"/>
  <c r="BC66" i="9"/>
  <c r="AL66" i="9" a="1"/>
  <c r="AL66" i="9"/>
  <c r="AV66" i="9"/>
  <c r="V66" i="9"/>
  <c r="I66" i="9"/>
  <c r="AN95" i="9" a="1"/>
  <c r="AN95" i="9"/>
  <c r="E95" i="9"/>
  <c r="V95" i="9"/>
  <c r="O16" i="9"/>
  <c r="DS40" i="1"/>
  <c r="Z16" i="9"/>
  <c r="Q16" i="9" a="1"/>
  <c r="Q16" i="9"/>
  <c r="AG40" i="1"/>
  <c r="AT16" i="9" a="1"/>
  <c r="AT16" i="9"/>
  <c r="Y121" i="9"/>
  <c r="AD121" i="9"/>
  <c r="E121" i="9"/>
  <c r="AZ121" i="9" a="1"/>
  <c r="AZ121" i="9"/>
  <c r="BM121" i="9" a="1"/>
  <c r="BM121" i="9"/>
  <c r="Q121" i="9" a="1"/>
  <c r="Q121" i="9"/>
  <c r="BL121" i="9" a="1"/>
  <c r="BL121" i="9"/>
  <c r="BC121" i="9" a="1"/>
  <c r="BC121" i="9"/>
  <c r="AK121" i="9" a="1"/>
  <c r="AK121" i="9"/>
  <c r="BA121" i="9" a="1"/>
  <c r="BA121" i="9"/>
  <c r="CF121" i="9"/>
  <c r="BC29" i="9" a="1"/>
  <c r="BC29" i="9"/>
  <c r="CC29" i="9" a="1"/>
  <c r="CC29" i="9"/>
  <c r="K20" i="9"/>
  <c r="CQ44" i="1"/>
  <c r="G20" i="9"/>
  <c r="P44" i="1"/>
  <c r="BT10" i="9" a="1"/>
  <c r="BT10" i="9"/>
  <c r="FG33" i="1"/>
  <c r="CC10" i="9" a="1"/>
  <c r="CC10" i="9"/>
  <c r="AU33" i="1"/>
  <c r="I22" i="9"/>
  <c r="AB46" i="1"/>
  <c r="BR89" i="9" a="1"/>
  <c r="BR89" i="9"/>
  <c r="AZ15" i="9" a="1"/>
  <c r="AZ15" i="9"/>
  <c r="CE38" i="1"/>
  <c r="CB103" i="9" a="1"/>
  <c r="CB103" i="9"/>
  <c r="K37" i="9"/>
  <c r="AR37" i="9" a="1"/>
  <c r="AR37" i="9"/>
  <c r="O37" i="9"/>
  <c r="BC103" i="9" a="1"/>
  <c r="BC103" i="9"/>
  <c r="CD103" i="9" a="1"/>
  <c r="CD103" i="9"/>
  <c r="G103" i="9"/>
  <c r="AD103" i="9"/>
  <c r="O129" i="9"/>
  <c r="BU103" i="9" a="1"/>
  <c r="BU103" i="9"/>
  <c r="AP37" i="9" a="1"/>
  <c r="AP37" i="9"/>
  <c r="BH37" i="9" a="1"/>
  <c r="BH37" i="9"/>
  <c r="AT103" i="9" a="1"/>
  <c r="AT103" i="9"/>
  <c r="BG37" i="9" a="1"/>
  <c r="BG37" i="9"/>
  <c r="U101" i="9"/>
  <c r="AK101" i="9" a="1"/>
  <c r="AK101" i="9"/>
  <c r="X101" i="9"/>
  <c r="BT101" i="9" a="1"/>
  <c r="BT101" i="9"/>
  <c r="BE101" i="9" a="1"/>
  <c r="BE101" i="9"/>
  <c r="O101" i="9"/>
  <c r="D101" i="9"/>
  <c r="AG101" i="9"/>
  <c r="BF101" i="9" a="1"/>
  <c r="BF101" i="9"/>
  <c r="M101" i="9"/>
  <c r="Y101" i="9"/>
  <c r="AP101" i="9" a="1"/>
  <c r="AP101" i="9"/>
  <c r="BC101" i="9" a="1"/>
  <c r="BC101" i="9"/>
  <c r="AN101" i="9" a="1"/>
  <c r="AN101" i="9"/>
  <c r="AM101" i="9" a="1"/>
  <c r="AM101" i="9"/>
  <c r="AO40" i="9" a="1"/>
  <c r="AO40" i="9"/>
  <c r="Y40" i="9"/>
  <c r="E40" i="9"/>
  <c r="Q40" i="9" a="1"/>
  <c r="Q40" i="9"/>
  <c r="BT40" i="9" a="1"/>
  <c r="BT40" i="9"/>
  <c r="CB40" i="9" a="1"/>
  <c r="CB40" i="9"/>
  <c r="G40" i="9"/>
  <c r="BS40" i="9" a="1"/>
  <c r="BS40" i="9"/>
  <c r="M40" i="9"/>
  <c r="BR40" i="9" a="1"/>
  <c r="BR40" i="9"/>
  <c r="O40" i="9"/>
  <c r="BW40" i="9" a="1"/>
  <c r="BW40" i="9"/>
  <c r="BF40" i="9" a="1"/>
  <c r="BF40" i="9"/>
  <c r="V39" i="9"/>
  <c r="O91" i="9"/>
  <c r="AP39" i="9" a="1"/>
  <c r="AP39" i="9"/>
  <c r="K39" i="9"/>
  <c r="CD39" i="9" a="1"/>
  <c r="CD39" i="9"/>
  <c r="BF39" i="9" a="1"/>
  <c r="BF39" i="9"/>
  <c r="AO39" i="9" a="1"/>
  <c r="AO39" i="9"/>
  <c r="CB39" i="9" a="1"/>
  <c r="CB39" i="9"/>
  <c r="BA91" i="9" a="1"/>
  <c r="BA91" i="9"/>
  <c r="BN91" i="9" a="1"/>
  <c r="BN91" i="9"/>
  <c r="S91" i="9" a="1"/>
  <c r="S91" i="9"/>
  <c r="AP91" i="9" a="1"/>
  <c r="AP91" i="9"/>
  <c r="AZ91" i="9" a="1"/>
  <c r="AZ91" i="9"/>
  <c r="L91" i="9"/>
  <c r="BQ91" i="9" a="1"/>
  <c r="BQ91" i="9"/>
  <c r="AN130" i="9" a="1"/>
  <c r="AN130" i="9"/>
  <c r="BZ101" i="9" a="1"/>
  <c r="BZ101" i="9"/>
  <c r="N130" i="9"/>
  <c r="AI123" i="9" a="1"/>
  <c r="AI123" i="9"/>
  <c r="AN74" i="9" a="1"/>
  <c r="AN74" i="9"/>
  <c r="BT74" i="9" a="1"/>
  <c r="BT74" i="9"/>
  <c r="Q74" i="9" a="1"/>
  <c r="Q74" i="9"/>
  <c r="BG39" i="9" a="1"/>
  <c r="BG39" i="9"/>
  <c r="Q39" i="9" a="1"/>
  <c r="Q39" i="9"/>
  <c r="AD39" i="9"/>
  <c r="BW74" i="9" a="1"/>
  <c r="BW74" i="9"/>
  <c r="AJ91" i="9" a="1"/>
  <c r="AJ91" i="9"/>
  <c r="BC123" i="9" a="1"/>
  <c r="BC123" i="9"/>
  <c r="E123" i="9"/>
  <c r="BM74" i="9" a="1"/>
  <c r="BM74" i="9"/>
  <c r="CA74" i="9" a="1"/>
  <c r="CA74" i="9"/>
  <c r="D74" i="9"/>
  <c r="AZ123" i="9" a="1"/>
  <c r="AZ123" i="9"/>
  <c r="G121" i="9"/>
  <c r="K121" i="9"/>
  <c r="AP121" i="9" a="1"/>
  <c r="AP121" i="9"/>
  <c r="BF121" i="9" a="1"/>
  <c r="BF121" i="9"/>
  <c r="E103" i="9"/>
  <c r="BZ74" i="9" a="1"/>
  <c r="BZ74" i="9"/>
  <c r="P138" i="9"/>
  <c r="BR138" i="9" a="1"/>
  <c r="BR138" i="9"/>
  <c r="AD138" i="9"/>
  <c r="BL138" i="9" a="1"/>
  <c r="BL138" i="9"/>
  <c r="BB66" i="9" a="1"/>
  <c r="BB66" i="9"/>
  <c r="BO138" i="9" a="1"/>
  <c r="BO138" i="9"/>
  <c r="AJ66" i="9" a="1"/>
  <c r="AJ66" i="9"/>
  <c r="K66" i="9"/>
  <c r="CC66" i="9" a="1"/>
  <c r="CC66" i="9"/>
  <c r="AQ66" i="9" a="1"/>
  <c r="AQ66" i="9"/>
  <c r="N95" i="9"/>
  <c r="AP95" i="9" a="1"/>
  <c r="AP95" i="9"/>
  <c r="AL35" i="9" a="1"/>
  <c r="AL35" i="9"/>
  <c r="AW35" i="9"/>
  <c r="AN54" i="9" a="1"/>
  <c r="AN54" i="9"/>
  <c r="CD109" i="9" a="1"/>
  <c r="CD109" i="9"/>
  <c r="P18" i="9"/>
  <c r="DW42" i="1"/>
  <c r="AZ71" i="9" a="1"/>
  <c r="AZ71" i="9"/>
  <c r="AI53" i="9" a="1"/>
  <c r="AI53" i="9"/>
  <c r="Y114" i="9"/>
  <c r="BG48" i="9" a="1"/>
  <c r="BG48" i="9"/>
  <c r="BM118" i="9" a="1"/>
  <c r="BM118" i="9"/>
  <c r="V98" i="9"/>
  <c r="BL17" i="9" a="1"/>
  <c r="BL17" i="9"/>
  <c r="EU41" i="1"/>
  <c r="BC33" i="9" a="1"/>
  <c r="BC33" i="9"/>
  <c r="K13" i="9"/>
  <c r="CQ36" i="1"/>
  <c r="T13" i="9"/>
  <c r="AX33" i="9"/>
  <c r="AS33" i="9" a="1"/>
  <c r="AS33" i="9"/>
  <c r="BF48" i="9" a="1"/>
  <c r="BF48" i="9"/>
  <c r="D120" i="9"/>
  <c r="CB50" i="9" a="1"/>
  <c r="CB50" i="9"/>
  <c r="AX87" i="9"/>
  <c r="AM93" i="9" a="1"/>
  <c r="AM93" i="9"/>
  <c r="D133" i="9"/>
  <c r="BQ98" i="9" a="1"/>
  <c r="BQ98" i="9"/>
  <c r="BS98" i="9" a="1"/>
  <c r="BS98" i="9"/>
  <c r="AZ17" i="9" a="1"/>
  <c r="AZ17" i="9"/>
  <c r="CE41" i="1"/>
  <c r="BG33" i="9" a="1"/>
  <c r="BG33" i="9"/>
  <c r="BW48" i="9" a="1"/>
  <c r="BW48" i="9"/>
  <c r="X120" i="9"/>
  <c r="AP11" i="9" a="1"/>
  <c r="AP11" i="9"/>
  <c r="BC72" i="9" a="1"/>
  <c r="BC72" i="9"/>
  <c r="BE133" i="9" a="1"/>
  <c r="BE133" i="9"/>
  <c r="CA78" i="9" a="1"/>
  <c r="CA78" i="9"/>
  <c r="BD101" i="9" a="1"/>
  <c r="BD101" i="9"/>
  <c r="AI37" i="9" a="1"/>
  <c r="AI37" i="9"/>
  <c r="BD102" i="9" a="1"/>
  <c r="BD102" i="9"/>
  <c r="AL102" i="9" a="1"/>
  <c r="AL102" i="9"/>
  <c r="AW102" i="9"/>
  <c r="V102" i="9"/>
  <c r="BC102" i="9" a="1"/>
  <c r="BC102" i="9"/>
  <c r="BM17" i="9" a="1"/>
  <c r="BM17" i="9"/>
  <c r="BG41" i="1"/>
  <c r="BE17" i="9" a="1"/>
  <c r="BE17" i="9"/>
  <c r="EM41" i="1"/>
  <c r="AO48" i="9" a="1"/>
  <c r="AO48" i="9"/>
  <c r="BS73" i="9" a="1"/>
  <c r="BS73" i="9"/>
  <c r="N136" i="9"/>
  <c r="BR140" i="9" a="1"/>
  <c r="BR140" i="9"/>
  <c r="BC63" i="9" a="1"/>
  <c r="BC63" i="9"/>
  <c r="BB13" i="9" a="1"/>
  <c r="BB13" i="9"/>
  <c r="BW36" i="1"/>
  <c r="AE33" i="9"/>
  <c r="AF33" i="9"/>
  <c r="S120" i="9" a="1"/>
  <c r="S120" i="9"/>
  <c r="BU87" i="9" a="1"/>
  <c r="BU87" i="9"/>
  <c r="BZ11" i="9" a="1"/>
  <c r="BZ11" i="9"/>
  <c r="AL34" i="1"/>
  <c r="AO11" i="9" a="1"/>
  <c r="AO11" i="9"/>
  <c r="AU72" i="9" a="1"/>
  <c r="AU72" i="9"/>
  <c r="AQ72" i="9" a="1"/>
  <c r="AQ72" i="9"/>
  <c r="AO78" i="9" a="1"/>
  <c r="AO78" i="9"/>
  <c r="L13" i="9"/>
  <c r="C14" i="12"/>
  <c r="N13" i="9"/>
  <c r="E14" i="12"/>
  <c r="AR13" i="9" a="1"/>
  <c r="AR13" i="9"/>
  <c r="CF17" i="9"/>
  <c r="BS41" i="1"/>
  <c r="U120" i="9"/>
  <c r="AO120" i="9" a="1"/>
  <c r="AO120" i="9"/>
  <c r="AP120" i="9" a="1"/>
  <c r="AP120" i="9"/>
  <c r="CB48" i="9" a="1"/>
  <c r="CB48" i="9"/>
  <c r="BI48" i="9" a="1"/>
  <c r="BI48" i="9"/>
  <c r="AN120" i="9" a="1"/>
  <c r="AN120" i="9"/>
  <c r="BR87" i="9" a="1"/>
  <c r="BR87" i="9"/>
  <c r="AT87" i="9" a="1"/>
  <c r="AT87" i="9"/>
  <c r="AY11" i="9" a="1"/>
  <c r="AY11" i="9"/>
  <c r="CI34" i="1"/>
  <c r="CF93" i="9"/>
  <c r="BO11" i="9" a="1"/>
  <c r="BO11" i="9"/>
  <c r="BK34" i="1"/>
  <c r="BK72" i="9" a="1"/>
  <c r="BK72" i="9"/>
  <c r="BC136" i="9" a="1"/>
  <c r="BC136" i="9"/>
  <c r="V9" i="9"/>
  <c r="M125" i="9"/>
  <c r="BD13" i="9" a="1"/>
  <c r="BD13" i="9"/>
  <c r="EI36" i="1"/>
  <c r="BF13" i="9" a="1"/>
  <c r="BF13" i="9"/>
  <c r="EQ36" i="1"/>
  <c r="BQ17" i="9" a="1"/>
  <c r="BQ17" i="9"/>
  <c r="DK41" i="1"/>
  <c r="AL48" i="9" a="1"/>
  <c r="AL48" i="9"/>
  <c r="AV48" i="9"/>
  <c r="AY48" i="9" a="1"/>
  <c r="AY48" i="9"/>
  <c r="Z33" i="9"/>
  <c r="BD22" i="9" a="1"/>
  <c r="BD22" i="9"/>
  <c r="EI46" i="1"/>
  <c r="BD48" i="9" a="1"/>
  <c r="BD48" i="9"/>
  <c r="CA81" i="9" a="1"/>
  <c r="CA81" i="9"/>
  <c r="V87" i="9"/>
  <c r="BQ18" i="9" a="1"/>
  <c r="BQ18" i="9"/>
  <c r="DK42" i="1"/>
  <c r="AO93" i="9" a="1"/>
  <c r="AO93" i="9"/>
  <c r="AY93" i="9" a="1"/>
  <c r="AY93" i="9"/>
  <c r="V72" i="9"/>
  <c r="AN108" i="9" a="1"/>
  <c r="AN108" i="9"/>
  <c r="E133" i="9"/>
  <c r="F93" i="9"/>
  <c r="BM133" i="9" a="1"/>
  <c r="BM133" i="9"/>
  <c r="T85" i="9"/>
  <c r="BW78" i="9" a="1"/>
  <c r="BW78" i="9"/>
  <c r="CC17" i="9" a="1"/>
  <c r="CC17" i="9"/>
  <c r="AU41" i="1"/>
  <c r="AG9" i="9"/>
  <c r="BZ75" i="9" a="1"/>
  <c r="BZ75" i="9"/>
  <c r="BA33" i="9" a="1"/>
  <c r="BA33" i="9"/>
  <c r="I17" i="9"/>
  <c r="AB41" i="1"/>
  <c r="BG44" i="9" a="1"/>
  <c r="BG44" i="9"/>
  <c r="AT73" i="9" a="1"/>
  <c r="AT73" i="9"/>
  <c r="AT133" i="9" a="1"/>
  <c r="AT133" i="9"/>
  <c r="BL78" i="9" a="1"/>
  <c r="BL78" i="9"/>
  <c r="BL87" i="9" a="1"/>
  <c r="BL87" i="9"/>
  <c r="S137" i="9" a="1"/>
  <c r="S137" i="9"/>
  <c r="AQ71" i="9" a="1"/>
  <c r="AQ71" i="9"/>
  <c r="AG22" i="9"/>
  <c r="BN22" i="9" a="1"/>
  <c r="BN22" i="9"/>
  <c r="BO46" i="1"/>
  <c r="AP89" i="9" a="1"/>
  <c r="AP89" i="9"/>
  <c r="BQ89" i="9" a="1"/>
  <c r="BQ89" i="9"/>
  <c r="Z89" i="9"/>
  <c r="BN81" i="9" a="1"/>
  <c r="BN81" i="9"/>
  <c r="S71" i="9" a="1"/>
  <c r="S71" i="9"/>
  <c r="BE114" i="9" a="1"/>
  <c r="BE114" i="9"/>
  <c r="CC18" i="9" a="1"/>
  <c r="CC18" i="9"/>
  <c r="AU42" i="1"/>
  <c r="AQ18" i="9" a="1"/>
  <c r="AQ18" i="9"/>
  <c r="S109" i="9" a="1"/>
  <c r="S109" i="9"/>
  <c r="E44" i="9"/>
  <c r="AK53" i="9" a="1"/>
  <c r="AK53" i="9"/>
  <c r="U109" i="9"/>
  <c r="V108" i="9"/>
  <c r="BE108" i="9" a="1"/>
  <c r="BE108" i="9"/>
  <c r="AL85" i="9" a="1"/>
  <c r="AL85" i="9"/>
  <c r="AV85" i="9"/>
  <c r="BK114" i="9" a="1"/>
  <c r="BK114" i="9"/>
  <c r="AE15" i="9"/>
  <c r="AF15" i="9"/>
  <c r="BD127" i="9" a="1"/>
  <c r="BD127" i="9"/>
  <c r="BW18" i="9" a="1"/>
  <c r="BW18" i="9"/>
  <c r="FO42" i="1"/>
  <c r="BU22" i="9" a="1"/>
  <c r="BU22" i="9"/>
  <c r="FK46" i="1"/>
  <c r="AP22" i="9" a="1"/>
  <c r="AP22" i="9"/>
  <c r="L89" i="9"/>
  <c r="BN89" i="9" a="1"/>
  <c r="BN89" i="9"/>
  <c r="AR81" i="9" a="1"/>
  <c r="AR81" i="9"/>
  <c r="AN81" i="9" a="1"/>
  <c r="AN81" i="9"/>
  <c r="CB71" i="9" a="1"/>
  <c r="CB71" i="9"/>
  <c r="CB18" i="9" a="1"/>
  <c r="CB18" i="9"/>
  <c r="AY42" i="1"/>
  <c r="AG18" i="9"/>
  <c r="AO44" i="9" a="1"/>
  <c r="AO44" i="9"/>
  <c r="Q44" i="9" a="1"/>
  <c r="Q44" i="9"/>
  <c r="AE53" i="9"/>
  <c r="AF53" i="9"/>
  <c r="BJ109" i="9" a="1"/>
  <c r="BJ109" i="9"/>
  <c r="BM109" i="9" a="1"/>
  <c r="BM109" i="9"/>
  <c r="G108" i="9"/>
  <c r="AR15" i="9" a="1"/>
  <c r="AR15" i="9"/>
  <c r="F52" i="9"/>
  <c r="BF18" i="9" a="1"/>
  <c r="BF18" i="9"/>
  <c r="EQ42" i="1"/>
  <c r="BO18" i="9" a="1"/>
  <c r="BO18" i="9"/>
  <c r="BK42" i="1"/>
  <c r="S18" i="9" a="1"/>
  <c r="S18" i="9"/>
  <c r="DG42" i="1"/>
  <c r="AR18" i="9" a="1"/>
  <c r="AR18" i="9"/>
  <c r="AK114" i="9" a="1"/>
  <c r="AK114" i="9"/>
  <c r="CD71" i="9" a="1"/>
  <c r="CD71" i="9"/>
  <c r="BJ71" i="9" a="1"/>
  <c r="BJ71" i="9"/>
  <c r="BB81" i="9" a="1"/>
  <c r="BB81" i="9"/>
  <c r="BD89" i="9" a="1"/>
  <c r="BD89" i="9"/>
  <c r="BA22" i="9" a="1"/>
  <c r="BA22" i="9"/>
  <c r="CA46" i="1"/>
  <c r="T22" i="9"/>
  <c r="AO22" i="9" a="1"/>
  <c r="AO22" i="9"/>
  <c r="AZ89" i="9" a="1"/>
  <c r="AZ89" i="9"/>
  <c r="AQ89" i="9" a="1"/>
  <c r="AQ89" i="9"/>
  <c r="AJ81" i="9" a="1"/>
  <c r="AJ81" i="9"/>
  <c r="BH81" i="9" a="1"/>
  <c r="BH81" i="9"/>
  <c r="AK18" i="9" a="1"/>
  <c r="AK18" i="9"/>
  <c r="CA18" i="9" a="1"/>
  <c r="CA18" i="9"/>
  <c r="AQ42" i="1"/>
  <c r="BB44" i="9" a="1"/>
  <c r="BB44" i="9"/>
  <c r="BA53" i="9" a="1"/>
  <c r="BA53" i="9"/>
  <c r="Q109" i="9" a="1"/>
  <c r="Q109" i="9"/>
  <c r="BW108" i="9" a="1"/>
  <c r="BW108" i="9"/>
  <c r="BK85" i="9" a="1"/>
  <c r="BK85" i="9"/>
  <c r="BQ52" i="9" a="1"/>
  <c r="BQ52" i="9"/>
  <c r="BC18" i="9" a="1"/>
  <c r="BC18" i="9"/>
  <c r="EE42" i="1"/>
  <c r="AJ101" i="9" a="1"/>
  <c r="AJ101" i="9"/>
  <c r="BJ123" i="9" a="1"/>
  <c r="BJ123" i="9"/>
  <c r="BW123" i="9" a="1"/>
  <c r="BW123" i="9"/>
  <c r="BT123" i="9" a="1"/>
  <c r="BT123" i="9"/>
  <c r="BL123" i="9" a="1"/>
  <c r="BL123" i="9"/>
  <c r="J123" i="9"/>
  <c r="BB123" i="9" a="1"/>
  <c r="BB123" i="9"/>
  <c r="BA123" i="9" a="1"/>
  <c r="BA123" i="9"/>
  <c r="AO103" i="9" a="1"/>
  <c r="AO103" i="9"/>
  <c r="S123" i="9" a="1"/>
  <c r="S123" i="9"/>
  <c r="AQ102" i="9" a="1"/>
  <c r="AQ102" i="9"/>
  <c r="BZ18" i="9" a="1"/>
  <c r="BZ18" i="9"/>
  <c r="AL42" i="1"/>
  <c r="BN18" i="9" a="1"/>
  <c r="BN18" i="9"/>
  <c r="BO42" i="1"/>
  <c r="AE71" i="9"/>
  <c r="AF71" i="9"/>
  <c r="F71" i="9"/>
  <c r="AR89" i="9" a="1"/>
  <c r="AR89" i="9"/>
  <c r="V81" i="9"/>
  <c r="X22" i="9"/>
  <c r="AK22" i="9" a="1"/>
  <c r="AK22" i="9"/>
  <c r="AY22" i="9" a="1"/>
  <c r="AY22" i="9"/>
  <c r="CI46" i="1"/>
  <c r="AX89" i="9"/>
  <c r="BH89" i="9" a="1"/>
  <c r="BH89" i="9"/>
  <c r="T89" i="9"/>
  <c r="AT81" i="9" a="1"/>
  <c r="AT81" i="9"/>
  <c r="CB81" i="9" a="1"/>
  <c r="CB81" i="9"/>
  <c r="BL81" i="9" a="1"/>
  <c r="BL81" i="9"/>
  <c r="CC71" i="9" a="1"/>
  <c r="CC71" i="9"/>
  <c r="BF114" i="9" a="1"/>
  <c r="BF114" i="9"/>
  <c r="F18" i="9"/>
  <c r="V42" i="1"/>
  <c r="U18" i="9"/>
  <c r="CB44" i="9" a="1"/>
  <c r="CB44" i="9"/>
  <c r="BH44" i="9" a="1"/>
  <c r="BH44" i="9"/>
  <c r="BM53" i="9" a="1"/>
  <c r="BM53" i="9"/>
  <c r="CB109" i="9" a="1"/>
  <c r="CB109" i="9"/>
  <c r="BN108" i="9" a="1"/>
  <c r="BN108" i="9"/>
  <c r="AX71" i="9"/>
  <c r="BI99" i="9" a="1"/>
  <c r="BI99" i="9"/>
  <c r="AM15" i="9" a="1"/>
  <c r="AM15" i="9"/>
  <c r="Q114" i="9" a="1"/>
  <c r="Q114" i="9"/>
  <c r="AZ127" i="9" a="1"/>
  <c r="AZ127" i="9"/>
  <c r="AX118" i="9"/>
  <c r="CA109" i="9" a="1"/>
  <c r="CA109" i="9"/>
  <c r="V15" i="9"/>
  <c r="AP14" i="9" a="1"/>
  <c r="AP14" i="9"/>
  <c r="G113" i="9"/>
  <c r="CF18" i="9"/>
  <c r="BS42" i="1"/>
  <c r="AI18" i="9" a="1"/>
  <c r="AI18" i="9"/>
  <c r="CD18" i="9" a="1"/>
  <c r="CD18" i="9"/>
  <c r="GE42" i="1"/>
  <c r="I18" i="9"/>
  <c r="AB42" i="1"/>
  <c r="BU37" i="9" a="1"/>
  <c r="BU37" i="9"/>
  <c r="AX37" i="9"/>
  <c r="X123" i="9"/>
  <c r="BG123" i="9" a="1"/>
  <c r="BG123" i="9"/>
  <c r="AQ123" i="9" a="1"/>
  <c r="AQ123" i="9"/>
  <c r="Q123" i="9" a="1"/>
  <c r="Q123" i="9"/>
  <c r="BK123" i="9" a="1"/>
  <c r="BK123" i="9"/>
  <c r="BM123" i="9" a="1"/>
  <c r="BM123" i="9"/>
  <c r="AX123" i="9"/>
  <c r="BE123" i="9" a="1"/>
  <c r="BE123" i="9"/>
  <c r="AD123" i="9"/>
  <c r="AS123" i="9" a="1"/>
  <c r="AS123" i="9"/>
  <c r="BH123" i="9" a="1"/>
  <c r="BH123" i="9"/>
  <c r="AX102" i="9"/>
  <c r="CF102" i="9"/>
  <c r="CC91" i="9" a="1"/>
  <c r="CC91" i="9"/>
  <c r="BW91" i="9" a="1"/>
  <c r="BW91" i="9"/>
  <c r="K91" i="9"/>
  <c r="BF91" i="9" a="1"/>
  <c r="BF91" i="9"/>
  <c r="BZ130" i="9" a="1"/>
  <c r="BZ130" i="9"/>
  <c r="K130" i="9"/>
  <c r="AU130" i="9" a="1"/>
  <c r="AU130" i="9"/>
  <c r="AQ130" i="9" a="1"/>
  <c r="AQ130" i="9"/>
  <c r="BF130" i="9" a="1"/>
  <c r="BF130" i="9"/>
  <c r="AQ47" i="9" a="1"/>
  <c r="AQ47" i="9"/>
  <c r="BT47" i="9" a="1"/>
  <c r="BT47" i="9"/>
  <c r="BW138" i="9" a="1"/>
  <c r="BW138" i="9"/>
  <c r="BE138" i="9" a="1"/>
  <c r="BE138" i="9"/>
  <c r="L138" i="9"/>
  <c r="AO138" i="9" a="1"/>
  <c r="AO138" i="9"/>
  <c r="Q138" i="9" a="1"/>
  <c r="Q138" i="9"/>
  <c r="BJ138" i="9" a="1"/>
  <c r="BJ138" i="9"/>
  <c r="F138" i="9"/>
  <c r="U138" i="9"/>
  <c r="AJ54" i="9" a="1"/>
  <c r="AJ54" i="9"/>
  <c r="D54" i="9"/>
  <c r="J74" i="9"/>
  <c r="BO74" i="9" a="1"/>
  <c r="BO74" i="9"/>
  <c r="BI74" i="9" a="1"/>
  <c r="BI74" i="9"/>
  <c r="BK74" i="9" a="1"/>
  <c r="BK74" i="9"/>
  <c r="BN74" i="9" a="1"/>
  <c r="BN74" i="9"/>
  <c r="I74" i="9"/>
  <c r="AM74" i="9" a="1"/>
  <c r="AM74" i="9"/>
  <c r="BB74" i="9" a="1"/>
  <c r="BB74" i="9"/>
  <c r="L74" i="9"/>
  <c r="BE74" i="9" a="1"/>
  <c r="BE74" i="9"/>
  <c r="BD74" i="9" a="1"/>
  <c r="BD74" i="9"/>
  <c r="P74" i="9"/>
  <c r="BQ74" i="9" a="1"/>
  <c r="BQ74" i="9"/>
  <c r="BA74" i="9" a="1"/>
  <c r="BA74" i="9"/>
  <c r="AS39" i="9" a="1"/>
  <c r="AS39" i="9"/>
  <c r="BE39" i="9" a="1"/>
  <c r="BE39" i="9"/>
  <c r="BZ39" i="9" a="1"/>
  <c r="BZ39" i="9"/>
  <c r="L39" i="9"/>
  <c r="AL39" i="9" a="1"/>
  <c r="AL39" i="9"/>
  <c r="AV39" i="9"/>
  <c r="AR39" i="9" a="1"/>
  <c r="AR39" i="9"/>
  <c r="G39" i="9"/>
  <c r="E66" i="9"/>
  <c r="Z66" i="9"/>
  <c r="X66" i="9"/>
  <c r="BE66" i="9" a="1"/>
  <c r="BE66" i="9"/>
  <c r="AG66" i="9"/>
  <c r="AB66" i="9"/>
  <c r="AC66" i="9"/>
  <c r="AI66" i="9" a="1"/>
  <c r="AI66" i="9"/>
  <c r="BW16" i="9" a="1"/>
  <c r="BW16" i="9"/>
  <c r="FO40" i="1"/>
  <c r="AL16" i="9" a="1"/>
  <c r="AL16" i="9"/>
  <c r="AV16" i="9"/>
  <c r="S121" i="9" a="1"/>
  <c r="S121" i="9"/>
  <c r="F121" i="9"/>
  <c r="AY121" i="9" a="1"/>
  <c r="AY121" i="9"/>
  <c r="BH121" i="9" a="1"/>
  <c r="BH121" i="9"/>
  <c r="AU121" i="9" a="1"/>
  <c r="AU121" i="9"/>
  <c r="BE121" i="9" a="1"/>
  <c r="BE121" i="9"/>
  <c r="AS121" i="9" a="1"/>
  <c r="AS121" i="9"/>
  <c r="Z121" i="9"/>
  <c r="BB121" i="9" a="1"/>
  <c r="BB121" i="9"/>
  <c r="CA121" i="9" a="1"/>
  <c r="CA121" i="9"/>
  <c r="T121" i="9"/>
  <c r="AO121" i="9" a="1"/>
  <c r="AO121" i="9"/>
  <c r="BI121" i="9" a="1"/>
  <c r="BI121" i="9"/>
  <c r="AT121" i="9" a="1"/>
  <c r="AT121" i="9"/>
  <c r="N121" i="9"/>
  <c r="AI121" i="9" a="1"/>
  <c r="AI121" i="9"/>
  <c r="BR121" i="9" a="1"/>
  <c r="BR121" i="9"/>
  <c r="P121" i="9"/>
  <c r="L35" i="9"/>
  <c r="BZ35" i="9" a="1"/>
  <c r="BZ35" i="9"/>
  <c r="AT35" i="9" a="1"/>
  <c r="AT35" i="9"/>
  <c r="Q20" i="9" a="1"/>
  <c r="Q20" i="9"/>
  <c r="AG44" i="1"/>
  <c r="BH20" i="9" a="1"/>
  <c r="BH20" i="9"/>
  <c r="DC44" i="1"/>
  <c r="AE14" i="9"/>
  <c r="AF14" i="9"/>
  <c r="AX84" i="9"/>
  <c r="CF52" i="9"/>
  <c r="BL18" i="9" a="1"/>
  <c r="BL18" i="9"/>
  <c r="EU42" i="1"/>
  <c r="AZ18" i="9" a="1"/>
  <c r="AZ18" i="9"/>
  <c r="CE42" i="1"/>
  <c r="BQ124" i="9" a="1"/>
  <c r="BQ124" i="9"/>
  <c r="BG124" i="9" a="1"/>
  <c r="BG124" i="9"/>
  <c r="V71" i="9"/>
  <c r="AI33" i="9" a="1"/>
  <c r="AI33" i="9"/>
  <c r="P81" i="9"/>
  <c r="AU33" i="9" a="1"/>
  <c r="AU33" i="9"/>
  <c r="E22" i="9"/>
  <c r="D46" i="1"/>
  <c r="BE22" i="9" a="1"/>
  <c r="BE22" i="9"/>
  <c r="EM46" i="1"/>
  <c r="Q22" i="9" a="1"/>
  <c r="Q22" i="9"/>
  <c r="AG46" i="1"/>
  <c r="CD22" i="9" a="1"/>
  <c r="CD22" i="9"/>
  <c r="GE46" i="1"/>
  <c r="J89" i="9"/>
  <c r="BG89" i="9" a="1"/>
  <c r="BG89" i="9"/>
  <c r="BI89" i="9" a="1"/>
  <c r="BI89" i="9"/>
  <c r="AL89" i="9" a="1"/>
  <c r="AL89" i="9"/>
  <c r="AV89" i="9"/>
  <c r="BE81" i="9" a="1"/>
  <c r="BE81" i="9"/>
  <c r="N81" i="9"/>
  <c r="BG81" i="9" a="1"/>
  <c r="BG81" i="9"/>
  <c r="BM81" i="9" a="1"/>
  <c r="BM81" i="9"/>
  <c r="BR71" i="9" a="1"/>
  <c r="BR71" i="9"/>
  <c r="BA114" i="9" a="1"/>
  <c r="BA114" i="9"/>
  <c r="D18" i="9"/>
  <c r="I42" i="1"/>
  <c r="BA18" i="9" a="1"/>
  <c r="BA18" i="9"/>
  <c r="CA42" i="1"/>
  <c r="BG18" i="9" a="1"/>
  <c r="BG18" i="9"/>
  <c r="EA42" i="1"/>
  <c r="CC44" i="9" a="1"/>
  <c r="CC44" i="9"/>
  <c r="M109" i="9"/>
  <c r="AJ44" i="9" a="1"/>
  <c r="AJ44" i="9"/>
  <c r="AE44" i="9"/>
  <c r="AF44" i="9"/>
  <c r="O53" i="9"/>
  <c r="AO53" i="9" a="1"/>
  <c r="AO53" i="9"/>
  <c r="BG109" i="9" a="1"/>
  <c r="BG109" i="9"/>
  <c r="BT109" i="9" a="1"/>
  <c r="BT109" i="9"/>
  <c r="AM108" i="9" a="1"/>
  <c r="AM108" i="9"/>
  <c r="BS108" i="9" a="1"/>
  <c r="BS108" i="9"/>
  <c r="V127" i="9"/>
  <c r="AD127" i="9"/>
  <c r="AB85" i="9"/>
  <c r="AC85" i="9"/>
  <c r="BS78" i="9" a="1"/>
  <c r="BS78" i="9"/>
  <c r="BL15" i="9" a="1"/>
  <c r="BL15" i="9"/>
  <c r="EU38" i="1"/>
  <c r="BF15" i="9" a="1"/>
  <c r="BF15" i="9"/>
  <c r="EQ38" i="1"/>
  <c r="AK15" i="9" a="1"/>
  <c r="AK15" i="9"/>
  <c r="BH127" i="9" a="1"/>
  <c r="BH127" i="9"/>
  <c r="AD36" i="9"/>
  <c r="BR86" i="9" a="1"/>
  <c r="BR86" i="9"/>
  <c r="BU125" i="9" a="1"/>
  <c r="BU125" i="9"/>
  <c r="AS18" i="9" a="1"/>
  <c r="AS18" i="9"/>
  <c r="AJ18" i="9" a="1"/>
  <c r="AJ18" i="9"/>
  <c r="N18" i="9"/>
  <c r="DO42" i="1"/>
  <c r="BI18" i="9" a="1"/>
  <c r="BI18" i="9"/>
  <c r="FS42" i="1"/>
  <c r="AB18" i="9"/>
  <c r="AC18" i="9"/>
  <c r="P78" i="9"/>
  <c r="BU30" i="9" a="1"/>
  <c r="BU30" i="9"/>
  <c r="M18" i="9"/>
  <c r="CY42" i="1"/>
  <c r="AP18" i="9" a="1"/>
  <c r="AP18" i="9"/>
  <c r="V18" i="9"/>
  <c r="AD18" i="9"/>
  <c r="Y53" i="9"/>
  <c r="BQ53" i="9" a="1"/>
  <c r="BQ53" i="9"/>
  <c r="X71" i="9"/>
  <c r="CD85" i="9" a="1"/>
  <c r="CD85" i="9"/>
  <c r="I52" i="9"/>
  <c r="AL18" i="9" a="1"/>
  <c r="AL18" i="9"/>
  <c r="AW18" i="9"/>
  <c r="O18" i="9"/>
  <c r="DS42" i="1"/>
  <c r="BK18" i="9" a="1"/>
  <c r="BK18" i="9"/>
  <c r="GA42" i="1"/>
  <c r="X18" i="9"/>
  <c r="J18" i="9"/>
  <c r="CM42" i="1"/>
  <c r="CC33" i="9" a="1"/>
  <c r="CC33" i="9"/>
  <c r="BO33" i="9" a="1"/>
  <c r="BO33" i="9"/>
  <c r="CB33" i="9" a="1"/>
  <c r="CB33" i="9"/>
  <c r="BE33" i="9" a="1"/>
  <c r="BE33" i="9"/>
  <c r="U33" i="9"/>
  <c r="J33" i="9"/>
  <c r="BF33" i="9" a="1"/>
  <c r="BF33" i="9"/>
  <c r="AT33" i="9" a="1"/>
  <c r="AT33" i="9"/>
  <c r="CF33" i="9"/>
  <c r="BJ33" i="9" a="1"/>
  <c r="BJ33" i="9"/>
  <c r="BH33" i="9" a="1"/>
  <c r="BH33" i="9"/>
  <c r="Q33" i="9" a="1"/>
  <c r="Q33" i="9"/>
  <c r="F33" i="9"/>
  <c r="AZ33" i="9" a="1"/>
  <c r="AZ33" i="9"/>
  <c r="K33" i="9"/>
  <c r="AK33" i="9" a="1"/>
  <c r="AK33" i="9"/>
  <c r="AP33" i="9" a="1"/>
  <c r="AP33" i="9"/>
  <c r="BD33" i="9" a="1"/>
  <c r="BD33" i="9"/>
  <c r="E33" i="9"/>
  <c r="P33" i="9"/>
  <c r="BW33" i="9" a="1"/>
  <c r="BW33" i="9"/>
  <c r="AB33" i="9"/>
  <c r="AC33" i="9"/>
  <c r="G33" i="9"/>
  <c r="BN33" i="9" a="1"/>
  <c r="BN33" i="9"/>
  <c r="BM106" i="9" a="1"/>
  <c r="BM106" i="9"/>
  <c r="AB106" i="9"/>
  <c r="AC106" i="9"/>
  <c r="G106" i="9"/>
  <c r="AX106" i="9"/>
  <c r="L106" i="9"/>
  <c r="E106" i="9"/>
  <c r="AK106" i="9" a="1"/>
  <c r="AK106" i="9"/>
  <c r="BA106" i="9" a="1"/>
  <c r="BA106" i="9"/>
  <c r="BJ106" i="9" a="1"/>
  <c r="BJ106" i="9"/>
  <c r="CF106" i="9"/>
  <c r="AO106" i="9" a="1"/>
  <c r="AO106" i="9"/>
  <c r="AZ106" i="9" a="1"/>
  <c r="AZ106" i="9"/>
  <c r="AJ106" i="9" a="1"/>
  <c r="AJ106" i="9"/>
  <c r="BC106" i="9" a="1"/>
  <c r="BC106" i="9"/>
  <c r="X106" i="9"/>
  <c r="AU106" i="9" a="1"/>
  <c r="AU106" i="9"/>
  <c r="AD106" i="9"/>
  <c r="BF106" i="9" a="1"/>
  <c r="BF106" i="9"/>
  <c r="BO106" i="9" a="1"/>
  <c r="BO106" i="9"/>
  <c r="BQ106" i="9" a="1"/>
  <c r="BQ106" i="9"/>
  <c r="BZ106" i="9" a="1"/>
  <c r="BZ106" i="9"/>
  <c r="CD106" i="9" a="1"/>
  <c r="CD106" i="9"/>
  <c r="AT106" i="9" a="1"/>
  <c r="AT106" i="9"/>
  <c r="AI106" i="9" a="1"/>
  <c r="AI106" i="9"/>
  <c r="BB106" i="9" a="1"/>
  <c r="BB106" i="9"/>
  <c r="T106" i="9"/>
  <c r="CB106" i="9" a="1"/>
  <c r="CB106" i="9"/>
  <c r="AM106" i="9" a="1"/>
  <c r="AM106" i="9"/>
  <c r="U106" i="9"/>
  <c r="AY106" i="9" a="1"/>
  <c r="AY106" i="9"/>
  <c r="BH106" i="9" a="1"/>
  <c r="BH106" i="9"/>
  <c r="AP106" i="9" a="1"/>
  <c r="AP106" i="9"/>
  <c r="AN106" i="9" a="1"/>
  <c r="AN106" i="9"/>
  <c r="BU106" i="9" a="1"/>
  <c r="BU106" i="9"/>
  <c r="F106" i="9"/>
  <c r="BD106" i="9" a="1"/>
  <c r="BD106" i="9"/>
  <c r="S106" i="9" a="1"/>
  <c r="S106" i="9"/>
  <c r="AS106" i="9" a="1"/>
  <c r="AS106" i="9"/>
  <c r="J106" i="9"/>
  <c r="N106" i="9"/>
  <c r="O106" i="9"/>
  <c r="Y106" i="9"/>
  <c r="Z106" i="9"/>
  <c r="AQ106" i="9" a="1"/>
  <c r="AQ106" i="9"/>
  <c r="BE106" i="9" a="1"/>
  <c r="BE106" i="9"/>
  <c r="BW106" i="9" a="1"/>
  <c r="BW106" i="9"/>
  <c r="BG106" i="9" a="1"/>
  <c r="BG106" i="9"/>
  <c r="AR106" i="9" a="1"/>
  <c r="AR106" i="9"/>
  <c r="BL106" i="9" a="1"/>
  <c r="BL106" i="9"/>
  <c r="BI106" i="9" a="1"/>
  <c r="BI106" i="9"/>
  <c r="BT106" i="9" a="1"/>
  <c r="BT106" i="9"/>
  <c r="AG106" i="9"/>
  <c r="AL106" i="9" a="1"/>
  <c r="AL106" i="9"/>
  <c r="AW106" i="9"/>
  <c r="BK106" i="9" a="1"/>
  <c r="BK106" i="9"/>
  <c r="BS106" i="9" a="1"/>
  <c r="BS106" i="9"/>
  <c r="K106" i="9"/>
  <c r="BN106" i="9" a="1"/>
  <c r="BN106" i="9"/>
  <c r="P106" i="9"/>
  <c r="V106" i="9"/>
  <c r="D106" i="9"/>
  <c r="I106" i="9"/>
  <c r="BR106" i="9" a="1"/>
  <c r="BR106" i="9"/>
  <c r="Q106" i="9" a="1"/>
  <c r="Q106" i="9"/>
  <c r="M106" i="9"/>
  <c r="AK30" i="9" a="1"/>
  <c r="AK30" i="9"/>
  <c r="BI30" i="9" a="1"/>
  <c r="BI30" i="9"/>
  <c r="BS30" i="9" a="1"/>
  <c r="BS30" i="9"/>
  <c r="BQ30" i="9" a="1"/>
  <c r="BQ30" i="9"/>
  <c r="AQ30" i="9" a="1"/>
  <c r="AQ30" i="9"/>
  <c r="BJ30" i="9" a="1"/>
  <c r="BJ30" i="9"/>
  <c r="CF30" i="9"/>
  <c r="BE30" i="9" a="1"/>
  <c r="BE30" i="9"/>
  <c r="BW30" i="9" a="1"/>
  <c r="BW30" i="9"/>
  <c r="BH30" i="9" a="1"/>
  <c r="BH30" i="9"/>
  <c r="J30" i="9"/>
  <c r="N30" i="9"/>
  <c r="BT30" i="9" a="1"/>
  <c r="BT30" i="9"/>
  <c r="AN30" i="9" a="1"/>
  <c r="AN30" i="9"/>
  <c r="BO30" i="9" a="1"/>
  <c r="BO30" i="9"/>
  <c r="BA30" i="9" a="1"/>
  <c r="BA30" i="9"/>
  <c r="AZ30" i="9" a="1"/>
  <c r="AZ30" i="9"/>
  <c r="BG30" i="9" a="1"/>
  <c r="BG30" i="9"/>
  <c r="AU30" i="9" a="1"/>
  <c r="AU30" i="9"/>
  <c r="CB30" i="9" a="1"/>
  <c r="CB30" i="9"/>
  <c r="I30" i="9"/>
  <c r="BR30" i="9" a="1"/>
  <c r="BR30" i="9"/>
  <c r="K30" i="9"/>
  <c r="P30" i="9"/>
  <c r="BD30" i="9" a="1"/>
  <c r="BD30" i="9"/>
  <c r="AG30" i="9"/>
  <c r="AX30" i="9"/>
  <c r="AJ30" i="9" a="1"/>
  <c r="AJ30" i="9"/>
  <c r="S30" i="9" a="1"/>
  <c r="S30" i="9"/>
  <c r="BB30" i="9" a="1"/>
  <c r="BB30" i="9"/>
  <c r="F30" i="9"/>
  <c r="G30" i="9"/>
  <c r="T30" i="9"/>
  <c r="AS30" i="9" a="1"/>
  <c r="AS30" i="9"/>
  <c r="BK30" i="9" a="1"/>
  <c r="BK30" i="9"/>
  <c r="U30" i="9"/>
  <c r="X30" i="9"/>
  <c r="AL30" i="9" a="1"/>
  <c r="AL30" i="9"/>
  <c r="AW30" i="9"/>
  <c r="CD30" i="9" a="1"/>
  <c r="CD30" i="9"/>
  <c r="BZ30" i="9" a="1"/>
  <c r="BZ30" i="9"/>
  <c r="Z30" i="9"/>
  <c r="AE30" i="9"/>
  <c r="AF30" i="9"/>
  <c r="AY30" i="9" a="1"/>
  <c r="AY30" i="9"/>
  <c r="M30" i="9"/>
  <c r="AB30" i="9"/>
  <c r="AC30" i="9"/>
  <c r="BF30" i="9" a="1"/>
  <c r="BF30" i="9"/>
  <c r="Q30" i="9" a="1"/>
  <c r="Q30" i="9"/>
  <c r="L30" i="9"/>
  <c r="CC30" i="9" a="1"/>
  <c r="CC30" i="9"/>
  <c r="V30" i="9"/>
  <c r="AO30" i="9" a="1"/>
  <c r="AO30" i="9"/>
  <c r="BM30" i="9" a="1"/>
  <c r="BM30" i="9"/>
  <c r="AI30" i="9" a="1"/>
  <c r="AI30" i="9"/>
  <c r="O30" i="9"/>
  <c r="D30" i="9"/>
  <c r="BL30" i="9" a="1"/>
  <c r="BL30" i="9"/>
  <c r="BC30" i="9" a="1"/>
  <c r="BC30" i="9"/>
  <c r="AR30" i="9" a="1"/>
  <c r="AR30" i="9"/>
  <c r="BN30" i="9" a="1"/>
  <c r="BN30" i="9"/>
  <c r="AM30" i="9" a="1"/>
  <c r="AM30" i="9"/>
  <c r="E30" i="9"/>
  <c r="AD30" i="9"/>
  <c r="AP30" i="9" a="1"/>
  <c r="AP30" i="9"/>
  <c r="CF140" i="9"/>
  <c r="AG140" i="9"/>
  <c r="BH140" i="9" a="1"/>
  <c r="BH140" i="9"/>
  <c r="BD140" i="9" a="1"/>
  <c r="BD140" i="9"/>
  <c r="BZ140" i="9" a="1"/>
  <c r="BZ140" i="9"/>
  <c r="J140" i="9"/>
  <c r="BW140" i="9" a="1"/>
  <c r="BW140" i="9"/>
  <c r="D140" i="9"/>
  <c r="BQ140" i="9" a="1"/>
  <c r="BQ140" i="9"/>
  <c r="Y140" i="9"/>
  <c r="AY140" i="9" a="1"/>
  <c r="AY140" i="9"/>
  <c r="BO140" i="9" a="1"/>
  <c r="BO140" i="9"/>
  <c r="AJ140" i="9" a="1"/>
  <c r="AJ140" i="9"/>
  <c r="E140" i="9"/>
  <c r="BJ140" i="9" a="1"/>
  <c r="BJ140" i="9"/>
  <c r="AR140" i="9" a="1"/>
  <c r="AR140" i="9"/>
  <c r="P140" i="9"/>
  <c r="BN140" i="9" a="1"/>
  <c r="BN140" i="9"/>
  <c r="BB140" i="9" a="1"/>
  <c r="BB140" i="9"/>
  <c r="T140" i="9"/>
  <c r="AN140" i="9" a="1"/>
  <c r="AN140" i="9"/>
  <c r="AQ140" i="9" a="1"/>
  <c r="AQ140" i="9"/>
  <c r="O140" i="9"/>
  <c r="BK140" i="9" a="1"/>
  <c r="BK140" i="9"/>
  <c r="U140" i="9"/>
  <c r="I140" i="9"/>
  <c r="AP140" i="9" a="1"/>
  <c r="AP140" i="9"/>
  <c r="G140" i="9"/>
  <c r="BE140" i="9" a="1"/>
  <c r="BE140" i="9"/>
  <c r="BL140" i="9" a="1"/>
  <c r="BL140" i="9"/>
  <c r="BS140" i="9" a="1"/>
  <c r="BS140" i="9"/>
  <c r="AK140" i="9" a="1"/>
  <c r="AK140" i="9"/>
  <c r="AI140" i="9" a="1"/>
  <c r="AI140" i="9"/>
  <c r="AZ140" i="9" a="1"/>
  <c r="AZ140" i="9"/>
  <c r="CA140" i="9" a="1"/>
  <c r="CA140" i="9"/>
  <c r="X140" i="9"/>
  <c r="AD140" i="9"/>
  <c r="S140" i="9" a="1"/>
  <c r="S140" i="9"/>
  <c r="BI140" i="9" a="1"/>
  <c r="BI140" i="9"/>
  <c r="AM140" i="9" a="1"/>
  <c r="AM140" i="9"/>
  <c r="Q140" i="9" a="1"/>
  <c r="Q140" i="9"/>
  <c r="AL140" i="9" a="1"/>
  <c r="AL140" i="9"/>
  <c r="AW140" i="9"/>
  <c r="AB140" i="9"/>
  <c r="AC140" i="9"/>
  <c r="K140" i="9"/>
  <c r="BA140" i="9" a="1"/>
  <c r="BA140" i="9"/>
  <c r="BT140" i="9" a="1"/>
  <c r="BT140" i="9"/>
  <c r="N140" i="9"/>
  <c r="AX140" i="9"/>
  <c r="BF140" i="9" a="1"/>
  <c r="BF140" i="9"/>
  <c r="BG140" i="9" a="1"/>
  <c r="BG140" i="9"/>
  <c r="CD140" i="9" a="1"/>
  <c r="CD140" i="9"/>
  <c r="L140" i="9"/>
  <c r="F140" i="9"/>
  <c r="V140" i="9"/>
  <c r="AO140" i="9" a="1"/>
  <c r="AO140" i="9"/>
  <c r="AU140" i="9" a="1"/>
  <c r="AU140" i="9"/>
  <c r="Z140" i="9"/>
  <c r="AT140" i="9" a="1"/>
  <c r="AT140" i="9"/>
  <c r="AE140" i="9"/>
  <c r="AF140" i="9"/>
  <c r="BW133" i="9" a="1"/>
  <c r="BW133" i="9"/>
  <c r="L133" i="9"/>
  <c r="Q133" i="9" a="1"/>
  <c r="Q133" i="9"/>
  <c r="V133" i="9"/>
  <c r="S133" i="9" a="1"/>
  <c r="S133" i="9"/>
  <c r="BS133" i="9" a="1"/>
  <c r="BS133" i="9"/>
  <c r="G133" i="9"/>
  <c r="K133" i="9"/>
  <c r="U133" i="9"/>
  <c r="BD133" i="9" a="1"/>
  <c r="BD133" i="9"/>
  <c r="AR133" i="9" a="1"/>
  <c r="AR133" i="9"/>
  <c r="F133" i="9"/>
  <c r="AI133" i="9" a="1"/>
  <c r="AI133" i="9"/>
  <c r="J133" i="9"/>
  <c r="CD133" i="9" a="1"/>
  <c r="CD133" i="9"/>
  <c r="BU133" i="9" a="1"/>
  <c r="BU133" i="9"/>
  <c r="P133" i="9"/>
  <c r="I133" i="9"/>
  <c r="BA133" i="9" a="1"/>
  <c r="BA133" i="9"/>
  <c r="AU133" i="9" a="1"/>
  <c r="AU133" i="9"/>
  <c r="AZ133" i="9" a="1"/>
  <c r="AZ133" i="9"/>
  <c r="AK133" i="9" a="1"/>
  <c r="AK133" i="9"/>
  <c r="T133" i="9"/>
  <c r="BJ133" i="9" a="1"/>
  <c r="BJ133" i="9"/>
  <c r="BO133" i="9" a="1"/>
  <c r="BO133" i="9"/>
  <c r="BL133" i="9" a="1"/>
  <c r="BL133" i="9"/>
  <c r="AX133" i="9"/>
  <c r="AN133" i="9" a="1"/>
  <c r="AN133" i="9"/>
  <c r="CA133" i="9" a="1"/>
  <c r="CA133" i="9"/>
  <c r="CC133" i="9" a="1"/>
  <c r="CC133" i="9"/>
  <c r="X133" i="9"/>
  <c r="CB133" i="9" a="1"/>
  <c r="CB133" i="9"/>
  <c r="BB133" i="9" a="1"/>
  <c r="BB133" i="9"/>
  <c r="O133" i="9"/>
  <c r="AO133" i="9" a="1"/>
  <c r="AO133" i="9"/>
  <c r="BF133" i="9" a="1"/>
  <c r="BF133" i="9"/>
  <c r="AL133" i="9" a="1"/>
  <c r="AL133" i="9"/>
  <c r="AW133" i="9"/>
  <c r="BN133" i="9" a="1"/>
  <c r="BN133" i="9"/>
  <c r="AM133" i="9" a="1"/>
  <c r="AM133" i="9"/>
  <c r="AD133" i="9"/>
  <c r="AY133" i="9" a="1"/>
  <c r="AY133" i="9"/>
  <c r="BQ133" i="9" a="1"/>
  <c r="BQ133" i="9"/>
  <c r="CF133" i="9"/>
  <c r="M133" i="9"/>
  <c r="AE133" i="9"/>
  <c r="AF133" i="9"/>
  <c r="AP133" i="9" a="1"/>
  <c r="AP133" i="9"/>
  <c r="AI93" i="9" a="1"/>
  <c r="AI93" i="9"/>
  <c r="AG93" i="9"/>
  <c r="BW93" i="9" a="1"/>
  <c r="BW93" i="9"/>
  <c r="D93" i="9"/>
  <c r="BD93" i="9" a="1"/>
  <c r="BD93" i="9"/>
  <c r="AU93" i="9" a="1"/>
  <c r="AU93" i="9"/>
  <c r="L93" i="9"/>
  <c r="AL93" i="9" a="1"/>
  <c r="AL93" i="9"/>
  <c r="AW93" i="9"/>
  <c r="AK93" i="9" a="1"/>
  <c r="AK93" i="9"/>
  <c r="X93" i="9"/>
  <c r="AX93" i="9"/>
  <c r="V93" i="9"/>
  <c r="BZ93" i="9" a="1"/>
  <c r="BZ93" i="9"/>
  <c r="Q93" i="9" a="1"/>
  <c r="Q93" i="9"/>
  <c r="N93" i="9"/>
  <c r="BE93" i="9" a="1"/>
  <c r="BE93" i="9"/>
  <c r="BO93" i="9" a="1"/>
  <c r="BO93" i="9"/>
  <c r="BG93" i="9" a="1"/>
  <c r="BG93" i="9"/>
  <c r="E93" i="9"/>
  <c r="BQ93" i="9" a="1"/>
  <c r="BQ93" i="9"/>
  <c r="AR93" i="9" a="1"/>
  <c r="AR93" i="9"/>
  <c r="AD93" i="9"/>
  <c r="AT93" i="9" a="1"/>
  <c r="AT93" i="9"/>
  <c r="BS93" i="9" a="1"/>
  <c r="BS93" i="9"/>
  <c r="AS93" i="9" a="1"/>
  <c r="AS93" i="9"/>
  <c r="BM93" i="9" a="1"/>
  <c r="BM93" i="9"/>
  <c r="BU93" i="9" a="1"/>
  <c r="BU93" i="9"/>
  <c r="CA93" i="9" a="1"/>
  <c r="CA93" i="9"/>
  <c r="M93" i="9"/>
  <c r="J93" i="9"/>
  <c r="U93" i="9"/>
  <c r="S93" i="9" a="1"/>
  <c r="S93" i="9"/>
  <c r="Z93" i="9"/>
  <c r="P93" i="9"/>
  <c r="AE93" i="9"/>
  <c r="AF93" i="9"/>
  <c r="AJ93" i="9" a="1"/>
  <c r="AJ93" i="9"/>
  <c r="AB93" i="9"/>
  <c r="AC93" i="9"/>
  <c r="BK93" i="9" a="1"/>
  <c r="BK93" i="9"/>
  <c r="G93" i="9"/>
  <c r="BR93" i="9" a="1"/>
  <c r="BR93" i="9"/>
  <c r="CB93" i="9" a="1"/>
  <c r="CB93" i="9"/>
  <c r="O93" i="9"/>
  <c r="T93" i="9"/>
  <c r="CB75" i="9" a="1"/>
  <c r="CB75" i="9"/>
  <c r="T75" i="9"/>
  <c r="AX75" i="9"/>
  <c r="AK75" i="9" a="1"/>
  <c r="AK75" i="9"/>
  <c r="O75" i="9"/>
  <c r="AI75" i="9" a="1"/>
  <c r="AI75" i="9"/>
  <c r="BB75" i="9" a="1"/>
  <c r="BB75" i="9"/>
  <c r="AR75" i="9" a="1"/>
  <c r="AR75" i="9"/>
  <c r="J75" i="9"/>
  <c r="N75" i="9"/>
  <c r="I75" i="9"/>
  <c r="AP75" i="9" a="1"/>
  <c r="AP75" i="9"/>
  <c r="BA75" i="9" a="1"/>
  <c r="BA75" i="9"/>
  <c r="CF75" i="9"/>
  <c r="BQ75" i="9" a="1"/>
  <c r="BQ75" i="9"/>
  <c r="BO75" i="9" a="1"/>
  <c r="BO75" i="9"/>
  <c r="Q75" i="9" a="1"/>
  <c r="Q75" i="9"/>
  <c r="BI75" i="9" a="1"/>
  <c r="BI75" i="9"/>
  <c r="L75" i="9"/>
  <c r="BU75" i="9" a="1"/>
  <c r="BU75" i="9"/>
  <c r="BS75" i="9" a="1"/>
  <c r="BS75" i="9"/>
  <c r="E75" i="9"/>
  <c r="BL75" i="9" a="1"/>
  <c r="BL75" i="9"/>
  <c r="BJ75" i="9" a="1"/>
  <c r="BJ75" i="9"/>
  <c r="AZ75" i="9" a="1"/>
  <c r="AZ75" i="9"/>
  <c r="AJ75" i="9" a="1"/>
  <c r="AJ75" i="9"/>
  <c r="AU75" i="9" a="1"/>
  <c r="AU75" i="9"/>
  <c r="AL75" i="9" a="1"/>
  <c r="AL75" i="9"/>
  <c r="AV75" i="9"/>
  <c r="X75" i="9"/>
  <c r="AM75" i="9" a="1"/>
  <c r="AM75" i="9"/>
  <c r="CC75" i="9" a="1"/>
  <c r="CC75" i="9"/>
  <c r="BH75" i="9" a="1"/>
  <c r="BH75" i="9"/>
  <c r="BD75" i="9" a="1"/>
  <c r="BD75" i="9"/>
  <c r="AE75" i="9"/>
  <c r="AF75" i="9"/>
  <c r="G75" i="9"/>
  <c r="BM75" i="9" a="1"/>
  <c r="BM75" i="9"/>
  <c r="Y75" i="9"/>
  <c r="AT75" i="9" a="1"/>
  <c r="AT75" i="9"/>
  <c r="BC75" i="9" a="1"/>
  <c r="BC75" i="9"/>
  <c r="AO75" i="9" a="1"/>
  <c r="AO75" i="9"/>
  <c r="BF75" i="9" a="1"/>
  <c r="BF75" i="9"/>
  <c r="U75" i="9"/>
  <c r="D75" i="9"/>
  <c r="CA75" i="9" a="1"/>
  <c r="CA75" i="9"/>
  <c r="AG75" i="9"/>
  <c r="CD75" i="9" a="1"/>
  <c r="CD75" i="9"/>
  <c r="S75" i="9" a="1"/>
  <c r="S75" i="9"/>
  <c r="P75" i="9"/>
  <c r="AD75" i="9"/>
  <c r="BK75" i="9" a="1"/>
  <c r="BK75" i="9"/>
  <c r="M75" i="9"/>
  <c r="AB75" i="9"/>
  <c r="AC75" i="9"/>
  <c r="F75" i="9"/>
  <c r="BN75" i="9" a="1"/>
  <c r="BN75" i="9"/>
  <c r="BE75" i="9" a="1"/>
  <c r="BE75" i="9"/>
  <c r="AQ75" i="9" a="1"/>
  <c r="AQ75" i="9"/>
  <c r="K75" i="9"/>
  <c r="V75" i="9"/>
  <c r="AN75" i="9" a="1"/>
  <c r="AN75" i="9"/>
  <c r="BW75" i="9" a="1"/>
  <c r="BW75" i="9"/>
  <c r="Z75" i="9"/>
  <c r="AS75" i="9" a="1"/>
  <c r="AS75" i="9"/>
  <c r="AI9" i="9" a="1"/>
  <c r="AI9" i="9"/>
  <c r="Y9" i="9"/>
  <c r="BO9" i="9" a="1"/>
  <c r="BO9" i="9"/>
  <c r="BK32" i="1"/>
  <c r="CB9" i="9" a="1"/>
  <c r="CB9" i="9"/>
  <c r="AY32" i="1"/>
  <c r="AY9" i="9" a="1"/>
  <c r="AY9" i="9"/>
  <c r="CI32" i="1"/>
  <c r="AU9" i="9" a="1"/>
  <c r="AU9" i="9"/>
  <c r="AE9" i="9"/>
  <c r="AF9" i="9"/>
  <c r="BS9" i="9" a="1"/>
  <c r="BS9" i="9"/>
  <c r="FC32" i="1"/>
  <c r="BI9" i="9" a="1"/>
  <c r="BI9" i="9"/>
  <c r="FS32" i="1"/>
  <c r="AJ9" i="9" a="1"/>
  <c r="AJ9" i="9"/>
  <c r="Q9" i="9" a="1"/>
  <c r="Q9" i="9"/>
  <c r="AG32" i="1"/>
  <c r="F9" i="9"/>
  <c r="V32" i="1"/>
  <c r="AX9" i="9"/>
  <c r="BC32" i="1"/>
  <c r="AQ9" i="9" a="1"/>
  <c r="AQ9" i="9"/>
  <c r="AD9" i="9"/>
  <c r="L9" i="9"/>
  <c r="CU32" i="1"/>
  <c r="G9" i="9"/>
  <c r="P32" i="1"/>
  <c r="BB9" i="9" a="1"/>
  <c r="BB9" i="9"/>
  <c r="BW32" i="1"/>
  <c r="CF9" i="9"/>
  <c r="BS32" i="1"/>
  <c r="BG9" i="9" a="1"/>
  <c r="BG9" i="9"/>
  <c r="EA32" i="1"/>
  <c r="AM9" i="9" a="1"/>
  <c r="AM9" i="9"/>
  <c r="BC9" i="9" a="1"/>
  <c r="BC9" i="9"/>
  <c r="EE32" i="1"/>
  <c r="BR9" i="9" a="1"/>
  <c r="BR9" i="9"/>
  <c r="EY32" i="1"/>
  <c r="P9" i="9"/>
  <c r="DW32" i="1"/>
  <c r="U9" i="9"/>
  <c r="BL9" i="9" a="1"/>
  <c r="BL9" i="9"/>
  <c r="EU32" i="1"/>
  <c r="AN9" i="9" a="1"/>
  <c r="AN9" i="9"/>
  <c r="Z9" i="9"/>
  <c r="BM9" i="9" a="1"/>
  <c r="BM9" i="9"/>
  <c r="BG32" i="1"/>
  <c r="AS9" i="9" a="1"/>
  <c r="AS9" i="9"/>
  <c r="AL9" i="9" a="1"/>
  <c r="AL9" i="9"/>
  <c r="AV9" i="9"/>
  <c r="CD9" i="9" a="1"/>
  <c r="CD9" i="9"/>
  <c r="GE32" i="1"/>
  <c r="BE9" i="9" a="1"/>
  <c r="BE9" i="9"/>
  <c r="EM32" i="1"/>
  <c r="S9" i="9" a="1"/>
  <c r="S9" i="9"/>
  <c r="DG32" i="1"/>
  <c r="BJ9" i="9" a="1"/>
  <c r="BJ9" i="9"/>
  <c r="FW32" i="1"/>
  <c r="AK9" i="9" a="1"/>
  <c r="AK9" i="9"/>
  <c r="M9" i="9"/>
  <c r="D10" i="12"/>
  <c r="BH9" i="9" a="1"/>
  <c r="BH9" i="9"/>
  <c r="DC32" i="1"/>
  <c r="BD9" i="9" a="1"/>
  <c r="BD9" i="9"/>
  <c r="EI32" i="1"/>
  <c r="I9" i="9"/>
  <c r="AB32" i="1"/>
  <c r="J9" i="9"/>
  <c r="CM32" i="1"/>
  <c r="N9" i="9"/>
  <c r="E10" i="12"/>
  <c r="AT9" i="9" a="1"/>
  <c r="AT9" i="9"/>
  <c r="X9" i="9"/>
  <c r="BW9" i="9" a="1"/>
  <c r="BW9" i="9"/>
  <c r="FO32" i="1"/>
  <c r="BQ9" i="9" a="1"/>
  <c r="BQ9" i="9"/>
  <c r="DK32" i="1"/>
  <c r="BU9" i="9" a="1"/>
  <c r="BU9" i="9"/>
  <c r="FK32" i="1"/>
  <c r="E9" i="9"/>
  <c r="D32" i="1"/>
  <c r="BA9" i="9" a="1"/>
  <c r="BA9" i="9"/>
  <c r="CA32" i="1"/>
  <c r="AZ9" i="9" a="1"/>
  <c r="AZ9" i="9"/>
  <c r="CE32" i="1"/>
  <c r="BF9" i="9" a="1"/>
  <c r="BF9" i="9"/>
  <c r="EQ32" i="1"/>
  <c r="BZ9" i="9" a="1"/>
  <c r="BZ9" i="9"/>
  <c r="AL32" i="1"/>
  <c r="BT9" i="9" a="1"/>
  <c r="BT9" i="9"/>
  <c r="FG32" i="1"/>
  <c r="O9" i="9"/>
  <c r="F10" i="12"/>
  <c r="T9" i="9"/>
  <c r="CA9" i="9" a="1"/>
  <c r="CA9" i="9"/>
  <c r="AQ32" i="1"/>
  <c r="AO9" i="9" a="1"/>
  <c r="AO9" i="9"/>
  <c r="K9" i="9"/>
  <c r="CQ32" i="1"/>
  <c r="E28" i="12"/>
  <c r="AG13" i="9"/>
  <c r="BC13" i="9" a="1"/>
  <c r="BC13" i="9"/>
  <c r="EE36" i="1"/>
  <c r="AP13" i="9" a="1"/>
  <c r="AP13" i="9"/>
  <c r="BH13" i="9" a="1"/>
  <c r="BH13" i="9"/>
  <c r="DC36" i="1"/>
  <c r="BZ13" i="9" a="1"/>
  <c r="BZ13" i="9"/>
  <c r="AL36" i="1"/>
  <c r="AM13" i="9" a="1"/>
  <c r="AM13" i="9"/>
  <c r="CB13" i="9" a="1"/>
  <c r="CB13" i="9"/>
  <c r="AY36" i="1"/>
  <c r="AE13" i="9"/>
  <c r="AF13" i="9"/>
  <c r="BT13" i="9" a="1"/>
  <c r="BT13" i="9"/>
  <c r="FG36" i="1"/>
  <c r="Z13" i="9"/>
  <c r="G17" i="9"/>
  <c r="P41" i="1"/>
  <c r="U72" i="9"/>
  <c r="BW11" i="9" a="1"/>
  <c r="BW11" i="9"/>
  <c r="FO34" i="1"/>
  <c r="BE11" i="9" a="1"/>
  <c r="BE11" i="9"/>
  <c r="EM34" i="1"/>
  <c r="BF93" i="9" a="1"/>
  <c r="BF93" i="9"/>
  <c r="AZ93" i="9" a="1"/>
  <c r="AZ93" i="9"/>
  <c r="BG11" i="9" a="1"/>
  <c r="BG11" i="9"/>
  <c r="EA34" i="1"/>
  <c r="E73" i="9"/>
  <c r="BT133" i="9" a="1"/>
  <c r="BT133" i="9"/>
  <c r="AG133" i="9"/>
  <c r="Y133" i="9"/>
  <c r="Z133" i="9"/>
  <c r="BR78" i="9" a="1"/>
  <c r="BR78" i="9"/>
  <c r="AK78" i="9" a="1"/>
  <c r="AK78" i="9"/>
  <c r="AR78" i="9" a="1"/>
  <c r="AR78" i="9"/>
  <c r="BQ78" i="9" a="1"/>
  <c r="BQ78" i="9"/>
  <c r="O78" i="9"/>
  <c r="E78" i="9"/>
  <c r="CA17" i="9" a="1"/>
  <c r="CA17" i="9"/>
  <c r="AQ41" i="1"/>
  <c r="S33" i="9" a="1"/>
  <c r="S33" i="9"/>
  <c r="CD93" i="9" a="1"/>
  <c r="CD93" i="9"/>
  <c r="BK9" i="9" a="1"/>
  <c r="BK9" i="9"/>
  <c r="GA32" i="1"/>
  <c r="BN9" i="9" a="1"/>
  <c r="BN9" i="9"/>
  <c r="BO32" i="1"/>
  <c r="CB140" i="9" a="1"/>
  <c r="CB140" i="9"/>
  <c r="BC140" i="9" a="1"/>
  <c r="BC140" i="9"/>
  <c r="AS140" i="9" a="1"/>
  <c r="AS140" i="9"/>
  <c r="Y93" i="9"/>
  <c r="N137" i="9"/>
  <c r="AR9" i="9" a="1"/>
  <c r="AR9" i="9"/>
  <c r="AD32" i="9"/>
  <c r="AY75" i="9" a="1"/>
  <c r="AY75" i="9"/>
  <c r="AD125" i="9"/>
  <c r="K125" i="9"/>
  <c r="CF125" i="9"/>
  <c r="BK125" i="9" a="1"/>
  <c r="BK125" i="9"/>
  <c r="V125" i="9"/>
  <c r="Q125" i="9" a="1"/>
  <c r="Q125" i="9"/>
  <c r="CA125" i="9" a="1"/>
  <c r="CA125" i="9"/>
  <c r="AT125" i="9" a="1"/>
  <c r="AT125" i="9"/>
  <c r="O125" i="9"/>
  <c r="S125" i="9" a="1"/>
  <c r="S125" i="9"/>
  <c r="AI125" i="9" a="1"/>
  <c r="AI125" i="9"/>
  <c r="CC125" i="9" a="1"/>
  <c r="CC125" i="9"/>
  <c r="AY125" i="9" a="1"/>
  <c r="AY125" i="9"/>
  <c r="G125" i="9"/>
  <c r="BA125" i="9" a="1"/>
  <c r="BA125" i="9"/>
  <c r="AX125" i="9"/>
  <c r="AE125" i="9"/>
  <c r="AF125" i="9"/>
  <c r="AQ125" i="9" a="1"/>
  <c r="AQ125" i="9"/>
  <c r="AG125" i="9"/>
  <c r="BH125" i="9" a="1"/>
  <c r="BH125" i="9"/>
  <c r="BR125" i="9" a="1"/>
  <c r="BR125" i="9"/>
  <c r="I125" i="9"/>
  <c r="AR125" i="9" a="1"/>
  <c r="AR125" i="9"/>
  <c r="BJ125" i="9" a="1"/>
  <c r="BJ125" i="9"/>
  <c r="BL125" i="9" a="1"/>
  <c r="BL125" i="9"/>
  <c r="AP125" i="9" a="1"/>
  <c r="AP125" i="9"/>
  <c r="BT125" i="9" a="1"/>
  <c r="BT125" i="9"/>
  <c r="J125" i="9"/>
  <c r="AM125" i="9" a="1"/>
  <c r="AM125" i="9"/>
  <c r="BO125" i="9" a="1"/>
  <c r="BO125" i="9"/>
  <c r="BM125" i="9" a="1"/>
  <c r="BM125" i="9"/>
  <c r="AK125" i="9" a="1"/>
  <c r="AK125" i="9"/>
  <c r="L125" i="9"/>
  <c r="AJ125" i="9" a="1"/>
  <c r="AJ125" i="9"/>
  <c r="E125" i="9"/>
  <c r="AZ125" i="9" a="1"/>
  <c r="AZ125" i="9"/>
  <c r="BE125" i="9" a="1"/>
  <c r="BE125" i="9"/>
  <c r="BC125" i="9" a="1"/>
  <c r="BC125" i="9"/>
  <c r="AU125" i="9" a="1"/>
  <c r="AU125" i="9"/>
  <c r="BD125" i="9" a="1"/>
  <c r="BD125" i="9"/>
  <c r="X125" i="9"/>
  <c r="BI125" i="9" a="1"/>
  <c r="BI125" i="9"/>
  <c r="Y125" i="9"/>
  <c r="CB125" i="9" a="1"/>
  <c r="CB125" i="9"/>
  <c r="F125" i="9"/>
  <c r="U125" i="9"/>
  <c r="D125" i="9"/>
  <c r="AS125" i="9" a="1"/>
  <c r="AS125" i="9"/>
  <c r="AN125" i="9" a="1"/>
  <c r="AN125" i="9"/>
  <c r="BZ125" i="9" a="1"/>
  <c r="BZ125" i="9"/>
  <c r="P125" i="9"/>
  <c r="BB125" i="9" a="1"/>
  <c r="BB125" i="9"/>
  <c r="AB125" i="9"/>
  <c r="AC125" i="9"/>
  <c r="BG125" i="9" a="1"/>
  <c r="BG125" i="9"/>
  <c r="CD125" i="9" a="1"/>
  <c r="CD125" i="9"/>
  <c r="AO125" i="9" a="1"/>
  <c r="AO125" i="9"/>
  <c r="BN125" i="9" a="1"/>
  <c r="BN125" i="9"/>
  <c r="AL125" i="9" a="1"/>
  <c r="AL125" i="9"/>
  <c r="AW125" i="9"/>
  <c r="BQ125" i="9" a="1"/>
  <c r="BQ125" i="9"/>
  <c r="T125" i="9"/>
  <c r="N125" i="9"/>
  <c r="AS17" i="9" a="1"/>
  <c r="AS17" i="9"/>
  <c r="BH17" i="9" a="1"/>
  <c r="BH17" i="9"/>
  <c r="DC41" i="1"/>
  <c r="X17" i="9"/>
  <c r="BK17" i="9" a="1"/>
  <c r="BK17" i="9"/>
  <c r="GA41" i="1"/>
  <c r="BN17" i="9" a="1"/>
  <c r="BN17" i="9"/>
  <c r="BO41" i="1"/>
  <c r="CB17" i="9" a="1"/>
  <c r="CB17" i="9"/>
  <c r="AY41" i="1"/>
  <c r="P17" i="9"/>
  <c r="DW41" i="1"/>
  <c r="E17" i="9"/>
  <c r="D41" i="1"/>
  <c r="AY17" i="9" a="1"/>
  <c r="AY17" i="9"/>
  <c r="CI41" i="1"/>
  <c r="AB17" i="9"/>
  <c r="AC17" i="9"/>
  <c r="AX17" i="9"/>
  <c r="BC41" i="1"/>
  <c r="AJ17" i="9" a="1"/>
  <c r="AJ17" i="9"/>
  <c r="BT17" i="9" a="1"/>
  <c r="BT17" i="9"/>
  <c r="FG41" i="1"/>
  <c r="V17" i="9"/>
  <c r="U17" i="9"/>
  <c r="N17" i="9"/>
  <c r="DO41" i="1"/>
  <c r="AG17" i="9"/>
  <c r="BU17" i="9" a="1"/>
  <c r="BU17" i="9"/>
  <c r="FK41" i="1"/>
  <c r="BS17" i="9" a="1"/>
  <c r="BS17" i="9"/>
  <c r="FC41" i="1"/>
  <c r="BZ17" i="9" a="1"/>
  <c r="BZ17" i="9"/>
  <c r="AL41" i="1"/>
  <c r="D17" i="9"/>
  <c r="I41" i="1"/>
  <c r="CD17" i="9" a="1"/>
  <c r="CD17" i="9"/>
  <c r="GE41" i="1"/>
  <c r="F17" i="9"/>
  <c r="V41" i="1"/>
  <c r="L17" i="9"/>
  <c r="CU41" i="1"/>
  <c r="S17" i="9" a="1"/>
  <c r="S17" i="9"/>
  <c r="DG41" i="1"/>
  <c r="BC17" i="9" a="1"/>
  <c r="BC17" i="9"/>
  <c r="EE41" i="1"/>
  <c r="M17" i="9"/>
  <c r="CY41" i="1"/>
  <c r="AU17" i="9" a="1"/>
  <c r="AU17" i="9"/>
  <c r="AL17" i="9" a="1"/>
  <c r="AL17" i="9"/>
  <c r="AW17" i="9"/>
  <c r="AR17" i="9" a="1"/>
  <c r="AR17" i="9"/>
  <c r="AK17" i="9" a="1"/>
  <c r="AK17" i="9"/>
  <c r="AD17" i="9"/>
  <c r="BG17" i="9" a="1"/>
  <c r="BG17" i="9"/>
  <c r="EA41" i="1"/>
  <c r="T17" i="9"/>
  <c r="E32" i="9"/>
  <c r="Q32" i="9" a="1"/>
  <c r="Q32" i="9"/>
  <c r="V32" i="9"/>
  <c r="BW32" i="9" a="1"/>
  <c r="BW32" i="9"/>
  <c r="BJ32" i="9" a="1"/>
  <c r="BJ32" i="9"/>
  <c r="BH32" i="9" a="1"/>
  <c r="BH32" i="9"/>
  <c r="AE32" i="9"/>
  <c r="AF32" i="9"/>
  <c r="AL32" i="9" a="1"/>
  <c r="AL32" i="9"/>
  <c r="AW32" i="9"/>
  <c r="AN32" i="9" a="1"/>
  <c r="AN32" i="9"/>
  <c r="O32" i="9"/>
  <c r="AM32" i="9" a="1"/>
  <c r="AM32" i="9"/>
  <c r="P32" i="9"/>
  <c r="BU32" i="9" a="1"/>
  <c r="BU32" i="9"/>
  <c r="BR32" i="9" a="1"/>
  <c r="BR32" i="9"/>
  <c r="AS32" i="9" a="1"/>
  <c r="AS32" i="9"/>
  <c r="BI32" i="9" a="1"/>
  <c r="BI32" i="9"/>
  <c r="U32" i="9"/>
  <c r="AQ32" i="9" a="1"/>
  <c r="AQ32" i="9"/>
  <c r="AG32" i="9"/>
  <c r="AU32" i="9" a="1"/>
  <c r="AU32" i="9"/>
  <c r="G32" i="9"/>
  <c r="AZ32" i="9" a="1"/>
  <c r="AZ32" i="9"/>
  <c r="I32" i="9"/>
  <c r="CB32" i="9" a="1"/>
  <c r="CB32" i="9"/>
  <c r="K32" i="9"/>
  <c r="BE32" i="9" a="1"/>
  <c r="BE32" i="9"/>
  <c r="BD32" i="9" a="1"/>
  <c r="BD32" i="9"/>
  <c r="Z32" i="9"/>
  <c r="BZ32" i="9" a="1"/>
  <c r="BZ32" i="9"/>
  <c r="BK32" i="9" a="1"/>
  <c r="BK32" i="9"/>
  <c r="L32" i="9"/>
  <c r="AR32" i="9" a="1"/>
  <c r="AR32" i="9"/>
  <c r="CD32" i="9" a="1"/>
  <c r="CD32" i="9"/>
  <c r="AJ32" i="9" a="1"/>
  <c r="AJ32" i="9"/>
  <c r="AX32" i="9"/>
  <c r="T32" i="9"/>
  <c r="BT32" i="9" a="1"/>
  <c r="BT32" i="9"/>
  <c r="AT32" i="9" a="1"/>
  <c r="AT32" i="9"/>
  <c r="D32" i="9"/>
  <c r="BL32" i="9" a="1"/>
  <c r="BL32" i="9"/>
  <c r="AB32" i="9"/>
  <c r="AC32" i="9"/>
  <c r="BA32" i="9" a="1"/>
  <c r="BA32" i="9"/>
  <c r="Y32" i="9"/>
  <c r="BM32" i="9" a="1"/>
  <c r="BM32" i="9"/>
  <c r="BB32" i="9" a="1"/>
  <c r="BB32" i="9"/>
  <c r="BN32" i="9" a="1"/>
  <c r="BN32" i="9"/>
  <c r="AP32" i="9" a="1"/>
  <c r="AP32" i="9"/>
  <c r="AY32" i="9" a="1"/>
  <c r="AY32" i="9"/>
  <c r="AO32" i="9" a="1"/>
  <c r="AO32" i="9"/>
  <c r="J32" i="9"/>
  <c r="BF32" i="9" a="1"/>
  <c r="BF32" i="9"/>
  <c r="CA32" i="9" a="1"/>
  <c r="CA32" i="9"/>
  <c r="X32" i="9"/>
  <c r="CC32" i="9" a="1"/>
  <c r="CC32" i="9"/>
  <c r="S32" i="9" a="1"/>
  <c r="S32" i="9"/>
  <c r="CF32" i="9"/>
  <c r="N32" i="9"/>
  <c r="BS32" i="9" a="1"/>
  <c r="BS32" i="9"/>
  <c r="AI32" i="9" a="1"/>
  <c r="AI32" i="9"/>
  <c r="BG32" i="9" a="1"/>
  <c r="BG32" i="9"/>
  <c r="BO32" i="9" a="1"/>
  <c r="BO32" i="9"/>
  <c r="AK32" i="9" a="1"/>
  <c r="AK32" i="9"/>
  <c r="BC32" i="9" a="1"/>
  <c r="BC32" i="9"/>
  <c r="BA43" i="9" a="1"/>
  <c r="BA43" i="9"/>
  <c r="AL43" i="9" a="1"/>
  <c r="AL43" i="9"/>
  <c r="AW43" i="9"/>
  <c r="BR43" i="9" a="1"/>
  <c r="BR43" i="9"/>
  <c r="BH43" i="9" a="1"/>
  <c r="BH43" i="9"/>
  <c r="P43" i="9"/>
  <c r="K43" i="9"/>
  <c r="G43" i="9"/>
  <c r="BW43" i="9" a="1"/>
  <c r="BW43" i="9"/>
  <c r="BC43" i="9" a="1"/>
  <c r="BC43" i="9"/>
  <c r="BJ43" i="9" a="1"/>
  <c r="BJ43" i="9"/>
  <c r="BB43" i="9" a="1"/>
  <c r="BB43" i="9"/>
  <c r="BD43" i="9" a="1"/>
  <c r="BD43" i="9"/>
  <c r="S43" i="9" a="1"/>
  <c r="S43" i="9"/>
  <c r="BI43" i="9" a="1"/>
  <c r="BI43" i="9"/>
  <c r="CA43" i="9" a="1"/>
  <c r="CA43" i="9"/>
  <c r="AJ43" i="9" a="1"/>
  <c r="AJ43" i="9"/>
  <c r="CD43" i="9" a="1"/>
  <c r="CD43" i="9"/>
  <c r="BS43" i="9" a="1"/>
  <c r="BS43" i="9"/>
  <c r="AO43" i="9" a="1"/>
  <c r="AO43" i="9"/>
  <c r="AM43" i="9" a="1"/>
  <c r="AM43" i="9"/>
  <c r="BO43" i="9" a="1"/>
  <c r="BO43" i="9"/>
  <c r="Y43" i="9"/>
  <c r="T43" i="9"/>
  <c r="BT43" i="9" a="1"/>
  <c r="BT43" i="9"/>
  <c r="Q43" i="9" a="1"/>
  <c r="Q43" i="9"/>
  <c r="AE43" i="9"/>
  <c r="AF43" i="9"/>
  <c r="Z43" i="9"/>
  <c r="E43" i="9"/>
  <c r="BM43" i="9" a="1"/>
  <c r="BM43" i="9"/>
  <c r="AZ43" i="9" a="1"/>
  <c r="AZ43" i="9"/>
  <c r="AU43" i="9" a="1"/>
  <c r="AU43" i="9"/>
  <c r="M43" i="9"/>
  <c r="AB43" i="9"/>
  <c r="AC43" i="9"/>
  <c r="I43" i="9"/>
  <c r="AD43" i="9"/>
  <c r="BG43" i="9" a="1"/>
  <c r="BG43" i="9"/>
  <c r="J43" i="9"/>
  <c r="AI43" i="9" a="1"/>
  <c r="AI43" i="9"/>
  <c r="BL43" i="9" a="1"/>
  <c r="BL43" i="9"/>
  <c r="BK43" i="9" a="1"/>
  <c r="BK43" i="9"/>
  <c r="BZ43" i="9" a="1"/>
  <c r="BZ43" i="9"/>
  <c r="AN43" i="9" a="1"/>
  <c r="AN43" i="9"/>
  <c r="BQ43" i="9" a="1"/>
  <c r="BQ43" i="9"/>
  <c r="V43" i="9"/>
  <c r="U43" i="9"/>
  <c r="D43" i="9"/>
  <c r="AP43" i="9" a="1"/>
  <c r="AP43" i="9"/>
  <c r="AQ43" i="9" a="1"/>
  <c r="AQ43" i="9"/>
  <c r="CC43" i="9" a="1"/>
  <c r="CC43" i="9"/>
  <c r="F43" i="9"/>
  <c r="CF43" i="9"/>
  <c r="AK43" i="9" a="1"/>
  <c r="AK43" i="9"/>
  <c r="BN43" i="9" a="1"/>
  <c r="BN43" i="9"/>
  <c r="CB43" i="9" a="1"/>
  <c r="CB43" i="9"/>
  <c r="AX43" i="9"/>
  <c r="L43" i="9"/>
  <c r="AS43" i="9" a="1"/>
  <c r="AS43" i="9"/>
  <c r="O43" i="9"/>
  <c r="X43" i="9"/>
  <c r="BE43" i="9" a="1"/>
  <c r="BE43" i="9"/>
  <c r="AT43" i="9" a="1"/>
  <c r="AT43" i="9"/>
  <c r="N43" i="9"/>
  <c r="AR43" i="9" a="1"/>
  <c r="AR43" i="9"/>
  <c r="BU43" i="9" a="1"/>
  <c r="BU43" i="9"/>
  <c r="AG43" i="9"/>
  <c r="AY43" i="9" a="1"/>
  <c r="AY43" i="9"/>
  <c r="D73" i="9"/>
  <c r="O73" i="9"/>
  <c r="M73" i="9"/>
  <c r="AG73" i="9"/>
  <c r="AL73" i="9" a="1"/>
  <c r="AL73" i="9"/>
  <c r="AW73" i="9"/>
  <c r="BI73" i="9" a="1"/>
  <c r="BI73" i="9"/>
  <c r="L73" i="9"/>
  <c r="CB73" i="9" a="1"/>
  <c r="CB73" i="9"/>
  <c r="X73" i="9"/>
  <c r="BC73" i="9" a="1"/>
  <c r="BC73" i="9"/>
  <c r="V73" i="9"/>
  <c r="BQ73" i="9" a="1"/>
  <c r="BQ73" i="9"/>
  <c r="S73" i="9" a="1"/>
  <c r="S73" i="9"/>
  <c r="BR73" i="9" a="1"/>
  <c r="BR73" i="9"/>
  <c r="CF73" i="9"/>
  <c r="BN73" i="9" a="1"/>
  <c r="BN73" i="9"/>
  <c r="BK73" i="9" a="1"/>
  <c r="BK73" i="9"/>
  <c r="BL73" i="9" a="1"/>
  <c r="BL73" i="9"/>
  <c r="BD73" i="9" a="1"/>
  <c r="BD73" i="9"/>
  <c r="BW73" i="9" a="1"/>
  <c r="BW73" i="9"/>
  <c r="BG73" i="9" a="1"/>
  <c r="BG73" i="9"/>
  <c r="BM73" i="9" a="1"/>
  <c r="BM73" i="9"/>
  <c r="CC73" i="9" a="1"/>
  <c r="CC73" i="9"/>
  <c r="K73" i="9"/>
  <c r="BO73" i="9" a="1"/>
  <c r="BO73" i="9"/>
  <c r="AO73" i="9" a="1"/>
  <c r="AO73" i="9"/>
  <c r="AU73" i="9" a="1"/>
  <c r="AU73" i="9"/>
  <c r="AB73" i="9"/>
  <c r="AC73" i="9"/>
  <c r="AE73" i="9"/>
  <c r="AF73" i="9"/>
  <c r="AJ73" i="9" a="1"/>
  <c r="AJ73" i="9"/>
  <c r="AX73" i="9"/>
  <c r="BA73" i="9" a="1"/>
  <c r="BA73" i="9"/>
  <c r="N73" i="9"/>
  <c r="AD73" i="9"/>
  <c r="CD73" i="9" a="1"/>
  <c r="CD73" i="9"/>
  <c r="BF73" i="9" a="1"/>
  <c r="BF73" i="9"/>
  <c r="AZ73" i="9" a="1"/>
  <c r="AZ73" i="9"/>
  <c r="AS73" i="9" a="1"/>
  <c r="AS73" i="9"/>
  <c r="BT73" i="9" a="1"/>
  <c r="BT73" i="9"/>
  <c r="BZ73" i="9" a="1"/>
  <c r="BZ73" i="9"/>
  <c r="AR73" i="9" a="1"/>
  <c r="AR73" i="9"/>
  <c r="F73" i="9"/>
  <c r="AM73" i="9" a="1"/>
  <c r="AM73" i="9"/>
  <c r="T73" i="9"/>
  <c r="AQ73" i="9" a="1"/>
  <c r="AQ73" i="9"/>
  <c r="J73" i="9"/>
  <c r="AK73" i="9" a="1"/>
  <c r="AK73" i="9"/>
  <c r="BH73" i="9" a="1"/>
  <c r="BH73" i="9"/>
  <c r="AP73" i="9" a="1"/>
  <c r="AP73" i="9"/>
  <c r="I73" i="9"/>
  <c r="AN73" i="9" a="1"/>
  <c r="AN73" i="9"/>
  <c r="Z73" i="9"/>
  <c r="BB73" i="9" a="1"/>
  <c r="BB73" i="9"/>
  <c r="Y73" i="9"/>
  <c r="CA73" i="9" a="1"/>
  <c r="CA73" i="9"/>
  <c r="BS137" i="9" a="1"/>
  <c r="BS137" i="9"/>
  <c r="AT137" i="9" a="1"/>
  <c r="AT137" i="9"/>
  <c r="Z137" i="9"/>
  <c r="BO137" i="9" a="1"/>
  <c r="BO137" i="9"/>
  <c r="AS137" i="9" a="1"/>
  <c r="AS137" i="9"/>
  <c r="V137" i="9"/>
  <c r="BU137" i="9" a="1"/>
  <c r="BU137" i="9"/>
  <c r="L137" i="9"/>
  <c r="AD137" i="9"/>
  <c r="AP137" i="9" a="1"/>
  <c r="AP137" i="9"/>
  <c r="D137" i="9"/>
  <c r="Y137" i="9"/>
  <c r="BD137" i="9" a="1"/>
  <c r="BD137" i="9"/>
  <c r="AO137" i="9" a="1"/>
  <c r="AO137" i="9"/>
  <c r="T137" i="9"/>
  <c r="I137" i="9"/>
  <c r="BL137" i="9" a="1"/>
  <c r="BL137" i="9"/>
  <c r="BQ137" i="9" a="1"/>
  <c r="BQ137" i="9"/>
  <c r="AI137" i="9" a="1"/>
  <c r="AI137" i="9"/>
  <c r="BK137" i="9" a="1"/>
  <c r="BK137" i="9"/>
  <c r="BH137" i="9" a="1"/>
  <c r="BH137" i="9"/>
  <c r="AN137" i="9" a="1"/>
  <c r="AN137" i="9"/>
  <c r="AU137" i="9" a="1"/>
  <c r="AU137" i="9"/>
  <c r="BF137" i="9" a="1"/>
  <c r="BF137" i="9"/>
  <c r="M137" i="9"/>
  <c r="BW137" i="9" a="1"/>
  <c r="BW137" i="9"/>
  <c r="Q137" i="9" a="1"/>
  <c r="Q137" i="9"/>
  <c r="U137" i="9"/>
  <c r="AM137" i="9" a="1"/>
  <c r="AM137" i="9"/>
  <c r="BJ137" i="9" a="1"/>
  <c r="BJ137" i="9"/>
  <c r="E137" i="9"/>
  <c r="BR137" i="9" a="1"/>
  <c r="BR137" i="9"/>
  <c r="O137" i="9"/>
  <c r="BM137" i="9" a="1"/>
  <c r="BM137" i="9"/>
  <c r="J137" i="9"/>
  <c r="AL137" i="9" a="1"/>
  <c r="AL137" i="9"/>
  <c r="AW137" i="9"/>
  <c r="K137" i="9"/>
  <c r="AQ137" i="9" a="1"/>
  <c r="AQ137" i="9"/>
  <c r="CD137" i="9" a="1"/>
  <c r="CD137" i="9"/>
  <c r="BT137" i="9" a="1"/>
  <c r="BT137" i="9"/>
  <c r="AG137" i="9"/>
  <c r="AR137" i="9" a="1"/>
  <c r="AR137" i="9"/>
  <c r="BG137" i="9" a="1"/>
  <c r="BG137" i="9"/>
  <c r="BE137" i="9" a="1"/>
  <c r="BE137" i="9"/>
  <c r="AZ137" i="9" a="1"/>
  <c r="AZ137" i="9"/>
  <c r="BZ137" i="9" a="1"/>
  <c r="BZ137" i="9"/>
  <c r="BB137" i="9" a="1"/>
  <c r="BB137" i="9"/>
  <c r="F137" i="9"/>
  <c r="CA137" i="9" a="1"/>
  <c r="CA137" i="9"/>
  <c r="AB137" i="9"/>
  <c r="AC137" i="9"/>
  <c r="AX137" i="9"/>
  <c r="CB137" i="9" a="1"/>
  <c r="CB137" i="9"/>
  <c r="AE137" i="9"/>
  <c r="AF137" i="9"/>
  <c r="G137" i="9"/>
  <c r="BI137" i="9" a="1"/>
  <c r="BI137" i="9"/>
  <c r="BC137" i="9" a="1"/>
  <c r="BC137" i="9"/>
  <c r="CC137" i="9" a="1"/>
  <c r="CC137" i="9"/>
  <c r="AY137" i="9" a="1"/>
  <c r="AY137" i="9"/>
  <c r="BN137" i="9" a="1"/>
  <c r="BN137" i="9"/>
  <c r="X137" i="9"/>
  <c r="Z87" i="9"/>
  <c r="BQ87" i="9" a="1"/>
  <c r="BQ87" i="9"/>
  <c r="AP87" i="9" a="1"/>
  <c r="AP87" i="9"/>
  <c r="AK87" i="9" a="1"/>
  <c r="AK87" i="9"/>
  <c r="AY87" i="9" a="1"/>
  <c r="AY87" i="9"/>
  <c r="L87" i="9"/>
  <c r="AQ87" i="9" a="1"/>
  <c r="AQ87" i="9"/>
  <c r="BD87" i="9" a="1"/>
  <c r="BD87" i="9"/>
  <c r="AM87" i="9" a="1"/>
  <c r="AM87" i="9"/>
  <c r="M87" i="9"/>
  <c r="BG87" i="9" a="1"/>
  <c r="BG87" i="9"/>
  <c r="BT87" i="9" a="1"/>
  <c r="BT87" i="9"/>
  <c r="BE87" i="9" a="1"/>
  <c r="BE87" i="9"/>
  <c r="BZ87" i="9" a="1"/>
  <c r="BZ87" i="9"/>
  <c r="N87" i="9"/>
  <c r="U87" i="9"/>
  <c r="I87" i="9"/>
  <c r="BJ87" i="9" a="1"/>
  <c r="BJ87" i="9"/>
  <c r="AL87" i="9" a="1"/>
  <c r="AL87" i="9"/>
  <c r="AW87" i="9"/>
  <c r="AI87" i="9" a="1"/>
  <c r="AI87" i="9"/>
  <c r="G87" i="9"/>
  <c r="AB87" i="9"/>
  <c r="AC87" i="9"/>
  <c r="CC87" i="9" a="1"/>
  <c r="CC87" i="9"/>
  <c r="AJ87" i="9" a="1"/>
  <c r="AJ87" i="9"/>
  <c r="AO87" i="9" a="1"/>
  <c r="AO87" i="9"/>
  <c r="AG87" i="9"/>
  <c r="Y87" i="9"/>
  <c r="K87" i="9"/>
  <c r="T87" i="9"/>
  <c r="BO87" i="9" a="1"/>
  <c r="BO87" i="9"/>
  <c r="CF87" i="9"/>
  <c r="J87" i="9"/>
  <c r="CD87" i="9" a="1"/>
  <c r="CD87" i="9"/>
  <c r="AE87" i="9"/>
  <c r="AF87" i="9"/>
  <c r="BC87" i="9" a="1"/>
  <c r="BC87" i="9"/>
  <c r="BI87" i="9" a="1"/>
  <c r="BI87" i="9"/>
  <c r="BM97" i="9" a="1"/>
  <c r="BM97" i="9"/>
  <c r="AX97" i="9"/>
  <c r="BI97" i="9" a="1"/>
  <c r="BI97" i="9"/>
  <c r="BU97" i="9" a="1"/>
  <c r="BU97" i="9"/>
  <c r="AZ97" i="9" a="1"/>
  <c r="AZ97" i="9"/>
  <c r="X97" i="9"/>
  <c r="E97" i="9"/>
  <c r="AG97" i="9"/>
  <c r="BW97" i="9" a="1"/>
  <c r="BW97" i="9"/>
  <c r="M97" i="9"/>
  <c r="AN97" i="9" a="1"/>
  <c r="AN97" i="9"/>
  <c r="CA97" i="9" a="1"/>
  <c r="CA97" i="9"/>
  <c r="Z97" i="9"/>
  <c r="BJ97" i="9" a="1"/>
  <c r="BJ97" i="9"/>
  <c r="T97" i="9"/>
  <c r="BF97" i="9" a="1"/>
  <c r="BF97" i="9"/>
  <c r="BL97" i="9" a="1"/>
  <c r="BL97" i="9"/>
  <c r="AJ97" i="9" a="1"/>
  <c r="AJ97" i="9"/>
  <c r="AY97" i="9" a="1"/>
  <c r="AY97" i="9"/>
  <c r="AO97" i="9" a="1"/>
  <c r="AO97" i="9"/>
  <c r="BK97" i="9" a="1"/>
  <c r="BK97" i="9"/>
  <c r="BD97" i="9" a="1"/>
  <c r="BD97" i="9"/>
  <c r="AI97" i="9" a="1"/>
  <c r="AI97" i="9"/>
  <c r="BA97" i="9" a="1"/>
  <c r="BA97" i="9"/>
  <c r="BH97" i="9" a="1"/>
  <c r="BH97" i="9"/>
  <c r="O97" i="9"/>
  <c r="AQ97" i="9" a="1"/>
  <c r="AQ97" i="9"/>
  <c r="BT97" i="9" a="1"/>
  <c r="BT97" i="9"/>
  <c r="D97" i="9"/>
  <c r="AL97" i="9" a="1"/>
  <c r="AL97" i="9"/>
  <c r="AV97" i="9"/>
  <c r="AU97" i="9" a="1"/>
  <c r="AU97" i="9"/>
  <c r="BQ97" i="9" a="1"/>
  <c r="BQ97" i="9"/>
  <c r="BO97" i="9" a="1"/>
  <c r="BO97" i="9"/>
  <c r="CC97" i="9" a="1"/>
  <c r="CC97" i="9"/>
  <c r="P97" i="9"/>
  <c r="AS97" i="9" a="1"/>
  <c r="AS97" i="9"/>
  <c r="J97" i="9"/>
  <c r="L97" i="9"/>
  <c r="BB97" i="9" a="1"/>
  <c r="BB97" i="9"/>
  <c r="AE97" i="9"/>
  <c r="AF97" i="9"/>
  <c r="BZ97" i="9" a="1"/>
  <c r="BZ97" i="9"/>
  <c r="AD97" i="9"/>
  <c r="AM97" i="9" a="1"/>
  <c r="AM97" i="9"/>
  <c r="K97" i="9"/>
  <c r="F97" i="9"/>
  <c r="I97" i="9"/>
  <c r="AT97" i="9" a="1"/>
  <c r="AT97" i="9"/>
  <c r="BC97" i="9" a="1"/>
  <c r="BC97" i="9"/>
  <c r="AR97" i="9" a="1"/>
  <c r="AR97" i="9"/>
  <c r="BN97" i="9" a="1"/>
  <c r="BN97" i="9"/>
  <c r="N97" i="9"/>
  <c r="CD97" i="9" a="1"/>
  <c r="CD97" i="9"/>
  <c r="CF97" i="9"/>
  <c r="G97" i="9"/>
  <c r="CB97" i="9" a="1"/>
  <c r="CB97" i="9"/>
  <c r="Y97" i="9"/>
  <c r="AK97" i="9" a="1"/>
  <c r="AK97" i="9"/>
  <c r="BS97" i="9" a="1"/>
  <c r="BS97" i="9"/>
  <c r="V97" i="9"/>
  <c r="S97" i="9" a="1"/>
  <c r="S97" i="9"/>
  <c r="U97" i="9"/>
  <c r="Q97" i="9" a="1"/>
  <c r="Q97" i="9"/>
  <c r="AP97" i="9" a="1"/>
  <c r="AP97" i="9"/>
  <c r="BE97" i="9" a="1"/>
  <c r="BE97" i="9"/>
  <c r="BG97" i="9" a="1"/>
  <c r="BG97" i="9"/>
  <c r="CB60" i="9" a="1"/>
  <c r="CB60" i="9"/>
  <c r="AK60" i="9" a="1"/>
  <c r="AK60" i="9"/>
  <c r="AP60" i="9" a="1"/>
  <c r="AP60" i="9"/>
  <c r="BO60" i="9" a="1"/>
  <c r="BO60" i="9"/>
  <c r="J60" i="9"/>
  <c r="BD60" i="9" a="1"/>
  <c r="BD60" i="9"/>
  <c r="AI60" i="9" a="1"/>
  <c r="AI60" i="9"/>
  <c r="AD60" i="9"/>
  <c r="AM60" i="9" a="1"/>
  <c r="AM60" i="9"/>
  <c r="AE60" i="9"/>
  <c r="AF60" i="9"/>
  <c r="N60" i="9"/>
  <c r="AS60" i="9" a="1"/>
  <c r="AS60" i="9"/>
  <c r="BA60" i="9" a="1"/>
  <c r="BA60" i="9"/>
  <c r="BN60" i="9" a="1"/>
  <c r="BN60" i="9"/>
  <c r="O60" i="9"/>
  <c r="S60" i="9" a="1"/>
  <c r="S60" i="9"/>
  <c r="Z60" i="9"/>
  <c r="AX60" i="9"/>
  <c r="Q60" i="9" a="1"/>
  <c r="Q60" i="9"/>
  <c r="P60" i="9"/>
  <c r="AG60" i="9"/>
  <c r="CF60" i="9"/>
  <c r="X60" i="9"/>
  <c r="AN60" i="9" a="1"/>
  <c r="AN60" i="9"/>
  <c r="BR60" i="9" a="1"/>
  <c r="BR60" i="9"/>
  <c r="BJ60" i="9" a="1"/>
  <c r="BJ60" i="9"/>
  <c r="BM60" i="9" a="1"/>
  <c r="BM60" i="9"/>
  <c r="T60" i="9"/>
  <c r="BE60" i="9" a="1"/>
  <c r="BE60" i="9"/>
  <c r="Y60" i="9"/>
  <c r="AY60" i="9" a="1"/>
  <c r="AY60" i="9"/>
  <c r="BW60" i="9" a="1"/>
  <c r="BW60" i="9"/>
  <c r="AB60" i="9"/>
  <c r="AC60" i="9"/>
  <c r="BL60" i="9" a="1"/>
  <c r="BL60" i="9"/>
  <c r="BZ60" i="9" a="1"/>
  <c r="BZ60" i="9"/>
  <c r="BI60" i="9" a="1"/>
  <c r="BI60" i="9"/>
  <c r="CA60" i="9" a="1"/>
  <c r="CA60" i="9"/>
  <c r="CD60" i="9" a="1"/>
  <c r="CD60" i="9"/>
  <c r="BQ60" i="9" a="1"/>
  <c r="BQ60" i="9"/>
  <c r="D60" i="9"/>
  <c r="AR60" i="9" a="1"/>
  <c r="AR60" i="9"/>
  <c r="AU60" i="9" a="1"/>
  <c r="AU60" i="9"/>
  <c r="L60" i="9"/>
  <c r="I60" i="9"/>
  <c r="BC60" i="9" a="1"/>
  <c r="BC60" i="9"/>
  <c r="V60" i="9"/>
  <c r="BT60" i="9" a="1"/>
  <c r="BT60" i="9"/>
  <c r="BJ72" i="9" a="1"/>
  <c r="BJ72" i="9"/>
  <c r="Y72" i="9"/>
  <c r="AZ72" i="9" a="1"/>
  <c r="AZ72" i="9"/>
  <c r="BI72" i="9" a="1"/>
  <c r="BI72" i="9"/>
  <c r="BW72" i="9" a="1"/>
  <c r="BW72" i="9"/>
  <c r="AN72" i="9" a="1"/>
  <c r="AN72" i="9"/>
  <c r="AG72" i="9"/>
  <c r="S72" i="9" a="1"/>
  <c r="S72" i="9"/>
  <c r="N72" i="9"/>
  <c r="BD72" i="9" a="1"/>
  <c r="BD72" i="9"/>
  <c r="AD72" i="9"/>
  <c r="BG72" i="9" a="1"/>
  <c r="BG72" i="9"/>
  <c r="P72" i="9"/>
  <c r="BT72" i="9" a="1"/>
  <c r="BT72" i="9"/>
  <c r="BR72" i="9" a="1"/>
  <c r="BR72" i="9"/>
  <c r="AT72" i="9" a="1"/>
  <c r="AT72" i="9"/>
  <c r="BL72" i="9" a="1"/>
  <c r="BL72" i="9"/>
  <c r="M72" i="9"/>
  <c r="E72" i="9"/>
  <c r="BM72" i="9" a="1"/>
  <c r="BM72" i="9"/>
  <c r="F72" i="9"/>
  <c r="BA72" i="9" a="1"/>
  <c r="BA72" i="9"/>
  <c r="BU72" i="9" a="1"/>
  <c r="BU72" i="9"/>
  <c r="J72" i="9"/>
  <c r="T72" i="9"/>
  <c r="AE72" i="9"/>
  <c r="AF72" i="9"/>
  <c r="Z72" i="9"/>
  <c r="BH72" i="9" a="1"/>
  <c r="BH72" i="9"/>
  <c r="AL72" i="9" a="1"/>
  <c r="AL72" i="9"/>
  <c r="AW72" i="9"/>
  <c r="CF72" i="9"/>
  <c r="BQ72" i="9" a="1"/>
  <c r="BQ72" i="9"/>
  <c r="CA72" i="9" a="1"/>
  <c r="CA72" i="9"/>
  <c r="CB72" i="9" a="1"/>
  <c r="CB72" i="9"/>
  <c r="O72" i="9"/>
  <c r="F63" i="9"/>
  <c r="BG63" i="9" a="1"/>
  <c r="BG63" i="9"/>
  <c r="AN63" i="9" a="1"/>
  <c r="AN63" i="9"/>
  <c r="U63" i="9"/>
  <c r="L63" i="9"/>
  <c r="BF63" i="9" a="1"/>
  <c r="BF63" i="9"/>
  <c r="BK63" i="9" a="1"/>
  <c r="BK63" i="9"/>
  <c r="BZ63" i="9" a="1"/>
  <c r="BZ63" i="9"/>
  <c r="AE63" i="9"/>
  <c r="AF63" i="9"/>
  <c r="AK63" i="9" a="1"/>
  <c r="AK63" i="9"/>
  <c r="CF63" i="9"/>
  <c r="BB63" i="9" a="1"/>
  <c r="BB63" i="9"/>
  <c r="BQ63" i="9" a="1"/>
  <c r="BQ63" i="9"/>
  <c r="AU63" i="9" a="1"/>
  <c r="AU63" i="9"/>
  <c r="BL63" i="9" a="1"/>
  <c r="BL63" i="9"/>
  <c r="AG63" i="9"/>
  <c r="AQ63" i="9" a="1"/>
  <c r="AQ63" i="9"/>
  <c r="K63" i="9"/>
  <c r="T63" i="9"/>
  <c r="O63" i="9"/>
  <c r="AX63" i="9"/>
  <c r="S63" i="9" a="1"/>
  <c r="S63" i="9"/>
  <c r="AT63" i="9" a="1"/>
  <c r="AT63" i="9"/>
  <c r="CB63" i="9" a="1"/>
  <c r="CB63" i="9"/>
  <c r="BT63" i="9" a="1"/>
  <c r="BT63" i="9"/>
  <c r="I63" i="9"/>
  <c r="Z63" i="9"/>
  <c r="BJ63" i="9" a="1"/>
  <c r="BJ63" i="9"/>
  <c r="BO63" i="9" a="1"/>
  <c r="BO63" i="9"/>
  <c r="BE63" i="9" a="1"/>
  <c r="BE63" i="9"/>
  <c r="J63" i="9"/>
  <c r="CA63" i="9" a="1"/>
  <c r="CA63" i="9"/>
  <c r="D63" i="9"/>
  <c r="BM63" i="9" a="1"/>
  <c r="BM63" i="9"/>
  <c r="Y63" i="9"/>
  <c r="BU63" i="9" a="1"/>
  <c r="BU63" i="9"/>
  <c r="AS63" i="9" a="1"/>
  <c r="AS63" i="9"/>
  <c r="AL63" i="9" a="1"/>
  <c r="AL63" i="9"/>
  <c r="AV63" i="9"/>
  <c r="AM63" i="9" a="1"/>
  <c r="AM63" i="9"/>
  <c r="AD63" i="9"/>
  <c r="P63" i="9"/>
  <c r="BS63" i="9" a="1"/>
  <c r="BS63" i="9"/>
  <c r="BR63" i="9" a="1"/>
  <c r="BR63" i="9"/>
  <c r="BD63" i="9" a="1"/>
  <c r="BD63" i="9"/>
  <c r="AZ63" i="9" a="1"/>
  <c r="AZ63" i="9"/>
  <c r="X63" i="9"/>
  <c r="BN63" i="9" a="1"/>
  <c r="BN63" i="9"/>
  <c r="BH63" i="9" a="1"/>
  <c r="BH63" i="9"/>
  <c r="AB63" i="9"/>
  <c r="AC63" i="9"/>
  <c r="CC63" i="9" a="1"/>
  <c r="CC63" i="9"/>
  <c r="AR63" i="9" a="1"/>
  <c r="AR63" i="9"/>
  <c r="BW63" i="9" a="1"/>
  <c r="BW63" i="9"/>
  <c r="AO63" i="9" a="1"/>
  <c r="AO63" i="9"/>
  <c r="G63" i="9"/>
  <c r="AJ63" i="9" a="1"/>
  <c r="AJ63" i="9"/>
  <c r="E63" i="9"/>
  <c r="CD63" i="9" a="1"/>
  <c r="CD63" i="9"/>
  <c r="AI63" i="9" a="1"/>
  <c r="AI63" i="9"/>
  <c r="M63" i="9"/>
  <c r="N63" i="9"/>
  <c r="V63" i="9"/>
  <c r="BI63" i="9" a="1"/>
  <c r="BI63" i="9"/>
  <c r="BA63" i="9" a="1"/>
  <c r="BA63" i="9"/>
  <c r="X96" i="9"/>
  <c r="AY96" i="9" a="1"/>
  <c r="AY96" i="9"/>
  <c r="J96" i="9"/>
  <c r="BD96" i="9" a="1"/>
  <c r="BD96" i="9"/>
  <c r="AX96" i="9"/>
  <c r="BM96" i="9" a="1"/>
  <c r="BM96" i="9"/>
  <c r="E96" i="9"/>
  <c r="D96" i="9"/>
  <c r="BO96" i="9" a="1"/>
  <c r="BO96" i="9"/>
  <c r="S96" i="9" a="1"/>
  <c r="S96" i="9"/>
  <c r="BR96" i="9" a="1"/>
  <c r="BR96" i="9"/>
  <c r="AP96" i="9" a="1"/>
  <c r="AP96" i="9"/>
  <c r="BG96" i="9" a="1"/>
  <c r="BG96" i="9"/>
  <c r="Z96" i="9"/>
  <c r="AD96" i="9"/>
  <c r="AR96" i="9" a="1"/>
  <c r="AR96" i="9"/>
  <c r="AQ96" i="9" a="1"/>
  <c r="AQ96" i="9"/>
  <c r="BS96" i="9" a="1"/>
  <c r="BS96" i="9"/>
  <c r="BL96" i="9" a="1"/>
  <c r="BL96" i="9"/>
  <c r="AI96" i="9" a="1"/>
  <c r="AI96" i="9"/>
  <c r="M96" i="9"/>
  <c r="L96" i="9"/>
  <c r="AZ96" i="9" a="1"/>
  <c r="AZ96" i="9"/>
  <c r="AB96" i="9"/>
  <c r="AC96" i="9"/>
  <c r="BF96" i="9" a="1"/>
  <c r="BF96" i="9"/>
  <c r="T96" i="9"/>
  <c r="AO96" i="9" a="1"/>
  <c r="AO96" i="9"/>
  <c r="K96" i="9"/>
  <c r="BJ96" i="9" a="1"/>
  <c r="BJ96" i="9"/>
  <c r="N96" i="9"/>
  <c r="AE96" i="9"/>
  <c r="AF96" i="9"/>
  <c r="I96" i="9"/>
  <c r="BQ96" i="9" a="1"/>
  <c r="BQ96" i="9"/>
  <c r="AJ96" i="9" a="1"/>
  <c r="AJ96" i="9"/>
  <c r="U96" i="9"/>
  <c r="BE96" i="9" a="1"/>
  <c r="BE96" i="9"/>
  <c r="BI96" i="9" a="1"/>
  <c r="BI96" i="9"/>
  <c r="F96" i="9"/>
  <c r="P96" i="9"/>
  <c r="BK96" i="9" a="1"/>
  <c r="BK96" i="9"/>
  <c r="AN96" i="9" a="1"/>
  <c r="AN96" i="9"/>
  <c r="CA96" i="9" a="1"/>
  <c r="CA96" i="9"/>
  <c r="BH96" i="9" a="1"/>
  <c r="BH96" i="9"/>
  <c r="AS96" i="9" a="1"/>
  <c r="AS96" i="9"/>
  <c r="G96" i="9"/>
  <c r="AK96" i="9" a="1"/>
  <c r="AK96" i="9"/>
  <c r="BB96" i="9" a="1"/>
  <c r="BB96" i="9"/>
  <c r="BN96" i="9" a="1"/>
  <c r="BN96" i="9"/>
  <c r="Y96" i="9"/>
  <c r="BT96" i="9" a="1"/>
  <c r="BT96" i="9"/>
  <c r="V96" i="9"/>
  <c r="BW96" i="9" a="1"/>
  <c r="BW96" i="9"/>
  <c r="AU96" i="9" a="1"/>
  <c r="AU96" i="9"/>
  <c r="AG96" i="9"/>
  <c r="Q96" i="9" a="1"/>
  <c r="Q96" i="9"/>
  <c r="CB96" i="9" a="1"/>
  <c r="CB96" i="9"/>
  <c r="O96" i="9"/>
  <c r="CD96" i="9" a="1"/>
  <c r="CD96" i="9"/>
  <c r="BU96" i="9" a="1"/>
  <c r="BU96" i="9"/>
  <c r="AT96" i="9" a="1"/>
  <c r="AT96" i="9"/>
  <c r="BC96" i="9" a="1"/>
  <c r="BC96" i="9"/>
  <c r="AM96" i="9" a="1"/>
  <c r="AM96" i="9"/>
  <c r="BZ96" i="9" a="1"/>
  <c r="BZ96" i="9"/>
  <c r="CC96" i="9" a="1"/>
  <c r="CC96" i="9"/>
  <c r="BA96" i="9" a="1"/>
  <c r="BA96" i="9"/>
  <c r="BZ120" i="9" a="1"/>
  <c r="BZ120" i="9"/>
  <c r="AI120" i="9" a="1"/>
  <c r="AI120" i="9"/>
  <c r="AT120" i="9" a="1"/>
  <c r="AT120" i="9"/>
  <c r="CD120" i="9" a="1"/>
  <c r="CD120" i="9"/>
  <c r="P120" i="9"/>
  <c r="AJ120" i="9" a="1"/>
  <c r="AJ120" i="9"/>
  <c r="Z120" i="9"/>
  <c r="T120" i="9"/>
  <c r="AG120" i="9"/>
  <c r="BD120" i="9" a="1"/>
  <c r="BD120" i="9"/>
  <c r="AQ120" i="9" a="1"/>
  <c r="AQ120" i="9"/>
  <c r="AR120" i="9" a="1"/>
  <c r="AR120" i="9"/>
  <c r="BE120" i="9" a="1"/>
  <c r="BE120" i="9"/>
  <c r="AK120" i="9" a="1"/>
  <c r="AK120" i="9"/>
  <c r="BH120" i="9" a="1"/>
  <c r="BH120" i="9"/>
  <c r="BF120" i="9" a="1"/>
  <c r="BF120" i="9"/>
  <c r="CF120" i="9"/>
  <c r="CC120" i="9" a="1"/>
  <c r="CC120" i="9"/>
  <c r="CA120" i="9" a="1"/>
  <c r="CA120" i="9"/>
  <c r="AL120" i="9" a="1"/>
  <c r="AL120" i="9"/>
  <c r="AV120" i="9"/>
  <c r="M120" i="9"/>
  <c r="AE120" i="9"/>
  <c r="AF120" i="9"/>
  <c r="AS120" i="9" a="1"/>
  <c r="AS120" i="9"/>
  <c r="CB120" i="9" a="1"/>
  <c r="CB120" i="9"/>
  <c r="F120" i="9"/>
  <c r="AD120" i="9"/>
  <c r="BW120" i="9" a="1"/>
  <c r="BW120" i="9"/>
  <c r="N120" i="9"/>
  <c r="G120" i="9"/>
  <c r="BM120" i="9" a="1"/>
  <c r="BM120" i="9"/>
  <c r="BA120" i="9" a="1"/>
  <c r="BA120" i="9"/>
  <c r="BS120" i="9" a="1"/>
  <c r="BS120" i="9"/>
  <c r="BQ48" i="9" a="1"/>
  <c r="BQ48" i="9"/>
  <c r="K48" i="9"/>
  <c r="BT48" i="9" a="1"/>
  <c r="BT48" i="9"/>
  <c r="BC48" i="9" a="1"/>
  <c r="BC48" i="9"/>
  <c r="BE48" i="9" a="1"/>
  <c r="BE48" i="9"/>
  <c r="AK48" i="9" a="1"/>
  <c r="AK48" i="9"/>
  <c r="AP48" i="9" a="1"/>
  <c r="AP48" i="9"/>
  <c r="BA48" i="9" a="1"/>
  <c r="BA48" i="9"/>
  <c r="N48" i="9"/>
  <c r="J48" i="9"/>
  <c r="AJ48" i="9" a="1"/>
  <c r="AJ48" i="9"/>
  <c r="BU48" i="9" a="1"/>
  <c r="BU48" i="9"/>
  <c r="O48" i="9"/>
  <c r="F48" i="9"/>
  <c r="AG48" i="9"/>
  <c r="BH48" i="9" a="1"/>
  <c r="BH48" i="9"/>
  <c r="L48" i="9"/>
  <c r="BJ48" i="9" a="1"/>
  <c r="BJ48" i="9"/>
  <c r="D48" i="9"/>
  <c r="U48" i="9"/>
  <c r="S48" i="9" a="1"/>
  <c r="S48" i="9"/>
  <c r="BN48" i="9" a="1"/>
  <c r="BN48" i="9"/>
  <c r="E48" i="9"/>
  <c r="X48" i="9"/>
  <c r="V48" i="9"/>
  <c r="BZ48" i="9" a="1"/>
  <c r="BZ48" i="9"/>
  <c r="AZ48" i="9" a="1"/>
  <c r="AZ48" i="9"/>
  <c r="Y48" i="9"/>
  <c r="AD48" i="9"/>
  <c r="AB48" i="9"/>
  <c r="AC48" i="9"/>
  <c r="M48" i="9"/>
  <c r="CF48" i="9"/>
  <c r="BQ136" i="9" a="1"/>
  <c r="BQ136" i="9"/>
  <c r="S136" i="9" a="1"/>
  <c r="S136" i="9"/>
  <c r="AQ136" i="9" a="1"/>
  <c r="AQ136" i="9"/>
  <c r="AO136" i="9" a="1"/>
  <c r="AO136" i="9"/>
  <c r="AI136" i="9" a="1"/>
  <c r="AI136" i="9"/>
  <c r="AK136" i="9" a="1"/>
  <c r="AK136" i="9"/>
  <c r="AG136" i="9"/>
  <c r="F136" i="9"/>
  <c r="Q136" i="9" a="1"/>
  <c r="Q136" i="9"/>
  <c r="AX136" i="9"/>
  <c r="U136" i="9"/>
  <c r="BO136" i="9" a="1"/>
  <c r="BO136" i="9"/>
  <c r="AE136" i="9"/>
  <c r="AF136" i="9"/>
  <c r="AL136" i="9" a="1"/>
  <c r="AL136" i="9"/>
  <c r="AW136" i="9"/>
  <c r="BA136" i="9" a="1"/>
  <c r="BA136" i="9"/>
  <c r="BH136" i="9" a="1"/>
  <c r="BH136" i="9"/>
  <c r="BN136" i="9" a="1"/>
  <c r="BN136" i="9"/>
  <c r="Z136" i="9"/>
  <c r="AP136" i="9" a="1"/>
  <c r="AP136" i="9"/>
  <c r="V136" i="9"/>
  <c r="BU136" i="9" a="1"/>
  <c r="BU136" i="9"/>
  <c r="CA136" i="9" a="1"/>
  <c r="CA136" i="9"/>
  <c r="BJ136" i="9" a="1"/>
  <c r="BJ136" i="9"/>
  <c r="BE136" i="9" a="1"/>
  <c r="BE136" i="9"/>
  <c r="G136" i="9"/>
  <c r="AR136" i="9" a="1"/>
  <c r="AR136" i="9"/>
  <c r="O136" i="9"/>
  <c r="I136" i="9"/>
  <c r="AB136" i="9"/>
  <c r="AC136" i="9"/>
  <c r="CB136" i="9" a="1"/>
  <c r="CB136" i="9"/>
  <c r="BT136" i="9" a="1"/>
  <c r="BT136" i="9"/>
  <c r="AJ136" i="9" a="1"/>
  <c r="AJ136" i="9"/>
  <c r="BI136" i="9" a="1"/>
  <c r="BI136" i="9"/>
  <c r="Y136" i="9"/>
  <c r="BD136" i="9" a="1"/>
  <c r="BD136" i="9"/>
  <c r="AY136" i="9" a="1"/>
  <c r="AY136" i="9"/>
  <c r="CC136" i="9" a="1"/>
  <c r="CC136" i="9"/>
  <c r="J136" i="9"/>
  <c r="BF136" i="9" a="1"/>
  <c r="BF136" i="9"/>
  <c r="AS136" i="9" a="1"/>
  <c r="AS136" i="9"/>
  <c r="BM136" i="9" a="1"/>
  <c r="BM136" i="9"/>
  <c r="T136" i="9"/>
  <c r="K136" i="9"/>
  <c r="AD136" i="9"/>
  <c r="X136" i="9"/>
  <c r="AN136" i="9" a="1"/>
  <c r="AN136" i="9"/>
  <c r="BR136" i="9" a="1"/>
  <c r="BR136" i="9"/>
  <c r="E136" i="9"/>
  <c r="BL136" i="9" a="1"/>
  <c r="BL136" i="9"/>
  <c r="M136" i="9"/>
  <c r="BG136" i="9" a="1"/>
  <c r="BG136" i="9"/>
  <c r="P136" i="9"/>
  <c r="AM136" i="9" a="1"/>
  <c r="AM136" i="9"/>
  <c r="BS136" i="9" a="1"/>
  <c r="BS136" i="9"/>
  <c r="D136" i="9"/>
  <c r="BB136" i="9" a="1"/>
  <c r="BB136" i="9"/>
  <c r="BZ136" i="9" a="1"/>
  <c r="BZ136" i="9"/>
  <c r="AZ136" i="9" a="1"/>
  <c r="AZ136" i="9"/>
  <c r="CF136" i="9"/>
  <c r="AU136" i="9" a="1"/>
  <c r="AU136" i="9"/>
  <c r="CD136" i="9" a="1"/>
  <c r="CD136" i="9"/>
  <c r="U70" i="9"/>
  <c r="BF70" i="9" a="1"/>
  <c r="BF70" i="9"/>
  <c r="BU70" i="9" a="1"/>
  <c r="BU70" i="9"/>
  <c r="AQ70" i="9" a="1"/>
  <c r="AQ70" i="9"/>
  <c r="N70" i="9"/>
  <c r="BW70" i="9" a="1"/>
  <c r="BW70" i="9"/>
  <c r="BR70" i="9" a="1"/>
  <c r="BR70" i="9"/>
  <c r="Q70" i="9" a="1"/>
  <c r="Q70" i="9"/>
  <c r="X70" i="9"/>
  <c r="AM70" i="9" a="1"/>
  <c r="AM70" i="9"/>
  <c r="AG70" i="9"/>
  <c r="AO70" i="9" a="1"/>
  <c r="AO70" i="9"/>
  <c r="F70" i="9"/>
  <c r="T70" i="9"/>
  <c r="CC70" i="9" a="1"/>
  <c r="CC70" i="9"/>
  <c r="Y70" i="9"/>
  <c r="CA70" i="9" a="1"/>
  <c r="CA70" i="9"/>
  <c r="G70" i="9"/>
  <c r="BE70" i="9" a="1"/>
  <c r="BE70" i="9"/>
  <c r="AU70" i="9" a="1"/>
  <c r="AU70" i="9"/>
  <c r="BI70" i="9" a="1"/>
  <c r="BI70" i="9"/>
  <c r="AB70" i="9"/>
  <c r="AC70" i="9"/>
  <c r="CF70" i="9"/>
  <c r="AK70" i="9" a="1"/>
  <c r="AK70" i="9"/>
  <c r="BB70" i="9" a="1"/>
  <c r="BB70" i="9"/>
  <c r="BO70" i="9" a="1"/>
  <c r="BO70" i="9"/>
  <c r="AS70" i="9" a="1"/>
  <c r="AS70" i="9"/>
  <c r="P70" i="9"/>
  <c r="BG70" i="9" a="1"/>
  <c r="BG70" i="9"/>
  <c r="AZ70" i="9" a="1"/>
  <c r="AZ70" i="9"/>
  <c r="AX70" i="9"/>
  <c r="AI70" i="9" a="1"/>
  <c r="AI70" i="9"/>
  <c r="AL70" i="9" a="1"/>
  <c r="AL70" i="9"/>
  <c r="AW70" i="9"/>
  <c r="AJ70" i="9" a="1"/>
  <c r="AJ70" i="9"/>
  <c r="K70" i="9"/>
  <c r="BA70" i="9" a="1"/>
  <c r="BA70" i="9"/>
  <c r="BQ70" i="9" a="1"/>
  <c r="BQ70" i="9"/>
  <c r="L70" i="9"/>
  <c r="O70" i="9"/>
  <c r="M70" i="9"/>
  <c r="BH70" i="9" a="1"/>
  <c r="BH70" i="9"/>
  <c r="AD70" i="9"/>
  <c r="BK70" i="9" a="1"/>
  <c r="BK70" i="9"/>
  <c r="AE70" i="9"/>
  <c r="AF70" i="9"/>
  <c r="BN70" i="9" a="1"/>
  <c r="BN70" i="9"/>
  <c r="AP70" i="9" a="1"/>
  <c r="AP70" i="9"/>
  <c r="AR70" i="9" a="1"/>
  <c r="AR70" i="9"/>
  <c r="BD70" i="9" a="1"/>
  <c r="BD70" i="9"/>
  <c r="V70" i="9"/>
  <c r="BC70" i="9" a="1"/>
  <c r="BC70" i="9"/>
  <c r="Z70" i="9"/>
  <c r="CB70" i="9" a="1"/>
  <c r="CB70" i="9"/>
  <c r="BL70" i="9" a="1"/>
  <c r="BL70" i="9"/>
  <c r="AT70" i="9" a="1"/>
  <c r="AT70" i="9"/>
  <c r="J70" i="9"/>
  <c r="BZ70" i="9" a="1"/>
  <c r="BZ70" i="9"/>
  <c r="I70" i="9"/>
  <c r="S70" i="9" a="1"/>
  <c r="S70" i="9"/>
  <c r="BJ70" i="9" a="1"/>
  <c r="BJ70" i="9"/>
  <c r="AY70" i="9" a="1"/>
  <c r="AY70" i="9"/>
  <c r="BM70" i="9" a="1"/>
  <c r="BM70" i="9"/>
  <c r="D70" i="9"/>
  <c r="CD70" i="9" a="1"/>
  <c r="CD70" i="9"/>
  <c r="E70" i="9"/>
  <c r="AN11" i="9" a="1"/>
  <c r="AN11" i="9"/>
  <c r="CB11" i="9" a="1"/>
  <c r="CB11" i="9"/>
  <c r="AY34" i="1"/>
  <c r="BQ11" i="9" a="1"/>
  <c r="BQ11" i="9"/>
  <c r="DK34" i="1"/>
  <c r="M11" i="9"/>
  <c r="CY34" i="1"/>
  <c r="BS11" i="9" a="1"/>
  <c r="BS11" i="9"/>
  <c r="FC34" i="1"/>
  <c r="AK11" i="9" a="1"/>
  <c r="AK11" i="9"/>
  <c r="S11" i="9" a="1"/>
  <c r="S11" i="9"/>
  <c r="DG34" i="1"/>
  <c r="AG11" i="9"/>
  <c r="BK11" i="9" a="1"/>
  <c r="BK11" i="9"/>
  <c r="GA34" i="1"/>
  <c r="BU11" i="9" a="1"/>
  <c r="BU11" i="9"/>
  <c r="FK34" i="1"/>
  <c r="T11" i="9"/>
  <c r="D11" i="9"/>
  <c r="I34" i="1"/>
  <c r="AQ11" i="9" a="1"/>
  <c r="AQ11" i="9"/>
  <c r="U11" i="9"/>
  <c r="J11" i="9"/>
  <c r="CM34" i="1"/>
  <c r="BH11" i="9" a="1"/>
  <c r="BH11" i="9"/>
  <c r="DC34" i="1"/>
  <c r="BM11" i="9" a="1"/>
  <c r="BM11" i="9"/>
  <c r="BG34" i="1"/>
  <c r="AI11" i="9" a="1"/>
  <c r="AI11" i="9"/>
  <c r="AT11" i="9" a="1"/>
  <c r="AT11" i="9"/>
  <c r="AL11" i="9" a="1"/>
  <c r="AL11" i="9"/>
  <c r="AV11" i="9"/>
  <c r="N11" i="9"/>
  <c r="E12" i="12"/>
  <c r="AM11" i="9" a="1"/>
  <c r="AM11" i="9"/>
  <c r="BB11" i="9" a="1"/>
  <c r="BB11" i="9"/>
  <c r="BW34" i="1"/>
  <c r="L11" i="9"/>
  <c r="C12" i="12"/>
  <c r="AJ11" i="9" a="1"/>
  <c r="AJ11" i="9"/>
  <c r="BL11" i="9" a="1"/>
  <c r="BL11" i="9"/>
  <c r="EU34" i="1"/>
  <c r="V11" i="9"/>
  <c r="Q11" i="9" a="1"/>
  <c r="Q11" i="9"/>
  <c r="AG34" i="1"/>
  <c r="AR11" i="9" a="1"/>
  <c r="AR11" i="9"/>
  <c r="CC11" i="9" a="1"/>
  <c r="CC11" i="9"/>
  <c r="AU34" i="1"/>
  <c r="AX11" i="9"/>
  <c r="BC34" i="1"/>
  <c r="AS11" i="9" a="1"/>
  <c r="AS11" i="9"/>
  <c r="AB11" i="9"/>
  <c r="AC11" i="9"/>
  <c r="BR11" i="9" a="1"/>
  <c r="BR11" i="9"/>
  <c r="EY34" i="1"/>
  <c r="X11" i="9"/>
  <c r="CA11" i="9" a="1"/>
  <c r="CA11" i="9"/>
  <c r="AQ34" i="1"/>
  <c r="AT17" i="9" a="1"/>
  <c r="AT17" i="9"/>
  <c r="AI17" i="9" a="1"/>
  <c r="AI17" i="9"/>
  <c r="BW17" i="9" a="1"/>
  <c r="BW17" i="9"/>
  <c r="FO41" i="1"/>
  <c r="J17" i="9"/>
  <c r="CM41" i="1"/>
  <c r="AE17" i="9"/>
  <c r="AF17" i="9"/>
  <c r="BO17" i="9" a="1"/>
  <c r="BO17" i="9"/>
  <c r="BK41" i="1"/>
  <c r="J120" i="9"/>
  <c r="L120" i="9"/>
  <c r="I33" i="9"/>
  <c r="Y33" i="9"/>
  <c r="BQ120" i="9" a="1"/>
  <c r="BQ120" i="9"/>
  <c r="CA33" i="9" a="1"/>
  <c r="CA33" i="9"/>
  <c r="L33" i="9"/>
  <c r="BB120" i="9" a="1"/>
  <c r="BB120" i="9"/>
  <c r="AR33" i="9" a="1"/>
  <c r="AR33" i="9"/>
  <c r="BR33" i="9" a="1"/>
  <c r="BR33" i="9"/>
  <c r="BM33" i="9" a="1"/>
  <c r="BM33" i="9"/>
  <c r="AO33" i="9" a="1"/>
  <c r="AO33" i="9"/>
  <c r="AD33" i="9"/>
  <c r="AX48" i="9"/>
  <c r="Q48" i="9" a="1"/>
  <c r="Q48" i="9"/>
  <c r="BS48" i="9" a="1"/>
  <c r="BS48" i="9"/>
  <c r="BM48" i="9" a="1"/>
  <c r="BM48" i="9"/>
  <c r="BL48" i="9" a="1"/>
  <c r="BL48" i="9"/>
  <c r="I48" i="9"/>
  <c r="BB48" i="9" a="1"/>
  <c r="BB48" i="9"/>
  <c r="BC120" i="9" a="1"/>
  <c r="BC120" i="9"/>
  <c r="AB120" i="9"/>
  <c r="AC120" i="9"/>
  <c r="BR120" i="9" a="1"/>
  <c r="BR120" i="9"/>
  <c r="E120" i="9"/>
  <c r="K120" i="9"/>
  <c r="X87" i="9"/>
  <c r="AD87" i="9"/>
  <c r="AU87" i="9" a="1"/>
  <c r="AU87" i="9"/>
  <c r="AS87" i="9" a="1"/>
  <c r="AS87" i="9"/>
  <c r="BM87" i="9" a="1"/>
  <c r="BM87" i="9"/>
  <c r="O87" i="9"/>
  <c r="X72" i="9"/>
  <c r="K93" i="9"/>
  <c r="BT93" i="9" a="1"/>
  <c r="BT93" i="9"/>
  <c r="BJ11" i="9" a="1"/>
  <c r="BJ11" i="9"/>
  <c r="FW34" i="1"/>
  <c r="I11" i="9"/>
  <c r="AB34" i="1"/>
  <c r="Y11" i="9"/>
  <c r="BB72" i="9" a="1"/>
  <c r="BB72" i="9"/>
  <c r="I72" i="9"/>
  <c r="CD72" i="9" a="1"/>
  <c r="CD72" i="9"/>
  <c r="AI72" i="9" a="1"/>
  <c r="AI72" i="9"/>
  <c r="BZ72" i="9" a="1"/>
  <c r="BZ72" i="9"/>
  <c r="Q72" i="9" a="1"/>
  <c r="Q72" i="9"/>
  <c r="Z17" i="9"/>
  <c r="F87" i="9"/>
  <c r="BH133" i="9" a="1"/>
  <c r="BH133" i="9"/>
  <c r="F13" i="9"/>
  <c r="V36" i="1"/>
  <c r="O13" i="9"/>
  <c r="DS36" i="1"/>
  <c r="AT13" i="9" a="1"/>
  <c r="AT13" i="9"/>
  <c r="AQ13" i="9" a="1"/>
  <c r="AQ13" i="9"/>
  <c r="BJ13" i="9" a="1"/>
  <c r="BJ13" i="9"/>
  <c r="FW36" i="1"/>
  <c r="P13" i="9"/>
  <c r="DW36" i="1"/>
  <c r="BG13" i="9" a="1"/>
  <c r="BG13" i="9"/>
  <c r="EA36" i="1"/>
  <c r="V13" i="9"/>
  <c r="Y13" i="9"/>
  <c r="AM17" i="9" a="1"/>
  <c r="AM17" i="9"/>
  <c r="K17" i="9"/>
  <c r="CQ41" i="1"/>
  <c r="AN17" i="9" a="1"/>
  <c r="AN17" i="9"/>
  <c r="BA17" i="9" a="1"/>
  <c r="BA17" i="9"/>
  <c r="CA41" i="1"/>
  <c r="BD17" i="9" a="1"/>
  <c r="BD17" i="9"/>
  <c r="EI41" i="1"/>
  <c r="BB17" i="9" a="1"/>
  <c r="BB17" i="9"/>
  <c r="BW41" i="1"/>
  <c r="Q17" i="9" a="1"/>
  <c r="Q17" i="9"/>
  <c r="AG41" i="1"/>
  <c r="BG120" i="9" a="1"/>
  <c r="BG120" i="9"/>
  <c r="AY33" i="9" a="1"/>
  <c r="AY33" i="9"/>
  <c r="T33" i="9"/>
  <c r="BL33" i="9" a="1"/>
  <c r="BL33" i="9"/>
  <c r="BK120" i="9" a="1"/>
  <c r="BK120" i="9"/>
  <c r="AN33" i="9" a="1"/>
  <c r="AN33" i="9"/>
  <c r="BS33" i="9" a="1"/>
  <c r="BS33" i="9"/>
  <c r="CD48" i="9" a="1"/>
  <c r="CD48" i="9"/>
  <c r="BL120" i="9" a="1"/>
  <c r="BL120" i="9"/>
  <c r="BI33" i="9" a="1"/>
  <c r="BI33" i="9"/>
  <c r="X33" i="9"/>
  <c r="AQ33" i="9" a="1"/>
  <c r="AQ33" i="9"/>
  <c r="BQ33" i="9" a="1"/>
  <c r="BQ33" i="9"/>
  <c r="AJ33" i="9" a="1"/>
  <c r="AJ33" i="9"/>
  <c r="AT48" i="9" a="1"/>
  <c r="AT48" i="9"/>
  <c r="CC48" i="9" a="1"/>
  <c r="CC48" i="9"/>
  <c r="AN48" i="9" a="1"/>
  <c r="AN48" i="9"/>
  <c r="AS48" i="9" a="1"/>
  <c r="AS48" i="9"/>
  <c r="AE48" i="9"/>
  <c r="AF48" i="9"/>
  <c r="AR48" i="9" a="1"/>
  <c r="AR48" i="9"/>
  <c r="AI48" i="9" a="1"/>
  <c r="AI48" i="9"/>
  <c r="BJ120" i="9" a="1"/>
  <c r="BJ120" i="9"/>
  <c r="AU120" i="9" a="1"/>
  <c r="AU120" i="9"/>
  <c r="Q120" i="9" a="1"/>
  <c r="Q120" i="9"/>
  <c r="O120" i="9"/>
  <c r="AM120" i="9" a="1"/>
  <c r="AM120" i="9"/>
  <c r="BH87" i="9" a="1"/>
  <c r="BH87" i="9"/>
  <c r="AR87" i="9" a="1"/>
  <c r="AR87" i="9"/>
  <c r="Q87" i="9" a="1"/>
  <c r="Q87" i="9"/>
  <c r="BF87" i="9" a="1"/>
  <c r="BF87" i="9"/>
  <c r="E87" i="9"/>
  <c r="BS87" i="9" a="1"/>
  <c r="BS87" i="9"/>
  <c r="AS72" i="9" a="1"/>
  <c r="AS72" i="9"/>
  <c r="BC11" i="9" a="1"/>
  <c r="BC11" i="9"/>
  <c r="EE34" i="1"/>
  <c r="CC72" i="9" a="1"/>
  <c r="CC72" i="9"/>
  <c r="O11" i="9"/>
  <c r="F12" i="12"/>
  <c r="BI93" i="9" a="1"/>
  <c r="BI93" i="9"/>
  <c r="BJ93" i="9" a="1"/>
  <c r="BJ93" i="9"/>
  <c r="CD11" i="9" a="1"/>
  <c r="CD11" i="9"/>
  <c r="GE34" i="1"/>
  <c r="AN93" i="9" a="1"/>
  <c r="AN93" i="9"/>
  <c r="BH93" i="9" a="1"/>
  <c r="BH93" i="9"/>
  <c r="BI11" i="9" a="1"/>
  <c r="BI11" i="9"/>
  <c r="FS34" i="1"/>
  <c r="E11" i="9"/>
  <c r="D34" i="1"/>
  <c r="AU11" i="9" a="1"/>
  <c r="AU11" i="9"/>
  <c r="BA11" i="9" a="1"/>
  <c r="BA11" i="9"/>
  <c r="CA34" i="1"/>
  <c r="L72" i="9"/>
  <c r="AB72" i="9"/>
  <c r="AC72" i="9"/>
  <c r="BN72" i="9" a="1"/>
  <c r="BN72" i="9"/>
  <c r="BF72" i="9" a="1"/>
  <c r="BF72" i="9"/>
  <c r="AJ72" i="9" a="1"/>
  <c r="AJ72" i="9"/>
  <c r="AY72" i="9" a="1"/>
  <c r="AY72" i="9"/>
  <c r="G72" i="9"/>
  <c r="BT11" i="9" a="1"/>
  <c r="BT11" i="9"/>
  <c r="FG34" i="1"/>
  <c r="BA93" i="9" a="1"/>
  <c r="BA93" i="9"/>
  <c r="AY73" i="9" a="1"/>
  <c r="AY73" i="9"/>
  <c r="BU73" i="9" a="1"/>
  <c r="BU73" i="9"/>
  <c r="AQ133" i="9" a="1"/>
  <c r="AQ133" i="9"/>
  <c r="AB133" i="9"/>
  <c r="AC133" i="9"/>
  <c r="BK133" i="9" a="1"/>
  <c r="BK133" i="9"/>
  <c r="BG133" i="9" a="1"/>
  <c r="BG133" i="9"/>
  <c r="X78" i="9"/>
  <c r="BU78" i="9" a="1"/>
  <c r="BU78" i="9"/>
  <c r="BJ78" i="9" a="1"/>
  <c r="BJ78" i="9"/>
  <c r="AN78" i="9" a="1"/>
  <c r="AN78" i="9"/>
  <c r="BK87" i="9" a="1"/>
  <c r="BK87" i="9"/>
  <c r="BN87" i="9" a="1"/>
  <c r="BN87" i="9"/>
  <c r="U73" i="9"/>
  <c r="AQ17" i="9" a="1"/>
  <c r="AQ17" i="9"/>
  <c r="CC9" i="9" a="1"/>
  <c r="CC9" i="9"/>
  <c r="AU32" i="1"/>
  <c r="M140" i="9"/>
  <c r="AP9" i="9" a="1"/>
  <c r="AP9" i="9"/>
  <c r="BU140" i="9" a="1"/>
  <c r="BU140" i="9"/>
  <c r="BE73" i="9" a="1"/>
  <c r="BE73" i="9"/>
  <c r="BW136" i="9" a="1"/>
  <c r="BW136" i="9"/>
  <c r="P137" i="9"/>
  <c r="AK137" i="9" a="1"/>
  <c r="AK137" i="9"/>
  <c r="BF125" i="9" a="1"/>
  <c r="BF125" i="9"/>
  <c r="BK136" i="9" a="1"/>
  <c r="BK136" i="9"/>
  <c r="AJ137" i="9" a="1"/>
  <c r="AJ137" i="9"/>
  <c r="M32" i="9"/>
  <c r="BR75" i="9" a="1"/>
  <c r="BR75" i="9"/>
  <c r="Q63" i="9" a="1"/>
  <c r="Q63" i="9"/>
  <c r="BQ32" i="9" a="1"/>
  <c r="BQ32" i="9"/>
  <c r="AL96" i="9" a="1"/>
  <c r="AL96" i="9"/>
  <c r="AW96" i="9"/>
  <c r="AN70" i="9" a="1"/>
  <c r="AN70" i="9"/>
  <c r="BS70" i="9" a="1"/>
  <c r="BS70" i="9"/>
  <c r="CB78" i="9" a="1"/>
  <c r="CB78" i="9"/>
  <c r="AT78" i="9" a="1"/>
  <c r="AT78" i="9"/>
  <c r="AM78" i="9" a="1"/>
  <c r="AM78" i="9"/>
  <c r="Q78" i="9" a="1"/>
  <c r="Q78" i="9"/>
  <c r="AE78" i="9"/>
  <c r="AF78" i="9"/>
  <c r="F78" i="9"/>
  <c r="BM78" i="9" a="1"/>
  <c r="BM78" i="9"/>
  <c r="L78" i="9"/>
  <c r="Y78" i="9"/>
  <c r="BE78" i="9" a="1"/>
  <c r="BE78" i="9"/>
  <c r="K78" i="9"/>
  <c r="CC78" i="9" a="1"/>
  <c r="CC78" i="9"/>
  <c r="BN78" i="9" a="1"/>
  <c r="BN78" i="9"/>
  <c r="AJ78" i="9" a="1"/>
  <c r="AJ78" i="9"/>
  <c r="BT78" i="9" a="1"/>
  <c r="BT78" i="9"/>
  <c r="I78" i="9"/>
  <c r="AB78" i="9"/>
  <c r="AC78" i="9"/>
  <c r="AP78" i="9" a="1"/>
  <c r="AP78" i="9"/>
  <c r="N78" i="9"/>
  <c r="V78" i="9"/>
  <c r="BO78" i="9" a="1"/>
  <c r="BO78" i="9"/>
  <c r="AQ78" i="9" a="1"/>
  <c r="AQ78" i="9"/>
  <c r="D78" i="9"/>
  <c r="AD78" i="9"/>
  <c r="AX78" i="9"/>
  <c r="BD78" i="9" a="1"/>
  <c r="BD78" i="9"/>
  <c r="AY78" i="9" a="1"/>
  <c r="AY78" i="9"/>
  <c r="BB78" i="9" a="1"/>
  <c r="BB78" i="9"/>
  <c r="BA78" i="9" a="1"/>
  <c r="BA78" i="9"/>
  <c r="AZ78" i="9" a="1"/>
  <c r="AZ78" i="9"/>
  <c r="BZ78" i="9" a="1"/>
  <c r="BZ78" i="9"/>
  <c r="CF78" i="9"/>
  <c r="Z78" i="9"/>
  <c r="T78" i="9"/>
  <c r="AI78" i="9" a="1"/>
  <c r="AI78" i="9"/>
  <c r="J78" i="9"/>
  <c r="BK78" i="9" a="1"/>
  <c r="BK78" i="9"/>
  <c r="M78" i="9"/>
  <c r="AG78" i="9"/>
  <c r="AL78" i="9" a="1"/>
  <c r="AL78" i="9"/>
  <c r="AW78" i="9"/>
  <c r="AU78" i="9" a="1"/>
  <c r="AU78" i="9"/>
  <c r="BG78" i="9" a="1"/>
  <c r="BG78" i="9"/>
  <c r="AS78" i="9" a="1"/>
  <c r="AS78" i="9"/>
  <c r="CD78" i="9" a="1"/>
  <c r="CD78" i="9"/>
  <c r="BF78" i="9" a="1"/>
  <c r="BF78" i="9"/>
  <c r="BI98" i="9" a="1"/>
  <c r="BI98" i="9"/>
  <c r="Y98" i="9"/>
  <c r="CD98" i="9" a="1"/>
  <c r="CD98" i="9"/>
  <c r="AI98" i="9" a="1"/>
  <c r="AI98" i="9"/>
  <c r="BO98" i="9" a="1"/>
  <c r="BO98" i="9"/>
  <c r="Q98" i="9" a="1"/>
  <c r="Q98" i="9"/>
  <c r="AK98" i="9" a="1"/>
  <c r="AK98" i="9"/>
  <c r="AG98" i="9"/>
  <c r="E98" i="9"/>
  <c r="N98" i="9"/>
  <c r="K98" i="9"/>
  <c r="S98" i="9" a="1"/>
  <c r="S98" i="9"/>
  <c r="BW98" i="9" a="1"/>
  <c r="BW98" i="9"/>
  <c r="CC98" i="9" a="1"/>
  <c r="CC98" i="9"/>
  <c r="AL98" i="9" a="1"/>
  <c r="AL98" i="9"/>
  <c r="G98" i="9"/>
  <c r="CF98" i="9"/>
  <c r="O98" i="9"/>
  <c r="J98" i="9"/>
  <c r="BM98" i="9" a="1"/>
  <c r="BM98" i="9"/>
  <c r="P98" i="9"/>
  <c r="AS98" i="9" a="1"/>
  <c r="AS98" i="9"/>
  <c r="BE98" i="9" a="1"/>
  <c r="BE98" i="9"/>
  <c r="F98" i="9"/>
  <c r="X98" i="9"/>
  <c r="AU98" i="9" a="1"/>
  <c r="AU98" i="9"/>
  <c r="D13" i="9"/>
  <c r="I36" i="1"/>
  <c r="BL13" i="9" a="1"/>
  <c r="BL13" i="9"/>
  <c r="EU36" i="1"/>
  <c r="I13" i="9"/>
  <c r="AB36" i="1"/>
  <c r="CF13" i="9"/>
  <c r="BS36" i="1"/>
  <c r="AS13" i="9" a="1"/>
  <c r="AS13" i="9"/>
  <c r="BM13" i="9" a="1"/>
  <c r="BM13" i="9"/>
  <c r="BG36" i="1"/>
  <c r="AN13" i="9" a="1"/>
  <c r="AN13" i="9"/>
  <c r="M13" i="9"/>
  <c r="D14" i="12"/>
  <c r="BI13" i="9" a="1"/>
  <c r="BI13" i="9"/>
  <c r="FS36" i="1"/>
  <c r="BE13" i="9" a="1"/>
  <c r="BE13" i="9"/>
  <c r="EM36" i="1"/>
  <c r="CA13" i="9" a="1"/>
  <c r="CA13" i="9"/>
  <c r="AQ36" i="1"/>
  <c r="G13" i="9"/>
  <c r="P36" i="1"/>
  <c r="U13" i="9"/>
  <c r="BQ13" i="9" a="1"/>
  <c r="BQ13" i="9"/>
  <c r="DK36" i="1"/>
  <c r="BN13" i="9" a="1"/>
  <c r="BN13" i="9"/>
  <c r="BO36" i="1"/>
  <c r="AO13" i="9" a="1"/>
  <c r="AO13" i="9"/>
  <c r="Q13" i="9" a="1"/>
  <c r="Q13" i="9"/>
  <c r="AG36" i="1"/>
  <c r="AL13" i="9" a="1"/>
  <c r="AL13" i="9"/>
  <c r="AW13" i="9"/>
  <c r="AD13" i="9"/>
  <c r="BW13" i="9" a="1"/>
  <c r="BW13" i="9"/>
  <c r="FO36" i="1"/>
  <c r="AB13" i="9"/>
  <c r="AC13" i="9"/>
  <c r="AX13" i="9"/>
  <c r="BC36" i="1"/>
  <c r="AI13" i="9" a="1"/>
  <c r="AI13" i="9"/>
  <c r="J13" i="9"/>
  <c r="A14" i="12"/>
  <c r="BK13" i="9" a="1"/>
  <c r="BK13" i="9"/>
  <c r="GA36" i="1"/>
  <c r="AK13" i="9" a="1"/>
  <c r="AK13" i="9"/>
  <c r="BA13" i="9" a="1"/>
  <c r="BA13" i="9"/>
  <c r="CA36" i="1"/>
  <c r="AY13" i="9" a="1"/>
  <c r="AY13" i="9"/>
  <c r="CI36" i="1"/>
  <c r="AZ13" i="9" a="1"/>
  <c r="AZ13" i="9"/>
  <c r="CE36" i="1"/>
  <c r="CC13" i="9" a="1"/>
  <c r="CC13" i="9"/>
  <c r="AU36" i="1"/>
  <c r="S13" i="9" a="1"/>
  <c r="S13" i="9"/>
  <c r="DG36" i="1"/>
  <c r="AJ13" i="9" a="1"/>
  <c r="AJ13" i="9"/>
  <c r="BR13" i="9" a="1"/>
  <c r="BR13" i="9"/>
  <c r="EY36" i="1"/>
  <c r="E13" i="9"/>
  <c r="D36" i="1"/>
  <c r="CD13" i="9" a="1"/>
  <c r="CD13" i="9"/>
  <c r="GE36" i="1"/>
  <c r="AU13" i="9" a="1"/>
  <c r="AU13" i="9"/>
  <c r="Y17" i="9"/>
  <c r="BF17" i="9" a="1"/>
  <c r="BF17" i="9"/>
  <c r="EQ41" i="1"/>
  <c r="BI17" i="9" a="1"/>
  <c r="BI17" i="9"/>
  <c r="FS41" i="1"/>
  <c r="BR17" i="9" a="1"/>
  <c r="BR17" i="9"/>
  <c r="EY41" i="1"/>
  <c r="AO17" i="9" a="1"/>
  <c r="AO17" i="9"/>
  <c r="BJ17" i="9" a="1"/>
  <c r="BJ17" i="9"/>
  <c r="FW41" i="1"/>
  <c r="AZ120" i="9" a="1"/>
  <c r="AZ120" i="9"/>
  <c r="BT33" i="9" a="1"/>
  <c r="BT33" i="9"/>
  <c r="M33" i="9"/>
  <c r="BI120" i="9" a="1"/>
  <c r="BI120" i="9"/>
  <c r="BU120" i="9" a="1"/>
  <c r="BU120" i="9"/>
  <c r="AM33" i="9" a="1"/>
  <c r="AM33" i="9"/>
  <c r="D33" i="9"/>
  <c r="BR48" i="9" a="1"/>
  <c r="BR48" i="9"/>
  <c r="AX120" i="9"/>
  <c r="N33" i="9"/>
  <c r="CD33" i="9" a="1"/>
  <c r="CD33" i="9"/>
  <c r="BB33" i="9" a="1"/>
  <c r="BB33" i="9"/>
  <c r="BZ33" i="9" a="1"/>
  <c r="BZ33" i="9"/>
  <c r="AG33" i="9"/>
  <c r="BK33" i="9" a="1"/>
  <c r="BK33" i="9"/>
  <c r="P48" i="9"/>
  <c r="BK48" i="9" a="1"/>
  <c r="BK48" i="9"/>
  <c r="T48" i="9"/>
  <c r="G48" i="9"/>
  <c r="CA48" i="9" a="1"/>
  <c r="CA48" i="9"/>
  <c r="AQ48" i="9" a="1"/>
  <c r="AQ48" i="9"/>
  <c r="AM48" i="9" a="1"/>
  <c r="AM48" i="9"/>
  <c r="V120" i="9"/>
  <c r="BO120" i="9" a="1"/>
  <c r="BO120" i="9"/>
  <c r="Y120" i="9"/>
  <c r="BN120" i="9" a="1"/>
  <c r="BN120" i="9"/>
  <c r="AY120" i="9" a="1"/>
  <c r="AY120" i="9"/>
  <c r="I120" i="9"/>
  <c r="BW87" i="9" a="1"/>
  <c r="BW87" i="9"/>
  <c r="CA87" i="9" a="1"/>
  <c r="CA87" i="9"/>
  <c r="S87" i="9" a="1"/>
  <c r="S87" i="9"/>
  <c r="AZ87" i="9" a="1"/>
  <c r="AZ87" i="9"/>
  <c r="AN87" i="9" a="1"/>
  <c r="AN87" i="9"/>
  <c r="CB87" i="9" a="1"/>
  <c r="CB87" i="9"/>
  <c r="BB87" i="9" a="1"/>
  <c r="BB87" i="9"/>
  <c r="AE11" i="9"/>
  <c r="AF11" i="9"/>
  <c r="K11" i="9"/>
  <c r="CQ34" i="1"/>
  <c r="P11" i="9"/>
  <c r="G12" i="12"/>
  <c r="CC93" i="9" a="1"/>
  <c r="CC93" i="9"/>
  <c r="BC93" i="9" a="1"/>
  <c r="BC93" i="9"/>
  <c r="AX72" i="9"/>
  <c r="BF11" i="9" a="1"/>
  <c r="BF11" i="9"/>
  <c r="EQ34" i="1"/>
  <c r="I93" i="9"/>
  <c r="BN93" i="9" a="1"/>
  <c r="BN93" i="9"/>
  <c r="BL93" i="9" a="1"/>
  <c r="BL93" i="9"/>
  <c r="AZ11" i="9" a="1"/>
  <c r="AZ11" i="9"/>
  <c r="CE34" i="1"/>
  <c r="BD11" i="9" a="1"/>
  <c r="BD11" i="9"/>
  <c r="EI34" i="1"/>
  <c r="F11" i="9"/>
  <c r="V34" i="1"/>
  <c r="CF11" i="9"/>
  <c r="BS34" i="1"/>
  <c r="BE72" i="9" a="1"/>
  <c r="BE72" i="9"/>
  <c r="D72" i="9"/>
  <c r="AM72" i="9" a="1"/>
  <c r="AM72" i="9"/>
  <c r="BO72" i="9" a="1"/>
  <c r="BO72" i="9"/>
  <c r="K72" i="9"/>
  <c r="AR72" i="9" a="1"/>
  <c r="AR72" i="9"/>
  <c r="AJ133" i="9" a="1"/>
  <c r="AJ133" i="9"/>
  <c r="AP93" i="9" a="1"/>
  <c r="AP93" i="9"/>
  <c r="BJ73" i="9" a="1"/>
  <c r="BJ73" i="9"/>
  <c r="AS133" i="9" a="1"/>
  <c r="AS133" i="9"/>
  <c r="BR133" i="9" a="1"/>
  <c r="BR133" i="9"/>
  <c r="N133" i="9"/>
  <c r="BZ133" i="9" a="1"/>
  <c r="BZ133" i="9"/>
  <c r="BI78" i="9" a="1"/>
  <c r="BI78" i="9"/>
  <c r="S78" i="9" a="1"/>
  <c r="S78" i="9"/>
  <c r="BC78" i="9" a="1"/>
  <c r="BC78" i="9"/>
  <c r="BH78" i="9" a="1"/>
  <c r="BH78" i="9"/>
  <c r="G78" i="9"/>
  <c r="D87" i="9"/>
  <c r="AI73" i="9" a="1"/>
  <c r="AI73" i="9"/>
  <c r="O17" i="9"/>
  <c r="DS41" i="1"/>
  <c r="BS125" i="9" a="1"/>
  <c r="BS125" i="9"/>
  <c r="BM140" i="9" a="1"/>
  <c r="BM140" i="9"/>
  <c r="BB93" i="9" a="1"/>
  <c r="BB93" i="9"/>
  <c r="Z48" i="9"/>
  <c r="BW125" i="9" a="1"/>
  <c r="BW125" i="9"/>
  <c r="AT136" i="9" a="1"/>
  <c r="AT136" i="9"/>
  <c r="D9" i="9"/>
  <c r="I32" i="1"/>
  <c r="CF137" i="9"/>
  <c r="BI133" i="9" a="1"/>
  <c r="BI133" i="9"/>
  <c r="CA106" i="9" a="1"/>
  <c r="CA106" i="9"/>
  <c r="BG75" i="9" a="1"/>
  <c r="BG75" i="9"/>
  <c r="AY63" i="9" a="1"/>
  <c r="AY63" i="9"/>
  <c r="CC106" i="9" a="1"/>
  <c r="CC106" i="9"/>
  <c r="CA30" i="9" a="1"/>
  <c r="CA30" i="9"/>
  <c r="G73" i="9"/>
  <c r="Y30" i="9"/>
  <c r="AD11" i="9"/>
  <c r="CF96" i="9"/>
  <c r="AB97" i="9"/>
  <c r="AC97" i="9"/>
  <c r="AZ60" i="9" a="1"/>
  <c r="AZ60" i="9"/>
  <c r="AZ99" i="9" a="1"/>
  <c r="AZ99" i="9"/>
  <c r="BJ99" i="9" a="1"/>
  <c r="BJ99" i="9"/>
  <c r="AZ118" i="9" a="1"/>
  <c r="AZ118" i="9"/>
  <c r="S118" i="9" a="1"/>
  <c r="S118" i="9"/>
  <c r="BQ65" i="9" a="1"/>
  <c r="BQ65" i="9"/>
  <c r="AO65" i="9" a="1"/>
  <c r="AO65" i="9"/>
  <c r="BA124" i="9" a="1"/>
  <c r="BA124" i="9"/>
  <c r="AO124" i="9" a="1"/>
  <c r="AO124" i="9"/>
  <c r="AN124" i="9" a="1"/>
  <c r="AN124" i="9"/>
  <c r="I61" i="9"/>
  <c r="AY124" i="9" a="1"/>
  <c r="AY124" i="9"/>
  <c r="AL45" i="9" a="1"/>
  <c r="AL45" i="9"/>
  <c r="AV45" i="9"/>
  <c r="CD94" i="9" a="1"/>
  <c r="CD94" i="9"/>
  <c r="BZ61" i="9" a="1"/>
  <c r="BZ61" i="9"/>
  <c r="AN61" i="9" a="1"/>
  <c r="AN61" i="9"/>
  <c r="BD124" i="9" a="1"/>
  <c r="BD124" i="9"/>
  <c r="BU124" i="9" a="1"/>
  <c r="BU124" i="9"/>
  <c r="BI124" i="9" a="1"/>
  <c r="BI124" i="9"/>
  <c r="CA124" i="9" a="1"/>
  <c r="CA124" i="9"/>
  <c r="AX124" i="9"/>
  <c r="X124" i="9"/>
  <c r="D124" i="9"/>
  <c r="F124" i="9"/>
  <c r="CF90" i="9"/>
  <c r="CB90" i="9" a="1"/>
  <c r="CB90" i="9"/>
  <c r="V90" i="9"/>
  <c r="AK61" i="9" a="1"/>
  <c r="AK61" i="9"/>
  <c r="BJ61" i="9" a="1"/>
  <c r="BJ61" i="9"/>
  <c r="L61" i="9"/>
  <c r="Q24" i="9" a="1"/>
  <c r="Q24" i="9"/>
  <c r="AG48" i="1"/>
  <c r="AZ24" i="9" a="1"/>
  <c r="AZ24" i="9"/>
  <c r="CE48" i="1"/>
  <c r="AI24" i="9" a="1"/>
  <c r="AI24" i="9"/>
  <c r="AO24" i="9" a="1"/>
  <c r="AO24" i="9"/>
  <c r="F104" i="9"/>
  <c r="AP104" i="9" a="1"/>
  <c r="AP104" i="9"/>
  <c r="J104" i="9"/>
  <c r="BD104" i="9" a="1"/>
  <c r="BD104" i="9"/>
  <c r="O118" i="9"/>
  <c r="AI118" i="9" a="1"/>
  <c r="AI118" i="9"/>
  <c r="X118" i="9"/>
  <c r="BO50" i="9" a="1"/>
  <c r="BO50" i="9"/>
  <c r="BG50" i="9" a="1"/>
  <c r="BG50" i="9"/>
  <c r="U50" i="9"/>
  <c r="AO50" i="9" a="1"/>
  <c r="AO50" i="9"/>
  <c r="S50" i="9" a="1"/>
  <c r="S50" i="9"/>
  <c r="AE50" i="9"/>
  <c r="AF50" i="9"/>
  <c r="AB50" i="9"/>
  <c r="AC50" i="9"/>
  <c r="CF19" i="9"/>
  <c r="BS43" i="1"/>
  <c r="AQ19" i="9" a="1"/>
  <c r="AQ19" i="9"/>
  <c r="BS19" i="9" a="1"/>
  <c r="BS19" i="9"/>
  <c r="FC43" i="1"/>
  <c r="CB19" i="9" a="1"/>
  <c r="CB19" i="9"/>
  <c r="AY43" i="1"/>
  <c r="N132" i="9"/>
  <c r="CA132" i="9" a="1"/>
  <c r="CA132" i="9"/>
  <c r="AD132" i="9"/>
  <c r="Y132" i="9"/>
  <c r="AS132" i="9" a="1"/>
  <c r="AS132" i="9"/>
  <c r="I21" i="9"/>
  <c r="AB45" i="1"/>
  <c r="AK21" i="9" a="1"/>
  <c r="AK21" i="9"/>
  <c r="BU99" i="9" a="1"/>
  <c r="BU99" i="9"/>
  <c r="AB99" i="9"/>
  <c r="AC99" i="9"/>
  <c r="AY99" i="9" a="1"/>
  <c r="AY99" i="9"/>
  <c r="AS99" i="9" a="1"/>
  <c r="AS99" i="9"/>
  <c r="F126" i="9"/>
  <c r="Z126" i="9"/>
  <c r="AG128" i="9"/>
  <c r="BM128" i="9" a="1"/>
  <c r="BM128" i="9"/>
  <c r="M128" i="9"/>
  <c r="BL68" i="9" a="1"/>
  <c r="BL68" i="9"/>
  <c r="J68" i="9"/>
  <c r="AS68" i="9" a="1"/>
  <c r="AS68" i="9"/>
  <c r="AM26" i="9" a="1"/>
  <c r="AM26" i="9"/>
  <c r="CD26" i="9" a="1"/>
  <c r="CD26" i="9"/>
  <c r="BA26" i="9" a="1"/>
  <c r="BA26" i="9"/>
  <c r="BE26" i="9" a="1"/>
  <c r="BE26" i="9"/>
  <c r="BW65" i="9" a="1"/>
  <c r="BW65" i="9"/>
  <c r="AJ65" i="9" a="1"/>
  <c r="AJ65" i="9"/>
  <c r="BI65" i="9" a="1"/>
  <c r="BI65" i="9"/>
  <c r="AM65" i="9" a="1"/>
  <c r="AM65" i="9"/>
  <c r="BG42" i="9" a="1"/>
  <c r="BG42" i="9"/>
  <c r="AP42" i="9" a="1"/>
  <c r="AP42" i="9"/>
  <c r="BO42" i="9" a="1"/>
  <c r="BO42" i="9"/>
  <c r="U49" i="9"/>
  <c r="BF49" i="9" a="1"/>
  <c r="BF49" i="9"/>
  <c r="BT49" i="9" a="1"/>
  <c r="BT49" i="9"/>
  <c r="AL28" i="9" a="1"/>
  <c r="AL28" i="9"/>
  <c r="AV28" i="9"/>
  <c r="BQ28" i="9" a="1"/>
  <c r="BQ28" i="9"/>
  <c r="BZ28" i="9" a="1"/>
  <c r="BZ28" i="9"/>
  <c r="AR28" i="9" a="1"/>
  <c r="AR28" i="9"/>
  <c r="BB28" i="9" a="1"/>
  <c r="BB28" i="9"/>
  <c r="BB124" i="9" a="1"/>
  <c r="BB124" i="9"/>
  <c r="AD124" i="9"/>
  <c r="BR124" i="9" a="1"/>
  <c r="BR124" i="9"/>
  <c r="AZ124" i="9" a="1"/>
  <c r="AZ124" i="9"/>
  <c r="J124" i="9"/>
  <c r="BF124" i="9" a="1"/>
  <c r="BF124" i="9"/>
  <c r="AU124" i="9" a="1"/>
  <c r="AU124" i="9"/>
  <c r="AM124" i="9" a="1"/>
  <c r="AM124" i="9"/>
  <c r="BK124" i="9" a="1"/>
  <c r="BK124" i="9"/>
  <c r="CB124" i="9" a="1"/>
  <c r="CB124" i="9"/>
  <c r="AS124" i="9" a="1"/>
  <c r="AS124" i="9"/>
  <c r="G124" i="9"/>
  <c r="AK124" i="9" a="1"/>
  <c r="AK124" i="9"/>
  <c r="BW124" i="9" a="1"/>
  <c r="BW124" i="9"/>
  <c r="BS124" i="9" a="1"/>
  <c r="BS124" i="9"/>
  <c r="Q124" i="9" a="1"/>
  <c r="Q124" i="9"/>
  <c r="AE124" i="9"/>
  <c r="AF124" i="9"/>
  <c r="BH124" i="9" a="1"/>
  <c r="BH124" i="9"/>
  <c r="BL124" i="9" a="1"/>
  <c r="BL124" i="9"/>
  <c r="BT124" i="9" a="1"/>
  <c r="BT124" i="9"/>
  <c r="U124" i="9"/>
  <c r="BJ124" i="9" a="1"/>
  <c r="BJ124" i="9"/>
  <c r="CC124" i="9" a="1"/>
  <c r="CC124" i="9"/>
  <c r="CD124" i="9" a="1"/>
  <c r="CD124" i="9"/>
  <c r="AJ124" i="9" a="1"/>
  <c r="AJ124" i="9"/>
  <c r="I124" i="9"/>
  <c r="S124" i="9" a="1"/>
  <c r="S124" i="9"/>
  <c r="P124" i="9"/>
  <c r="AP124" i="9" a="1"/>
  <c r="AP124" i="9"/>
  <c r="K124" i="9"/>
  <c r="BM124" i="9" a="1"/>
  <c r="BM124" i="9"/>
  <c r="V124" i="9"/>
  <c r="N124" i="9"/>
  <c r="BE124" i="9" a="1"/>
  <c r="BE124" i="9"/>
  <c r="BN124" i="9" a="1"/>
  <c r="BN124" i="9"/>
  <c r="AI124" i="9" a="1"/>
  <c r="AI124" i="9"/>
  <c r="AB124" i="9"/>
  <c r="AC124" i="9"/>
  <c r="Z124" i="9"/>
  <c r="O124" i="9"/>
  <c r="T124" i="9"/>
  <c r="J90" i="9"/>
  <c r="AX90" i="9"/>
  <c r="BU90" i="9" a="1"/>
  <c r="BU90" i="9"/>
  <c r="BK90" i="9" a="1"/>
  <c r="BK90" i="9"/>
  <c r="BR90" i="9" a="1"/>
  <c r="BR90" i="9"/>
  <c r="AO90" i="9" a="1"/>
  <c r="AO90" i="9"/>
  <c r="AU90" i="9" a="1"/>
  <c r="AU90" i="9"/>
  <c r="AK90" i="9" a="1"/>
  <c r="AK90" i="9"/>
  <c r="AN90" i="9" a="1"/>
  <c r="AN90" i="9"/>
  <c r="M90" i="9"/>
  <c r="N90" i="9"/>
  <c r="BI90" i="9" a="1"/>
  <c r="BI90" i="9"/>
  <c r="F90" i="9"/>
  <c r="BW90" i="9" a="1"/>
  <c r="BW90" i="9"/>
  <c r="AY90" i="9" a="1"/>
  <c r="AY90" i="9"/>
  <c r="E90" i="9"/>
  <c r="BN90" i="9" a="1"/>
  <c r="BN90" i="9"/>
  <c r="BQ90" i="9" a="1"/>
  <c r="BQ90" i="9"/>
  <c r="AR90" i="9" a="1"/>
  <c r="AR90" i="9"/>
  <c r="AS90" i="9" a="1"/>
  <c r="AS90" i="9"/>
  <c r="BD90" i="9" a="1"/>
  <c r="BD90" i="9"/>
  <c r="U90" i="9"/>
  <c r="BM90" i="9" a="1"/>
  <c r="BM90" i="9"/>
  <c r="AI90" i="9" a="1"/>
  <c r="AI90" i="9"/>
  <c r="T90" i="9"/>
  <c r="BB90" i="9" a="1"/>
  <c r="BB90" i="9"/>
  <c r="S90" i="9" a="1"/>
  <c r="S90" i="9"/>
  <c r="Q90" i="9" a="1"/>
  <c r="Q90" i="9"/>
  <c r="BZ90" i="9" a="1"/>
  <c r="BZ90" i="9"/>
  <c r="P90" i="9"/>
  <c r="BS90" i="9" a="1"/>
  <c r="BS90" i="9"/>
  <c r="I90" i="9"/>
  <c r="D90" i="9"/>
  <c r="BH90" i="9" a="1"/>
  <c r="BH90" i="9"/>
  <c r="AZ90" i="9" a="1"/>
  <c r="AZ90" i="9"/>
  <c r="AM90" i="9" a="1"/>
  <c r="AM90" i="9"/>
  <c r="K90" i="9"/>
  <c r="AG90" i="9"/>
  <c r="CC90" i="9" a="1"/>
  <c r="CC90" i="9"/>
  <c r="N94" i="9"/>
  <c r="S94" i="9" a="1"/>
  <c r="S94" i="9"/>
  <c r="BW94" i="9" a="1"/>
  <c r="BW94" i="9"/>
  <c r="X94" i="9"/>
  <c r="AL94" i="9" a="1"/>
  <c r="AL94" i="9"/>
  <c r="AV94" i="9"/>
  <c r="AK94" i="9" a="1"/>
  <c r="AK94" i="9"/>
  <c r="BN94" i="9" a="1"/>
  <c r="BN94" i="9"/>
  <c r="AJ94" i="9" a="1"/>
  <c r="AJ94" i="9"/>
  <c r="G94" i="9"/>
  <c r="AN94" i="9" a="1"/>
  <c r="AN94" i="9"/>
  <c r="U94" i="9"/>
  <c r="BJ94" i="9" a="1"/>
  <c r="BJ94" i="9"/>
  <c r="BE94" i="9" a="1"/>
  <c r="BE94" i="9"/>
  <c r="CF94" i="9"/>
  <c r="AY94" i="9" a="1"/>
  <c r="AY94" i="9"/>
  <c r="AI94" i="9" a="1"/>
  <c r="AI94" i="9"/>
  <c r="BK94" i="9" a="1"/>
  <c r="BK94" i="9"/>
  <c r="BM94" i="9" a="1"/>
  <c r="BM94" i="9"/>
  <c r="BZ94" i="9" a="1"/>
  <c r="BZ94" i="9"/>
  <c r="BU94" i="9" a="1"/>
  <c r="BU94" i="9"/>
  <c r="BG94" i="9" a="1"/>
  <c r="BG94" i="9"/>
  <c r="BS94" i="9" a="1"/>
  <c r="BS94" i="9"/>
  <c r="AM94" i="9" a="1"/>
  <c r="AM94" i="9"/>
  <c r="P94" i="9"/>
  <c r="L57" i="9"/>
  <c r="BK57" i="9" a="1"/>
  <c r="BK57" i="9"/>
  <c r="CB76" i="9" a="1"/>
  <c r="CB76" i="9"/>
  <c r="BF76" i="9" a="1"/>
  <c r="BF76" i="9"/>
  <c r="Z76" i="9"/>
  <c r="BK76" i="9" a="1"/>
  <c r="BK76" i="9"/>
  <c r="O76" i="9"/>
  <c r="BS76" i="9" a="1"/>
  <c r="BS76" i="9"/>
  <c r="BC76" i="9" a="1"/>
  <c r="BC76" i="9"/>
  <c r="J76" i="9"/>
  <c r="AS76" i="9" a="1"/>
  <c r="AS76" i="9"/>
  <c r="AY76" i="9" a="1"/>
  <c r="AY76" i="9"/>
  <c r="CD76" i="9" a="1"/>
  <c r="CD76" i="9"/>
  <c r="Y76" i="9"/>
  <c r="AU76" i="9" a="1"/>
  <c r="AU76" i="9"/>
  <c r="AZ76" i="9" a="1"/>
  <c r="AZ76" i="9"/>
  <c r="L76" i="9"/>
  <c r="BE76" i="9" a="1"/>
  <c r="BE76" i="9"/>
  <c r="K76" i="9"/>
  <c r="BT76" i="9" a="1"/>
  <c r="BT76" i="9"/>
  <c r="AR61" i="9" a="1"/>
  <c r="AR61" i="9"/>
  <c r="BU61" i="9" a="1"/>
  <c r="BU61" i="9"/>
  <c r="BA61" i="9" a="1"/>
  <c r="BA61" i="9"/>
  <c r="D61" i="9"/>
  <c r="J61" i="9"/>
  <c r="BB61" i="9" a="1"/>
  <c r="BB61" i="9"/>
  <c r="T61" i="9"/>
  <c r="AG61" i="9"/>
  <c r="Y61" i="9"/>
  <c r="BG61" i="9" a="1"/>
  <c r="BG61" i="9"/>
  <c r="E61" i="9"/>
  <c r="AY61" i="9" a="1"/>
  <c r="AY61" i="9"/>
  <c r="BS61" i="9" a="1"/>
  <c r="BS61" i="9"/>
  <c r="CD61" i="9" a="1"/>
  <c r="CD61" i="9"/>
  <c r="BT61" i="9" a="1"/>
  <c r="BT61" i="9"/>
  <c r="BL61" i="9" a="1"/>
  <c r="BL61" i="9"/>
  <c r="AE61" i="9"/>
  <c r="AF61" i="9"/>
  <c r="BW61" i="9" a="1"/>
  <c r="BW61" i="9"/>
  <c r="BH61" i="9" a="1"/>
  <c r="BH61" i="9"/>
  <c r="N61" i="9"/>
  <c r="CF61" i="9"/>
  <c r="BI61" i="9" a="1"/>
  <c r="BI61" i="9"/>
  <c r="CA61" i="9" a="1"/>
  <c r="CA61" i="9"/>
  <c r="BK61" i="9" a="1"/>
  <c r="BK61" i="9"/>
  <c r="G61" i="9"/>
  <c r="Z61" i="9"/>
  <c r="O61" i="9"/>
  <c r="K61" i="9"/>
  <c r="AQ61" i="9" a="1"/>
  <c r="AQ61" i="9"/>
  <c r="F61" i="9"/>
  <c r="BQ61" i="9" a="1"/>
  <c r="BQ61" i="9"/>
  <c r="BD61" i="9" a="1"/>
  <c r="BD61" i="9"/>
  <c r="M61" i="9"/>
  <c r="AZ61" i="9" a="1"/>
  <c r="AZ61" i="9"/>
  <c r="AM61" i="9" a="1"/>
  <c r="AM61" i="9"/>
  <c r="CB61" i="9" a="1"/>
  <c r="CB61" i="9"/>
  <c r="BE61" i="9" a="1"/>
  <c r="BE61" i="9"/>
  <c r="J24" i="9"/>
  <c r="CM48" i="1"/>
  <c r="BB24" i="9" a="1"/>
  <c r="BB24" i="9"/>
  <c r="BW48" i="1"/>
  <c r="CA24" i="9" a="1"/>
  <c r="CA24" i="9"/>
  <c r="AQ48" i="1"/>
  <c r="CD24" i="9" a="1"/>
  <c r="CD24" i="9"/>
  <c r="GE48" i="1"/>
  <c r="AJ24" i="9" a="1"/>
  <c r="AJ24" i="9"/>
  <c r="BA24" i="9" a="1"/>
  <c r="BA24" i="9"/>
  <c r="CA48" i="1"/>
  <c r="AR24" i="9" a="1"/>
  <c r="AR24" i="9"/>
  <c r="Z24" i="9"/>
  <c r="M24" i="9"/>
  <c r="CY48" i="1"/>
  <c r="CF24" i="9"/>
  <c r="BS48" i="1"/>
  <c r="Y24" i="9"/>
  <c r="P24" i="9"/>
  <c r="DW48" i="1"/>
  <c r="L24" i="9"/>
  <c r="CU48" i="1"/>
  <c r="BN24" i="9" a="1"/>
  <c r="BN24" i="9"/>
  <c r="BO48" i="1"/>
  <c r="BK24" i="9" a="1"/>
  <c r="BK24" i="9"/>
  <c r="GA48" i="1"/>
  <c r="AM24" i="9" a="1"/>
  <c r="AM24" i="9"/>
  <c r="BE24" i="9" a="1"/>
  <c r="BE24" i="9"/>
  <c r="EM48" i="1"/>
  <c r="X24" i="9"/>
  <c r="BF24" i="9" a="1"/>
  <c r="BF24" i="9"/>
  <c r="EQ48" i="1"/>
  <c r="BT24" i="9" a="1"/>
  <c r="BT24" i="9"/>
  <c r="FG48" i="1"/>
  <c r="BI24" i="9" a="1"/>
  <c r="BI24" i="9"/>
  <c r="FS48" i="1"/>
  <c r="CC24" i="9" a="1"/>
  <c r="CC24" i="9"/>
  <c r="AU48" i="1"/>
  <c r="D24" i="9"/>
  <c r="I48" i="1"/>
  <c r="BO24" i="9" a="1"/>
  <c r="BO24" i="9"/>
  <c r="BK48" i="1"/>
  <c r="BS24" i="9" a="1"/>
  <c r="BS24" i="9"/>
  <c r="FC48" i="1"/>
  <c r="BM24" i="9" a="1"/>
  <c r="BM24" i="9"/>
  <c r="BG48" i="1"/>
  <c r="V24" i="9"/>
  <c r="BQ24" i="9" a="1"/>
  <c r="BQ24" i="9"/>
  <c r="DK48" i="1"/>
  <c r="BU24" i="9" a="1"/>
  <c r="BU24" i="9"/>
  <c r="FK48" i="1"/>
  <c r="V104" i="9"/>
  <c r="BG104" i="9" a="1"/>
  <c r="BG104" i="9"/>
  <c r="AY104" i="9" a="1"/>
  <c r="AY104" i="9"/>
  <c r="AD104" i="9"/>
  <c r="I104" i="9"/>
  <c r="BK104" i="9" a="1"/>
  <c r="BK104" i="9"/>
  <c r="BJ104" i="9" a="1"/>
  <c r="BJ104" i="9"/>
  <c r="BZ104" i="9" a="1"/>
  <c r="BZ104" i="9"/>
  <c r="BR104" i="9" a="1"/>
  <c r="BR104" i="9"/>
  <c r="BE104" i="9" a="1"/>
  <c r="BE104" i="9"/>
  <c r="BA104" i="9" a="1"/>
  <c r="BA104" i="9"/>
  <c r="CF104" i="9"/>
  <c r="L104" i="9"/>
  <c r="M104" i="9"/>
  <c r="AI104" i="9" a="1"/>
  <c r="AI104" i="9"/>
  <c r="BQ104" i="9" a="1"/>
  <c r="BQ104" i="9"/>
  <c r="AZ104" i="9" a="1"/>
  <c r="AZ104" i="9"/>
  <c r="T104" i="9"/>
  <c r="E104" i="9"/>
  <c r="BH104" i="9" a="1"/>
  <c r="BH104" i="9"/>
  <c r="O104" i="9"/>
  <c r="AN104" i="9" a="1"/>
  <c r="AN104" i="9"/>
  <c r="BN104" i="9" a="1"/>
  <c r="BN104" i="9"/>
  <c r="AR104" i="9" a="1"/>
  <c r="AR104" i="9"/>
  <c r="BD12" i="9" a="1"/>
  <c r="BD12" i="9"/>
  <c r="EI35" i="1"/>
  <c r="G12" i="9"/>
  <c r="P35" i="1"/>
  <c r="AQ12" i="9" a="1"/>
  <c r="AQ12" i="9"/>
  <c r="CB12" i="9" a="1"/>
  <c r="CB12" i="9"/>
  <c r="AY35" i="1"/>
  <c r="AK12" i="9" a="1"/>
  <c r="AK12" i="9"/>
  <c r="AY12" i="9" a="1"/>
  <c r="AY12" i="9"/>
  <c r="CI35" i="1"/>
  <c r="AQ50" i="9" a="1"/>
  <c r="AQ50" i="9"/>
  <c r="BS68" i="9" a="1"/>
  <c r="BS68" i="9"/>
  <c r="M26" i="9"/>
  <c r="CD126" i="9" a="1"/>
  <c r="CD126" i="9"/>
  <c r="AT124" i="9" a="1"/>
  <c r="AT124" i="9"/>
  <c r="BZ124" i="9" a="1"/>
  <c r="BZ124" i="9"/>
  <c r="N128" i="9"/>
  <c r="BQ94" i="9" a="1"/>
  <c r="BQ94" i="9"/>
  <c r="AX128" i="9"/>
  <c r="BA94" i="9" a="1"/>
  <c r="BA94" i="9"/>
  <c r="BC45" i="9" a="1"/>
  <c r="BC45" i="9"/>
  <c r="BT90" i="9" a="1"/>
  <c r="BT90" i="9"/>
  <c r="BG90" i="9" a="1"/>
  <c r="BG90" i="9"/>
  <c r="CD90" i="9" a="1"/>
  <c r="CD90" i="9"/>
  <c r="AP90" i="9" a="1"/>
  <c r="AP90" i="9"/>
  <c r="AU24" i="9" a="1"/>
  <c r="AU24" i="9"/>
  <c r="BZ24" i="9" a="1"/>
  <c r="BZ24" i="9"/>
  <c r="AL48" i="1"/>
  <c r="CD104" i="9" a="1"/>
  <c r="CD104" i="9"/>
  <c r="BS104" i="9" a="1"/>
  <c r="BS104" i="9"/>
  <c r="BQ49" i="9" a="1"/>
  <c r="BQ49" i="9"/>
  <c r="AE49" i="9"/>
  <c r="AF49" i="9"/>
  <c r="AN49" i="9" a="1"/>
  <c r="AN49" i="9"/>
  <c r="AY126" i="9" a="1"/>
  <c r="AY126" i="9"/>
  <c r="AK99" i="9" a="1"/>
  <c r="AK99" i="9"/>
  <c r="AT126" i="9" a="1"/>
  <c r="AT126" i="9"/>
  <c r="AR99" i="9" a="1"/>
  <c r="AR99" i="9"/>
  <c r="BG118" i="9" a="1"/>
  <c r="BG118" i="9"/>
  <c r="J118" i="9"/>
  <c r="L65" i="9"/>
  <c r="E94" i="9"/>
  <c r="AB94" i="9"/>
  <c r="AC94" i="9"/>
  <c r="CB57" i="9" a="1"/>
  <c r="CB57" i="9"/>
  <c r="F76" i="9"/>
  <c r="CF76" i="9"/>
  <c r="G76" i="9"/>
  <c r="CF50" i="9"/>
  <c r="AB76" i="9"/>
  <c r="AC76" i="9"/>
  <c r="P76" i="9"/>
  <c r="AR12" i="9" a="1"/>
  <c r="AR12" i="9"/>
  <c r="BD94" i="9" a="1"/>
  <c r="BD94" i="9"/>
  <c r="Y94" i="9"/>
  <c r="AX61" i="9"/>
  <c r="K19" i="9"/>
  <c r="CQ43" i="1"/>
  <c r="BO61" i="9" a="1"/>
  <c r="BO61" i="9"/>
  <c r="AU61" i="9" a="1"/>
  <c r="AU61" i="9"/>
  <c r="V68" i="9"/>
  <c r="U61" i="9"/>
  <c r="BF61" i="9" a="1"/>
  <c r="BF61" i="9"/>
  <c r="BR61" i="9" a="1"/>
  <c r="BR61" i="9"/>
  <c r="BC61" i="9" a="1"/>
  <c r="BC61" i="9"/>
  <c r="CC61" i="9" a="1"/>
  <c r="CC61" i="9"/>
  <c r="L124" i="9"/>
  <c r="Y124" i="9"/>
  <c r="BC124" i="9" a="1"/>
  <c r="BC124" i="9"/>
  <c r="E124" i="9"/>
  <c r="AL124" i="9" a="1"/>
  <c r="AL124" i="9"/>
  <c r="AV124" i="9"/>
  <c r="AQ124" i="9" a="1"/>
  <c r="AQ124" i="9"/>
  <c r="CA94" i="9" a="1"/>
  <c r="CA94" i="9"/>
  <c r="BL90" i="9" a="1"/>
  <c r="BL90" i="9"/>
  <c r="BO90" i="9" a="1"/>
  <c r="BO90" i="9"/>
  <c r="F24" i="9"/>
  <c r="V48" i="1"/>
  <c r="AM104" i="9" a="1"/>
  <c r="AM104" i="9"/>
  <c r="AB104" i="9"/>
  <c r="AC104" i="9"/>
  <c r="AL79" i="9" a="1"/>
  <c r="AL79" i="9"/>
  <c r="AW79" i="9"/>
  <c r="AU79" i="9" a="1"/>
  <c r="AU79" i="9"/>
  <c r="AZ79" i="9" a="1"/>
  <c r="AZ79" i="9"/>
  <c r="Y18" i="9"/>
  <c r="BM18" i="9" a="1"/>
  <c r="BM18" i="9"/>
  <c r="BG42" i="1"/>
  <c r="T18" i="9"/>
  <c r="AU18" i="9" a="1"/>
  <c r="AU18" i="9"/>
  <c r="BS18" i="9" a="1"/>
  <c r="BS18" i="9"/>
  <c r="FC42" i="1"/>
  <c r="AY18" i="9" a="1"/>
  <c r="AY18" i="9"/>
  <c r="CI42" i="1"/>
  <c r="BJ18" i="9" a="1"/>
  <c r="BJ18" i="9"/>
  <c r="FW42" i="1"/>
  <c r="AO18" i="9" a="1"/>
  <c r="AO18" i="9"/>
  <c r="L18" i="9"/>
  <c r="CU42" i="1"/>
  <c r="BB18" i="9" a="1"/>
  <c r="BB18" i="9"/>
  <c r="BW42" i="1"/>
  <c r="BU18" i="9" a="1"/>
  <c r="BU18" i="9"/>
  <c r="FK42" i="1"/>
  <c r="K18" i="9"/>
  <c r="CQ42" i="1"/>
  <c r="BH18" i="9" a="1"/>
  <c r="BH18" i="9"/>
  <c r="DC42" i="1"/>
  <c r="G18" i="9"/>
  <c r="P42" i="1"/>
  <c r="AT18" i="9" a="1"/>
  <c r="AT18" i="9"/>
  <c r="E18" i="9"/>
  <c r="D42" i="1"/>
  <c r="BR18" i="9" a="1"/>
  <c r="BR18" i="9"/>
  <c r="EY42" i="1"/>
  <c r="BT18" i="9" a="1"/>
  <c r="BT18" i="9"/>
  <c r="FG42" i="1"/>
  <c r="Z18" i="9"/>
  <c r="BD18" i="9" a="1"/>
  <c r="BD18" i="9"/>
  <c r="EI42" i="1"/>
  <c r="AN18" i="9" a="1"/>
  <c r="AN18" i="9"/>
  <c r="BE18" i="9" a="1"/>
  <c r="BE18" i="9"/>
  <c r="EM42" i="1"/>
  <c r="AM18" i="9" a="1"/>
  <c r="AM18" i="9"/>
  <c r="AP98" i="9" a="1"/>
  <c r="AP98" i="9"/>
  <c r="D98" i="9"/>
  <c r="BN98" i="9" a="1"/>
  <c r="BN98" i="9"/>
  <c r="BD98" i="9" a="1"/>
  <c r="BD98" i="9"/>
  <c r="AE98" i="9"/>
  <c r="AF98" i="9"/>
  <c r="BA98" i="9" a="1"/>
  <c r="BA98" i="9"/>
  <c r="BF98" i="9" a="1"/>
  <c r="BF98" i="9"/>
  <c r="BL118" i="9" a="1"/>
  <c r="BL118" i="9"/>
  <c r="I118" i="9"/>
  <c r="BZ118" i="9" a="1"/>
  <c r="BZ118" i="9"/>
  <c r="AJ118" i="9" a="1"/>
  <c r="AJ118" i="9"/>
  <c r="CA118" i="9" a="1"/>
  <c r="CA118" i="9"/>
  <c r="BC118" i="9" a="1"/>
  <c r="BC118" i="9"/>
  <c r="V118" i="9"/>
  <c r="AS118" i="9" a="1"/>
  <c r="AS118" i="9"/>
  <c r="BJ118" i="9" a="1"/>
  <c r="BJ118" i="9"/>
  <c r="BF118" i="9" a="1"/>
  <c r="BF118" i="9"/>
  <c r="Q118" i="9" a="1"/>
  <c r="Q118" i="9"/>
  <c r="N118" i="9"/>
  <c r="Y118" i="9"/>
  <c r="AM118" i="9" a="1"/>
  <c r="AM118" i="9"/>
  <c r="BI118" i="9" a="1"/>
  <c r="BI118" i="9"/>
  <c r="L118" i="9"/>
  <c r="AU118" i="9" a="1"/>
  <c r="AU118" i="9"/>
  <c r="AR118" i="9" a="1"/>
  <c r="AR118" i="9"/>
  <c r="BB118" i="9" a="1"/>
  <c r="BB118" i="9"/>
  <c r="AB118" i="9"/>
  <c r="AC118" i="9"/>
  <c r="BN64" i="9" a="1"/>
  <c r="BN64" i="9"/>
  <c r="BS64" i="9" a="1"/>
  <c r="BS64" i="9"/>
  <c r="I64" i="9"/>
  <c r="AJ64" i="9" a="1"/>
  <c r="AJ64" i="9"/>
  <c r="K64" i="9"/>
  <c r="AK64" i="9" a="1"/>
  <c r="AK64" i="9"/>
  <c r="U64" i="9"/>
  <c r="BF64" i="9" a="1"/>
  <c r="BF64" i="9"/>
  <c r="Y64" i="9"/>
  <c r="BI64" i="9" a="1"/>
  <c r="BI64" i="9"/>
  <c r="AB64" i="9"/>
  <c r="AC64" i="9"/>
  <c r="BB64" i="9" a="1"/>
  <c r="BB64" i="9"/>
  <c r="BW64" i="9" a="1"/>
  <c r="BW64" i="9"/>
  <c r="BQ64" i="9" a="1"/>
  <c r="BQ64" i="9"/>
  <c r="D64" i="9"/>
  <c r="AE64" i="9"/>
  <c r="AF64" i="9"/>
  <c r="BK64" i="9" a="1"/>
  <c r="BK64" i="9"/>
  <c r="Z64" i="9"/>
  <c r="AX64" i="9"/>
  <c r="AU64" i="9" a="1"/>
  <c r="AU64" i="9"/>
  <c r="AR64" i="9" a="1"/>
  <c r="AR64" i="9"/>
  <c r="AS64" i="9" a="1"/>
  <c r="AS64" i="9"/>
  <c r="O64" i="9"/>
  <c r="CA64" i="9" a="1"/>
  <c r="CA64" i="9"/>
  <c r="AY64" i="9" a="1"/>
  <c r="AY64" i="9"/>
  <c r="BJ64" i="9" a="1"/>
  <c r="BJ64" i="9"/>
  <c r="AO64" i="9" a="1"/>
  <c r="AO64" i="9"/>
  <c r="AG64" i="9"/>
  <c r="AT64" i="9" a="1"/>
  <c r="AT64" i="9"/>
  <c r="J64" i="9"/>
  <c r="BO64" i="9" a="1"/>
  <c r="BO64" i="9"/>
  <c r="BG64" i="9" a="1"/>
  <c r="BG64" i="9"/>
  <c r="BU64" i="9" a="1"/>
  <c r="BU64" i="9"/>
  <c r="AD64" i="9"/>
  <c r="AP64" i="9" a="1"/>
  <c r="AP64" i="9"/>
  <c r="BZ64" i="9" a="1"/>
  <c r="BZ64" i="9"/>
  <c r="AQ64" i="9" a="1"/>
  <c r="AQ64" i="9"/>
  <c r="X64" i="9"/>
  <c r="BL64" i="9" a="1"/>
  <c r="BL64" i="9"/>
  <c r="BE64" i="9" a="1"/>
  <c r="BE64" i="9"/>
  <c r="CF64" i="9"/>
  <c r="BA64" i="9" a="1"/>
  <c r="BA64" i="9"/>
  <c r="V64" i="9"/>
  <c r="CC64" i="9" a="1"/>
  <c r="CC64" i="9"/>
  <c r="BD64" i="9" a="1"/>
  <c r="BD64" i="9"/>
  <c r="AN64" i="9" a="1"/>
  <c r="AN64" i="9"/>
  <c r="BR64" i="9" a="1"/>
  <c r="BR64" i="9"/>
  <c r="CB64" i="9" a="1"/>
  <c r="CB64" i="9"/>
  <c r="F64" i="9"/>
  <c r="AZ64" i="9" a="1"/>
  <c r="AZ64" i="9"/>
  <c r="T64" i="9"/>
  <c r="S64" i="9" a="1"/>
  <c r="S64" i="9"/>
  <c r="CD64" i="9" a="1"/>
  <c r="CD64" i="9"/>
  <c r="E64" i="9"/>
  <c r="BL21" i="9" a="1"/>
  <c r="BL21" i="9"/>
  <c r="EU45" i="1"/>
  <c r="AL21" i="9" a="1"/>
  <c r="AL21" i="9"/>
  <c r="AW21" i="9"/>
  <c r="G21" i="9"/>
  <c r="P45" i="1"/>
  <c r="Z21" i="9"/>
  <c r="AU21" i="9" a="1"/>
  <c r="AU21" i="9"/>
  <c r="AI21" i="9" a="1"/>
  <c r="AI21" i="9"/>
  <c r="AQ21" i="9" a="1"/>
  <c r="AQ21" i="9"/>
  <c r="AT21" i="9" a="1"/>
  <c r="AT21" i="9"/>
  <c r="AB21" i="9"/>
  <c r="AC21" i="9"/>
  <c r="CA21" i="9" a="1"/>
  <c r="CA21" i="9"/>
  <c r="AQ45" i="1"/>
  <c r="BC21" i="9" a="1"/>
  <c r="BC21" i="9"/>
  <c r="EE45" i="1"/>
  <c r="K21" i="9"/>
  <c r="CQ45" i="1"/>
  <c r="O21" i="9"/>
  <c r="DS45" i="1"/>
  <c r="S21" i="9" a="1"/>
  <c r="S21" i="9"/>
  <c r="DG45" i="1"/>
  <c r="AJ21" i="9" a="1"/>
  <c r="AJ21" i="9"/>
  <c r="E21" i="9"/>
  <c r="D45" i="1"/>
  <c r="BA21" i="9" a="1"/>
  <c r="BA21" i="9"/>
  <c r="CA45" i="1"/>
  <c r="AO21" i="9" a="1"/>
  <c r="AO21" i="9"/>
  <c r="J21" i="9"/>
  <c r="CM45" i="1"/>
  <c r="AR21" i="9" a="1"/>
  <c r="AR21" i="9"/>
  <c r="N21" i="9"/>
  <c r="DO45" i="1"/>
  <c r="AS21" i="9" a="1"/>
  <c r="AS21" i="9"/>
  <c r="AD21" i="9"/>
  <c r="BD21" i="9" a="1"/>
  <c r="BD21" i="9"/>
  <c r="EI45" i="1"/>
  <c r="M21" i="9"/>
  <c r="CY45" i="1"/>
  <c r="X21" i="9"/>
  <c r="CB21" i="9" a="1"/>
  <c r="CB21" i="9"/>
  <c r="AY45" i="1"/>
  <c r="P21" i="9"/>
  <c r="DW45" i="1"/>
  <c r="BU21" i="9" a="1"/>
  <c r="BU21" i="9"/>
  <c r="FK45" i="1"/>
  <c r="AG21" i="9"/>
  <c r="T21" i="9"/>
  <c r="BM21" i="9" a="1"/>
  <c r="BM21" i="9"/>
  <c r="BG45" i="1"/>
  <c r="BW21" i="9" a="1"/>
  <c r="BW21" i="9"/>
  <c r="FO45" i="1"/>
  <c r="BI21" i="9" a="1"/>
  <c r="BI21" i="9"/>
  <c r="FS45" i="1"/>
  <c r="Q21" i="9" a="1"/>
  <c r="Q21" i="9"/>
  <c r="AG45" i="1"/>
  <c r="CF21" i="9"/>
  <c r="BS45" i="1"/>
  <c r="BH21" i="9" a="1"/>
  <c r="BH21" i="9"/>
  <c r="DC45" i="1"/>
  <c r="BT21" i="9" a="1"/>
  <c r="BT21" i="9"/>
  <c r="FG45" i="1"/>
  <c r="BQ21" i="9" a="1"/>
  <c r="BQ21" i="9"/>
  <c r="DK45" i="1"/>
  <c r="AX21" i="9"/>
  <c r="BC45" i="1"/>
  <c r="AM21" i="9" a="1"/>
  <c r="AM21" i="9"/>
  <c r="V21" i="9"/>
  <c r="AZ21" i="9" a="1"/>
  <c r="AZ21" i="9"/>
  <c r="CE45" i="1"/>
  <c r="BK21" i="9" a="1"/>
  <c r="BK21" i="9"/>
  <c r="GA45" i="1"/>
  <c r="BS21" i="9" a="1"/>
  <c r="BS21" i="9"/>
  <c r="FC45" i="1"/>
  <c r="CC21" i="9" a="1"/>
  <c r="CC21" i="9"/>
  <c r="AU45" i="1"/>
  <c r="CD21" i="9" a="1"/>
  <c r="CD21" i="9"/>
  <c r="GE45" i="1"/>
  <c r="AE21" i="9"/>
  <c r="AF21" i="9"/>
  <c r="AY21" i="9" a="1"/>
  <c r="AY21" i="9"/>
  <c r="CI45" i="1"/>
  <c r="U21" i="9"/>
  <c r="BZ21" i="9" a="1"/>
  <c r="BZ21" i="9"/>
  <c r="AL45" i="1"/>
  <c r="BO21" i="9" a="1"/>
  <c r="BO21" i="9"/>
  <c r="BK45" i="1"/>
  <c r="BE21" i="9" a="1"/>
  <c r="BE21" i="9"/>
  <c r="EM45" i="1"/>
  <c r="BG21" i="9" a="1"/>
  <c r="BG21" i="9"/>
  <c r="EA45" i="1"/>
  <c r="L21" i="9"/>
  <c r="CU45" i="1"/>
  <c r="AN21" i="9" a="1"/>
  <c r="AN21" i="9"/>
  <c r="BF21" i="9" a="1"/>
  <c r="BF21" i="9"/>
  <c r="EQ45" i="1"/>
  <c r="D21" i="9"/>
  <c r="I45" i="1"/>
  <c r="F21" i="9"/>
  <c r="V45" i="1"/>
  <c r="AJ34" i="9" a="1"/>
  <c r="AJ34" i="9"/>
  <c r="T34" i="9"/>
  <c r="X34" i="9"/>
  <c r="CD34" i="9" a="1"/>
  <c r="CD34" i="9"/>
  <c r="I34" i="9"/>
  <c r="AM34" i="9" a="1"/>
  <c r="AM34" i="9"/>
  <c r="BB34" i="9" a="1"/>
  <c r="BB34" i="9"/>
  <c r="AT34" i="9" a="1"/>
  <c r="AT34" i="9"/>
  <c r="F34" i="9"/>
  <c r="CF34" i="9"/>
  <c r="BO34" i="9" a="1"/>
  <c r="BO34" i="9"/>
  <c r="BG34" i="9" a="1"/>
  <c r="BG34" i="9"/>
  <c r="BA34" i="9" a="1"/>
  <c r="BA34" i="9"/>
  <c r="J34" i="9"/>
  <c r="S34" i="9" a="1"/>
  <c r="S34" i="9"/>
  <c r="AX34" i="9"/>
  <c r="BT34" i="9" a="1"/>
  <c r="BT34" i="9"/>
  <c r="BZ34" i="9" a="1"/>
  <c r="BZ34" i="9"/>
  <c r="BD34" i="9" a="1"/>
  <c r="BD34" i="9"/>
  <c r="D34" i="9"/>
  <c r="BS34" i="9" a="1"/>
  <c r="BS34" i="9"/>
  <c r="BR34" i="9" a="1"/>
  <c r="BR34" i="9"/>
  <c r="BK34" i="9" a="1"/>
  <c r="BK34" i="9"/>
  <c r="CA34" i="9" a="1"/>
  <c r="CA34" i="9"/>
  <c r="L34" i="9"/>
  <c r="AY34" i="9" a="1"/>
  <c r="AY34" i="9"/>
  <c r="BE34" i="9" a="1"/>
  <c r="BE34" i="9"/>
  <c r="N34" i="9"/>
  <c r="BC34" i="9" a="1"/>
  <c r="BC34" i="9"/>
  <c r="M34" i="9"/>
  <c r="BL34" i="9" a="1"/>
  <c r="BL34" i="9"/>
  <c r="E34" i="9"/>
  <c r="BI34" i="9" a="1"/>
  <c r="BI34" i="9"/>
  <c r="U34" i="9"/>
  <c r="P34" i="9"/>
  <c r="AU34" i="9" a="1"/>
  <c r="AU34" i="9"/>
  <c r="CC34" i="9" a="1"/>
  <c r="CC34" i="9"/>
  <c r="AK34" i="9" a="1"/>
  <c r="AK34" i="9"/>
  <c r="Q34" i="9" a="1"/>
  <c r="Q34" i="9"/>
  <c r="AG34" i="9"/>
  <c r="O34" i="9"/>
  <c r="AI34" i="9" a="1"/>
  <c r="AI34" i="9"/>
  <c r="AP34" i="9" a="1"/>
  <c r="AP34" i="9"/>
  <c r="BJ34" i="9" a="1"/>
  <c r="BJ34" i="9"/>
  <c r="AE34" i="9"/>
  <c r="AF34" i="9"/>
  <c r="AQ34" i="9" a="1"/>
  <c r="AQ34" i="9"/>
  <c r="AR34" i="9" a="1"/>
  <c r="AR34" i="9"/>
  <c r="BM34" i="9" a="1"/>
  <c r="BM34" i="9"/>
  <c r="AO34" i="9" a="1"/>
  <c r="AO34" i="9"/>
  <c r="AZ34" i="9" a="1"/>
  <c r="AZ34" i="9"/>
  <c r="BN34" i="9" a="1"/>
  <c r="BN34" i="9"/>
  <c r="Z34" i="9"/>
  <c r="V34" i="9"/>
  <c r="K34" i="9"/>
  <c r="AD34" i="9"/>
  <c r="Y34" i="9"/>
  <c r="Y128" i="9"/>
  <c r="BU128" i="9" a="1"/>
  <c r="BU128" i="9"/>
  <c r="Q128" i="9" a="1"/>
  <c r="Q128" i="9"/>
  <c r="BJ128" i="9" a="1"/>
  <c r="BJ128" i="9"/>
  <c r="BS128" i="9" a="1"/>
  <c r="BS128" i="9"/>
  <c r="AJ128" i="9" a="1"/>
  <c r="AJ128" i="9"/>
  <c r="AS128" i="9" a="1"/>
  <c r="AS128" i="9"/>
  <c r="O128" i="9"/>
  <c r="V128" i="9"/>
  <c r="K128" i="9"/>
  <c r="BB128" i="9" a="1"/>
  <c r="BB128" i="9"/>
  <c r="G128" i="9"/>
  <c r="AN128" i="9" a="1"/>
  <c r="AN128" i="9"/>
  <c r="BH128" i="9" a="1"/>
  <c r="BH128" i="9"/>
  <c r="AE128" i="9"/>
  <c r="AF128" i="9"/>
  <c r="BT128" i="9" a="1"/>
  <c r="BT128" i="9"/>
  <c r="AB128" i="9"/>
  <c r="AC128" i="9"/>
  <c r="T128" i="9"/>
  <c r="CF128" i="9"/>
  <c r="AP128" i="9" a="1"/>
  <c r="AP128" i="9"/>
  <c r="AY128" i="9" a="1"/>
  <c r="AY128" i="9"/>
  <c r="Z128" i="9"/>
  <c r="BQ128" i="9" a="1"/>
  <c r="BQ128" i="9"/>
  <c r="S128" i="9" a="1"/>
  <c r="S128" i="9"/>
  <c r="BO128" i="9" a="1"/>
  <c r="BO128" i="9"/>
  <c r="BC128" i="9" a="1"/>
  <c r="BC128" i="9"/>
  <c r="BI128" i="9" a="1"/>
  <c r="BI128" i="9"/>
  <c r="P128" i="9"/>
  <c r="F128" i="9"/>
  <c r="CC128" i="9" a="1"/>
  <c r="CC128" i="9"/>
  <c r="AZ128" i="9" a="1"/>
  <c r="AZ128" i="9"/>
  <c r="L128" i="9"/>
  <c r="E128" i="9"/>
  <c r="BW128" i="9" a="1"/>
  <c r="BW128" i="9"/>
  <c r="AT128" i="9" a="1"/>
  <c r="AT128" i="9"/>
  <c r="BD128" i="9" a="1"/>
  <c r="BD128" i="9"/>
  <c r="I128" i="9"/>
  <c r="AD128" i="9"/>
  <c r="CA128" i="9" a="1"/>
  <c r="CA128" i="9"/>
  <c r="D128" i="9"/>
  <c r="J128" i="9"/>
  <c r="AO128" i="9" a="1"/>
  <c r="AO128" i="9"/>
  <c r="BG128" i="9" a="1"/>
  <c r="BG128" i="9"/>
  <c r="BA128" i="9" a="1"/>
  <c r="BA128" i="9"/>
  <c r="X128" i="9"/>
  <c r="BE128" i="9" a="1"/>
  <c r="BE128" i="9"/>
  <c r="AI128" i="9" a="1"/>
  <c r="AI128" i="9"/>
  <c r="CB128" i="9" a="1"/>
  <c r="CB128" i="9"/>
  <c r="BF128" i="9" a="1"/>
  <c r="BF128" i="9"/>
  <c r="AL128" i="9" a="1"/>
  <c r="AL128" i="9"/>
  <c r="AV128" i="9"/>
  <c r="BN128" i="9" a="1"/>
  <c r="BN128" i="9"/>
  <c r="U128" i="9"/>
  <c r="AK128" i="9" a="1"/>
  <c r="AK128" i="9"/>
  <c r="BG67" i="9" a="1"/>
  <c r="BG67" i="9"/>
  <c r="AQ67" i="9" a="1"/>
  <c r="AQ67" i="9"/>
  <c r="BK67" i="9" a="1"/>
  <c r="BK67" i="9"/>
  <c r="CC67" i="9" a="1"/>
  <c r="CC67" i="9"/>
  <c r="AO67" i="9" a="1"/>
  <c r="AO67" i="9"/>
  <c r="T42" i="9"/>
  <c r="BU42" i="9" a="1"/>
  <c r="BU42" i="9"/>
  <c r="F42" i="9"/>
  <c r="AX42" i="9"/>
  <c r="X42" i="9"/>
  <c r="BK42" i="9" a="1"/>
  <c r="BK42" i="9"/>
  <c r="AK42" i="9" a="1"/>
  <c r="AK42" i="9"/>
  <c r="N42" i="9"/>
  <c r="AQ42" i="9" a="1"/>
  <c r="AQ42" i="9"/>
  <c r="G42" i="9"/>
  <c r="AM42" i="9" a="1"/>
  <c r="AM42" i="9"/>
  <c r="CF42" i="9"/>
  <c r="BZ42" i="9" a="1"/>
  <c r="BZ42" i="9"/>
  <c r="AJ42" i="9" a="1"/>
  <c r="AJ42" i="9"/>
  <c r="AE42" i="9"/>
  <c r="AF42" i="9"/>
  <c r="AR42" i="9" a="1"/>
  <c r="AR42" i="9"/>
  <c r="CD42" i="9" a="1"/>
  <c r="CD42" i="9"/>
  <c r="I42" i="9"/>
  <c r="U42" i="9"/>
  <c r="S42" i="9" a="1"/>
  <c r="S42" i="9"/>
  <c r="L42" i="9"/>
  <c r="BA42" i="9" a="1"/>
  <c r="BA42" i="9"/>
  <c r="BB42" i="9" a="1"/>
  <c r="BB42" i="9"/>
  <c r="AB42" i="9"/>
  <c r="AC42" i="9"/>
  <c r="AL42" i="9" a="1"/>
  <c r="AL42" i="9"/>
  <c r="AV42" i="9"/>
  <c r="BF42" i="9" a="1"/>
  <c r="BF42" i="9"/>
  <c r="BL42" i="9" a="1"/>
  <c r="BL42" i="9"/>
  <c r="BC42" i="9" a="1"/>
  <c r="BC42" i="9"/>
  <c r="BI42" i="9" a="1"/>
  <c r="BI42" i="9"/>
  <c r="BJ42" i="9" a="1"/>
  <c r="BJ42" i="9"/>
  <c r="AO42" i="9" a="1"/>
  <c r="AO42" i="9"/>
  <c r="AI42" i="9" a="1"/>
  <c r="AI42" i="9"/>
  <c r="BM42" i="9" a="1"/>
  <c r="BM42" i="9"/>
  <c r="V42" i="9"/>
  <c r="AS42" i="9" a="1"/>
  <c r="AS42" i="9"/>
  <c r="BH42" i="9" a="1"/>
  <c r="BH42" i="9"/>
  <c r="AT42" i="9" a="1"/>
  <c r="AT42" i="9"/>
  <c r="CC42" i="9" a="1"/>
  <c r="CC42" i="9"/>
  <c r="AG42" i="9"/>
  <c r="E42" i="9"/>
  <c r="Y42" i="9"/>
  <c r="D42" i="9"/>
  <c r="BN42" i="9" a="1"/>
  <c r="BN42" i="9"/>
  <c r="BE42" i="9" a="1"/>
  <c r="BE42" i="9"/>
  <c r="BR42" i="9" a="1"/>
  <c r="BR42" i="9"/>
  <c r="AN42" i="9" a="1"/>
  <c r="AN42" i="9"/>
  <c r="AZ42" i="9" a="1"/>
  <c r="AZ42" i="9"/>
  <c r="BS42" i="9" a="1"/>
  <c r="BS42" i="9"/>
  <c r="AD42" i="9"/>
  <c r="BD42" i="9" a="1"/>
  <c r="BD42" i="9"/>
  <c r="Q42" i="9" a="1"/>
  <c r="Q42" i="9"/>
  <c r="J42" i="9"/>
  <c r="BW42" i="9" a="1"/>
  <c r="BW42" i="9"/>
  <c r="AY42" i="9" a="1"/>
  <c r="AY42" i="9"/>
  <c r="P42" i="9"/>
  <c r="K42" i="9"/>
  <c r="M42" i="9"/>
  <c r="AU42" i="9" a="1"/>
  <c r="AU42" i="9"/>
  <c r="Z42" i="9"/>
  <c r="AO45" i="9" a="1"/>
  <c r="AO45" i="9"/>
  <c r="AB45" i="9"/>
  <c r="AC45" i="9"/>
  <c r="U45" i="9"/>
  <c r="BI45" i="9" a="1"/>
  <c r="BI45" i="9"/>
  <c r="Q45" i="9" a="1"/>
  <c r="Q45" i="9"/>
  <c r="CD45" i="9" a="1"/>
  <c r="CD45" i="9"/>
  <c r="N45" i="9"/>
  <c r="P45" i="9"/>
  <c r="L45" i="9"/>
  <c r="X45" i="9"/>
  <c r="AR45" i="9" a="1"/>
  <c r="AR45" i="9"/>
  <c r="M56" i="9"/>
  <c r="BW56" i="9" a="1"/>
  <c r="BW56" i="9"/>
  <c r="CF56" i="9"/>
  <c r="AL56" i="9" a="1"/>
  <c r="AL56" i="9"/>
  <c r="AW56" i="9"/>
  <c r="BG56" i="9" a="1"/>
  <c r="BG56" i="9"/>
  <c r="CF67" i="9"/>
  <c r="AS67" i="9" a="1"/>
  <c r="AS67" i="9"/>
  <c r="AL67" i="9" a="1"/>
  <c r="AL67" i="9"/>
  <c r="AV67" i="9"/>
  <c r="AX67" i="9"/>
  <c r="AY67" i="9" a="1"/>
  <c r="AY67" i="9"/>
  <c r="CA67" i="9" a="1"/>
  <c r="CA67" i="9"/>
  <c r="O67" i="9"/>
  <c r="BL67" i="9" a="1"/>
  <c r="BL67" i="9"/>
  <c r="E67" i="9"/>
  <c r="N67" i="9"/>
  <c r="AP67" i="9" a="1"/>
  <c r="AP67" i="9"/>
  <c r="V67" i="9"/>
  <c r="P67" i="9"/>
  <c r="F67" i="9"/>
  <c r="AE45" i="9"/>
  <c r="AF45" i="9"/>
  <c r="BL49" i="9" a="1"/>
  <c r="BL49" i="9"/>
  <c r="BI49" i="9" a="1"/>
  <c r="BI49" i="9"/>
  <c r="AX49" i="9"/>
  <c r="J49" i="9"/>
  <c r="CC49" i="9" a="1"/>
  <c r="CC49" i="9"/>
  <c r="BF99" i="9" a="1"/>
  <c r="BF99" i="9"/>
  <c r="CC99" i="9" a="1"/>
  <c r="CC99" i="9"/>
  <c r="BA99" i="9" a="1"/>
  <c r="BA99" i="9"/>
  <c r="BG99" i="9" a="1"/>
  <c r="BG99" i="9"/>
  <c r="BN126" i="9" a="1"/>
  <c r="BN126" i="9"/>
  <c r="BK126" i="9" a="1"/>
  <c r="BK126" i="9"/>
  <c r="AO126" i="9" a="1"/>
  <c r="AO126" i="9"/>
  <c r="AP99" i="9" a="1"/>
  <c r="AP99" i="9"/>
  <c r="AT99" i="9" a="1"/>
  <c r="AT99" i="9"/>
  <c r="Q99" i="9" a="1"/>
  <c r="Q99" i="9"/>
  <c r="V126" i="9"/>
  <c r="BI126" i="9" a="1"/>
  <c r="BI126" i="9"/>
  <c r="BO126" i="9" a="1"/>
  <c r="BO126" i="9"/>
  <c r="CB126" i="9" a="1"/>
  <c r="CB126" i="9"/>
  <c r="K99" i="9"/>
  <c r="AI65" i="9" a="1"/>
  <c r="AI65" i="9"/>
  <c r="AJ45" i="9" a="1"/>
  <c r="AJ45" i="9"/>
  <c r="AK118" i="9" a="1"/>
  <c r="AK118" i="9"/>
  <c r="BD118" i="9" a="1"/>
  <c r="BD118" i="9"/>
  <c r="CB118" i="9" a="1"/>
  <c r="CB118" i="9"/>
  <c r="BU118" i="9" a="1"/>
  <c r="BU118" i="9"/>
  <c r="AG118" i="9"/>
  <c r="BE118" i="9" a="1"/>
  <c r="BE118" i="9"/>
  <c r="BS118" i="9" a="1"/>
  <c r="BS118" i="9"/>
  <c r="K118" i="9"/>
  <c r="G118" i="9"/>
  <c r="AD118" i="9"/>
  <c r="AL118" i="9" a="1"/>
  <c r="AL118" i="9"/>
  <c r="AW118" i="9"/>
  <c r="Z65" i="9"/>
  <c r="AQ65" i="9" a="1"/>
  <c r="AQ65" i="9"/>
  <c r="V65" i="9"/>
  <c r="M65" i="9"/>
  <c r="BE65" i="9" a="1"/>
  <c r="BE65" i="9"/>
  <c r="AN65" i="9" a="1"/>
  <c r="AN65" i="9"/>
  <c r="AD65" i="9"/>
  <c r="AR67" i="9" a="1"/>
  <c r="AR67" i="9"/>
  <c r="BD45" i="9" a="1"/>
  <c r="BD45" i="9"/>
  <c r="CA45" i="9" a="1"/>
  <c r="CA45" i="9"/>
  <c r="I65" i="9"/>
  <c r="BR50" i="9" a="1"/>
  <c r="BR50" i="9"/>
  <c r="T50" i="9"/>
  <c r="BN50" i="9" a="1"/>
  <c r="BN50" i="9"/>
  <c r="AL50" i="9" a="1"/>
  <c r="AL50" i="9"/>
  <c r="AV50" i="9"/>
  <c r="BT50" i="9" a="1"/>
  <c r="BT50" i="9"/>
  <c r="BS50" i="9" a="1"/>
  <c r="BS50" i="9"/>
  <c r="BJ50" i="9" a="1"/>
  <c r="BJ50" i="9"/>
  <c r="AJ50" i="9" a="1"/>
  <c r="AJ50" i="9"/>
  <c r="AX50" i="9"/>
  <c r="G50" i="9"/>
  <c r="E65" i="9"/>
  <c r="BC99" i="9" a="1"/>
  <c r="BC99" i="9"/>
  <c r="BG68" i="9" a="1"/>
  <c r="BG68" i="9"/>
  <c r="BB19" i="9" a="1"/>
  <c r="BB19" i="9"/>
  <c r="BW43" i="1"/>
  <c r="BU68" i="9" a="1"/>
  <c r="BU68" i="9"/>
  <c r="N19" i="9"/>
  <c r="DO43" i="1"/>
  <c r="BH19" i="9" a="1"/>
  <c r="BH19" i="9"/>
  <c r="DC43" i="1"/>
  <c r="I68" i="9"/>
  <c r="AB19" i="9"/>
  <c r="AC19" i="9"/>
  <c r="AZ19" i="9" a="1"/>
  <c r="AZ19" i="9"/>
  <c r="CE43" i="1"/>
  <c r="BB26" i="9" a="1"/>
  <c r="BB26" i="9"/>
  <c r="CC68" i="9" a="1"/>
  <c r="CC68" i="9"/>
  <c r="BM28" i="9" a="1"/>
  <c r="BM28" i="9"/>
  <c r="BW132" i="9" a="1"/>
  <c r="BW132" i="9"/>
  <c r="L28" i="9"/>
  <c r="AG28" i="9"/>
  <c r="J99" i="9"/>
  <c r="AN26" i="9" a="1"/>
  <c r="AN26" i="9"/>
  <c r="J26" i="9"/>
  <c r="CC28" i="9" a="1"/>
  <c r="CC28" i="9"/>
  <c r="CB132" i="9" a="1"/>
  <c r="CB132" i="9"/>
  <c r="AM128" i="9" a="1"/>
  <c r="AM128" i="9"/>
  <c r="BZ128" i="9" a="1"/>
  <c r="BZ128" i="9"/>
  <c r="D45" i="9"/>
  <c r="BL128" i="9" a="1"/>
  <c r="BL128" i="9"/>
  <c r="BK128" i="9" a="1"/>
  <c r="BK128" i="9"/>
  <c r="CD128" i="9" a="1"/>
  <c r="CD128" i="9"/>
  <c r="CA42" i="9" a="1"/>
  <c r="CA42" i="9"/>
  <c r="O42" i="9"/>
  <c r="CB42" i="9" a="1"/>
  <c r="CB42" i="9"/>
  <c r="BT42" i="9" a="1"/>
  <c r="BT42" i="9"/>
  <c r="AN34" i="9" a="1"/>
  <c r="AN34" i="9"/>
  <c r="AB34" i="9"/>
  <c r="AC34" i="9"/>
  <c r="AM64" i="9" a="1"/>
  <c r="AM64" i="9"/>
  <c r="BM50" i="9" a="1"/>
  <c r="BM50" i="9"/>
  <c r="BD50" i="9" a="1"/>
  <c r="BD50" i="9"/>
  <c r="N50" i="9"/>
  <c r="BU50" i="9" a="1"/>
  <c r="BU50" i="9"/>
  <c r="D50" i="9"/>
  <c r="CC50" i="9" a="1"/>
  <c r="CC50" i="9"/>
  <c r="CA50" i="9" a="1"/>
  <c r="CA50" i="9"/>
  <c r="M50" i="9"/>
  <c r="J50" i="9"/>
  <c r="I50" i="9"/>
  <c r="AR50" i="9" a="1"/>
  <c r="AR50" i="9"/>
  <c r="BZ50" i="9" a="1"/>
  <c r="BZ50" i="9"/>
  <c r="AS50" i="9" a="1"/>
  <c r="AS50" i="9"/>
  <c r="AK50" i="9" a="1"/>
  <c r="AK50" i="9"/>
  <c r="V50" i="9"/>
  <c r="P50" i="9"/>
  <c r="Q50" i="9" a="1"/>
  <c r="Q50" i="9"/>
  <c r="AZ50" i="9" a="1"/>
  <c r="AZ50" i="9"/>
  <c r="AJ19" i="9" a="1"/>
  <c r="AJ19" i="9"/>
  <c r="BR19" i="9" a="1"/>
  <c r="BR19" i="9"/>
  <c r="EY43" i="1"/>
  <c r="AU19" i="9" a="1"/>
  <c r="AU19" i="9"/>
  <c r="AT19" i="9" a="1"/>
  <c r="AT19" i="9"/>
  <c r="BZ19" i="9" a="1"/>
  <c r="BZ19" i="9"/>
  <c r="AL43" i="1"/>
  <c r="BL19" i="9" a="1"/>
  <c r="BL19" i="9"/>
  <c r="EU43" i="1"/>
  <c r="BG19" i="9" a="1"/>
  <c r="BG19" i="9"/>
  <c r="EA43" i="1"/>
  <c r="AI19" i="9" a="1"/>
  <c r="AI19" i="9"/>
  <c r="BF19" i="9" a="1"/>
  <c r="BF19" i="9"/>
  <c r="EQ43" i="1"/>
  <c r="Y19" i="9"/>
  <c r="BT19" i="9" a="1"/>
  <c r="BT19" i="9"/>
  <c r="FG43" i="1"/>
  <c r="D19" i="9"/>
  <c r="I43" i="1"/>
  <c r="Z19" i="9"/>
  <c r="O19" i="9"/>
  <c r="DS43" i="1"/>
  <c r="BO19" i="9" a="1"/>
  <c r="BO19" i="9"/>
  <c r="BK43" i="1"/>
  <c r="G19" i="9"/>
  <c r="P43" i="1"/>
  <c r="J19" i="9"/>
  <c r="CM43" i="1"/>
  <c r="V19" i="9"/>
  <c r="AL19" i="9" a="1"/>
  <c r="AL19" i="9"/>
  <c r="AV19" i="9"/>
  <c r="BK19" i="9" a="1"/>
  <c r="BK19" i="9"/>
  <c r="GA43" i="1"/>
  <c r="BI19" i="9" a="1"/>
  <c r="BI19" i="9"/>
  <c r="FS43" i="1"/>
  <c r="AS19" i="9" a="1"/>
  <c r="AS19" i="9"/>
  <c r="I19" i="9"/>
  <c r="AB43" i="1"/>
  <c r="CA19" i="9" a="1"/>
  <c r="CA19" i="9"/>
  <c r="AQ43" i="1"/>
  <c r="Q19" i="9" a="1"/>
  <c r="Q19" i="9"/>
  <c r="AG43" i="1"/>
  <c r="BN19" i="9" a="1"/>
  <c r="BN19" i="9"/>
  <c r="BO43" i="1"/>
  <c r="AR19" i="9" a="1"/>
  <c r="AR19" i="9"/>
  <c r="BD19" i="9" a="1"/>
  <c r="BD19" i="9"/>
  <c r="EI43" i="1"/>
  <c r="AX19" i="9"/>
  <c r="BC43" i="1"/>
  <c r="AO19" i="9" a="1"/>
  <c r="AO19" i="9"/>
  <c r="T19" i="9"/>
  <c r="CC19" i="9" a="1"/>
  <c r="CC19" i="9"/>
  <c r="AU43" i="1"/>
  <c r="X19" i="9"/>
  <c r="P19" i="9"/>
  <c r="DW43" i="1"/>
  <c r="BQ19" i="9" a="1"/>
  <c r="BQ19" i="9"/>
  <c r="DK43" i="1"/>
  <c r="AP19" i="9" a="1"/>
  <c r="AP19" i="9"/>
  <c r="U19" i="9"/>
  <c r="AG19" i="9"/>
  <c r="CD19" i="9" a="1"/>
  <c r="CD19" i="9"/>
  <c r="GE43" i="1"/>
  <c r="S19" i="9" a="1"/>
  <c r="S19" i="9"/>
  <c r="DG43" i="1"/>
  <c r="L19" i="9"/>
  <c r="CU43" i="1"/>
  <c r="BE19" i="9" a="1"/>
  <c r="BE19" i="9"/>
  <c r="EM43" i="1"/>
  <c r="AN19" i="9" a="1"/>
  <c r="AN19" i="9"/>
  <c r="BE132" i="9" a="1"/>
  <c r="BE132" i="9"/>
  <c r="BA132" i="9" a="1"/>
  <c r="BA132" i="9"/>
  <c r="E132" i="9"/>
  <c r="AR132" i="9" a="1"/>
  <c r="AR132" i="9"/>
  <c r="CD132" i="9" a="1"/>
  <c r="CD132" i="9"/>
  <c r="BK132" i="9" a="1"/>
  <c r="BK132" i="9"/>
  <c r="T132" i="9"/>
  <c r="AJ132" i="9" a="1"/>
  <c r="AJ132" i="9"/>
  <c r="BG132" i="9" a="1"/>
  <c r="BG132" i="9"/>
  <c r="AN132" i="9" a="1"/>
  <c r="AN132" i="9"/>
  <c r="AT132" i="9" a="1"/>
  <c r="AT132" i="9"/>
  <c r="AB132" i="9"/>
  <c r="AC132" i="9"/>
  <c r="BO132" i="9" a="1"/>
  <c r="BO132" i="9"/>
  <c r="AG132" i="9"/>
  <c r="F132" i="9"/>
  <c r="I132" i="9"/>
  <c r="AX132" i="9"/>
  <c r="AO132" i="9" a="1"/>
  <c r="AO132" i="9"/>
  <c r="M132" i="9"/>
  <c r="U132" i="9"/>
  <c r="D132" i="9"/>
  <c r="BC132" i="9" a="1"/>
  <c r="BC132" i="9"/>
  <c r="BD132" i="9" a="1"/>
  <c r="BD132" i="9"/>
  <c r="AL132" i="9" a="1"/>
  <c r="AL132" i="9"/>
  <c r="AW132" i="9"/>
  <c r="S132" i="9" a="1"/>
  <c r="S132" i="9"/>
  <c r="BU132" i="9" a="1"/>
  <c r="BU132" i="9"/>
  <c r="X132" i="9"/>
  <c r="V132" i="9"/>
  <c r="BZ132" i="9" a="1"/>
  <c r="BZ132" i="9"/>
  <c r="P132" i="9"/>
  <c r="AE132" i="9"/>
  <c r="AF132" i="9"/>
  <c r="AI132" i="9" a="1"/>
  <c r="AI132" i="9"/>
  <c r="CF132" i="9"/>
  <c r="Q132" i="9" a="1"/>
  <c r="Q132" i="9"/>
  <c r="CC132" i="9" a="1"/>
  <c r="CC132" i="9"/>
  <c r="BL132" i="9" a="1"/>
  <c r="BL132" i="9"/>
  <c r="BN132" i="9" a="1"/>
  <c r="BN132" i="9"/>
  <c r="BS132" i="9" a="1"/>
  <c r="BS132" i="9"/>
  <c r="BM132" i="9" a="1"/>
  <c r="BM132" i="9"/>
  <c r="AK132" i="9" a="1"/>
  <c r="AK132" i="9"/>
  <c r="BJ132" i="9" a="1"/>
  <c r="BJ132" i="9"/>
  <c r="BF132" i="9" a="1"/>
  <c r="BF132" i="9"/>
  <c r="J132" i="9"/>
  <c r="BQ132" i="9" a="1"/>
  <c r="BQ132" i="9"/>
  <c r="AM132" i="9" a="1"/>
  <c r="AM132" i="9"/>
  <c r="O132" i="9"/>
  <c r="BR132" i="9" a="1"/>
  <c r="BR132" i="9"/>
  <c r="BI132" i="9" a="1"/>
  <c r="BI132" i="9"/>
  <c r="BH132" i="9" a="1"/>
  <c r="BH132" i="9"/>
  <c r="V99" i="9"/>
  <c r="Z99" i="9"/>
  <c r="BH99" i="9" a="1"/>
  <c r="BH99" i="9"/>
  <c r="I99" i="9"/>
  <c r="BB99" i="9" a="1"/>
  <c r="BB99" i="9"/>
  <c r="S99" i="9" a="1"/>
  <c r="S99" i="9"/>
  <c r="T99" i="9"/>
  <c r="L99" i="9"/>
  <c r="BS99" i="9" a="1"/>
  <c r="BS99" i="9"/>
  <c r="O99" i="9"/>
  <c r="AJ99" i="9" a="1"/>
  <c r="AJ99" i="9"/>
  <c r="BO99" i="9" a="1"/>
  <c r="BO99" i="9"/>
  <c r="X99" i="9"/>
  <c r="AE99" i="9"/>
  <c r="AF99" i="9"/>
  <c r="E99" i="9"/>
  <c r="AL99" i="9" a="1"/>
  <c r="AL99" i="9"/>
  <c r="AW99" i="9"/>
  <c r="BW99" i="9" a="1"/>
  <c r="BW99" i="9"/>
  <c r="AI99" i="9" a="1"/>
  <c r="AI99" i="9"/>
  <c r="BE99" i="9" a="1"/>
  <c r="BE99" i="9"/>
  <c r="D99" i="9"/>
  <c r="U99" i="9"/>
  <c r="P99" i="9"/>
  <c r="Y99" i="9"/>
  <c r="BM99" i="9" a="1"/>
  <c r="BM99" i="9"/>
  <c r="CF99" i="9"/>
  <c r="BK99" i="9" a="1"/>
  <c r="BK99" i="9"/>
  <c r="AQ99" i="9" a="1"/>
  <c r="AQ99" i="9"/>
  <c r="CA99" i="9" a="1"/>
  <c r="CA99" i="9"/>
  <c r="AD99" i="9"/>
  <c r="F99" i="9"/>
  <c r="N126" i="9"/>
  <c r="AI126" i="9" a="1"/>
  <c r="AI126" i="9"/>
  <c r="BL126" i="9" a="1"/>
  <c r="BL126" i="9"/>
  <c r="AJ126" i="9" a="1"/>
  <c r="AJ126" i="9"/>
  <c r="G126" i="9"/>
  <c r="BM126" i="9" a="1"/>
  <c r="BM126" i="9"/>
  <c r="CC126" i="9" a="1"/>
  <c r="CC126" i="9"/>
  <c r="BG126" i="9" a="1"/>
  <c r="BG126" i="9"/>
  <c r="T126" i="9"/>
  <c r="CA126" i="9" a="1"/>
  <c r="CA126" i="9"/>
  <c r="AL126" i="9" a="1"/>
  <c r="AL126" i="9"/>
  <c r="AW126" i="9"/>
  <c r="S126" i="9" a="1"/>
  <c r="S126" i="9"/>
  <c r="Y126" i="9"/>
  <c r="BW126" i="9" a="1"/>
  <c r="BW126" i="9"/>
  <c r="L126" i="9"/>
  <c r="U126" i="9"/>
  <c r="BA126" i="9" a="1"/>
  <c r="BA126" i="9"/>
  <c r="AU126" i="9" a="1"/>
  <c r="AU126" i="9"/>
  <c r="BH126" i="9" a="1"/>
  <c r="BH126" i="9"/>
  <c r="AG126" i="9"/>
  <c r="K126" i="9"/>
  <c r="AK126" i="9" a="1"/>
  <c r="AK126" i="9"/>
  <c r="BF126" i="9" a="1"/>
  <c r="BF126" i="9"/>
  <c r="AP126" i="9" a="1"/>
  <c r="AP126" i="9"/>
  <c r="O126" i="9"/>
  <c r="AS126" i="9" a="1"/>
  <c r="AS126" i="9"/>
  <c r="M126" i="9"/>
  <c r="BB126" i="9" a="1"/>
  <c r="BB126" i="9"/>
  <c r="I126" i="9"/>
  <c r="BJ126" i="9" a="1"/>
  <c r="BJ126" i="9"/>
  <c r="BT126" i="9" a="1"/>
  <c r="BT126" i="9"/>
  <c r="AM126" i="9" a="1"/>
  <c r="AM126" i="9"/>
  <c r="BS126" i="9" a="1"/>
  <c r="BS126" i="9"/>
  <c r="BK56" i="9" a="1"/>
  <c r="BK56" i="9"/>
  <c r="BS56" i="9" a="1"/>
  <c r="BS56" i="9"/>
  <c r="BH56" i="9" a="1"/>
  <c r="BH56" i="9"/>
  <c r="BB56" i="9" a="1"/>
  <c r="BB56" i="9"/>
  <c r="BE68" i="9" a="1"/>
  <c r="BE68" i="9"/>
  <c r="E68" i="9"/>
  <c r="BB68" i="9" a="1"/>
  <c r="BB68" i="9"/>
  <c r="AE68" i="9"/>
  <c r="AF68" i="9"/>
  <c r="BK68" i="9" a="1"/>
  <c r="BK68" i="9"/>
  <c r="F68" i="9"/>
  <c r="Y68" i="9"/>
  <c r="AY68" i="9" a="1"/>
  <c r="AY68" i="9"/>
  <c r="AT68" i="9" a="1"/>
  <c r="AT68" i="9"/>
  <c r="AZ68" i="9" a="1"/>
  <c r="AZ68" i="9"/>
  <c r="BJ68" i="9" a="1"/>
  <c r="BJ68" i="9"/>
  <c r="Q68" i="9" a="1"/>
  <c r="Q68" i="9"/>
  <c r="BR68" i="9" a="1"/>
  <c r="BR68" i="9"/>
  <c r="AX68" i="9"/>
  <c r="AQ68" i="9" a="1"/>
  <c r="AQ68" i="9"/>
  <c r="AR68" i="9" a="1"/>
  <c r="AR68" i="9"/>
  <c r="AP68" i="9" a="1"/>
  <c r="AP68" i="9"/>
  <c r="P68" i="9"/>
  <c r="BN68" i="9" a="1"/>
  <c r="BN68" i="9"/>
  <c r="AM68" i="9" a="1"/>
  <c r="AM68" i="9"/>
  <c r="AN68" i="9" a="1"/>
  <c r="AN68" i="9"/>
  <c r="M68" i="9"/>
  <c r="U68" i="9"/>
  <c r="AI68" i="9" a="1"/>
  <c r="AI68" i="9"/>
  <c r="CD68" i="9" a="1"/>
  <c r="CD68" i="9"/>
  <c r="BQ68" i="9" a="1"/>
  <c r="BQ68" i="9"/>
  <c r="CB68" i="9" a="1"/>
  <c r="CB68" i="9"/>
  <c r="G68" i="9"/>
  <c r="CF68" i="9"/>
  <c r="L68" i="9"/>
  <c r="AU68" i="9" a="1"/>
  <c r="AU68" i="9"/>
  <c r="BW68" i="9" a="1"/>
  <c r="BW68" i="9"/>
  <c r="AB68" i="9"/>
  <c r="AC68" i="9"/>
  <c r="AD68" i="9"/>
  <c r="AO68" i="9" a="1"/>
  <c r="AO68" i="9"/>
  <c r="N68" i="9"/>
  <c r="BT68" i="9" a="1"/>
  <c r="BT68" i="9"/>
  <c r="AK68" i="9" a="1"/>
  <c r="AK68" i="9"/>
  <c r="CA68" i="9" a="1"/>
  <c r="CA68" i="9"/>
  <c r="T68" i="9"/>
  <c r="AJ68" i="9" a="1"/>
  <c r="AJ68" i="9"/>
  <c r="AG68" i="9"/>
  <c r="BH68" i="9" a="1"/>
  <c r="BH68" i="9"/>
  <c r="BI68" i="9" a="1"/>
  <c r="BI68" i="9"/>
  <c r="I26" i="9"/>
  <c r="AX26" i="9"/>
  <c r="N26" i="9"/>
  <c r="AZ26" i="9" a="1"/>
  <c r="AZ26" i="9"/>
  <c r="Y26" i="9"/>
  <c r="AP26" i="9" a="1"/>
  <c r="AP26" i="9"/>
  <c r="Z26" i="9"/>
  <c r="BZ26" i="9" a="1"/>
  <c r="BZ26" i="9"/>
  <c r="BN26" i="9" a="1"/>
  <c r="BN26" i="9"/>
  <c r="BI26" i="9" a="1"/>
  <c r="BI26" i="9"/>
  <c r="BW26" i="9" a="1"/>
  <c r="BW26" i="9"/>
  <c r="V26" i="9"/>
  <c r="AR26" i="9" a="1"/>
  <c r="AR26" i="9"/>
  <c r="AQ26" i="9" a="1"/>
  <c r="AQ26" i="9"/>
  <c r="AJ26" i="9" a="1"/>
  <c r="AJ26" i="9"/>
  <c r="L26" i="9"/>
  <c r="O26" i="9"/>
  <c r="AU26" i="9" a="1"/>
  <c r="AU26" i="9"/>
  <c r="BQ26" i="9" a="1"/>
  <c r="BQ26" i="9"/>
  <c r="D26" i="9"/>
  <c r="BK26" i="9" a="1"/>
  <c r="BK26" i="9"/>
  <c r="Q26" i="9" a="1"/>
  <c r="Q26" i="9"/>
  <c r="X26" i="9"/>
  <c r="BS26" i="9" a="1"/>
  <c r="BS26" i="9"/>
  <c r="BM26" i="9" a="1"/>
  <c r="BM26" i="9"/>
  <c r="BJ26" i="9" a="1"/>
  <c r="BJ26" i="9"/>
  <c r="CC26" i="9" a="1"/>
  <c r="CC26" i="9"/>
  <c r="T26" i="9"/>
  <c r="CF26" i="9"/>
  <c r="BT26" i="9" a="1"/>
  <c r="BT26" i="9"/>
  <c r="CB26" i="9" a="1"/>
  <c r="CB26" i="9"/>
  <c r="BD26" i="9" a="1"/>
  <c r="BD26" i="9"/>
  <c r="BR26" i="9" a="1"/>
  <c r="BR26" i="9"/>
  <c r="AI26" i="9" a="1"/>
  <c r="AI26" i="9"/>
  <c r="AE26" i="9"/>
  <c r="AF26" i="9"/>
  <c r="AY26" i="9" a="1"/>
  <c r="AY26" i="9"/>
  <c r="AG26" i="9"/>
  <c r="G26" i="9"/>
  <c r="AT26" i="9" a="1"/>
  <c r="AT26" i="9"/>
  <c r="AL26" i="9" a="1"/>
  <c r="AL26" i="9"/>
  <c r="AV26" i="9"/>
  <c r="AS26" i="9" a="1"/>
  <c r="AS26" i="9"/>
  <c r="S26" i="9" a="1"/>
  <c r="S26" i="9"/>
  <c r="BG26" i="9" a="1"/>
  <c r="BG26" i="9"/>
  <c r="BU26" i="9" a="1"/>
  <c r="BU26" i="9"/>
  <c r="BL26" i="9" a="1"/>
  <c r="BL26" i="9"/>
  <c r="AO26" i="9" a="1"/>
  <c r="AO26" i="9"/>
  <c r="BF26" i="9" a="1"/>
  <c r="BF26" i="9"/>
  <c r="BC26" i="9" a="1"/>
  <c r="BC26" i="9"/>
  <c r="T65" i="9"/>
  <c r="K65" i="9"/>
  <c r="AY65" i="9" a="1"/>
  <c r="AY65" i="9"/>
  <c r="AR65" i="9" a="1"/>
  <c r="AR65" i="9"/>
  <c r="BS65" i="9" a="1"/>
  <c r="BS65" i="9"/>
  <c r="AK65" i="9" a="1"/>
  <c r="AK65" i="9"/>
  <c r="BF65" i="9" a="1"/>
  <c r="BF65" i="9"/>
  <c r="BO65" i="9" a="1"/>
  <c r="BO65" i="9"/>
  <c r="BJ65" i="9" a="1"/>
  <c r="BJ65" i="9"/>
  <c r="O65" i="9"/>
  <c r="AL65" i="9" a="1"/>
  <c r="AL65" i="9"/>
  <c r="AW65" i="9"/>
  <c r="BU65" i="9" a="1"/>
  <c r="BU65" i="9"/>
  <c r="X65" i="9"/>
  <c r="BK65" i="9" a="1"/>
  <c r="BK65" i="9"/>
  <c r="BZ65" i="9" a="1"/>
  <c r="BZ65" i="9"/>
  <c r="BH65" i="9" a="1"/>
  <c r="BH65" i="9"/>
  <c r="CC65" i="9" a="1"/>
  <c r="CC65" i="9"/>
  <c r="BC65" i="9" a="1"/>
  <c r="BC65" i="9"/>
  <c r="BL65" i="9" a="1"/>
  <c r="BL65" i="9"/>
  <c r="J65" i="9"/>
  <c r="BN65" i="9" a="1"/>
  <c r="BN65" i="9"/>
  <c r="BD65" i="9" a="1"/>
  <c r="BD65" i="9"/>
  <c r="BR65" i="9" a="1"/>
  <c r="BR65" i="9"/>
  <c r="D65" i="9"/>
  <c r="AT65" i="9" a="1"/>
  <c r="AT65" i="9"/>
  <c r="AT117" i="9" a="1"/>
  <c r="AT117" i="9"/>
  <c r="CB117" i="9" a="1"/>
  <c r="CB117" i="9"/>
  <c r="CD117" i="9" a="1"/>
  <c r="CD117" i="9"/>
  <c r="AN117" i="9" a="1"/>
  <c r="AN117" i="9"/>
  <c r="BK117" i="9" a="1"/>
  <c r="BK117" i="9"/>
  <c r="T117" i="9"/>
  <c r="AX117" i="9"/>
  <c r="U117" i="9"/>
  <c r="BM117" i="9" a="1"/>
  <c r="BM117" i="9"/>
  <c r="AS117" i="9" a="1"/>
  <c r="AS117" i="9"/>
  <c r="AM117" i="9" a="1"/>
  <c r="AM117" i="9"/>
  <c r="BT117" i="9" a="1"/>
  <c r="BT117" i="9"/>
  <c r="BB117" i="9" a="1"/>
  <c r="BB117" i="9"/>
  <c r="AK117" i="9" a="1"/>
  <c r="AK117" i="9"/>
  <c r="BJ117" i="9" a="1"/>
  <c r="BJ117" i="9"/>
  <c r="CF117" i="9"/>
  <c r="AU117" i="9" a="1"/>
  <c r="AU117" i="9"/>
  <c r="BZ117" i="9" a="1"/>
  <c r="BZ117" i="9"/>
  <c r="AP117" i="9" a="1"/>
  <c r="AP117" i="9"/>
  <c r="BC117" i="9" a="1"/>
  <c r="BC117" i="9"/>
  <c r="CC117" i="9" a="1"/>
  <c r="CC117" i="9"/>
  <c r="D117" i="9"/>
  <c r="S117" i="9" a="1"/>
  <c r="S117" i="9"/>
  <c r="AR117" i="9" a="1"/>
  <c r="AR117" i="9"/>
  <c r="AL117" i="9" a="1"/>
  <c r="AL117" i="9"/>
  <c r="BF117" i="9" a="1"/>
  <c r="BF117" i="9"/>
  <c r="M117" i="9"/>
  <c r="N117" i="9"/>
  <c r="BI117" i="9" a="1"/>
  <c r="BI117" i="9"/>
  <c r="AO117" i="9" a="1"/>
  <c r="AO117" i="9"/>
  <c r="CA117" i="9" a="1"/>
  <c r="CA117" i="9"/>
  <c r="X117" i="9"/>
  <c r="BL117" i="9" a="1"/>
  <c r="BL117" i="9"/>
  <c r="BG117" i="9" a="1"/>
  <c r="BG117" i="9"/>
  <c r="V117" i="9"/>
  <c r="BR117" i="9" a="1"/>
  <c r="BR117" i="9"/>
  <c r="AQ117" i="9" a="1"/>
  <c r="AQ117" i="9"/>
  <c r="BQ117" i="9" a="1"/>
  <c r="BQ117" i="9"/>
  <c r="AD117" i="9"/>
  <c r="BS117" i="9" a="1"/>
  <c r="BS117" i="9"/>
  <c r="BA117" i="9" a="1"/>
  <c r="BA117" i="9"/>
  <c r="BD117" i="9" a="1"/>
  <c r="BD117" i="9"/>
  <c r="AG117" i="9"/>
  <c r="AJ117" i="9" a="1"/>
  <c r="AJ117" i="9"/>
  <c r="X49" i="9"/>
  <c r="AM49" i="9" a="1"/>
  <c r="AM49" i="9"/>
  <c r="M49" i="9"/>
  <c r="N49" i="9"/>
  <c r="T49" i="9"/>
  <c r="CA49" i="9" a="1"/>
  <c r="CA49" i="9"/>
  <c r="AR49" i="9" a="1"/>
  <c r="AR49" i="9"/>
  <c r="BA49" i="9" a="1"/>
  <c r="BA49" i="9"/>
  <c r="AP49" i="9" a="1"/>
  <c r="AP49" i="9"/>
  <c r="BK49" i="9" a="1"/>
  <c r="BK49" i="9"/>
  <c r="I49" i="9"/>
  <c r="BH49" i="9" a="1"/>
  <c r="BH49" i="9"/>
  <c r="CD49" i="9" a="1"/>
  <c r="CD49" i="9"/>
  <c r="AY28" i="9" a="1"/>
  <c r="AY28" i="9"/>
  <c r="BH28" i="9" a="1"/>
  <c r="BH28" i="9"/>
  <c r="M28" i="9"/>
  <c r="AN28" i="9" a="1"/>
  <c r="AN28" i="9"/>
  <c r="AT28" i="9" a="1"/>
  <c r="AT28" i="9"/>
  <c r="Z28" i="9"/>
  <c r="BD28" i="9" a="1"/>
  <c r="BD28" i="9"/>
  <c r="BU28" i="9" a="1"/>
  <c r="BU28" i="9"/>
  <c r="P28" i="9"/>
  <c r="K28" i="9"/>
  <c r="X28" i="9"/>
  <c r="T28" i="9"/>
  <c r="G28" i="9"/>
  <c r="V28" i="9"/>
  <c r="AB28" i="9"/>
  <c r="AC28" i="9"/>
  <c r="AI28" i="9" a="1"/>
  <c r="AI28" i="9"/>
  <c r="CA28" i="9" a="1"/>
  <c r="CA28" i="9"/>
  <c r="AO28" i="9" a="1"/>
  <c r="AO28" i="9"/>
  <c r="AZ28" i="9" a="1"/>
  <c r="AZ28" i="9"/>
  <c r="I28" i="9"/>
  <c r="D28" i="9"/>
  <c r="Y28" i="9"/>
  <c r="AX28" i="9"/>
  <c r="BG28" i="9" a="1"/>
  <c r="BG28" i="9"/>
  <c r="BT28" i="9" a="1"/>
  <c r="BT28" i="9"/>
  <c r="AJ28" i="9" a="1"/>
  <c r="AJ28" i="9"/>
  <c r="Q28" i="9" a="1"/>
  <c r="Q28" i="9"/>
  <c r="AK28" i="9" a="1"/>
  <c r="AK28" i="9"/>
  <c r="BI28" i="9" a="1"/>
  <c r="BI28" i="9"/>
  <c r="BC28" i="9" a="1"/>
  <c r="BC28" i="9"/>
  <c r="AQ28" i="9" a="1"/>
  <c r="AQ28" i="9"/>
  <c r="E28" i="9"/>
  <c r="BJ28" i="9" a="1"/>
  <c r="BJ28" i="9"/>
  <c r="CD28" i="9" a="1"/>
  <c r="CD28" i="9"/>
  <c r="BE28" i="9" a="1"/>
  <c r="BE28" i="9"/>
  <c r="F28" i="9"/>
  <c r="N28" i="9"/>
  <c r="BR28" i="9" a="1"/>
  <c r="BR28" i="9"/>
  <c r="BL28" i="9" a="1"/>
  <c r="BL28" i="9"/>
  <c r="AP28" i="9" a="1"/>
  <c r="AP28" i="9"/>
  <c r="BO28" i="9" a="1"/>
  <c r="BO28" i="9"/>
  <c r="BS28" i="9" a="1"/>
  <c r="BS28" i="9"/>
  <c r="AD28" i="9"/>
  <c r="J28" i="9"/>
  <c r="BF28" i="9" a="1"/>
  <c r="BF28" i="9"/>
  <c r="CF28" i="9"/>
  <c r="AE28" i="9"/>
  <c r="AF28" i="9"/>
  <c r="CB28" i="9" a="1"/>
  <c r="CB28" i="9"/>
  <c r="AI56" i="9" a="1"/>
  <c r="AI56" i="9"/>
  <c r="X56" i="9"/>
  <c r="BJ56" i="9" a="1"/>
  <c r="BJ56" i="9"/>
  <c r="CA56" i="9" a="1"/>
  <c r="CA56" i="9"/>
  <c r="BU56" i="9" a="1"/>
  <c r="BU56" i="9"/>
  <c r="BE56" i="9" a="1"/>
  <c r="BE56" i="9"/>
  <c r="AJ56" i="9" a="1"/>
  <c r="AJ56" i="9"/>
  <c r="Q56" i="9" a="1"/>
  <c r="Q56" i="9"/>
  <c r="AD56" i="9"/>
  <c r="AM56" i="9" a="1"/>
  <c r="AM56" i="9"/>
  <c r="AY50" i="9" a="1"/>
  <c r="AY50" i="9"/>
  <c r="O50" i="9"/>
  <c r="AK49" i="9" a="1"/>
  <c r="AK49" i="9"/>
  <c r="V49" i="9"/>
  <c r="BC49" i="9" a="1"/>
  <c r="BC49" i="9"/>
  <c r="AU49" i="9" a="1"/>
  <c r="AU49" i="9"/>
  <c r="AP45" i="9" a="1"/>
  <c r="AP45" i="9"/>
  <c r="Z45" i="9"/>
  <c r="BN45" i="9" a="1"/>
  <c r="BN45" i="9"/>
  <c r="E49" i="9"/>
  <c r="L49" i="9"/>
  <c r="AU45" i="9" a="1"/>
  <c r="AU45" i="9"/>
  <c r="BQ45" i="9" a="1"/>
  <c r="BQ45" i="9"/>
  <c r="CF45" i="9"/>
  <c r="F56" i="9"/>
  <c r="AT56" i="9" a="1"/>
  <c r="AT56" i="9"/>
  <c r="L56" i="9"/>
  <c r="BC56" i="9" a="1"/>
  <c r="BC56" i="9"/>
  <c r="T56" i="9"/>
  <c r="BF56" i="9" a="1"/>
  <c r="BF56" i="9"/>
  <c r="BD56" i="9" a="1"/>
  <c r="BD56" i="9"/>
  <c r="BT56" i="9" a="1"/>
  <c r="BT56" i="9"/>
  <c r="BO56" i="9" a="1"/>
  <c r="BO56" i="9"/>
  <c r="BZ56" i="9" a="1"/>
  <c r="BZ56" i="9"/>
  <c r="BQ56" i="9" a="1"/>
  <c r="BQ56" i="9"/>
  <c r="O56" i="9"/>
  <c r="AB56" i="9"/>
  <c r="AC56" i="9"/>
  <c r="V56" i="9"/>
  <c r="I56" i="9"/>
  <c r="X67" i="9"/>
  <c r="BS67" i="9" a="1"/>
  <c r="BS67" i="9"/>
  <c r="AM67" i="9" a="1"/>
  <c r="AM67" i="9"/>
  <c r="T67" i="9"/>
  <c r="BH67" i="9" a="1"/>
  <c r="BH67" i="9"/>
  <c r="K67" i="9"/>
  <c r="BT67" i="9" a="1"/>
  <c r="BT67" i="9"/>
  <c r="AU67" i="9" a="1"/>
  <c r="AU67" i="9"/>
  <c r="Z67" i="9"/>
  <c r="BO67" i="9" a="1"/>
  <c r="BO67" i="9"/>
  <c r="AB67" i="9"/>
  <c r="AC67" i="9"/>
  <c r="AI67" i="9" a="1"/>
  <c r="AI67" i="9"/>
  <c r="BF67" i="9" a="1"/>
  <c r="BF67" i="9"/>
  <c r="BW67" i="9" a="1"/>
  <c r="BW67" i="9"/>
  <c r="AM50" i="9" a="1"/>
  <c r="AM50" i="9"/>
  <c r="Z50" i="9"/>
  <c r="AY49" i="9" a="1"/>
  <c r="AY49" i="9"/>
  <c r="AJ49" i="9" a="1"/>
  <c r="AJ49" i="9"/>
  <c r="Q49" i="9" a="1"/>
  <c r="Q49" i="9"/>
  <c r="BM49" i="9" a="1"/>
  <c r="BM49" i="9"/>
  <c r="M45" i="9"/>
  <c r="BM45" i="9" a="1"/>
  <c r="BM45" i="9"/>
  <c r="AN45" i="9" a="1"/>
  <c r="AN45" i="9"/>
  <c r="Y45" i="9"/>
  <c r="BO49" i="9" a="1"/>
  <c r="BO49" i="9"/>
  <c r="BS49" i="9" a="1"/>
  <c r="BS49" i="9"/>
  <c r="T45" i="9"/>
  <c r="BW45" i="9" a="1"/>
  <c r="BW45" i="9"/>
  <c r="BK45" i="9" a="1"/>
  <c r="BK45" i="9"/>
  <c r="AG45" i="9"/>
  <c r="AI45" i="9" a="1"/>
  <c r="AI45" i="9"/>
  <c r="AX45" i="9"/>
  <c r="O49" i="9"/>
  <c r="AL49" i="9" a="1"/>
  <c r="AL49" i="9"/>
  <c r="AV49" i="9"/>
  <c r="AD49" i="9"/>
  <c r="P49" i="9"/>
  <c r="BD49" i="9" a="1"/>
  <c r="BD49" i="9"/>
  <c r="AS49" i="9" a="1"/>
  <c r="AS49" i="9"/>
  <c r="BQ99" i="9" a="1"/>
  <c r="BQ99" i="9"/>
  <c r="N99" i="9"/>
  <c r="Q126" i="9" a="1"/>
  <c r="Q126" i="9"/>
  <c r="AB126" i="9"/>
  <c r="AC126" i="9"/>
  <c r="BE126" i="9" a="1"/>
  <c r="BE126" i="9"/>
  <c r="BZ126" i="9" a="1"/>
  <c r="BZ126" i="9"/>
  <c r="CB99" i="9" a="1"/>
  <c r="CB99" i="9"/>
  <c r="AU99" i="9" a="1"/>
  <c r="AU99" i="9"/>
  <c r="AO99" i="9" a="1"/>
  <c r="AO99" i="9"/>
  <c r="D126" i="9"/>
  <c r="AE126" i="9"/>
  <c r="AF126" i="9"/>
  <c r="AD126" i="9"/>
  <c r="CD99" i="9" a="1"/>
  <c r="CD99" i="9"/>
  <c r="Q65" i="9" a="1"/>
  <c r="Q65" i="9"/>
  <c r="F45" i="9"/>
  <c r="BW118" i="9" a="1"/>
  <c r="BW118" i="9"/>
  <c r="BH118" i="9" a="1"/>
  <c r="BH118" i="9"/>
  <c r="BR118" i="9" a="1"/>
  <c r="BR118" i="9"/>
  <c r="CF118" i="9"/>
  <c r="BK118" i="9" a="1"/>
  <c r="BK118" i="9"/>
  <c r="AQ118" i="9" a="1"/>
  <c r="AQ118" i="9"/>
  <c r="CD118" i="9" a="1"/>
  <c r="CD118" i="9"/>
  <c r="CC118" i="9" a="1"/>
  <c r="CC118" i="9"/>
  <c r="AT118" i="9" a="1"/>
  <c r="AT118" i="9"/>
  <c r="E118" i="9"/>
  <c r="M118" i="9"/>
  <c r="BM65" i="9" a="1"/>
  <c r="BM65" i="9"/>
  <c r="F65" i="9"/>
  <c r="BT65" i="9" a="1"/>
  <c r="BT65" i="9"/>
  <c r="G65" i="9"/>
  <c r="AB65" i="9"/>
  <c r="AC65" i="9"/>
  <c r="CF65" i="9"/>
  <c r="AD67" i="9"/>
  <c r="AT45" i="9" a="1"/>
  <c r="AT45" i="9"/>
  <c r="BE45" i="9" a="1"/>
  <c r="BE45" i="9"/>
  <c r="CC45" i="9" a="1"/>
  <c r="CC45" i="9"/>
  <c r="BW49" i="9" a="1"/>
  <c r="BW49" i="9"/>
  <c r="U65" i="9"/>
  <c r="P65" i="9"/>
  <c r="K45" i="9"/>
  <c r="BW50" i="9" a="1"/>
  <c r="BW50" i="9"/>
  <c r="Y50" i="9"/>
  <c r="BA50" i="9" a="1"/>
  <c r="BA50" i="9"/>
  <c r="E50" i="9"/>
  <c r="AN50" i="9" a="1"/>
  <c r="AN50" i="9"/>
  <c r="X50" i="9"/>
  <c r="L50" i="9"/>
  <c r="BK50" i="9" a="1"/>
  <c r="BK50" i="9"/>
  <c r="F50" i="9"/>
  <c r="AU50" i="9" a="1"/>
  <c r="AU50" i="9"/>
  <c r="BJ45" i="9" a="1"/>
  <c r="BJ45" i="9"/>
  <c r="P118" i="9"/>
  <c r="AM99" i="9" a="1"/>
  <c r="AM99" i="9"/>
  <c r="BC68" i="9" a="1"/>
  <c r="BC68" i="9"/>
  <c r="BJ19" i="9" a="1"/>
  <c r="BJ19" i="9"/>
  <c r="FW43" i="1"/>
  <c r="BM68" i="9" a="1"/>
  <c r="BM68" i="9"/>
  <c r="BC19" i="9" a="1"/>
  <c r="BC19" i="9"/>
  <c r="EE43" i="1"/>
  <c r="AD19" i="9"/>
  <c r="X68" i="9"/>
  <c r="M19" i="9"/>
  <c r="CY43" i="1"/>
  <c r="AK19" i="9" a="1"/>
  <c r="AK19" i="9"/>
  <c r="AB26" i="9"/>
  <c r="AC26" i="9"/>
  <c r="BB50" i="9" a="1"/>
  <c r="BB50" i="9"/>
  <c r="BF68" i="9" a="1"/>
  <c r="BF68" i="9"/>
  <c r="S68" i="9" a="1"/>
  <c r="S68" i="9"/>
  <c r="AU28" i="9" a="1"/>
  <c r="AU28" i="9"/>
  <c r="CF126" i="9"/>
  <c r="AY132" i="9" a="1"/>
  <c r="AY132" i="9"/>
  <c r="BT132" i="9" a="1"/>
  <c r="BT132" i="9"/>
  <c r="S28" i="9" a="1"/>
  <c r="S28" i="9"/>
  <c r="U28" i="9"/>
  <c r="AM28" i="9" a="1"/>
  <c r="AM28" i="9"/>
  <c r="AN126" i="9" a="1"/>
  <c r="AN126" i="9"/>
  <c r="AD26" i="9"/>
  <c r="BH26" i="9" a="1"/>
  <c r="BH26" i="9"/>
  <c r="BD68" i="9" a="1"/>
  <c r="BD68" i="9"/>
  <c r="BA68" i="9" a="1"/>
  <c r="BA68" i="9"/>
  <c r="E19" i="9"/>
  <c r="D43" i="1"/>
  <c r="E126" i="9"/>
  <c r="AU65" i="9" a="1"/>
  <c r="AU65" i="9"/>
  <c r="I67" i="9"/>
  <c r="O28" i="9"/>
  <c r="L132" i="9"/>
  <c r="AQ132" i="9" a="1"/>
  <c r="AQ132" i="9"/>
  <c r="BB132" i="9" a="1"/>
  <c r="BB132" i="9"/>
  <c r="BO26" i="9" a="1"/>
  <c r="BO26" i="9"/>
  <c r="AQ128" i="9" a="1"/>
  <c r="AQ128" i="9"/>
  <c r="BU34" i="9" a="1"/>
  <c r="BU34" i="9"/>
  <c r="BW34" i="9" a="1"/>
  <c r="BW34" i="9"/>
  <c r="BH34" i="9" a="1"/>
  <c r="BH34" i="9"/>
  <c r="BQ34" i="9" a="1"/>
  <c r="BQ34" i="9"/>
  <c r="BJ21" i="9" a="1"/>
  <c r="BJ21" i="9"/>
  <c r="FW45" i="1"/>
  <c r="Y21" i="9"/>
  <c r="BB21" i="9" a="1"/>
  <c r="BB21" i="9"/>
  <c r="BW45" i="1"/>
  <c r="AP21" i="9" a="1"/>
  <c r="AP21" i="9"/>
  <c r="BC64" i="9" a="1"/>
  <c r="BC64" i="9"/>
  <c r="BM64" i="9" a="1"/>
  <c r="BM64" i="9"/>
  <c r="BH117" i="9" a="1"/>
  <c r="BH117" i="9"/>
  <c r="Z117" i="9"/>
  <c r="AN99" i="9" a="1"/>
  <c r="AN99" i="9"/>
  <c r="BN99" i="9" a="1"/>
  <c r="BN99" i="9"/>
  <c r="AX99" i="9"/>
  <c r="BR126" i="9" a="1"/>
  <c r="BR126" i="9"/>
  <c r="X126" i="9"/>
  <c r="BC126" i="9" a="1"/>
  <c r="BC126" i="9"/>
  <c r="M99" i="9"/>
  <c r="BT99" i="9" a="1"/>
  <c r="BT99" i="9"/>
  <c r="BD99" i="9" a="1"/>
  <c r="BD99" i="9"/>
  <c r="AG99" i="9"/>
  <c r="BQ126" i="9" a="1"/>
  <c r="BQ126" i="9"/>
  <c r="AX126" i="9"/>
  <c r="G99" i="9"/>
  <c r="BZ99" i="9" a="1"/>
  <c r="BZ99" i="9"/>
  <c r="AS65" i="9" a="1"/>
  <c r="AS65" i="9"/>
  <c r="AG65" i="9"/>
  <c r="BB45" i="9" a="1"/>
  <c r="BB45" i="9"/>
  <c r="AO118" i="9" a="1"/>
  <c r="AO118" i="9"/>
  <c r="BQ118" i="9" a="1"/>
  <c r="BQ118" i="9"/>
  <c r="BN118" i="9" a="1"/>
  <c r="BN118" i="9"/>
  <c r="BO118" i="9" a="1"/>
  <c r="BO118" i="9"/>
  <c r="AP118" i="9" a="1"/>
  <c r="AP118" i="9"/>
  <c r="BT118" i="9" a="1"/>
  <c r="BT118" i="9"/>
  <c r="AE118" i="9"/>
  <c r="AF118" i="9"/>
  <c r="F118" i="9"/>
  <c r="D118" i="9"/>
  <c r="T118" i="9"/>
  <c r="AN118" i="9" a="1"/>
  <c r="AN118" i="9"/>
  <c r="S65" i="9" a="1"/>
  <c r="S65" i="9"/>
  <c r="Y65" i="9"/>
  <c r="N65" i="9"/>
  <c r="AZ65" i="9" a="1"/>
  <c r="AZ65" i="9"/>
  <c r="AP65" i="9" a="1"/>
  <c r="AP65" i="9"/>
  <c r="AE65" i="9"/>
  <c r="AF65" i="9"/>
  <c r="BR67" i="9" a="1"/>
  <c r="BR67" i="9"/>
  <c r="AM45" i="9" a="1"/>
  <c r="AM45" i="9"/>
  <c r="BL45" i="9" a="1"/>
  <c r="BL45" i="9"/>
  <c r="J45" i="9"/>
  <c r="G49" i="9"/>
  <c r="Z118" i="9"/>
  <c r="CA65" i="9" a="1"/>
  <c r="CA65" i="9"/>
  <c r="CB65" i="9" a="1"/>
  <c r="CB65" i="9"/>
  <c r="BZ45" i="9" a="1"/>
  <c r="BZ45" i="9"/>
  <c r="BC50" i="9" a="1"/>
  <c r="BC50" i="9"/>
  <c r="AG50" i="9"/>
  <c r="BE50" i="9" a="1"/>
  <c r="BE50" i="9"/>
  <c r="BI50" i="9" a="1"/>
  <c r="BI50" i="9"/>
  <c r="AT50" i="9" a="1"/>
  <c r="AT50" i="9"/>
  <c r="AI50" i="9" a="1"/>
  <c r="AI50" i="9"/>
  <c r="BF50" i="9" a="1"/>
  <c r="BF50" i="9"/>
  <c r="CD50" i="9" a="1"/>
  <c r="CD50" i="9"/>
  <c r="BL50" i="9" a="1"/>
  <c r="BL50" i="9"/>
  <c r="AP50" i="9" a="1"/>
  <c r="AP50" i="9"/>
  <c r="BQ50" i="9" a="1"/>
  <c r="BQ50" i="9"/>
  <c r="AY118" i="9" a="1"/>
  <c r="AY118" i="9"/>
  <c r="S45" i="9" a="1"/>
  <c r="S45" i="9"/>
  <c r="BJ49" i="9" a="1"/>
  <c r="BJ49" i="9"/>
  <c r="BU126" i="9" a="1"/>
  <c r="BU126" i="9"/>
  <c r="BZ68" i="9" a="1"/>
  <c r="BZ68" i="9"/>
  <c r="AY19" i="9" a="1"/>
  <c r="AY19" i="9"/>
  <c r="CI43" i="1"/>
  <c r="BU19" i="9" a="1"/>
  <c r="BU19" i="9"/>
  <c r="FK43" i="1"/>
  <c r="K68" i="9"/>
  <c r="BA19" i="9" a="1"/>
  <c r="BA19" i="9"/>
  <c r="CA43" i="1"/>
  <c r="BM19" i="9" a="1"/>
  <c r="BM19" i="9"/>
  <c r="BG43" i="1"/>
  <c r="AL68" i="9" a="1"/>
  <c r="AL68" i="9"/>
  <c r="AW68" i="9"/>
  <c r="F19" i="9"/>
  <c r="V43" i="1"/>
  <c r="CA26" i="9" a="1"/>
  <c r="CA26" i="9"/>
  <c r="P26" i="9"/>
  <c r="AD50" i="9"/>
  <c r="O68" i="9"/>
  <c r="BO68" i="9" a="1"/>
  <c r="BO68" i="9"/>
  <c r="AS28" i="9" a="1"/>
  <c r="AS28" i="9"/>
  <c r="BD126" i="9" a="1"/>
  <c r="BD126" i="9"/>
  <c r="AP132" i="9" a="1"/>
  <c r="AP132" i="9"/>
  <c r="Z132" i="9"/>
  <c r="BW28" i="9" a="1"/>
  <c r="BW28" i="9"/>
  <c r="BN28" i="9" a="1"/>
  <c r="BN28" i="9"/>
  <c r="BA28" i="9" a="1"/>
  <c r="BA28" i="9"/>
  <c r="BR99" i="9" a="1"/>
  <c r="BR99" i="9"/>
  <c r="AZ126" i="9" a="1"/>
  <c r="AZ126" i="9"/>
  <c r="AK26" i="9" a="1"/>
  <c r="AK26" i="9"/>
  <c r="AE19" i="9"/>
  <c r="AF19" i="9"/>
  <c r="F26" i="9"/>
  <c r="AM19" i="9" a="1"/>
  <c r="AM19" i="9"/>
  <c r="E26" i="9"/>
  <c r="K26" i="9"/>
  <c r="BB65" i="9" a="1"/>
  <c r="BB65" i="9"/>
  <c r="BK28" i="9" a="1"/>
  <c r="BK28" i="9"/>
  <c r="AU132" i="9" a="1"/>
  <c r="AU132" i="9"/>
  <c r="K132" i="9"/>
  <c r="G132" i="9"/>
  <c r="AZ132" i="9" a="1"/>
  <c r="AZ132" i="9"/>
  <c r="AU128" i="9" a="1"/>
  <c r="AU128" i="9"/>
  <c r="AR128" i="9" a="1"/>
  <c r="AR128" i="9"/>
  <c r="AS34" i="9" a="1"/>
  <c r="AS34" i="9"/>
  <c r="BF34" i="9" a="1"/>
  <c r="BF34" i="9"/>
  <c r="BQ42" i="9" a="1"/>
  <c r="BQ42" i="9"/>
  <c r="G34" i="9"/>
  <c r="BN21" i="9" a="1"/>
  <c r="BN21" i="9"/>
  <c r="BO45" i="1"/>
  <c r="BR21" i="9" a="1"/>
  <c r="BR21" i="9"/>
  <c r="EY45" i="1"/>
  <c r="AL34" i="9" a="1"/>
  <c r="AL34" i="9"/>
  <c r="AV34" i="9"/>
  <c r="Q64" i="9" a="1"/>
  <c r="Q64" i="9"/>
  <c r="P64" i="9"/>
  <c r="P117" i="9"/>
  <c r="K117" i="9"/>
  <c r="AE117" i="9"/>
  <c r="AF117" i="9"/>
  <c r="O33" i="9"/>
  <c r="AL33" i="9" a="1"/>
  <c r="AL33" i="9"/>
  <c r="AV33" i="9"/>
  <c r="BJ24" i="9" a="1"/>
  <c r="BJ24" i="9"/>
  <c r="FW48" i="1"/>
  <c r="N24" i="9"/>
  <c r="DO48" i="1"/>
  <c r="BG24" i="9" a="1"/>
  <c r="BG24" i="9"/>
  <c r="EA48" i="1"/>
  <c r="AB24" i="9"/>
  <c r="AC24" i="9"/>
  <c r="BL24" i="9" a="1"/>
  <c r="BL24" i="9"/>
  <c r="EU48" i="1"/>
  <c r="AG24" i="9"/>
  <c r="BD24" i="9" a="1"/>
  <c r="BD24" i="9"/>
  <c r="EI48" i="1"/>
  <c r="AQ24" i="9" a="1"/>
  <c r="AQ24" i="9"/>
  <c r="E24" i="9"/>
  <c r="D48" i="1"/>
  <c r="U24" i="9"/>
  <c r="AS24" i="9" a="1"/>
  <c r="AS24" i="9"/>
  <c r="K24" i="9"/>
  <c r="CQ48" i="1"/>
  <c r="AY24" i="9" a="1"/>
  <c r="AY24" i="9"/>
  <c r="CI48" i="1"/>
  <c r="CB24" i="9" a="1"/>
  <c r="CB24" i="9"/>
  <c r="AY48" i="1"/>
  <c r="AE24" i="9"/>
  <c r="AF24" i="9"/>
  <c r="T24" i="9"/>
  <c r="P104" i="9"/>
  <c r="S104" i="9" a="1"/>
  <c r="S104" i="9"/>
  <c r="AQ104" i="9" a="1"/>
  <c r="AQ104" i="9"/>
  <c r="BT104" i="9" a="1"/>
  <c r="BT104" i="9"/>
  <c r="BF104" i="9" a="1"/>
  <c r="BF104" i="9"/>
  <c r="BC104" i="9" a="1"/>
  <c r="BC104" i="9"/>
  <c r="BB104" i="9" a="1"/>
  <c r="BB104" i="9"/>
  <c r="K104" i="9"/>
  <c r="AK104" i="9" a="1"/>
  <c r="AK104" i="9"/>
  <c r="AE104" i="9"/>
  <c r="AF104" i="9"/>
  <c r="BM104" i="9" a="1"/>
  <c r="BM104" i="9"/>
  <c r="BL104" i="9" a="1"/>
  <c r="BL104" i="9"/>
  <c r="D104" i="9"/>
  <c r="N104" i="9"/>
  <c r="CC104" i="9" a="1"/>
  <c r="CC104" i="9"/>
  <c r="CB104" i="9" a="1"/>
  <c r="CB104" i="9"/>
  <c r="AJ90" i="9" a="1"/>
  <c r="AJ90" i="9"/>
  <c r="BC90" i="9" a="1"/>
  <c r="BC90" i="9"/>
  <c r="X90" i="9"/>
  <c r="AQ90" i="9" a="1"/>
  <c r="AQ90" i="9"/>
  <c r="Z90" i="9"/>
  <c r="BF90" i="9" a="1"/>
  <c r="BF90" i="9"/>
  <c r="CA90" i="9" a="1"/>
  <c r="CA90" i="9"/>
  <c r="AD90" i="9"/>
  <c r="AE90" i="9"/>
  <c r="AF90" i="9"/>
  <c r="O90" i="9"/>
  <c r="BA90" i="9" a="1"/>
  <c r="BA90" i="9"/>
  <c r="BJ90" i="9" a="1"/>
  <c r="BJ90" i="9"/>
  <c r="AT90" i="9" a="1"/>
  <c r="AT90" i="9"/>
  <c r="L90" i="9"/>
  <c r="BE90" i="9" a="1"/>
  <c r="BE90" i="9"/>
  <c r="AB90" i="9"/>
  <c r="AC90" i="9"/>
  <c r="G90" i="9"/>
  <c r="S24" i="9" a="1"/>
  <c r="S24" i="9"/>
  <c r="DG48" i="1"/>
  <c r="BC24" i="9" a="1"/>
  <c r="BC24" i="9"/>
  <c r="EE48" i="1"/>
  <c r="BR24" i="9" a="1"/>
  <c r="BR24" i="9"/>
  <c r="EY48" i="1"/>
  <c r="AN24" i="9" a="1"/>
  <c r="AN24" i="9"/>
  <c r="AL24" i="9" a="1"/>
  <c r="AL24" i="9"/>
  <c r="AK24" i="9" a="1"/>
  <c r="AK24" i="9"/>
  <c r="BW24" i="9" a="1"/>
  <c r="BW24" i="9"/>
  <c r="FO48" i="1"/>
  <c r="G24" i="9"/>
  <c r="P48" i="1"/>
  <c r="AX24" i="9"/>
  <c r="BC48" i="1"/>
  <c r="I24" i="9"/>
  <c r="AB48" i="1"/>
  <c r="BH24" i="9" a="1"/>
  <c r="BH24" i="9"/>
  <c r="DC48" i="1"/>
  <c r="AP24" i="9" a="1"/>
  <c r="AP24" i="9"/>
  <c r="AD24" i="9"/>
  <c r="BI104" i="9" a="1"/>
  <c r="BI104" i="9"/>
  <c r="BO104" i="9" a="1"/>
  <c r="BO104" i="9"/>
  <c r="AL104" i="9" a="1"/>
  <c r="AL104" i="9"/>
  <c r="Z104" i="9"/>
  <c r="CA104" i="9" a="1"/>
  <c r="CA104" i="9"/>
  <c r="Q104" i="9" a="1"/>
  <c r="Q104" i="9"/>
  <c r="AS104" i="9" a="1"/>
  <c r="AS104" i="9"/>
  <c r="Y104" i="9"/>
  <c r="U104" i="9"/>
  <c r="G104" i="9"/>
  <c r="AO104" i="9" a="1"/>
  <c r="AO104" i="9"/>
  <c r="BT98" i="9" a="1"/>
  <c r="BT98" i="9"/>
  <c r="BU98" i="9" a="1"/>
  <c r="BU98" i="9"/>
  <c r="M98" i="9"/>
  <c r="L98" i="9"/>
  <c r="I98" i="9"/>
  <c r="AX98" i="9"/>
  <c r="BJ98" i="9" a="1"/>
  <c r="BJ98" i="9"/>
  <c r="CA98" i="9" a="1"/>
  <c r="CA98" i="9"/>
  <c r="BZ98" i="9" a="1"/>
  <c r="BZ98" i="9"/>
  <c r="AT98" i="9" a="1"/>
  <c r="AT98" i="9"/>
  <c r="AN98" i="9" a="1"/>
  <c r="AN98" i="9"/>
  <c r="BA55" i="9" a="1"/>
  <c r="BA55" i="9"/>
  <c r="CC55" i="9" a="1"/>
  <c r="CC55" i="9"/>
  <c r="BS55" i="9" a="1"/>
  <c r="BS55" i="9"/>
  <c r="M55" i="9"/>
  <c r="Y55" i="9"/>
  <c r="AL55" i="9" a="1"/>
  <c r="AL55" i="9"/>
  <c r="AW55" i="9"/>
  <c r="I55" i="9"/>
  <c r="Q55" i="9" a="1"/>
  <c r="Q55" i="9"/>
  <c r="BO55" i="9" a="1"/>
  <c r="BO55" i="9"/>
  <c r="L55" i="9"/>
  <c r="Z55" i="9"/>
  <c r="BI55" i="9" a="1"/>
  <c r="BI55" i="9"/>
  <c r="BB55" i="9" a="1"/>
  <c r="BB55" i="9"/>
  <c r="AT55" i="9" a="1"/>
  <c r="AT55" i="9"/>
  <c r="AU55" i="9" a="1"/>
  <c r="AU55" i="9"/>
  <c r="BJ55" i="9" a="1"/>
  <c r="BJ55" i="9"/>
  <c r="BU55" i="9" a="1"/>
  <c r="BU55" i="9"/>
  <c r="AZ55" i="9" a="1"/>
  <c r="AZ55" i="9"/>
  <c r="K55" i="9"/>
  <c r="CD55" i="9" a="1"/>
  <c r="CD55" i="9"/>
  <c r="AJ55" i="9" a="1"/>
  <c r="AJ55" i="9"/>
  <c r="BT55" i="9" a="1"/>
  <c r="BT55" i="9"/>
  <c r="G55" i="9"/>
  <c r="AO55" i="9" a="1"/>
  <c r="AO55" i="9"/>
  <c r="AX55" i="9"/>
  <c r="AQ55" i="9" a="1"/>
  <c r="AQ55" i="9"/>
  <c r="AR55" i="9" a="1"/>
  <c r="AR55" i="9"/>
  <c r="CB55" i="9" a="1"/>
  <c r="CB55" i="9"/>
  <c r="BC55" i="9" a="1"/>
  <c r="BC55" i="9"/>
  <c r="BN55" i="9" a="1"/>
  <c r="BN55" i="9"/>
  <c r="X55" i="9"/>
  <c r="BE55" i="9" a="1"/>
  <c r="BE55" i="9"/>
  <c r="V55" i="9"/>
  <c r="F55" i="9"/>
  <c r="T55" i="9"/>
  <c r="BL55" i="9" a="1"/>
  <c r="BL55" i="9"/>
  <c r="AN55" i="9" a="1"/>
  <c r="AN55" i="9"/>
  <c r="AP55" i="9" a="1"/>
  <c r="AP55" i="9"/>
  <c r="AY55" i="9" a="1"/>
  <c r="AY55" i="9"/>
  <c r="CF55" i="9"/>
  <c r="CA55" i="9" a="1"/>
  <c r="CA55" i="9"/>
  <c r="P55" i="9"/>
  <c r="AB55" i="9"/>
  <c r="AC55" i="9"/>
  <c r="BG55" i="9" a="1"/>
  <c r="BG55" i="9"/>
  <c r="AM55" i="9" a="1"/>
  <c r="AM55" i="9"/>
  <c r="U55" i="9"/>
  <c r="AG55" i="9"/>
  <c r="BZ55" i="9" a="1"/>
  <c r="BZ55" i="9"/>
  <c r="AD55" i="9"/>
  <c r="AK55" i="9" a="1"/>
  <c r="AK55" i="9"/>
  <c r="BK55" i="9" a="1"/>
  <c r="BK55" i="9"/>
  <c r="BW55" i="9" a="1"/>
  <c r="BW55" i="9"/>
  <c r="O55" i="9"/>
  <c r="N55" i="9"/>
  <c r="AI55" i="9" a="1"/>
  <c r="AI55" i="9"/>
  <c r="BH55" i="9" a="1"/>
  <c r="BH55" i="9"/>
  <c r="BM55" i="9" a="1"/>
  <c r="BM55" i="9"/>
  <c r="D55" i="9"/>
  <c r="BQ55" i="9" a="1"/>
  <c r="BQ55" i="9"/>
  <c r="BD55" i="9" a="1"/>
  <c r="BD55" i="9"/>
  <c r="BF55" i="9" a="1"/>
  <c r="BF55" i="9"/>
  <c r="BL36" i="9" a="1"/>
  <c r="BL36" i="9"/>
  <c r="AO36" i="9" a="1"/>
  <c r="AO36" i="9"/>
  <c r="S36" i="9" a="1"/>
  <c r="S36" i="9"/>
  <c r="N36" i="9"/>
  <c r="BO36" i="9" a="1"/>
  <c r="BO36" i="9"/>
  <c r="AB36" i="9"/>
  <c r="AC36" i="9"/>
  <c r="E36" i="9"/>
  <c r="AJ36" i="9" a="1"/>
  <c r="AJ36" i="9"/>
  <c r="AY36" i="9" a="1"/>
  <c r="AY36" i="9"/>
  <c r="AR36" i="9" a="1"/>
  <c r="AR36" i="9"/>
  <c r="BQ36" i="9" a="1"/>
  <c r="BQ36" i="9"/>
  <c r="AS36" i="9" a="1"/>
  <c r="AS36" i="9"/>
  <c r="BD36" i="9" a="1"/>
  <c r="BD36" i="9"/>
  <c r="X36" i="9"/>
  <c r="BU36" i="9" a="1"/>
  <c r="BU36" i="9"/>
  <c r="U36" i="9"/>
  <c r="O36" i="9"/>
  <c r="BN36" i="9" a="1"/>
  <c r="BN36" i="9"/>
  <c r="K36" i="9"/>
  <c r="L36" i="9"/>
  <c r="BZ36" i="9" a="1"/>
  <c r="BZ36" i="9"/>
  <c r="BW36" i="9" a="1"/>
  <c r="BW36" i="9"/>
  <c r="Z36" i="9"/>
  <c r="M36" i="9"/>
  <c r="AU36" i="9" a="1"/>
  <c r="AU36" i="9"/>
  <c r="T36" i="9"/>
  <c r="CC36" i="9" a="1"/>
  <c r="CC36" i="9"/>
  <c r="G36" i="9"/>
  <c r="AX36" i="9"/>
  <c r="I36" i="9"/>
  <c r="AN36" i="9" a="1"/>
  <c r="AN36" i="9"/>
  <c r="CD36" i="9" a="1"/>
  <c r="CD36" i="9"/>
  <c r="BC36" i="9" a="1"/>
  <c r="BC36" i="9"/>
  <c r="BH36" i="9" a="1"/>
  <c r="BH36" i="9"/>
  <c r="AI36" i="9" a="1"/>
  <c r="AI36" i="9"/>
  <c r="BE36" i="9" a="1"/>
  <c r="BE36" i="9"/>
  <c r="BG36" i="9" a="1"/>
  <c r="BG36" i="9"/>
  <c r="BF36" i="9" a="1"/>
  <c r="BF36" i="9"/>
  <c r="D36" i="9"/>
  <c r="CF36" i="9"/>
  <c r="BB36" i="9" a="1"/>
  <c r="BB36" i="9"/>
  <c r="BI36" i="9" a="1"/>
  <c r="BI36" i="9"/>
  <c r="BR36" i="9" a="1"/>
  <c r="BR36" i="9"/>
  <c r="AL36" i="9" a="1"/>
  <c r="AL36" i="9"/>
  <c r="AV36" i="9"/>
  <c r="J36" i="9"/>
  <c r="AE36" i="9"/>
  <c r="AF36" i="9"/>
  <c r="AG36" i="9"/>
  <c r="F36" i="9"/>
  <c r="AK36" i="9" a="1"/>
  <c r="AK36" i="9"/>
  <c r="Y36" i="9"/>
  <c r="CB36" i="9" a="1"/>
  <c r="CB36" i="9"/>
  <c r="BT36" i="9" a="1"/>
  <c r="BT36" i="9"/>
  <c r="V36" i="9"/>
  <c r="AM36" i="9" a="1"/>
  <c r="AM36" i="9"/>
  <c r="BK36" i="9" a="1"/>
  <c r="BK36" i="9"/>
  <c r="CA36" i="9" a="1"/>
  <c r="CA36" i="9"/>
  <c r="BA36" i="9" a="1"/>
  <c r="BA36" i="9"/>
  <c r="Z14" i="9"/>
  <c r="I14" i="9"/>
  <c r="AB37" i="1"/>
  <c r="BF14" i="9" a="1"/>
  <c r="BF14" i="9"/>
  <c r="EQ37" i="1"/>
  <c r="BC14" i="9" a="1"/>
  <c r="BC14" i="9"/>
  <c r="EE37" i="1"/>
  <c r="BQ14" i="9" a="1"/>
  <c r="BQ14" i="9"/>
  <c r="DK37" i="1"/>
  <c r="BH14" i="9" a="1"/>
  <c r="BH14" i="9"/>
  <c r="DC37" i="1"/>
  <c r="AO14" i="9" a="1"/>
  <c r="AO14" i="9"/>
  <c r="BR14" i="9" a="1"/>
  <c r="BR14" i="9"/>
  <c r="EY37" i="1"/>
  <c r="BB14" i="9" a="1"/>
  <c r="BB14" i="9"/>
  <c r="BW37" i="1"/>
  <c r="BT14" i="9" a="1"/>
  <c r="BT14" i="9"/>
  <c r="FG37" i="1"/>
  <c r="BK14" i="9" a="1"/>
  <c r="BK14" i="9"/>
  <c r="GA37" i="1"/>
  <c r="O14" i="9"/>
  <c r="F15" i="12"/>
  <c r="AL14" i="9" a="1"/>
  <c r="AL14" i="9"/>
  <c r="AW14" i="9"/>
  <c r="V14" i="9"/>
  <c r="BA14" i="9" a="1"/>
  <c r="BA14" i="9"/>
  <c r="CA37" i="1"/>
  <c r="L14" i="9"/>
  <c r="CU37" i="1"/>
  <c r="CC14" i="9" a="1"/>
  <c r="CC14" i="9"/>
  <c r="AU37" i="1"/>
  <c r="BO14" i="9" a="1"/>
  <c r="BO14" i="9"/>
  <c r="BK37" i="1"/>
  <c r="F14" i="9"/>
  <c r="V37" i="1"/>
  <c r="AQ14" i="9" a="1"/>
  <c r="AQ14" i="9"/>
  <c r="G14" i="9"/>
  <c r="P37" i="1"/>
  <c r="BZ14" i="9" a="1"/>
  <c r="BZ14" i="9"/>
  <c r="AL37" i="1"/>
  <c r="BE14" i="9" a="1"/>
  <c r="BE14" i="9"/>
  <c r="EM37" i="1"/>
  <c r="M14" i="9"/>
  <c r="CY37" i="1"/>
  <c r="Q14" i="9" a="1"/>
  <c r="Q14" i="9"/>
  <c r="AG37" i="1"/>
  <c r="AU14" i="9" a="1"/>
  <c r="AU14" i="9"/>
  <c r="P14" i="9"/>
  <c r="DW37" i="1"/>
  <c r="AD14" i="9"/>
  <c r="AT14" i="9" a="1"/>
  <c r="AT14" i="9"/>
  <c r="BL14" i="9" a="1"/>
  <c r="BL14" i="9"/>
  <c r="EU37" i="1"/>
  <c r="J14" i="9"/>
  <c r="CM37" i="1"/>
  <c r="X14" i="9"/>
  <c r="BI14" i="9" a="1"/>
  <c r="BI14" i="9"/>
  <c r="FS37" i="1"/>
  <c r="E14" i="9"/>
  <c r="D37" i="1"/>
  <c r="T14" i="9"/>
  <c r="BG14" i="9" a="1"/>
  <c r="BG14" i="9"/>
  <c r="EA37" i="1"/>
  <c r="AJ14" i="9" a="1"/>
  <c r="AJ14" i="9"/>
  <c r="BN14" i="9" a="1"/>
  <c r="BN14" i="9"/>
  <c r="BO37" i="1"/>
  <c r="N14" i="9"/>
  <c r="E15" i="12"/>
  <c r="CB14" i="9" a="1"/>
  <c r="CB14" i="9"/>
  <c r="AY37" i="1"/>
  <c r="BW14" i="9" a="1"/>
  <c r="BW14" i="9"/>
  <c r="FO37" i="1"/>
  <c r="CA14" i="9" a="1"/>
  <c r="CA14" i="9"/>
  <c r="AQ37" i="1"/>
  <c r="AX14" i="9"/>
  <c r="BC37" i="1"/>
  <c r="D14" i="9"/>
  <c r="I37" i="1"/>
  <c r="AK14" i="9" a="1"/>
  <c r="AK14" i="9"/>
  <c r="U14" i="9"/>
  <c r="BJ14" i="9" a="1"/>
  <c r="BJ14" i="9"/>
  <c r="FW37" i="1"/>
  <c r="AN14" i="9" a="1"/>
  <c r="AN14" i="9"/>
  <c r="AB14" i="9"/>
  <c r="AC14" i="9"/>
  <c r="AS14" i="9" a="1"/>
  <c r="AS14" i="9"/>
  <c r="CF14" i="9"/>
  <c r="BS37" i="1"/>
  <c r="AZ14" i="9" a="1"/>
  <c r="AZ14" i="9"/>
  <c r="CE37" i="1"/>
  <c r="AR14" i="9" a="1"/>
  <c r="AR14" i="9"/>
  <c r="AK8" i="9" a="1"/>
  <c r="AK8" i="9"/>
  <c r="BR8" i="9" a="1"/>
  <c r="BR8" i="9"/>
  <c r="EY30" i="1"/>
  <c r="AB8" i="9"/>
  <c r="AC8" i="9"/>
  <c r="CC8" i="9" a="1"/>
  <c r="CC8" i="9"/>
  <c r="AU30" i="1"/>
  <c r="AX8" i="9"/>
  <c r="BC30" i="1"/>
  <c r="O8" i="9"/>
  <c r="BT8" i="9" a="1"/>
  <c r="BT8" i="9"/>
  <c r="FG30" i="1"/>
  <c r="CD8" i="9" a="1"/>
  <c r="CD8" i="9"/>
  <c r="GE30" i="1"/>
  <c r="BW8" i="9" a="1"/>
  <c r="BW8" i="9"/>
  <c r="FO30" i="1"/>
  <c r="AI8" i="9" a="1"/>
  <c r="AI8" i="9"/>
  <c r="T8" i="9"/>
  <c r="J7" i="12"/>
  <c r="AP8" i="9" a="1"/>
  <c r="AP8" i="9"/>
  <c r="J8" i="9"/>
  <c r="A9" i="12"/>
  <c r="BB8" i="9" a="1"/>
  <c r="BB8" i="9"/>
  <c r="BW30" i="1"/>
  <c r="BC8" i="9" a="1"/>
  <c r="BC8" i="9"/>
  <c r="EE30" i="1"/>
  <c r="F8" i="9"/>
  <c r="V30" i="1"/>
  <c r="U8" i="9"/>
  <c r="L7" i="12"/>
  <c r="AO8" i="9" a="1"/>
  <c r="AO8" i="9"/>
  <c r="E8" i="9"/>
  <c r="D30" i="1"/>
  <c r="AZ8" i="9" a="1"/>
  <c r="AZ8" i="9"/>
  <c r="CE30" i="1"/>
  <c r="K8" i="9"/>
  <c r="CQ30" i="1"/>
  <c r="AY8" i="9" a="1"/>
  <c r="AY8" i="9"/>
  <c r="CI30" i="1"/>
  <c r="AG8" i="9"/>
  <c r="Y8" i="9"/>
  <c r="K13" i="12"/>
  <c r="AR8" i="9" a="1"/>
  <c r="AR8" i="9"/>
  <c r="BD8" i="9" a="1"/>
  <c r="BD8" i="9"/>
  <c r="EI30" i="1"/>
  <c r="CF8" i="9"/>
  <c r="BS30" i="1"/>
  <c r="L8" i="9"/>
  <c r="C9" i="12"/>
  <c r="AU8" i="9" a="1"/>
  <c r="AU8" i="9"/>
  <c r="AM8" i="9" a="1"/>
  <c r="AM8" i="9"/>
  <c r="BG8" i="9" a="1"/>
  <c r="BG8" i="9"/>
  <c r="EA30" i="1"/>
  <c r="BA8" i="9" a="1"/>
  <c r="BA8" i="9"/>
  <c r="CA30" i="1"/>
  <c r="G8" i="9"/>
  <c r="P30" i="1"/>
  <c r="BE8" i="9" a="1"/>
  <c r="BE8" i="9"/>
  <c r="EM30" i="1"/>
  <c r="AS8" i="9" a="1"/>
  <c r="AS8" i="9"/>
  <c r="BI8" i="9" a="1"/>
  <c r="BI8" i="9"/>
  <c r="FS30" i="1"/>
  <c r="BJ8" i="9" a="1"/>
  <c r="BJ8" i="9"/>
  <c r="FW30" i="1"/>
  <c r="BU8" i="9" a="1"/>
  <c r="BU8" i="9"/>
  <c r="FK30" i="1"/>
  <c r="BK8" i="9" a="1"/>
  <c r="BK8" i="9"/>
  <c r="GA30" i="1"/>
  <c r="BQ8" i="9" a="1"/>
  <c r="BQ8" i="9"/>
  <c r="DK30" i="1"/>
  <c r="V8" i="9"/>
  <c r="K7" i="12"/>
  <c r="AN8" i="9" a="1"/>
  <c r="AN8" i="9"/>
  <c r="BL8" i="9" a="1"/>
  <c r="BL8" i="9"/>
  <c r="EU30" i="1"/>
  <c r="CB8" i="9" a="1"/>
  <c r="CB8" i="9"/>
  <c r="AY30" i="1"/>
  <c r="AD8" i="9"/>
  <c r="BM8" i="9" a="1"/>
  <c r="BM8" i="9"/>
  <c r="BG30" i="1"/>
  <c r="AT8" i="9" a="1"/>
  <c r="AT8" i="9"/>
  <c r="M8" i="9"/>
  <c r="CY30" i="1"/>
  <c r="P8" i="9"/>
  <c r="I8" i="9"/>
  <c r="AB30" i="1"/>
  <c r="Z8" i="9"/>
  <c r="L13" i="12"/>
  <c r="AQ8" i="9" a="1"/>
  <c r="AQ8" i="9"/>
  <c r="AL8" i="9" a="1"/>
  <c r="AL8" i="9"/>
  <c r="BZ8" i="9" a="1"/>
  <c r="BZ8" i="9"/>
  <c r="AL30" i="1"/>
  <c r="BH8" i="9" a="1"/>
  <c r="BH8" i="9"/>
  <c r="DC30" i="1"/>
  <c r="BS8" i="9" a="1"/>
  <c r="BS8" i="9"/>
  <c r="FC30" i="1"/>
  <c r="AJ8" i="9" a="1"/>
  <c r="AJ8" i="9"/>
  <c r="N8" i="9"/>
  <c r="E9" i="12"/>
  <c r="AE8" i="9"/>
  <c r="AF8" i="9"/>
  <c r="Q8" i="9" a="1"/>
  <c r="Q8" i="9"/>
  <c r="AG30" i="1"/>
  <c r="D8" i="9"/>
  <c r="I30" i="1"/>
  <c r="CA8" i="9" a="1"/>
  <c r="CA8" i="9"/>
  <c r="AQ30" i="1"/>
  <c r="X8" i="9"/>
  <c r="J13" i="12"/>
  <c r="S8" i="9" a="1"/>
  <c r="S8" i="9"/>
  <c r="DG30" i="1"/>
  <c r="BF8" i="9" a="1"/>
  <c r="BF8" i="9"/>
  <c r="EQ30" i="1"/>
  <c r="BS86" i="9" a="1"/>
  <c r="BS86" i="9"/>
  <c r="AZ86" i="9" a="1"/>
  <c r="AZ86" i="9"/>
  <c r="CA86" i="9" a="1"/>
  <c r="CA86" i="9"/>
  <c r="BA86" i="9" a="1"/>
  <c r="BA86" i="9"/>
  <c r="K86" i="9"/>
  <c r="F86" i="9"/>
  <c r="AQ86" i="9" a="1"/>
  <c r="AQ86" i="9"/>
  <c r="BK86" i="9" a="1"/>
  <c r="BK86" i="9"/>
  <c r="BB86" i="9" a="1"/>
  <c r="BB86" i="9"/>
  <c r="CF86" i="9"/>
  <c r="T86" i="9"/>
  <c r="AI86" i="9" a="1"/>
  <c r="AI86" i="9"/>
  <c r="AO86" i="9" a="1"/>
  <c r="AO86" i="9"/>
  <c r="Z86" i="9"/>
  <c r="AB86" i="9"/>
  <c r="AC86" i="9"/>
  <c r="BJ86" i="9" a="1"/>
  <c r="BJ86" i="9"/>
  <c r="J86" i="9"/>
  <c r="O86" i="9"/>
  <c r="AL86" i="9" a="1"/>
  <c r="AL86" i="9"/>
  <c r="AV86" i="9"/>
  <c r="BW86" i="9" a="1"/>
  <c r="BW86" i="9"/>
  <c r="M86" i="9"/>
  <c r="P86" i="9"/>
  <c r="I86" i="9"/>
  <c r="AP86" i="9" a="1"/>
  <c r="AP86" i="9"/>
  <c r="L86" i="9"/>
  <c r="BD86" i="9" a="1"/>
  <c r="BD86" i="9"/>
  <c r="U86" i="9"/>
  <c r="AU86" i="9" a="1"/>
  <c r="AU86" i="9"/>
  <c r="BE86" i="9" a="1"/>
  <c r="BE86" i="9"/>
  <c r="AE86" i="9"/>
  <c r="AF86" i="9"/>
  <c r="AS86" i="9" a="1"/>
  <c r="AS86" i="9"/>
  <c r="S86" i="9" a="1"/>
  <c r="S86" i="9"/>
  <c r="BL86" i="9" a="1"/>
  <c r="BL86" i="9"/>
  <c r="BT86" i="9" a="1"/>
  <c r="BT86" i="9"/>
  <c r="X86" i="9"/>
  <c r="D86" i="9"/>
  <c r="BF86" i="9" a="1"/>
  <c r="BF86" i="9"/>
  <c r="AD86" i="9"/>
  <c r="V86" i="9"/>
  <c r="AX86" i="9"/>
  <c r="BI86" i="9" a="1"/>
  <c r="BI86" i="9"/>
  <c r="BQ86" i="9" a="1"/>
  <c r="BQ86" i="9"/>
  <c r="BG86" i="9" a="1"/>
  <c r="BG86" i="9"/>
  <c r="BN86" i="9" a="1"/>
  <c r="BN86" i="9"/>
  <c r="E86" i="9"/>
  <c r="CB86" i="9" a="1"/>
  <c r="CB86" i="9"/>
  <c r="AN86" i="9" a="1"/>
  <c r="AN86" i="9"/>
  <c r="AG86" i="9"/>
  <c r="AR86" i="9" a="1"/>
  <c r="AR86" i="9"/>
  <c r="N86" i="9"/>
  <c r="AJ86" i="9" a="1"/>
  <c r="AJ86" i="9"/>
  <c r="BU86" i="9" a="1"/>
  <c r="BU86" i="9"/>
  <c r="BH86" i="9" a="1"/>
  <c r="BH86" i="9"/>
  <c r="Q86" i="9" a="1"/>
  <c r="Q86" i="9"/>
  <c r="AK86" i="9" a="1"/>
  <c r="AK86" i="9"/>
  <c r="BO86" i="9" a="1"/>
  <c r="BO86" i="9"/>
  <c r="Y86" i="9"/>
  <c r="AT86" i="9" a="1"/>
  <c r="AT86" i="9"/>
  <c r="AQ85" i="9" a="1"/>
  <c r="AQ85" i="9"/>
  <c r="AJ85" i="9" a="1"/>
  <c r="AJ85" i="9"/>
  <c r="CA85" i="9" a="1"/>
  <c r="CA85" i="9"/>
  <c r="U85" i="9"/>
  <c r="BI85" i="9" a="1"/>
  <c r="BI85" i="9"/>
  <c r="AI85" i="9" a="1"/>
  <c r="AI85" i="9"/>
  <c r="BQ85" i="9" a="1"/>
  <c r="BQ85" i="9"/>
  <c r="AP85" i="9" a="1"/>
  <c r="AP85" i="9"/>
  <c r="CB85" i="9" a="1"/>
  <c r="CB85" i="9"/>
  <c r="AX85" i="9"/>
  <c r="I85" i="9"/>
  <c r="K85" i="9"/>
  <c r="BS85" i="9" a="1"/>
  <c r="BS85" i="9"/>
  <c r="AE85" i="9"/>
  <c r="AF85" i="9"/>
  <c r="O85" i="9"/>
  <c r="BW85" i="9" a="1"/>
  <c r="BW85" i="9"/>
  <c r="BB85" i="9" a="1"/>
  <c r="BB85" i="9"/>
  <c r="BN85" i="9" a="1"/>
  <c r="BN85" i="9"/>
  <c r="BL85" i="9" a="1"/>
  <c r="BL85" i="9"/>
  <c r="N85" i="9"/>
  <c r="AD85" i="9"/>
  <c r="G85" i="9"/>
  <c r="CF85" i="9"/>
  <c r="BZ85" i="9" a="1"/>
  <c r="BZ85" i="9"/>
  <c r="AO85" i="9" a="1"/>
  <c r="AO85" i="9"/>
  <c r="J85" i="9"/>
  <c r="BJ85" i="9" a="1"/>
  <c r="BJ85" i="9"/>
  <c r="AG85" i="9"/>
  <c r="BR85" i="9" a="1"/>
  <c r="BR85" i="9"/>
  <c r="Z85" i="9"/>
  <c r="AS85" i="9" a="1"/>
  <c r="AS85" i="9"/>
  <c r="BU85" i="9" a="1"/>
  <c r="BU85" i="9"/>
  <c r="AU85" i="9" a="1"/>
  <c r="AU85" i="9"/>
  <c r="AK85" i="9" a="1"/>
  <c r="AK85" i="9"/>
  <c r="BO85" i="9" a="1"/>
  <c r="BO85" i="9"/>
  <c r="V85" i="9"/>
  <c r="Q85" i="9" a="1"/>
  <c r="Q85" i="9"/>
  <c r="AT85" i="9" a="1"/>
  <c r="AT85" i="9"/>
  <c r="CC85" i="9" a="1"/>
  <c r="CC85" i="9"/>
  <c r="BL134" i="9" a="1"/>
  <c r="BL134" i="9"/>
  <c r="AU134" i="9" a="1"/>
  <c r="AU134" i="9"/>
  <c r="Q134" i="9" a="1"/>
  <c r="Q134" i="9"/>
  <c r="D134" i="9"/>
  <c r="AD134" i="9"/>
  <c r="BI134" i="9" a="1"/>
  <c r="BI134" i="9"/>
  <c r="CC134" i="9" a="1"/>
  <c r="CC134" i="9"/>
  <c r="AT134" i="9" a="1"/>
  <c r="AT134" i="9"/>
  <c r="BU134" i="9" a="1"/>
  <c r="BU134" i="9"/>
  <c r="AP134" i="9" a="1"/>
  <c r="AP134" i="9"/>
  <c r="BH134" i="9" a="1"/>
  <c r="BH134" i="9"/>
  <c r="E134" i="9"/>
  <c r="CD134" i="9" a="1"/>
  <c r="CD134" i="9"/>
  <c r="CF134" i="9"/>
  <c r="AB134" i="9"/>
  <c r="AC134" i="9"/>
  <c r="BT134" i="9" a="1"/>
  <c r="BT134" i="9"/>
  <c r="X134" i="9"/>
  <c r="AO134" i="9" a="1"/>
  <c r="AO134" i="9"/>
  <c r="AL134" i="9" a="1"/>
  <c r="AL134" i="9"/>
  <c r="AV134" i="9"/>
  <c r="F134" i="9"/>
  <c r="BB134" i="9" a="1"/>
  <c r="BB134" i="9"/>
  <c r="AK134" i="9" a="1"/>
  <c r="AK134" i="9"/>
  <c r="CB134" i="9" a="1"/>
  <c r="CB134" i="9"/>
  <c r="BF134" i="9" a="1"/>
  <c r="BF134" i="9"/>
  <c r="AJ134" i="9" a="1"/>
  <c r="AJ134" i="9"/>
  <c r="AR134" i="9" a="1"/>
  <c r="AR134" i="9"/>
  <c r="O134" i="9"/>
  <c r="Z134" i="9"/>
  <c r="CA134" i="9" a="1"/>
  <c r="CA134" i="9"/>
  <c r="Y134" i="9"/>
  <c r="V134" i="9"/>
  <c r="BS134" i="9" a="1"/>
  <c r="BS134" i="9"/>
  <c r="BJ134" i="9" a="1"/>
  <c r="BJ134" i="9"/>
  <c r="K134" i="9"/>
  <c r="BR134" i="9" a="1"/>
  <c r="BR134" i="9"/>
  <c r="BN134" i="9" a="1"/>
  <c r="BN134" i="9"/>
  <c r="BE134" i="9" a="1"/>
  <c r="BE134" i="9"/>
  <c r="G134" i="9"/>
  <c r="AY134" i="9" a="1"/>
  <c r="AY134" i="9"/>
  <c r="BA134" i="9" a="1"/>
  <c r="BA134" i="9"/>
  <c r="BM134" i="9" a="1"/>
  <c r="BM134" i="9"/>
  <c r="AN134" i="9" a="1"/>
  <c r="AN134" i="9"/>
  <c r="AI134" i="9" a="1"/>
  <c r="AI134" i="9"/>
  <c r="AM134" i="9" a="1"/>
  <c r="AM134" i="9"/>
  <c r="AX134" i="9"/>
  <c r="BD134" i="9" a="1"/>
  <c r="BD134" i="9"/>
  <c r="AS134" i="9" a="1"/>
  <c r="AS134" i="9"/>
  <c r="AG134" i="9"/>
  <c r="AZ134" i="9" a="1"/>
  <c r="AZ134" i="9"/>
  <c r="P134" i="9"/>
  <c r="N134" i="9"/>
  <c r="BZ134" i="9" a="1"/>
  <c r="BZ134" i="9"/>
  <c r="I134" i="9"/>
  <c r="BG134" i="9" a="1"/>
  <c r="BG134" i="9"/>
  <c r="J134" i="9"/>
  <c r="BQ134" i="9" a="1"/>
  <c r="BQ134" i="9"/>
  <c r="BC134" i="9" a="1"/>
  <c r="BC134" i="9"/>
  <c r="BO134" i="9" a="1"/>
  <c r="BO134" i="9"/>
  <c r="T134" i="9"/>
  <c r="BW134" i="9" a="1"/>
  <c r="BW134" i="9"/>
  <c r="BK134" i="9" a="1"/>
  <c r="BK134" i="9"/>
  <c r="M134" i="9"/>
  <c r="S134" i="9" a="1"/>
  <c r="S134" i="9"/>
  <c r="L134" i="9"/>
  <c r="AQ134" i="9" a="1"/>
  <c r="AQ134" i="9"/>
  <c r="AE134" i="9"/>
  <c r="AF134" i="9"/>
  <c r="U134" i="9"/>
  <c r="BB114" i="9" a="1"/>
  <c r="BB114" i="9"/>
  <c r="AY114" i="9" a="1"/>
  <c r="AY114" i="9"/>
  <c r="BN114" i="9" a="1"/>
  <c r="BN114" i="9"/>
  <c r="BH114" i="9" a="1"/>
  <c r="BH114" i="9"/>
  <c r="AX114" i="9"/>
  <c r="BG114" i="9" a="1"/>
  <c r="BG114" i="9"/>
  <c r="BM114" i="9" a="1"/>
  <c r="BM114" i="9"/>
  <c r="G114" i="9"/>
  <c r="AG114" i="9"/>
  <c r="D114" i="9"/>
  <c r="AI114" i="9" a="1"/>
  <c r="AI114" i="9"/>
  <c r="I114" i="9"/>
  <c r="BS114" i="9" a="1"/>
  <c r="BS114" i="9"/>
  <c r="CB114" i="9" a="1"/>
  <c r="CB114" i="9"/>
  <c r="J114" i="9"/>
  <c r="CA114" i="9" a="1"/>
  <c r="CA114" i="9"/>
  <c r="O114" i="9"/>
  <c r="E114" i="9"/>
  <c r="AP114" i="9" a="1"/>
  <c r="AP114" i="9"/>
  <c r="BL114" i="9" a="1"/>
  <c r="BL114" i="9"/>
  <c r="BR114" i="9" a="1"/>
  <c r="BR114" i="9"/>
  <c r="M114" i="9"/>
  <c r="BT114" i="9" a="1"/>
  <c r="BT114" i="9"/>
  <c r="BJ114" i="9" a="1"/>
  <c r="BJ114" i="9"/>
  <c r="BI114" i="9" a="1"/>
  <c r="BI114" i="9"/>
  <c r="S114" i="9" a="1"/>
  <c r="S114" i="9"/>
  <c r="AT114" i="9" a="1"/>
  <c r="AT114" i="9"/>
  <c r="AU114" i="9" a="1"/>
  <c r="AU114" i="9"/>
  <c r="CD114" i="9" a="1"/>
  <c r="CD114" i="9"/>
  <c r="S58" i="9" a="1"/>
  <c r="S58" i="9"/>
  <c r="X58" i="9"/>
  <c r="AX58" i="9"/>
  <c r="F58" i="9"/>
  <c r="AR58" i="9" a="1"/>
  <c r="AR58" i="9"/>
  <c r="P58" i="9"/>
  <c r="AP58" i="9" a="1"/>
  <c r="AP58" i="9"/>
  <c r="J58" i="9"/>
  <c r="AM58" i="9" a="1"/>
  <c r="AM58" i="9"/>
  <c r="E58" i="9"/>
  <c r="CA58" i="9" a="1"/>
  <c r="CA58" i="9"/>
  <c r="BU58" i="9" a="1"/>
  <c r="BU58" i="9"/>
  <c r="AY58" i="9" a="1"/>
  <c r="AY58" i="9"/>
  <c r="K58" i="9"/>
  <c r="BT58" i="9" a="1"/>
  <c r="BT58" i="9"/>
  <c r="AT58" i="9" a="1"/>
  <c r="AT58" i="9"/>
  <c r="AB58" i="9"/>
  <c r="AC58" i="9"/>
  <c r="BA58" i="9" a="1"/>
  <c r="BA58" i="9"/>
  <c r="BB58" i="9" a="1"/>
  <c r="BB58" i="9"/>
  <c r="AN58" i="9" a="1"/>
  <c r="AN58" i="9"/>
  <c r="BK58" i="9" a="1"/>
  <c r="BK58" i="9"/>
  <c r="V58" i="9"/>
  <c r="BC58" i="9" a="1"/>
  <c r="BC58" i="9"/>
  <c r="N58" i="9"/>
  <c r="BL58" i="9" a="1"/>
  <c r="BL58" i="9"/>
  <c r="AE58" i="9"/>
  <c r="AF58" i="9"/>
  <c r="Q58" i="9" a="1"/>
  <c r="Q58" i="9"/>
  <c r="BN58" i="9" a="1"/>
  <c r="BN58" i="9"/>
  <c r="BM58" i="9" a="1"/>
  <c r="BM58" i="9"/>
  <c r="I58" i="9"/>
  <c r="AG58" i="9"/>
  <c r="BO58" i="9" a="1"/>
  <c r="BO58" i="9"/>
  <c r="AZ58" i="9" a="1"/>
  <c r="AZ58" i="9"/>
  <c r="U58" i="9"/>
  <c r="BJ58" i="9" a="1"/>
  <c r="BJ58" i="9"/>
  <c r="Y58" i="9"/>
  <c r="AD58" i="9"/>
  <c r="AK58" i="9" a="1"/>
  <c r="AK58" i="9"/>
  <c r="O58" i="9"/>
  <c r="BS58" i="9" a="1"/>
  <c r="BS58" i="9"/>
  <c r="BI58" i="9" a="1"/>
  <c r="BI58" i="9"/>
  <c r="CC58" i="9" a="1"/>
  <c r="CC58" i="9"/>
  <c r="BR58" i="9" a="1"/>
  <c r="BR58" i="9"/>
  <c r="AS58" i="9" a="1"/>
  <c r="AS58" i="9"/>
  <c r="BQ58" i="9" a="1"/>
  <c r="BQ58" i="9"/>
  <c r="BZ58" i="9" a="1"/>
  <c r="BZ58" i="9"/>
  <c r="AI58" i="9" a="1"/>
  <c r="AI58" i="9"/>
  <c r="CD58" i="9" a="1"/>
  <c r="CD58" i="9"/>
  <c r="AQ58" i="9" a="1"/>
  <c r="AQ58" i="9"/>
  <c r="BG58" i="9" a="1"/>
  <c r="BG58" i="9"/>
  <c r="G58" i="9"/>
  <c r="AL58" i="9" a="1"/>
  <c r="AL58" i="9"/>
  <c r="AV58" i="9"/>
  <c r="BF58" i="9" a="1"/>
  <c r="BF58" i="9"/>
  <c r="AO58" i="9" a="1"/>
  <c r="AO58" i="9"/>
  <c r="AJ58" i="9" a="1"/>
  <c r="AJ58" i="9"/>
  <c r="AU58" i="9" a="1"/>
  <c r="AU58" i="9"/>
  <c r="CB58" i="9" a="1"/>
  <c r="CB58" i="9"/>
  <c r="L58" i="9"/>
  <c r="BD58" i="9" a="1"/>
  <c r="BD58" i="9"/>
  <c r="BH58" i="9" a="1"/>
  <c r="BH58" i="9"/>
  <c r="CF58" i="9"/>
  <c r="BW58" i="9" a="1"/>
  <c r="BW58" i="9"/>
  <c r="D58" i="9"/>
  <c r="BE58" i="9" a="1"/>
  <c r="BE58" i="9"/>
  <c r="M58" i="9"/>
  <c r="T58" i="9"/>
  <c r="BZ113" i="9" a="1"/>
  <c r="BZ113" i="9"/>
  <c r="O113" i="9"/>
  <c r="J113" i="9"/>
  <c r="Y113" i="9"/>
  <c r="AO113" i="9" a="1"/>
  <c r="AO113" i="9"/>
  <c r="V113" i="9"/>
  <c r="BR113" i="9" a="1"/>
  <c r="BR113" i="9"/>
  <c r="AT113" i="9" a="1"/>
  <c r="AT113" i="9"/>
  <c r="CC113" i="9" a="1"/>
  <c r="CC113" i="9"/>
  <c r="BF113" i="9" a="1"/>
  <c r="BF113" i="9"/>
  <c r="P113" i="9"/>
  <c r="AU113" i="9" a="1"/>
  <c r="AU113" i="9"/>
  <c r="D113" i="9"/>
  <c r="X113" i="9"/>
  <c r="BJ113" i="9" a="1"/>
  <c r="BJ113" i="9"/>
  <c r="L113" i="9"/>
  <c r="AP113" i="9" a="1"/>
  <c r="AP113" i="9"/>
  <c r="S113" i="9" a="1"/>
  <c r="S113" i="9"/>
  <c r="AI113" i="9" a="1"/>
  <c r="AI113" i="9"/>
  <c r="Q113" i="9" a="1"/>
  <c r="Q113" i="9"/>
  <c r="CB113" i="9" a="1"/>
  <c r="CB113" i="9"/>
  <c r="N113" i="9"/>
  <c r="AG113" i="9"/>
  <c r="BB113" i="9" a="1"/>
  <c r="BB113" i="9"/>
  <c r="M113" i="9"/>
  <c r="BH113" i="9" a="1"/>
  <c r="BH113" i="9"/>
  <c r="AM113" i="9" a="1"/>
  <c r="AM113" i="9"/>
  <c r="AY113" i="9" a="1"/>
  <c r="AY113" i="9"/>
  <c r="BQ113" i="9" a="1"/>
  <c r="BQ113" i="9"/>
  <c r="T113" i="9"/>
  <c r="E113" i="9"/>
  <c r="AZ113" i="9" a="1"/>
  <c r="AZ113" i="9"/>
  <c r="BS113" i="9" a="1"/>
  <c r="BS113" i="9"/>
  <c r="AQ113" i="9" a="1"/>
  <c r="AQ113" i="9"/>
  <c r="U113" i="9"/>
  <c r="BM113" i="9" a="1"/>
  <c r="BM113" i="9"/>
  <c r="BT113" i="9" a="1"/>
  <c r="BT113" i="9"/>
  <c r="AB113" i="9"/>
  <c r="AC113" i="9"/>
  <c r="AR113" i="9" a="1"/>
  <c r="AR113" i="9"/>
  <c r="AL113" i="9" a="1"/>
  <c r="AL113" i="9"/>
  <c r="AV113" i="9"/>
  <c r="AX113" i="9"/>
  <c r="BE113" i="9" a="1"/>
  <c r="BE113" i="9"/>
  <c r="AJ113" i="9" a="1"/>
  <c r="AJ113" i="9"/>
  <c r="I113" i="9"/>
  <c r="BL113" i="9" a="1"/>
  <c r="BL113" i="9"/>
  <c r="AE113" i="9"/>
  <c r="AF113" i="9"/>
  <c r="AD113" i="9"/>
  <c r="BA113" i="9" a="1"/>
  <c r="BA113" i="9"/>
  <c r="BG113" i="9" a="1"/>
  <c r="BG113" i="9"/>
  <c r="AK113" i="9" a="1"/>
  <c r="AK113" i="9"/>
  <c r="BD113" i="9" a="1"/>
  <c r="BD113" i="9"/>
  <c r="BI113" i="9" a="1"/>
  <c r="BI113" i="9"/>
  <c r="BO113" i="9" a="1"/>
  <c r="BO113" i="9"/>
  <c r="BN113" i="9" a="1"/>
  <c r="BN113" i="9"/>
  <c r="BW113" i="9" a="1"/>
  <c r="BW113" i="9"/>
  <c r="CF113" i="9"/>
  <c r="AN113" i="9" a="1"/>
  <c r="AN113" i="9"/>
  <c r="CD113" i="9" a="1"/>
  <c r="CD113" i="9"/>
  <c r="T105" i="9"/>
  <c r="AB105" i="9"/>
  <c r="AC105" i="9"/>
  <c r="AK105" i="9" a="1"/>
  <c r="AK105" i="9"/>
  <c r="BJ105" i="9" a="1"/>
  <c r="BJ105" i="9"/>
  <c r="X105" i="9"/>
  <c r="AX105" i="9"/>
  <c r="AL105" i="9" a="1"/>
  <c r="AL105" i="9"/>
  <c r="AV105" i="9"/>
  <c r="Z105" i="9"/>
  <c r="BF105" i="9" a="1"/>
  <c r="BF105" i="9"/>
  <c r="AO105" i="9" a="1"/>
  <c r="AO105" i="9"/>
  <c r="O105" i="9"/>
  <c r="BU105" i="9" a="1"/>
  <c r="BU105" i="9"/>
  <c r="BR105" i="9" a="1"/>
  <c r="BR105" i="9"/>
  <c r="P105" i="9"/>
  <c r="BG105" i="9" a="1"/>
  <c r="BG105" i="9"/>
  <c r="BE105" i="9" a="1"/>
  <c r="BE105" i="9"/>
  <c r="AR105" i="9" a="1"/>
  <c r="AR105" i="9"/>
  <c r="AZ105" i="9" a="1"/>
  <c r="AZ105" i="9"/>
  <c r="Y105" i="9"/>
  <c r="BA105" i="9" a="1"/>
  <c r="BA105" i="9"/>
  <c r="L105" i="9"/>
  <c r="I105" i="9"/>
  <c r="BI105" i="9" a="1"/>
  <c r="BI105" i="9"/>
  <c r="U105" i="9"/>
  <c r="AE105" i="9"/>
  <c r="AF105" i="9"/>
  <c r="AQ105" i="9" a="1"/>
  <c r="AQ105" i="9"/>
  <c r="CB105" i="9" a="1"/>
  <c r="CB105" i="9"/>
  <c r="N105" i="9"/>
  <c r="AI105" i="9" a="1"/>
  <c r="AI105" i="9"/>
  <c r="BH105" i="9" a="1"/>
  <c r="BH105" i="9"/>
  <c r="J105" i="9"/>
  <c r="D105" i="9"/>
  <c r="AP105" i="9" a="1"/>
  <c r="AP105" i="9"/>
  <c r="BO105" i="9" a="1"/>
  <c r="BO105" i="9"/>
  <c r="AY105" i="9" a="1"/>
  <c r="AY105" i="9"/>
  <c r="BQ105" i="9" a="1"/>
  <c r="BQ105" i="9"/>
  <c r="BK105" i="9" a="1"/>
  <c r="BK105" i="9"/>
  <c r="BD105" i="9" a="1"/>
  <c r="BD105" i="9"/>
  <c r="BZ105" i="9" a="1"/>
  <c r="BZ105" i="9"/>
  <c r="BC105" i="9" a="1"/>
  <c r="BC105" i="9"/>
  <c r="G105" i="9"/>
  <c r="BS105" i="9" a="1"/>
  <c r="BS105" i="9"/>
  <c r="AM105" i="9" a="1"/>
  <c r="AM105" i="9"/>
  <c r="BB105" i="9" a="1"/>
  <c r="BB105" i="9"/>
  <c r="BW105" i="9" a="1"/>
  <c r="BW105" i="9"/>
  <c r="Q105" i="9" a="1"/>
  <c r="Q105" i="9"/>
  <c r="M105" i="9"/>
  <c r="AN105" i="9" a="1"/>
  <c r="AN105" i="9"/>
  <c r="CD105" i="9" a="1"/>
  <c r="CD105" i="9"/>
  <c r="E105" i="9"/>
  <c r="CA105" i="9" a="1"/>
  <c r="CA105" i="9"/>
  <c r="K105" i="9"/>
  <c r="BT105" i="9" a="1"/>
  <c r="BT105" i="9"/>
  <c r="CC105" i="9" a="1"/>
  <c r="CC105" i="9"/>
  <c r="AJ105" i="9" a="1"/>
  <c r="AJ105" i="9"/>
  <c r="AU105" i="9" a="1"/>
  <c r="AU105" i="9"/>
  <c r="AD105" i="9"/>
  <c r="AT105" i="9" a="1"/>
  <c r="AT105" i="9"/>
  <c r="CF105" i="9"/>
  <c r="BM105" i="9" a="1"/>
  <c r="BM105" i="9"/>
  <c r="BL105" i="9" a="1"/>
  <c r="BL105" i="9"/>
  <c r="AG105" i="9"/>
  <c r="BN105" i="9" a="1"/>
  <c r="BN105" i="9"/>
  <c r="V105" i="9"/>
  <c r="AU71" i="9" a="1"/>
  <c r="AU71" i="9"/>
  <c r="CA71" i="9" a="1"/>
  <c r="CA71" i="9"/>
  <c r="AY71" i="9" a="1"/>
  <c r="AY71" i="9"/>
  <c r="AN71" i="9" a="1"/>
  <c r="AN71" i="9"/>
  <c r="L71" i="9"/>
  <c r="AI71" i="9" a="1"/>
  <c r="AI71" i="9"/>
  <c r="AE22" i="9"/>
  <c r="AF22" i="9"/>
  <c r="F81" i="9"/>
  <c r="BB22" i="9" a="1"/>
  <c r="BB22" i="9"/>
  <c r="BW46" i="1"/>
  <c r="CD81" i="9" a="1"/>
  <c r="CD81" i="9"/>
  <c r="E89" i="9"/>
  <c r="AX22" i="9"/>
  <c r="BC46" i="1"/>
  <c r="P22" i="9"/>
  <c r="DW46" i="1"/>
  <c r="AI22" i="9" a="1"/>
  <c r="AI22" i="9"/>
  <c r="BF22" i="9" a="1"/>
  <c r="BF22" i="9"/>
  <c r="EQ46" i="1"/>
  <c r="BH22" i="9" a="1"/>
  <c r="BH22" i="9"/>
  <c r="DC46" i="1"/>
  <c r="BS22" i="9" a="1"/>
  <c r="BS22" i="9"/>
  <c r="FC46" i="1"/>
  <c r="Z22" i="9"/>
  <c r="BQ22" i="9" a="1"/>
  <c r="BQ22" i="9"/>
  <c r="DK46" i="1"/>
  <c r="K22" i="9"/>
  <c r="CQ46" i="1"/>
  <c r="U22" i="9"/>
  <c r="S22" i="9" a="1"/>
  <c r="S22" i="9"/>
  <c r="DG46" i="1"/>
  <c r="J22" i="9"/>
  <c r="CM46" i="1"/>
  <c r="AS22" i="9" a="1"/>
  <c r="AS22" i="9"/>
  <c r="AD22" i="9"/>
  <c r="BZ22" i="9" a="1"/>
  <c r="BZ22" i="9"/>
  <c r="AL46" i="1"/>
  <c r="AM22" i="9" a="1"/>
  <c r="AM22" i="9"/>
  <c r="BT89" i="9" a="1"/>
  <c r="BT89" i="9"/>
  <c r="BJ89" i="9" a="1"/>
  <c r="BJ89" i="9"/>
  <c r="AY89" i="9" a="1"/>
  <c r="AY89" i="9"/>
  <c r="M89" i="9"/>
  <c r="AO89" i="9" a="1"/>
  <c r="AO89" i="9"/>
  <c r="BW89" i="9" a="1"/>
  <c r="BW89" i="9"/>
  <c r="BZ89" i="9" a="1"/>
  <c r="BZ89" i="9"/>
  <c r="BC89" i="9" a="1"/>
  <c r="BC89" i="9"/>
  <c r="AK89" i="9" a="1"/>
  <c r="AK89" i="9"/>
  <c r="AE89" i="9"/>
  <c r="AF89" i="9"/>
  <c r="AG89" i="9"/>
  <c r="AN89" i="9" a="1"/>
  <c r="AN89" i="9"/>
  <c r="BS89" i="9" a="1"/>
  <c r="BS89" i="9"/>
  <c r="N89" i="9"/>
  <c r="CA89" i="9" a="1"/>
  <c r="CA89" i="9"/>
  <c r="AT89" i="9" a="1"/>
  <c r="AT89" i="9"/>
  <c r="S81" i="9" a="1"/>
  <c r="S81" i="9"/>
  <c r="AY81" i="9" a="1"/>
  <c r="AY81" i="9"/>
  <c r="BD81" i="9" a="1"/>
  <c r="BD81" i="9"/>
  <c r="AE81" i="9"/>
  <c r="AF81" i="9"/>
  <c r="BS81" i="9" a="1"/>
  <c r="BS81" i="9"/>
  <c r="BI81" i="9" a="1"/>
  <c r="BI81" i="9"/>
  <c r="J81" i="9"/>
  <c r="O81" i="9"/>
  <c r="BR81" i="9" a="1"/>
  <c r="BR81" i="9"/>
  <c r="AM81" i="9" a="1"/>
  <c r="AM81" i="9"/>
  <c r="Q81" i="9" a="1"/>
  <c r="Q81" i="9"/>
  <c r="AK81" i="9" a="1"/>
  <c r="AK81" i="9"/>
  <c r="BT81" i="9" a="1"/>
  <c r="BT81" i="9"/>
  <c r="AZ81" i="9" a="1"/>
  <c r="AZ81" i="9"/>
  <c r="AJ71" i="9" a="1"/>
  <c r="AJ71" i="9"/>
  <c r="BM71" i="9" a="1"/>
  <c r="BM71" i="9"/>
  <c r="M71" i="9"/>
  <c r="G71" i="9"/>
  <c r="AS71" i="9" a="1"/>
  <c r="AS71" i="9"/>
  <c r="BB71" i="9" a="1"/>
  <c r="BB71" i="9"/>
  <c r="AM114" i="9" a="1"/>
  <c r="AM114" i="9"/>
  <c r="AQ114" i="9" a="1"/>
  <c r="AQ114" i="9"/>
  <c r="AS114" i="9" a="1"/>
  <c r="AS114" i="9"/>
  <c r="AN114" i="9" a="1"/>
  <c r="AN114" i="9"/>
  <c r="AJ53" i="9" a="1"/>
  <c r="AJ53" i="9"/>
  <c r="K109" i="9"/>
  <c r="AX44" i="9"/>
  <c r="CC109" i="9" a="1"/>
  <c r="CC109" i="9"/>
  <c r="BZ109" i="9" a="1"/>
  <c r="BZ109" i="9"/>
  <c r="BF53" i="9" a="1"/>
  <c r="BF53" i="9"/>
  <c r="L108" i="9"/>
  <c r="F44" i="9"/>
  <c r="BR44" i="9" a="1"/>
  <c r="BR44" i="9"/>
  <c r="AR44" i="9" a="1"/>
  <c r="AR44" i="9"/>
  <c r="AM44" i="9" a="1"/>
  <c r="AM44" i="9"/>
  <c r="Y44" i="9"/>
  <c r="K44" i="9"/>
  <c r="AN44" i="9" a="1"/>
  <c r="AN44" i="9"/>
  <c r="BT44" i="9" a="1"/>
  <c r="BT44" i="9"/>
  <c r="BL53" i="9" a="1"/>
  <c r="BL53" i="9"/>
  <c r="BS53" i="9" a="1"/>
  <c r="BS53" i="9"/>
  <c r="AS53" i="9" a="1"/>
  <c r="AS53" i="9"/>
  <c r="AT53" i="9" a="1"/>
  <c r="AT53" i="9"/>
  <c r="K53" i="9"/>
  <c r="BG53" i="9" a="1"/>
  <c r="BG53" i="9"/>
  <c r="AR53" i="9" a="1"/>
  <c r="AR53" i="9"/>
  <c r="AU53" i="9" a="1"/>
  <c r="AU53" i="9"/>
  <c r="AY109" i="9" a="1"/>
  <c r="AY109" i="9"/>
  <c r="F109" i="9"/>
  <c r="BH109" i="9" a="1"/>
  <c r="BH109" i="9"/>
  <c r="AI109" i="9" a="1"/>
  <c r="AI109" i="9"/>
  <c r="BD109" i="9" a="1"/>
  <c r="BD109" i="9"/>
  <c r="BR109" i="9" a="1"/>
  <c r="BR109" i="9"/>
  <c r="AK109" i="9" a="1"/>
  <c r="AK109" i="9"/>
  <c r="I108" i="9"/>
  <c r="AZ108" i="9" a="1"/>
  <c r="AZ108" i="9"/>
  <c r="AE108" i="9"/>
  <c r="AF108" i="9"/>
  <c r="AD108" i="9"/>
  <c r="P108" i="9"/>
  <c r="BJ108" i="9" a="1"/>
  <c r="BJ108" i="9"/>
  <c r="O108" i="9"/>
  <c r="BI108" i="9" a="1"/>
  <c r="BI108" i="9"/>
  <c r="AK71" i="9" a="1"/>
  <c r="AK71" i="9"/>
  <c r="BB15" i="9" a="1"/>
  <c r="BB15" i="9"/>
  <c r="BW38" i="1"/>
  <c r="AY85" i="9" a="1"/>
  <c r="AY85" i="9"/>
  <c r="BC114" i="9" a="1"/>
  <c r="BC114" i="9"/>
  <c r="BF127" i="9" a="1"/>
  <c r="BF127" i="9"/>
  <c r="BQ127" i="9" a="1"/>
  <c r="BQ127" i="9"/>
  <c r="BM14" i="9" a="1"/>
  <c r="BM14" i="9"/>
  <c r="BG37" i="1"/>
  <c r="BS14" i="9" a="1"/>
  <c r="BS14" i="9"/>
  <c r="FC37" i="1"/>
  <c r="AG14" i="9"/>
  <c r="BJ127" i="9" a="1"/>
  <c r="BJ127" i="9"/>
  <c r="BH85" i="9" a="1"/>
  <c r="BH85" i="9"/>
  <c r="BT85" i="9" a="1"/>
  <c r="BT85" i="9"/>
  <c r="BE85" i="9" a="1"/>
  <c r="BE85" i="9"/>
  <c r="L85" i="9"/>
  <c r="AN85" i="9" a="1"/>
  <c r="AN85" i="9"/>
  <c r="Z114" i="9"/>
  <c r="F114" i="9"/>
  <c r="BU114" i="9" a="1"/>
  <c r="BU114" i="9"/>
  <c r="AO114" i="9" a="1"/>
  <c r="AO114" i="9"/>
  <c r="BM15" i="9" a="1"/>
  <c r="BM15" i="9"/>
  <c r="BG38" i="1"/>
  <c r="AP15" i="9" a="1"/>
  <c r="AP15" i="9"/>
  <c r="BG15" i="9" a="1"/>
  <c r="BG15" i="9"/>
  <c r="EA38" i="1"/>
  <c r="J15" i="9"/>
  <c r="A16" i="12"/>
  <c r="E15" i="9"/>
  <c r="D38" i="1"/>
  <c r="AT15" i="9" a="1"/>
  <c r="AT15" i="9"/>
  <c r="AT36" i="9" a="1"/>
  <c r="AT36" i="9"/>
  <c r="BF85" i="9" a="1"/>
  <c r="BF85" i="9"/>
  <c r="N114" i="9"/>
  <c r="S14" i="9" a="1"/>
  <c r="S14" i="9"/>
  <c r="DG37" i="1"/>
  <c r="AQ36" i="9" a="1"/>
  <c r="AQ36" i="9"/>
  <c r="P36" i="9"/>
  <c r="AI52" i="9" a="1"/>
  <c r="AI52" i="9"/>
  <c r="BC52" i="9" a="1"/>
  <c r="BC52" i="9"/>
  <c r="BC86" i="9" a="1"/>
  <c r="BC86" i="9"/>
  <c r="BK84" i="9" a="1"/>
  <c r="BK84" i="9"/>
  <c r="AR114" i="9" a="1"/>
  <c r="AR114" i="9"/>
  <c r="AI14" i="9" a="1"/>
  <c r="AI14" i="9"/>
  <c r="M85" i="9"/>
  <c r="AS55" i="9" a="1"/>
  <c r="AS55" i="9"/>
  <c r="BM86" i="9" a="1"/>
  <c r="BM86" i="9"/>
  <c r="BF79" i="9" a="1"/>
  <c r="BF79" i="9"/>
  <c r="BU113" i="9" a="1"/>
  <c r="BU113" i="9"/>
  <c r="AS113" i="9" a="1"/>
  <c r="AS113" i="9"/>
  <c r="E55" i="9"/>
  <c r="BZ111" i="9" a="1"/>
  <c r="BZ111" i="9"/>
  <c r="BB77" i="9" a="1"/>
  <c r="BB77" i="9"/>
  <c r="S105" i="9" a="1"/>
  <c r="S105" i="9"/>
  <c r="BU81" i="9" a="1"/>
  <c r="BU81" i="9"/>
  <c r="BO81" i="9" a="1"/>
  <c r="BO81" i="9"/>
  <c r="BO71" i="9" a="1"/>
  <c r="BO71" i="9"/>
  <c r="D71" i="9"/>
  <c r="AT71" i="9" a="1"/>
  <c r="AT71" i="9"/>
  <c r="BN71" i="9" a="1"/>
  <c r="BN71" i="9"/>
  <c r="AM71" i="9" a="1"/>
  <c r="AM71" i="9"/>
  <c r="O71" i="9"/>
  <c r="T71" i="9"/>
  <c r="BD71" i="9" a="1"/>
  <c r="BD71" i="9"/>
  <c r="J53" i="9"/>
  <c r="AD53" i="9"/>
  <c r="AM53" i="9" a="1"/>
  <c r="AM53" i="9"/>
  <c r="AX53" i="9"/>
  <c r="I53" i="9"/>
  <c r="F53" i="9"/>
  <c r="AQ53" i="9" a="1"/>
  <c r="AQ53" i="9"/>
  <c r="BH53" i="9" a="1"/>
  <c r="BH53" i="9"/>
  <c r="G53" i="9"/>
  <c r="AN53" i="9" a="1"/>
  <c r="AN53" i="9"/>
  <c r="BJ53" i="9" a="1"/>
  <c r="BJ53" i="9"/>
  <c r="BE53" i="9" a="1"/>
  <c r="BE53" i="9"/>
  <c r="BO53" i="9" a="1"/>
  <c r="BO53" i="9"/>
  <c r="T53" i="9"/>
  <c r="BU53" i="9" a="1"/>
  <c r="BU53" i="9"/>
  <c r="X53" i="9"/>
  <c r="N53" i="9"/>
  <c r="AB53" i="9"/>
  <c r="AC53" i="9"/>
  <c r="V53" i="9"/>
  <c r="U53" i="9"/>
  <c r="AZ53" i="9" a="1"/>
  <c r="AZ53" i="9"/>
  <c r="CF53" i="9"/>
  <c r="BT53" i="9" a="1"/>
  <c r="BT53" i="9"/>
  <c r="BZ53" i="9" a="1"/>
  <c r="BZ53" i="9"/>
  <c r="D53" i="9"/>
  <c r="BR53" i="9" a="1"/>
  <c r="BR53" i="9"/>
  <c r="BI53" i="9" a="1"/>
  <c r="BI53" i="9"/>
  <c r="BC53" i="9" a="1"/>
  <c r="BC53" i="9"/>
  <c r="P53" i="9"/>
  <c r="BG107" i="9" a="1"/>
  <c r="BG107" i="9"/>
  <c r="E107" i="9"/>
  <c r="AM107" i="9" a="1"/>
  <c r="AM107" i="9"/>
  <c r="BC107" i="9" a="1"/>
  <c r="BC107" i="9"/>
  <c r="BB107" i="9" a="1"/>
  <c r="BB107" i="9"/>
  <c r="G107" i="9"/>
  <c r="I107" i="9"/>
  <c r="CF107" i="9"/>
  <c r="D107" i="9"/>
  <c r="AP107" i="9" a="1"/>
  <c r="AP107" i="9"/>
  <c r="BZ107" i="9" a="1"/>
  <c r="BZ107" i="9"/>
  <c r="BN107" i="9" a="1"/>
  <c r="BN107" i="9"/>
  <c r="U107" i="9"/>
  <c r="BJ107" i="9" a="1"/>
  <c r="BJ107" i="9"/>
  <c r="BL107" i="9" a="1"/>
  <c r="BL107" i="9"/>
  <c r="N107" i="9"/>
  <c r="AB107" i="9"/>
  <c r="AC107" i="9"/>
  <c r="BT107" i="9" a="1"/>
  <c r="BT107" i="9"/>
  <c r="AN107" i="9" a="1"/>
  <c r="AN107" i="9"/>
  <c r="BM107" i="9" a="1"/>
  <c r="BM107" i="9"/>
  <c r="BF107" i="9" a="1"/>
  <c r="BF107" i="9"/>
  <c r="M107" i="9"/>
  <c r="AZ107" i="9" a="1"/>
  <c r="AZ107" i="9"/>
  <c r="K107" i="9"/>
  <c r="AL107" i="9" a="1"/>
  <c r="AL107" i="9"/>
  <c r="AW107" i="9"/>
  <c r="AO107" i="9" a="1"/>
  <c r="AO107" i="9"/>
  <c r="T107" i="9"/>
  <c r="Q107" i="9" a="1"/>
  <c r="Q107" i="9"/>
  <c r="AK107" i="9" a="1"/>
  <c r="AK107" i="9"/>
  <c r="V107" i="9"/>
  <c r="X107" i="9"/>
  <c r="BU107" i="9" a="1"/>
  <c r="BU107" i="9"/>
  <c r="AT107" i="9" a="1"/>
  <c r="AT107" i="9"/>
  <c r="O107" i="9"/>
  <c r="CD107" i="9" a="1"/>
  <c r="CD107" i="9"/>
  <c r="BQ107" i="9" a="1"/>
  <c r="BQ107" i="9"/>
  <c r="AU107" i="9" a="1"/>
  <c r="AU107" i="9"/>
  <c r="BK107" i="9" a="1"/>
  <c r="BK107" i="9"/>
  <c r="CC107" i="9" a="1"/>
  <c r="CC107" i="9"/>
  <c r="BW107" i="9" a="1"/>
  <c r="BW107" i="9"/>
  <c r="BD107" i="9" a="1"/>
  <c r="BD107" i="9"/>
  <c r="AY107" i="9" a="1"/>
  <c r="AY107" i="9"/>
  <c r="AR107" i="9" a="1"/>
  <c r="AR107" i="9"/>
  <c r="BS107" i="9" a="1"/>
  <c r="BS107" i="9"/>
  <c r="F107" i="9"/>
  <c r="P107" i="9"/>
  <c r="L107" i="9"/>
  <c r="AD107" i="9"/>
  <c r="BH107" i="9" a="1"/>
  <c r="BH107" i="9"/>
  <c r="J107" i="9"/>
  <c r="AX107" i="9"/>
  <c r="S107" i="9" a="1"/>
  <c r="S107" i="9"/>
  <c r="BE107" i="9" a="1"/>
  <c r="BE107" i="9"/>
  <c r="CB107" i="9" a="1"/>
  <c r="CB107" i="9"/>
  <c r="AG107" i="9"/>
  <c r="Z107" i="9"/>
  <c r="AI107" i="9" a="1"/>
  <c r="AI107" i="9"/>
  <c r="AE107" i="9"/>
  <c r="AF107" i="9"/>
  <c r="CA107" i="9" a="1"/>
  <c r="CA107" i="9"/>
  <c r="AS107" i="9" a="1"/>
  <c r="AS107" i="9"/>
  <c r="AQ107" i="9" a="1"/>
  <c r="AQ107" i="9"/>
  <c r="BA107" i="9" a="1"/>
  <c r="BA107" i="9"/>
  <c r="Y107" i="9"/>
  <c r="BO107" i="9" a="1"/>
  <c r="BO107" i="9"/>
  <c r="BO111" i="9" a="1"/>
  <c r="BO111" i="9"/>
  <c r="AS111" i="9" a="1"/>
  <c r="AS111" i="9"/>
  <c r="BD111" i="9" a="1"/>
  <c r="BD111" i="9"/>
  <c r="CD111" i="9" a="1"/>
  <c r="CD111" i="9"/>
  <c r="M111" i="9"/>
  <c r="AM111" i="9" a="1"/>
  <c r="AM111" i="9"/>
  <c r="CB111" i="9" a="1"/>
  <c r="CB111" i="9"/>
  <c r="CA111" i="9" a="1"/>
  <c r="CA111" i="9"/>
  <c r="AU111" i="9" a="1"/>
  <c r="AU111" i="9"/>
  <c r="P111" i="9"/>
  <c r="BL111" i="9" a="1"/>
  <c r="BL111" i="9"/>
  <c r="AN111" i="9" a="1"/>
  <c r="AN111" i="9"/>
  <c r="U111" i="9"/>
  <c r="AX111" i="9"/>
  <c r="BT111" i="9" a="1"/>
  <c r="BT111" i="9"/>
  <c r="AG111" i="9"/>
  <c r="L111" i="9"/>
  <c r="BW111" i="9" a="1"/>
  <c r="BW111" i="9"/>
  <c r="AJ111" i="9" a="1"/>
  <c r="AJ111" i="9"/>
  <c r="BN111" i="9" a="1"/>
  <c r="BN111" i="9"/>
  <c r="G111" i="9"/>
  <c r="N111" i="9"/>
  <c r="BK111" i="9" a="1"/>
  <c r="BK111" i="9"/>
  <c r="AR111" i="9" a="1"/>
  <c r="AR111" i="9"/>
  <c r="BM111" i="9" a="1"/>
  <c r="BM111" i="9"/>
  <c r="J111" i="9"/>
  <c r="CF111" i="9"/>
  <c r="BA111" i="9" a="1"/>
  <c r="BA111" i="9"/>
  <c r="BS111" i="9" a="1"/>
  <c r="BS111" i="9"/>
  <c r="BI111" i="9" a="1"/>
  <c r="BI111" i="9"/>
  <c r="BH111" i="9" a="1"/>
  <c r="BH111" i="9"/>
  <c r="BF111" i="9" a="1"/>
  <c r="BF111" i="9"/>
  <c r="AY111" i="9" a="1"/>
  <c r="AY111" i="9"/>
  <c r="AI111" i="9" a="1"/>
  <c r="AI111" i="9"/>
  <c r="BJ111" i="9" a="1"/>
  <c r="BJ111" i="9"/>
  <c r="BQ111" i="9" a="1"/>
  <c r="BQ111" i="9"/>
  <c r="AP111" i="9" a="1"/>
  <c r="AP111" i="9"/>
  <c r="BC111" i="9" a="1"/>
  <c r="BC111" i="9"/>
  <c r="Y111" i="9"/>
  <c r="AO111" i="9" a="1"/>
  <c r="AO111" i="9"/>
  <c r="Z111" i="9"/>
  <c r="BB111" i="9" a="1"/>
  <c r="BB111" i="9"/>
  <c r="AZ111" i="9" a="1"/>
  <c r="AZ111" i="9"/>
  <c r="V111" i="9"/>
  <c r="AD111" i="9"/>
  <c r="AT111" i="9" a="1"/>
  <c r="AT111" i="9"/>
  <c r="D111" i="9"/>
  <c r="AK111" i="9" a="1"/>
  <c r="AK111" i="9"/>
  <c r="AL111" i="9" a="1"/>
  <c r="AL111" i="9"/>
  <c r="AW111" i="9"/>
  <c r="AQ111" i="9" a="1"/>
  <c r="AQ111" i="9"/>
  <c r="BE111" i="9" a="1"/>
  <c r="BE111" i="9"/>
  <c r="T111" i="9"/>
  <c r="X111" i="9"/>
  <c r="E111" i="9"/>
  <c r="O111" i="9"/>
  <c r="K111" i="9"/>
  <c r="AB111" i="9"/>
  <c r="AC111" i="9"/>
  <c r="BG111" i="9" a="1"/>
  <c r="BG111" i="9"/>
  <c r="CC111" i="9" a="1"/>
  <c r="CC111" i="9"/>
  <c r="S111" i="9" a="1"/>
  <c r="S111" i="9"/>
  <c r="AE111" i="9"/>
  <c r="AF111" i="9"/>
  <c r="I111" i="9"/>
  <c r="Q111" i="9" a="1"/>
  <c r="Q111" i="9"/>
  <c r="F111" i="9"/>
  <c r="Z44" i="9"/>
  <c r="AL44" i="9" a="1"/>
  <c r="AL44" i="9"/>
  <c r="AW44" i="9"/>
  <c r="BU44" i="9" a="1"/>
  <c r="BU44" i="9"/>
  <c r="BL44" i="9" a="1"/>
  <c r="BL44" i="9"/>
  <c r="T44" i="9"/>
  <c r="BD44" i="9" a="1"/>
  <c r="BD44" i="9"/>
  <c r="BZ44" i="9" a="1"/>
  <c r="BZ44" i="9"/>
  <c r="AI44" i="9" a="1"/>
  <c r="AI44" i="9"/>
  <c r="BF44" i="9" a="1"/>
  <c r="BF44" i="9"/>
  <c r="AS44" i="9" a="1"/>
  <c r="AS44" i="9"/>
  <c r="CF44" i="9"/>
  <c r="CD44" i="9" a="1"/>
  <c r="CD44" i="9"/>
  <c r="AZ44" i="9" a="1"/>
  <c r="AZ44" i="9"/>
  <c r="BM44" i="9" a="1"/>
  <c r="BM44" i="9"/>
  <c r="BS44" i="9" a="1"/>
  <c r="BS44" i="9"/>
  <c r="BE44" i="9" a="1"/>
  <c r="BE44" i="9"/>
  <c r="X44" i="9"/>
  <c r="AB44" i="9"/>
  <c r="AC44" i="9"/>
  <c r="AY44" i="9" a="1"/>
  <c r="AY44" i="9"/>
  <c r="BA44" i="9" a="1"/>
  <c r="BA44" i="9"/>
  <c r="AU44" i="9" a="1"/>
  <c r="AU44" i="9"/>
  <c r="BW44" i="9" a="1"/>
  <c r="BW44" i="9"/>
  <c r="AK44" i="9" a="1"/>
  <c r="AK44" i="9"/>
  <c r="BQ44" i="9" a="1"/>
  <c r="BQ44" i="9"/>
  <c r="O44" i="9"/>
  <c r="BI44" i="9" a="1"/>
  <c r="BI44" i="9"/>
  <c r="AD44" i="9"/>
  <c r="I44" i="9"/>
  <c r="L44" i="9"/>
  <c r="AN84" i="9" a="1"/>
  <c r="AN84" i="9"/>
  <c r="V84" i="9"/>
  <c r="BR84" i="9" a="1"/>
  <c r="BR84" i="9"/>
  <c r="J84" i="9"/>
  <c r="BJ84" i="9" a="1"/>
  <c r="BJ84" i="9"/>
  <c r="AM84" i="9" a="1"/>
  <c r="AM84" i="9"/>
  <c r="U84" i="9"/>
  <c r="M84" i="9"/>
  <c r="BD84" i="9" a="1"/>
  <c r="BD84" i="9"/>
  <c r="AR84" i="9" a="1"/>
  <c r="AR84" i="9"/>
  <c r="BE84" i="9" a="1"/>
  <c r="BE84" i="9"/>
  <c r="G84" i="9"/>
  <c r="L84" i="9"/>
  <c r="AY84" i="9" a="1"/>
  <c r="AY84" i="9"/>
  <c r="BI84" i="9" a="1"/>
  <c r="BI84" i="9"/>
  <c r="BN84" i="9" a="1"/>
  <c r="BN84" i="9"/>
  <c r="AQ84" i="9" a="1"/>
  <c r="AQ84" i="9"/>
  <c r="CB84" i="9" a="1"/>
  <c r="CB84" i="9"/>
  <c r="P84" i="9"/>
  <c r="AB84" i="9"/>
  <c r="AC84" i="9"/>
  <c r="Y84" i="9"/>
  <c r="AI84" i="9" a="1"/>
  <c r="AI84" i="9"/>
  <c r="S84" i="9" a="1"/>
  <c r="S84" i="9"/>
  <c r="K84" i="9"/>
  <c r="BW84" i="9" a="1"/>
  <c r="BW84" i="9"/>
  <c r="BT84" i="9" a="1"/>
  <c r="BT84" i="9"/>
  <c r="BA84" i="9" a="1"/>
  <c r="BA84" i="9"/>
  <c r="CF84" i="9"/>
  <c r="AU84" i="9" a="1"/>
  <c r="AU84" i="9"/>
  <c r="AS84" i="9" a="1"/>
  <c r="AS84" i="9"/>
  <c r="BQ84" i="9" a="1"/>
  <c r="BQ84" i="9"/>
  <c r="BZ84" i="9" a="1"/>
  <c r="BZ84" i="9"/>
  <c r="AL84" i="9" a="1"/>
  <c r="AL84" i="9"/>
  <c r="AW84" i="9"/>
  <c r="O84" i="9"/>
  <c r="N84" i="9"/>
  <c r="AE84" i="9"/>
  <c r="AF84" i="9"/>
  <c r="AZ84" i="9" a="1"/>
  <c r="AZ84" i="9"/>
  <c r="AG84" i="9"/>
  <c r="Z84" i="9"/>
  <c r="AD84" i="9"/>
  <c r="X84" i="9"/>
  <c r="AT84" i="9" a="1"/>
  <c r="AT84" i="9"/>
  <c r="BO84" i="9" a="1"/>
  <c r="BO84" i="9"/>
  <c r="T84" i="9"/>
  <c r="BC84" i="9" a="1"/>
  <c r="BC84" i="9"/>
  <c r="AP84" i="9" a="1"/>
  <c r="AP84" i="9"/>
  <c r="BF84" i="9" a="1"/>
  <c r="BF84" i="9"/>
  <c r="I84" i="9"/>
  <c r="BG84" i="9" a="1"/>
  <c r="BG84" i="9"/>
  <c r="AK84" i="9" a="1"/>
  <c r="AK84" i="9"/>
  <c r="CA84" i="9" a="1"/>
  <c r="CA84" i="9"/>
  <c r="Q84" i="9" a="1"/>
  <c r="Q84" i="9"/>
  <c r="E84" i="9"/>
  <c r="CC84" i="9" a="1"/>
  <c r="CC84" i="9"/>
  <c r="CD84" i="9" a="1"/>
  <c r="CD84" i="9"/>
  <c r="AO84" i="9" a="1"/>
  <c r="AO84" i="9"/>
  <c r="BB84" i="9" a="1"/>
  <c r="BB84" i="9"/>
  <c r="BS84" i="9" a="1"/>
  <c r="BS84" i="9"/>
  <c r="BH84" i="9" a="1"/>
  <c r="BH84" i="9"/>
  <c r="BL84" i="9" a="1"/>
  <c r="BL84" i="9"/>
  <c r="F84" i="9"/>
  <c r="AE52" i="9"/>
  <c r="AF52" i="9"/>
  <c r="AY52" i="9" a="1"/>
  <c r="AY52" i="9"/>
  <c r="M52" i="9"/>
  <c r="P52" i="9"/>
  <c r="BB52" i="9" a="1"/>
  <c r="BB52" i="9"/>
  <c r="AD52" i="9"/>
  <c r="AK52" i="9" a="1"/>
  <c r="AK52" i="9"/>
  <c r="S52" i="9" a="1"/>
  <c r="S52" i="9"/>
  <c r="AG52" i="9"/>
  <c r="Y52" i="9"/>
  <c r="BZ52" i="9" a="1"/>
  <c r="BZ52" i="9"/>
  <c r="BF52" i="9" a="1"/>
  <c r="BF52" i="9"/>
  <c r="AB52" i="9"/>
  <c r="AC52" i="9"/>
  <c r="BE52" i="9" a="1"/>
  <c r="BE52" i="9"/>
  <c r="AM52" i="9" a="1"/>
  <c r="AM52" i="9"/>
  <c r="BI52" i="9" a="1"/>
  <c r="BI52" i="9"/>
  <c r="CB52" i="9" a="1"/>
  <c r="CB52" i="9"/>
  <c r="U52" i="9"/>
  <c r="BU52" i="9" a="1"/>
  <c r="BU52" i="9"/>
  <c r="BA52" i="9" a="1"/>
  <c r="BA52" i="9"/>
  <c r="BK52" i="9" a="1"/>
  <c r="BK52" i="9"/>
  <c r="BD52" i="9" a="1"/>
  <c r="BD52" i="9"/>
  <c r="AX52" i="9"/>
  <c r="L52" i="9"/>
  <c r="AP52" i="9" a="1"/>
  <c r="AP52" i="9"/>
  <c r="BH52" i="9" a="1"/>
  <c r="BH52" i="9"/>
  <c r="AL52" i="9" a="1"/>
  <c r="AL52" i="9"/>
  <c r="AW52" i="9"/>
  <c r="AN52" i="9" a="1"/>
  <c r="AN52" i="9"/>
  <c r="AT52" i="9" a="1"/>
  <c r="AT52" i="9"/>
  <c r="CA52" i="9" a="1"/>
  <c r="CA52" i="9"/>
  <c r="N52" i="9"/>
  <c r="BG52" i="9" a="1"/>
  <c r="BG52" i="9"/>
  <c r="BT52" i="9" a="1"/>
  <c r="BT52" i="9"/>
  <c r="J52" i="9"/>
  <c r="D52" i="9"/>
  <c r="X52" i="9"/>
  <c r="AR52" i="9" a="1"/>
  <c r="AR52" i="9"/>
  <c r="E52" i="9"/>
  <c r="AS52" i="9" a="1"/>
  <c r="AS52" i="9"/>
  <c r="BO52" i="9" a="1"/>
  <c r="BO52" i="9"/>
  <c r="T52" i="9"/>
  <c r="BM52" i="9" a="1"/>
  <c r="BM52" i="9"/>
  <c r="CD52" i="9" a="1"/>
  <c r="CD52" i="9"/>
  <c r="BL52" i="9" a="1"/>
  <c r="BL52" i="9"/>
  <c r="K52" i="9"/>
  <c r="BR52" i="9" a="1"/>
  <c r="BR52" i="9"/>
  <c r="BN52" i="9" a="1"/>
  <c r="BN52" i="9"/>
  <c r="O52" i="9"/>
  <c r="AQ52" i="9" a="1"/>
  <c r="AQ52" i="9"/>
  <c r="CC52" i="9" a="1"/>
  <c r="CC52" i="9"/>
  <c r="Z52" i="9"/>
  <c r="Q52" i="9" a="1"/>
  <c r="Q52" i="9"/>
  <c r="V52" i="9"/>
  <c r="AU52" i="9" a="1"/>
  <c r="AU52" i="9"/>
  <c r="AO52" i="9" a="1"/>
  <c r="AO52" i="9"/>
  <c r="BW52" i="9" a="1"/>
  <c r="BW52" i="9"/>
  <c r="AJ52" i="9" a="1"/>
  <c r="AJ52" i="9"/>
  <c r="BS52" i="9" a="1"/>
  <c r="BS52" i="9"/>
  <c r="G52" i="9"/>
  <c r="AZ52" i="9" a="1"/>
  <c r="AZ52" i="9"/>
  <c r="L127" i="9"/>
  <c r="N127" i="9"/>
  <c r="BB127" i="9" a="1"/>
  <c r="BB127" i="9"/>
  <c r="AG127" i="9"/>
  <c r="J127" i="9"/>
  <c r="BL127" i="9" a="1"/>
  <c r="BL127" i="9"/>
  <c r="AQ127" i="9" a="1"/>
  <c r="AQ127" i="9"/>
  <c r="BG127" i="9" a="1"/>
  <c r="BG127" i="9"/>
  <c r="AR127" i="9" a="1"/>
  <c r="AR127" i="9"/>
  <c r="BZ127" i="9" a="1"/>
  <c r="BZ127" i="9"/>
  <c r="BW127" i="9" a="1"/>
  <c r="BW127" i="9"/>
  <c r="AL127" i="9" a="1"/>
  <c r="AL127" i="9"/>
  <c r="AV127" i="9"/>
  <c r="Q127" i="9" a="1"/>
  <c r="Q127" i="9"/>
  <c r="AY127" i="9" a="1"/>
  <c r="AY127" i="9"/>
  <c r="AB127" i="9"/>
  <c r="AC127" i="9"/>
  <c r="AS127" i="9" a="1"/>
  <c r="AS127" i="9"/>
  <c r="BI127" i="9" a="1"/>
  <c r="BI127" i="9"/>
  <c r="AU127" i="9" a="1"/>
  <c r="AU127" i="9"/>
  <c r="CA127" i="9" a="1"/>
  <c r="CA127" i="9"/>
  <c r="BS127" i="9" a="1"/>
  <c r="BS127" i="9"/>
  <c r="AX127" i="9"/>
  <c r="S127" i="9" a="1"/>
  <c r="S127" i="9"/>
  <c r="Z127" i="9"/>
  <c r="G127" i="9"/>
  <c r="D127" i="9"/>
  <c r="AK127" i="9" a="1"/>
  <c r="AK127" i="9"/>
  <c r="CF127" i="9"/>
  <c r="BE127" i="9" a="1"/>
  <c r="BE127" i="9"/>
  <c r="M127" i="9"/>
  <c r="AM127" i="9" a="1"/>
  <c r="AM127" i="9"/>
  <c r="BN127" i="9" a="1"/>
  <c r="BN127" i="9"/>
  <c r="AI127" i="9" a="1"/>
  <c r="AI127" i="9"/>
  <c r="CB127" i="9" a="1"/>
  <c r="CB127" i="9"/>
  <c r="I127" i="9"/>
  <c r="CC127" i="9" a="1"/>
  <c r="CC127" i="9"/>
  <c r="BT127" i="9" a="1"/>
  <c r="BT127" i="9"/>
  <c r="AN127" i="9" a="1"/>
  <c r="AN127" i="9"/>
  <c r="BC127" i="9" a="1"/>
  <c r="BC127" i="9"/>
  <c r="O127" i="9"/>
  <c r="BU127" i="9" a="1"/>
  <c r="BU127" i="9"/>
  <c r="AT127" i="9" a="1"/>
  <c r="AT127" i="9"/>
  <c r="BM127" i="9" a="1"/>
  <c r="BM127" i="9"/>
  <c r="E127" i="9"/>
  <c r="CD127" i="9" a="1"/>
  <c r="CD127" i="9"/>
  <c r="BR127" i="9" a="1"/>
  <c r="BR127" i="9"/>
  <c r="Y127" i="9"/>
  <c r="U127" i="9"/>
  <c r="P127" i="9"/>
  <c r="AJ127" i="9" a="1"/>
  <c r="AJ127" i="9"/>
  <c r="BM108" i="9" a="1"/>
  <c r="BM108" i="9"/>
  <c r="AO108" i="9" a="1"/>
  <c r="AO108" i="9"/>
  <c r="BG108" i="9" a="1"/>
  <c r="BG108" i="9"/>
  <c r="AG108" i="9"/>
  <c r="S108" i="9" a="1"/>
  <c r="S108" i="9"/>
  <c r="BL108" i="9" a="1"/>
  <c r="BL108" i="9"/>
  <c r="Y108" i="9"/>
  <c r="D108" i="9"/>
  <c r="BH108" i="9" a="1"/>
  <c r="BH108" i="9"/>
  <c r="E108" i="9"/>
  <c r="AL108" i="9" a="1"/>
  <c r="AL108" i="9"/>
  <c r="AW108" i="9"/>
  <c r="CC108" i="9" a="1"/>
  <c r="CC108" i="9"/>
  <c r="BB108" i="9" a="1"/>
  <c r="BB108" i="9"/>
  <c r="CF108" i="9"/>
  <c r="CB108" i="9" a="1"/>
  <c r="CB108" i="9"/>
  <c r="CA108" i="9" a="1"/>
  <c r="CA108" i="9"/>
  <c r="Z108" i="9"/>
  <c r="CD108" i="9" a="1"/>
  <c r="CD108" i="9"/>
  <c r="AP108" i="9" a="1"/>
  <c r="AP108" i="9"/>
  <c r="J108" i="9"/>
  <c r="BO108" i="9" a="1"/>
  <c r="BO108" i="9"/>
  <c r="AI108" i="9" a="1"/>
  <c r="AI108" i="9"/>
  <c r="BC108" i="9" a="1"/>
  <c r="BC108" i="9"/>
  <c r="F108" i="9"/>
  <c r="AT108" i="9" a="1"/>
  <c r="AT108" i="9"/>
  <c r="BF108" i="9" a="1"/>
  <c r="BF108" i="9"/>
  <c r="BR108" i="9" a="1"/>
  <c r="BR108" i="9"/>
  <c r="U108" i="9"/>
  <c r="AU108" i="9" a="1"/>
  <c r="AU108" i="9"/>
  <c r="D109" i="9"/>
  <c r="AM109" i="9" a="1"/>
  <c r="AM109" i="9"/>
  <c r="AU109" i="9" a="1"/>
  <c r="AU109" i="9"/>
  <c r="BU109" i="9" a="1"/>
  <c r="BU109" i="9"/>
  <c r="AZ109" i="9" a="1"/>
  <c r="AZ109" i="9"/>
  <c r="P109" i="9"/>
  <c r="O109" i="9"/>
  <c r="AX109" i="9"/>
  <c r="AN109" i="9" a="1"/>
  <c r="AN109" i="9"/>
  <c r="AG109" i="9"/>
  <c r="AS109" i="9" a="1"/>
  <c r="AS109" i="9"/>
  <c r="BL109" i="9" a="1"/>
  <c r="BL109" i="9"/>
  <c r="AE109" i="9"/>
  <c r="AF109" i="9"/>
  <c r="G109" i="9"/>
  <c r="AR109" i="9" a="1"/>
  <c r="AR109" i="9"/>
  <c r="AQ109" i="9" a="1"/>
  <c r="AQ109" i="9"/>
  <c r="X109" i="9"/>
  <c r="I109" i="9"/>
  <c r="BF109" i="9" a="1"/>
  <c r="BF109" i="9"/>
  <c r="BW109" i="9" a="1"/>
  <c r="BW109" i="9"/>
  <c r="N109" i="9"/>
  <c r="BK109" i="9" a="1"/>
  <c r="BK109" i="9"/>
  <c r="L109" i="9"/>
  <c r="J109" i="9"/>
  <c r="V109" i="9"/>
  <c r="E109" i="9"/>
  <c r="J7" i="9"/>
  <c r="AQ7" i="9" a="1"/>
  <c r="AQ7" i="9"/>
  <c r="BH7" i="9" a="1"/>
  <c r="BH7" i="9"/>
  <c r="DC29" i="1"/>
  <c r="Y7" i="9"/>
  <c r="K12" i="12"/>
  <c r="M7" i="9"/>
  <c r="D8" i="12"/>
  <c r="AL7" i="9" a="1"/>
  <c r="AL7" i="9"/>
  <c r="AW7" i="9"/>
  <c r="E7" i="9"/>
  <c r="D29" i="1"/>
  <c r="P7" i="9"/>
  <c r="G8" i="12"/>
  <c r="AG7" i="9"/>
  <c r="CF7" i="9"/>
  <c r="BS29" i="1"/>
  <c r="AB7" i="9"/>
  <c r="AC7" i="9"/>
  <c r="T7" i="9"/>
  <c r="J6" i="12"/>
  <c r="CD7" i="9" a="1"/>
  <c r="CD7" i="9"/>
  <c r="GE29" i="1"/>
  <c r="AO7" i="9" a="1"/>
  <c r="AO7" i="9"/>
  <c r="V7" i="9"/>
  <c r="K6" i="12"/>
  <c r="BK7" i="9" a="1"/>
  <c r="BK7" i="9"/>
  <c r="GA29" i="1"/>
  <c r="X7" i="9"/>
  <c r="J12" i="12"/>
  <c r="BC7" i="9" a="1"/>
  <c r="BC7" i="9"/>
  <c r="EE29" i="1"/>
  <c r="G7" i="9"/>
  <c r="P29" i="1"/>
  <c r="AR7" i="9" a="1"/>
  <c r="AR7" i="9"/>
  <c r="BE7" i="9" a="1"/>
  <c r="BE7" i="9"/>
  <c r="EM29" i="1"/>
  <c r="BI7" i="9" a="1"/>
  <c r="BI7" i="9"/>
  <c r="FS29" i="1"/>
  <c r="BT7" i="9" a="1"/>
  <c r="BT7" i="9"/>
  <c r="FG29" i="1"/>
  <c r="BM7" i="9" a="1"/>
  <c r="BM7" i="9"/>
  <c r="BG29" i="1"/>
  <c r="O7" i="9"/>
  <c r="DS29" i="1"/>
  <c r="U7" i="9"/>
  <c r="L6" i="12"/>
  <c r="AN7" i="9" a="1"/>
  <c r="AN7" i="9"/>
  <c r="BW7" i="9" a="1"/>
  <c r="BW7" i="9"/>
  <c r="FO29" i="1"/>
  <c r="CB7" i="9" a="1"/>
  <c r="CB7" i="9"/>
  <c r="AY29" i="1"/>
  <c r="K7" i="9"/>
  <c r="CQ29" i="1"/>
  <c r="S7" i="9" a="1"/>
  <c r="S7" i="9"/>
  <c r="DG29" i="1"/>
  <c r="N7" i="9"/>
  <c r="E8" i="12"/>
  <c r="AP7" i="9" a="1"/>
  <c r="AP7" i="9"/>
  <c r="BA7" i="9" a="1"/>
  <c r="BA7" i="9"/>
  <c r="CA29" i="1"/>
  <c r="BU7" i="9" a="1"/>
  <c r="BU7" i="9"/>
  <c r="FK29" i="1"/>
  <c r="D7" i="9"/>
  <c r="I29" i="1"/>
  <c r="BZ7" i="9" a="1"/>
  <c r="BZ7" i="9"/>
  <c r="AL29" i="1"/>
  <c r="CA7" i="9" a="1"/>
  <c r="CA7" i="9"/>
  <c r="AQ29" i="1"/>
  <c r="BN7" i="9" a="1"/>
  <c r="BN7" i="9"/>
  <c r="BO29" i="1"/>
  <c r="BS7" i="9" a="1"/>
  <c r="BS7" i="9"/>
  <c r="FC29" i="1"/>
  <c r="BF7" i="9" a="1"/>
  <c r="BF7" i="9"/>
  <c r="EQ29" i="1"/>
  <c r="AM7" i="9" a="1"/>
  <c r="AM7" i="9"/>
  <c r="AX7" i="9"/>
  <c r="BC29" i="1"/>
  <c r="CC7" i="9" a="1"/>
  <c r="CC7" i="9"/>
  <c r="AU29" i="1"/>
  <c r="AI7" i="9" a="1"/>
  <c r="AI7" i="9"/>
  <c r="BJ7" i="9" a="1"/>
  <c r="BJ7" i="9"/>
  <c r="FW29" i="1"/>
  <c r="BB7" i="9" a="1"/>
  <c r="BB7" i="9"/>
  <c r="BW29" i="1"/>
  <c r="Q7" i="9" a="1"/>
  <c r="Q7" i="9"/>
  <c r="AG29" i="1"/>
  <c r="BR7" i="9" a="1"/>
  <c r="BR7" i="9"/>
  <c r="EY29" i="1"/>
  <c r="AU7" i="9" a="1"/>
  <c r="AU7" i="9"/>
  <c r="AD7" i="9"/>
  <c r="I7" i="9"/>
  <c r="AB29" i="1"/>
  <c r="AS7" i="9" a="1"/>
  <c r="AS7" i="9"/>
  <c r="AY7" i="9" a="1"/>
  <c r="AY7" i="9"/>
  <c r="CI29" i="1"/>
  <c r="L7" i="9"/>
  <c r="CU29" i="1"/>
  <c r="AZ7" i="9" a="1"/>
  <c r="AZ7" i="9"/>
  <c r="CE29" i="1"/>
  <c r="F7" i="9"/>
  <c r="V29" i="1"/>
  <c r="BG7" i="9" a="1"/>
  <c r="BG7" i="9"/>
  <c r="EA29" i="1"/>
  <c r="BL7" i="9" a="1"/>
  <c r="BL7" i="9"/>
  <c r="EU29" i="1"/>
  <c r="BQ7" i="9" a="1"/>
  <c r="BQ7" i="9"/>
  <c r="DK29" i="1"/>
  <c r="Z7" i="9"/>
  <c r="L12" i="12"/>
  <c r="BD7" i="9" a="1"/>
  <c r="BD7" i="9"/>
  <c r="EI29" i="1"/>
  <c r="AK7" i="9" a="1"/>
  <c r="AK7" i="9"/>
  <c r="AJ7" i="9" a="1"/>
  <c r="AJ7" i="9"/>
  <c r="K77" i="9"/>
  <c r="N77" i="9"/>
  <c r="CD77" i="9" a="1"/>
  <c r="CD77" i="9"/>
  <c r="BZ77" i="9" a="1"/>
  <c r="BZ77" i="9"/>
  <c r="E77" i="9"/>
  <c r="BW77" i="9" a="1"/>
  <c r="BW77" i="9"/>
  <c r="CA77" i="9" a="1"/>
  <c r="CA77" i="9"/>
  <c r="F77" i="9"/>
  <c r="AJ77" i="9" a="1"/>
  <c r="AJ77" i="9"/>
  <c r="BM77" i="9" a="1"/>
  <c r="BM77" i="9"/>
  <c r="BG77" i="9" a="1"/>
  <c r="BG77" i="9"/>
  <c r="AR77" i="9" a="1"/>
  <c r="AR77" i="9"/>
  <c r="V77" i="9"/>
  <c r="AP77" i="9" a="1"/>
  <c r="AP77" i="9"/>
  <c r="X77" i="9"/>
  <c r="AX77" i="9"/>
  <c r="AO77" i="9" a="1"/>
  <c r="AO77" i="9"/>
  <c r="BI77" i="9" a="1"/>
  <c r="BI77" i="9"/>
  <c r="T77" i="9"/>
  <c r="Q77" i="9" a="1"/>
  <c r="Q77" i="9"/>
  <c r="BF77" i="9" a="1"/>
  <c r="BF77" i="9"/>
  <c r="BT77" i="9" a="1"/>
  <c r="BT77" i="9"/>
  <c r="AD77" i="9"/>
  <c r="BQ77" i="9" a="1"/>
  <c r="BQ77" i="9"/>
  <c r="P77" i="9"/>
  <c r="D77" i="9"/>
  <c r="Z77" i="9"/>
  <c r="AT77" i="9" a="1"/>
  <c r="AT77" i="9"/>
  <c r="G77" i="9"/>
  <c r="AU77" i="9" a="1"/>
  <c r="AU77" i="9"/>
  <c r="AQ77" i="9" a="1"/>
  <c r="AQ77" i="9"/>
  <c r="U77" i="9"/>
  <c r="AG77" i="9"/>
  <c r="BK77" i="9" a="1"/>
  <c r="BK77" i="9"/>
  <c r="BO77" i="9" a="1"/>
  <c r="BO77" i="9"/>
  <c r="CC77" i="9" a="1"/>
  <c r="CC77" i="9"/>
  <c r="AE77" i="9"/>
  <c r="AF77" i="9"/>
  <c r="I77" i="9"/>
  <c r="AI77" i="9" a="1"/>
  <c r="AI77" i="9"/>
  <c r="BU77" i="9" a="1"/>
  <c r="BU77" i="9"/>
  <c r="AS77" i="9" a="1"/>
  <c r="AS77" i="9"/>
  <c r="BN77" i="9" a="1"/>
  <c r="BN77" i="9"/>
  <c r="BC77" i="9" a="1"/>
  <c r="BC77" i="9"/>
  <c r="BR77" i="9" a="1"/>
  <c r="BR77" i="9"/>
  <c r="AY77" i="9" a="1"/>
  <c r="AY77" i="9"/>
  <c r="J77" i="9"/>
  <c r="O77" i="9"/>
  <c r="AM77" i="9" a="1"/>
  <c r="AM77" i="9"/>
  <c r="CB77" i="9" a="1"/>
  <c r="CB77" i="9"/>
  <c r="AZ77" i="9" a="1"/>
  <c r="AZ77" i="9"/>
  <c r="AB77" i="9"/>
  <c r="AC77" i="9"/>
  <c r="S77" i="9" a="1"/>
  <c r="S77" i="9"/>
  <c r="BS77" i="9" a="1"/>
  <c r="BS77" i="9"/>
  <c r="M77" i="9"/>
  <c r="BD77" i="9" a="1"/>
  <c r="BD77" i="9"/>
  <c r="L77" i="9"/>
  <c r="CF77" i="9"/>
  <c r="BH77" i="9" a="1"/>
  <c r="BH77" i="9"/>
  <c r="BA77" i="9" a="1"/>
  <c r="BA77" i="9"/>
  <c r="AL77" i="9" a="1"/>
  <c r="AL77" i="9"/>
  <c r="AV77" i="9"/>
  <c r="BE77" i="9" a="1"/>
  <c r="BE77" i="9"/>
  <c r="AK77" i="9" a="1"/>
  <c r="AK77" i="9"/>
  <c r="BL77" i="9" a="1"/>
  <c r="BL77" i="9"/>
  <c r="F15" i="9"/>
  <c r="V38" i="1"/>
  <c r="AI15" i="9" a="1"/>
  <c r="AI15" i="9"/>
  <c r="S15" i="9" a="1"/>
  <c r="S15" i="9"/>
  <c r="DG38" i="1"/>
  <c r="Y15" i="9"/>
  <c r="AL15" i="9" a="1"/>
  <c r="AL15" i="9"/>
  <c r="AW15" i="9"/>
  <c r="U15" i="9"/>
  <c r="AB15" i="9"/>
  <c r="AC15" i="9"/>
  <c r="AY15" i="9" a="1"/>
  <c r="AY15" i="9"/>
  <c r="CI38" i="1"/>
  <c r="BQ15" i="9" a="1"/>
  <c r="BQ15" i="9"/>
  <c r="DK38" i="1"/>
  <c r="I15" i="9"/>
  <c r="AB38" i="1"/>
  <c r="L15" i="9"/>
  <c r="C16" i="12"/>
  <c r="BK15" i="9" a="1"/>
  <c r="BK15" i="9"/>
  <c r="GA38" i="1"/>
  <c r="BH15" i="9" a="1"/>
  <c r="BH15" i="9"/>
  <c r="DC38" i="1"/>
  <c r="CB15" i="9" a="1"/>
  <c r="CB15" i="9"/>
  <c r="AY38" i="1"/>
  <c r="M15" i="9"/>
  <c r="D16" i="12"/>
  <c r="BS15" i="9" a="1"/>
  <c r="BS15" i="9"/>
  <c r="FC38" i="1"/>
  <c r="BJ15" i="9" a="1"/>
  <c r="BJ15" i="9"/>
  <c r="FW38" i="1"/>
  <c r="AS15" i="9" a="1"/>
  <c r="AS15" i="9"/>
  <c r="BO15" i="9" a="1"/>
  <c r="BO15" i="9"/>
  <c r="BK38" i="1"/>
  <c r="X15" i="9"/>
  <c r="K15" i="9"/>
  <c r="CQ38" i="1"/>
  <c r="Q15" i="9" a="1"/>
  <c r="Q15" i="9"/>
  <c r="AG38" i="1"/>
  <c r="AU15" i="9" a="1"/>
  <c r="AU15" i="9"/>
  <c r="BD15" i="9" a="1"/>
  <c r="BD15" i="9"/>
  <c r="EI38" i="1"/>
  <c r="CD15" i="9" a="1"/>
  <c r="CD15" i="9"/>
  <c r="GE38" i="1"/>
  <c r="AG15" i="9"/>
  <c r="BA15" i="9" a="1"/>
  <c r="BA15" i="9"/>
  <c r="CA38" i="1"/>
  <c r="BZ15" i="9" a="1"/>
  <c r="BZ15" i="9"/>
  <c r="AL38" i="1"/>
  <c r="BR15" i="9" a="1"/>
  <c r="BR15" i="9"/>
  <c r="EY38" i="1"/>
  <c r="AD15" i="9"/>
  <c r="AQ15" i="9" a="1"/>
  <c r="AQ15" i="9"/>
  <c r="BE15" i="9" a="1"/>
  <c r="BE15" i="9"/>
  <c r="EM38" i="1"/>
  <c r="Z15" i="9"/>
  <c r="AJ15" i="9" a="1"/>
  <c r="AJ15" i="9"/>
  <c r="BW15" i="9" a="1"/>
  <c r="BW15" i="9"/>
  <c r="FO38" i="1"/>
  <c r="D15" i="9"/>
  <c r="I38" i="1"/>
  <c r="AY79" i="9" a="1"/>
  <c r="AY79" i="9"/>
  <c r="AB79" i="9"/>
  <c r="AC79" i="9"/>
  <c r="BI79" i="9" a="1"/>
  <c r="BI79" i="9"/>
  <c r="BS79" i="9" a="1"/>
  <c r="BS79" i="9"/>
  <c r="I79" i="9"/>
  <c r="D79" i="9"/>
  <c r="X79" i="9"/>
  <c r="BM79" i="9" a="1"/>
  <c r="BM79" i="9"/>
  <c r="M79" i="9"/>
  <c r="BL79" i="9" a="1"/>
  <c r="BL79" i="9"/>
  <c r="AG79" i="9"/>
  <c r="BU79" i="9" a="1"/>
  <c r="BU79" i="9"/>
  <c r="BB79" i="9" a="1"/>
  <c r="BB79" i="9"/>
  <c r="BE79" i="9" a="1"/>
  <c r="BE79" i="9"/>
  <c r="CC79" i="9" a="1"/>
  <c r="CC79" i="9"/>
  <c r="BA79" i="9" a="1"/>
  <c r="BA79" i="9"/>
  <c r="S79" i="9" a="1"/>
  <c r="S79" i="9"/>
  <c r="AK79" i="9" a="1"/>
  <c r="AK79" i="9"/>
  <c r="AJ79" i="9" a="1"/>
  <c r="AJ79" i="9"/>
  <c r="BC79" i="9" a="1"/>
  <c r="BC79" i="9"/>
  <c r="BW79" i="9" a="1"/>
  <c r="BW79" i="9"/>
  <c r="AP79" i="9" a="1"/>
  <c r="AP79" i="9"/>
  <c r="AQ79" i="9" a="1"/>
  <c r="AQ79" i="9"/>
  <c r="AT79" i="9" a="1"/>
  <c r="AT79" i="9"/>
  <c r="G79" i="9"/>
  <c r="CD79" i="9" a="1"/>
  <c r="CD79" i="9"/>
  <c r="N79" i="9"/>
  <c r="J79" i="9"/>
  <c r="BJ79" i="9" a="1"/>
  <c r="BJ79" i="9"/>
  <c r="U79" i="9"/>
  <c r="AM79" i="9" a="1"/>
  <c r="AM79" i="9"/>
  <c r="BN79" i="9" a="1"/>
  <c r="BN79" i="9"/>
  <c r="BO79" i="9" a="1"/>
  <c r="BO79" i="9"/>
  <c r="AD79" i="9"/>
  <c r="AI79" i="9" a="1"/>
  <c r="AI79" i="9"/>
  <c r="CA79" i="9" a="1"/>
  <c r="CA79" i="9"/>
  <c r="BT79" i="9" a="1"/>
  <c r="BT79" i="9"/>
  <c r="T79" i="9"/>
  <c r="CF79" i="9"/>
  <c r="K79" i="9"/>
  <c r="BG79" i="9" a="1"/>
  <c r="BG79" i="9"/>
  <c r="AX79" i="9"/>
  <c r="BR79" i="9" a="1"/>
  <c r="BR79" i="9"/>
  <c r="L79" i="9"/>
  <c r="BQ79" i="9" a="1"/>
  <c r="BQ79" i="9"/>
  <c r="AE79" i="9"/>
  <c r="AF79" i="9"/>
  <c r="E79" i="9"/>
  <c r="BZ79" i="9" a="1"/>
  <c r="BZ79" i="9"/>
  <c r="F79" i="9"/>
  <c r="CB79" i="9" a="1"/>
  <c r="CB79" i="9"/>
  <c r="P79" i="9"/>
  <c r="BD79" i="9" a="1"/>
  <c r="BD79" i="9"/>
  <c r="AN79" i="9" a="1"/>
  <c r="AN79" i="9"/>
  <c r="BH79" i="9" a="1"/>
  <c r="BH79" i="9"/>
  <c r="AR79" i="9" a="1"/>
  <c r="AR79" i="9"/>
  <c r="Z79" i="9"/>
  <c r="V79" i="9"/>
  <c r="O79" i="9"/>
  <c r="AO79" i="9" a="1"/>
  <c r="AO79" i="9"/>
  <c r="BK79" i="9" a="1"/>
  <c r="BK79" i="9"/>
  <c r="Q79" i="9" a="1"/>
  <c r="Q79" i="9"/>
  <c r="AS79" i="9" a="1"/>
  <c r="AS79" i="9"/>
  <c r="AY62" i="9" a="1"/>
  <c r="AY62" i="9"/>
  <c r="AX62" i="9"/>
  <c r="AL62" i="9" a="1"/>
  <c r="AL62" i="9"/>
  <c r="AV62" i="9"/>
  <c r="AU62" i="9" a="1"/>
  <c r="AU62" i="9"/>
  <c r="AG62" i="9"/>
  <c r="BN62" i="9" a="1"/>
  <c r="BN62" i="9"/>
  <c r="BR62" i="9" a="1"/>
  <c r="BR62" i="9"/>
  <c r="O62" i="9"/>
  <c r="AM62" i="9" a="1"/>
  <c r="AM62" i="9"/>
  <c r="F62" i="9"/>
  <c r="BZ62" i="9" a="1"/>
  <c r="BZ62" i="9"/>
  <c r="K62" i="9"/>
  <c r="CB62" i="9" a="1"/>
  <c r="CB62" i="9"/>
  <c r="I62" i="9"/>
  <c r="U62" i="9"/>
  <c r="AP62" i="9" a="1"/>
  <c r="AP62" i="9"/>
  <c r="V62" i="9"/>
  <c r="CF62" i="9"/>
  <c r="D62" i="9"/>
  <c r="BE62" i="9" a="1"/>
  <c r="BE62" i="9"/>
  <c r="AR62" i="9" a="1"/>
  <c r="AR62" i="9"/>
  <c r="M62" i="9"/>
  <c r="T62" i="9"/>
  <c r="BO62" i="9" a="1"/>
  <c r="BO62" i="9"/>
  <c r="N62" i="9"/>
  <c r="AK62" i="9" a="1"/>
  <c r="AK62" i="9"/>
  <c r="BB62" i="9" a="1"/>
  <c r="BB62" i="9"/>
  <c r="BD62" i="9" a="1"/>
  <c r="BD62" i="9"/>
  <c r="AS62" i="9" a="1"/>
  <c r="AS62" i="9"/>
  <c r="AJ62" i="9" a="1"/>
  <c r="AJ62" i="9"/>
  <c r="AQ62" i="9" a="1"/>
  <c r="AQ62" i="9"/>
  <c r="AZ62" i="9" a="1"/>
  <c r="AZ62" i="9"/>
  <c r="P62" i="9"/>
  <c r="E62" i="9"/>
  <c r="Z62" i="9"/>
  <c r="Q62" i="9" a="1"/>
  <c r="Q62" i="9"/>
  <c r="CC62" i="9" a="1"/>
  <c r="CC62" i="9"/>
  <c r="AE62" i="9"/>
  <c r="AF62" i="9"/>
  <c r="BM62" i="9" a="1"/>
  <c r="BM62" i="9"/>
  <c r="BU62" i="9" a="1"/>
  <c r="BU62" i="9"/>
  <c r="BL62" i="9" a="1"/>
  <c r="BL62" i="9"/>
  <c r="G62" i="9"/>
  <c r="L62" i="9"/>
  <c r="AN62" i="9" a="1"/>
  <c r="AN62" i="9"/>
  <c r="BK62" i="9" a="1"/>
  <c r="BK62" i="9"/>
  <c r="BH62" i="9" a="1"/>
  <c r="BH62" i="9"/>
  <c r="BW62" i="9" a="1"/>
  <c r="BW62" i="9"/>
  <c r="CA62" i="9" a="1"/>
  <c r="CA62" i="9"/>
  <c r="BG62" i="9" a="1"/>
  <c r="BG62" i="9"/>
  <c r="J62" i="9"/>
  <c r="BQ62" i="9" a="1"/>
  <c r="BQ62" i="9"/>
  <c r="BS62" i="9" a="1"/>
  <c r="BS62" i="9"/>
  <c r="CD62" i="9" a="1"/>
  <c r="CD62" i="9"/>
  <c r="AD62" i="9"/>
  <c r="BF62" i="9" a="1"/>
  <c r="BF62" i="9"/>
  <c r="AI62" i="9" a="1"/>
  <c r="AI62" i="9"/>
  <c r="Y62" i="9"/>
  <c r="AT62" i="9" a="1"/>
  <c r="AT62" i="9"/>
  <c r="AB62" i="9"/>
  <c r="AC62" i="9"/>
  <c r="BT62" i="9" a="1"/>
  <c r="BT62" i="9"/>
  <c r="S62" i="9" a="1"/>
  <c r="S62" i="9"/>
  <c r="BA62" i="9" a="1"/>
  <c r="BA62" i="9"/>
  <c r="BC62" i="9" a="1"/>
  <c r="BC62" i="9"/>
  <c r="X62" i="9"/>
  <c r="BJ62" i="9" a="1"/>
  <c r="BJ62" i="9"/>
  <c r="AO62" i="9" a="1"/>
  <c r="AO62" i="9"/>
  <c r="I69" i="9"/>
  <c r="CA69" i="9" a="1"/>
  <c r="CA69" i="9"/>
  <c r="J69" i="9"/>
  <c r="AZ69" i="9" a="1"/>
  <c r="AZ69" i="9"/>
  <c r="S69" i="9" a="1"/>
  <c r="S69" i="9"/>
  <c r="BO69" i="9" a="1"/>
  <c r="BO69" i="9"/>
  <c r="AQ69" i="9" a="1"/>
  <c r="AQ69" i="9"/>
  <c r="U69" i="9"/>
  <c r="AK69" i="9" a="1"/>
  <c r="AK69" i="9"/>
  <c r="BN69" i="9" a="1"/>
  <c r="BN69" i="9"/>
  <c r="AU69" i="9" a="1"/>
  <c r="AU69" i="9"/>
  <c r="AP69" i="9" a="1"/>
  <c r="AP69" i="9"/>
  <c r="Y69" i="9"/>
  <c r="D69" i="9"/>
  <c r="BT69" i="9" a="1"/>
  <c r="BT69" i="9"/>
  <c r="BF69" i="9" a="1"/>
  <c r="BF69" i="9"/>
  <c r="BU69" i="9" a="1"/>
  <c r="BU69" i="9"/>
  <c r="AB69" i="9"/>
  <c r="AC69" i="9"/>
  <c r="AO69" i="9" a="1"/>
  <c r="AO69" i="9"/>
  <c r="BM69" i="9" a="1"/>
  <c r="BM69" i="9"/>
  <c r="L69" i="9"/>
  <c r="AS69" i="9" a="1"/>
  <c r="AS69" i="9"/>
  <c r="BJ69" i="9" a="1"/>
  <c r="BJ69" i="9"/>
  <c r="P69" i="9"/>
  <c r="T69" i="9"/>
  <c r="AX69" i="9"/>
  <c r="CD69" i="9" a="1"/>
  <c r="CD69" i="9"/>
  <c r="V69" i="9"/>
  <c r="BE69" i="9" a="1"/>
  <c r="BE69" i="9"/>
  <c r="AD69" i="9"/>
  <c r="Z69" i="9"/>
  <c r="AE69" i="9"/>
  <c r="AF69" i="9"/>
  <c r="BG69" i="9" a="1"/>
  <c r="BG69" i="9"/>
  <c r="AI69" i="9" a="1"/>
  <c r="AI69" i="9"/>
  <c r="BZ69" i="9" a="1"/>
  <c r="BZ69" i="9"/>
  <c r="BL69" i="9" a="1"/>
  <c r="BL69" i="9"/>
  <c r="Q69" i="9" a="1"/>
  <c r="Q69" i="9"/>
  <c r="BK69" i="9" a="1"/>
  <c r="BK69" i="9"/>
  <c r="X69" i="9"/>
  <c r="BH69" i="9" a="1"/>
  <c r="BH69" i="9"/>
  <c r="BB69" i="9" a="1"/>
  <c r="BB69" i="9"/>
  <c r="AN69" i="9" a="1"/>
  <c r="AN69" i="9"/>
  <c r="BC69" i="9" a="1"/>
  <c r="BC69" i="9"/>
  <c r="CF69" i="9"/>
  <c r="K69" i="9"/>
  <c r="O69" i="9"/>
  <c r="BR69" i="9" a="1"/>
  <c r="BR69" i="9"/>
  <c r="BS69" i="9" a="1"/>
  <c r="BS69" i="9"/>
  <c r="BD69" i="9" a="1"/>
  <c r="BD69" i="9"/>
  <c r="N69" i="9"/>
  <c r="BI69" i="9" a="1"/>
  <c r="BI69" i="9"/>
  <c r="AR69" i="9" a="1"/>
  <c r="AR69" i="9"/>
  <c r="M69" i="9"/>
  <c r="BW69" i="9" a="1"/>
  <c r="BW69" i="9"/>
  <c r="BQ69" i="9" a="1"/>
  <c r="BQ69" i="9"/>
  <c r="AL69" i="9" a="1"/>
  <c r="AL69" i="9"/>
  <c r="AW69" i="9"/>
  <c r="AM69" i="9" a="1"/>
  <c r="AM69" i="9"/>
  <c r="BA69" i="9" a="1"/>
  <c r="BA69" i="9"/>
  <c r="G69" i="9"/>
  <c r="CC69" i="9" a="1"/>
  <c r="CC69" i="9"/>
  <c r="AT69" i="9" a="1"/>
  <c r="AT69" i="9"/>
  <c r="AY69" i="9" a="1"/>
  <c r="AY69" i="9"/>
  <c r="E69" i="9"/>
  <c r="AJ69" i="9" a="1"/>
  <c r="AJ69" i="9"/>
  <c r="F69" i="9"/>
  <c r="BZ71" i="9" a="1"/>
  <c r="BZ71" i="9"/>
  <c r="BK71" i="9" a="1"/>
  <c r="BK71" i="9"/>
  <c r="BG71" i="9" a="1"/>
  <c r="BG71" i="9"/>
  <c r="I71" i="9"/>
  <c r="AB71" i="9"/>
  <c r="AC71" i="9"/>
  <c r="BZ81" i="9" a="1"/>
  <c r="BZ81" i="9"/>
  <c r="AD81" i="9"/>
  <c r="AQ22" i="9" a="1"/>
  <c r="AQ22" i="9"/>
  <c r="M22" i="9"/>
  <c r="CY46" i="1"/>
  <c r="BT22" i="9" a="1"/>
  <c r="BT22" i="9"/>
  <c r="FG46" i="1"/>
  <c r="BR22" i="9" a="1"/>
  <c r="BR22" i="9"/>
  <c r="EY46" i="1"/>
  <c r="CA22" i="9" a="1"/>
  <c r="CA22" i="9"/>
  <c r="AQ46" i="1"/>
  <c r="G22" i="9"/>
  <c r="P46" i="1"/>
  <c r="AJ22" i="9" a="1"/>
  <c r="AJ22" i="9"/>
  <c r="V22" i="9"/>
  <c r="BO22" i="9" a="1"/>
  <c r="BO22" i="9"/>
  <c r="BK46" i="1"/>
  <c r="AT22" i="9" a="1"/>
  <c r="AT22" i="9"/>
  <c r="BL22" i="9" a="1"/>
  <c r="BL22" i="9"/>
  <c r="EU46" i="1"/>
  <c r="CC22" i="9" a="1"/>
  <c r="CC22" i="9"/>
  <c r="AU46" i="1"/>
  <c r="AB22" i="9"/>
  <c r="AC22" i="9"/>
  <c r="AZ22" i="9" a="1"/>
  <c r="AZ22" i="9"/>
  <c r="CE46" i="1"/>
  <c r="BK22" i="9" a="1"/>
  <c r="BK22" i="9"/>
  <c r="GA46" i="1"/>
  <c r="CB22" i="9" a="1"/>
  <c r="CB22" i="9"/>
  <c r="AY46" i="1"/>
  <c r="BB89" i="9" a="1"/>
  <c r="BB89" i="9"/>
  <c r="BA89" i="9" a="1"/>
  <c r="BA89" i="9"/>
  <c r="Y89" i="9"/>
  <c r="V89" i="9"/>
  <c r="X89" i="9"/>
  <c r="BO89" i="9" a="1"/>
  <c r="BO89" i="9"/>
  <c r="AS89" i="9" a="1"/>
  <c r="AS89" i="9"/>
  <c r="BM89" i="9" a="1"/>
  <c r="BM89" i="9"/>
  <c r="F89" i="9"/>
  <c r="G89" i="9"/>
  <c r="AI89" i="9" a="1"/>
  <c r="AI89" i="9"/>
  <c r="AM89" i="9" a="1"/>
  <c r="AM89" i="9"/>
  <c r="CB89" i="9" a="1"/>
  <c r="CB89" i="9"/>
  <c r="BF89" i="9" a="1"/>
  <c r="BF89" i="9"/>
  <c r="AD89" i="9"/>
  <c r="U89" i="9"/>
  <c r="AX81" i="9"/>
  <c r="AG81" i="9"/>
  <c r="E81" i="9"/>
  <c r="K81" i="9"/>
  <c r="I81" i="9"/>
  <c r="D81" i="9"/>
  <c r="AI81" i="9" a="1"/>
  <c r="AI81" i="9"/>
  <c r="Y81" i="9"/>
  <c r="M81" i="9"/>
  <c r="X81" i="9"/>
  <c r="AS81" i="9" a="1"/>
  <c r="AS81" i="9"/>
  <c r="CC81" i="9" a="1"/>
  <c r="CC81" i="9"/>
  <c r="BJ81" i="9" a="1"/>
  <c r="BJ81" i="9"/>
  <c r="CF81" i="9"/>
  <c r="AO71" i="9" a="1"/>
  <c r="AO71" i="9"/>
  <c r="BL71" i="9" a="1"/>
  <c r="BL71" i="9"/>
  <c r="BH71" i="9" a="1"/>
  <c r="BH71" i="9"/>
  <c r="AD71" i="9"/>
  <c r="BS71" i="9" a="1"/>
  <c r="BS71" i="9"/>
  <c r="K71" i="9"/>
  <c r="CF71" i="9"/>
  <c r="BW114" i="9" a="1"/>
  <c r="BW114" i="9"/>
  <c r="X114" i="9"/>
  <c r="BQ114" i="9" a="1"/>
  <c r="BQ114" i="9"/>
  <c r="T114" i="9"/>
  <c r="K114" i="9"/>
  <c r="BQ71" i="9" a="1"/>
  <c r="BQ71" i="9"/>
  <c r="M108" i="9"/>
  <c r="G44" i="9"/>
  <c r="BE109" i="9" a="1"/>
  <c r="BE109" i="9"/>
  <c r="AR108" i="9" a="1"/>
  <c r="AR108" i="9"/>
  <c r="M44" i="9"/>
  <c r="AT44" i="9" a="1"/>
  <c r="AT44" i="9"/>
  <c r="U44" i="9"/>
  <c r="BC44" i="9" a="1"/>
  <c r="BC44" i="9"/>
  <c r="N44" i="9"/>
  <c r="D44" i="9"/>
  <c r="BJ44" i="9" a="1"/>
  <c r="BJ44" i="9"/>
  <c r="J44" i="9"/>
  <c r="M53" i="9"/>
  <c r="Z53" i="9"/>
  <c r="AP53" i="9" a="1"/>
  <c r="AP53" i="9"/>
  <c r="AL53" i="9" a="1"/>
  <c r="AL53" i="9"/>
  <c r="AW53" i="9"/>
  <c r="S53" i="9" a="1"/>
  <c r="S53" i="9"/>
  <c r="AY53" i="9" a="1"/>
  <c r="AY53" i="9"/>
  <c r="AG53" i="9"/>
  <c r="Q53" i="9" a="1"/>
  <c r="Q53" i="9"/>
  <c r="E53" i="9"/>
  <c r="AT109" i="9" a="1"/>
  <c r="AT109" i="9"/>
  <c r="BB109" i="9" a="1"/>
  <c r="BB109" i="9"/>
  <c r="AB109" i="9"/>
  <c r="AC109" i="9"/>
  <c r="BS109" i="9" a="1"/>
  <c r="BS109" i="9"/>
  <c r="Y109" i="9"/>
  <c r="AL109" i="9" a="1"/>
  <c r="AL109" i="9"/>
  <c r="AV109" i="9"/>
  <c r="BN109" i="9" a="1"/>
  <c r="BN109" i="9"/>
  <c r="AJ109" i="9" a="1"/>
  <c r="AJ109" i="9"/>
  <c r="BK108" i="9" a="1"/>
  <c r="BK108" i="9"/>
  <c r="AK108" i="9" a="1"/>
  <c r="AK108" i="9"/>
  <c r="AS108" i="9" a="1"/>
  <c r="AS108" i="9"/>
  <c r="Q108" i="9" a="1"/>
  <c r="Q108" i="9"/>
  <c r="BT108" i="9" a="1"/>
  <c r="BT108" i="9"/>
  <c r="X108" i="9"/>
  <c r="T108" i="9"/>
  <c r="BU108" i="9" a="1"/>
  <c r="BU108" i="9"/>
  <c r="BI71" i="9" a="1"/>
  <c r="BI71" i="9"/>
  <c r="N71" i="9"/>
  <c r="T15" i="9"/>
  <c r="BA85" i="9" a="1"/>
  <c r="BA85" i="9"/>
  <c r="P85" i="9"/>
  <c r="BO114" i="9" a="1"/>
  <c r="BO114" i="9"/>
  <c r="AO127" i="9" a="1"/>
  <c r="AO127" i="9"/>
  <c r="K127" i="9"/>
  <c r="K14" i="9"/>
  <c r="B15" i="12"/>
  <c r="AM14" i="9" a="1"/>
  <c r="AM14" i="9"/>
  <c r="BK127" i="9" a="1"/>
  <c r="BK127" i="9"/>
  <c r="BG85" i="9" a="1"/>
  <c r="BG85" i="9"/>
  <c r="E85" i="9"/>
  <c r="Y85" i="9"/>
  <c r="F85" i="9"/>
  <c r="BM85" i="9" a="1"/>
  <c r="BM85" i="9"/>
  <c r="BD114" i="9" a="1"/>
  <c r="BD114" i="9"/>
  <c r="AD114" i="9"/>
  <c r="CF114" i="9"/>
  <c r="AJ114" i="9" a="1"/>
  <c r="AJ114" i="9"/>
  <c r="CA15" i="9" a="1"/>
  <c r="CA15" i="9"/>
  <c r="AQ38" i="1"/>
  <c r="CF15" i="9"/>
  <c r="BS38" i="1"/>
  <c r="CC15" i="9" a="1"/>
  <c r="CC15" i="9"/>
  <c r="AU38" i="1"/>
  <c r="N15" i="9"/>
  <c r="DO38" i="1"/>
  <c r="P15" i="9"/>
  <c r="DW38" i="1"/>
  <c r="O15" i="9"/>
  <c r="DS38" i="1"/>
  <c r="AZ36" i="9" a="1"/>
  <c r="AZ36" i="9"/>
  <c r="BU15" i="9" a="1"/>
  <c r="BU15" i="9"/>
  <c r="FK38" i="1"/>
  <c r="T127" i="9"/>
  <c r="BA127" i="9" a="1"/>
  <c r="BA127" i="9"/>
  <c r="BS36" i="9" a="1"/>
  <c r="BS36" i="9"/>
  <c r="BM36" i="9" a="1"/>
  <c r="BM36" i="9"/>
  <c r="CC86" i="9" a="1"/>
  <c r="CC86" i="9"/>
  <c r="BM84" i="9" a="1"/>
  <c r="BM84" i="9"/>
  <c r="BU14" i="9" a="1"/>
  <c r="BU14" i="9"/>
  <c r="FK37" i="1"/>
  <c r="BZ86" i="9" a="1"/>
  <c r="BZ86" i="9"/>
  <c r="S55" i="9" a="1"/>
  <c r="S55" i="9"/>
  <c r="CD86" i="9" a="1"/>
  <c r="CD86" i="9"/>
  <c r="F113" i="9"/>
  <c r="Y79" i="9"/>
  <c r="K113" i="9"/>
  <c r="BC113" i="9" a="1"/>
  <c r="BC113" i="9"/>
  <c r="BR55" i="9" a="1"/>
  <c r="BR55" i="9"/>
  <c r="AS105" i="9" a="1"/>
  <c r="AS105" i="9"/>
  <c r="AN77" i="9" a="1"/>
  <c r="AN77" i="9"/>
  <c r="BO7" i="9" a="1"/>
  <c r="BO7" i="9"/>
  <c r="BK29" i="1"/>
  <c r="AJ107" i="9" a="1"/>
  <c r="AJ107" i="9"/>
  <c r="BU111" i="9" a="1"/>
  <c r="BU111" i="9"/>
  <c r="Z58" i="9"/>
  <c r="BI62" i="9" a="1"/>
  <c r="BI62" i="9"/>
  <c r="AG71" i="9"/>
  <c r="P71" i="9"/>
  <c r="BE71" i="9" a="1"/>
  <c r="BE71" i="9"/>
  <c r="BC71" i="9" a="1"/>
  <c r="BC71" i="9"/>
  <c r="BA71" i="9" a="1"/>
  <c r="BA71" i="9"/>
  <c r="U71" i="9"/>
  <c r="T81" i="9"/>
  <c r="BI22" i="9" a="1"/>
  <c r="BI22" i="9"/>
  <c r="FS46" i="1"/>
  <c r="CF22" i="9"/>
  <c r="BS46" i="1"/>
  <c r="BJ22" i="9" a="1"/>
  <c r="BJ22" i="9"/>
  <c r="FW46" i="1"/>
  <c r="D22" i="9"/>
  <c r="I46" i="1"/>
  <c r="BG22" i="9" a="1"/>
  <c r="BG22" i="9"/>
  <c r="EA46" i="1"/>
  <c r="Y22" i="9"/>
  <c r="BC22" i="9" a="1"/>
  <c r="BC22" i="9"/>
  <c r="EE46" i="1"/>
  <c r="AN22" i="9" a="1"/>
  <c r="AN22" i="9"/>
  <c r="BW22" i="9" a="1"/>
  <c r="BW22" i="9"/>
  <c r="FO46" i="1"/>
  <c r="L22" i="9"/>
  <c r="CU46" i="1"/>
  <c r="O22" i="9"/>
  <c r="DS46" i="1"/>
  <c r="N22" i="9"/>
  <c r="DO46" i="1"/>
  <c r="AR22" i="9" a="1"/>
  <c r="AR22" i="9"/>
  <c r="AL22" i="9" a="1"/>
  <c r="AL22" i="9"/>
  <c r="AW22" i="9"/>
  <c r="AU22" i="9" a="1"/>
  <c r="AU22" i="9"/>
  <c r="F22" i="9"/>
  <c r="V46" i="1"/>
  <c r="BE89" i="9" a="1"/>
  <c r="BE89" i="9"/>
  <c r="I89" i="9"/>
  <c r="AB89" i="9"/>
  <c r="AC89" i="9"/>
  <c r="K89" i="9"/>
  <c r="AJ89" i="9" a="1"/>
  <c r="AJ89" i="9"/>
  <c r="AU89" i="9" a="1"/>
  <c r="AU89" i="9"/>
  <c r="Q89" i="9" a="1"/>
  <c r="Q89" i="9"/>
  <c r="O89" i="9"/>
  <c r="BL89" i="9" a="1"/>
  <c r="BL89" i="9"/>
  <c r="S89" i="9" a="1"/>
  <c r="S89" i="9"/>
  <c r="CD89" i="9" a="1"/>
  <c r="CD89" i="9"/>
  <c r="BK89" i="9" a="1"/>
  <c r="BK89" i="9"/>
  <c r="BU89" i="9" a="1"/>
  <c r="BU89" i="9"/>
  <c r="P89" i="9"/>
  <c r="CC89" i="9" a="1"/>
  <c r="CC89" i="9"/>
  <c r="BW81" i="9" a="1"/>
  <c r="BW81" i="9"/>
  <c r="AB81" i="9"/>
  <c r="AC81" i="9"/>
  <c r="AQ81" i="9" a="1"/>
  <c r="AQ81" i="9"/>
  <c r="BQ81" i="9" a="1"/>
  <c r="BQ81" i="9"/>
  <c r="L81" i="9"/>
  <c r="G81" i="9"/>
  <c r="BA81" i="9" a="1"/>
  <c r="BA81" i="9"/>
  <c r="BF81" i="9" a="1"/>
  <c r="BF81" i="9"/>
  <c r="AU81" i="9" a="1"/>
  <c r="AU81" i="9"/>
  <c r="BC81" i="9" a="1"/>
  <c r="BC81" i="9"/>
  <c r="AO81" i="9" a="1"/>
  <c r="AO81" i="9"/>
  <c r="U81" i="9"/>
  <c r="AP81" i="9" a="1"/>
  <c r="AP81" i="9"/>
  <c r="BK81" i="9" a="1"/>
  <c r="BK81" i="9"/>
  <c r="Z71" i="9"/>
  <c r="Y71" i="9"/>
  <c r="BT71" i="9" a="1"/>
  <c r="BT71" i="9"/>
  <c r="AL71" i="9" a="1"/>
  <c r="AL71" i="9"/>
  <c r="AV71" i="9"/>
  <c r="Q71" i="9" a="1"/>
  <c r="Q71" i="9"/>
  <c r="E71" i="9"/>
  <c r="J71" i="9"/>
  <c r="AE114" i="9"/>
  <c r="AF114" i="9"/>
  <c r="U114" i="9"/>
  <c r="P114" i="9"/>
  <c r="BZ114" i="9" a="1"/>
  <c r="BZ114" i="9"/>
  <c r="AQ108" i="9" a="1"/>
  <c r="AQ108" i="9"/>
  <c r="AY108" i="9" a="1"/>
  <c r="AY108" i="9"/>
  <c r="CA44" i="9" a="1"/>
  <c r="CA44" i="9"/>
  <c r="AQ44" i="9" a="1"/>
  <c r="AQ44" i="9"/>
  <c r="BK44" i="9" a="1"/>
  <c r="BK44" i="9"/>
  <c r="AP44" i="9" a="1"/>
  <c r="AP44" i="9"/>
  <c r="P44" i="9"/>
  <c r="AG44" i="9"/>
  <c r="BO44" i="9" a="1"/>
  <c r="BO44" i="9"/>
  <c r="BN44" i="9" a="1"/>
  <c r="BN44" i="9"/>
  <c r="S44" i="9" a="1"/>
  <c r="S44" i="9"/>
  <c r="L53" i="9"/>
  <c r="CD53" i="9" a="1"/>
  <c r="CD53" i="9"/>
  <c r="BD53" i="9" a="1"/>
  <c r="BD53" i="9"/>
  <c r="BN53" i="9" a="1"/>
  <c r="BN53" i="9"/>
  <c r="BW53" i="9" a="1"/>
  <c r="BW53" i="9"/>
  <c r="CB53" i="9" a="1"/>
  <c r="CB53" i="9"/>
  <c r="CC53" i="9" a="1"/>
  <c r="CC53" i="9"/>
  <c r="BB53" i="9" a="1"/>
  <c r="BB53" i="9"/>
  <c r="BK53" i="9" a="1"/>
  <c r="BK53" i="9"/>
  <c r="BQ109" i="9" a="1"/>
  <c r="BQ109" i="9"/>
  <c r="CF109" i="9"/>
  <c r="T109" i="9"/>
  <c r="BI109" i="9" a="1"/>
  <c r="BI109" i="9"/>
  <c r="Z109" i="9"/>
  <c r="AP109" i="9" a="1"/>
  <c r="AP109" i="9"/>
  <c r="BO109" i="9" a="1"/>
  <c r="BO109" i="9"/>
  <c r="BC109" i="9" a="1"/>
  <c r="BC109" i="9"/>
  <c r="BZ108" i="9" a="1"/>
  <c r="BZ108" i="9"/>
  <c r="K108" i="9"/>
  <c r="BA108" i="9" a="1"/>
  <c r="BA108" i="9"/>
  <c r="AJ108" i="9" a="1"/>
  <c r="AJ108" i="9"/>
  <c r="BD108" i="9" a="1"/>
  <c r="BD108" i="9"/>
  <c r="BQ108" i="9" a="1"/>
  <c r="BQ108" i="9"/>
  <c r="N108" i="9"/>
  <c r="AB108" i="9"/>
  <c r="AC108" i="9"/>
  <c r="BW71" i="9" a="1"/>
  <c r="BW71" i="9"/>
  <c r="AP71" i="9" a="1"/>
  <c r="AP71" i="9"/>
  <c r="AR71" i="9" a="1"/>
  <c r="AR71" i="9"/>
  <c r="S85" i="9" a="1"/>
  <c r="S85" i="9"/>
  <c r="AB114" i="9"/>
  <c r="AC114" i="9"/>
  <c r="BO127" i="9" a="1"/>
  <c r="BO127" i="9"/>
  <c r="AP127" i="9" a="1"/>
  <c r="AP127" i="9"/>
  <c r="AY14" i="9" a="1"/>
  <c r="AY14" i="9"/>
  <c r="CI37" i="1"/>
  <c r="CD14" i="9" a="1"/>
  <c r="CD14" i="9"/>
  <c r="GE37" i="1"/>
  <c r="AE127" i="9"/>
  <c r="AF127" i="9"/>
  <c r="AZ85" i="9" a="1"/>
  <c r="AZ85" i="9"/>
  <c r="D85" i="9"/>
  <c r="X85" i="9"/>
  <c r="BC85" i="9" a="1"/>
  <c r="BC85" i="9"/>
  <c r="AM85" i="9" a="1"/>
  <c r="AM85" i="9"/>
  <c r="CC114" i="9" a="1"/>
  <c r="CC114" i="9"/>
  <c r="L114" i="9"/>
  <c r="AZ114" i="9" a="1"/>
  <c r="AZ114" i="9"/>
  <c r="BA109" i="9" a="1"/>
  <c r="BA109" i="9"/>
  <c r="G15" i="9"/>
  <c r="P38" i="1"/>
  <c r="BI15" i="9" a="1"/>
  <c r="BI15" i="9"/>
  <c r="FS38" i="1"/>
  <c r="BC15" i="9" a="1"/>
  <c r="BC15" i="9"/>
  <c r="EE38" i="1"/>
  <c r="AX15" i="9"/>
  <c r="BC38" i="1"/>
  <c r="AO15" i="9" a="1"/>
  <c r="AO15" i="9"/>
  <c r="BN15" i="9" a="1"/>
  <c r="BN15" i="9"/>
  <c r="BO38" i="1"/>
  <c r="AN15" i="9" a="1"/>
  <c r="AN15" i="9"/>
  <c r="AR85" i="9" a="1"/>
  <c r="AR85" i="9"/>
  <c r="X127" i="9"/>
  <c r="Q36" i="9" a="1"/>
  <c r="Q36" i="9"/>
  <c r="BJ36" i="9" a="1"/>
  <c r="BJ36" i="9"/>
  <c r="BU84" i="9" a="1"/>
  <c r="BU84" i="9"/>
  <c r="D84" i="9"/>
  <c r="AE55" i="9"/>
  <c r="AF55" i="9"/>
  <c r="AM86" i="9" a="1"/>
  <c r="AM86" i="9"/>
  <c r="AY86" i="9" a="1"/>
  <c r="AY86" i="9"/>
  <c r="BK113" i="9" a="1"/>
  <c r="BK113" i="9"/>
  <c r="CA113" i="9" a="1"/>
  <c r="CA113" i="9"/>
  <c r="BI107" i="9" a="1"/>
  <c r="BI107" i="9"/>
  <c r="BJ77" i="9" a="1"/>
  <c r="BJ77" i="9"/>
  <c r="AE7" i="9"/>
  <c r="AF7" i="9"/>
  <c r="AG69" i="9"/>
  <c r="Y14" i="9"/>
  <c r="BB98" i="9" a="1"/>
  <c r="BB98" i="9"/>
  <c r="T98" i="9"/>
  <c r="BI102" i="9" a="1"/>
  <c r="BI102" i="9"/>
  <c r="AM98" i="9" a="1"/>
  <c r="AM98" i="9"/>
  <c r="AZ98" i="9" a="1"/>
  <c r="AZ98" i="9"/>
  <c r="AY98" i="9" a="1"/>
  <c r="AY98" i="9"/>
  <c r="AB98" i="9"/>
  <c r="AC98" i="9"/>
  <c r="BL98" i="9" a="1"/>
  <c r="BL98" i="9"/>
  <c r="CB98" i="9" a="1"/>
  <c r="CB98" i="9"/>
  <c r="BK98" i="9" a="1"/>
  <c r="BK98" i="9"/>
  <c r="AR98" i="9" a="1"/>
  <c r="AR98" i="9"/>
  <c r="U98" i="9"/>
  <c r="AQ98" i="9" a="1"/>
  <c r="AQ98" i="9"/>
  <c r="AO98" i="9" a="1"/>
  <c r="AO98" i="9"/>
  <c r="BH98" i="9" a="1"/>
  <c r="BH98" i="9"/>
  <c r="BC98" i="9" a="1"/>
  <c r="BC98" i="9"/>
  <c r="Z37" i="9"/>
  <c r="BF37" i="9" a="1"/>
  <c r="BF37" i="9"/>
  <c r="CA102" i="9" a="1"/>
  <c r="CA102" i="9"/>
  <c r="AG102" i="9"/>
  <c r="BN102" i="9" a="1"/>
  <c r="BN102" i="9"/>
  <c r="BS102" i="9" a="1"/>
  <c r="BS102" i="9"/>
  <c r="AU102" i="9" a="1"/>
  <c r="AU102" i="9"/>
  <c r="E102" i="9"/>
  <c r="AP102" i="9" a="1"/>
  <c r="AP102" i="9"/>
  <c r="BE102" i="9" a="1"/>
  <c r="BE102" i="9"/>
  <c r="I102" i="9"/>
  <c r="AS102" i="9" a="1"/>
  <c r="AS102" i="9"/>
  <c r="AD102" i="9"/>
  <c r="BM102" i="9" a="1"/>
  <c r="BM102" i="9"/>
  <c r="O102" i="9"/>
  <c r="M102" i="9"/>
  <c r="AR102" i="9" a="1"/>
  <c r="AR102" i="9"/>
  <c r="AZ102" i="9" a="1"/>
  <c r="AZ102" i="9"/>
  <c r="AJ102" i="9" a="1"/>
  <c r="AJ102" i="9"/>
  <c r="CC102" i="9" a="1"/>
  <c r="CC102" i="9"/>
  <c r="BR102" i="9" a="1"/>
  <c r="BR102" i="9"/>
  <c r="BA102" i="9" a="1"/>
  <c r="BA102" i="9"/>
  <c r="S102" i="9" a="1"/>
  <c r="S102" i="9"/>
  <c r="AY102" i="9" a="1"/>
  <c r="AY102" i="9"/>
  <c r="X102" i="9"/>
  <c r="BW102" i="9" a="1"/>
  <c r="BW102" i="9"/>
  <c r="AB102" i="9"/>
  <c r="AC102" i="9"/>
  <c r="N102" i="9"/>
  <c r="AM102" i="9" a="1"/>
  <c r="AM102" i="9"/>
  <c r="J102" i="9"/>
  <c r="BK102" i="9" a="1"/>
  <c r="BK102" i="9"/>
  <c r="AN102" i="9" a="1"/>
  <c r="AN102" i="9"/>
  <c r="Q102" i="9" a="1"/>
  <c r="Q102" i="9"/>
  <c r="AT102" i="9" a="1"/>
  <c r="AT102" i="9"/>
  <c r="CD102" i="9" a="1"/>
  <c r="CD102" i="9"/>
  <c r="D102" i="9"/>
  <c r="K102" i="9"/>
  <c r="AE102" i="9"/>
  <c r="AF102" i="9"/>
  <c r="BZ102" i="9" a="1"/>
  <c r="BZ102" i="9"/>
  <c r="P102" i="9"/>
  <c r="F102" i="9"/>
  <c r="CB102" i="9" a="1"/>
  <c r="CB102" i="9"/>
  <c r="BB102" i="9" a="1"/>
  <c r="BB102" i="9"/>
  <c r="BF102" i="9" a="1"/>
  <c r="BF102" i="9"/>
  <c r="AO102" i="9" a="1"/>
  <c r="AO102" i="9"/>
  <c r="AI102" i="9" a="1"/>
  <c r="AI102" i="9"/>
  <c r="G102" i="9"/>
  <c r="Y102" i="9"/>
  <c r="BU102" i="9" a="1"/>
  <c r="BU102" i="9"/>
  <c r="BG102" i="9" a="1"/>
  <c r="BG102" i="9"/>
  <c r="Z138" i="9"/>
  <c r="AI138" i="9" a="1"/>
  <c r="AI138" i="9"/>
  <c r="AM138" i="9" a="1"/>
  <c r="AM138" i="9"/>
  <c r="AJ138" i="9" a="1"/>
  <c r="AJ138" i="9"/>
  <c r="AK138" i="9" a="1"/>
  <c r="AK138" i="9"/>
  <c r="BD138" i="9" a="1"/>
  <c r="BD138" i="9"/>
  <c r="BS138" i="9" a="1"/>
  <c r="BS138" i="9"/>
  <c r="N54" i="9"/>
  <c r="I54" i="9"/>
  <c r="AO54" i="9" a="1"/>
  <c r="AO54" i="9"/>
  <c r="BI54" i="9" a="1"/>
  <c r="BI54" i="9"/>
  <c r="AR54" i="9" a="1"/>
  <c r="AR54" i="9"/>
  <c r="AG54" i="9"/>
  <c r="P54" i="9"/>
  <c r="U54" i="9"/>
  <c r="M54" i="9"/>
  <c r="CC54" i="9" a="1"/>
  <c r="CC54" i="9"/>
  <c r="BM54" i="9" a="1"/>
  <c r="BM54" i="9"/>
  <c r="BR54" i="9" a="1"/>
  <c r="BR54" i="9"/>
  <c r="G54" i="9"/>
  <c r="BZ54" i="9" a="1"/>
  <c r="BZ54" i="9"/>
  <c r="BA54" i="9" a="1"/>
  <c r="BA54" i="9"/>
  <c r="AX54" i="9"/>
  <c r="O54" i="9"/>
  <c r="AP54" i="9" a="1"/>
  <c r="AP54" i="9"/>
  <c r="BO54" i="9" a="1"/>
  <c r="BO54" i="9"/>
  <c r="AY54" i="9" a="1"/>
  <c r="AY54" i="9"/>
  <c r="F54" i="9"/>
  <c r="BD54" i="9" a="1"/>
  <c r="BD54" i="9"/>
  <c r="BJ54" i="9" a="1"/>
  <c r="BJ54" i="9"/>
  <c r="X54" i="9"/>
  <c r="AB54" i="9"/>
  <c r="AC54" i="9"/>
  <c r="AL54" i="9" a="1"/>
  <c r="AL54" i="9"/>
  <c r="AW54" i="9"/>
  <c r="CB54" i="9" a="1"/>
  <c r="CB54" i="9"/>
  <c r="L54" i="9"/>
  <c r="V54" i="9"/>
  <c r="K54" i="9"/>
  <c r="BH54" i="9" a="1"/>
  <c r="BH54" i="9"/>
  <c r="S54" i="9" a="1"/>
  <c r="S54" i="9"/>
  <c r="BT54" i="9" a="1"/>
  <c r="BT54" i="9"/>
  <c r="AZ54" i="9" a="1"/>
  <c r="AZ54" i="9"/>
  <c r="BS54" i="9" a="1"/>
  <c r="BS54" i="9"/>
  <c r="BW54" i="9" a="1"/>
  <c r="BW54" i="9"/>
  <c r="AI54" i="9" a="1"/>
  <c r="AI54" i="9"/>
  <c r="AQ54" i="9" a="1"/>
  <c r="AQ54" i="9"/>
  <c r="Q54" i="9" a="1"/>
  <c r="Q54" i="9"/>
  <c r="CA54" i="9" a="1"/>
  <c r="CA54" i="9"/>
  <c r="Z54" i="9"/>
  <c r="AM54" i="9" a="1"/>
  <c r="AM54" i="9"/>
  <c r="AE54" i="9"/>
  <c r="AF54" i="9"/>
  <c r="Y54" i="9"/>
  <c r="AD54" i="9"/>
  <c r="AU54" i="9" a="1"/>
  <c r="AU54" i="9"/>
  <c r="T54" i="9"/>
  <c r="BE54" i="9" a="1"/>
  <c r="BE54" i="9"/>
  <c r="AT54" i="9" a="1"/>
  <c r="AT54" i="9"/>
  <c r="AR66" i="9" a="1"/>
  <c r="AR66" i="9"/>
  <c r="D66" i="9"/>
  <c r="AO66" i="9" a="1"/>
  <c r="AO66" i="9"/>
  <c r="BM66" i="9" a="1"/>
  <c r="BM66" i="9"/>
  <c r="AS66" i="9" a="1"/>
  <c r="AS66" i="9"/>
  <c r="BS66" i="9" a="1"/>
  <c r="BS66" i="9"/>
  <c r="BO66" i="9" a="1"/>
  <c r="BO66" i="9"/>
  <c r="BR66" i="9" a="1"/>
  <c r="BR66" i="9"/>
  <c r="T66" i="9"/>
  <c r="P66" i="9"/>
  <c r="BH66" i="9" a="1"/>
  <c r="BH66" i="9"/>
  <c r="G66" i="9"/>
  <c r="BT66" i="9" a="1"/>
  <c r="BT66" i="9"/>
  <c r="BI95" i="9" a="1"/>
  <c r="BI95" i="9"/>
  <c r="BR95" i="9" a="1"/>
  <c r="BR95" i="9"/>
  <c r="G95" i="9"/>
  <c r="BU95" i="9" a="1"/>
  <c r="BU95" i="9"/>
  <c r="AJ95" i="9" a="1"/>
  <c r="AJ95" i="9"/>
  <c r="F95" i="9"/>
  <c r="BL95" i="9" a="1"/>
  <c r="BL95" i="9"/>
  <c r="S95" i="9" a="1"/>
  <c r="S95" i="9"/>
  <c r="AX95" i="9"/>
  <c r="AO95" i="9" a="1"/>
  <c r="AO95" i="9"/>
  <c r="BT95" i="9" a="1"/>
  <c r="BT95" i="9"/>
  <c r="O95" i="9"/>
  <c r="BC95" i="9" a="1"/>
  <c r="BC95" i="9"/>
  <c r="BS95" i="9" a="1"/>
  <c r="BS95" i="9"/>
  <c r="AD95" i="9"/>
  <c r="I95" i="9"/>
  <c r="BB95" i="9" a="1"/>
  <c r="BB95" i="9"/>
  <c r="CF95" i="9"/>
  <c r="AY95" i="9" a="1"/>
  <c r="AY95" i="9"/>
  <c r="U95" i="9"/>
  <c r="X95" i="9"/>
  <c r="L95" i="9"/>
  <c r="BN95" i="9" a="1"/>
  <c r="BN95" i="9"/>
  <c r="P95" i="9"/>
  <c r="M95" i="9"/>
  <c r="CD95" i="9" a="1"/>
  <c r="CD95" i="9"/>
  <c r="BE95" i="9" a="1"/>
  <c r="BE95" i="9"/>
  <c r="D95" i="9"/>
  <c r="BZ95" i="9" a="1"/>
  <c r="BZ95" i="9"/>
  <c r="BK95" i="9" a="1"/>
  <c r="BK95" i="9"/>
  <c r="AG95" i="9"/>
  <c r="AT95" i="9" a="1"/>
  <c r="AT95" i="9"/>
  <c r="K95" i="9"/>
  <c r="BF95" i="9" a="1"/>
  <c r="BF95" i="9"/>
  <c r="BD95" i="9" a="1"/>
  <c r="BD95" i="9"/>
  <c r="Y95" i="9"/>
  <c r="AM95" i="9" a="1"/>
  <c r="AM95" i="9"/>
  <c r="AQ95" i="9" a="1"/>
  <c r="AQ95" i="9"/>
  <c r="AE95" i="9"/>
  <c r="AF95" i="9"/>
  <c r="AB95" i="9"/>
  <c r="AC95" i="9"/>
  <c r="AS95" i="9" a="1"/>
  <c r="AS95" i="9"/>
  <c r="AZ95" i="9" a="1"/>
  <c r="AZ95" i="9"/>
  <c r="Z95" i="9"/>
  <c r="CB95" i="9" a="1"/>
  <c r="CB95" i="9"/>
  <c r="BA95" i="9" a="1"/>
  <c r="BA95" i="9"/>
  <c r="AU95" i="9" a="1"/>
  <c r="AU95" i="9"/>
  <c r="J95" i="9"/>
  <c r="BW95" i="9" a="1"/>
  <c r="BW95" i="9"/>
  <c r="AE121" i="9"/>
  <c r="AF121" i="9"/>
  <c r="I121" i="9"/>
  <c r="CB121" i="9" a="1"/>
  <c r="CB121" i="9"/>
  <c r="AO35" i="9" a="1"/>
  <c r="AO35" i="9"/>
  <c r="K35" i="9"/>
  <c r="AY35" i="9" a="1"/>
  <c r="AY35" i="9"/>
  <c r="BG35" i="9" a="1"/>
  <c r="BG35" i="9"/>
  <c r="CD35" i="9" a="1"/>
  <c r="CD35" i="9"/>
  <c r="I35" i="9"/>
  <c r="BF35" i="9" a="1"/>
  <c r="BF35" i="9"/>
  <c r="U35" i="9"/>
  <c r="O35" i="9"/>
  <c r="X35" i="9"/>
  <c r="D35" i="9"/>
  <c r="BL35" i="9" a="1"/>
  <c r="BL35" i="9"/>
  <c r="G35" i="9"/>
  <c r="Z35" i="9"/>
  <c r="T35" i="9"/>
  <c r="BT35" i="9" a="1"/>
  <c r="BT35" i="9"/>
  <c r="P35" i="9"/>
  <c r="AS35" i="9" a="1"/>
  <c r="AS35" i="9"/>
  <c r="BD35" i="9" a="1"/>
  <c r="BD35" i="9"/>
  <c r="AK35" i="9" a="1"/>
  <c r="AK35" i="9"/>
  <c r="AQ35" i="9" a="1"/>
  <c r="AQ35" i="9"/>
  <c r="BO35" i="9" a="1"/>
  <c r="BO35" i="9"/>
  <c r="BI35" i="9" a="1"/>
  <c r="BI35" i="9"/>
  <c r="BJ35" i="9" a="1"/>
  <c r="BJ35" i="9"/>
  <c r="BA35" i="9" a="1"/>
  <c r="BA35" i="9"/>
  <c r="M35" i="9"/>
  <c r="BQ35" i="9" a="1"/>
  <c r="BQ35" i="9"/>
  <c r="AE35" i="9"/>
  <c r="AF35" i="9"/>
  <c r="AM35" i="9" a="1"/>
  <c r="AM35" i="9"/>
  <c r="CF35" i="9"/>
  <c r="AR35" i="9" a="1"/>
  <c r="AR35" i="9"/>
  <c r="Q35" i="9" a="1"/>
  <c r="Q35" i="9"/>
  <c r="AX35" i="9"/>
  <c r="F35" i="9"/>
  <c r="BC35" i="9" a="1"/>
  <c r="BC35" i="9"/>
  <c r="AZ35" i="9" a="1"/>
  <c r="AZ35" i="9"/>
  <c r="AI35" i="9" a="1"/>
  <c r="AI35" i="9"/>
  <c r="BE35" i="9" a="1"/>
  <c r="BE35" i="9"/>
  <c r="CB35" i="9" a="1"/>
  <c r="CB35" i="9"/>
  <c r="BR35" i="9" a="1"/>
  <c r="BR35" i="9"/>
  <c r="V35" i="9"/>
  <c r="BW35" i="9" a="1"/>
  <c r="BW35" i="9"/>
  <c r="BU35" i="9" a="1"/>
  <c r="BU35" i="9"/>
  <c r="BS35" i="9" a="1"/>
  <c r="BS35" i="9"/>
  <c r="BH35" i="9" a="1"/>
  <c r="BH35" i="9"/>
  <c r="AP35" i="9" a="1"/>
  <c r="AP35" i="9"/>
  <c r="AJ35" i="9" a="1"/>
  <c r="AJ35" i="9"/>
  <c r="J35" i="9"/>
  <c r="CC35" i="9" a="1"/>
  <c r="CC35" i="9"/>
  <c r="AG35" i="9"/>
  <c r="AU35" i="9" a="1"/>
  <c r="AU35" i="9"/>
  <c r="M91" i="9"/>
  <c r="AU91" i="9" a="1"/>
  <c r="AU91" i="9"/>
  <c r="AO91" i="9" a="1"/>
  <c r="AO91" i="9"/>
  <c r="AQ91" i="9" a="1"/>
  <c r="AQ91" i="9"/>
  <c r="AY91" i="9" a="1"/>
  <c r="AY91" i="9"/>
  <c r="F91" i="9"/>
  <c r="AP123" i="9" a="1"/>
  <c r="AP123" i="9"/>
  <c r="AT123" i="9" a="1"/>
  <c r="AT123" i="9"/>
  <c r="BZ123" i="9" a="1"/>
  <c r="BZ123" i="9"/>
  <c r="AU123" i="9" a="1"/>
  <c r="AU123" i="9"/>
  <c r="P123" i="9"/>
  <c r="AN123" i="9" a="1"/>
  <c r="AN123" i="9"/>
  <c r="D123" i="9"/>
  <c r="Z123" i="9"/>
  <c r="AG123" i="9"/>
  <c r="CC123" i="9" a="1"/>
  <c r="CC123" i="9"/>
  <c r="N123" i="9"/>
  <c r="CF123" i="9"/>
  <c r="M74" i="9"/>
  <c r="AD74" i="9"/>
  <c r="T123" i="9"/>
  <c r="Z74" i="9"/>
  <c r="E74" i="9"/>
  <c r="AL123" i="9" a="1"/>
  <c r="AL123" i="9"/>
  <c r="AV123" i="9"/>
  <c r="G123" i="9"/>
  <c r="K74" i="9"/>
  <c r="BI37" i="9" a="1"/>
  <c r="BI37" i="9"/>
  <c r="X103" i="9"/>
  <c r="BD37" i="9" a="1"/>
  <c r="BD37" i="9"/>
  <c r="X74" i="9"/>
  <c r="BS74" i="9" a="1"/>
  <c r="BS74" i="9"/>
  <c r="AZ74" i="9" a="1"/>
  <c r="AZ74" i="9"/>
  <c r="BF138" i="9" a="1"/>
  <c r="BF138" i="9"/>
  <c r="CA138" i="9" a="1"/>
  <c r="CA138" i="9"/>
  <c r="M138" i="9"/>
  <c r="BU138" i="9" a="1"/>
  <c r="BU138" i="9"/>
  <c r="S138" i="9" a="1"/>
  <c r="S138" i="9"/>
  <c r="AE138" i="9"/>
  <c r="AF138" i="9"/>
  <c r="AG138" i="9"/>
  <c r="V138" i="9"/>
  <c r="BB138" i="9" a="1"/>
  <c r="BB138" i="9"/>
  <c r="Y138" i="9"/>
  <c r="Y66" i="9"/>
  <c r="S66" i="9" a="1"/>
  <c r="S66" i="9"/>
  <c r="BI66" i="9" a="1"/>
  <c r="BI66" i="9"/>
  <c r="AX66" i="9"/>
  <c r="BZ66" i="9" a="1"/>
  <c r="BZ66" i="9"/>
  <c r="AQ138" i="9" a="1"/>
  <c r="AQ138" i="9"/>
  <c r="AL138" i="9" a="1"/>
  <c r="AL138" i="9"/>
  <c r="AV138" i="9"/>
  <c r="J66" i="9"/>
  <c r="BG66" i="9" a="1"/>
  <c r="BG66" i="9"/>
  <c r="AZ66" i="9" a="1"/>
  <c r="AZ66" i="9"/>
  <c r="O66" i="9"/>
  <c r="O138" i="9"/>
  <c r="BA66" i="9" a="1"/>
  <c r="BA66" i="9"/>
  <c r="AP66" i="9" a="1"/>
  <c r="AP66" i="9"/>
  <c r="AK66" i="9" a="1"/>
  <c r="AK66" i="9"/>
  <c r="CB66" i="9" a="1"/>
  <c r="CB66" i="9"/>
  <c r="AL74" i="9" a="1"/>
  <c r="AL74" i="9"/>
  <c r="AV74" i="9"/>
  <c r="AU138" i="9" a="1"/>
  <c r="AU138" i="9"/>
  <c r="BW66" i="9" a="1"/>
  <c r="BW66" i="9"/>
  <c r="BK66" i="9" a="1"/>
  <c r="BK66" i="9"/>
  <c r="BO95" i="9" a="1"/>
  <c r="BO95" i="9"/>
  <c r="BM95" i="9" a="1"/>
  <c r="BM95" i="9"/>
  <c r="CC95" i="9" a="1"/>
  <c r="CC95" i="9"/>
  <c r="BJ95" i="9" a="1"/>
  <c r="BJ95" i="9"/>
  <c r="AI95" i="9" a="1"/>
  <c r="AI95" i="9"/>
  <c r="AD35" i="9"/>
  <c r="AN35" i="9" a="1"/>
  <c r="AN35" i="9"/>
  <c r="BK35" i="9" a="1"/>
  <c r="BK35" i="9"/>
  <c r="N35" i="9"/>
  <c r="BB54" i="9" a="1"/>
  <c r="BB54" i="9"/>
  <c r="CF54" i="9"/>
  <c r="BK54" i="9" a="1"/>
  <c r="BK54" i="9"/>
  <c r="BF54" i="9" a="1"/>
  <c r="BF54" i="9"/>
  <c r="AK102" i="9" a="1"/>
  <c r="AK102" i="9"/>
  <c r="BJ102" i="9" a="1"/>
  <c r="BJ102" i="9"/>
  <c r="BH102" i="9" a="1"/>
  <c r="BH102" i="9"/>
  <c r="AI91" i="9" a="1"/>
  <c r="AI91" i="9"/>
  <c r="BC91" i="9" a="1"/>
  <c r="BC91" i="9"/>
  <c r="BG91" i="9" a="1"/>
  <c r="BG91" i="9"/>
  <c r="I91" i="9"/>
  <c r="J91" i="9"/>
  <c r="BZ91" i="9" a="1"/>
  <c r="BZ91" i="9"/>
  <c r="AJ123" i="9" a="1"/>
  <c r="AJ123" i="9"/>
  <c r="K123" i="9"/>
  <c r="BF123" i="9" a="1"/>
  <c r="BF123" i="9"/>
  <c r="Y123" i="9"/>
  <c r="O123" i="9"/>
  <c r="V123" i="9"/>
  <c r="BN123" i="9" a="1"/>
  <c r="BN123" i="9"/>
  <c r="AM123" i="9" a="1"/>
  <c r="AM123" i="9"/>
  <c r="CD123" i="9" a="1"/>
  <c r="CD123" i="9"/>
  <c r="BO123" i="9" a="1"/>
  <c r="BO123" i="9"/>
  <c r="AE123" i="9"/>
  <c r="AF123" i="9"/>
  <c r="BG74" i="9" a="1"/>
  <c r="BG74" i="9"/>
  <c r="O74" i="9"/>
  <c r="M123" i="9"/>
  <c r="AJ74" i="9" a="1"/>
  <c r="AJ74" i="9"/>
  <c r="BJ74" i="9" a="1"/>
  <c r="BJ74" i="9"/>
  <c r="BS123" i="9" a="1"/>
  <c r="BS123" i="9"/>
  <c r="AI74" i="9" a="1"/>
  <c r="AI74" i="9"/>
  <c r="S37" i="9" a="1"/>
  <c r="S37" i="9"/>
  <c r="U37" i="9"/>
  <c r="CA37" i="9" a="1"/>
  <c r="CA37" i="9"/>
  <c r="AP74" i="9" a="1"/>
  <c r="AP74" i="9"/>
  <c r="BC74" i="9" a="1"/>
  <c r="BC74" i="9"/>
  <c r="BM138" i="9" a="1"/>
  <c r="BM138" i="9"/>
  <c r="BZ138" i="9" a="1"/>
  <c r="BZ138" i="9"/>
  <c r="T138" i="9"/>
  <c r="D138" i="9"/>
  <c r="AR138" i="9" a="1"/>
  <c r="AR138" i="9"/>
  <c r="BK138" i="9" a="1"/>
  <c r="BK138" i="9"/>
  <c r="CB138" i="9" a="1"/>
  <c r="CB138" i="9"/>
  <c r="X138" i="9"/>
  <c r="N138" i="9"/>
  <c r="AX138" i="9"/>
  <c r="CD37" i="9" a="1"/>
  <c r="CD37" i="9"/>
  <c r="CF66" i="9"/>
  <c r="CD66" i="9" a="1"/>
  <c r="CD66" i="9"/>
  <c r="AE66" i="9"/>
  <c r="AF66" i="9"/>
  <c r="BD66" i="9" a="1"/>
  <c r="BD66" i="9"/>
  <c r="AB138" i="9"/>
  <c r="AC138" i="9"/>
  <c r="BI138" i="9" a="1"/>
  <c r="BI138" i="9"/>
  <c r="BN66" i="9" a="1"/>
  <c r="BN66" i="9"/>
  <c r="AD66" i="9"/>
  <c r="CA66" i="9" a="1"/>
  <c r="CA66" i="9"/>
  <c r="BH138" i="9" a="1"/>
  <c r="BH138" i="9"/>
  <c r="AU66" i="9" a="1"/>
  <c r="AU66" i="9"/>
  <c r="U66" i="9"/>
  <c r="BL66" i="9" a="1"/>
  <c r="BL66" i="9"/>
  <c r="U123" i="9"/>
  <c r="BN138" i="9" a="1"/>
  <c r="BN138" i="9"/>
  <c r="BC138" i="9" a="1"/>
  <c r="BC138" i="9"/>
  <c r="M47" i="9"/>
  <c r="BQ66" i="9" a="1"/>
  <c r="BQ66" i="9"/>
  <c r="AK95" i="9" a="1"/>
  <c r="AK95" i="9"/>
  <c r="AL95" i="9" a="1"/>
  <c r="AL95" i="9"/>
  <c r="AV95" i="9"/>
  <c r="T95" i="9"/>
  <c r="BH95" i="9" a="1"/>
  <c r="BH95" i="9"/>
  <c r="BQ95" i="9" a="1"/>
  <c r="BQ95" i="9"/>
  <c r="Y35" i="9"/>
  <c r="CA95" i="9" a="1"/>
  <c r="CA95" i="9"/>
  <c r="AB35" i="9"/>
  <c r="AC35" i="9"/>
  <c r="BN35" i="9" a="1"/>
  <c r="BN35" i="9"/>
  <c r="BC54" i="9" a="1"/>
  <c r="BC54" i="9"/>
  <c r="BG54" i="9" a="1"/>
  <c r="BG54" i="9"/>
  <c r="BQ54" i="9" a="1"/>
  <c r="BQ54" i="9"/>
  <c r="BL54" i="9" a="1"/>
  <c r="BL54" i="9"/>
  <c r="L102" i="9"/>
  <c r="BO102" i="9" a="1"/>
  <c r="BO102" i="9"/>
  <c r="D116" i="9"/>
  <c r="AK116" i="9" a="1"/>
  <c r="AK116" i="9"/>
  <c r="E116" i="9"/>
  <c r="AY116" i="9" a="1"/>
  <c r="AY116" i="9"/>
  <c r="BO116" i="9" a="1"/>
  <c r="BO116" i="9"/>
  <c r="F116" i="9"/>
  <c r="AP116" i="9" a="1"/>
  <c r="AP116" i="9"/>
  <c r="Y116" i="9"/>
  <c r="AU116" i="9" a="1"/>
  <c r="AU116" i="9"/>
  <c r="BM116" i="9" a="1"/>
  <c r="BM116" i="9"/>
  <c r="AN116" i="9" a="1"/>
  <c r="AN116" i="9"/>
  <c r="L116" i="9"/>
  <c r="P116" i="9"/>
  <c r="BI116" i="9" a="1"/>
  <c r="BI116" i="9"/>
  <c r="G116" i="9"/>
  <c r="AJ116" i="9" a="1"/>
  <c r="AJ116" i="9"/>
  <c r="BJ116" i="9" a="1"/>
  <c r="BJ116" i="9"/>
  <c r="AO116" i="9" a="1"/>
  <c r="AO116" i="9"/>
  <c r="U116" i="9"/>
  <c r="BK116" i="9" a="1"/>
  <c r="BK116" i="9"/>
  <c r="O116" i="9"/>
  <c r="I116" i="9"/>
  <c r="AQ116" i="9" a="1"/>
  <c r="AQ116" i="9"/>
  <c r="BW116" i="9" a="1"/>
  <c r="BW116" i="9"/>
  <c r="AZ116" i="9" a="1"/>
  <c r="AZ116" i="9"/>
  <c r="BZ116" i="9" a="1"/>
  <c r="BZ116" i="9"/>
  <c r="BR116" i="9" a="1"/>
  <c r="BR116" i="9"/>
  <c r="BB116" i="9" a="1"/>
  <c r="BB116" i="9"/>
  <c r="BS116" i="9" a="1"/>
  <c r="BS116" i="9"/>
  <c r="M116" i="9"/>
  <c r="AS116" i="9" a="1"/>
  <c r="AS116" i="9"/>
  <c r="AE116" i="9"/>
  <c r="AF116" i="9"/>
  <c r="BT116" i="9" a="1"/>
  <c r="BT116" i="9"/>
  <c r="V116" i="9"/>
  <c r="Q116" i="9" a="1"/>
  <c r="Q116" i="9"/>
  <c r="J116" i="9"/>
  <c r="K116" i="9"/>
  <c r="BQ116" i="9" a="1"/>
  <c r="BQ116" i="9"/>
  <c r="BH116" i="9" a="1"/>
  <c r="BH116" i="9"/>
  <c r="CC116" i="9" a="1"/>
  <c r="CC116" i="9"/>
  <c r="S116" i="9" a="1"/>
  <c r="S116" i="9"/>
  <c r="AR116" i="9" a="1"/>
  <c r="AR116" i="9"/>
  <c r="AX116" i="9"/>
  <c r="CA116" i="9" a="1"/>
  <c r="CA116" i="9"/>
  <c r="AI116" i="9" a="1"/>
  <c r="AI116" i="9"/>
  <c r="AB116" i="9"/>
  <c r="AC116" i="9"/>
  <c r="CB116" i="9" a="1"/>
  <c r="CB116" i="9"/>
  <c r="BD116" i="9" a="1"/>
  <c r="BD116" i="9"/>
  <c r="N116" i="9"/>
  <c r="CF116" i="9"/>
  <c r="AM116" i="9" a="1"/>
  <c r="AM116" i="9"/>
  <c r="AG116" i="9"/>
  <c r="BA116" i="9" a="1"/>
  <c r="BA116" i="9"/>
  <c r="CD116" i="9" a="1"/>
  <c r="CD116" i="9"/>
  <c r="T116" i="9"/>
  <c r="BC116" i="9" a="1"/>
  <c r="BC116" i="9"/>
  <c r="AL116" i="9" a="1"/>
  <c r="AL116" i="9"/>
  <c r="Z116" i="9"/>
  <c r="BF116" i="9" a="1"/>
  <c r="BF116" i="9"/>
  <c r="BU116" i="9" a="1"/>
  <c r="BU116" i="9"/>
  <c r="BL116" i="9" a="1"/>
  <c r="BL116" i="9"/>
  <c r="AD116" i="9"/>
  <c r="BG116" i="9" a="1"/>
  <c r="BG116" i="9"/>
  <c r="AT116" i="9" a="1"/>
  <c r="AT116" i="9"/>
  <c r="BE116" i="9" a="1"/>
  <c r="BE116" i="9"/>
  <c r="BN116" i="9" a="1"/>
  <c r="BN116" i="9"/>
  <c r="X116" i="9"/>
  <c r="BU131" i="9" a="1"/>
  <c r="BU131" i="9"/>
  <c r="BS131" i="9" a="1"/>
  <c r="BS131" i="9"/>
  <c r="AQ131" i="9" a="1"/>
  <c r="AQ131" i="9"/>
  <c r="P131" i="9"/>
  <c r="AZ131" i="9" a="1"/>
  <c r="AZ131" i="9"/>
  <c r="BZ131" i="9" a="1"/>
  <c r="BZ131" i="9"/>
  <c r="BQ131" i="9" a="1"/>
  <c r="BQ131" i="9"/>
  <c r="AS131" i="9" a="1"/>
  <c r="AS131" i="9"/>
  <c r="Z131" i="9"/>
  <c r="AB131" i="9"/>
  <c r="AC131" i="9"/>
  <c r="CC131" i="9" a="1"/>
  <c r="CC131" i="9"/>
  <c r="S131" i="9" a="1"/>
  <c r="S131" i="9"/>
  <c r="AP131" i="9" a="1"/>
  <c r="AP131" i="9"/>
  <c r="AI131" i="9" a="1"/>
  <c r="AI131" i="9"/>
  <c r="N131" i="9"/>
  <c r="AJ131" i="9" a="1"/>
  <c r="AJ131" i="9"/>
  <c r="BF131" i="9" a="1"/>
  <c r="BF131" i="9"/>
  <c r="CF131" i="9"/>
  <c r="K131" i="9"/>
  <c r="CA131" i="9" a="1"/>
  <c r="CA131" i="9"/>
  <c r="Q131" i="9" a="1"/>
  <c r="Q131" i="9"/>
  <c r="AD131" i="9"/>
  <c r="M131" i="9"/>
  <c r="AT131" i="9" a="1"/>
  <c r="AT131" i="9"/>
  <c r="J131" i="9"/>
  <c r="U131" i="9"/>
  <c r="BI131" i="9" a="1"/>
  <c r="BI131" i="9"/>
  <c r="BM131" i="9" a="1"/>
  <c r="BM131" i="9"/>
  <c r="AO131" i="9" a="1"/>
  <c r="AO131" i="9"/>
  <c r="T131" i="9"/>
  <c r="BD131" i="9" a="1"/>
  <c r="BD131" i="9"/>
  <c r="D131" i="9"/>
  <c r="G131" i="9"/>
  <c r="I131" i="9"/>
  <c r="CD131" i="9" a="1"/>
  <c r="CD131" i="9"/>
  <c r="AR131" i="9" a="1"/>
  <c r="AR131" i="9"/>
  <c r="BN131" i="9" a="1"/>
  <c r="BN131" i="9"/>
  <c r="BE131" i="9" a="1"/>
  <c r="BE131" i="9"/>
  <c r="AU131" i="9" a="1"/>
  <c r="AU131" i="9"/>
  <c r="BA131" i="9" a="1"/>
  <c r="BA131" i="9"/>
  <c r="BR131" i="9" a="1"/>
  <c r="BR131" i="9"/>
  <c r="AL131" i="9" a="1"/>
  <c r="AL131" i="9"/>
  <c r="F131" i="9"/>
  <c r="AG131" i="9"/>
  <c r="CB131" i="9" a="1"/>
  <c r="CB131" i="9"/>
  <c r="AX131" i="9"/>
  <c r="BL131" i="9" a="1"/>
  <c r="BL131" i="9"/>
  <c r="Y131" i="9"/>
  <c r="V131" i="9"/>
  <c r="BO131" i="9" a="1"/>
  <c r="BO131" i="9"/>
  <c r="X131" i="9"/>
  <c r="BK131" i="9" a="1"/>
  <c r="BK131" i="9"/>
  <c r="BW131" i="9" a="1"/>
  <c r="BW131" i="9"/>
  <c r="L131" i="9"/>
  <c r="AM131" i="9" a="1"/>
  <c r="AM131" i="9"/>
  <c r="E131" i="9"/>
  <c r="AN131" i="9" a="1"/>
  <c r="AN131" i="9"/>
  <c r="AY131" i="9" a="1"/>
  <c r="AY131" i="9"/>
  <c r="AK131" i="9" a="1"/>
  <c r="AK131" i="9"/>
  <c r="BJ131" i="9" a="1"/>
  <c r="BJ131" i="9"/>
  <c r="BT131" i="9" a="1"/>
  <c r="BT131" i="9"/>
  <c r="BB131" i="9" a="1"/>
  <c r="BB131" i="9"/>
  <c r="BC131" i="9" a="1"/>
  <c r="BC131" i="9"/>
  <c r="AE131" i="9"/>
  <c r="AF131" i="9"/>
  <c r="BG131" i="9" a="1"/>
  <c r="BG131" i="9"/>
  <c r="BH131" i="9" a="1"/>
  <c r="BH131" i="9"/>
  <c r="O131" i="9"/>
  <c r="BN8" i="9" a="1"/>
  <c r="BN8" i="9"/>
  <c r="BO30" i="1"/>
  <c r="BO8" i="9" a="1"/>
  <c r="BO8" i="9"/>
  <c r="BK30" i="1"/>
  <c r="J82" i="9"/>
  <c r="BI82" i="9" a="1"/>
  <c r="BI82" i="9"/>
  <c r="CC82" i="9" a="1"/>
  <c r="CC82" i="9"/>
  <c r="AJ82" i="9" a="1"/>
  <c r="AJ82" i="9"/>
  <c r="BB82" i="9" a="1"/>
  <c r="BB82" i="9"/>
  <c r="BS82" i="9" a="1"/>
  <c r="BS82" i="9"/>
  <c r="N82" i="9"/>
  <c r="BC82" i="9" a="1"/>
  <c r="BC82" i="9"/>
  <c r="BT82" i="9" a="1"/>
  <c r="BT82" i="9"/>
  <c r="AD82" i="9"/>
  <c r="AP82" i="9" a="1"/>
  <c r="AP82" i="9"/>
  <c r="BH82" i="9" a="1"/>
  <c r="BH82" i="9"/>
  <c r="T82" i="9"/>
  <c r="AT82" i="9" a="1"/>
  <c r="AT82" i="9"/>
  <c r="Y82" i="9"/>
  <c r="BU82" i="9" a="1"/>
  <c r="BU82" i="9"/>
  <c r="AQ82" i="9" a="1"/>
  <c r="AQ82" i="9"/>
  <c r="AR82" i="9" a="1"/>
  <c r="AR82" i="9"/>
  <c r="M82" i="9"/>
  <c r="CB82" i="9" a="1"/>
  <c r="CB82" i="9"/>
  <c r="AM82" i="9" a="1"/>
  <c r="AM82" i="9"/>
  <c r="BM82" i="9" a="1"/>
  <c r="BM82" i="9"/>
  <c r="S82" i="9" a="1"/>
  <c r="S82" i="9"/>
  <c r="L82" i="9"/>
  <c r="BZ82" i="9" a="1"/>
  <c r="BZ82" i="9"/>
  <c r="AE82" i="9"/>
  <c r="AF82" i="9"/>
  <c r="BO82" i="9" a="1"/>
  <c r="BO82" i="9"/>
  <c r="AO82" i="9" a="1"/>
  <c r="AO82" i="9"/>
  <c r="AG82" i="9"/>
  <c r="D82" i="9"/>
  <c r="X82" i="9"/>
  <c r="F82" i="9"/>
  <c r="I82" i="9"/>
  <c r="Z82" i="9"/>
  <c r="AB82" i="9"/>
  <c r="AC82" i="9"/>
  <c r="BF82" i="9" a="1"/>
  <c r="BF82" i="9"/>
  <c r="AY82" i="9" a="1"/>
  <c r="AY82" i="9"/>
  <c r="AX82" i="9"/>
  <c r="AK82" i="9" a="1"/>
  <c r="AK82" i="9"/>
  <c r="AL82" i="9" a="1"/>
  <c r="AL82" i="9"/>
  <c r="BR82" i="9" a="1"/>
  <c r="BR82" i="9"/>
  <c r="CD82" i="9" a="1"/>
  <c r="CD82" i="9"/>
  <c r="CA82" i="9" a="1"/>
  <c r="CA82" i="9"/>
  <c r="AZ82" i="9" a="1"/>
  <c r="AZ82" i="9"/>
  <c r="BL82" i="9" a="1"/>
  <c r="BL82" i="9"/>
  <c r="BD82" i="9" a="1"/>
  <c r="BD82" i="9"/>
  <c r="BA82" i="9" a="1"/>
  <c r="BA82" i="9"/>
  <c r="BW82" i="9" a="1"/>
  <c r="BW82" i="9"/>
  <c r="AN82" i="9" a="1"/>
  <c r="AN82" i="9"/>
  <c r="BJ82" i="9" a="1"/>
  <c r="BJ82" i="9"/>
  <c r="E82" i="9"/>
  <c r="BG82" i="9" a="1"/>
  <c r="BG82" i="9"/>
  <c r="CF82" i="9"/>
  <c r="O82" i="9"/>
  <c r="BQ82" i="9" a="1"/>
  <c r="BQ82" i="9"/>
  <c r="AS82" i="9" a="1"/>
  <c r="AS82" i="9"/>
  <c r="AI82" i="9" a="1"/>
  <c r="AI82" i="9"/>
  <c r="Q82" i="9" a="1"/>
  <c r="Q82" i="9"/>
  <c r="G82" i="9"/>
  <c r="BE82" i="9" a="1"/>
  <c r="BE82" i="9"/>
  <c r="K82" i="9"/>
  <c r="BN82" i="9" a="1"/>
  <c r="BN82" i="9"/>
  <c r="U82" i="9"/>
  <c r="BK82" i="9" a="1"/>
  <c r="BK82" i="9"/>
  <c r="P82" i="9"/>
  <c r="V82" i="9"/>
  <c r="AU82" i="9" a="1"/>
  <c r="AU82" i="9"/>
  <c r="BU46" i="9" a="1"/>
  <c r="BU46" i="9"/>
  <c r="BK46" i="9" a="1"/>
  <c r="BK46" i="9"/>
  <c r="BR46" i="9" a="1"/>
  <c r="BR46" i="9"/>
  <c r="BB46" i="9" a="1"/>
  <c r="BB46" i="9"/>
  <c r="AT46" i="9" a="1"/>
  <c r="AT46" i="9"/>
  <c r="AE46" i="9"/>
  <c r="AF46" i="9"/>
  <c r="BZ46" i="9" a="1"/>
  <c r="BZ46" i="9"/>
  <c r="AK46" i="9" a="1"/>
  <c r="AK46" i="9"/>
  <c r="BA46" i="9" a="1"/>
  <c r="BA46" i="9"/>
  <c r="P46" i="9"/>
  <c r="AQ46" i="9" a="1"/>
  <c r="AQ46" i="9"/>
  <c r="BN46" i="9" a="1"/>
  <c r="BN46" i="9"/>
  <c r="F46" i="9"/>
  <c r="BE46" i="9" a="1"/>
  <c r="BE46" i="9"/>
  <c r="O46" i="9"/>
  <c r="AB46" i="9"/>
  <c r="AC46" i="9"/>
  <c r="V46" i="9"/>
  <c r="AR46" i="9" a="1"/>
  <c r="AR46" i="9"/>
  <c r="G46" i="9"/>
  <c r="BF46" i="9" a="1"/>
  <c r="BF46" i="9"/>
  <c r="BS46" i="9" a="1"/>
  <c r="BS46" i="9"/>
  <c r="M46" i="9"/>
  <c r="AZ46" i="9" a="1"/>
  <c r="AZ46" i="9"/>
  <c r="Q46" i="9" a="1"/>
  <c r="Q46" i="9"/>
  <c r="BT46" i="9" a="1"/>
  <c r="BT46" i="9"/>
  <c r="K46" i="9"/>
  <c r="AI46" i="9" a="1"/>
  <c r="AI46" i="9"/>
  <c r="AJ46" i="9" a="1"/>
  <c r="AJ46" i="9"/>
  <c r="BW46" i="9" a="1"/>
  <c r="BW46" i="9"/>
  <c r="AS46" i="9" a="1"/>
  <c r="AS46" i="9"/>
  <c r="BM46" i="9" a="1"/>
  <c r="BM46" i="9"/>
  <c r="E46" i="9"/>
  <c r="AP46" i="9" a="1"/>
  <c r="AP46" i="9"/>
  <c r="J46" i="9"/>
  <c r="D46" i="9"/>
  <c r="CF46" i="9"/>
  <c r="Y46" i="9"/>
  <c r="CC46" i="9" a="1"/>
  <c r="CC46" i="9"/>
  <c r="BI46" i="9" a="1"/>
  <c r="BI46" i="9"/>
  <c r="AG46" i="9"/>
  <c r="AU46" i="9" a="1"/>
  <c r="AU46" i="9"/>
  <c r="AL46" i="9" a="1"/>
  <c r="AL46" i="9"/>
  <c r="BQ46" i="9" a="1"/>
  <c r="BQ46" i="9"/>
  <c r="T46" i="9"/>
  <c r="AO46" i="9" a="1"/>
  <c r="AO46" i="9"/>
  <c r="CA46" i="9" a="1"/>
  <c r="CA46" i="9"/>
  <c r="Z46" i="9"/>
  <c r="AX46" i="9"/>
  <c r="BL46" i="9" a="1"/>
  <c r="BL46" i="9"/>
  <c r="L46" i="9"/>
  <c r="BD46" i="9" a="1"/>
  <c r="BD46" i="9"/>
  <c r="I46" i="9"/>
  <c r="X46" i="9"/>
  <c r="AY46" i="9" a="1"/>
  <c r="AY46" i="9"/>
  <c r="AM46" i="9" a="1"/>
  <c r="AM46" i="9"/>
  <c r="N46" i="9"/>
  <c r="BO46" i="9" a="1"/>
  <c r="BO46" i="9"/>
  <c r="BJ46" i="9" a="1"/>
  <c r="BJ46" i="9"/>
  <c r="S46" i="9" a="1"/>
  <c r="S46" i="9"/>
  <c r="BG46" i="9" a="1"/>
  <c r="BG46" i="9"/>
  <c r="U46" i="9"/>
  <c r="BH46" i="9" a="1"/>
  <c r="BH46" i="9"/>
  <c r="BC46" i="9" a="1"/>
  <c r="BC46" i="9"/>
  <c r="CB46" i="9" a="1"/>
  <c r="CB46" i="9"/>
  <c r="CD46" i="9" a="1"/>
  <c r="CD46" i="9"/>
  <c r="AD46" i="9"/>
  <c r="AN46" i="9" a="1"/>
  <c r="AN46" i="9"/>
  <c r="BT102" i="9" a="1"/>
  <c r="BT102" i="9"/>
  <c r="BL102" i="9" a="1"/>
  <c r="BL102" i="9"/>
  <c r="BQ102" i="9" a="1"/>
  <c r="BQ102" i="9"/>
  <c r="T102" i="9"/>
  <c r="V38" i="9"/>
  <c r="M38" i="9"/>
  <c r="BB38" i="9" a="1"/>
  <c r="BB38" i="9"/>
  <c r="D38" i="9"/>
  <c r="AR38" i="9" a="1"/>
  <c r="AR38" i="9"/>
  <c r="E38" i="9"/>
  <c r="AX38" i="9"/>
  <c r="CD38" i="9" a="1"/>
  <c r="CD38" i="9"/>
  <c r="T38" i="9"/>
  <c r="BI38" i="9" a="1"/>
  <c r="BI38" i="9"/>
  <c r="BF38" i="9" a="1"/>
  <c r="BF38" i="9"/>
  <c r="BZ38" i="9" a="1"/>
  <c r="BZ38" i="9"/>
  <c r="CB38" i="9" a="1"/>
  <c r="CB38" i="9"/>
  <c r="AD38" i="9"/>
  <c r="AU38" i="9" a="1"/>
  <c r="AU38" i="9"/>
  <c r="BU38" i="9" a="1"/>
  <c r="BU38" i="9"/>
  <c r="AJ38" i="9" a="1"/>
  <c r="AJ38" i="9"/>
  <c r="AL38" i="9" a="1"/>
  <c r="AL38" i="9"/>
  <c r="U38" i="9"/>
  <c r="BK38" i="9" a="1"/>
  <c r="BK38" i="9"/>
  <c r="N38" i="9"/>
  <c r="BG38" i="9" a="1"/>
  <c r="BG38" i="9"/>
  <c r="P38" i="9"/>
  <c r="BC38" i="9" a="1"/>
  <c r="BC38" i="9"/>
  <c r="G38" i="9"/>
  <c r="AK38" i="9" a="1"/>
  <c r="AK38" i="9"/>
  <c r="BO38" i="9" a="1"/>
  <c r="BO38" i="9"/>
  <c r="BS38" i="9" a="1"/>
  <c r="BS38" i="9"/>
  <c r="Z38" i="9"/>
  <c r="AB38" i="9"/>
  <c r="AC38" i="9"/>
  <c r="BE38" i="9" a="1"/>
  <c r="BE38" i="9"/>
  <c r="BT38" i="9" a="1"/>
  <c r="BT38" i="9"/>
  <c r="AE38" i="9"/>
  <c r="AF38" i="9"/>
  <c r="F38" i="9"/>
  <c r="X38" i="9"/>
  <c r="CA38" i="9" a="1"/>
  <c r="CA38" i="9"/>
  <c r="BJ38" i="9" a="1"/>
  <c r="BJ38" i="9"/>
  <c r="O38" i="9"/>
  <c r="AM38" i="9" a="1"/>
  <c r="AM38" i="9"/>
  <c r="AI38" i="9" a="1"/>
  <c r="AI38" i="9"/>
  <c r="AN38" i="9" a="1"/>
  <c r="AN38" i="9"/>
  <c r="I38" i="9"/>
  <c r="S38" i="9" a="1"/>
  <c r="S38" i="9"/>
  <c r="BM38" i="9" a="1"/>
  <c r="BM38" i="9"/>
  <c r="L38" i="9"/>
  <c r="BN38" i="9" a="1"/>
  <c r="BN38" i="9"/>
  <c r="AP38" i="9" a="1"/>
  <c r="AP38" i="9"/>
  <c r="BQ38" i="9" a="1"/>
  <c r="BQ38" i="9"/>
  <c r="BL38" i="9" a="1"/>
  <c r="BL38" i="9"/>
  <c r="BH38" i="9" a="1"/>
  <c r="BH38" i="9"/>
  <c r="AS38" i="9" a="1"/>
  <c r="AS38" i="9"/>
  <c r="CF38" i="9"/>
  <c r="BD38" i="9" a="1"/>
  <c r="BD38" i="9"/>
  <c r="Q38" i="9" a="1"/>
  <c r="Q38" i="9"/>
  <c r="AT38" i="9" a="1"/>
  <c r="AT38" i="9"/>
  <c r="CC38" i="9" a="1"/>
  <c r="CC38" i="9"/>
  <c r="BW38" i="9" a="1"/>
  <c r="BW38" i="9"/>
  <c r="BR38" i="9" a="1"/>
  <c r="BR38" i="9"/>
  <c r="BA38" i="9" a="1"/>
  <c r="BA38" i="9"/>
  <c r="AZ38" i="9" a="1"/>
  <c r="AZ38" i="9"/>
  <c r="J38" i="9"/>
  <c r="AY38" i="9" a="1"/>
  <c r="AY38" i="9"/>
  <c r="AG38" i="9"/>
  <c r="Y38" i="9"/>
  <c r="AQ38" i="9" a="1"/>
  <c r="AQ38" i="9"/>
  <c r="AO38" i="9" a="1"/>
  <c r="AO38" i="9"/>
  <c r="K38" i="9"/>
  <c r="G64" i="9"/>
  <c r="BH64" i="9" a="1"/>
  <c r="BH64" i="9"/>
  <c r="AI64" i="9" a="1"/>
  <c r="AI64" i="9"/>
  <c r="M64" i="9"/>
  <c r="N64" i="9"/>
  <c r="BT64" i="9" a="1"/>
  <c r="BT64" i="9"/>
  <c r="L64" i="9"/>
  <c r="J117" i="9"/>
  <c r="BE117" i="9" a="1"/>
  <c r="BE117" i="9"/>
  <c r="BN117" i="9" a="1"/>
  <c r="BN117" i="9"/>
  <c r="F117" i="9"/>
  <c r="O117" i="9"/>
  <c r="AZ117" i="9" a="1"/>
  <c r="AZ117" i="9"/>
  <c r="E117" i="9"/>
  <c r="BU117" i="9" a="1"/>
  <c r="BU117" i="9"/>
  <c r="Q117" i="9" a="1"/>
  <c r="Q117" i="9"/>
  <c r="AY117" i="9" a="1"/>
  <c r="AY117" i="9"/>
  <c r="BW117" i="9" a="1"/>
  <c r="BW117" i="9"/>
  <c r="Y117" i="9"/>
  <c r="AB117" i="9"/>
  <c r="AC117" i="9"/>
  <c r="BO117" i="9" a="1"/>
  <c r="BO117" i="9"/>
  <c r="AI117" i="9" a="1"/>
  <c r="AI117" i="9"/>
  <c r="L117" i="9"/>
  <c r="G117" i="9"/>
  <c r="U41" i="9"/>
  <c r="BG41" i="9" a="1"/>
  <c r="BG41" i="9"/>
  <c r="AN41" i="9" a="1"/>
  <c r="AN41" i="9"/>
  <c r="BQ41" i="9" a="1"/>
  <c r="BQ41" i="9"/>
  <c r="Q41" i="9" a="1"/>
  <c r="Q41" i="9"/>
  <c r="BD41" i="9" a="1"/>
  <c r="BD41" i="9"/>
  <c r="AY41" i="9" a="1"/>
  <c r="AY41" i="9"/>
  <c r="Y41" i="9"/>
  <c r="BU41" i="9" a="1"/>
  <c r="BU41" i="9"/>
  <c r="AJ41" i="9" a="1"/>
  <c r="AJ41" i="9"/>
  <c r="AO41" i="9" a="1"/>
  <c r="AO41" i="9"/>
  <c r="BM41" i="9" a="1"/>
  <c r="BM41" i="9"/>
  <c r="L41" i="9"/>
  <c r="M41" i="9"/>
  <c r="BS41" i="9" a="1"/>
  <c r="BS41" i="9"/>
  <c r="BJ41" i="9" a="1"/>
  <c r="BJ41" i="9"/>
  <c r="AG41" i="9"/>
  <c r="CD41" i="9" a="1"/>
  <c r="CD41" i="9"/>
  <c r="AK41" i="9" a="1"/>
  <c r="AK41" i="9"/>
  <c r="BB41" i="9" a="1"/>
  <c r="BB41" i="9"/>
  <c r="AQ41" i="9" a="1"/>
  <c r="AQ41" i="9"/>
  <c r="E41" i="9"/>
  <c r="BC41" i="9" a="1"/>
  <c r="BC41" i="9"/>
  <c r="AX41" i="9"/>
  <c r="CB41" i="9" a="1"/>
  <c r="CB41" i="9"/>
  <c r="AS41" i="9" a="1"/>
  <c r="AS41" i="9"/>
  <c r="AT41" i="9" a="1"/>
  <c r="AT41" i="9"/>
  <c r="BR41" i="9" a="1"/>
  <c r="BR41" i="9"/>
  <c r="AM41" i="9" a="1"/>
  <c r="AM41" i="9"/>
  <c r="AD41" i="9"/>
  <c r="D41" i="9"/>
  <c r="BT41" i="9" a="1"/>
  <c r="BT41" i="9"/>
  <c r="AR41" i="9" a="1"/>
  <c r="AR41" i="9"/>
  <c r="K41" i="9"/>
  <c r="T41" i="9"/>
  <c r="AP41" i="9" a="1"/>
  <c r="AP41" i="9"/>
  <c r="BN41" i="9" a="1"/>
  <c r="BN41" i="9"/>
  <c r="F41" i="9"/>
  <c r="G41" i="9"/>
  <c r="AZ41" i="9" a="1"/>
  <c r="AZ41" i="9"/>
  <c r="X41" i="9"/>
  <c r="BF41" i="9" a="1"/>
  <c r="BF41" i="9"/>
  <c r="P41" i="9"/>
  <c r="Z41" i="9"/>
  <c r="BI41" i="9" a="1"/>
  <c r="BI41" i="9"/>
  <c r="CA41" i="9" a="1"/>
  <c r="CA41" i="9"/>
  <c r="BA41" i="9" a="1"/>
  <c r="BA41" i="9"/>
  <c r="BO41" i="9" a="1"/>
  <c r="BO41" i="9"/>
  <c r="V41" i="9"/>
  <c r="N41" i="9"/>
  <c r="BH41" i="9" a="1"/>
  <c r="BH41" i="9"/>
  <c r="I41" i="9"/>
  <c r="BW41" i="9" a="1"/>
  <c r="BW41" i="9"/>
  <c r="BE41" i="9" a="1"/>
  <c r="BE41" i="9"/>
  <c r="CF41" i="9"/>
  <c r="AI41" i="9" a="1"/>
  <c r="AI41" i="9"/>
  <c r="S41" i="9" a="1"/>
  <c r="S41" i="9"/>
  <c r="AE41" i="9"/>
  <c r="AF41" i="9"/>
  <c r="BL41" i="9" a="1"/>
  <c r="BL41" i="9"/>
  <c r="AB41" i="9"/>
  <c r="AC41" i="9"/>
  <c r="CC41" i="9" a="1"/>
  <c r="CC41" i="9"/>
  <c r="BK41" i="9" a="1"/>
  <c r="BK41" i="9"/>
  <c r="J41" i="9"/>
  <c r="O41" i="9"/>
  <c r="AL41" i="9" a="1"/>
  <c r="AL41" i="9"/>
  <c r="AU41" i="9" a="1"/>
  <c r="AU41" i="9"/>
  <c r="BZ41" i="9" a="1"/>
  <c r="BZ41" i="9"/>
  <c r="O24" i="9"/>
  <c r="DS48" i="1"/>
  <c r="AT24" i="9" a="1"/>
  <c r="AT24" i="9"/>
  <c r="X104" i="9"/>
  <c r="AU104" i="9" a="1"/>
  <c r="AU104" i="9"/>
  <c r="AT104" i="9" a="1"/>
  <c r="AT104" i="9"/>
  <c r="AJ104" i="9" a="1"/>
  <c r="AJ104" i="9"/>
  <c r="BW104" i="9" a="1"/>
  <c r="BW104" i="9"/>
  <c r="AX104" i="9"/>
  <c r="BU104" i="9" a="1"/>
  <c r="BU104" i="9"/>
  <c r="AL139" i="9" a="1"/>
  <c r="AL139" i="9"/>
  <c r="P139" i="9"/>
  <c r="BD139" i="9" a="1"/>
  <c r="BD139" i="9"/>
  <c r="BU139" i="9" a="1"/>
  <c r="BU139" i="9"/>
  <c r="Y139" i="9"/>
  <c r="AU139" i="9" a="1"/>
  <c r="AU139" i="9"/>
  <c r="AJ139" i="9" a="1"/>
  <c r="AJ139" i="9"/>
  <c r="BF139" i="9" a="1"/>
  <c r="BF139" i="9"/>
  <c r="E139" i="9"/>
  <c r="AD139" i="9"/>
  <c r="CC139" i="9" a="1"/>
  <c r="CC139" i="9"/>
  <c r="N139" i="9"/>
  <c r="BO139" i="9" a="1"/>
  <c r="BO139" i="9"/>
  <c r="BB139" i="9" a="1"/>
  <c r="BB139" i="9"/>
  <c r="D139" i="9"/>
  <c r="U139" i="9"/>
  <c r="O139" i="9"/>
  <c r="AQ139" i="9" a="1"/>
  <c r="AQ139" i="9"/>
  <c r="M139" i="9"/>
  <c r="CF139" i="9"/>
  <c r="J139" i="9"/>
  <c r="V139" i="9"/>
  <c r="X139" i="9"/>
  <c r="BL139" i="9" a="1"/>
  <c r="BL139" i="9"/>
  <c r="Q139" i="9" a="1"/>
  <c r="Q139" i="9"/>
  <c r="K139" i="9"/>
  <c r="AR139" i="9" a="1"/>
  <c r="AR139" i="9"/>
  <c r="BI139" i="9" a="1"/>
  <c r="BI139" i="9"/>
  <c r="AO139" i="9" a="1"/>
  <c r="AO139" i="9"/>
  <c r="Z139" i="9"/>
  <c r="BG139" i="9" a="1"/>
  <c r="BG139" i="9"/>
  <c r="BJ139" i="9" a="1"/>
  <c r="BJ139" i="9"/>
  <c r="AK139" i="9" a="1"/>
  <c r="AK139" i="9"/>
  <c r="BW139" i="9" a="1"/>
  <c r="BW139" i="9"/>
  <c r="AG139" i="9"/>
  <c r="BQ139" i="9" a="1"/>
  <c r="BQ139" i="9"/>
  <c r="AI139" i="9" a="1"/>
  <c r="AI139" i="9"/>
  <c r="L139" i="9"/>
  <c r="AX139" i="9"/>
  <c r="CA139" i="9" a="1"/>
  <c r="CA139" i="9"/>
  <c r="AS139" i="9" a="1"/>
  <c r="AS139" i="9"/>
  <c r="AP139" i="9" a="1"/>
  <c r="AP139" i="9"/>
  <c r="S139" i="9" a="1"/>
  <c r="S139" i="9"/>
  <c r="BK139" i="9" a="1"/>
  <c r="BK139" i="9"/>
  <c r="BE139" i="9" a="1"/>
  <c r="BE139" i="9"/>
  <c r="BS139" i="9" a="1"/>
  <c r="BS139" i="9"/>
  <c r="F139" i="9"/>
  <c r="AT139" i="9" a="1"/>
  <c r="AT139" i="9"/>
  <c r="AZ139" i="9" a="1"/>
  <c r="AZ139" i="9"/>
  <c r="CB139" i="9" a="1"/>
  <c r="CB139" i="9"/>
  <c r="AM139" i="9" a="1"/>
  <c r="AM139" i="9"/>
  <c r="AB139" i="9"/>
  <c r="AC139" i="9"/>
  <c r="BN139" i="9" a="1"/>
  <c r="BN139" i="9"/>
  <c r="BM139" i="9" a="1"/>
  <c r="BM139" i="9"/>
  <c r="BA139" i="9" a="1"/>
  <c r="BA139" i="9"/>
  <c r="AE139" i="9"/>
  <c r="AF139" i="9"/>
  <c r="BR139" i="9" a="1"/>
  <c r="BR139" i="9"/>
  <c r="CD139" i="9" a="1"/>
  <c r="CD139" i="9"/>
  <c r="BC139" i="9" a="1"/>
  <c r="BC139" i="9"/>
  <c r="G139" i="9"/>
  <c r="BH139" i="9" a="1"/>
  <c r="BH139" i="9"/>
  <c r="I139" i="9"/>
  <c r="AN139" i="9" a="1"/>
  <c r="AN139" i="9"/>
  <c r="BZ139" i="9" a="1"/>
  <c r="BZ139" i="9"/>
  <c r="BT139" i="9" a="1"/>
  <c r="BT139" i="9"/>
  <c r="AY139" i="9" a="1"/>
  <c r="AY139" i="9"/>
  <c r="T139" i="9"/>
  <c r="Z98" i="9"/>
  <c r="AD98" i="9"/>
  <c r="BG98" i="9" a="1"/>
  <c r="BG98" i="9"/>
  <c r="BF60" i="9" a="1"/>
  <c r="BF60" i="9"/>
  <c r="AO60" i="9" a="1"/>
  <c r="AO60" i="9"/>
  <c r="AT60" i="9" a="1"/>
  <c r="AT60" i="9"/>
  <c r="G60" i="9"/>
  <c r="AL60" i="9" a="1"/>
  <c r="AL60" i="9"/>
  <c r="BB60" i="9" a="1"/>
  <c r="BB60" i="9"/>
  <c r="BK60" i="9" a="1"/>
  <c r="BK60" i="9"/>
  <c r="BH60" i="9" a="1"/>
  <c r="BH60" i="9"/>
  <c r="F60" i="9"/>
  <c r="BS60" i="9" a="1"/>
  <c r="BS60" i="9"/>
  <c r="K60" i="9"/>
  <c r="CC60" i="9" a="1"/>
  <c r="CC60" i="9"/>
  <c r="M60" i="9"/>
  <c r="AJ60" i="9" a="1"/>
  <c r="AJ60" i="9"/>
  <c r="U60" i="9"/>
  <c r="BU60" i="9" a="1"/>
  <c r="BU60" i="9"/>
  <c r="BG60" i="9" a="1"/>
  <c r="BG60" i="9"/>
  <c r="E60" i="9"/>
  <c r="AG88" i="9"/>
  <c r="BL88" i="9" a="1"/>
  <c r="BL88" i="9"/>
  <c r="I88" i="9"/>
  <c r="AM88" i="9" a="1"/>
  <c r="AM88" i="9"/>
  <c r="Z88" i="9"/>
  <c r="BM88" i="9" a="1"/>
  <c r="BM88" i="9"/>
  <c r="L88" i="9"/>
  <c r="BN88" i="9" a="1"/>
  <c r="BN88" i="9"/>
  <c r="K88" i="9"/>
  <c r="AD88" i="9"/>
  <c r="AE88" i="9"/>
  <c r="AF88" i="9"/>
  <c r="CA88" i="9" a="1"/>
  <c r="CA88" i="9"/>
  <c r="D88" i="9"/>
  <c r="BT88" i="9" a="1"/>
  <c r="BT88" i="9"/>
  <c r="O88" i="9"/>
  <c r="CF88" i="9"/>
  <c r="X88" i="9"/>
  <c r="BQ88" i="9" a="1"/>
  <c r="BQ88" i="9"/>
  <c r="Y88" i="9"/>
  <c r="J88" i="9"/>
  <c r="BR88" i="9" a="1"/>
  <c r="BR88" i="9"/>
  <c r="BF88" i="9" a="1"/>
  <c r="BF88" i="9"/>
  <c r="CD88" i="9" a="1"/>
  <c r="CD88" i="9"/>
  <c r="AO88" i="9" a="1"/>
  <c r="AO88" i="9"/>
  <c r="BG88" i="9" a="1"/>
  <c r="BG88" i="9"/>
  <c r="AR88" i="9" a="1"/>
  <c r="AR88" i="9"/>
  <c r="AP88" i="9" a="1"/>
  <c r="AP88" i="9"/>
  <c r="AS88" i="9" a="1"/>
  <c r="AS88" i="9"/>
  <c r="BK88" i="9" a="1"/>
  <c r="BK88" i="9"/>
  <c r="AZ88" i="9" a="1"/>
  <c r="AZ88" i="9"/>
  <c r="BU88" i="9" a="1"/>
  <c r="BU88" i="9"/>
  <c r="AI88" i="9" a="1"/>
  <c r="AI88" i="9"/>
  <c r="BA88" i="9" a="1"/>
  <c r="BA88" i="9"/>
  <c r="BW88" i="9" a="1"/>
  <c r="BW88" i="9"/>
  <c r="BJ88" i="9" a="1"/>
  <c r="BJ88" i="9"/>
  <c r="AB88" i="9"/>
  <c r="AC88" i="9"/>
  <c r="AX88" i="9"/>
  <c r="BO88" i="9" a="1"/>
  <c r="BO88" i="9"/>
  <c r="AK88" i="9" a="1"/>
  <c r="AK88" i="9"/>
  <c r="F88" i="9"/>
  <c r="V88" i="9"/>
  <c r="G88" i="9"/>
  <c r="CB88" i="9" a="1"/>
  <c r="CB88" i="9"/>
  <c r="BE88" i="9" a="1"/>
  <c r="BE88" i="9"/>
  <c r="BS88" i="9" a="1"/>
  <c r="BS88" i="9"/>
  <c r="N88" i="9"/>
  <c r="E88" i="9"/>
  <c r="U88" i="9"/>
  <c r="P88" i="9"/>
  <c r="Q88" i="9" a="1"/>
  <c r="Q88" i="9"/>
  <c r="BI88" i="9" a="1"/>
  <c r="BI88" i="9"/>
  <c r="BZ88" i="9" a="1"/>
  <c r="BZ88" i="9"/>
  <c r="AY88" i="9" a="1"/>
  <c r="AY88" i="9"/>
  <c r="BC88" i="9" a="1"/>
  <c r="BC88" i="9"/>
  <c r="AT88" i="9" a="1"/>
  <c r="AT88" i="9"/>
  <c r="BD88" i="9" a="1"/>
  <c r="BD88" i="9"/>
  <c r="AQ88" i="9" a="1"/>
  <c r="AQ88" i="9"/>
  <c r="CC88" i="9" a="1"/>
  <c r="CC88" i="9"/>
  <c r="AN88" i="9" a="1"/>
  <c r="AN88" i="9"/>
  <c r="S88" i="9" a="1"/>
  <c r="S88" i="9"/>
  <c r="AL88" i="9" a="1"/>
  <c r="AL88" i="9"/>
  <c r="BH88" i="9" a="1"/>
  <c r="BH88" i="9"/>
  <c r="AU88" i="9" a="1"/>
  <c r="AU88" i="9"/>
  <c r="BB88" i="9" a="1"/>
  <c r="BB88" i="9"/>
  <c r="M88" i="9"/>
  <c r="AJ88" i="9" a="1"/>
  <c r="AJ88" i="9"/>
  <c r="T88" i="9"/>
  <c r="Y6" i="9"/>
  <c r="K11" i="12"/>
  <c r="BI6" i="9" a="1"/>
  <c r="BI6" i="9"/>
  <c r="FS28" i="1"/>
  <c r="U6" i="9"/>
  <c r="L5" i="12"/>
  <c r="CC6" i="9" a="1"/>
  <c r="CC6" i="9"/>
  <c r="AU28" i="1"/>
  <c r="K6" i="9"/>
  <c r="M6" i="9"/>
  <c r="BR6" i="9" a="1"/>
  <c r="BR6" i="9"/>
  <c r="EY28" i="1"/>
  <c r="BO6" i="9" a="1"/>
  <c r="BO6" i="9"/>
  <c r="BK28" i="1"/>
  <c r="BA6" i="9" a="1"/>
  <c r="BA6" i="9"/>
  <c r="CA28" i="1"/>
  <c r="CB6" i="9" a="1"/>
  <c r="CB6" i="9"/>
  <c r="AY28" i="1"/>
  <c r="D6" i="9"/>
  <c r="I28" i="1"/>
  <c r="T6" i="9"/>
  <c r="J5" i="12"/>
  <c r="BW6" i="9" a="1"/>
  <c r="BW6" i="9"/>
  <c r="FO28" i="1"/>
  <c r="P6" i="9"/>
  <c r="BH6" i="9" a="1"/>
  <c r="BH6" i="9"/>
  <c r="DC28" i="1"/>
  <c r="AJ6" i="9" a="1"/>
  <c r="AJ6" i="9"/>
  <c r="F42" i="12"/>
  <c r="AU6" i="9" a="1"/>
  <c r="AU6" i="9"/>
  <c r="C44" i="12"/>
  <c r="BG6" i="9" a="1"/>
  <c r="BG6" i="9"/>
  <c r="EA28" i="1"/>
  <c r="AY6" i="9"/>
  <c r="CI28" i="1"/>
  <c r="Z6" i="9"/>
  <c r="L11" i="12"/>
  <c r="E6" i="9"/>
  <c r="D28" i="1"/>
  <c r="AQ6" i="9" a="1"/>
  <c r="AQ6" i="9"/>
  <c r="G44" i="12"/>
  <c r="BK6" i="9" a="1"/>
  <c r="BK6" i="9"/>
  <c r="GA28" i="1"/>
  <c r="BQ6" i="9" a="1"/>
  <c r="BQ6" i="9"/>
  <c r="DK28" i="1"/>
  <c r="AO6" i="9" a="1"/>
  <c r="AO6" i="9"/>
  <c r="D43" i="12"/>
  <c r="BN6" i="9" a="1"/>
  <c r="BN6" i="9"/>
  <c r="BO28" i="1"/>
  <c r="V6" i="9"/>
  <c r="K5" i="12"/>
  <c r="N6" i="9"/>
  <c r="AM6" i="9" a="1"/>
  <c r="AM6" i="9"/>
  <c r="E43" i="12"/>
  <c r="F6" i="9"/>
  <c r="V28" i="1"/>
  <c r="CD6" i="9" a="1"/>
  <c r="CD6" i="9"/>
  <c r="GE28" i="1"/>
  <c r="O6" i="9"/>
  <c r="J6" i="9"/>
  <c r="BC6" i="9" a="1"/>
  <c r="BC6" i="9"/>
  <c r="EE28" i="1"/>
  <c r="AI6" i="9" a="1"/>
  <c r="AI6" i="9"/>
  <c r="E42" i="12"/>
  <c r="G6" i="9"/>
  <c r="P28" i="1"/>
  <c r="AR6" i="9" a="1"/>
  <c r="AR6" i="9"/>
  <c r="F44" i="12"/>
  <c r="CF6" i="9"/>
  <c r="BS28" i="1"/>
  <c r="X6" i="9"/>
  <c r="J11" i="12"/>
  <c r="AB6" i="9"/>
  <c r="S6" i="9" a="1"/>
  <c r="S6" i="9"/>
  <c r="DG28" i="1"/>
  <c r="BD6" i="9" a="1"/>
  <c r="BD6" i="9"/>
  <c r="EI28" i="1"/>
  <c r="AS6" i="9" a="1"/>
  <c r="AS6" i="9"/>
  <c r="AN6" i="9" a="1"/>
  <c r="AN6" i="9"/>
  <c r="F43" i="12"/>
  <c r="AK6" i="9" a="1"/>
  <c r="AK6" i="9"/>
  <c r="I6" i="9"/>
  <c r="AB28" i="1"/>
  <c r="AB22" i="1"/>
  <c r="CA6" i="9" a="1"/>
  <c r="CA6" i="9"/>
  <c r="AQ28" i="1"/>
  <c r="AE6" i="9"/>
  <c r="BL6" i="9" a="1"/>
  <c r="BL6" i="9"/>
  <c r="EU28" i="1"/>
  <c r="BM6" i="9" a="1"/>
  <c r="BM6" i="9"/>
  <c r="BG28" i="1"/>
  <c r="BB6" i="9" a="1"/>
  <c r="BB6" i="9"/>
  <c r="BW28" i="1"/>
  <c r="AG6" i="9"/>
  <c r="H32" i="12"/>
  <c r="BF6" i="9" a="1"/>
  <c r="BF6" i="9"/>
  <c r="EQ28" i="1"/>
  <c r="AL6" i="9" a="1"/>
  <c r="AL6" i="9"/>
  <c r="Q6" i="9" a="1"/>
  <c r="Q6" i="9"/>
  <c r="AG28" i="1"/>
  <c r="AP6" i="9" a="1"/>
  <c r="AP6" i="9"/>
  <c r="D44" i="12"/>
  <c r="AX6" i="9"/>
  <c r="BC28" i="1"/>
  <c r="BJ6" i="9" a="1"/>
  <c r="BJ6" i="9"/>
  <c r="FW28" i="1"/>
  <c r="BT6" i="9" a="1"/>
  <c r="BT6" i="9"/>
  <c r="FG28" i="1"/>
  <c r="AT6" i="9" a="1"/>
  <c r="AT6" i="9"/>
  <c r="H44" i="12"/>
  <c r="AD6" i="9"/>
  <c r="G32" i="12"/>
  <c r="BZ6" i="9" a="1"/>
  <c r="BZ6" i="9"/>
  <c r="AL28" i="1"/>
  <c r="AZ6" i="9" a="1"/>
  <c r="AZ6" i="9"/>
  <c r="CE28" i="1"/>
  <c r="BU6" i="9" a="1"/>
  <c r="BU6" i="9"/>
  <c r="FK28" i="1"/>
  <c r="L6" i="9"/>
  <c r="BS6" i="9" a="1"/>
  <c r="BS6" i="9"/>
  <c r="FC28" i="1"/>
  <c r="BE6" i="9" a="1"/>
  <c r="BE6" i="9"/>
  <c r="EM28" i="1"/>
  <c r="J133" i="17"/>
  <c r="AS131" i="17"/>
  <c r="AS132" i="17"/>
  <c r="J134" i="17"/>
  <c r="AW114" i="9"/>
  <c r="AV81" i="9"/>
  <c r="DW35" i="1"/>
  <c r="AV112" i="9"/>
  <c r="AV25" i="9"/>
  <c r="DO35" i="1"/>
  <c r="AV61" i="9"/>
  <c r="AW31" i="9"/>
  <c r="CY35" i="1"/>
  <c r="AV59" i="9"/>
  <c r="AV92" i="9"/>
  <c r="AW51" i="9"/>
  <c r="DS35" i="1"/>
  <c r="AV12" i="9"/>
  <c r="AW23" i="9"/>
  <c r="AV83" i="9"/>
  <c r="CU35" i="1"/>
  <c r="B13" i="12"/>
  <c r="AW110" i="9"/>
  <c r="AW27" i="9"/>
  <c r="DO33" i="1"/>
  <c r="AV80" i="9"/>
  <c r="AW129" i="9"/>
  <c r="AW122" i="9"/>
  <c r="CM35" i="1"/>
  <c r="CU33" i="1"/>
  <c r="AW121" i="9"/>
  <c r="AV100" i="9"/>
  <c r="D11" i="12"/>
  <c r="AW57" i="9"/>
  <c r="CQ33" i="1"/>
  <c r="A11" i="12"/>
  <c r="F11" i="12"/>
  <c r="AW29" i="9"/>
  <c r="AV119" i="9"/>
  <c r="AW37" i="9"/>
  <c r="AV73" i="9"/>
  <c r="AV76" i="9"/>
  <c r="AV115" i="9"/>
  <c r="AV10" i="9"/>
  <c r="AW20" i="9"/>
  <c r="DW33" i="1"/>
  <c r="AW91" i="9"/>
  <c r="AW135" i="9"/>
  <c r="AW85" i="9"/>
  <c r="A12" i="12"/>
  <c r="AW101" i="9"/>
  <c r="AV13" i="9"/>
  <c r="AW120" i="9"/>
  <c r="AW47" i="9"/>
  <c r="CU36" i="1"/>
  <c r="AV30" i="9"/>
  <c r="AW130" i="9"/>
  <c r="AW103" i="9"/>
  <c r="DO36" i="1"/>
  <c r="AV40" i="9"/>
  <c r="AV56" i="9"/>
  <c r="AW50" i="9"/>
  <c r="AW49" i="9"/>
  <c r="AW90" i="9"/>
  <c r="AV43" i="9"/>
  <c r="AW66" i="9"/>
  <c r="B14" i="12"/>
  <c r="AV35" i="9"/>
  <c r="AW62" i="9"/>
  <c r="AW16" i="9"/>
  <c r="AV102" i="9"/>
  <c r="B10" i="12"/>
  <c r="CU34" i="1"/>
  <c r="DO32" i="1"/>
  <c r="AW36" i="9"/>
  <c r="DW29" i="1"/>
  <c r="AW77" i="9"/>
  <c r="B16" i="12"/>
  <c r="AW94" i="9"/>
  <c r="AW97" i="9"/>
  <c r="AV140" i="9"/>
  <c r="F14" i="12"/>
  <c r="AW89" i="9"/>
  <c r="AW67" i="9"/>
  <c r="AW48" i="9"/>
  <c r="C10" i="12"/>
  <c r="AV65" i="9"/>
  <c r="AW33" i="9"/>
  <c r="DO34" i="1"/>
  <c r="AV18" i="9"/>
  <c r="AV44" i="9"/>
  <c r="AV108" i="9"/>
  <c r="DW34" i="1"/>
  <c r="AW39" i="9"/>
  <c r="AW128" i="9"/>
  <c r="AW9" i="9"/>
  <c r="B12" i="12"/>
  <c r="AV133" i="9"/>
  <c r="AW123" i="9"/>
  <c r="AW75" i="9"/>
  <c r="AV125" i="9"/>
  <c r="AW113" i="9"/>
  <c r="DS32" i="1"/>
  <c r="AW19" i="9"/>
  <c r="D12" i="12"/>
  <c r="AV69" i="9"/>
  <c r="CQ37" i="1"/>
  <c r="AV55" i="9"/>
  <c r="C15" i="12"/>
  <c r="AV96" i="9"/>
  <c r="AV17" i="9"/>
  <c r="DS34" i="1"/>
  <c r="AW11" i="9"/>
  <c r="AV68" i="9"/>
  <c r="AV87" i="9"/>
  <c r="G15" i="12"/>
  <c r="AV132" i="9"/>
  <c r="AV84" i="9"/>
  <c r="G16" i="12"/>
  <c r="G14" i="12"/>
  <c r="AV126" i="9"/>
  <c r="G10" i="12"/>
  <c r="AV106" i="9"/>
  <c r="AV79" i="9"/>
  <c r="CM30" i="1"/>
  <c r="AV78" i="9"/>
  <c r="A10" i="12"/>
  <c r="DO37" i="1"/>
  <c r="CY32" i="1"/>
  <c r="AV136" i="9"/>
  <c r="A15" i="12"/>
  <c r="AW63" i="9"/>
  <c r="CY36" i="1"/>
  <c r="CY29" i="1"/>
  <c r="AV14" i="9"/>
  <c r="AW34" i="9"/>
  <c r="AW28" i="9"/>
  <c r="CU30" i="1"/>
  <c r="AV54" i="9"/>
  <c r="CM36" i="1"/>
  <c r="AV93" i="9"/>
  <c r="AW71" i="9"/>
  <c r="AV137" i="9"/>
  <c r="AW42" i="9"/>
  <c r="B9" i="12"/>
  <c r="AV72" i="9"/>
  <c r="AW124" i="9"/>
  <c r="AW45" i="9"/>
  <c r="DO29" i="1"/>
  <c r="AW127" i="9"/>
  <c r="AV32" i="9"/>
  <c r="AW138" i="9"/>
  <c r="AV15" i="9"/>
  <c r="AV21" i="9"/>
  <c r="AV70" i="9"/>
  <c r="D9" i="12"/>
  <c r="AW98" i="9"/>
  <c r="AV98" i="9"/>
  <c r="AV22" i="9"/>
  <c r="AW109" i="9"/>
  <c r="F8" i="12"/>
  <c r="AV99" i="9"/>
  <c r="AW86" i="9"/>
  <c r="AV117" i="9"/>
  <c r="AW117" i="9"/>
  <c r="AW95" i="9"/>
  <c r="AV24" i="9"/>
  <c r="AW24" i="9"/>
  <c r="D15" i="12"/>
  <c r="AV118" i="9"/>
  <c r="AW26" i="9"/>
  <c r="AW105" i="9"/>
  <c r="DS37" i="1"/>
  <c r="B8" i="12"/>
  <c r="AW134" i="9"/>
  <c r="AV104" i="9"/>
  <c r="AW104" i="9"/>
  <c r="AV8" i="9"/>
  <c r="AW8" i="9"/>
  <c r="DW30" i="1"/>
  <c r="G9" i="12"/>
  <c r="CY38" i="1"/>
  <c r="AW74" i="9"/>
  <c r="DO30" i="1"/>
  <c r="A8" i="12"/>
  <c r="CM29" i="1"/>
  <c r="AV52" i="9"/>
  <c r="C8" i="12"/>
  <c r="AV53" i="9"/>
  <c r="F16" i="12"/>
  <c r="CU38" i="1"/>
  <c r="CM38" i="1"/>
  <c r="AV111" i="9"/>
  <c r="E16" i="12"/>
  <c r="AV107" i="9"/>
  <c r="AV7" i="9"/>
  <c r="AW58" i="9"/>
  <c r="F9" i="12"/>
  <c r="DS30" i="1"/>
  <c r="CU28" i="1"/>
  <c r="C6" i="12"/>
  <c r="H30" i="12"/>
  <c r="AF6" i="9"/>
  <c r="H31" i="12"/>
  <c r="AC6" i="9"/>
  <c r="G31" i="12"/>
  <c r="G30" i="12"/>
  <c r="DS28" i="1"/>
  <c r="F6" i="12"/>
  <c r="DO28" i="1"/>
  <c r="E6" i="12"/>
  <c r="AW60" i="9"/>
  <c r="AV60" i="9"/>
  <c r="AV38" i="9"/>
  <c r="AW38" i="9"/>
  <c r="AV82" i="9"/>
  <c r="AW82" i="9"/>
  <c r="AW6" i="9"/>
  <c r="G42" i="12"/>
  <c r="AV6" i="9"/>
  <c r="D42" i="12"/>
  <c r="DW28" i="1"/>
  <c r="G6" i="12"/>
  <c r="CY28" i="1"/>
  <c r="D6" i="12"/>
  <c r="AV88" i="9"/>
  <c r="AW88" i="9"/>
  <c r="AV139" i="9"/>
  <c r="AW139" i="9"/>
  <c r="AV41" i="9"/>
  <c r="AW41" i="9"/>
  <c r="CM28" i="1"/>
  <c r="A6" i="12"/>
  <c r="CQ28" i="1"/>
  <c r="B6" i="12"/>
  <c r="AW46" i="9"/>
  <c r="AV46" i="9"/>
  <c r="AW131" i="9"/>
  <c r="AV131" i="9"/>
  <c r="AV116" i="9"/>
  <c r="AW116" i="9"/>
  <c r="J135" i="17"/>
  <c r="AS133" i="17"/>
  <c r="J136" i="17"/>
  <c r="AS134" i="17"/>
  <c r="A18" i="12"/>
  <c r="B18" i="12"/>
  <c r="C18" i="12"/>
  <c r="D18" i="12"/>
  <c r="E18" i="12"/>
  <c r="F18" i="12"/>
  <c r="G18" i="12"/>
  <c r="AS135" i="17"/>
  <c r="J137" i="17"/>
  <c r="AS137" i="17"/>
  <c r="AS136" i="17"/>
  <c r="J138" i="17"/>
  <c r="AS138" i="17"/>
  <c r="AT17" i="17"/>
  <c r="AU17" i="17"/>
  <c r="AT70" i="17"/>
  <c r="AU70" i="17"/>
  <c r="AT108" i="17"/>
  <c r="AU108" i="17"/>
  <c r="AT74" i="17"/>
  <c r="AU74" i="17"/>
  <c r="AT107" i="17"/>
  <c r="AU107" i="17"/>
  <c r="AT10" i="17"/>
  <c r="AU10" i="17"/>
  <c r="AT87" i="17"/>
  <c r="AU87" i="17"/>
  <c r="AT47" i="17"/>
  <c r="AU47" i="17"/>
  <c r="AT68" i="17"/>
  <c r="AU68" i="17"/>
  <c r="AT72" i="17"/>
  <c r="AU72" i="17"/>
  <c r="AT42" i="17"/>
  <c r="AU42" i="17"/>
  <c r="AT63" i="17"/>
  <c r="AU63" i="17"/>
  <c r="AT95" i="17"/>
  <c r="AU95" i="17"/>
  <c r="AT127" i="17"/>
  <c r="AU127" i="17"/>
  <c r="AT18" i="17"/>
  <c r="AU18" i="17"/>
  <c r="AT46" i="17"/>
  <c r="AU46" i="17"/>
  <c r="AT5" i="17"/>
  <c r="AU5" i="17"/>
  <c r="AT103" i="17"/>
  <c r="AU103" i="17"/>
  <c r="AT35" i="17"/>
  <c r="AU35" i="17"/>
  <c r="AT66" i="17"/>
  <c r="AU66" i="17"/>
  <c r="AT51" i="17"/>
  <c r="AU51" i="17"/>
  <c r="AT59" i="17"/>
  <c r="AU59" i="17"/>
  <c r="AT125" i="17"/>
  <c r="AU125" i="17"/>
  <c r="AT130" i="17"/>
  <c r="AU130" i="17"/>
  <c r="AT54" i="17"/>
  <c r="AU54" i="17"/>
  <c r="AT133" i="17"/>
  <c r="AU133" i="17"/>
  <c r="AT21" i="17"/>
  <c r="AU21" i="17"/>
  <c r="AT12" i="17"/>
  <c r="AU12" i="17"/>
  <c r="AT99" i="17"/>
  <c r="AU99" i="17"/>
  <c r="AT43" i="17"/>
  <c r="AU43" i="17"/>
  <c r="AT71" i="17"/>
  <c r="AU71" i="17"/>
  <c r="AT40" i="17"/>
  <c r="AU40" i="17"/>
  <c r="AT16" i="17"/>
  <c r="AU16" i="17"/>
  <c r="AT109" i="17"/>
  <c r="AU109" i="17"/>
  <c r="AT104" i="17"/>
  <c r="AU104" i="17"/>
  <c r="AT58" i="17"/>
  <c r="AU58" i="17"/>
  <c r="AT44" i="17"/>
  <c r="AU44" i="17"/>
  <c r="AT4" i="17"/>
  <c r="AU4" i="17"/>
  <c r="AT19" i="17"/>
  <c r="AU19" i="17"/>
  <c r="AT100" i="17"/>
  <c r="AU100" i="17"/>
  <c r="AT78" i="17"/>
  <c r="AU78" i="17"/>
  <c r="AT36" i="17"/>
  <c r="AU36" i="17"/>
  <c r="AT119" i="17"/>
  <c r="AU119" i="17"/>
  <c r="AT9" i="17"/>
  <c r="AU9" i="17"/>
  <c r="AT135" i="17"/>
  <c r="AU135" i="17"/>
  <c r="AT115" i="17"/>
  <c r="AU115" i="17"/>
  <c r="AT93" i="17"/>
  <c r="AU93" i="17"/>
  <c r="AT52" i="17"/>
  <c r="AU52" i="17"/>
  <c r="AT129" i="17"/>
  <c r="AU129" i="17"/>
  <c r="AT121" i="17"/>
  <c r="AU121" i="17"/>
  <c r="AT20" i="17"/>
  <c r="AU20" i="17"/>
  <c r="AT61" i="17"/>
  <c r="AU61" i="17"/>
  <c r="AT94" i="17"/>
  <c r="AU94" i="17"/>
  <c r="AT37" i="17"/>
  <c r="AU37" i="17"/>
  <c r="AT105" i="17"/>
  <c r="AU105" i="17"/>
  <c r="AT11" i="17"/>
  <c r="AU11" i="17"/>
  <c r="AT117" i="17"/>
  <c r="AU117" i="17"/>
  <c r="AT89" i="17"/>
  <c r="AU89" i="17"/>
  <c r="AT39" i="17"/>
  <c r="AU39" i="17"/>
  <c r="AT96" i="17"/>
  <c r="AU96" i="17"/>
  <c r="AT126" i="17"/>
  <c r="AU126" i="17"/>
  <c r="AT77" i="17"/>
  <c r="AU77" i="17"/>
  <c r="AT45" i="17"/>
  <c r="AU45" i="17"/>
  <c r="AT110" i="17"/>
  <c r="AU110" i="17"/>
  <c r="AT53" i="17"/>
  <c r="AU53" i="17"/>
  <c r="AT41" i="17"/>
  <c r="AU41" i="17"/>
  <c r="AT131" i="17"/>
  <c r="AU131" i="17"/>
  <c r="AT85" i="17"/>
  <c r="AU85" i="17"/>
  <c r="AT102" i="17"/>
  <c r="AU102" i="17"/>
  <c r="AT106" i="17"/>
  <c r="AU106" i="17"/>
  <c r="AT114" i="17"/>
  <c r="AU114" i="17"/>
  <c r="AT112" i="17"/>
  <c r="AU112" i="17"/>
  <c r="AT65" i="17"/>
  <c r="AU65" i="17"/>
  <c r="AT27" i="17"/>
  <c r="AU27" i="17"/>
  <c r="AT88" i="17"/>
  <c r="AU88" i="17"/>
  <c r="AT22" i="17"/>
  <c r="AU22" i="17"/>
  <c r="AT6" i="17"/>
  <c r="AU6" i="17"/>
  <c r="AT98" i="17"/>
  <c r="AU98" i="17"/>
  <c r="AT75" i="17"/>
  <c r="AU75" i="17"/>
  <c r="AT84" i="17"/>
  <c r="AU84" i="17"/>
  <c r="AT79" i="17"/>
  <c r="AU79" i="17"/>
  <c r="AT31" i="17"/>
  <c r="AU31" i="17"/>
  <c r="AT91" i="17"/>
  <c r="AU91" i="17"/>
  <c r="AT64" i="17"/>
  <c r="AU64" i="17"/>
  <c r="AT26" i="17"/>
  <c r="AU26" i="17"/>
  <c r="AT120" i="17"/>
  <c r="AU120" i="17"/>
  <c r="AT111" i="17"/>
  <c r="AU111" i="17"/>
  <c r="AT124" i="17"/>
  <c r="AU124" i="17"/>
  <c r="AT134" i="17"/>
  <c r="AU134" i="17"/>
  <c r="AT122" i="17"/>
  <c r="AU122" i="17"/>
  <c r="AT55" i="17"/>
  <c r="AU55" i="17"/>
  <c r="AT76" i="17"/>
  <c r="AU76" i="17"/>
  <c r="AT73" i="17"/>
  <c r="AU73" i="17"/>
  <c r="AT136" i="17"/>
  <c r="AU136" i="17"/>
  <c r="AT50" i="17"/>
  <c r="AU50" i="17"/>
  <c r="AT15" i="17"/>
  <c r="AU15" i="17"/>
  <c r="AT137" i="17"/>
  <c r="AU137" i="17"/>
  <c r="AT24" i="17"/>
  <c r="AU24" i="17"/>
  <c r="AT132" i="17"/>
  <c r="AU132" i="17"/>
  <c r="AT138" i="17"/>
  <c r="AU138" i="17"/>
  <c r="AT28" i="17"/>
  <c r="AU28" i="17"/>
  <c r="AT14" i="17"/>
  <c r="AU14" i="17"/>
  <c r="AT86" i="17"/>
  <c r="AU86" i="17"/>
  <c r="AT69" i="17"/>
  <c r="AU69" i="17"/>
  <c r="AT38" i="17"/>
  <c r="AU38" i="17"/>
  <c r="AT29" i="17"/>
  <c r="AU29" i="17"/>
  <c r="AT13" i="17"/>
  <c r="AU13" i="17"/>
  <c r="AT97" i="17"/>
  <c r="AU97" i="17"/>
  <c r="AT56" i="17"/>
  <c r="AU56" i="17"/>
  <c r="AT118" i="17"/>
  <c r="AU118" i="17"/>
  <c r="AT23" i="17"/>
  <c r="AU23" i="17"/>
  <c r="AT8" i="17"/>
  <c r="AU8" i="17"/>
  <c r="AT90" i="17"/>
  <c r="AU90" i="17"/>
  <c r="AT48" i="17"/>
  <c r="AU48" i="17"/>
  <c r="AT101" i="17"/>
  <c r="AU101" i="17"/>
  <c r="AT81" i="17"/>
  <c r="AU81" i="17"/>
  <c r="AT62" i="17"/>
  <c r="AU62" i="17"/>
  <c r="AT60" i="17"/>
  <c r="AU60" i="17"/>
  <c r="AT82" i="17"/>
  <c r="AU82" i="17"/>
  <c r="AT92" i="17"/>
  <c r="AU92" i="17"/>
  <c r="AT80" i="17"/>
  <c r="AU80" i="17"/>
  <c r="AT32" i="17"/>
  <c r="AU32" i="17"/>
  <c r="AT25" i="17"/>
  <c r="AU25" i="17"/>
  <c r="AT113" i="17"/>
  <c r="AU113" i="17"/>
  <c r="AT83" i="17"/>
  <c r="AU83" i="17"/>
  <c r="AT67" i="17"/>
  <c r="AU67" i="17"/>
  <c r="AT116" i="17"/>
  <c r="AU116" i="17"/>
  <c r="AT123" i="17"/>
  <c r="AU123" i="17"/>
  <c r="AT34" i="17"/>
  <c r="AU34" i="17"/>
  <c r="AT57" i="17"/>
  <c r="AU57" i="17"/>
  <c r="AT30" i="17"/>
  <c r="AU30" i="17"/>
  <c r="AT128" i="17"/>
  <c r="AU128" i="17"/>
  <c r="AT49" i="17"/>
  <c r="AU49" i="17"/>
  <c r="AT33" i="17"/>
  <c r="AU33" i="17"/>
  <c r="AT7" i="17"/>
  <c r="AU7" i="17"/>
  <c r="AV25" i="17"/>
  <c r="AX25" i="17"/>
  <c r="AW25" i="17"/>
  <c r="AY25" i="17"/>
  <c r="AY101" i="17"/>
  <c r="AX101" i="17"/>
  <c r="AV101" i="17"/>
  <c r="AW101" i="17"/>
  <c r="AY50" i="17"/>
  <c r="AX50" i="17"/>
  <c r="AV50" i="17"/>
  <c r="AW50" i="17"/>
  <c r="AY75" i="17"/>
  <c r="AV75" i="17"/>
  <c r="AX75" i="17"/>
  <c r="AW75" i="17"/>
  <c r="AX131" i="17"/>
  <c r="AY131" i="17"/>
  <c r="AV131" i="17"/>
  <c r="AW131" i="17"/>
  <c r="AX20" i="17"/>
  <c r="AW20" i="17"/>
  <c r="AY20" i="17"/>
  <c r="AV20" i="17"/>
  <c r="AW49" i="17"/>
  <c r="AX49" i="17"/>
  <c r="AY49" i="17"/>
  <c r="AV49" i="17"/>
  <c r="AX128" i="17"/>
  <c r="AV128" i="17"/>
  <c r="AY128" i="17"/>
  <c r="AW128" i="17"/>
  <c r="AW123" i="17"/>
  <c r="AY123" i="17"/>
  <c r="AX123" i="17"/>
  <c r="AV123" i="17"/>
  <c r="AX113" i="17"/>
  <c r="AW113" i="17"/>
  <c r="AV113" i="17"/>
  <c r="AY113" i="17"/>
  <c r="AV92" i="17"/>
  <c r="AW92" i="17"/>
  <c r="AX92" i="17"/>
  <c r="AY92" i="17"/>
  <c r="AV81" i="17"/>
  <c r="AX81" i="17"/>
  <c r="AW81" i="17"/>
  <c r="AY81" i="17"/>
  <c r="AV8" i="17"/>
  <c r="AW8" i="17"/>
  <c r="AX8" i="17"/>
  <c r="AY8" i="17"/>
  <c r="AY97" i="17"/>
  <c r="AW97" i="17"/>
  <c r="AV97" i="17"/>
  <c r="AX97" i="17"/>
  <c r="AW69" i="17"/>
  <c r="AX69" i="17"/>
  <c r="AV69" i="17"/>
  <c r="AY69" i="17"/>
  <c r="AV138" i="17"/>
  <c r="AY138" i="17"/>
  <c r="AW138" i="17"/>
  <c r="AX138" i="17"/>
  <c r="AV15" i="17"/>
  <c r="AY15" i="17"/>
  <c r="AX15" i="17"/>
  <c r="AW15" i="17"/>
  <c r="AX76" i="17"/>
  <c r="AV76" i="17"/>
  <c r="AW76" i="17"/>
  <c r="AY76" i="17"/>
  <c r="AX124" i="17"/>
  <c r="AY124" i="17"/>
  <c r="AV124" i="17"/>
  <c r="AW124" i="17"/>
  <c r="AX64" i="17"/>
  <c r="AW64" i="17"/>
  <c r="AY64" i="17"/>
  <c r="AV64" i="17"/>
  <c r="AY84" i="17"/>
  <c r="AW84" i="17"/>
  <c r="AX84" i="17"/>
  <c r="AV84" i="17"/>
  <c r="AX22" i="17"/>
  <c r="AW22" i="17"/>
  <c r="AY22" i="17"/>
  <c r="AV22" i="17"/>
  <c r="AX112" i="17"/>
  <c r="AV112" i="17"/>
  <c r="AW112" i="17"/>
  <c r="AY112" i="17"/>
  <c r="AW85" i="17"/>
  <c r="AV85" i="17"/>
  <c r="AX85" i="17"/>
  <c r="AY85" i="17"/>
  <c r="AY110" i="17"/>
  <c r="AX110" i="17"/>
  <c r="AV110" i="17"/>
  <c r="AW110" i="17"/>
  <c r="AY96" i="17"/>
  <c r="AX96" i="17"/>
  <c r="AW96" i="17"/>
  <c r="AV96" i="17"/>
  <c r="AW11" i="17"/>
  <c r="AV11" i="17"/>
  <c r="AY11" i="17"/>
  <c r="AX11" i="17"/>
  <c r="AV61" i="17"/>
  <c r="AW61" i="17"/>
  <c r="AY61" i="17"/>
  <c r="AX61" i="17"/>
  <c r="AW52" i="17"/>
  <c r="AY52" i="17"/>
  <c r="AV52" i="17"/>
  <c r="AX52" i="17"/>
  <c r="AV9" i="17"/>
  <c r="AX9" i="17"/>
  <c r="AW9" i="17"/>
  <c r="AY9" i="17"/>
  <c r="AX100" i="17"/>
  <c r="AY100" i="17"/>
  <c r="AW100" i="17"/>
  <c r="AV100" i="17"/>
  <c r="AV58" i="17"/>
  <c r="AW58" i="17"/>
  <c r="AX58" i="17"/>
  <c r="AY58" i="17"/>
  <c r="AY40" i="17"/>
  <c r="AV40" i="17"/>
  <c r="AX40" i="17"/>
  <c r="AW40" i="17"/>
  <c r="AY12" i="17"/>
  <c r="AX12" i="17"/>
  <c r="AV12" i="17"/>
  <c r="AW12" i="17"/>
  <c r="AY130" i="17"/>
  <c r="AW130" i="17"/>
  <c r="AV130" i="17"/>
  <c r="AX130" i="17"/>
  <c r="AY66" i="17"/>
  <c r="AV66" i="17"/>
  <c r="AW66" i="17"/>
  <c r="AX66" i="17"/>
  <c r="AX46" i="17"/>
  <c r="AV46" i="17"/>
  <c r="AW46" i="17"/>
  <c r="AY46" i="17"/>
  <c r="AY63" i="17"/>
  <c r="AX63" i="17"/>
  <c r="AW63" i="17"/>
  <c r="AV63" i="17"/>
  <c r="AX47" i="17"/>
  <c r="AV47" i="17"/>
  <c r="AY47" i="17"/>
  <c r="AW47" i="17"/>
  <c r="AY74" i="17"/>
  <c r="AV74" i="17"/>
  <c r="AW74" i="17"/>
  <c r="AX74" i="17"/>
  <c r="AX7" i="17"/>
  <c r="AV7" i="17"/>
  <c r="AW7" i="17"/>
  <c r="AY7" i="17"/>
  <c r="AW13" i="17"/>
  <c r="AX13" i="17"/>
  <c r="AV13" i="17"/>
  <c r="AY13" i="17"/>
  <c r="AW55" i="17"/>
  <c r="AY55" i="17"/>
  <c r="AV55" i="17"/>
  <c r="AX55" i="17"/>
  <c r="AW88" i="17"/>
  <c r="AY88" i="17"/>
  <c r="AV88" i="17"/>
  <c r="AX88" i="17"/>
  <c r="AV39" i="17"/>
  <c r="AX39" i="17"/>
  <c r="AY39" i="17"/>
  <c r="AW39" i="17"/>
  <c r="AV119" i="17"/>
  <c r="AW119" i="17"/>
  <c r="AY119" i="17"/>
  <c r="AX119" i="17"/>
  <c r="AY71" i="17"/>
  <c r="AW71" i="17"/>
  <c r="AV71" i="17"/>
  <c r="AX71" i="17"/>
  <c r="AV125" i="17"/>
  <c r="AY125" i="17"/>
  <c r="AW125" i="17"/>
  <c r="AX125" i="17"/>
  <c r="AX18" i="17"/>
  <c r="AY18" i="17"/>
  <c r="AV18" i="17"/>
  <c r="AW18" i="17"/>
  <c r="AV42" i="17"/>
  <c r="AY42" i="17"/>
  <c r="AW42" i="17"/>
  <c r="AX42" i="17"/>
  <c r="AW87" i="17"/>
  <c r="AV87" i="17"/>
  <c r="AY87" i="17"/>
  <c r="AX87" i="17"/>
  <c r="AX108" i="17"/>
  <c r="AV108" i="17"/>
  <c r="AW108" i="17"/>
  <c r="AY108" i="17"/>
  <c r="AW116" i="17"/>
  <c r="AY116" i="17"/>
  <c r="AX116" i="17"/>
  <c r="AV116" i="17"/>
  <c r="AV23" i="17"/>
  <c r="AX23" i="17"/>
  <c r="AW23" i="17"/>
  <c r="AY23" i="17"/>
  <c r="AX132" i="17"/>
  <c r="AY132" i="17"/>
  <c r="AW132" i="17"/>
  <c r="AV132" i="17"/>
  <c r="AY91" i="17"/>
  <c r="AX91" i="17"/>
  <c r="AW91" i="17"/>
  <c r="AV91" i="17"/>
  <c r="AW45" i="17"/>
  <c r="AV45" i="17"/>
  <c r="AY45" i="17"/>
  <c r="AX45" i="17"/>
  <c r="AY93" i="17"/>
  <c r="AV93" i="17"/>
  <c r="AX93" i="17"/>
  <c r="AW93" i="17"/>
  <c r="AX104" i="17"/>
  <c r="AW104" i="17"/>
  <c r="AV104" i="17"/>
  <c r="AY104" i="17"/>
  <c r="AW21" i="17"/>
  <c r="AV21" i="17"/>
  <c r="AY21" i="17"/>
  <c r="AX21" i="17"/>
  <c r="AY35" i="17"/>
  <c r="AV35" i="17"/>
  <c r="AX35" i="17"/>
  <c r="AW35" i="17"/>
  <c r="AX33" i="17"/>
  <c r="AY33" i="17"/>
  <c r="AV33" i="17"/>
  <c r="AW33" i="17"/>
  <c r="AX57" i="17"/>
  <c r="AY57" i="17"/>
  <c r="AW57" i="17"/>
  <c r="AV57" i="17"/>
  <c r="AV67" i="17"/>
  <c r="AX67" i="17"/>
  <c r="AW67" i="17"/>
  <c r="AY67" i="17"/>
  <c r="AY32" i="17"/>
  <c r="AV32" i="17"/>
  <c r="AX32" i="17"/>
  <c r="AW32" i="17"/>
  <c r="AY60" i="17"/>
  <c r="AV60" i="17"/>
  <c r="AX60" i="17"/>
  <c r="AW60" i="17"/>
  <c r="AY48" i="17"/>
  <c r="AV48" i="17"/>
  <c r="AX48" i="17"/>
  <c r="AW48" i="17"/>
  <c r="AW118" i="17"/>
  <c r="AY118" i="17"/>
  <c r="AV118" i="17"/>
  <c r="AX118" i="17"/>
  <c r="AV29" i="17"/>
  <c r="AX29" i="17"/>
  <c r="AW29" i="17"/>
  <c r="AY29" i="17"/>
  <c r="AV14" i="17"/>
  <c r="AX14" i="17"/>
  <c r="AY14" i="17"/>
  <c r="AW14" i="17"/>
  <c r="AY24" i="17"/>
  <c r="AV24" i="17"/>
  <c r="AW24" i="17"/>
  <c r="AX24" i="17"/>
  <c r="AV136" i="17"/>
  <c r="AY136" i="17"/>
  <c r="AX136" i="17"/>
  <c r="AW136" i="17"/>
  <c r="AV122" i="17"/>
  <c r="AW122" i="17"/>
  <c r="AY122" i="17"/>
  <c r="AX122" i="17"/>
  <c r="AY120" i="17"/>
  <c r="AX120" i="17"/>
  <c r="AW120" i="17"/>
  <c r="AV120" i="17"/>
  <c r="AV31" i="17"/>
  <c r="AY31" i="17"/>
  <c r="AX31" i="17"/>
  <c r="AW31" i="17"/>
  <c r="AX98" i="17"/>
  <c r="AY98" i="17"/>
  <c r="AV98" i="17"/>
  <c r="AW98" i="17"/>
  <c r="AW27" i="17"/>
  <c r="AY27" i="17"/>
  <c r="AV27" i="17"/>
  <c r="AX27" i="17"/>
  <c r="AY106" i="17"/>
  <c r="AV106" i="17"/>
  <c r="AX106" i="17"/>
  <c r="AW106" i="17"/>
  <c r="AV41" i="17"/>
  <c r="AW41" i="17"/>
  <c r="AX41" i="17"/>
  <c r="AY41" i="17"/>
  <c r="AX77" i="17"/>
  <c r="AW77" i="17"/>
  <c r="AY77" i="17"/>
  <c r="AV77" i="17"/>
  <c r="AX89" i="17"/>
  <c r="AV89" i="17"/>
  <c r="AY89" i="17"/>
  <c r="AW89" i="17"/>
  <c r="AX37" i="17"/>
  <c r="AV37" i="17"/>
  <c r="AW37" i="17"/>
  <c r="AY37" i="17"/>
  <c r="AX121" i="17"/>
  <c r="AY121" i="17"/>
  <c r="AV121" i="17"/>
  <c r="AW121" i="17"/>
  <c r="AV115" i="17"/>
  <c r="AX115" i="17"/>
  <c r="AW115" i="17"/>
  <c r="AY115" i="17"/>
  <c r="AY36" i="17"/>
  <c r="AX36" i="17"/>
  <c r="AW36" i="17"/>
  <c r="AV36" i="17"/>
  <c r="AX4" i="17"/>
  <c r="AV4" i="17"/>
  <c r="AY4" i="17"/>
  <c r="AW4" i="17"/>
  <c r="AY109" i="17"/>
  <c r="AX109" i="17"/>
  <c r="AV109" i="17"/>
  <c r="AW109" i="17"/>
  <c r="AY43" i="17"/>
  <c r="AV43" i="17"/>
  <c r="AW43" i="17"/>
  <c r="AX43" i="17"/>
  <c r="AX133" i="17"/>
  <c r="AW133" i="17"/>
  <c r="AY133" i="17"/>
  <c r="AV133" i="17"/>
  <c r="AY59" i="17"/>
  <c r="AW59" i="17"/>
  <c r="AV59" i="17"/>
  <c r="AX59" i="17"/>
  <c r="AY103" i="17"/>
  <c r="AW103" i="17"/>
  <c r="AV103" i="17"/>
  <c r="AX103" i="17"/>
  <c r="AX127" i="17"/>
  <c r="AV127" i="17"/>
  <c r="AY127" i="17"/>
  <c r="AW127" i="17"/>
  <c r="AW72" i="17"/>
  <c r="AX72" i="17"/>
  <c r="AY72" i="17"/>
  <c r="AV72" i="17"/>
  <c r="AY10" i="17"/>
  <c r="AX10" i="17"/>
  <c r="AV10" i="17"/>
  <c r="AW10" i="17"/>
  <c r="AY70" i="17"/>
  <c r="AX70" i="17"/>
  <c r="AW70" i="17"/>
  <c r="AV70" i="17"/>
  <c r="AX30" i="17"/>
  <c r="AV30" i="17"/>
  <c r="AW30" i="17"/>
  <c r="AY30" i="17"/>
  <c r="AV82" i="17"/>
  <c r="AX82" i="17"/>
  <c r="AW82" i="17"/>
  <c r="AY82" i="17"/>
  <c r="AV86" i="17"/>
  <c r="AX86" i="17"/>
  <c r="AW86" i="17"/>
  <c r="AY86" i="17"/>
  <c r="AX111" i="17"/>
  <c r="AV111" i="17"/>
  <c r="AY111" i="17"/>
  <c r="AW111" i="17"/>
  <c r="AX114" i="17"/>
  <c r="AV114" i="17"/>
  <c r="AY114" i="17"/>
  <c r="AW114" i="17"/>
  <c r="AW105" i="17"/>
  <c r="AX105" i="17"/>
  <c r="AY105" i="17"/>
  <c r="AV105" i="17"/>
  <c r="AY19" i="17"/>
  <c r="AX19" i="17"/>
  <c r="AW19" i="17"/>
  <c r="AV19" i="17"/>
  <c r="AV34" i="17"/>
  <c r="AW34" i="17"/>
  <c r="AY34" i="17"/>
  <c r="AX34" i="17"/>
  <c r="AY83" i="17"/>
  <c r="AX83" i="17"/>
  <c r="AW83" i="17"/>
  <c r="AV83" i="17"/>
  <c r="AV80" i="17"/>
  <c r="AW80" i="17"/>
  <c r="AY80" i="17"/>
  <c r="AX80" i="17"/>
  <c r="AW62" i="17"/>
  <c r="AY62" i="17"/>
  <c r="AV62" i="17"/>
  <c r="AX62" i="17"/>
  <c r="AY90" i="17"/>
  <c r="AV90" i="17"/>
  <c r="AX90" i="17"/>
  <c r="AW90" i="17"/>
  <c r="AV56" i="17"/>
  <c r="AX56" i="17"/>
  <c r="AW56" i="17"/>
  <c r="AY56" i="17"/>
  <c r="AV38" i="17"/>
  <c r="AY38" i="17"/>
  <c r="AW38" i="17"/>
  <c r="AX38" i="17"/>
  <c r="AY28" i="17"/>
  <c r="AV28" i="17"/>
  <c r="AX28" i="17"/>
  <c r="AW28" i="17"/>
  <c r="AW137" i="17"/>
  <c r="AV137" i="17"/>
  <c r="AX137" i="17"/>
  <c r="AY137" i="17"/>
  <c r="AW73" i="17"/>
  <c r="AY73" i="17"/>
  <c r="AX73" i="17"/>
  <c r="AV73" i="17"/>
  <c r="AX134" i="17"/>
  <c r="AW134" i="17"/>
  <c r="AV134" i="17"/>
  <c r="AY134" i="17"/>
  <c r="AV26" i="17"/>
  <c r="AX26" i="17"/>
  <c r="AW26" i="17"/>
  <c r="AY26" i="17"/>
  <c r="AX79" i="17"/>
  <c r="AW79" i="17"/>
  <c r="AY79" i="17"/>
  <c r="AV79" i="17"/>
  <c r="AY6" i="17"/>
  <c r="AX6" i="17"/>
  <c r="AW6" i="17"/>
  <c r="AV6" i="17"/>
  <c r="AY65" i="17"/>
  <c r="AV65" i="17"/>
  <c r="AX65" i="17"/>
  <c r="AW65" i="17"/>
  <c r="AX102" i="17"/>
  <c r="AY102" i="17"/>
  <c r="AV102" i="17"/>
  <c r="AW102" i="17"/>
  <c r="AY53" i="17"/>
  <c r="AV53" i="17"/>
  <c r="AX53" i="17"/>
  <c r="AW53" i="17"/>
  <c r="AV126" i="17"/>
  <c r="AY126" i="17"/>
  <c r="AX126" i="17"/>
  <c r="AW126" i="17"/>
  <c r="AW117" i="17"/>
  <c r="AX117" i="17"/>
  <c r="AV117" i="17"/>
  <c r="AY117" i="17"/>
  <c r="AV94" i="17"/>
  <c r="AX94" i="17"/>
  <c r="AW94" i="17"/>
  <c r="AY94" i="17"/>
  <c r="AV129" i="17"/>
  <c r="AY129" i="17"/>
  <c r="AW129" i="17"/>
  <c r="AX129" i="17"/>
  <c r="AV135" i="17"/>
  <c r="AW135" i="17"/>
  <c r="AX135" i="17"/>
  <c r="AY135" i="17"/>
  <c r="AV78" i="17"/>
  <c r="AW78" i="17"/>
  <c r="AX78" i="17"/>
  <c r="AY78" i="17"/>
  <c r="AX44" i="17"/>
  <c r="AW44" i="17"/>
  <c r="AV44" i="17"/>
  <c r="AY44" i="17"/>
  <c r="AV16" i="17"/>
  <c r="AX16" i="17"/>
  <c r="AW16" i="17"/>
  <c r="AY16" i="17"/>
  <c r="AY99" i="17"/>
  <c r="AV99" i="17"/>
  <c r="AW99" i="17"/>
  <c r="AX99" i="17"/>
  <c r="AW54" i="17"/>
  <c r="AV54" i="17"/>
  <c r="AX54" i="17"/>
  <c r="AY54" i="17"/>
  <c r="AY51" i="17"/>
  <c r="AV51" i="17"/>
  <c r="AW51" i="17"/>
  <c r="AX51" i="17"/>
  <c r="AX5" i="17"/>
  <c r="AV5" i="17"/>
  <c r="AY5" i="17"/>
  <c r="AW5" i="17"/>
  <c r="AW95" i="17"/>
  <c r="AV95" i="17"/>
  <c r="AY95" i="17"/>
  <c r="AX95" i="17"/>
  <c r="AW68" i="17"/>
  <c r="AY68" i="17"/>
  <c r="AX68" i="17"/>
  <c r="AV68" i="17"/>
  <c r="AW107" i="17"/>
  <c r="AX107" i="17"/>
  <c r="AY107" i="17"/>
  <c r="AV107" i="17"/>
  <c r="AX17" i="17"/>
  <c r="AW17" i="17"/>
  <c r="AY17" i="17"/>
  <c r="AV17" i="17"/>
  <c r="E108" i="3"/>
  <c r="E106" i="3"/>
</calcChain>
</file>

<file path=xl/comments1.xml><?xml version="1.0" encoding="utf-8"?>
<comments xmlns="http://schemas.openxmlformats.org/spreadsheetml/2006/main">
  <authors>
    <author>Jaanus</author>
  </authors>
  <commentList>
    <comment ref="I5" authorId="0">
      <text>
        <r>
          <rPr>
            <b/>
            <sz val="9"/>
            <color indexed="81"/>
            <rFont val="Tahoma"/>
            <family val="2"/>
            <charset val="186"/>
          </rPr>
          <t xml:space="preserve">Vaikimisi on kasutatud ENMAK2030 stsenaariumite majandusmõju hinnangus valitud kaale.
Mudeli kasutajal on võimalik kaalusid oma äranägemise järgi muuta!
</t>
        </r>
      </text>
    </comment>
    <comment ref="I9" authorId="0">
      <text>
        <r>
          <rPr>
            <b/>
            <sz val="9"/>
            <color indexed="81"/>
            <rFont val="Tahoma"/>
            <family val="2"/>
            <charset val="186"/>
          </rPr>
          <t>SKP on majanduse seisundi mõõdikuna jätkuvalt enimkasutatud näitaja, mistõttu on see valitud ka indeksi juhtnäitajaks.</t>
        </r>
        <r>
          <rPr>
            <sz val="9"/>
            <color indexed="81"/>
            <rFont val="Tahoma"/>
            <family val="2"/>
            <charset val="186"/>
          </rPr>
          <t xml:space="preserve">
</t>
        </r>
      </text>
    </comment>
    <comment ref="I10" authorId="0">
      <text>
        <r>
          <rPr>
            <b/>
            <sz val="9"/>
            <color indexed="81"/>
            <rFont val="Tahoma"/>
            <family val="2"/>
            <charset val="186"/>
          </rPr>
          <t>Arvestades Eesti väliskaubanduse bilansi negatiivsust iseseisvuse ajal on väliskaubanduse saldo antud suhteliselt oluline kaal. 
Energiakandjate impordi vähenemine muudab majanduse vähem tundlikuks energiakandjate hinnamuutuste suhtes.</t>
        </r>
        <r>
          <rPr>
            <sz val="9"/>
            <color indexed="81"/>
            <rFont val="Tahoma"/>
            <family val="2"/>
            <charset val="186"/>
          </rPr>
          <t xml:space="preserve">
</t>
        </r>
      </text>
    </comment>
    <comment ref="I11" authorId="0">
      <text>
        <r>
          <rPr>
            <b/>
            <sz val="9"/>
            <color indexed="81"/>
            <rFont val="Tahoma"/>
            <family val="2"/>
            <charset val="186"/>
          </rPr>
          <t>Tööturu näitajaid on käsitletud nende koosmõjus, kuna ENMAK meetmete mõju tööviljakusele on keeruline välja tuua. Seetõttu on ka näitajatele eraldi suhteliselt väike kaal antud.</t>
        </r>
        <r>
          <rPr>
            <sz val="9"/>
            <color indexed="81"/>
            <rFont val="Tahoma"/>
            <family val="2"/>
            <charset val="186"/>
          </rPr>
          <t xml:space="preserve">
</t>
        </r>
      </text>
    </comment>
    <comment ref="I14" authorId="0">
      <text>
        <r>
          <rPr>
            <b/>
            <sz val="9"/>
            <color indexed="81"/>
            <rFont val="Tahoma"/>
            <family val="2"/>
            <charset val="186"/>
          </rPr>
          <t>Energiamahukuse vähendamine on ENMAK peamisi eesmärke ja majanduse konkurentsivõime tugevdaja.</t>
        </r>
        <r>
          <rPr>
            <sz val="9"/>
            <color indexed="81"/>
            <rFont val="Tahoma"/>
            <family val="2"/>
            <charset val="186"/>
          </rPr>
          <t xml:space="preserve">
</t>
        </r>
      </text>
    </comment>
    <comment ref="I15" authorId="0">
      <text>
        <r>
          <rPr>
            <b/>
            <sz val="9"/>
            <color indexed="81"/>
            <rFont val="Tahoma"/>
            <family val="2"/>
            <charset val="186"/>
          </rPr>
          <t>Fossiilsed kütused on Eestis täna domineerivad energiaallikad. Nende impordist sõltuvad suuresti transport ja soojamajandus (maagaas). Seetõttu on nii energiamahukuse kui ka energiasõltuvuse seisukohalt fossiilsete kütuste tarbimise vähenemine väga oluline.</t>
        </r>
        <r>
          <rPr>
            <sz val="9"/>
            <color indexed="81"/>
            <rFont val="Tahoma"/>
            <family val="2"/>
            <charset val="186"/>
          </rPr>
          <t xml:space="preserve">
</t>
        </r>
      </text>
    </comment>
    <comment ref="I16" authorId="0">
      <text>
        <r>
          <rPr>
            <b/>
            <sz val="9"/>
            <color indexed="81"/>
            <rFont val="Tahoma"/>
            <family val="2"/>
            <charset val="186"/>
          </rPr>
          <t>Oluline on vähendada energiatarbimist just sellisel viisil, et vähendaks koormust keskkonnale, seetõttu on ressursimahukuse
indeksisse toodud ka keskkonnamõõdik.</t>
        </r>
        <r>
          <rPr>
            <sz val="9"/>
            <color indexed="81"/>
            <rFont val="Tahoma"/>
            <family val="2"/>
            <charset val="186"/>
          </rPr>
          <t xml:space="preserve">
</t>
        </r>
      </text>
    </comment>
  </commentList>
</comments>
</file>

<file path=xl/comments10.xml><?xml version="1.0" encoding="utf-8"?>
<comments xmlns="http://schemas.openxmlformats.org/spreadsheetml/2006/main">
  <authors>
    <author>Jaanus Uiga</author>
  </authors>
  <commentList>
    <comment ref="C8" authorId="0">
      <text>
        <r>
          <rPr>
            <b/>
            <sz val="9"/>
            <color indexed="81"/>
            <rFont val="Tahoma"/>
            <family val="2"/>
            <charset val="186"/>
          </rPr>
          <t>Katkestuskahju ning kao vähenemine</t>
        </r>
        <r>
          <rPr>
            <sz val="9"/>
            <color indexed="81"/>
            <rFont val="Tahoma"/>
            <family val="2"/>
            <charset val="186"/>
          </rPr>
          <t xml:space="preserve">
</t>
        </r>
      </text>
    </comment>
  </commentList>
</comments>
</file>

<file path=xl/comments11.xml><?xml version="1.0" encoding="utf-8"?>
<comments xmlns="http://schemas.openxmlformats.org/spreadsheetml/2006/main">
  <authors>
    <author>Jaanus Uiga</author>
  </authors>
  <commentList>
    <comment ref="C27" authorId="0">
      <text>
        <r>
          <rPr>
            <b/>
            <sz val="9"/>
            <color indexed="81"/>
            <rFont val="Tahoma"/>
            <family val="2"/>
            <charset val="186"/>
          </rPr>
          <t>Energia tarbimine tootmises
Võetakse arvesse töölehtedel VK-Soojus ning VK-Elekter</t>
        </r>
      </text>
    </comment>
    <comment ref="C29" authorId="0">
      <text>
        <r>
          <rPr>
            <b/>
            <sz val="9"/>
            <color indexed="81"/>
            <rFont val="Tahoma"/>
            <family val="2"/>
            <charset val="186"/>
          </rPr>
          <t>Majandusmõju arvutusmudel:
Neto tootmaksud +  Tööjõu maksud</t>
        </r>
      </text>
    </comment>
    <comment ref="C30" authorId="0">
      <text>
        <r>
          <rPr>
            <b/>
            <sz val="9"/>
            <color indexed="81"/>
            <rFont val="Tahoma"/>
            <family val="2"/>
            <charset val="186"/>
          </rPr>
          <t>Majandusmõju arvutusmudel:
Neto tootmaksud +  Tööjõu maksud</t>
        </r>
      </text>
    </comment>
    <comment ref="C31" authorId="0">
      <text>
        <r>
          <rPr>
            <b/>
            <sz val="9"/>
            <color indexed="81"/>
            <rFont val="Tahoma"/>
            <family val="2"/>
            <charset val="186"/>
          </rPr>
          <t>Majandusmõju arvutusmudel:
Neto tootmaksud +  Tööjõu maksud</t>
        </r>
        <r>
          <rPr>
            <sz val="9"/>
            <color indexed="81"/>
            <rFont val="Tahoma"/>
            <family val="2"/>
            <charset val="186"/>
          </rPr>
          <t xml:space="preserve">
</t>
        </r>
      </text>
    </comment>
  </commentList>
</comments>
</file>

<file path=xl/comments12.xml><?xml version="1.0" encoding="utf-8"?>
<comments xmlns="http://schemas.openxmlformats.org/spreadsheetml/2006/main">
  <authors>
    <author>Jaanus Uiga</author>
  </authors>
  <commentList>
    <comment ref="C9" authorId="0">
      <text>
        <r>
          <rPr>
            <b/>
            <sz val="9"/>
            <color indexed="81"/>
            <rFont val="Tahoma"/>
            <family val="2"/>
            <charset val="186"/>
          </rPr>
          <t>Põlevkiviõli tootmine - 1 tonnist kaubapõlevkivist saab 112456,4 kg põlevkiviõli</t>
        </r>
      </text>
    </comment>
    <comment ref="C16" authorId="0">
      <text>
        <r>
          <rPr>
            <b/>
            <sz val="9"/>
            <color indexed="81"/>
            <rFont val="Tahoma"/>
            <family val="2"/>
            <charset val="186"/>
          </rPr>
          <t>Põlevkiviõli tootmine - 1 tonnist kaubapõlevkivist saab 112456,4 kg põlevkiviõli</t>
        </r>
      </text>
    </comment>
  </commentList>
</comments>
</file>

<file path=xl/comments2.xml><?xml version="1.0" encoding="utf-8"?>
<comments xmlns="http://schemas.openxmlformats.org/spreadsheetml/2006/main">
  <authors>
    <author>Jaanus Uiga</author>
    <author>Madis Org</author>
  </authors>
  <commentList>
    <comment ref="B6" authorId="0">
      <text>
        <r>
          <rPr>
            <b/>
            <sz val="9"/>
            <color indexed="81"/>
            <rFont val="Tahoma"/>
            <family val="2"/>
            <charset val="186"/>
          </rPr>
          <t>Konkurentsivõime kava 2020:
Energia lõpptarbimine aastal 2020 on Eestis sama, mis 2010. aastal</t>
        </r>
        <r>
          <rPr>
            <sz val="9"/>
            <color indexed="81"/>
            <rFont val="Tahoma"/>
            <family val="2"/>
            <charset val="186"/>
          </rPr>
          <t xml:space="preserve">
</t>
        </r>
      </text>
    </comment>
    <comment ref="AE6" authorId="1">
      <text>
        <r>
          <rPr>
            <b/>
            <sz val="9"/>
            <color indexed="81"/>
            <rFont val="Tahoma"/>
            <family val="2"/>
            <charset val="186"/>
          </rPr>
          <t>võrdlusest eemaldatud teekaartide arv (kokku 135 teekaarti)</t>
        </r>
      </text>
    </comment>
    <comment ref="B7" authorId="0">
      <text>
        <r>
          <rPr>
            <b/>
            <sz val="9"/>
            <color indexed="81"/>
            <rFont val="Tahoma"/>
            <family val="2"/>
            <charset val="186"/>
          </rPr>
          <t>Aastaks 2030 peame vähendama kasvuhoonegaaside heitkogustega kauplemissüsteemi (non-ETS) väliseid heitmeid 10…23 % võrreldes 2005. aasta tasemega (5,65 mln t CO2 ekv)
Konkurentsivõime kava 2020:
Kasvuhoone heitgaasidega kauplemissüsteemi (non-ETS) väline KHG võib Eestis olla max 11% suurem 2005. aasta heitkogustest (5,65 mln t CO2 ekv)</t>
        </r>
        <r>
          <rPr>
            <sz val="9"/>
            <color indexed="81"/>
            <rFont val="Tahoma"/>
            <family val="2"/>
            <charset val="186"/>
          </rPr>
          <t xml:space="preserve">
 </t>
        </r>
      </text>
    </comment>
  </commentList>
</comments>
</file>

<file path=xl/comments3.xml><?xml version="1.0" encoding="utf-8"?>
<comments xmlns="http://schemas.openxmlformats.org/spreadsheetml/2006/main">
  <authors>
    <author>Jaanus</author>
    <author>Jaanus Uiga</author>
    <author>Madis Org</author>
  </authors>
  <commentList>
    <comment ref="D5" authorId="0">
      <text>
        <r>
          <rPr>
            <b/>
            <sz val="9"/>
            <color indexed="81"/>
            <rFont val="Tahoma"/>
            <family val="2"/>
            <charset val="186"/>
          </rPr>
          <t xml:space="preserve">Vaikimisi on kasutatud ENMAK2030 stsenaariumite majandusmõju hinnangus valitud kaale.
Mudeli kasutajal on võimalik kaalusid oma äranägemise järgi muuta!
Majandusnäitajate kaalumistegurid mõjutavaid vaid tulba "Majanduse konkurentsivõime koondindeks" arvutamist.
</t>
        </r>
      </text>
    </comment>
    <comment ref="D9" authorId="0">
      <text>
        <r>
          <rPr>
            <b/>
            <sz val="9"/>
            <color indexed="81"/>
            <rFont val="Tahoma"/>
            <family val="2"/>
            <charset val="186"/>
          </rPr>
          <t>SKP on majanduse seisundi mõõdikuna jätkuvalt enimkasutatud näitaja, mistõttu on see valitud ka indeksi juhtnäitajaks.</t>
        </r>
        <r>
          <rPr>
            <sz val="9"/>
            <color indexed="81"/>
            <rFont val="Tahoma"/>
            <family val="2"/>
            <charset val="186"/>
          </rPr>
          <t xml:space="preserve">
</t>
        </r>
      </text>
    </comment>
    <comment ref="D10" authorId="0">
      <text>
        <r>
          <rPr>
            <b/>
            <sz val="9"/>
            <color indexed="81"/>
            <rFont val="Tahoma"/>
            <family val="2"/>
            <charset val="186"/>
          </rPr>
          <t>Arvestades Eesti väliskaubanduse bilansi negatiivsust iseseisvuse ajal on väliskaubanduse saldo antud suhteliselt oluline kaal. 
Energiakandjate impordi vähenemine muudab majanduse vähem tundlikuks energiakandjate hinnamuutuste suhtes.</t>
        </r>
        <r>
          <rPr>
            <sz val="9"/>
            <color indexed="81"/>
            <rFont val="Tahoma"/>
            <family val="2"/>
            <charset val="186"/>
          </rPr>
          <t xml:space="preserve">
</t>
        </r>
      </text>
    </comment>
    <comment ref="D11" authorId="0">
      <text>
        <r>
          <rPr>
            <b/>
            <sz val="9"/>
            <color indexed="81"/>
            <rFont val="Tahoma"/>
            <family val="2"/>
            <charset val="186"/>
          </rPr>
          <t>Tööturu näitajaid on käsitletud nende koosmõjus, kuna ENMAK meetmete mõju tööviljakusele on keeruline välja tuua. Seetõttu on ka näitajatele eraldi suhteliselt väike kaal antud.</t>
        </r>
        <r>
          <rPr>
            <sz val="9"/>
            <color indexed="81"/>
            <rFont val="Tahoma"/>
            <family val="2"/>
            <charset val="186"/>
          </rPr>
          <t xml:space="preserve">
</t>
        </r>
      </text>
    </comment>
    <comment ref="AR12" authorId="1">
      <text>
        <r>
          <rPr>
            <b/>
            <sz val="9"/>
            <color indexed="81"/>
            <rFont val="Tahoma"/>
            <family val="2"/>
            <charset val="186"/>
          </rPr>
          <t>Konkurentsivõime kava 2020:
Energia lõpptarbimine aastal 2020 on Eestis sama, mis 2010. aastal</t>
        </r>
        <r>
          <rPr>
            <sz val="9"/>
            <color indexed="81"/>
            <rFont val="Tahoma"/>
            <family val="2"/>
            <charset val="186"/>
          </rPr>
          <t xml:space="preserve">
</t>
        </r>
      </text>
    </comment>
    <comment ref="BU12" authorId="2">
      <text>
        <r>
          <rPr>
            <b/>
            <sz val="9"/>
            <color indexed="81"/>
            <rFont val="Tahoma"/>
            <family val="2"/>
            <charset val="186"/>
          </rPr>
          <t>võrdlusest eemaldatud teekaartide arv (kokku 135 teekaarti)</t>
        </r>
      </text>
    </comment>
    <comment ref="AR13" authorId="1">
      <text>
        <r>
          <rPr>
            <b/>
            <sz val="9"/>
            <color indexed="81"/>
            <rFont val="Tahoma"/>
            <family val="2"/>
            <charset val="186"/>
          </rPr>
          <t>Aastaks 2030 peame vähendama kasvuhoonegaaside heitkogustega kauplemissüsteemi (non-ETS) väliseid heitmeid 10…23 % võrreldes 2005. aasta tasemega (5,65 mln t CO2 ekv)
Konkurentsivõime kava 2020:
Kasvuhoone heitgaasidega kauplemissüsteemi (non-ETS) väline KHG võib Eestis olla max 11% suurem 2005. aasta heitkogustest (5,65 mln t CO2 ekv)</t>
        </r>
        <r>
          <rPr>
            <sz val="9"/>
            <color indexed="81"/>
            <rFont val="Tahoma"/>
            <family val="2"/>
            <charset val="186"/>
          </rPr>
          <t xml:space="preserve">
 </t>
        </r>
      </text>
    </comment>
    <comment ref="D14" authorId="0">
      <text>
        <r>
          <rPr>
            <b/>
            <sz val="9"/>
            <color indexed="81"/>
            <rFont val="Tahoma"/>
            <family val="2"/>
            <charset val="186"/>
          </rPr>
          <t>Energiamahukuse vähendamine on ENMAK peamisi eesmärke ja majanduse konkurentsivõime tugevdaja.</t>
        </r>
        <r>
          <rPr>
            <sz val="9"/>
            <color indexed="81"/>
            <rFont val="Tahoma"/>
            <family val="2"/>
            <charset val="186"/>
          </rPr>
          <t xml:space="preserve">
</t>
        </r>
      </text>
    </comment>
    <comment ref="D15" authorId="0">
      <text>
        <r>
          <rPr>
            <b/>
            <sz val="9"/>
            <color indexed="81"/>
            <rFont val="Tahoma"/>
            <family val="2"/>
            <charset val="186"/>
          </rPr>
          <t>Fossiilsed kütused on Eestis täna domineerivad energiaallikad. Nende impordist sõltuvad suuresti transport ja soojamajandus (maagaas). Seetõttu on nii energiamahukuse kui ka energiasõltuvuse seisukohalt fossiilsete kütuste tarbimise vähenemine väga oluline.</t>
        </r>
        <r>
          <rPr>
            <sz val="9"/>
            <color indexed="81"/>
            <rFont val="Tahoma"/>
            <family val="2"/>
            <charset val="186"/>
          </rPr>
          <t xml:space="preserve">
</t>
        </r>
      </text>
    </comment>
    <comment ref="D16" authorId="0">
      <text>
        <r>
          <rPr>
            <b/>
            <sz val="9"/>
            <color indexed="81"/>
            <rFont val="Tahoma"/>
            <family val="2"/>
            <charset val="186"/>
          </rPr>
          <t>Oluline on vähendada energiatarbimist just sellisel viisil, et vähendaks koormust keskkonnale, seetõttu on ressursimahukuse
indeksisse toodud ka keskkonnamõõdik.</t>
        </r>
        <r>
          <rPr>
            <sz val="9"/>
            <color indexed="81"/>
            <rFont val="Tahoma"/>
            <family val="2"/>
            <charset val="186"/>
          </rPr>
          <t xml:space="preserve">
</t>
        </r>
      </text>
    </comment>
    <comment ref="AR17" authorId="1">
      <text>
        <r>
          <rPr>
            <b/>
            <sz val="9"/>
            <color indexed="81"/>
            <rFont val="Tahoma"/>
            <family val="2"/>
            <charset val="186"/>
          </rPr>
          <t>Indikatiivne piirkogus määratakse 2005. aasta tasemest (35 900 t/a)</t>
        </r>
      </text>
    </comment>
    <comment ref="AR18" authorId="1">
      <text>
        <r>
          <rPr>
            <b/>
            <sz val="9"/>
            <color indexed="81"/>
            <rFont val="Tahoma"/>
            <family val="2"/>
            <charset val="186"/>
          </rPr>
          <t>Indikatiivne piirkogus määratakse 2005. aasta tasemest (76 300 t/a)</t>
        </r>
        <r>
          <rPr>
            <sz val="9"/>
            <color indexed="81"/>
            <rFont val="Tahoma"/>
            <family val="2"/>
            <charset val="186"/>
          </rPr>
          <t xml:space="preserve">
</t>
        </r>
      </text>
    </comment>
    <comment ref="AR19" authorId="1">
      <text>
        <r>
          <rPr>
            <b/>
            <sz val="9"/>
            <color indexed="81"/>
            <rFont val="Tahoma"/>
            <family val="2"/>
            <charset val="186"/>
          </rPr>
          <t>Lenduvad orgaanilised ühendid - Indikatiivne piirkogus määratakse 2005. aasta tasemest (41 200 t/a)</t>
        </r>
        <r>
          <rPr>
            <sz val="9"/>
            <color indexed="81"/>
            <rFont val="Tahoma"/>
            <family val="2"/>
            <charset val="186"/>
          </rPr>
          <t xml:space="preserve">
</t>
        </r>
      </text>
    </comment>
    <comment ref="AR20" authorId="1">
      <text>
        <r>
          <rPr>
            <b/>
            <sz val="9"/>
            <color indexed="81"/>
            <rFont val="Tahoma"/>
            <family val="2"/>
            <charset val="186"/>
          </rPr>
          <t>Indikatiivne piirkogus määratakse 2005. aasta tasemest (35 900 t/a)</t>
        </r>
        <r>
          <rPr>
            <sz val="9"/>
            <color indexed="81"/>
            <rFont val="Tahoma"/>
            <family val="2"/>
            <charset val="186"/>
          </rPr>
          <t xml:space="preserve">
</t>
        </r>
      </text>
    </comment>
    <comment ref="U21" authorId="1">
      <text>
        <r>
          <rPr>
            <b/>
            <sz val="9"/>
            <color indexed="81"/>
            <rFont val="Tahoma"/>
            <family val="2"/>
            <charset val="186"/>
          </rPr>
          <t>Näitab, millise järjekorranumbriga tulbast andmed pärinevad. 
NB! Järjestamine toimub sõltuvalt sorteerimisaluse valikust.</t>
        </r>
      </text>
    </comment>
    <comment ref="F23" authorId="0">
      <text>
        <r>
          <rPr>
            <b/>
            <sz val="9"/>
            <color indexed="81"/>
            <rFont val="Tahoma"/>
            <family val="2"/>
            <charset val="186"/>
          </rPr>
          <t>Järjesta kombinatsioonide tulemused kahanevas "↓" või kasvavas "↑" järjekorras.
NB! Korraga saab aktiivne olla vaid üks sorteerimisalus!</t>
        </r>
      </text>
    </comment>
    <comment ref="AB24" authorId="2">
      <text>
        <r>
          <rPr>
            <b/>
            <sz val="9"/>
            <color indexed="81"/>
            <rFont val="Tahoma"/>
            <family val="2"/>
            <charset val="186"/>
          </rPr>
          <t xml:space="preserve">Lokk, A., Grünvald, O. ENMAK 2030 majandusmõjude analüüs.
Majanduse konkurentsivõime koondindeks
</t>
        </r>
        <r>
          <rPr>
            <sz val="9"/>
            <color indexed="81"/>
            <rFont val="Tahoma"/>
            <family val="2"/>
            <charset val="186"/>
          </rPr>
          <t xml:space="preserve">
Konkurentsivõime seisukohalt on parim selline tegevus, kus majanduse energiamahukust vähendatakse ja riigi energiajulgeolekut suurendatakse majanduse seisundile positiivset või võimalikult väikest negatiivset mõju avaldades</t>
        </r>
      </text>
    </comment>
    <comment ref="AG24" authorId="2">
      <text>
        <r>
          <rPr>
            <b/>
            <sz val="9"/>
            <color indexed="81"/>
            <rFont val="Tahoma"/>
            <family val="2"/>
            <charset val="186"/>
          </rPr>
          <t>Lokk, A., Grünvald, O. ENMAK 2030 majandusmõjude analüüs.
SKP keskmine aastane muutus turuhindades 2015...2030 võrreldes BAAS-stsenaariumiga (mittesekkuv/liberal), mln €/a (reaalmudel)
Hooned/Soojus
Transport
Elekter
Võrgud
Biokütused</t>
        </r>
      </text>
    </comment>
    <comment ref="AL24" authorId="2">
      <text>
        <r>
          <rPr>
            <b/>
            <sz val="9"/>
            <color indexed="81"/>
            <rFont val="Tahoma"/>
            <family val="2"/>
            <charset val="186"/>
          </rPr>
          <t>Riigisektori keskmine aasane tulu/kulu perioodil 2015…2030:
+Riigi tegevuste maksumus
+Maksutulu laekumine
+Rahas mõõdetavad välismõjud (kui on valitud)</t>
        </r>
        <r>
          <rPr>
            <sz val="9"/>
            <color indexed="81"/>
            <rFont val="Tahoma"/>
            <family val="2"/>
            <charset val="186"/>
          </rPr>
          <t xml:space="preserve">
</t>
        </r>
      </text>
    </comment>
    <comment ref="AQ24" authorId="2">
      <text>
        <r>
          <rPr>
            <b/>
            <sz val="9"/>
            <color indexed="81"/>
            <rFont val="Tahoma"/>
            <family val="2"/>
            <charset val="186"/>
          </rPr>
          <t>Riigisektori keskmised aastased kulud perioodil 2015…2030 võrreldes BAAS-stsenaariumiga:
Hooned/soojus
Transport
Kütused
Elekter
Võrgud</t>
        </r>
      </text>
    </comment>
    <comment ref="AU24" authorId="1">
      <text>
        <r>
          <rPr>
            <b/>
            <sz val="9"/>
            <color indexed="81"/>
            <rFont val="Tahoma"/>
            <family val="2"/>
            <charset val="186"/>
          </rPr>
          <t>Riigisektori keskmised aastased tulud perioodil 2015…2030 võrreldes BAAS-stsenaariumiga:
Hooned/soojus
Transport
Kütused
Elekter
Võrgud</t>
        </r>
      </text>
    </comment>
    <comment ref="AY24" authorId="2">
      <text>
        <r>
          <rPr>
            <b/>
            <sz val="9"/>
            <color indexed="81"/>
            <rFont val="Tahoma"/>
            <family val="2"/>
            <charset val="186"/>
          </rPr>
          <t xml:space="preserve">Rahas kvanitfitseeritud keskmised aastased välismõjud 2015…2030:
+ hoonete sisekliimast tulenev tervisemõju
+ transpordisektori tervisemõju
+ elektrivõrkudega seotud positiivne mõju (katkestused + elektrisääst)
- CO2 väliskulu seoses siseriikliku tarbimisega seotud kütustega (transport, elektritootmine)
</t>
        </r>
      </text>
    </comment>
    <comment ref="BC24" authorId="2">
      <text>
        <r>
          <rPr>
            <b/>
            <sz val="9"/>
            <color indexed="81"/>
            <rFont val="Tahoma"/>
            <family val="2"/>
            <charset val="186"/>
          </rPr>
          <t>[Primaarenergia kasutamisest]
= 
(imporditavatest kütustest elekter 
+ imporditavad mootorikütused 
+ imporditavatest kütustest soojus
+ imporditud elekter
- eksporditud kütused)
 / 
kogu tarbitava kütuste (elektritootmine, soojus, transport) kogusega</t>
        </r>
      </text>
    </comment>
    <comment ref="BG24" authorId="2">
      <text>
        <r>
          <rPr>
            <b/>
            <sz val="9"/>
            <color indexed="81"/>
            <rFont val="Tahoma"/>
            <family val="2"/>
            <charset val="186"/>
          </rPr>
          <t>Katkestusaeg tarbimiskohale aastas (SAIDI), minutit</t>
        </r>
      </text>
    </comment>
    <comment ref="BK24" authorId="0">
      <text>
        <r>
          <rPr>
            <b/>
            <sz val="9"/>
            <color indexed="81"/>
            <rFont val="Tahoma"/>
            <family val="2"/>
            <charset val="186"/>
          </rPr>
          <t>Imporditud transpordikütuste osakaal kasutatavatest transpordikütustest lähtuvalt transpordistsenaariumites tehtud tarbimisprognoosidele ning biokütuste tootmise stsenaariumites tehtud tootmisprognoosidele</t>
        </r>
        <r>
          <rPr>
            <sz val="9"/>
            <color indexed="81"/>
            <rFont val="Tahoma"/>
            <family val="2"/>
            <charset val="186"/>
          </rPr>
          <t xml:space="preserve">
</t>
        </r>
      </text>
    </comment>
    <comment ref="BS24" authorId="1">
      <text>
        <r>
          <rPr>
            <b/>
            <sz val="9"/>
            <color indexed="81"/>
            <rFont val="Tahoma"/>
            <family val="2"/>
            <charset val="186"/>
          </rPr>
          <t>Taastuvenergia osakaal primaarenergia tarbimisest</t>
        </r>
      </text>
    </comment>
    <comment ref="BW24" authorId="1">
      <text>
        <r>
          <rPr>
            <b/>
            <sz val="9"/>
            <color indexed="81"/>
            <rFont val="Tahoma"/>
            <family val="2"/>
            <charset val="186"/>
          </rPr>
          <t>Sisemaine kohalike kütuste tarbimine +  imporditavad kütused/elekter - eksporditavad kütused</t>
        </r>
      </text>
    </comment>
    <comment ref="CM24" authorId="2">
      <text>
        <r>
          <rPr>
            <b/>
            <sz val="9"/>
            <color indexed="81"/>
            <rFont val="Tahoma"/>
            <family val="2"/>
            <charset val="186"/>
          </rPr>
          <t>Majandusmõjuhinnangu uuring (O. Grünvald; A. Lokk 2014):
% muutus inimese kohta võrreldes BAAS-stsenaariumiga (mittesekkuv/LIBERAL)</t>
        </r>
      </text>
    </comment>
    <comment ref="CQ24" authorId="2">
      <text>
        <r>
          <rPr>
            <b/>
            <sz val="9"/>
            <color indexed="81"/>
            <rFont val="Tahoma"/>
            <family val="2"/>
            <charset val="186"/>
          </rPr>
          <t>Majandusmõjuhinnangu uuring (O. Grünvald; A. Lokk 2014):
% muutus inimese kohta võrreldes BAAS-stsenaariumiga (mittesekkuv/LIBERAL)</t>
        </r>
      </text>
    </comment>
    <comment ref="CU24" authorId="2">
      <text>
        <r>
          <rPr>
            <b/>
            <sz val="9"/>
            <color indexed="81"/>
            <rFont val="Tahoma"/>
            <family val="2"/>
            <charset val="186"/>
          </rPr>
          <t>Majandusmõjuhinnangu uuring (O. Grünvald; A. Lokk 2014):
% muutus inimese kohta võrreldes BAAS-stsenaariumiga (mittesekkuv/LIBERAL)</t>
        </r>
      </text>
    </comment>
    <comment ref="CY24" authorId="2">
      <text>
        <r>
          <rPr>
            <b/>
            <sz val="9"/>
            <color indexed="81"/>
            <rFont val="Tahoma"/>
            <family val="2"/>
            <charset val="186"/>
          </rPr>
          <t>Majandusmõjuhinnangu uuring (O. Grünvald; A. Lokk 2014):
% muutus inimese kohta võrreldes BAAS-stsenaariumiga (mittesekkuv/LIBERAL)</t>
        </r>
      </text>
    </comment>
    <comment ref="DC24" authorId="2">
      <text>
        <r>
          <rPr>
            <b/>
            <sz val="9"/>
            <color indexed="81"/>
            <rFont val="Tahoma"/>
            <family val="2"/>
            <charset val="186"/>
          </rPr>
          <t>Eesti Keskkonnauuringute Keskuse analüüs (2014)
Eriti peened osakesed, 1000 t/a</t>
        </r>
      </text>
    </comment>
    <comment ref="DG24" authorId="1">
      <text>
        <r>
          <rPr>
            <b/>
            <sz val="9"/>
            <color indexed="81"/>
            <rFont val="Tahoma"/>
            <family val="2"/>
            <charset val="186"/>
          </rPr>
          <t>Tööhõive muutus ENMAK stsenaariumite mõjul, in/a</t>
        </r>
      </text>
    </comment>
    <comment ref="DK24" authorId="2">
      <text>
        <r>
          <rPr>
            <b/>
            <sz val="9"/>
            <color indexed="81"/>
            <rFont val="Tahoma"/>
            <family val="2"/>
            <charset val="186"/>
          </rPr>
          <t xml:space="preserve">J. Laht - Analüüs programmis Simapro
DALY – tervisekadu ehk haiguskoormus (inglise k.  </t>
        </r>
        <r>
          <rPr>
            <b/>
            <i/>
            <sz val="9"/>
            <color indexed="81"/>
            <rFont val="Tahoma"/>
            <family val="2"/>
            <charset val="186"/>
          </rPr>
          <t>disability-adjusted life years</t>
        </r>
        <r>
          <rPr>
            <b/>
            <sz val="9"/>
            <color indexed="81"/>
            <rFont val="Tahoma"/>
            <family val="2"/>
            <charset val="186"/>
          </rPr>
          <t xml:space="preserve">). 
</t>
        </r>
        <r>
          <rPr>
            <sz val="9"/>
            <color indexed="81"/>
            <rFont val="Tahoma"/>
            <family val="2"/>
            <charset val="186"/>
          </rPr>
          <t>Terminiga “haiguskoormus” tähistatakse kaotust rahva tervises, mida väljendab surmade tõttu kaotatud eluaastate ning haigestumise ja välispõhjuste tõttu vähenenud täie tervise juures elatud eluaastate  koguarv.</t>
        </r>
        <r>
          <rPr>
            <b/>
            <sz val="9"/>
            <color indexed="81"/>
            <rFont val="Tahoma"/>
            <family val="2"/>
            <charset val="186"/>
          </rPr>
          <t xml:space="preserve"> 
DALY = kaotus suremusest + kaotus haigestumisest
</t>
        </r>
      </text>
    </comment>
    <comment ref="DO24" authorId="2">
      <text>
        <r>
          <rPr>
            <b/>
            <sz val="9"/>
            <color indexed="81"/>
            <rFont val="Tahoma"/>
            <family val="2"/>
            <charset val="186"/>
          </rPr>
          <t>Majandusmõjuhinnangu uuring (O. Grünvald; A. Lokk 2014):
% muutus SKP kohta võrreldes BAAS-stsenaariumiga (mittesekkuv/LIBERAL)</t>
        </r>
      </text>
    </comment>
    <comment ref="DS24" authorId="2">
      <text>
        <r>
          <rPr>
            <b/>
            <sz val="9"/>
            <color indexed="81"/>
            <rFont val="Tahoma"/>
            <family val="2"/>
            <charset val="186"/>
          </rPr>
          <t>Majandusmõjuhinnangu uuring (O. Grünvald; A. Lokk 2014):
% muutus SKP kohta võrreldes BAAS-stsenaariumiga (mittesekkuv/LIBERAL)</t>
        </r>
      </text>
    </comment>
    <comment ref="DW24" authorId="2">
      <text>
        <r>
          <rPr>
            <b/>
            <sz val="9"/>
            <color indexed="81"/>
            <rFont val="Tahoma"/>
            <family val="2"/>
            <charset val="186"/>
          </rPr>
          <t>Majandusmõjuhinnangu uuring (O. Grünvald; A. Lokk 2014):
% muutus SKP kohta võrreldes BAAS-stsenaariumiga (mittesekkuv/LIBERAL)</t>
        </r>
      </text>
    </comment>
    <comment ref="EA24" authorId="2">
      <text>
        <r>
          <rPr>
            <b/>
            <sz val="9"/>
            <color indexed="81"/>
            <rFont val="Tahoma"/>
            <family val="2"/>
            <charset val="186"/>
          </rPr>
          <t>Eesti Keskkonnauuringute Keskuse analüüs (2014)
Kasvuhoonegaaside heitkogused, 1000 000 t/a</t>
        </r>
      </text>
    </comment>
    <comment ref="EE24" authorId="1">
      <text>
        <r>
          <rPr>
            <b/>
            <sz val="9"/>
            <color indexed="81"/>
            <rFont val="Tahoma"/>
            <family val="2"/>
            <charset val="186"/>
          </rPr>
          <t>Eesti Keskkonnauuringute Keskuse analüüs (2014)
Kasvuhoonegaaside heitkogused European Emissions Trading Scheme-ga liitunud põletusseadmetest, 1000 000 t/a</t>
        </r>
        <r>
          <rPr>
            <sz val="9"/>
            <color indexed="81"/>
            <rFont val="Tahoma"/>
            <family val="2"/>
            <charset val="186"/>
          </rPr>
          <t xml:space="preserve">
</t>
        </r>
      </text>
    </comment>
    <comment ref="EI24" authorId="1">
      <text>
        <r>
          <rPr>
            <b/>
            <sz val="9"/>
            <color indexed="81"/>
            <rFont val="Tahoma"/>
            <family val="2"/>
            <charset val="186"/>
          </rPr>
          <t>Eesti Keskkonnauuringute Keskuse analüüs (2014)
Hõlmatud Non-ETS sektorid: transport, energiatoortmine väiksema võimsusega kui 20MW</t>
        </r>
      </text>
    </comment>
    <comment ref="EM24" authorId="2">
      <text>
        <r>
          <rPr>
            <b/>
            <sz val="9"/>
            <color indexed="81"/>
            <rFont val="Tahoma"/>
            <family val="2"/>
            <charset val="186"/>
          </rPr>
          <t>Eesti Keskkonnauuringute Keskuse analüüs (2014)
Lämmastikoksiidide heitkogused, 1000 t/a</t>
        </r>
      </text>
    </comment>
    <comment ref="EQ24" authorId="2">
      <text>
        <r>
          <rPr>
            <b/>
            <sz val="9"/>
            <color indexed="81"/>
            <rFont val="Tahoma"/>
            <family val="2"/>
            <charset val="186"/>
          </rPr>
          <t>Eesti Keskkonnauuringute Keskuse analüüs (2014)
Vääveldioksiidide heitkogused, 1000 t/a</t>
        </r>
      </text>
    </comment>
    <comment ref="EU24" authorId="0">
      <text>
        <r>
          <rPr>
            <b/>
            <sz val="9"/>
            <color indexed="81"/>
            <rFont val="Segoe UI"/>
            <family val="2"/>
            <charset val="186"/>
          </rPr>
          <t>Kütuste tarbimine soojuse ja elektri tootmiseks ning transpordisektoris + põlevkiviõli tootmise keskkonnamõju PK&amp;UG stsenaariumi rakendumisel</t>
        </r>
      </text>
    </comment>
    <comment ref="EY24" authorId="2">
      <text>
        <r>
          <rPr>
            <b/>
            <sz val="9"/>
            <color indexed="81"/>
            <rFont val="Tahoma"/>
            <family val="2"/>
            <charset val="186"/>
          </rPr>
          <t xml:space="preserve">J. Laht - Analüüs programmis Simapro
PDF*m2*y- potentsiaalselt hävimisohus olevate liikide indeks (inglise k.  </t>
        </r>
        <r>
          <rPr>
            <b/>
            <i/>
            <sz val="9"/>
            <color indexed="81"/>
            <rFont val="Tahoma"/>
            <family val="2"/>
            <charset val="186"/>
          </rPr>
          <t>potentially  disappeared fraction 
of  species</t>
        </r>
        <r>
          <rPr>
            <b/>
            <sz val="9"/>
            <color indexed="81"/>
            <rFont val="Tahoma"/>
            <family val="2"/>
            <charset val="186"/>
          </rPr>
          <t xml:space="preserve">).  
</t>
        </r>
        <r>
          <rPr>
            <sz val="9"/>
            <color indexed="81"/>
            <rFont val="Tahoma"/>
            <family val="2"/>
            <charset val="186"/>
          </rPr>
          <t xml:space="preserve">Näiteks  PDF  =  0,2  tähendab,  et  ühe  (1)  aasta  jooksul  kaob  keskmiselt  20% liikidest ühe (1) m2 Maa pinna kohta. </t>
        </r>
      </text>
    </comment>
    <comment ref="FG24" authorId="2">
      <text>
        <r>
          <rPr>
            <b/>
            <sz val="9"/>
            <color indexed="81"/>
            <rFont val="Tahoma"/>
            <family val="2"/>
            <charset val="186"/>
          </rPr>
          <t>J. Laht - Analüüs programmis Simapro
Ressursid, mida kasutatakse kohalike kütuste tootmisel, energia tootmisel ja tehnoloogiate tootmise, TWh</t>
        </r>
      </text>
    </comment>
    <comment ref="FK24" authorId="2">
      <text>
        <r>
          <rPr>
            <b/>
            <sz val="9"/>
            <color indexed="81"/>
            <rFont val="Tahoma"/>
            <family val="2"/>
            <charset val="186"/>
          </rPr>
          <t>J. Laht - Analüüs programmis Simapro
1000 000 PT
Inimtervise, ökosüsteemi kvaliteedi, globaalse soojenemise ning ressursside ammendumise kogumõju, mis on leitud EL-i keskmisega normaliseerimisel</t>
        </r>
      </text>
    </comment>
    <comment ref="FO24" authorId="2">
      <text>
        <r>
          <rPr>
            <b/>
            <sz val="9"/>
            <color indexed="81"/>
            <rFont val="Tahoma"/>
            <family val="2"/>
            <charset val="186"/>
          </rPr>
          <t>Orru, H.
Üle 30-aastaste seas esinevate enneagsete surmajuhtude arv</t>
        </r>
      </text>
    </comment>
    <comment ref="EI26" authorId="1">
      <text>
        <r>
          <rPr>
            <b/>
            <sz val="9"/>
            <color indexed="81"/>
            <rFont val="Tahoma"/>
            <family val="2"/>
            <charset val="186"/>
          </rPr>
          <t>Kogu non-ETS 2012. aastal:
Transport
Energiatootmine &lt;20 MW
Põllumajandus
Jäätmemajandus
Tööstuslikud protsessid
Lahustite kasutamine</t>
        </r>
      </text>
    </comment>
    <comment ref="A31" authorId="2">
      <text>
        <r>
          <rPr>
            <b/>
            <sz val="9"/>
            <color indexed="81"/>
            <rFont val="Tahoma"/>
            <family val="2"/>
            <charset val="186"/>
          </rPr>
          <t xml:space="preserve">
Järgmiste kombinatsioonide kuvamiseks vajuta vasakul pool asuvale "+" märgile</t>
        </r>
      </text>
    </comment>
    <comment ref="A39" authorId="2">
      <text>
        <r>
          <rPr>
            <b/>
            <sz val="9"/>
            <color indexed="81"/>
            <rFont val="Tahoma"/>
            <family val="2"/>
            <charset val="186"/>
          </rPr>
          <t xml:space="preserve">
Järgmiste kombinatsioonide kuvamiseks vajuta vasakul pool asuvale "+" märgile</t>
        </r>
      </text>
    </comment>
  </commentList>
</comments>
</file>

<file path=xl/comments4.xml><?xml version="1.0" encoding="utf-8"?>
<comments xmlns="http://schemas.openxmlformats.org/spreadsheetml/2006/main">
  <authors>
    <author>Jaanus Uiga</author>
  </authors>
  <commentList>
    <comment ref="D2" authorId="0">
      <text>
        <r>
          <rPr>
            <b/>
            <sz val="9"/>
            <color indexed="81"/>
            <rFont val="Tahoma"/>
            <family val="2"/>
            <charset val="186"/>
          </rPr>
          <t>Järjestusalus 
0 - suurimast väikseimani
1 - vähimast väärtusest suurimani</t>
        </r>
      </text>
    </comment>
    <comment ref="D3" authorId="0">
      <text>
        <r>
          <rPr>
            <b/>
            <sz val="9"/>
            <color indexed="81"/>
            <rFont val="Tahoma"/>
            <family val="2"/>
            <charset val="186"/>
          </rPr>
          <t>Tulba nr töölehel KOMBI</t>
        </r>
      </text>
    </comment>
    <comment ref="BA3" authorId="0">
      <text>
        <r>
          <rPr>
            <b/>
            <sz val="9"/>
            <color indexed="81"/>
            <rFont val="Tahoma"/>
            <family val="2"/>
            <charset val="186"/>
          </rPr>
          <t>Tulba nr töölehel KOMBI</t>
        </r>
      </text>
    </comment>
  </commentList>
</comments>
</file>

<file path=xl/comments5.xml><?xml version="1.0" encoding="utf-8"?>
<comments xmlns="http://schemas.openxmlformats.org/spreadsheetml/2006/main">
  <authors>
    <author>Jaanus Uiga</author>
  </authors>
  <commentList>
    <comment ref="AR10" authorId="0">
      <text>
        <r>
          <rPr>
            <b/>
            <sz val="9"/>
            <color indexed="81"/>
            <rFont val="Tahoma"/>
            <family val="2"/>
            <charset val="186"/>
          </rPr>
          <t>Uttegaasi, põlevkivi ja põlevkiviõli kasutamine energia tootmiseks</t>
        </r>
      </text>
    </comment>
    <comment ref="AS10" authorId="0">
      <text>
        <r>
          <rPr>
            <b/>
            <sz val="9"/>
            <color indexed="81"/>
            <rFont val="Tahoma"/>
            <family val="2"/>
            <charset val="186"/>
          </rPr>
          <t>Uttegaas ja põlevkiviõli võetakse arvesse eraldi</t>
        </r>
      </text>
    </comment>
  </commentList>
</comments>
</file>

<file path=xl/comments6.xml><?xml version="1.0" encoding="utf-8"?>
<comments xmlns="http://schemas.openxmlformats.org/spreadsheetml/2006/main">
  <authors>
    <author>Jaanus Uiga</author>
  </authors>
  <commentList>
    <comment ref="C82" authorId="0">
      <text>
        <r>
          <rPr>
            <b/>
            <sz val="9"/>
            <color indexed="81"/>
            <rFont val="Tahoma"/>
            <family val="2"/>
            <charset val="186"/>
          </rPr>
          <t>Kivisüsi ja maagaas võetakse osaliselt  arvesse töölehel VK-Elekter</t>
        </r>
      </text>
    </comment>
    <comment ref="C85" authorId="0">
      <text>
        <r>
          <rPr>
            <b/>
            <sz val="9"/>
            <color indexed="81"/>
            <rFont val="Tahoma"/>
            <family val="2"/>
            <charset val="186"/>
          </rPr>
          <t>Kivisüsi ja Uttegaas võetakse arvesse töölehel VK-Elekter</t>
        </r>
      </text>
    </comment>
    <comment ref="C89" authorId="0">
      <text>
        <r>
          <rPr>
            <b/>
            <sz val="9"/>
            <color indexed="81"/>
            <rFont val="Tahoma"/>
            <family val="2"/>
            <charset val="186"/>
          </rPr>
          <t>Kivisüsi ja maagaas võetakse osaliselt  arvesse töölehel VK-Elekter</t>
        </r>
      </text>
    </comment>
    <comment ref="C92" authorId="0">
      <text>
        <r>
          <rPr>
            <b/>
            <sz val="9"/>
            <color indexed="81"/>
            <rFont val="Tahoma"/>
            <family val="2"/>
            <charset val="186"/>
          </rPr>
          <t>Kivisüsi ja Uttegaas võetakse arvesse töölehel VK-Elekter</t>
        </r>
      </text>
    </comment>
    <comment ref="C95" authorId="0">
      <text>
        <r>
          <rPr>
            <b/>
            <sz val="9"/>
            <color indexed="81"/>
            <rFont val="Tahoma"/>
            <family val="2"/>
            <charset val="186"/>
          </rPr>
          <t>Kivisüsi võetakse arvesse töölehel VK-Elekter</t>
        </r>
      </text>
    </comment>
    <comment ref="C96" authorId="0">
      <text>
        <r>
          <rPr>
            <b/>
            <sz val="9"/>
            <color indexed="81"/>
            <rFont val="Tahoma"/>
            <family val="2"/>
            <charset val="186"/>
          </rPr>
          <t>Jaanus Uiga:</t>
        </r>
        <r>
          <rPr>
            <sz val="9"/>
            <color indexed="81"/>
            <rFont val="Tahoma"/>
            <family val="2"/>
            <charset val="186"/>
          </rPr>
          <t xml:space="preserve">
Kütteväärtused vastavalt Soojusmajanduse stsenaariumite tulemustele</t>
        </r>
      </text>
    </comment>
    <comment ref="C97" authorId="0">
      <text>
        <r>
          <rPr>
            <b/>
            <sz val="9"/>
            <color indexed="81"/>
            <rFont val="Tahoma"/>
            <family val="2"/>
            <charset val="186"/>
          </rPr>
          <t>Jaanus Uiga:</t>
        </r>
        <r>
          <rPr>
            <sz val="9"/>
            <color indexed="81"/>
            <rFont val="Tahoma"/>
            <family val="2"/>
            <charset val="186"/>
          </rPr>
          <t xml:space="preserve">
2 MWh/tm - http://www.energiatalgud.ee/img_auth.php/3/3f/Energy_resources_ENG_ENMAK_uusmets_140213.pdf </t>
        </r>
      </text>
    </comment>
    <comment ref="C98" authorId="0">
      <text>
        <r>
          <rPr>
            <b/>
            <sz val="9"/>
            <color indexed="81"/>
            <rFont val="Tahoma"/>
            <family val="2"/>
            <charset val="186"/>
          </rPr>
          <t>Jaanus Uiga:</t>
        </r>
        <r>
          <rPr>
            <sz val="9"/>
            <color indexed="81"/>
            <rFont val="Tahoma"/>
            <family val="2"/>
            <charset val="186"/>
          </rPr>
          <t xml:space="preserve">
Kütteväärtused vastavalt Soojusmajanduse stsenaariumite tulemustele</t>
        </r>
      </text>
    </comment>
    <comment ref="C99" authorId="0">
      <text>
        <r>
          <rPr>
            <b/>
            <sz val="9"/>
            <color indexed="81"/>
            <rFont val="Tahoma"/>
            <family val="2"/>
            <charset val="186"/>
          </rPr>
          <t>Jaanus Uiga:</t>
        </r>
        <r>
          <rPr>
            <sz val="9"/>
            <color indexed="81"/>
            <rFont val="Tahoma"/>
            <family val="2"/>
            <charset val="186"/>
          </rPr>
          <t xml:space="preserve">
2 MWh/tm - http://www.energiatalgud.ee/img_auth.php/3/3f/Energy_resources_ENG_ENMAK_uusmets_140213.pdf </t>
        </r>
      </text>
    </comment>
    <comment ref="C101" authorId="0">
      <text>
        <r>
          <rPr>
            <b/>
            <sz val="9"/>
            <color indexed="81"/>
            <rFont val="Tahoma"/>
            <family val="2"/>
            <charset val="186"/>
          </rPr>
          <t>Uttegaasi kasutamine võetakse arvesse töölehel VK-Elekter</t>
        </r>
      </text>
    </comment>
    <comment ref="C102" authorId="0">
      <text>
        <r>
          <rPr>
            <b/>
            <sz val="9"/>
            <color indexed="81"/>
            <rFont val="Tahoma"/>
            <family val="2"/>
            <charset val="186"/>
          </rPr>
          <t>Põlevkivi võetakse arvesse töölehel KOMBI
Kivisüsi võetakse arvesse töölehel VK-Elekter</t>
        </r>
      </text>
    </comment>
  </commentList>
</comments>
</file>

<file path=xl/comments7.xml><?xml version="1.0" encoding="utf-8"?>
<comments xmlns="http://schemas.openxmlformats.org/spreadsheetml/2006/main">
  <authors>
    <author>Jaanus Uiga</author>
  </authors>
  <commentList>
    <comment ref="C34" authorId="0">
      <text>
        <r>
          <rPr>
            <b/>
            <sz val="9"/>
            <color indexed="81"/>
            <rFont val="Tahoma"/>
            <family val="2"/>
            <charset val="186"/>
          </rPr>
          <t xml:space="preserve">Elekter võetakse arvesse Elektri töölehel
</t>
        </r>
      </text>
    </comment>
  </commentList>
</comments>
</file>

<file path=xl/comments8.xml><?xml version="1.0" encoding="utf-8"?>
<comments xmlns="http://schemas.openxmlformats.org/spreadsheetml/2006/main">
  <authors>
    <author>Jaanus</author>
    <author>Jaanus Uiga</author>
  </authors>
  <commentList>
    <comment ref="C52" authorId="0">
      <text>
        <r>
          <rPr>
            <b/>
            <sz val="9"/>
            <color indexed="81"/>
            <rFont val="Segoe UI"/>
            <family val="2"/>
            <charset val="186"/>
          </rPr>
          <t>Maagaas võetakse arvesse töölehel VK_Hooned-Soojus</t>
        </r>
      </text>
    </comment>
    <comment ref="C53" authorId="0">
      <text>
        <r>
          <rPr>
            <b/>
            <sz val="9"/>
            <color indexed="81"/>
            <rFont val="Segoe UI"/>
            <family val="2"/>
            <charset val="186"/>
          </rPr>
          <t>Biomass koostootmises võetakse arvesse töölehel VK-Hooned-Soojus</t>
        </r>
      </text>
    </comment>
    <comment ref="C58" authorId="0">
      <text>
        <r>
          <rPr>
            <b/>
            <sz val="9"/>
            <color indexed="81"/>
            <rFont val="Segoe UI"/>
            <family val="2"/>
            <charset val="186"/>
          </rPr>
          <t>Maagaas võetakse arvesse töölehel VK_Hooned-Soojus</t>
        </r>
      </text>
    </comment>
    <comment ref="C59" authorId="0">
      <text>
        <r>
          <rPr>
            <b/>
            <sz val="9"/>
            <color indexed="81"/>
            <rFont val="Segoe UI"/>
            <family val="2"/>
            <charset val="186"/>
          </rPr>
          <t>Biomass koostootmises võetakse arvesse töölehel VK-Hooned-Soojus</t>
        </r>
      </text>
    </comment>
    <comment ref="C60" authorId="1">
      <text>
        <r>
          <rPr>
            <b/>
            <sz val="9"/>
            <color indexed="81"/>
            <rFont val="Tahoma"/>
            <family val="2"/>
            <charset val="186"/>
          </rPr>
          <t>Maagaas võetakse arvesse töölehel VK-Hooned-Soojus</t>
        </r>
      </text>
    </comment>
    <comment ref="C63" authorId="1">
      <text>
        <r>
          <rPr>
            <b/>
            <sz val="9"/>
            <color indexed="81"/>
            <rFont val="Tahoma"/>
            <family val="2"/>
            <charset val="186"/>
          </rPr>
          <t>Ülejäänud puit võetakse arvesse Hooned/Soojus juures (koostootmine)</t>
        </r>
      </text>
    </comment>
    <comment ref="C64" authorId="1">
      <text>
        <r>
          <rPr>
            <b/>
            <sz val="9"/>
            <color indexed="81"/>
            <rFont val="Tahoma"/>
            <family val="2"/>
            <charset val="186"/>
          </rPr>
          <t>Jaanus Uiga:</t>
        </r>
        <r>
          <rPr>
            <sz val="9"/>
            <color indexed="81"/>
            <rFont val="Tahoma"/>
            <family val="2"/>
            <charset val="186"/>
          </rPr>
          <t xml:space="preserve">
Biomass = turvas + puit. Arvutused maksimaalsele kasutusmauhule. Kütteväärtused vastavalt Soojusmajanduse stsenaariumite tulemustele</t>
        </r>
      </text>
    </comment>
    <comment ref="C65" authorId="1">
      <text>
        <r>
          <rPr>
            <b/>
            <sz val="9"/>
            <color indexed="81"/>
            <rFont val="Tahoma"/>
            <family val="2"/>
            <charset val="186"/>
          </rPr>
          <t>Jaanus Uiga:</t>
        </r>
        <r>
          <rPr>
            <sz val="9"/>
            <color indexed="81"/>
            <rFont val="Tahoma"/>
            <family val="2"/>
            <charset val="186"/>
          </rPr>
          <t xml:space="preserve">
2 MWh/tm - http://www.energiatalgud.ee/img_auth.php/3/3f/Energy_resources_ENG_ENMAK_uusmets_140213.pdf </t>
        </r>
      </text>
    </comment>
    <comment ref="C68" authorId="1">
      <text>
        <r>
          <rPr>
            <b/>
            <sz val="9"/>
            <color indexed="81"/>
            <rFont val="Tahoma"/>
            <family val="2"/>
            <charset val="186"/>
          </rPr>
          <t>Põlevkivi võetakse arvesse töölehel KOMBI
Maagaas võetakse arvesse töölehel VK-Hooned-Soojus
Puitkütused võetakse arvesse töölehel VK-Hooned-Soojus</t>
        </r>
      </text>
    </comment>
  </commentList>
</comments>
</file>

<file path=xl/comments9.xml><?xml version="1.0" encoding="utf-8"?>
<comments xmlns="http://schemas.openxmlformats.org/spreadsheetml/2006/main">
  <authors>
    <author>Jaanus Uiga</author>
  </authors>
  <commentList>
    <comment ref="F11" authorId="0">
      <text>
        <r>
          <rPr>
            <b/>
            <sz val="9"/>
            <color indexed="81"/>
            <rFont val="Tahoma"/>
            <family val="2"/>
            <charset val="186"/>
          </rPr>
          <t>Selle stsenaariumi korral asendub kivisöest koostootmine puidust koostootmisega</t>
        </r>
      </text>
    </comment>
  </commentList>
</comments>
</file>

<file path=xl/sharedStrings.xml><?xml version="1.0" encoding="utf-8"?>
<sst xmlns="http://schemas.openxmlformats.org/spreadsheetml/2006/main" count="2447" uniqueCount="752">
  <si>
    <t>Stsenaarium # 1</t>
  </si>
  <si>
    <t>Stsenaarium # 2</t>
  </si>
  <si>
    <t>Stsenaarium # 3</t>
  </si>
  <si>
    <t>Energia lõpptarbimine 2050</t>
  </si>
  <si>
    <t>Elektri lõpptarbimine 2020</t>
  </si>
  <si>
    <t>Elektri lõpptarbimine 2030</t>
  </si>
  <si>
    <t>Elektri lõpptarbimine 2050</t>
  </si>
  <si>
    <t>Soojuse lõpptarbimine 2020</t>
  </si>
  <si>
    <t>Soojuse lõpptarbimine 2030</t>
  </si>
  <si>
    <t>Soojuse lõpptarbimine 2050</t>
  </si>
  <si>
    <t>Mitte-sekkuv</t>
  </si>
  <si>
    <t>Vähe-sekkuv</t>
  </si>
  <si>
    <t>Teadmistepõhine</t>
  </si>
  <si>
    <t>MEUR</t>
  </si>
  <si>
    <t>DALY</t>
  </si>
  <si>
    <t>Väliskaubanduse saldo/SKP</t>
  </si>
  <si>
    <t>Tööviljakuse muutus</t>
  </si>
  <si>
    <t>Tööhõive muutus</t>
  </si>
  <si>
    <t>Primaarenergia tarbimine/SKP</t>
  </si>
  <si>
    <t>Fossiilsed kütused/SKP</t>
  </si>
  <si>
    <t>CO2 koguemissioon/SKP</t>
  </si>
  <si>
    <t>%</t>
  </si>
  <si>
    <t>MÕJU MAJANDUSELE JA RESSURSIKASUTUSELE</t>
  </si>
  <si>
    <t>TULUD, KULUD JA VÄLISMÕJUD</t>
  </si>
  <si>
    <t>in-a/a</t>
  </si>
  <si>
    <t>SKP</t>
  </si>
  <si>
    <t>sh hooned</t>
  </si>
  <si>
    <t>TWh/a</t>
  </si>
  <si>
    <t>sh kaugküte</t>
  </si>
  <si>
    <t>sh soojusmajandus</t>
  </si>
  <si>
    <t>sh hooned 2011-2030</t>
  </si>
  <si>
    <t>sh soojusmajandus 2015-2030</t>
  </si>
  <si>
    <t>ENERGIATARBIMINE</t>
  </si>
  <si>
    <t>KOMBI</t>
  </si>
  <si>
    <t>X</t>
  </si>
  <si>
    <t>Transport</t>
  </si>
  <si>
    <t>Hooned/soojus</t>
  </si>
  <si>
    <t>Elekter</t>
  </si>
  <si>
    <t>Kütused</t>
  </si>
  <si>
    <t>Energia lõpptarbimine @ 2030 [TWh/a]</t>
  </si>
  <si>
    <t>Energia lõpptarbimine @ 2020 [TWh/a]</t>
  </si>
  <si>
    <t>TULEMUSED</t>
  </si>
  <si>
    <t>Teekaartide pingerida</t>
  </si>
  <si>
    <t>Jrk.Nr.</t>
  </si>
  <si>
    <t>TK nr.</t>
  </si>
  <si>
    <t>Sekkuv</t>
  </si>
  <si>
    <t>Soojus/hooned</t>
  </si>
  <si>
    <t>Hooned</t>
  </si>
  <si>
    <t>Hooned ja soojus</t>
  </si>
  <si>
    <t>Majandusmõjude hinnang</t>
  </si>
  <si>
    <t>Kaal</t>
  </si>
  <si>
    <t>ind</t>
  </si>
  <si>
    <t>lõpptarbimine</t>
  </si>
  <si>
    <t>Energia lõpptarbimine @ 2020</t>
  </si>
  <si>
    <t>Võrk</t>
  </si>
  <si>
    <t>PK</t>
  </si>
  <si>
    <t>Rahas mõõdetavad kriteeriumid</t>
  </si>
  <si>
    <t>binaar</t>
  </si>
  <si>
    <t>Ei</t>
  </si>
  <si>
    <t>TOP1</t>
  </si>
  <si>
    <t>TOP2</t>
  </si>
  <si>
    <t>TOP3</t>
  </si>
  <si>
    <t>Hooned/Tööstus</t>
  </si>
  <si>
    <t>Kütuste lõpptarbimine 2020</t>
  </si>
  <si>
    <t>Kütuste lõpptarbimine 2030</t>
  </si>
  <si>
    <t>Kütuste lõpptarbimine 2050</t>
  </si>
  <si>
    <t>sh taristu investeeringud 2015-2030</t>
  </si>
  <si>
    <t>sh taristu hooldus 2015-2030</t>
  </si>
  <si>
    <t>sh üt toetused 2015-2030</t>
  </si>
  <si>
    <t>sh kulutused kütustele 2015-2030</t>
  </si>
  <si>
    <t>sh aktsiisitulu 2015-2030</t>
  </si>
  <si>
    <t>Kaevandusmaht 25M tonni/a</t>
  </si>
  <si>
    <t>Töökindluse tõstmine</t>
  </si>
  <si>
    <t>100% ilmastikukindlus</t>
  </si>
  <si>
    <t>Liberaalne</t>
  </si>
  <si>
    <t>Liberaalne+</t>
  </si>
  <si>
    <t>Taastuvenergia</t>
  </si>
  <si>
    <t>Taastuvenergia++</t>
  </si>
  <si>
    <t>Põlevkivi ja uttegaas</t>
  </si>
  <si>
    <t>Stsenaarium # 4</t>
  </si>
  <si>
    <t>Stsenaarium # 5</t>
  </si>
  <si>
    <t>Tootmisportfell @ 2030 - PÄIKE</t>
  </si>
  <si>
    <t>Tootmisportfell @ 2030 - PUUGAAS</t>
  </si>
  <si>
    <t>Tootmisportfell @ 2030 - BIOGAAS</t>
  </si>
  <si>
    <t>Tootmisportfell @ 2030 - KIVISÜSI</t>
  </si>
  <si>
    <t>Tootmisportfell @ 2030 - KOKS</t>
  </si>
  <si>
    <t>Tootmisportfell @ 2030 - JÄÄTMED</t>
  </si>
  <si>
    <t>Tootmisportfell @ 2030 - MAAGAAS</t>
  </si>
  <si>
    <t>Tootmisportfell @ 2030 - UTTEGAAS</t>
  </si>
  <si>
    <t>Tootmisportfell @ 2030 - PÕLEVKIVI</t>
  </si>
  <si>
    <t>Tootmisportfell @ 2030 - HÜDROENERGIA</t>
  </si>
  <si>
    <t>Tootmisportfell @ 2030 - TUUL</t>
  </si>
  <si>
    <t>Tootmisportfell @ 2030 - BIOMASS</t>
  </si>
  <si>
    <t>Kütuste tarbimine @ 2030 - BIOGAAS</t>
  </si>
  <si>
    <t>Kütuste tarbimine @ 2030 - KIVISÜSI</t>
  </si>
  <si>
    <t>Kütuste tarbimine @ 2030 - KOKS</t>
  </si>
  <si>
    <t>Kütuste tarbimine @ 2030 - JÄÄTMED</t>
  </si>
  <si>
    <t>Kütuste tarbimine @ 2030 - MAAGAAS</t>
  </si>
  <si>
    <t>Kütuste tarbimine @ 2030 - UTTEGAAS</t>
  </si>
  <si>
    <t>Kütuste tarbimine @ 2030 - PÕLEVKIVI</t>
  </si>
  <si>
    <t>Kütuste tarbimine @ 2030 - BIOMASS</t>
  </si>
  <si>
    <t>sh autode import 2015-2030</t>
  </si>
  <si>
    <t>sh autode hooldus 2015-2030</t>
  </si>
  <si>
    <t>Lisandunud töökohtade arv @ 2030</t>
  </si>
  <si>
    <t>BENSIIN tarbimine 2030</t>
  </si>
  <si>
    <t>DIISEL tarbimine 2030</t>
  </si>
  <si>
    <t>MAAGAAS tarbimine 2030</t>
  </si>
  <si>
    <t>ETANOOL tarbimine 2030</t>
  </si>
  <si>
    <t>BIODIISEL tarbimine 2030</t>
  </si>
  <si>
    <t>BIOMETAAN tarbimine 2030</t>
  </si>
  <si>
    <t>sh CAPEX 2015-2030</t>
  </si>
  <si>
    <t>sh OPEX 2015-2030</t>
  </si>
  <si>
    <t>Kinnisvara väärtuse tõus @ 2030</t>
  </si>
  <si>
    <t>sorted</t>
  </si>
  <si>
    <t>KOMBI sorted</t>
  </si>
  <si>
    <t>LNG</t>
  </si>
  <si>
    <t>Tuleb</t>
  </si>
  <si>
    <t>Ei tule</t>
  </si>
  <si>
    <t>Välisühendus</t>
  </si>
  <si>
    <t>Põlevkivi</t>
  </si>
  <si>
    <t>Võrgud</t>
  </si>
  <si>
    <t>Maksumus kokku kuni 2030 [M EUR]</t>
  </si>
  <si>
    <t>Maksumus riigilie kuni 2030 [MEUR]</t>
  </si>
  <si>
    <t>CO2ETS@2030</t>
  </si>
  <si>
    <t>Soojus</t>
  </si>
  <si>
    <t>CO2non-ETS@2030</t>
  </si>
  <si>
    <t>LIMIIT</t>
  </si>
  <si>
    <t>CO2ETS @ 2030 [Mton/a] elekter</t>
  </si>
  <si>
    <t>CO2ETS @ 2030 [Mton/a] soojus</t>
  </si>
  <si>
    <t>CO2ETS @ 2030 [Mton/a] põlevkivi</t>
  </si>
  <si>
    <t>CO2non-ETS @ 2030 [Mton/a] transport</t>
  </si>
  <si>
    <t>CO2non-ETS @ 2030 [Mton/a] soojus</t>
  </si>
  <si>
    <t>Investeeringutoetus bioetanool</t>
  </si>
  <si>
    <t>Investeeringutoetus biometaan</t>
  </si>
  <si>
    <t>A 1: toetusvajadus maagaasi aktsiisiga</t>
  </si>
  <si>
    <t>A 2: toetusvajadus maagaasi aktsiisita</t>
  </si>
  <si>
    <t>Mittesekkuv</t>
  </si>
  <si>
    <t>Maagaas</t>
  </si>
  <si>
    <t>Transpordiaktsiis</t>
  </si>
  <si>
    <t>Ilma aktsiisita</t>
  </si>
  <si>
    <t>KÜTUSTE TOOTMINE</t>
  </si>
  <si>
    <t>Bioetanool @ 2030</t>
  </si>
  <si>
    <t>Biometaan @ 2030</t>
  </si>
  <si>
    <t>Bioetanoli WTT @2030</t>
  </si>
  <si>
    <t>Biometaani WTT @2030</t>
  </si>
  <si>
    <t>Erasektori maksumus</t>
  </si>
  <si>
    <t>KOV maksumus</t>
  </si>
  <si>
    <t>TOP4</t>
  </si>
  <si>
    <t>TOP5</t>
  </si>
  <si>
    <t>TOP6</t>
  </si>
  <si>
    <t>TOP7</t>
  </si>
  <si>
    <t>TOP8</t>
  </si>
  <si>
    <t>TOP9</t>
  </si>
  <si>
    <t>TOP10</t>
  </si>
  <si>
    <t>TOP</t>
  </si>
  <si>
    <t>MAKSUMUS</t>
  </si>
  <si>
    <t>Tööstus</t>
  </si>
  <si>
    <t>BAAS</t>
  </si>
  <si>
    <t>KK piirtase 2020</t>
  </si>
  <si>
    <t>Kodumajapidamised ja teenindussektor</t>
  </si>
  <si>
    <t>sh hoonete lõpptarbimine @ 2030 [TWh/a]</t>
  </si>
  <si>
    <t>sh hoonete lõpptarbimine @ 2020 [TWh/a]</t>
  </si>
  <si>
    <t>Kodumajapidamised ja teenindussektor @ 2020 (TWh/a]</t>
  </si>
  <si>
    <t>Tööstussektor @ 2020 (TWh/a]</t>
  </si>
  <si>
    <t>Transport @ 2020 (TWh/a]</t>
  </si>
  <si>
    <t>Kodumajapidamised ja teenindussektor @ 2030 (TWh/a]</t>
  </si>
  <si>
    <t>Tööstussektor @ 2030 (TWh/a]</t>
  </si>
  <si>
    <t>Transport @ 2030 (TWh/a]</t>
  </si>
  <si>
    <t>KRITEERIUM: LÕPPTARBIMINE</t>
  </si>
  <si>
    <t>SORTIMISALUS</t>
  </si>
  <si>
    <t>kriteeriumid täidetud?</t>
  </si>
  <si>
    <t>Imporditud elekter @ 2030 [TWh/a]</t>
  </si>
  <si>
    <t>Kütuste tarbimine @ 2030 - PUUGAAS</t>
  </si>
  <si>
    <t>Imporditud kütustest elekter @ 2030 [TWh/a]</t>
  </si>
  <si>
    <t>Imporditud kütustest soojus @ 2030 [TWh/a]</t>
  </si>
  <si>
    <t>Taastumatutest allikatest elekter @ 2030 [TWh/a]</t>
  </si>
  <si>
    <t>Taastuvatest allikatest elekter @ 2030 [TWh/a]</t>
  </si>
  <si>
    <t>Taastumatutest allikatest soojus @ 2030 [TWh/a]</t>
  </si>
  <si>
    <t>Taastuvatest allikatest soojus @ 2030 [TWh/a]</t>
  </si>
  <si>
    <t>Tootmisportfell @ 2030 - PUIDUHAKE</t>
  </si>
  <si>
    <t>Tootmisportfell @ 2030 - HALUPUIT</t>
  </si>
  <si>
    <t>Tootmisportfell @ 2030 - PÕLEVKIVIÕLI</t>
  </si>
  <si>
    <t>Tootmisportfell @ 2030 - KÜTTEÕLI</t>
  </si>
  <si>
    <t>Tootmisportfell @ 2030 - TURVAS</t>
  </si>
  <si>
    <t>Taastumatutest allikatest mootorikütused ekspordiks @ 2030 [TWh/a]</t>
  </si>
  <si>
    <t>Taastuvatest allikatest tarbitavad mootorikütused @ 2030 [TWh/a]</t>
  </si>
  <si>
    <t>Taastuvatest allikatest toodetud mootorikütused @ 2030 [TWh/a]</t>
  </si>
  <si>
    <t>Neto eksporditavad taastuvad kütused @ 2030 [TWh/a]</t>
  </si>
  <si>
    <t>Neto imporditavad taastuvad kütused @ 2030 [TWh/a]</t>
  </si>
  <si>
    <t>Kodumaised fossiilsed kodumaiseks tarbimiseks</t>
  </si>
  <si>
    <t>Taastuvad allikad kodumaiseks tarbimiseks</t>
  </si>
  <si>
    <t>Taastuvad importallikad</t>
  </si>
  <si>
    <t>Taastumatud importallikad</t>
  </si>
  <si>
    <t>Fossiilsed allikad ekspordiks</t>
  </si>
  <si>
    <t>Taastuvad allikad ekspordiks</t>
  </si>
  <si>
    <t>Taastumatud imporditud mootorikütused @ 2030 [TWh/a]</t>
  </si>
  <si>
    <t>Kaevandusmaht 15M tonni/a</t>
  </si>
  <si>
    <t>Kaevandusmaht 20M tonni/a (BAAS)</t>
  </si>
  <si>
    <t>TOOTMISE MIX</t>
  </si>
  <si>
    <t>CO2</t>
  </si>
  <si>
    <t>MAJANDUSMÕJU</t>
  </si>
  <si>
    <t>MAKSUMUSED</t>
  </si>
  <si>
    <t>Taastumatutest allikatest elekter ekspordiks @ 2030 [TWh/a]</t>
  </si>
  <si>
    <t>Import-eksport elekter @ 2030 [TWh/a]</t>
  </si>
  <si>
    <t>Tootmisportfell @ 2030 - KÜTUSETA KÜTUS (maasoojus)</t>
  </si>
  <si>
    <t>Hoonete ehitamise/rekonstrueerimisega seotud maksutulu  2011-2030 [MEUR]</t>
  </si>
  <si>
    <t>Sisekliima muutusest tulenev positiivne rahaline mõju 2011-2030 [MEUR]</t>
  </si>
  <si>
    <t>CO2 - soojusmajandus</t>
  </si>
  <si>
    <t>sh muud tegevused 2015-2030</t>
  </si>
  <si>
    <t>Hoonefondi meetmete maksumus riigile kokku kuni 2030 [MEUR]</t>
  </si>
  <si>
    <t>Meetmete maksumus riigilie kuni 2030 [MEUR]</t>
  </si>
  <si>
    <t>Tervis (liikumine) 2015-2030 [MEUR]</t>
  </si>
  <si>
    <t>CO2 heitme väliskulu 2015-2030 [MEUR]</t>
  </si>
  <si>
    <t>Tervis (heitmed) 2015-2030 [MEUR]</t>
  </si>
  <si>
    <t>Välismõjud BIOMETAAN kuni 2030 [MEUR]</t>
  </si>
  <si>
    <t>Välismõjud BIOETANOOL kuni 2030 [MEUR]</t>
  </si>
  <si>
    <t>SORT - MAJ.MÕJU</t>
  </si>
  <si>
    <t>SORT - RAHA</t>
  </si>
  <si>
    <t>Jah</t>
  </si>
  <si>
    <t>IMPORDITAVATE KÜTUSTE OSAKAAL 2030</t>
  </si>
  <si>
    <t>Imporditud kütuste osakaal @ 2030</t>
  </si>
  <si>
    <t>KRITEERIUM: IMPORTKÜTUSED</t>
  </si>
  <si>
    <t>&lt; 40%</t>
  </si>
  <si>
    <t>-</t>
  </si>
  <si>
    <t>&lt; 100%</t>
  </si>
  <si>
    <t>&lt; 105%</t>
  </si>
  <si>
    <t>&lt; 110%</t>
  </si>
  <si>
    <t>&lt; 115%</t>
  </si>
  <si>
    <t>&lt; 120%</t>
  </si>
  <si>
    <t xml:space="preserve"> Välismõju kuni 2030 [MEUR]</t>
  </si>
  <si>
    <t>Tegevuste eelarve</t>
  </si>
  <si>
    <t>KRITEERIUM: MAKSUMUS</t>
  </si>
  <si>
    <t>&gt; + 10%</t>
  </si>
  <si>
    <t>&gt; + 5%</t>
  </si>
  <si>
    <t>&gt; + 8%</t>
  </si>
  <si>
    <t>&gt; 0%</t>
  </si>
  <si>
    <t>&lt; 20%</t>
  </si>
  <si>
    <t>&lt; 30%</t>
  </si>
  <si>
    <t>sh RAHAS MÕÕDETAVAD VÄLISMÕJUD [MEUR/a]</t>
  </si>
  <si>
    <r>
      <t xml:space="preserve">TOP 11-20 </t>
    </r>
    <r>
      <rPr>
        <sz val="10"/>
        <color theme="1"/>
        <rFont val="Calibri"/>
        <family val="2"/>
        <charset val="186"/>
      </rPr>
      <t>↓</t>
    </r>
  </si>
  <si>
    <t>TAASTUVENERGIA % @ 2030</t>
  </si>
  <si>
    <t>Väliskaubanduse saldo</t>
  </si>
  <si>
    <t>Primaarenergia tarbimine</t>
  </si>
  <si>
    <t>Fossiilsed kütused</t>
  </si>
  <si>
    <t>CO2 koguemissioon</t>
  </si>
  <si>
    <r>
      <t xml:space="preserve">TOP 4-10 </t>
    </r>
    <r>
      <rPr>
        <sz val="10"/>
        <color theme="1"/>
        <rFont val="Calibri"/>
        <family val="2"/>
        <charset val="186"/>
      </rPr>
      <t>↓</t>
    </r>
  </si>
  <si>
    <t>KULUD JA TULUD KOKKU [MEUR/a]</t>
  </si>
  <si>
    <t>Meetmete maksumus riigile: transport</t>
  </si>
  <si>
    <t>Meetmete maksumus riigile: hooned</t>
  </si>
  <si>
    <t>Meetmete maksumus riigile: biokütused</t>
  </si>
  <si>
    <t>CO2 heite väliskulu kokku</t>
  </si>
  <si>
    <t>Maksutulu laekumine - soojusmajandus</t>
  </si>
  <si>
    <t>Maksutulu laekumine - hooned</t>
  </si>
  <si>
    <t>Maksutulu laekumine - transport</t>
  </si>
  <si>
    <t>Tervisega seotud välismõjude paranemine</t>
  </si>
  <si>
    <t>Biokütustega seotud välismõjud</t>
  </si>
  <si>
    <t>Maksutulu kokku 2015-2030 [MEUR]</t>
  </si>
  <si>
    <t>VARUSTUSKINDLUS</t>
  </si>
  <si>
    <t>Kodumaise elektritoodangu osakkaal kogutarbimises</t>
  </si>
  <si>
    <t>Meetmete maksumus riigile: elektritootmine</t>
  </si>
  <si>
    <t>Elektrivõrkudega seotud välismõjud</t>
  </si>
  <si>
    <t>Maksutulu laekumine - põlevkivi</t>
  </si>
  <si>
    <t>NOx</t>
  </si>
  <si>
    <t>SO2</t>
  </si>
  <si>
    <t>PM2.5</t>
  </si>
  <si>
    <t>LOÜ</t>
  </si>
  <si>
    <t>Kinnisvara väärtuse tõusu tulumaks</t>
  </si>
  <si>
    <t>SAIDI [minutit]</t>
  </si>
  <si>
    <t>LIB</t>
  </si>
  <si>
    <t>LIB+</t>
  </si>
  <si>
    <t>TE</t>
  </si>
  <si>
    <t>TE++</t>
  </si>
  <si>
    <t>Sekkuv/EÜ</t>
  </si>
  <si>
    <t>TÄPSEMALT KUVATAV TEEKAART:</t>
  </si>
  <si>
    <t xml:space="preserve">Sts </t>
  </si>
  <si>
    <t>Transport - Mittesekkuv</t>
  </si>
  <si>
    <t>Transport - Sekkuv</t>
  </si>
  <si>
    <t>Transport - Vähesekkuv</t>
  </si>
  <si>
    <t>Hooned/Soojus - Mittesekkuv</t>
  </si>
  <si>
    <t>Hooned/Soojus - Vähesekkuv</t>
  </si>
  <si>
    <t>Hooned/Soojus - Sekkuv/EÜ</t>
  </si>
  <si>
    <t>Elekter - LIB</t>
  </si>
  <si>
    <t>Elekter - LIB+</t>
  </si>
  <si>
    <t>Elekter - TE</t>
  </si>
  <si>
    <t>Elekter - TE++</t>
  </si>
  <si>
    <t>Elekter - PK &amp; UG</t>
  </si>
  <si>
    <t>Kütused - Mittesekkuv</t>
  </si>
  <si>
    <t>Kütused - Vähesekkuv</t>
  </si>
  <si>
    <t>Kütused - Sekkuv</t>
  </si>
  <si>
    <t>Arvesta kõigi stsenaariumitega</t>
  </si>
  <si>
    <t>Transport_1</t>
  </si>
  <si>
    <t>Transport_2</t>
  </si>
  <si>
    <t>Transport_3</t>
  </si>
  <si>
    <t>Hooned_Soojus_1</t>
  </si>
  <si>
    <t>Hooned_Soojus_2</t>
  </si>
  <si>
    <t>Hooned_Soojus_3</t>
  </si>
  <si>
    <t>Elekter_1</t>
  </si>
  <si>
    <t>Elekter_2</t>
  </si>
  <si>
    <t>Elekter_3</t>
  </si>
  <si>
    <t>Elekter_4</t>
  </si>
  <si>
    <t>Elekter_5</t>
  </si>
  <si>
    <t>Kütused_1</t>
  </si>
  <si>
    <t>Kütused_2</t>
  </si>
  <si>
    <t>Kütused_3</t>
  </si>
  <si>
    <t>K6iK_STS</t>
  </si>
  <si>
    <t>Maksutulu BIOMETAAN kuni 2030 [MEUR]</t>
  </si>
  <si>
    <t>Maksutulu BIOETANOOL kuni 2030 [MEUR]</t>
  </si>
  <si>
    <t>Maksutulu laekumine - biokütused</t>
  </si>
  <si>
    <t>Biokütuste maksutulu kokku kuni 2030 [MEUR]</t>
  </si>
  <si>
    <t>Tänane tase</t>
  </si>
  <si>
    <t>NOx [kt] @ 2030</t>
  </si>
  <si>
    <t>SO2 [kt] @ 2030</t>
  </si>
  <si>
    <t>Inimese tervis</t>
  </si>
  <si>
    <t>Ökosüsteemi kvaliteet</t>
  </si>
  <si>
    <t>Kliima-muutused</t>
  </si>
  <si>
    <t>Ressursid</t>
  </si>
  <si>
    <t>Eesti Keskkonnauringute Keskuse prognoos (2014 juuni)</t>
  </si>
  <si>
    <t>t/a</t>
  </si>
  <si>
    <t>Soojusmajandusega seotud maksutulu 2015-2030 [MEUR]</t>
  </si>
  <si>
    <t>BK_M_EA</t>
  </si>
  <si>
    <t>Maksumust riigile ei arvestata</t>
  </si>
  <si>
    <t>Mõju inimese tervisele @ 2030 [kDALY]</t>
  </si>
  <si>
    <t>Imporditud transpordikütuste osakaal</t>
  </si>
  <si>
    <t>SIMAPRO</t>
  </si>
  <si>
    <t>KRITEERIUM: eemaldatud valikust</t>
  </si>
  <si>
    <t>En_Tarb_5</t>
  </si>
  <si>
    <t>En_Tarb_4</t>
  </si>
  <si>
    <t>En_Tarb_3</t>
  </si>
  <si>
    <t>En_Tarb_2</t>
  </si>
  <si>
    <t>En_Tarb_1</t>
  </si>
  <si>
    <t>En_Tarb_max</t>
  </si>
  <si>
    <t>SKP inimese kohta</t>
  </si>
  <si>
    <t>MAJANDUSE SEISUND, sh</t>
  </si>
  <si>
    <t>RESSURSIKASUTUS, sh</t>
  </si>
  <si>
    <t>1. MAJANDUSNÄITAJATE KAALUMISTEGURID</t>
  </si>
  <si>
    <t>CO2 heitkoguste väliskulu kokku</t>
  </si>
  <si>
    <t>Elektrivõrkude stsenaarium</t>
  </si>
  <si>
    <t xml:space="preserve">  SKP inimese kohta</t>
  </si>
  <si>
    <t xml:space="preserve">  Väliskaubanduse saldo/SKP</t>
  </si>
  <si>
    <t xml:space="preserve">  Tööviljakuse muutus</t>
  </si>
  <si>
    <t xml:space="preserve">  Tööhõive muutus</t>
  </si>
  <si>
    <t xml:space="preserve">  Primaarenergia tarbimine/SKP</t>
  </si>
  <si>
    <t xml:space="preserve">  Fossiilsed kütused/SKP</t>
  </si>
  <si>
    <t xml:space="preserve">  CO2 koguemissioon/SKP</t>
  </si>
  <si>
    <t>1000 t/a</t>
  </si>
  <si>
    <t>Kokku</t>
  </si>
  <si>
    <t>Pt</t>
  </si>
  <si>
    <t>3. TÄIENDAVAD KRITEERIUMID</t>
  </si>
  <si>
    <t>Eemalda stsenaarium</t>
  </si>
  <si>
    <t>NOx @ 2020</t>
  </si>
  <si>
    <t>SO2 @ 2020</t>
  </si>
  <si>
    <t>LOU @ 2020</t>
  </si>
  <si>
    <t>PM2,5 @ 2020</t>
  </si>
  <si>
    <t>BAAS (MITTE-SEKKUV)</t>
  </si>
  <si>
    <t>↓</t>
  </si>
  <si>
    <t>IsYES</t>
  </si>
  <si>
    <t>IsNO</t>
  </si>
  <si>
    <t>4. TEEKAARTIDE JÄRJESTAMINE</t>
  </si>
  <si>
    <t>Järjestamine</t>
  </si>
  <si>
    <t>Majandusmõju hinnang</t>
  </si>
  <si>
    <t>Majanduse konkurentsivõime koondindeks</t>
  </si>
  <si>
    <t>Majanduse seisund</t>
  </si>
  <si>
    <t>Ressursikasutus</t>
  </si>
  <si>
    <t>MAJANDUSE KONKURENTSIVÕIME KOONDINDEKS</t>
  </si>
  <si>
    <t>EKUK-i aruanne</t>
  </si>
  <si>
    <t>1000 tCO2ekv</t>
  </si>
  <si>
    <t>CO2non-ETS @ 2030 [1000 t/a]</t>
  </si>
  <si>
    <t>CO2ETS @ 2030 [1000 t/a]</t>
  </si>
  <si>
    <t>CO2ETS @ 2020 [1000 t/a]</t>
  </si>
  <si>
    <t>NOx @ 2030</t>
  </si>
  <si>
    <t>SO2 @ 2030</t>
  </si>
  <si>
    <t>KHG (CO2 eq) @ 2030</t>
  </si>
  <si>
    <t>PM2.5 @ 2030</t>
  </si>
  <si>
    <t>KHG (CO2 eq) @ 2020</t>
  </si>
  <si>
    <t>PM2.5 @ 2020</t>
  </si>
  <si>
    <t>LOÜ @ 2030</t>
  </si>
  <si>
    <t>LOÜ @ 2020</t>
  </si>
  <si>
    <t>CO2 non-ETS @ 2030</t>
  </si>
  <si>
    <t>CO2 kokku @ 2030</t>
  </si>
  <si>
    <t>H2S @ 2020</t>
  </si>
  <si>
    <t>PAH @ 2020</t>
  </si>
  <si>
    <t>H2S @ 2030</t>
  </si>
  <si>
    <t>PAH @ 2030</t>
  </si>
  <si>
    <t>↑</t>
  </si>
  <si>
    <t>1000 t</t>
  </si>
  <si>
    <t>Baastase (2005)</t>
  </si>
  <si>
    <t>KOMBINATSIOON ON TULEMUSTES?</t>
  </si>
  <si>
    <t>Maagaas transpordikütusena</t>
  </si>
  <si>
    <t>NOx @ 2020, 1000 t</t>
  </si>
  <si>
    <t>SO2 @ 2020, 1000 t</t>
  </si>
  <si>
    <t>LOU @ 2020, 1000t</t>
  </si>
  <si>
    <t>PM2,5 @ 2020, 1000 t</t>
  </si>
  <si>
    <t>KHG @ 2030 [Mton/a]</t>
  </si>
  <si>
    <t>100%</t>
  </si>
  <si>
    <t>Imporditud elektritoodangu osakaal</t>
  </si>
  <si>
    <t>Stsenaariumi kogumaksumus (v.a. riigi panus)</t>
  </si>
  <si>
    <t>2. RAHAS MÕÕDETAVAD KULU-/TULUARTIKLID</t>
  </si>
  <si>
    <t>teekaarti on valikust eemaldatud</t>
  </si>
  <si>
    <t>Allikmaterjalid</t>
  </si>
  <si>
    <t>Artikkel</t>
  </si>
  <si>
    <t>Arvutusfail</t>
  </si>
  <si>
    <t>ENERGIA TARBIMINE JA TOOTMINE</t>
  </si>
  <si>
    <t>sh tulu muudelt transpordimaksudelt</t>
  </si>
  <si>
    <t>ÕHUSAASTE @ 2030</t>
  </si>
  <si>
    <t>ÕHUSAASTE @ 2020</t>
  </si>
  <si>
    <t>Arvutusfail / Aruanne</t>
  </si>
  <si>
    <t>Keskkonna-mõju @ 2030</t>
  </si>
  <si>
    <t>Väljavõte BALMOREL mudeli tulemustest</t>
  </si>
  <si>
    <t>1000tCO2e</t>
  </si>
  <si>
    <t>Kulu ühiskonnale kuni 2030 [MEUR]</t>
  </si>
  <si>
    <t>Keskkonna-mõju @ 2030 - Biometaan</t>
  </si>
  <si>
    <t>Keskkonna-mõju @ 2030 - Bioetanool</t>
  </si>
  <si>
    <t>Investeeringute maksumus kuni 2030 [MEUR]</t>
  </si>
  <si>
    <t>15 mln t</t>
  </si>
  <si>
    <t>20 mln t</t>
  </si>
  <si>
    <t>25 mln t</t>
  </si>
  <si>
    <t>CO2 ETS @ 2030 [Mton/a]</t>
  </si>
  <si>
    <t>CO2 non-ETS @ 2030 [Mton/a]</t>
  </si>
  <si>
    <t>Keskkonnamõju kokku [PT]</t>
  </si>
  <si>
    <t>x</t>
  </si>
  <si>
    <t>Keskkonnamõju kokku [Pt]</t>
  </si>
  <si>
    <t>CO2non-ETS @ 2030 [Mton/a] kütused</t>
  </si>
  <si>
    <t>Maksumus riigile kuni 2030 [MEUR]</t>
  </si>
  <si>
    <t>CO2 non-ETS @ 2020, 1000 t</t>
  </si>
  <si>
    <t>CO2 kokku @ 2030, 1000 t CO2 ekv</t>
  </si>
  <si>
    <t>CO2 non-ETS @ 2020</t>
  </si>
  <si>
    <t>= 2005. a.</t>
  </si>
  <si>
    <t>&lt; 111%</t>
  </si>
  <si>
    <t>= 2005 a.</t>
  </si>
  <si>
    <t>CO2non-ETS @ 2020 [1000 t/a]</t>
  </si>
  <si>
    <t>Bioetanoli WTT @2020</t>
  </si>
  <si>
    <t>Biometaani WTT @2020</t>
  </si>
  <si>
    <t>1000 tCO2e</t>
  </si>
  <si>
    <t>1000 t CO2e</t>
  </si>
  <si>
    <t>SKP muutus turuhindades @2030</t>
  </si>
  <si>
    <t>M€/a</t>
  </si>
  <si>
    <t>Milline energiamajandusstsenaariumite kombinatsioon on Eestile parim? Stsenaariumite tulemused (135 tk) järjestatakse vastavalt teie valikutele!</t>
  </si>
  <si>
    <t>Tulemused</t>
  </si>
  <si>
    <t>→</t>
  </si>
  <si>
    <t>←</t>
  </si>
  <si>
    <t>/</t>
  </si>
  <si>
    <t>Riigi tulud 2015-2030</t>
  </si>
  <si>
    <t>Riigi kulud 2015-2030</t>
  </si>
  <si>
    <t>Riigi kulud 2015-2030 vs BAAS</t>
  </si>
  <si>
    <t>Riigi tulud 2015-2030 vs BAAS</t>
  </si>
  <si>
    <t>SKP muutus turuhindades @2030 VS BAAS</t>
  </si>
  <si>
    <t>M€</t>
  </si>
  <si>
    <t>CO2 non-ETS, 1000 t CO2 ekv</t>
  </si>
  <si>
    <t>NOx, 1000 t</t>
  </si>
  <si>
    <t>SO2, 1000 t</t>
  </si>
  <si>
    <t>LOU, 1000t</t>
  </si>
  <si>
    <t>PM2,5, 1000 t</t>
  </si>
  <si>
    <t>CO2 non-ETS</t>
  </si>
  <si>
    <t>2020 = 111%</t>
  </si>
  <si>
    <t>2030 = 90%</t>
  </si>
  <si>
    <t>2030 = 85%</t>
  </si>
  <si>
    <t>2030 = 77%</t>
  </si>
  <si>
    <t>2020 = 68%</t>
  </si>
  <si>
    <t>2030 = 29%</t>
  </si>
  <si>
    <t>2030 = 39%</t>
  </si>
  <si>
    <t>2030 = 63%</t>
  </si>
  <si>
    <t>2020 = 90%</t>
  </si>
  <si>
    <t>2020 = 85%</t>
  </si>
  <si>
    <t>2030 = 48%</t>
  </si>
  <si>
    <t>NOx @ 2030, 1000 t</t>
  </si>
  <si>
    <t>LOU @ 2030</t>
  </si>
  <si>
    <t>PM2,5 @ 2030</t>
  </si>
  <si>
    <t>Riigi kulud 2015-2030_mudelist</t>
  </si>
  <si>
    <t>Maksutulu laekumine - hooned/soojus</t>
  </si>
  <si>
    <t>Meetmete maksumus riigile: hooned/soojus</t>
  </si>
  <si>
    <t>Versioon</t>
  </si>
  <si>
    <t>Kuupäev</t>
  </si>
  <si>
    <t>Muudatuste olemus</t>
  </si>
  <si>
    <t>Muudatused</t>
  </si>
  <si>
    <t>v_1_13</t>
  </si>
  <si>
    <t>v_1_14</t>
  </si>
  <si>
    <t>Pisiparandused</t>
  </si>
  <si>
    <t>v_2_00</t>
  </si>
  <si>
    <t>v_2_01</t>
  </si>
  <si>
    <t>v_2_02</t>
  </si>
  <si>
    <t>v_2_03</t>
  </si>
  <si>
    <t>v_2_04</t>
  </si>
  <si>
    <t>SKP muutus turuhindades 2030. aastal (€/a)</t>
  </si>
  <si>
    <t>Inimtervis</t>
  </si>
  <si>
    <t>Ressursside ammendumine</t>
  </si>
  <si>
    <t>Mõju keskkonnale</t>
  </si>
  <si>
    <t>v_2_05</t>
  </si>
  <si>
    <t>v_2_06</t>
  </si>
  <si>
    <t>§  Täpsustatud viited</t>
  </si>
  <si>
    <t>§  Veebis kuvamise võimaldamiseks eemaldati stsenaariumite üldkirjelduse pildid</t>
  </si>
  <si>
    <t>§  Lisatud sorteerimisvõimalus kõigile kuvatavatele kriteeriumitele</t>
  </si>
  <si>
    <t>§  Piirangukriteeriumite lisamine:</t>
  </si>
  <si>
    <t>§  Täpsustatud viiteid</t>
  </si>
  <si>
    <t>§  .xlsx failide ümberviimine Excel Online keskkonda</t>
  </si>
  <si>
    <t>§  Viidete ning lähteandmete täpsustamine: transport, hooned/soojus, elektritootmine</t>
  </si>
  <si>
    <t>§  Viidete ning lähteandmete täpsustamine: elektrivõrgud, kütused, põlevkivi</t>
  </si>
  <si>
    <t>§  Uus juhend</t>
  </si>
  <si>
    <t>§  Selgituste lisamine kuvatavatele parameetritele</t>
  </si>
  <si>
    <t>§  Täiendavate piiravate kriteeriumite lisamine (CO2 non-ETS)</t>
  </si>
  <si>
    <t>§  Viidete ning lähteandmete täpsustamine</t>
  </si>
  <si>
    <t>§  Lisatud kuvatavaid parameetreid:</t>
  </si>
  <si>
    <t>§  SKP muutus turuhindades 2030. aastal esitab nominaalmudeli tulemusi.</t>
  </si>
  <si>
    <t>§  SKP muutus turuhindades ei ole enam võrdluses BAAS-stsenaariumiga</t>
  </si>
  <si>
    <t>§  Riigi tegevuste maksumuse aluseks on ENMAK majandusmõjude mudeli sisendid</t>
  </si>
  <si>
    <t>§  Maksutulu laekumise aluseks on ENMAK majandusmõju mudel: neto-tootemaksud + tööjõumaksud</t>
  </si>
  <si>
    <t>MÕJU LOODUSKESKKONNALE</t>
  </si>
  <si>
    <t>Taastumatutest allikatest vedelkütused ekspordiks @ 2030 [TWh/a]</t>
  </si>
  <si>
    <t>mln t/a</t>
  </si>
  <si>
    <t>Kütuste tarbimine ja tootmine</t>
  </si>
  <si>
    <t>Kütuste tarbimine @ 2030 - PUIDUHAKE</t>
  </si>
  <si>
    <t>Kütuste tarbimine @ 2030 - HALUPUIT</t>
  </si>
  <si>
    <t>Kütuste tarbimine @ 2030 - PÕLEVKIVIÕLI</t>
  </si>
  <si>
    <t>Kütuste tarbimine @ 2030 - KÜTTEÕLI</t>
  </si>
  <si>
    <t>Kütuste tarbimine @ 2030 - TURVAS</t>
  </si>
  <si>
    <t>Kütuste tarbimine @ 2030 - KÜTUSETA KÜTUS (maasoojus)</t>
  </si>
  <si>
    <t>Maksutulu laekumine - elektritootmine</t>
  </si>
  <si>
    <t>Maksutulu laekumine - elektrivõrgud</t>
  </si>
  <si>
    <t>Mõju globaalsele soojenemisele</t>
  </si>
  <si>
    <t>Puitkütuste kogutarbimine @2030, m3/a</t>
  </si>
  <si>
    <t>PM2.5-st tingitud varajaste surmajuhtumite arv @ 2030</t>
  </si>
  <si>
    <t>NB! Mudeli kommenteerimisel viidata versiooni numbrile</t>
  </si>
  <si>
    <t>v_2_08</t>
  </si>
  <si>
    <t>§  SKP muutus turuhindades kajastab reaalmudeli tulemusi</t>
  </si>
  <si>
    <t>§  Riigi tegevuste maksumuse aluseks on ENMAK majandusmõjude mudeli sisendid elektritootmise, võrkude ning biokütuste stsenaariumite korral</t>
  </si>
  <si>
    <t>§  Maksutulu laekumise aluseks on ENMAK majandusmõju mudel (neto-tootemaksud + tööjõumaksud) elektirtootmise, võrkude ning biokütuste stsenaariumite korral</t>
  </si>
  <si>
    <t>§  Lisatud PM2.5-st põhjustatud enneaegsete surmade arv</t>
  </si>
  <si>
    <t>SKP muutus turuhindades 2015-2030</t>
  </si>
  <si>
    <t>SKP muutus turuhindades 2015-2030 VS BAAS</t>
  </si>
  <si>
    <t>Otsesed maksutulud 2015-2030</t>
  </si>
  <si>
    <t>v_2_10</t>
  </si>
  <si>
    <t>§  Parandatud viga: Stsenaariumi eemaldamine tulemustest ei tööta</t>
  </si>
  <si>
    <t>Tulba jrk nr.</t>
  </si>
  <si>
    <t>Tulba jrk. nr</t>
  </si>
  <si>
    <t>RIIGISEKTORI TULUD JA KULUD</t>
  </si>
  <si>
    <t>§ Lisatud rida: Tulba jrk. nr.</t>
  </si>
  <si>
    <t>§ Uuendatud andmed: Hooned/Soojus majandusmõju</t>
  </si>
  <si>
    <t>§ Uuendatud andmed: Biokütuste majandusmõju</t>
  </si>
  <si>
    <t>SKP muutus turuhindades 2015-2030 VS BAAS, mln €/a</t>
  </si>
  <si>
    <t>v_2_11</t>
  </si>
  <si>
    <t>§  Uuendatud andmed: CO2 EU-ETS ja non-ETS</t>
  </si>
  <si>
    <t>§  Viited: Õhusaaste tervisemõju</t>
  </si>
  <si>
    <t>Stsenaariumi tegevused eraldi kokku</t>
  </si>
  <si>
    <t>§  Tööleht: Paremusjärjestused</t>
  </si>
  <si>
    <t>Teekaart</t>
  </si>
  <si>
    <t>Summaarne tulemus</t>
  </si>
  <si>
    <t>Paremusjärjestus</t>
  </si>
  <si>
    <t>Species*y</t>
  </si>
  <si>
    <t>1000 t CO2 eq</t>
  </si>
  <si>
    <t>TJ primary</t>
  </si>
  <si>
    <t>kg/a</t>
  </si>
  <si>
    <t>HCB @ 2020</t>
  </si>
  <si>
    <t>Energia lõpptarbimine @ 2015 [TWh/a]</t>
  </si>
  <si>
    <t>sh hoonete lõpptarbimine @ 2012 [TWh/a]</t>
  </si>
  <si>
    <t>Elektri lõpptarbimine 2012</t>
  </si>
  <si>
    <t>Soojuse lõpptarbimine 2015</t>
  </si>
  <si>
    <t>KHG (CO2 eq) @ 2050</t>
  </si>
  <si>
    <t>Tööhõive muutus @2030 VS BAAS</t>
  </si>
  <si>
    <t>in/a</t>
  </si>
  <si>
    <t>§ Lisatud andmed: tööhõive muutus @2030</t>
  </si>
  <si>
    <t>§ Lisatud andmed:HCB, PAH</t>
  </si>
  <si>
    <t>§ Lisatud täpsustavad arvutused: kütusevabade taastuvate allikate kasutamine, puitkütuste kasutamine</t>
  </si>
  <si>
    <t>ÕHUSAASTE @ 2050</t>
  </si>
  <si>
    <t>NOx @ 2050</t>
  </si>
  <si>
    <t>SO2 @ 2050</t>
  </si>
  <si>
    <t>PM2.5 @ 2050</t>
  </si>
  <si>
    <t>LOÜ @ 2050</t>
  </si>
  <si>
    <t>Inimese tervis @ baasaasta</t>
  </si>
  <si>
    <t>Keskkonna-mõju @ baasaasta</t>
  </si>
  <si>
    <t>Ökosüsteemi kvaliteet @ baasaasta</t>
  </si>
  <si>
    <t>Kliima-muutused @ baasaasta</t>
  </si>
  <si>
    <t>Ressursid @ baasaasta</t>
  </si>
  <si>
    <t>Kokku @ baasaasta</t>
  </si>
  <si>
    <t>ÕHUSAASTE @ baasaasta</t>
  </si>
  <si>
    <t>KHG (CO2 eq) @ baasaasta</t>
  </si>
  <si>
    <t>NOx @ baasaasta</t>
  </si>
  <si>
    <t>SO2 @ baasaasta</t>
  </si>
  <si>
    <t>PM2.5 @baasaasta</t>
  </si>
  <si>
    <t>LOÜ @ baasaasta</t>
  </si>
  <si>
    <t>mln m3/a</t>
  </si>
  <si>
    <t>mln tm/a</t>
  </si>
  <si>
    <t>Puitkütuste kogutarbimine @2030, TWh/a</t>
  </si>
  <si>
    <t>Puitkütuste kogutarbimine @2030, mln tm/a</t>
  </si>
  <si>
    <t>PM2.5 @ baasaasta</t>
  </si>
  <si>
    <t>Keskkonna-mõju @ 2030 - Kokku</t>
  </si>
  <si>
    <t>Inimese tervis - BM</t>
  </si>
  <si>
    <t>Ökosüsteemi kvaliteet - BM</t>
  </si>
  <si>
    <t>Kliima-muutused - BM</t>
  </si>
  <si>
    <t>Ressursid - BM</t>
  </si>
  <si>
    <t>Kokku - BM</t>
  </si>
  <si>
    <t>Inimese tervis - BE</t>
  </si>
  <si>
    <t>Ökosüsteemi kvaliteet - BE</t>
  </si>
  <si>
    <t>Kliima-muutused - BE</t>
  </si>
  <si>
    <t>Ressursid - BE</t>
  </si>
  <si>
    <t>Kokku - BE</t>
  </si>
  <si>
    <t>SO2@ baasaasta</t>
  </si>
  <si>
    <t>H2S @ baasaasta</t>
  </si>
  <si>
    <t>PAH @ baasaasta</t>
  </si>
  <si>
    <t>H2S @ 2050</t>
  </si>
  <si>
    <t>PAH @ 2050</t>
  </si>
  <si>
    <t>Imporditav puit @ 2030</t>
  </si>
  <si>
    <t>Puitkütuste lõpptarbimine @2030, TWh/a</t>
  </si>
  <si>
    <t>Puitkütuste lõpptarbimine @2030, mln tm/a</t>
  </si>
  <si>
    <t>Kütusevabad taastuvad allikad @2030, TWh/a</t>
  </si>
  <si>
    <t>Põlevkivi kasutamine*</t>
  </si>
  <si>
    <t>Põlevkivi kasutamine @2030</t>
  </si>
  <si>
    <t>Primaarenergia tarbimine @ 2030</t>
  </si>
  <si>
    <t>Primaarenergiaga varustatus @ 2030</t>
  </si>
  <si>
    <t>Kütusevabade taastuvate allikate osakaal energia lõpptarbimisest @ 2030</t>
  </si>
  <si>
    <t>Taastuvate allikate osakaal energia lõpptarbimisest @ 2030</t>
  </si>
  <si>
    <t>HCB @ baasaasta</t>
  </si>
  <si>
    <t>HCB @ 2030</t>
  </si>
  <si>
    <t>CO2 @ 2050, 1000 t CO2 ekv</t>
  </si>
  <si>
    <t>KHG @ 2050</t>
  </si>
  <si>
    <t>= 1990. a.</t>
  </si>
  <si>
    <t>2050 = 15%</t>
  </si>
  <si>
    <t>2050 = 10%</t>
  </si>
  <si>
    <t>2050 = 20%</t>
  </si>
  <si>
    <t>2050 = 25%</t>
  </si>
  <si>
    <t>§ Lisatud andmed: KHG @ 2050</t>
  </si>
  <si>
    <t>Ökosüsteemi kvaliteet [Species*y]</t>
  </si>
  <si>
    <t>LOÜ @ 2030 [1000 t]</t>
  </si>
  <si>
    <t>PAH @ 2030 [1000 t]</t>
  </si>
  <si>
    <t>HCB @ 2030 [kg]</t>
  </si>
  <si>
    <t>§ Lisatud viide: Stsenaariumitega kaasneva õhukvaliteedi muutuse prognoos</t>
  </si>
  <si>
    <t>PM2.5-st tingitud varajaste surmajuhtumite arv @ 2012</t>
  </si>
  <si>
    <t>Tervisemõju</t>
  </si>
  <si>
    <t>surmajuhtumite arv</t>
  </si>
  <si>
    <t>§ Muudetud andmed: Elektritootmise majandusmõju</t>
  </si>
  <si>
    <t>KSH järjestus</t>
  </si>
  <si>
    <t>SOTSIAALAMAJANDUSLIKUD INDIKAATORID</t>
  </si>
  <si>
    <t>SKP MUUTUS 2015...2030 VS BAAS</t>
  </si>
  <si>
    <t>TÖÖVILJAKUSE MUUTUS 2015...2030 VS BAAS</t>
  </si>
  <si>
    <t>TÖÖHÕIVE MUUTUS 2015...2030 VS BAAS</t>
  </si>
  <si>
    <t>FOS. KÜTUSTED/SKP 2015...2030 VS BAAS</t>
  </si>
  <si>
    <t>CO2 KOGUEMISSIOON/SKP 2015...2030 VS BAAS</t>
  </si>
  <si>
    <t>VÄLISKAUBANDUSE SALDO MUUTUS 2015...2030 VS BAAS</t>
  </si>
  <si>
    <t>PRIMAARENERGIA/SKP 2015...2030 VS BAAS</t>
  </si>
  <si>
    <t>Kaubapõlevkivi kasutamine õlitootmiseks @ 2030_PK&amp;UG</t>
  </si>
  <si>
    <t>Kokku kaubapõlevkivi kasutamine_PK&amp;UG</t>
  </si>
  <si>
    <t>Kokku põlevkivi geoloogilise varu kasutamine_PK&amp;UG</t>
  </si>
  <si>
    <t>PK &amp; UG</t>
  </si>
  <si>
    <t>Kütus</t>
  </si>
  <si>
    <t>2012 TWh</t>
  </si>
  <si>
    <t>EÜ+TE 2030</t>
  </si>
  <si>
    <t>EÜ+TE++2030</t>
  </si>
  <si>
    <t>EÜ+LIB 2030</t>
  </si>
  <si>
    <t>EÜ+LIB+2030</t>
  </si>
  <si>
    <t>EÜ+PK&amp;UG 2030</t>
  </si>
  <si>
    <t xml:space="preserve">Maagaas </t>
  </si>
  <si>
    <t>Turvas</t>
  </si>
  <si>
    <t>Biomass</t>
  </si>
  <si>
    <t>Tuul</t>
  </si>
  <si>
    <t>Kivisüsi</t>
  </si>
  <si>
    <t>Kütuseta kütus (maasoojus)</t>
  </si>
  <si>
    <t>Puugaas</t>
  </si>
  <si>
    <t>Biogaas</t>
  </si>
  <si>
    <t>Jäätmed</t>
  </si>
  <si>
    <t>Hüdroenergia</t>
  </si>
  <si>
    <t>Päike</t>
  </si>
  <si>
    <t>Kütuste tarbimine @ 2030 - UTTEGAAS_soojus</t>
  </si>
  <si>
    <t>kivisöe kogus, mln t</t>
  </si>
  <si>
    <t>Kütteväärtus</t>
  </si>
  <si>
    <t>Ühik</t>
  </si>
  <si>
    <t>MWh/t</t>
  </si>
  <si>
    <t>Bensiin</t>
  </si>
  <si>
    <t>Diislikütus</t>
  </si>
  <si>
    <t>Bioetanool</t>
  </si>
  <si>
    <t>Biometaan</t>
  </si>
  <si>
    <t>Primaarenergia tarbimine @ 2030_kütuste tootmiseks</t>
  </si>
  <si>
    <t>Imporditud elekter</t>
  </si>
  <si>
    <t>sh põlevkiviõli</t>
  </si>
  <si>
    <t>sh koks</t>
  </si>
  <si>
    <t>sh Uttegaas</t>
  </si>
  <si>
    <t>Põlevkiviõli eksport</t>
  </si>
  <si>
    <t>Järjestus summaarse tulemuse alusel</t>
  </si>
  <si>
    <t>Teekaardi number</t>
  </si>
  <si>
    <t>Lähteandmed</t>
  </si>
  <si>
    <t>§ Täpsustatud elektritootmisstsenaariumite kütuste maksumuse numbrid seosest muudatustega ENMAK majandusmõjude mudelis</t>
  </si>
  <si>
    <t>§ Täpsustatud transpordi Sekkuva stsenaariumi majandusmõju seoses täpsustustega ENMAK majandusmõjude mudelis</t>
  </si>
  <si>
    <t>§ Täpsustused põlevkivikasutuses. Põlevkiviõli tootmise keskkonnamõju tulemused mudeli väljundis enam ei kajastata.</t>
  </si>
  <si>
    <t>2020 = 82%</t>
  </si>
  <si>
    <t>sh hooned 2015-2030</t>
  </si>
  <si>
    <t>Uuendatud hoonefondi stsenaariumite riigikulu</t>
  </si>
  <si>
    <t>Uuendatud SO2 heitmed elektritootmisest</t>
  </si>
  <si>
    <t>Uuendatud transpordi õhusaaste aastal 2030</t>
  </si>
  <si>
    <t xml:space="preserve">Uuendatud PM2.5 mõju </t>
  </si>
  <si>
    <t>sh RIIGI TEGEVUSTE MAKSUMUS VS BAAS [MEUR/a]</t>
  </si>
  <si>
    <t>sh MAKSUTULU LAEKUMINE VS BAAS [MEUR/a]</t>
  </si>
  <si>
    <t>VERSIOON: 2.13</t>
  </si>
  <si>
    <t>Tootmisportfell @ 2020 - PUIDUHAKE</t>
  </si>
  <si>
    <t>Tootmisportfell @ 2020 - HALUPUIT</t>
  </si>
  <si>
    <t>Tootmisportfell @ 2020 - BIOMASS</t>
  </si>
  <si>
    <t>Tootmisportfell @ 2020 - MAAGAAS</t>
  </si>
  <si>
    <t>Tootmisportfell @ 2020 - PÕLEVKIVI</t>
  </si>
  <si>
    <t>Tootmisportfell @ 2020 - PÕLEVKIVIÕLI</t>
  </si>
  <si>
    <t>Tootmisportfell @ 2020 - UTTEGAAS</t>
  </si>
  <si>
    <t>Tootmisportfell @ 2020 - KÜTTEÕLI</t>
  </si>
  <si>
    <t>Tootmisportfell @ 2020 - KIVISÜSI</t>
  </si>
  <si>
    <t>Tootmisportfell @ 2020 - TURVAS</t>
  </si>
  <si>
    <t>Tootmisportfell @ 2020 - KÜTUSETA KÜTUS (maasoojus)</t>
  </si>
  <si>
    <t>Kütuste tarbimine @ 2020 - PUIDUHAKE</t>
  </si>
  <si>
    <t>Kütuste tarbimine @ 2020 - HALUPUIT</t>
  </si>
  <si>
    <t>Kütuste tarbimine @ 2020 - MAAGAAS</t>
  </si>
  <si>
    <t>Kütuste tarbimine @ 2020 - PÕLEVKIVI</t>
  </si>
  <si>
    <t>Kütuste tarbimine @ 2020 - PÕLEVKIVIÕLI</t>
  </si>
  <si>
    <t>Kütuste tarbimine @ 2020 - TURVAS</t>
  </si>
  <si>
    <t>Kütuste tarbimine @ 2020 - UTTEGAAS</t>
  </si>
  <si>
    <t>Kütuste tarbimine @ 2020 - UTTEGAAS_soojus</t>
  </si>
  <si>
    <t>Kütuste tarbimine @ 2020 - BIOMASS</t>
  </si>
  <si>
    <t>Kütuste tarbimine @ 2020 - KÜTTEÕLI</t>
  </si>
  <si>
    <t>Kütuste tarbimine @ 2020 - KIVISÜSI</t>
  </si>
  <si>
    <t>Kütuste tarbimine @ 2020 - KÜTUSETA KÜTUS (maasoojus)</t>
  </si>
  <si>
    <t>Taastumatutest allikatest soojus lõpptarbimises @ 2030</t>
  </si>
  <si>
    <t>Taastuvatest allikatest soojus lõpptarbimises @ 2030</t>
  </si>
  <si>
    <t>Kütusevabad taastuvad allikad lõpptarbimises @ 2030</t>
  </si>
  <si>
    <t>Taastumatutest allikatest soojus lõpptarbimises @ 2020</t>
  </si>
  <si>
    <t>Taastuvatest allikatest soojus lõpptarbimises @ 2020</t>
  </si>
  <si>
    <t>Kütusevabad taastuvad allikad lõpptarbimises @ 2020</t>
  </si>
  <si>
    <t>Taastumatutest allikatest soojus @ 2020 [TWh/a]</t>
  </si>
  <si>
    <t>Taastuvatest allikatest soojus @ 2020 [TWh/a]</t>
  </si>
  <si>
    <t>Kütusevabad taastuvad allikad @2020, TWh/a</t>
  </si>
  <si>
    <t>Tootmisportfell @ 2020 - PÄIKE</t>
  </si>
  <si>
    <t>Tootmisportfell @ 2020 - PUUGAAS</t>
  </si>
  <si>
    <t>Tootmisportfell @ 2020 - BIOGAAS</t>
  </si>
  <si>
    <t>Tootmisportfell @ 2020 - KOKS</t>
  </si>
  <si>
    <t>Tootmisportfell @ 2020 - JÄÄTMED</t>
  </si>
  <si>
    <t>Tootmisportfell @ 2020 - HÜDROENERGIA</t>
  </si>
  <si>
    <t>Tootmisportfell @ 2020 - TUUL</t>
  </si>
  <si>
    <t>Kütuste tarbimine @ 2020 - PUUGAAS</t>
  </si>
  <si>
    <t>Kütuste tarbimine @ 2020 - BIOGAAS</t>
  </si>
  <si>
    <t>Kütuste tarbimine @ 2020 - KOKS</t>
  </si>
  <si>
    <t>Kütuste tarbimine @ 2020 - JÄÄTMED</t>
  </si>
  <si>
    <t>Taastumatutest allikatest elekter @ 2020 [TWh/a]</t>
  </si>
  <si>
    <t>Taastuvatest allikatest elekter @ 2020 [TWh/a]</t>
  </si>
  <si>
    <t>Kütusevabad taastuvad allikad @ 2020 [TWh/a]</t>
  </si>
  <si>
    <t>Taastumatutest allikatest elekter lõpptarbimises @ 2030</t>
  </si>
  <si>
    <t>Taastumatutest allikatest elekter lõpptarbimises @ 2020</t>
  </si>
  <si>
    <t>Taastuvatest allikatest elekter lõpptarbimises @ 2020</t>
  </si>
  <si>
    <t>Taastuvatest allikatest elekter lõpptarbimises @ 2030</t>
  </si>
  <si>
    <t>BENSIIN tarbimine 2020</t>
  </si>
  <si>
    <t>DIISEL tarbimine 2020</t>
  </si>
  <si>
    <t>MAAGAAS tarbimine 2020</t>
  </si>
  <si>
    <t>ETANOOL tarbimine 2020</t>
  </si>
  <si>
    <t>BIODIISEL tarbimine 2020</t>
  </si>
  <si>
    <t>BIOMETAAN tarbimine 2020</t>
  </si>
  <si>
    <t>Taastuvatest allikatest tarbitavad mootorikütused @ 2020</t>
  </si>
  <si>
    <t>Riigi kulud 2015-2030 vs BAAS_mudelist</t>
  </si>
  <si>
    <t>Riigi kulud 2015-2030 VS BAAS</t>
  </si>
  <si>
    <t>Taastuvate allikate osakaal energia lõpptarbimisest @ 2020</t>
  </si>
  <si>
    <t>v_2_12 ning v_2_13</t>
  </si>
  <si>
    <t>Uuendatud taastuvenergia osakaalu arvutusi</t>
  </si>
  <si>
    <t>Uuendatud sisendid majandusmõjude mudelist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</si>
</sst>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164" formatCode="_-* #,##0.00\ _k_r_-;\-* #,##0.00\ _k_r_-;_-* &quot;-&quot;??\ _k_r_-;_-@_-"/>
    <numFmt numFmtId="165" formatCode="0.0"/>
    <numFmt numFmtId="166" formatCode="0.0000"/>
    <numFmt numFmtId="167" formatCode="0.0%"/>
    <numFmt numFmtId="168" formatCode="0.000000"/>
    <numFmt numFmtId="169" formatCode="_ * #,##0.00_ ;_ * \-#,##0.00_ ;_ * &quot;-&quot;??_ ;_ @_ "/>
    <numFmt numFmtId="170" formatCode="0.000"/>
  </numFmts>
  <fonts count="75" x14ac:knownFonts="1">
    <font>
      <sz val="11"/>
      <color theme="1"/>
      <name val="Calibri"/>
      <family val="2"/>
      <charset val="186"/>
      <scheme val="minor"/>
    </font>
    <font>
      <b/>
      <sz val="11"/>
      <color theme="1"/>
      <name val="Calibri"/>
      <family val="2"/>
      <charset val="186"/>
      <scheme val="minor"/>
    </font>
    <font>
      <sz val="8"/>
      <color rgb="FF000000"/>
      <name val="Arial"/>
      <family val="2"/>
      <charset val="186"/>
    </font>
    <font>
      <sz val="11"/>
      <color theme="9"/>
      <name val="Calibri"/>
      <family val="2"/>
      <charset val="186"/>
      <scheme val="minor"/>
    </font>
    <font>
      <sz val="8"/>
      <name val="Arial"/>
      <family val="2"/>
      <charset val="186"/>
    </font>
    <font>
      <sz val="8"/>
      <color rgb="FFC00000"/>
      <name val="Arial"/>
      <family val="2"/>
      <charset val="186"/>
    </font>
    <font>
      <u/>
      <sz val="11"/>
      <color theme="1"/>
      <name val="Calibri"/>
      <family val="2"/>
      <charset val="186"/>
      <scheme val="minor"/>
    </font>
    <font>
      <i/>
      <sz val="11"/>
      <color theme="1"/>
      <name val="Calibri"/>
      <family val="2"/>
      <charset val="186"/>
      <scheme val="minor"/>
    </font>
    <font>
      <sz val="9"/>
      <color theme="1"/>
      <name val="Calibri"/>
      <family val="2"/>
      <charset val="186"/>
      <scheme val="minor"/>
    </font>
    <font>
      <sz val="14"/>
      <color theme="1"/>
      <name val="Calibri"/>
      <family val="2"/>
      <charset val="186"/>
      <scheme val="minor"/>
    </font>
    <font>
      <b/>
      <sz val="9"/>
      <color indexed="81"/>
      <name val="Tahoma"/>
      <family val="2"/>
      <charset val="186"/>
    </font>
    <font>
      <sz val="11"/>
      <color rgb="FFFF0000"/>
      <name val="Calibri"/>
      <family val="2"/>
      <charset val="186"/>
      <scheme val="minor"/>
    </font>
    <font>
      <b/>
      <sz val="8"/>
      <color rgb="FF000000"/>
      <name val="Arial"/>
      <family val="2"/>
      <charset val="186"/>
    </font>
    <font>
      <b/>
      <sz val="11"/>
      <color rgb="FFC00000"/>
      <name val="Calibri"/>
      <family val="2"/>
      <charset val="186"/>
      <scheme val="minor"/>
    </font>
    <font>
      <sz val="8"/>
      <color theme="1"/>
      <name val="Arial"/>
      <family val="2"/>
      <charset val="186"/>
    </font>
    <font>
      <sz val="8"/>
      <color theme="1"/>
      <name val="Calibri"/>
      <family val="2"/>
      <charset val="186"/>
      <scheme val="minor"/>
    </font>
    <font>
      <b/>
      <i/>
      <sz val="11"/>
      <color theme="1"/>
      <name val="Calibri"/>
      <family val="2"/>
      <charset val="186"/>
      <scheme val="minor"/>
    </font>
    <font>
      <b/>
      <sz val="8"/>
      <color theme="1"/>
      <name val="Calibri"/>
      <family val="2"/>
      <charset val="186"/>
      <scheme val="minor"/>
    </font>
    <font>
      <u/>
      <sz val="11"/>
      <color theme="10"/>
      <name val="Calibri"/>
      <family val="2"/>
      <charset val="186"/>
      <scheme val="minor"/>
    </font>
    <font>
      <sz val="9"/>
      <name val="Calibri"/>
      <family val="2"/>
      <charset val="186"/>
      <scheme val="minor"/>
    </font>
    <font>
      <sz val="11"/>
      <name val="Calibri"/>
      <family val="2"/>
      <charset val="186"/>
      <scheme val="minor"/>
    </font>
    <font>
      <b/>
      <u/>
      <sz val="11"/>
      <color theme="1"/>
      <name val="Calibri"/>
      <family val="2"/>
      <charset val="186"/>
      <scheme val="minor"/>
    </font>
    <font>
      <b/>
      <sz val="9"/>
      <color theme="1"/>
      <name val="Calibri"/>
      <family val="2"/>
      <charset val="186"/>
      <scheme val="minor"/>
    </font>
    <font>
      <sz val="10"/>
      <color theme="1"/>
      <name val="Calibri"/>
      <family val="2"/>
      <charset val="186"/>
      <scheme val="minor"/>
    </font>
    <font>
      <b/>
      <sz val="10"/>
      <color theme="1"/>
      <name val="Calibri"/>
      <family val="2"/>
      <charset val="186"/>
      <scheme val="minor"/>
    </font>
    <font>
      <sz val="10"/>
      <color theme="1"/>
      <name val="Calibri"/>
      <family val="2"/>
      <charset val="186"/>
    </font>
    <font>
      <b/>
      <u/>
      <sz val="14"/>
      <color theme="10"/>
      <name val="Calibri"/>
      <family val="2"/>
      <charset val="186"/>
      <scheme val="minor"/>
    </font>
    <font>
      <sz val="9"/>
      <color indexed="81"/>
      <name val="Tahoma"/>
      <family val="2"/>
      <charset val="186"/>
    </font>
    <font>
      <b/>
      <sz val="11"/>
      <name val="Calibri"/>
      <family val="2"/>
      <charset val="186"/>
      <scheme val="minor"/>
    </font>
    <font>
      <i/>
      <sz val="9"/>
      <color theme="1"/>
      <name val="Calibri"/>
      <family val="2"/>
      <charset val="186"/>
      <scheme val="minor"/>
    </font>
    <font>
      <b/>
      <sz val="9"/>
      <color rgb="FFC00000"/>
      <name val="Calibri"/>
      <family val="2"/>
      <charset val="186"/>
      <scheme val="minor"/>
    </font>
    <font>
      <sz val="11"/>
      <color rgb="FF9C6500"/>
      <name val="Calibri"/>
      <family val="2"/>
      <charset val="186"/>
      <scheme val="minor"/>
    </font>
    <font>
      <sz val="11"/>
      <color theme="10"/>
      <name val="Calibri"/>
      <family val="2"/>
      <charset val="186"/>
      <scheme val="minor"/>
    </font>
    <font>
      <sz val="11"/>
      <color rgb="FF000000"/>
      <name val="Calibri"/>
      <family val="2"/>
      <charset val="186"/>
      <scheme val="minor"/>
    </font>
    <font>
      <sz val="12"/>
      <color theme="1"/>
      <name val="Calibri"/>
      <family val="2"/>
      <charset val="186"/>
      <scheme val="minor"/>
    </font>
    <font>
      <b/>
      <sz val="12"/>
      <color theme="1"/>
      <name val="Calibri"/>
      <family val="2"/>
      <charset val="186"/>
      <scheme val="minor"/>
    </font>
    <font>
      <sz val="11"/>
      <color theme="1"/>
      <name val="Calibri"/>
      <family val="2"/>
      <charset val="186"/>
    </font>
    <font>
      <b/>
      <i/>
      <sz val="14"/>
      <color theme="1"/>
      <name val="Calibri"/>
      <family val="2"/>
      <charset val="186"/>
      <scheme val="minor"/>
    </font>
    <font>
      <b/>
      <sz val="14"/>
      <color theme="1"/>
      <name val="Calibri"/>
      <family val="2"/>
      <charset val="186"/>
      <scheme val="minor"/>
    </font>
    <font>
      <sz val="11"/>
      <color theme="1"/>
      <name val="Calibri"/>
      <family val="2"/>
      <charset val="186"/>
      <scheme val="minor"/>
    </font>
    <font>
      <b/>
      <sz val="11"/>
      <color rgb="FFFF0000"/>
      <name val="Calibri"/>
      <family val="2"/>
      <charset val="186"/>
      <scheme val="minor"/>
    </font>
    <font>
      <b/>
      <i/>
      <sz val="9"/>
      <color indexed="81"/>
      <name val="Tahoma"/>
      <family val="2"/>
      <charset val="186"/>
    </font>
    <font>
      <b/>
      <sz val="10"/>
      <color rgb="FFC00000"/>
      <name val="Calibri"/>
      <family val="2"/>
      <charset val="186"/>
      <scheme val="minor"/>
    </font>
    <font>
      <u/>
      <sz val="11"/>
      <name val="Calibri"/>
      <family val="2"/>
      <charset val="186"/>
      <scheme val="minor"/>
    </font>
    <font>
      <b/>
      <u/>
      <sz val="9"/>
      <color theme="4" tint="-0.249977111117893"/>
      <name val="Arial"/>
      <family val="2"/>
      <charset val="186"/>
    </font>
    <font>
      <sz val="28"/>
      <color theme="1"/>
      <name val="Calibri"/>
      <family val="2"/>
      <charset val="186"/>
    </font>
    <font>
      <sz val="28"/>
      <color theme="1"/>
      <name val="Calibri"/>
      <family val="2"/>
      <charset val="186"/>
      <scheme val="minor"/>
    </font>
    <font>
      <sz val="11"/>
      <color theme="1"/>
      <name val="Arial"/>
      <family val="2"/>
      <charset val="186"/>
    </font>
    <font>
      <sz val="11"/>
      <color rgb="FF46B4E6"/>
      <name val="Calibri"/>
      <family val="2"/>
      <charset val="186"/>
      <scheme val="minor"/>
    </font>
    <font>
      <sz val="18"/>
      <name val="Calibri"/>
      <family val="2"/>
      <charset val="186"/>
      <scheme val="minor"/>
    </font>
    <font>
      <sz val="16"/>
      <name val="Arial"/>
      <family val="2"/>
      <charset val="186"/>
    </font>
    <font>
      <sz val="22"/>
      <name val="Calibri"/>
      <family val="2"/>
      <charset val="186"/>
      <scheme val="minor"/>
    </font>
    <font>
      <b/>
      <sz val="22"/>
      <name val="Calibri"/>
      <family val="2"/>
      <charset val="186"/>
      <scheme val="minor"/>
    </font>
    <font>
      <b/>
      <sz val="11"/>
      <color theme="0"/>
      <name val="Calibri"/>
      <family val="2"/>
      <charset val="186"/>
      <scheme val="minor"/>
    </font>
    <font>
      <sz val="11"/>
      <color theme="0"/>
      <name val="Calibri"/>
      <family val="2"/>
      <charset val="186"/>
      <scheme val="minor"/>
    </font>
    <font>
      <b/>
      <sz val="10"/>
      <color rgb="FF000000"/>
      <name val="Arial"/>
      <family val="2"/>
      <charset val="186"/>
    </font>
    <font>
      <sz val="10"/>
      <color rgb="FF000000"/>
      <name val="Arial"/>
      <family val="2"/>
      <charset val="186"/>
    </font>
    <font>
      <sz val="11"/>
      <color theme="0" tint="-4.9989318521683403E-2"/>
      <name val="Calibri"/>
      <family val="2"/>
      <charset val="186"/>
      <scheme val="minor"/>
    </font>
    <font>
      <sz val="11"/>
      <color rgb="FF006100"/>
      <name val="Calibri"/>
      <family val="2"/>
      <charset val="186"/>
      <scheme val="minor"/>
    </font>
    <font>
      <sz val="11"/>
      <color theme="2" tint="-0.499984740745262"/>
      <name val="Calibri"/>
      <family val="2"/>
      <charset val="186"/>
      <scheme val="minor"/>
    </font>
    <font>
      <b/>
      <sz val="11"/>
      <color theme="2" tint="-0.499984740745262"/>
      <name val="Calibri"/>
      <family val="2"/>
      <charset val="186"/>
      <scheme val="minor"/>
    </font>
    <font>
      <sz val="9"/>
      <name val="Arial"/>
      <family val="2"/>
      <charset val="186"/>
    </font>
    <font>
      <b/>
      <sz val="9"/>
      <color indexed="81"/>
      <name val="Segoe UI"/>
      <family val="2"/>
      <charset val="186"/>
    </font>
    <font>
      <b/>
      <sz val="9"/>
      <color theme="1"/>
      <name val="Times New Roman"/>
      <family val="1"/>
      <charset val="186"/>
    </font>
    <font>
      <sz val="9"/>
      <color theme="1"/>
      <name val="Times New Roman"/>
      <family val="1"/>
      <charset val="186"/>
    </font>
    <font>
      <sz val="10"/>
      <name val="Arial"/>
      <family val="2"/>
      <charset val="186"/>
    </font>
    <font>
      <sz val="10"/>
      <name val="Arial"/>
      <family val="2"/>
    </font>
    <font>
      <sz val="10"/>
      <name val="Arial"/>
      <family val="2"/>
      <charset val="161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</font>
    <font>
      <sz val="12"/>
      <color theme="1"/>
      <name val="Calibri"/>
      <family val="2"/>
      <scheme val="minor"/>
    </font>
    <font>
      <sz val="11"/>
      <color theme="1"/>
      <name val="Calibri"/>
      <family val="2"/>
    </font>
    <font>
      <sz val="10"/>
      <name val="MS Sans Serif"/>
      <family val="2"/>
      <charset val="186"/>
    </font>
    <font>
      <u/>
      <sz val="10"/>
      <color theme="10"/>
      <name val="Arial"/>
      <family val="2"/>
      <charset val="186"/>
    </font>
    <font>
      <b/>
      <sz val="3"/>
      <color theme="1"/>
      <name val="Calibri"/>
      <family val="2"/>
      <charset val="186"/>
      <scheme val="minor"/>
    </font>
  </fonts>
  <fills count="2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EB9C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46B4E6"/>
        <bgColor indexed="64"/>
      </patternFill>
    </fill>
    <fill>
      <patternFill patternType="solid">
        <fgColor rgb="FF78B428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C6EFCE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6" tint="0.59996337778862885"/>
        <bgColor indexed="64"/>
      </patternFill>
    </fill>
  </fills>
  <borders count="31">
    <border>
      <left/>
      <right/>
      <top/>
      <bottom/>
      <diagonal/>
    </border>
    <border>
      <left style="thin">
        <color auto="1"/>
      </left>
      <right/>
      <top/>
      <bottom/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theme="0" tint="-0.24994659260841701"/>
      </right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theme="0" tint="-0.24994659260841701"/>
      </right>
      <top/>
      <bottom style="thin">
        <color auto="1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auto="1"/>
      </bottom>
      <diagonal/>
    </border>
    <border>
      <left style="thin">
        <color theme="0" tint="-0.24994659260841701"/>
      </left>
      <right/>
      <top/>
      <bottom style="thin">
        <color theme="0" tint="-0.24994659260841701"/>
      </bottom>
      <diagonal/>
    </border>
    <border>
      <left/>
      <right style="thin">
        <color theme="0" tint="-0.24994659260841701"/>
      </right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auto="1"/>
      </bottom>
      <diagonal/>
    </border>
    <border>
      <left style="thin">
        <color theme="0" tint="-0.24994659260841701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 style="thin">
        <color theme="0" tint="-0.24994659260841701"/>
      </top>
      <bottom/>
      <diagonal/>
    </border>
    <border>
      <left/>
      <right style="thin">
        <color theme="0" tint="-0.2499465926084170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41">
    <xf numFmtId="0" fontId="0" fillId="0" borderId="0"/>
    <xf numFmtId="0" fontId="18" fillId="0" borderId="0" applyNumberFormat="0" applyFill="0" applyBorder="0" applyAlignment="0" applyProtection="0"/>
    <xf numFmtId="0" fontId="31" fillId="10" borderId="0" applyNumberFormat="0" applyBorder="0" applyAlignment="0" applyProtection="0"/>
    <xf numFmtId="9" fontId="39" fillId="0" borderId="0" applyFont="0" applyFill="0" applyBorder="0" applyAlignment="0" applyProtection="0"/>
    <xf numFmtId="0" fontId="4" fillId="0" borderId="0"/>
    <xf numFmtId="0" fontId="58" fillId="18" borderId="0" applyNumberFormat="0" applyBorder="0" applyAlignment="0" applyProtection="0"/>
    <xf numFmtId="0" fontId="65" fillId="0" borderId="0"/>
    <xf numFmtId="0" fontId="66" fillId="4" borderId="0" applyNumberFormat="0" applyFont="0" applyBorder="0" applyAlignment="0" applyProtection="0"/>
    <xf numFmtId="169" fontId="67" fillId="6" borderId="0" applyNumberFormat="0" applyFont="0" applyBorder="0" applyAlignment="0" applyProtection="0"/>
    <xf numFmtId="169" fontId="68" fillId="0" borderId="0" applyFont="0" applyFill="0" applyBorder="0" applyAlignment="0" applyProtection="0"/>
    <xf numFmtId="169" fontId="68" fillId="0" borderId="0" applyFont="0" applyFill="0" applyBorder="0" applyAlignment="0" applyProtection="0"/>
    <xf numFmtId="0" fontId="58" fillId="18" borderId="0" applyNumberFormat="0" applyBorder="0" applyAlignment="0" applyProtection="0"/>
    <xf numFmtId="0" fontId="69" fillId="0" borderId="0" applyNumberFormat="0" applyFill="0" applyBorder="0" applyAlignment="0" applyProtection="0">
      <alignment vertical="top"/>
      <protection locked="0"/>
    </xf>
    <xf numFmtId="0" fontId="66" fillId="23" borderId="0" applyNumberFormat="0" applyFont="0" applyBorder="0" applyAlignment="0" applyProtection="0">
      <alignment horizontal="center"/>
    </xf>
    <xf numFmtId="0" fontId="39" fillId="0" borderId="0"/>
    <xf numFmtId="0" fontId="66" fillId="0" borderId="0"/>
    <xf numFmtId="0" fontId="39" fillId="0" borderId="0" applyNumberFormat="0" applyFont="0" applyFill="0" applyBorder="0" applyProtection="0">
      <alignment vertical="center"/>
    </xf>
    <xf numFmtId="0" fontId="70" fillId="0" borderId="0"/>
    <xf numFmtId="0" fontId="66" fillId="24" borderId="0" applyNumberFormat="0" applyFont="0" applyBorder="0" applyAlignment="0" applyProtection="0"/>
    <xf numFmtId="0" fontId="66" fillId="0" borderId="0"/>
    <xf numFmtId="0" fontId="66" fillId="0" borderId="0"/>
    <xf numFmtId="0" fontId="66" fillId="0" borderId="0"/>
    <xf numFmtId="0" fontId="71" fillId="0" borderId="0"/>
    <xf numFmtId="0" fontId="71" fillId="0" borderId="0"/>
    <xf numFmtId="0" fontId="65" fillId="0" borderId="0"/>
    <xf numFmtId="0" fontId="72" fillId="0" borderId="0"/>
    <xf numFmtId="0" fontId="65" fillId="0" borderId="0"/>
    <xf numFmtId="0" fontId="39" fillId="0" borderId="0"/>
    <xf numFmtId="9" fontId="65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66" fillId="0" borderId="0" applyFont="0" applyFill="0" applyBorder="0" applyAlignment="0" applyProtection="0"/>
    <xf numFmtId="9" fontId="68" fillId="0" borderId="0" applyFont="0" applyFill="0" applyBorder="0" applyAlignment="0" applyProtection="0"/>
    <xf numFmtId="0" fontId="66" fillId="0" borderId="0"/>
    <xf numFmtId="0" fontId="68" fillId="0" borderId="0"/>
    <xf numFmtId="0" fontId="68" fillId="0" borderId="0"/>
    <xf numFmtId="0" fontId="68" fillId="0" borderId="0"/>
    <xf numFmtId="164" fontId="66" fillId="22" borderId="0" applyNumberFormat="0" applyFont="0" applyBorder="0" applyAlignment="0" applyProtection="0"/>
    <xf numFmtId="164" fontId="66" fillId="17" borderId="0" applyNumberFormat="0" applyFont="0" applyBorder="0" applyAlignment="0" applyProtection="0"/>
    <xf numFmtId="164" fontId="66" fillId="22" borderId="0" applyNumberFormat="0" applyFont="0" applyBorder="0" applyAlignment="0" applyProtection="0"/>
    <xf numFmtId="0" fontId="73" fillId="0" borderId="0" applyNumberFormat="0" applyFill="0" applyBorder="0" applyAlignment="0" applyProtection="0">
      <alignment vertical="top"/>
      <protection locked="0"/>
    </xf>
    <xf numFmtId="9" fontId="65" fillId="0" borderId="0" applyFont="0" applyFill="0" applyBorder="0" applyAlignment="0" applyProtection="0"/>
  </cellStyleXfs>
  <cellXfs count="535">
    <xf numFmtId="0" fontId="0" fillId="0" borderId="0" xfId="0"/>
    <xf numFmtId="0" fontId="2" fillId="2" borderId="0" xfId="0" applyFont="1" applyFill="1"/>
    <xf numFmtId="0" fontId="0" fillId="2" borderId="0" xfId="0" applyFill="1"/>
    <xf numFmtId="0" fontId="2" fillId="3" borderId="0" xfId="0" applyFont="1" applyFill="1"/>
    <xf numFmtId="0" fontId="0" fillId="3" borderId="0" xfId="0" applyFill="1"/>
    <xf numFmtId="0" fontId="0" fillId="4" borderId="0" xfId="0" applyFill="1"/>
    <xf numFmtId="0" fontId="2" fillId="4" borderId="0" xfId="0" applyFont="1" applyFill="1"/>
    <xf numFmtId="0" fontId="1" fillId="0" borderId="0" xfId="0" applyFont="1"/>
    <xf numFmtId="0" fontId="1" fillId="4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right"/>
    </xf>
    <xf numFmtId="0" fontId="2" fillId="3" borderId="0" xfId="0" applyFont="1" applyFill="1" applyAlignment="1">
      <alignment horizontal="right"/>
    </xf>
    <xf numFmtId="0" fontId="1" fillId="2" borderId="0" xfId="0" applyFont="1" applyFill="1" applyAlignment="1">
      <alignment horizontal="center" vertical="center" textRotation="90" wrapText="1"/>
    </xf>
    <xf numFmtId="10" fontId="2" fillId="3" borderId="0" xfId="0" applyNumberFormat="1" applyFont="1" applyFill="1" applyBorder="1" applyAlignment="1">
      <alignment horizontal="right" vertical="center" wrapText="1"/>
    </xf>
    <xf numFmtId="2" fontId="0" fillId="3" borderId="0" xfId="0" applyNumberFormat="1" applyFill="1"/>
    <xf numFmtId="2" fontId="0" fillId="4" borderId="0" xfId="0" applyNumberFormat="1" applyFill="1"/>
    <xf numFmtId="1" fontId="3" fillId="2" borderId="0" xfId="0" applyNumberFormat="1" applyFont="1" applyFill="1"/>
    <xf numFmtId="0" fontId="12" fillId="2" borderId="0" xfId="0" applyFont="1" applyFill="1"/>
    <xf numFmtId="0" fontId="1" fillId="2" borderId="0" xfId="0" applyFont="1" applyFill="1"/>
    <xf numFmtId="0" fontId="12" fillId="2" borderId="0" xfId="0" applyFont="1" applyFill="1" applyAlignment="1">
      <alignment horizontal="left"/>
    </xf>
    <xf numFmtId="10" fontId="14" fillId="3" borderId="0" xfId="0" applyNumberFormat="1" applyFont="1" applyFill="1" applyBorder="1" applyAlignment="1">
      <alignment horizontal="right" vertical="center" wrapText="1"/>
    </xf>
    <xf numFmtId="0" fontId="14" fillId="0" borderId="0" xfId="0" applyFont="1" applyAlignment="1">
      <alignment wrapText="1"/>
    </xf>
    <xf numFmtId="0" fontId="2" fillId="4" borderId="0" xfId="0" applyFont="1" applyFill="1" applyAlignment="1">
      <alignment horizontal="right"/>
    </xf>
    <xf numFmtId="1" fontId="3" fillId="4" borderId="0" xfId="0" applyNumberFormat="1" applyFont="1" applyFill="1"/>
    <xf numFmtId="0" fontId="3" fillId="4" borderId="0" xfId="0" applyFont="1" applyFill="1"/>
    <xf numFmtId="0" fontId="0" fillId="0" borderId="0" xfId="0"/>
    <xf numFmtId="0" fontId="2" fillId="2" borderId="0" xfId="0" applyFont="1" applyFill="1"/>
    <xf numFmtId="0" fontId="0" fillId="2" borderId="0" xfId="0" applyFill="1"/>
    <xf numFmtId="0" fontId="2" fillId="3" borderId="0" xfId="0" applyFont="1" applyFill="1"/>
    <xf numFmtId="0" fontId="0" fillId="3" borderId="0" xfId="0" applyFill="1"/>
    <xf numFmtId="0" fontId="0" fillId="4" borderId="0" xfId="0" applyFill="1"/>
    <xf numFmtId="0" fontId="2" fillId="4" borderId="0" xfId="0" applyFont="1" applyFill="1"/>
    <xf numFmtId="0" fontId="1" fillId="0" borderId="0" xfId="0" applyFont="1"/>
    <xf numFmtId="0" fontId="1" fillId="4" borderId="0" xfId="0" applyFont="1" applyFill="1"/>
    <xf numFmtId="0" fontId="2" fillId="2" borderId="0" xfId="0" applyFont="1" applyFill="1" applyAlignment="1">
      <alignment horizontal="right"/>
    </xf>
    <xf numFmtId="0" fontId="2" fillId="2" borderId="0" xfId="0" applyFont="1" applyFill="1" applyAlignment="1">
      <alignment horizontal="left"/>
    </xf>
    <xf numFmtId="0" fontId="1" fillId="2" borderId="0" xfId="0" applyFont="1" applyFill="1" applyAlignment="1">
      <alignment horizontal="center" vertical="center" textRotation="90" wrapText="1"/>
    </xf>
    <xf numFmtId="0" fontId="1" fillId="4" borderId="0" xfId="0" applyFont="1" applyFill="1" applyAlignment="1">
      <alignment horizontal="center" vertical="center" textRotation="90" wrapText="1"/>
    </xf>
    <xf numFmtId="49" fontId="1" fillId="4" borderId="0" xfId="0" applyNumberFormat="1" applyFont="1" applyFill="1" applyAlignment="1">
      <alignment horizontal="center" vertical="center" textRotation="90" wrapText="1"/>
    </xf>
    <xf numFmtId="0" fontId="0" fillId="3" borderId="0" xfId="0" applyFill="1" applyBorder="1" applyAlignment="1">
      <alignment horizontal="right"/>
    </xf>
    <xf numFmtId="2" fontId="0" fillId="3" borderId="0" xfId="0" applyNumberFormat="1" applyFill="1"/>
    <xf numFmtId="0" fontId="11" fillId="2" borderId="0" xfId="0" applyFont="1" applyFill="1"/>
    <xf numFmtId="0" fontId="12" fillId="2" borderId="0" xfId="0" applyFont="1" applyFill="1"/>
    <xf numFmtId="0" fontId="1" fillId="2" borderId="0" xfId="0" applyFont="1" applyFill="1"/>
    <xf numFmtId="0" fontId="12" fillId="2" borderId="0" xfId="0" applyFont="1" applyFill="1" applyAlignment="1">
      <alignment horizontal="left"/>
    </xf>
    <xf numFmtId="0" fontId="1" fillId="3" borderId="0" xfId="0" applyFont="1" applyFill="1" applyAlignment="1">
      <alignment horizontal="center" vertical="center" textRotation="90" wrapText="1"/>
    </xf>
    <xf numFmtId="0" fontId="1" fillId="2" borderId="0" xfId="0" applyFont="1" applyFill="1" applyAlignment="1">
      <alignment horizontal="center" vertical="center" textRotation="90" wrapText="1"/>
    </xf>
    <xf numFmtId="0" fontId="12" fillId="2" borderId="0" xfId="0" applyFont="1" applyFill="1" applyAlignment="1">
      <alignment horizontal="left" wrapText="1"/>
    </xf>
    <xf numFmtId="0" fontId="0" fillId="2" borderId="0" xfId="0" applyFill="1" applyBorder="1" applyProtection="1"/>
    <xf numFmtId="0" fontId="0" fillId="2" borderId="0" xfId="0" applyFill="1" applyBorder="1" applyAlignment="1" applyProtection="1"/>
    <xf numFmtId="0" fontId="0" fillId="2" borderId="0" xfId="0" applyFill="1" applyProtection="1"/>
    <xf numFmtId="0" fontId="0" fillId="3" borderId="0" xfId="0" applyFill="1" applyProtection="1"/>
    <xf numFmtId="0" fontId="15" fillId="2" borderId="0" xfId="0" applyFont="1" applyFill="1" applyBorder="1" applyProtection="1"/>
    <xf numFmtId="0" fontId="23" fillId="2" borderId="0" xfId="0" applyFont="1" applyFill="1" applyBorder="1" applyAlignment="1" applyProtection="1"/>
    <xf numFmtId="0" fontId="15" fillId="2" borderId="0" xfId="0" applyFont="1" applyFill="1" applyAlignment="1" applyProtection="1">
      <alignment textRotation="90"/>
    </xf>
    <xf numFmtId="0" fontId="15" fillId="2" borderId="0" xfId="0" applyFont="1" applyFill="1" applyProtection="1"/>
    <xf numFmtId="165" fontId="1" fillId="2" borderId="0" xfId="0" applyNumberFormat="1" applyFont="1" applyFill="1" applyBorder="1" applyAlignment="1" applyProtection="1">
      <alignment horizontal="center" vertical="center"/>
    </xf>
    <xf numFmtId="0" fontId="9" fillId="2" borderId="0" xfId="0" applyFont="1" applyFill="1" applyBorder="1" applyProtection="1"/>
    <xf numFmtId="0" fontId="0" fillId="2" borderId="0" xfId="0" applyFill="1" applyAlignment="1" applyProtection="1">
      <alignment horizontal="center" vertical="center"/>
    </xf>
    <xf numFmtId="0" fontId="0" fillId="2" borderId="0" xfId="0" applyFont="1" applyFill="1" applyBorder="1" applyAlignment="1" applyProtection="1">
      <alignment vertical="top" wrapText="1"/>
    </xf>
    <xf numFmtId="0" fontId="0" fillId="2" borderId="0" xfId="0" applyFont="1" applyFill="1" applyBorder="1" applyAlignment="1" applyProtection="1">
      <alignment horizontal="left" vertical="top" wrapText="1" indent="5"/>
    </xf>
    <xf numFmtId="0" fontId="1" fillId="2" borderId="0" xfId="0" applyFont="1" applyFill="1" applyBorder="1" applyAlignment="1" applyProtection="1">
      <alignment horizontal="left" indent="4"/>
    </xf>
    <xf numFmtId="0" fontId="1" fillId="2" borderId="0" xfId="0" applyFont="1" applyFill="1" applyProtection="1"/>
    <xf numFmtId="0" fontId="18" fillId="2" borderId="0" xfId="1" applyFill="1" applyProtection="1"/>
    <xf numFmtId="0" fontId="0" fillId="0" borderId="0" xfId="0" applyFill="1" applyProtection="1"/>
    <xf numFmtId="0" fontId="15" fillId="0" borderId="0" xfId="0" applyFont="1" applyFill="1" applyAlignment="1" applyProtection="1">
      <alignment textRotation="90"/>
    </xf>
    <xf numFmtId="0" fontId="0" fillId="0" borderId="0" xfId="0" applyFill="1" applyBorder="1" applyProtection="1"/>
    <xf numFmtId="0" fontId="0" fillId="0" borderId="0" xfId="0" applyFill="1" applyAlignment="1" applyProtection="1">
      <alignment horizontal="center" vertical="center"/>
    </xf>
    <xf numFmtId="0" fontId="0" fillId="0" borderId="0" xfId="0" applyProtection="1"/>
    <xf numFmtId="0" fontId="0" fillId="3" borderId="0" xfId="0" applyFill="1" applyAlignment="1" applyProtection="1">
      <alignment horizontal="center" vertical="center"/>
    </xf>
    <xf numFmtId="0" fontId="0" fillId="3" borderId="0" xfId="0" applyFill="1" applyBorder="1" applyProtection="1"/>
    <xf numFmtId="0" fontId="0" fillId="0" borderId="0" xfId="0" applyAlignment="1" applyProtection="1">
      <alignment horizontal="center" vertical="center"/>
    </xf>
    <xf numFmtId="0" fontId="1" fillId="3" borderId="0" xfId="0" applyFont="1" applyFill="1" applyAlignment="1">
      <alignment horizontal="center" vertical="center" textRotation="90" wrapText="1"/>
    </xf>
    <xf numFmtId="9" fontId="0" fillId="3" borderId="0" xfId="0" applyNumberFormat="1" applyFill="1"/>
    <xf numFmtId="0" fontId="17" fillId="2" borderId="0" xfId="0" applyFont="1" applyFill="1" applyBorder="1" applyAlignment="1" applyProtection="1"/>
    <xf numFmtId="0" fontId="26" fillId="2" borderId="0" xfId="1" applyFont="1" applyFill="1" applyBorder="1" applyAlignment="1" applyProtection="1">
      <alignment textRotation="90"/>
    </xf>
    <xf numFmtId="165" fontId="31" fillId="10" borderId="0" xfId="2" applyNumberFormat="1"/>
    <xf numFmtId="0" fontId="1" fillId="2" borderId="0" xfId="0" applyFont="1" applyFill="1" applyAlignment="1">
      <alignment horizontal="center" vertical="center" textRotation="90" wrapText="1"/>
    </xf>
    <xf numFmtId="0" fontId="1" fillId="3" borderId="0" xfId="0" applyFont="1" applyFill="1" applyAlignment="1">
      <alignment horizontal="center" vertical="center" textRotation="90" wrapText="1"/>
    </xf>
    <xf numFmtId="0" fontId="18" fillId="3" borderId="0" xfId="1" applyFill="1"/>
    <xf numFmtId="0" fontId="18" fillId="2" borderId="0" xfId="1" applyFill="1"/>
    <xf numFmtId="0" fontId="18" fillId="0" borderId="0" xfId="1"/>
    <xf numFmtId="0" fontId="32" fillId="2" borderId="0" xfId="1" applyFont="1" applyFill="1"/>
    <xf numFmtId="0" fontId="23" fillId="2" borderId="0" xfId="0" applyFont="1" applyFill="1" applyBorder="1" applyAlignment="1" applyProtection="1">
      <alignment horizontal="left"/>
    </xf>
    <xf numFmtId="0" fontId="29" fillId="2" borderId="0" xfId="0" applyFont="1" applyFill="1" applyProtection="1"/>
    <xf numFmtId="165" fontId="31" fillId="10" borderId="7" xfId="2" applyNumberFormat="1" applyBorder="1"/>
    <xf numFmtId="0" fontId="0" fillId="0" borderId="0" xfId="0" applyAlignment="1" applyProtection="1">
      <alignment horizontal="center" vertical="center" textRotation="90" wrapText="1"/>
      <protection hidden="1"/>
    </xf>
    <xf numFmtId="0" fontId="0" fillId="0" borderId="0" xfId="0" applyProtection="1">
      <protection hidden="1"/>
    </xf>
    <xf numFmtId="2" fontId="0" fillId="0" borderId="0" xfId="0" applyNumberFormat="1" applyProtection="1">
      <protection hidden="1"/>
    </xf>
    <xf numFmtId="0" fontId="17" fillId="2" borderId="0" xfId="0" applyFont="1" applyFill="1" applyBorder="1" applyAlignment="1" applyProtection="1">
      <alignment horizontal="center"/>
    </xf>
    <xf numFmtId="1" fontId="20" fillId="2" borderId="0" xfId="0" applyNumberFormat="1" applyFont="1" applyFill="1"/>
    <xf numFmtId="0" fontId="0" fillId="2" borderId="0" xfId="0" applyFont="1" applyFill="1"/>
    <xf numFmtId="0" fontId="20" fillId="2" borderId="0" xfId="0" applyFont="1" applyFill="1"/>
    <xf numFmtId="0" fontId="0" fillId="4" borderId="0" xfId="0" applyFill="1" applyAlignment="1"/>
    <xf numFmtId="0" fontId="18" fillId="3" borderId="0" xfId="1" applyFill="1" applyAlignment="1">
      <alignment vertical="center"/>
    </xf>
    <xf numFmtId="0" fontId="1" fillId="4" borderId="9" xfId="0" applyFont="1" applyFill="1" applyBorder="1" applyAlignment="1">
      <alignment horizontal="center"/>
    </xf>
    <xf numFmtId="0" fontId="1" fillId="4" borderId="9" xfId="0" applyFont="1" applyFill="1" applyBorder="1"/>
    <xf numFmtId="0" fontId="1" fillId="4" borderId="21" xfId="0" applyFont="1" applyFill="1" applyBorder="1" applyAlignment="1">
      <alignment horizontal="center"/>
    </xf>
    <xf numFmtId="0" fontId="1" fillId="4" borderId="9" xfId="0" applyFont="1" applyFill="1" applyBorder="1" applyAlignment="1">
      <alignment horizontal="center"/>
    </xf>
    <xf numFmtId="0" fontId="32" fillId="3" borderId="0" xfId="1" applyFont="1" applyFill="1" applyAlignment="1">
      <alignment vertical="center"/>
    </xf>
    <xf numFmtId="0" fontId="1" fillId="4" borderId="9" xfId="0" applyFont="1" applyFill="1" applyBorder="1" applyAlignment="1">
      <alignment horizontal="center" vertical="center"/>
    </xf>
    <xf numFmtId="0" fontId="18" fillId="2" borderId="0" xfId="1" applyFill="1" applyAlignment="1">
      <alignment vertical="center"/>
    </xf>
    <xf numFmtId="1" fontId="0" fillId="2" borderId="0" xfId="0" applyNumberFormat="1" applyFont="1" applyFill="1"/>
    <xf numFmtId="1" fontId="1" fillId="2" borderId="0" xfId="0" applyNumberFormat="1" applyFont="1" applyFill="1"/>
    <xf numFmtId="10" fontId="4" fillId="3" borderId="0" xfId="0" applyNumberFormat="1" applyFont="1" applyFill="1" applyBorder="1" applyAlignment="1">
      <alignment horizontal="right" vertical="center" wrapText="1"/>
    </xf>
    <xf numFmtId="0" fontId="20" fillId="3" borderId="0" xfId="0" applyFont="1" applyFill="1" applyBorder="1" applyAlignment="1">
      <alignment horizontal="right"/>
    </xf>
    <xf numFmtId="1" fontId="33" fillId="3" borderId="0" xfId="0" applyNumberFormat="1" applyFont="1" applyFill="1" applyBorder="1" applyAlignment="1">
      <alignment horizontal="right" vertical="center" wrapText="1"/>
    </xf>
    <xf numFmtId="0" fontId="32" fillId="3" borderId="0" xfId="1" applyFont="1" applyFill="1"/>
    <xf numFmtId="3" fontId="0" fillId="4" borderId="0" xfId="0" applyNumberFormat="1" applyFill="1"/>
    <xf numFmtId="3" fontId="1" fillId="4" borderId="0" xfId="0" applyNumberFormat="1" applyFont="1" applyFill="1"/>
    <xf numFmtId="0" fontId="32" fillId="2" borderId="0" xfId="1" applyFont="1" applyFill="1" applyAlignment="1">
      <alignment vertical="center"/>
    </xf>
    <xf numFmtId="2" fontId="20" fillId="3" borderId="0" xfId="0" applyNumberFormat="1" applyFont="1" applyFill="1"/>
    <xf numFmtId="0" fontId="20" fillId="3" borderId="0" xfId="1" applyFont="1" applyFill="1"/>
    <xf numFmtId="0" fontId="14" fillId="4" borderId="0" xfId="0" applyFont="1" applyFill="1" applyAlignment="1">
      <alignment wrapText="1"/>
    </xf>
    <xf numFmtId="0" fontId="20" fillId="2" borderId="0" xfId="1" applyFont="1" applyFill="1"/>
    <xf numFmtId="0" fontId="43" fillId="0" borderId="0" xfId="1" applyFont="1"/>
    <xf numFmtId="3" fontId="20" fillId="2" borderId="0" xfId="0" applyNumberFormat="1" applyFont="1" applyFill="1"/>
    <xf numFmtId="3" fontId="20" fillId="2" borderId="0" xfId="0" applyNumberFormat="1" applyFont="1" applyFill="1" applyAlignment="1">
      <alignment horizontal="right"/>
    </xf>
    <xf numFmtId="1" fontId="28" fillId="2" borderId="0" xfId="0" applyNumberFormat="1" applyFont="1" applyFill="1"/>
    <xf numFmtId="0" fontId="29" fillId="2" borderId="0" xfId="0" applyFont="1" applyFill="1" applyAlignment="1" applyProtection="1">
      <alignment horizontal="left"/>
    </xf>
    <xf numFmtId="0" fontId="22" fillId="2" borderId="0" xfId="0" applyFont="1" applyFill="1" applyBorder="1" applyAlignment="1" applyProtection="1">
      <alignment horizontal="center" vertical="center" textRotation="90" wrapText="1"/>
    </xf>
    <xf numFmtId="0" fontId="1" fillId="4" borderId="0" xfId="0" applyFont="1" applyFill="1" applyBorder="1" applyAlignment="1">
      <alignment horizontal="center"/>
    </xf>
    <xf numFmtId="0" fontId="1" fillId="2" borderId="0" xfId="0" applyFont="1" applyFill="1" applyAlignment="1">
      <alignment horizontal="center" vertical="center" textRotation="90" wrapText="1"/>
    </xf>
    <xf numFmtId="49" fontId="1" fillId="3" borderId="0" xfId="0" applyNumberFormat="1" applyFont="1" applyFill="1" applyAlignment="1">
      <alignment horizontal="center" vertical="center" textRotation="90" wrapText="1"/>
    </xf>
    <xf numFmtId="3" fontId="0" fillId="2" borderId="0" xfId="0" applyNumberFormat="1" applyFill="1"/>
    <xf numFmtId="0" fontId="20" fillId="4" borderId="0" xfId="0" applyFont="1" applyFill="1"/>
    <xf numFmtId="0" fontId="31" fillId="4" borderId="0" xfId="2" applyFill="1"/>
    <xf numFmtId="1" fontId="20" fillId="3" borderId="0" xfId="0" applyNumberFormat="1" applyFont="1" applyFill="1"/>
    <xf numFmtId="0" fontId="44" fillId="3" borderId="0" xfId="0" applyFont="1" applyFill="1"/>
    <xf numFmtId="0" fontId="1" fillId="0" borderId="21" xfId="0" applyFont="1" applyBorder="1" applyAlignment="1">
      <alignment horizontal="left"/>
    </xf>
    <xf numFmtId="0" fontId="1" fillId="4" borderId="9" xfId="0" applyFont="1" applyFill="1" applyBorder="1" applyAlignment="1">
      <alignment horizontal="left"/>
    </xf>
    <xf numFmtId="10" fontId="0" fillId="4" borderId="0" xfId="0" applyNumberFormat="1" applyFill="1"/>
    <xf numFmtId="10" fontId="5" fillId="4" borderId="0" xfId="0" applyNumberFormat="1" applyFont="1" applyFill="1" applyBorder="1" applyAlignment="1">
      <alignment horizontal="right" vertical="center" wrapText="1"/>
    </xf>
    <xf numFmtId="1" fontId="2" fillId="3" borderId="0" xfId="0" applyNumberFormat="1" applyFont="1" applyFill="1" applyBorder="1" applyAlignment="1">
      <alignment horizontal="left" vertical="center" wrapText="1"/>
    </xf>
    <xf numFmtId="0" fontId="28" fillId="2" borderId="0" xfId="0" applyFont="1" applyFill="1"/>
    <xf numFmtId="0" fontId="4" fillId="3" borderId="0" xfId="0" applyNumberFormat="1" applyFont="1" applyFill="1" applyBorder="1" applyAlignment="1">
      <alignment horizontal="right" vertical="center" wrapText="1"/>
    </xf>
    <xf numFmtId="1" fontId="4" fillId="3" borderId="0" xfId="0" applyNumberFormat="1" applyFont="1" applyFill="1" applyBorder="1" applyAlignment="1">
      <alignment horizontal="right" vertical="center" wrapText="1"/>
    </xf>
    <xf numFmtId="0" fontId="0" fillId="0" borderId="0" xfId="0" applyAlignment="1"/>
    <xf numFmtId="0" fontId="0" fillId="12" borderId="14" xfId="0" applyFill="1" applyBorder="1" applyProtection="1"/>
    <xf numFmtId="0" fontId="1" fillId="12" borderId="12" xfId="0" applyFont="1" applyFill="1" applyBorder="1" applyAlignment="1" applyProtection="1">
      <alignment vertical="top" wrapText="1"/>
    </xf>
    <xf numFmtId="0" fontId="0" fillId="12" borderId="1" xfId="0" applyFill="1" applyBorder="1" applyProtection="1"/>
    <xf numFmtId="0" fontId="1" fillId="12" borderId="9" xfId="0" applyFont="1" applyFill="1" applyBorder="1" applyAlignment="1" applyProtection="1">
      <alignment vertical="top" wrapText="1"/>
    </xf>
    <xf numFmtId="0" fontId="1" fillId="12" borderId="0" xfId="0" applyFont="1" applyFill="1" applyBorder="1" applyProtection="1"/>
    <xf numFmtId="0" fontId="0" fillId="12" borderId="9" xfId="0" applyFill="1" applyBorder="1" applyProtection="1"/>
    <xf numFmtId="0" fontId="0" fillId="12" borderId="10" xfId="0" applyFill="1" applyBorder="1" applyProtection="1"/>
    <xf numFmtId="0" fontId="0" fillId="12" borderId="13" xfId="0" applyFill="1" applyBorder="1" applyProtection="1"/>
    <xf numFmtId="0" fontId="1" fillId="12" borderId="11" xfId="0" applyFont="1" applyFill="1" applyBorder="1" applyAlignment="1" applyProtection="1">
      <alignment wrapText="1"/>
    </xf>
    <xf numFmtId="0" fontId="0" fillId="12" borderId="11" xfId="0" applyFill="1" applyBorder="1" applyProtection="1"/>
    <xf numFmtId="0" fontId="1" fillId="12" borderId="1" xfId="0" applyFont="1" applyFill="1" applyBorder="1" applyAlignment="1" applyProtection="1">
      <alignment horizontal="center" wrapText="1"/>
    </xf>
    <xf numFmtId="0" fontId="1" fillId="12" borderId="0" xfId="0" applyFont="1" applyFill="1" applyBorder="1" applyAlignment="1" applyProtection="1">
      <alignment horizontal="center" wrapText="1"/>
    </xf>
    <xf numFmtId="0" fontId="1" fillId="12" borderId="0" xfId="0" applyFont="1" applyFill="1" applyBorder="1" applyAlignment="1" applyProtection="1">
      <alignment wrapText="1"/>
    </xf>
    <xf numFmtId="0" fontId="0" fillId="12" borderId="0" xfId="0" applyFill="1" applyBorder="1" applyProtection="1"/>
    <xf numFmtId="0" fontId="20" fillId="12" borderId="1" xfId="0" applyFont="1" applyFill="1" applyBorder="1" applyProtection="1"/>
    <xf numFmtId="0" fontId="0" fillId="12" borderId="8" xfId="0" applyFill="1" applyBorder="1" applyProtection="1"/>
    <xf numFmtId="0" fontId="0" fillId="12" borderId="6" xfId="0" applyFill="1" applyBorder="1" applyAlignment="1" applyProtection="1"/>
    <xf numFmtId="0" fontId="0" fillId="12" borderId="12" xfId="0" applyFill="1" applyBorder="1" applyProtection="1"/>
    <xf numFmtId="0" fontId="48" fillId="12" borderId="0" xfId="0" applyFont="1" applyFill="1" applyBorder="1" applyProtection="1"/>
    <xf numFmtId="0" fontId="35" fillId="12" borderId="0" xfId="0" applyFont="1" applyFill="1" applyBorder="1" applyProtection="1"/>
    <xf numFmtId="0" fontId="34" fillId="12" borderId="0" xfId="0" applyFont="1" applyFill="1" applyBorder="1" applyProtection="1"/>
    <xf numFmtId="0" fontId="1" fillId="12" borderId="11" xfId="0" applyFont="1" applyFill="1" applyBorder="1" applyAlignment="1" applyProtection="1">
      <alignment vertical="top" wrapText="1"/>
    </xf>
    <xf numFmtId="0" fontId="1" fillId="12" borderId="0" xfId="0" applyFont="1" applyFill="1" applyBorder="1" applyAlignment="1" applyProtection="1">
      <alignment vertical="top" wrapText="1"/>
    </xf>
    <xf numFmtId="0" fontId="49" fillId="0" borderId="0" xfId="0" applyFont="1"/>
    <xf numFmtId="0" fontId="49" fillId="0" borderId="0" xfId="0" applyFont="1" applyAlignment="1"/>
    <xf numFmtId="0" fontId="0" fillId="2" borderId="0" xfId="0" applyFill="1" applyProtection="1">
      <protection locked="0"/>
    </xf>
    <xf numFmtId="0" fontId="9" fillId="2" borderId="0" xfId="0" applyFont="1" applyFill="1" applyBorder="1" applyProtection="1">
      <protection locked="0"/>
    </xf>
    <xf numFmtId="0" fontId="9" fillId="2" borderId="0" xfId="0" applyFont="1" applyFill="1" applyBorder="1" applyAlignment="1" applyProtection="1">
      <alignment horizontal="center"/>
      <protection locked="0"/>
    </xf>
    <xf numFmtId="165" fontId="1" fillId="2" borderId="0" xfId="0" applyNumberFormat="1" applyFont="1" applyFill="1" applyBorder="1" applyAlignment="1" applyProtection="1">
      <alignment horizontal="center" vertical="center"/>
      <protection hidden="1"/>
    </xf>
    <xf numFmtId="0" fontId="0" fillId="2" borderId="0" xfId="0" applyFill="1" applyAlignment="1" applyProtection="1">
      <alignment horizontal="center"/>
      <protection hidden="1"/>
    </xf>
    <xf numFmtId="0" fontId="0" fillId="2" borderId="0" xfId="0" applyFill="1" applyAlignment="1" applyProtection="1">
      <protection hidden="1"/>
    </xf>
    <xf numFmtId="0" fontId="8" fillId="2" borderId="0" xfId="0" applyFont="1" applyFill="1" applyAlignment="1" applyProtection="1">
      <protection hidden="1"/>
    </xf>
    <xf numFmtId="0" fontId="0" fillId="2" borderId="0" xfId="0" applyFill="1" applyProtection="1">
      <protection hidden="1"/>
    </xf>
    <xf numFmtId="165" fontId="0" fillId="2" borderId="0" xfId="0" applyNumberFormat="1" applyFill="1" applyProtection="1">
      <protection hidden="1"/>
    </xf>
    <xf numFmtId="1" fontId="1" fillId="2" borderId="0" xfId="0" applyNumberFormat="1" applyFont="1" applyFill="1" applyBorder="1" applyAlignment="1" applyProtection="1">
      <alignment horizontal="center" vertical="center"/>
      <protection hidden="1"/>
    </xf>
    <xf numFmtId="1" fontId="1" fillId="2" borderId="0" xfId="0" applyNumberFormat="1" applyFont="1" applyFill="1" applyBorder="1" applyAlignment="1" applyProtection="1">
      <alignment horizontal="left" vertical="center"/>
      <protection hidden="1"/>
    </xf>
    <xf numFmtId="165" fontId="1" fillId="2" borderId="0" xfId="0" applyNumberFormat="1" applyFont="1" applyFill="1" applyBorder="1" applyAlignment="1" applyProtection="1">
      <alignment horizontal="left" vertical="center"/>
      <protection hidden="1"/>
    </xf>
    <xf numFmtId="1" fontId="0" fillId="2" borderId="0" xfId="0" applyNumberFormat="1" applyFill="1" applyProtection="1">
      <protection hidden="1"/>
    </xf>
    <xf numFmtId="0" fontId="23" fillId="2" borderId="0" xfId="0" applyFont="1" applyFill="1" applyBorder="1" applyAlignment="1" applyProtection="1">
      <alignment horizontal="center"/>
      <protection hidden="1"/>
    </xf>
    <xf numFmtId="0" fontId="23" fillId="2" borderId="0" xfId="0" applyFont="1" applyFill="1" applyBorder="1" applyAlignment="1" applyProtection="1">
      <alignment horizontal="left"/>
      <protection hidden="1"/>
    </xf>
    <xf numFmtId="165" fontId="23" fillId="2" borderId="0" xfId="0" applyNumberFormat="1" applyFont="1" applyFill="1" applyBorder="1" applyAlignment="1" applyProtection="1">
      <alignment horizontal="left"/>
      <protection hidden="1"/>
    </xf>
    <xf numFmtId="1" fontId="23" fillId="2" borderId="0" xfId="0" applyNumberFormat="1" applyFont="1" applyFill="1" applyBorder="1" applyAlignment="1" applyProtection="1">
      <alignment horizontal="left"/>
      <protection hidden="1"/>
    </xf>
    <xf numFmtId="0" fontId="1" fillId="2" borderId="0" xfId="0" applyFont="1" applyFill="1" applyAlignment="1" applyProtection="1">
      <alignment horizontal="center"/>
      <protection hidden="1"/>
    </xf>
    <xf numFmtId="0" fontId="1" fillId="2" borderId="0" xfId="0" applyFont="1" applyFill="1" applyProtection="1">
      <protection hidden="1"/>
    </xf>
    <xf numFmtId="0" fontId="0" fillId="0" borderId="0" xfId="0" applyFill="1" applyBorder="1" applyAlignment="1" applyProtection="1">
      <alignment horizontal="center" vertical="center" textRotation="90" wrapText="1"/>
      <protection hidden="1"/>
    </xf>
    <xf numFmtId="0" fontId="0" fillId="11" borderId="0" xfId="0" applyFill="1" applyAlignment="1" applyProtection="1">
      <alignment horizontal="center" vertical="center" textRotation="90" wrapText="1"/>
      <protection hidden="1"/>
    </xf>
    <xf numFmtId="0" fontId="1" fillId="0" borderId="0" xfId="0" applyFont="1" applyProtection="1">
      <protection hidden="1"/>
    </xf>
    <xf numFmtId="0" fontId="0" fillId="4" borderId="0" xfId="0" applyFill="1" applyProtection="1">
      <protection hidden="1"/>
    </xf>
    <xf numFmtId="9" fontId="0" fillId="0" borderId="0" xfId="0" applyNumberFormat="1" applyProtection="1">
      <protection hidden="1"/>
    </xf>
    <xf numFmtId="0" fontId="0" fillId="0" borderId="14" xfId="0" applyBorder="1" applyProtection="1">
      <protection hidden="1"/>
    </xf>
    <xf numFmtId="0" fontId="0" fillId="0" borderId="12" xfId="0" applyBorder="1" applyProtection="1">
      <protection hidden="1"/>
    </xf>
    <xf numFmtId="0" fontId="36" fillId="0" borderId="1" xfId="0" applyFont="1" applyBorder="1" applyProtection="1">
      <protection hidden="1"/>
    </xf>
    <xf numFmtId="0" fontId="0" fillId="0" borderId="9" xfId="0" applyBorder="1" applyProtection="1">
      <protection hidden="1"/>
    </xf>
    <xf numFmtId="0" fontId="36" fillId="0" borderId="10" xfId="0" applyFont="1" applyBorder="1" applyProtection="1">
      <protection hidden="1"/>
    </xf>
    <xf numFmtId="0" fontId="0" fillId="0" borderId="13" xfId="0" applyBorder="1" applyProtection="1">
      <protection hidden="1"/>
    </xf>
    <xf numFmtId="0" fontId="36" fillId="0" borderId="0" xfId="0" applyFont="1" applyFill="1" applyBorder="1" applyProtection="1">
      <protection hidden="1"/>
    </xf>
    <xf numFmtId="0" fontId="0" fillId="0" borderId="11" xfId="0" applyBorder="1" applyProtection="1">
      <protection hidden="1"/>
    </xf>
    <xf numFmtId="0" fontId="0" fillId="0" borderId="1" xfId="0" applyBorder="1" applyProtection="1">
      <protection hidden="1"/>
    </xf>
    <xf numFmtId="0" fontId="0" fillId="0" borderId="0" xfId="0" applyBorder="1" applyProtection="1">
      <protection hidden="1"/>
    </xf>
    <xf numFmtId="0" fontId="0" fillId="0" borderId="0" xfId="0" applyFont="1" applyProtection="1">
      <protection hidden="1"/>
    </xf>
    <xf numFmtId="0" fontId="0" fillId="0" borderId="10" xfId="0" applyBorder="1" applyProtection="1">
      <protection hidden="1"/>
    </xf>
    <xf numFmtId="0" fontId="0" fillId="0" borderId="8" xfId="0" applyBorder="1" applyProtection="1">
      <protection hidden="1"/>
    </xf>
    <xf numFmtId="0" fontId="0" fillId="7" borderId="0" xfId="0" applyFill="1" applyBorder="1" applyProtection="1">
      <protection hidden="1"/>
    </xf>
    <xf numFmtId="0" fontId="0" fillId="7" borderId="1" xfId="0" applyFill="1" applyBorder="1" applyProtection="1">
      <protection hidden="1"/>
    </xf>
    <xf numFmtId="0" fontId="0" fillId="7" borderId="10" xfId="0" applyFill="1" applyBorder="1" applyProtection="1">
      <protection hidden="1"/>
    </xf>
    <xf numFmtId="0" fontId="1" fillId="0" borderId="14" xfId="0" applyFont="1" applyBorder="1" applyProtection="1">
      <protection hidden="1"/>
    </xf>
    <xf numFmtId="0" fontId="0" fillId="0" borderId="1" xfId="0" quotePrefix="1" applyBorder="1" applyProtection="1">
      <protection hidden="1"/>
    </xf>
    <xf numFmtId="2" fontId="0" fillId="0" borderId="9" xfId="0" applyNumberFormat="1" applyBorder="1" applyProtection="1">
      <protection hidden="1"/>
    </xf>
    <xf numFmtId="2" fontId="0" fillId="0" borderId="13" xfId="0" applyNumberFormat="1" applyBorder="1" applyProtection="1">
      <protection hidden="1"/>
    </xf>
    <xf numFmtId="0" fontId="1" fillId="11" borderId="0" xfId="0" applyFont="1" applyFill="1" applyProtection="1">
      <protection hidden="1"/>
    </xf>
    <xf numFmtId="0" fontId="31" fillId="10" borderId="0" xfId="2" applyProtection="1">
      <protection hidden="1"/>
    </xf>
    <xf numFmtId="165" fontId="0" fillId="0" borderId="0" xfId="0" applyNumberFormat="1" applyProtection="1">
      <protection hidden="1"/>
    </xf>
    <xf numFmtId="0" fontId="0" fillId="11" borderId="0" xfId="0" applyFill="1" applyProtection="1">
      <protection hidden="1"/>
    </xf>
    <xf numFmtId="0" fontId="0" fillId="11" borderId="0" xfId="0" applyFill="1" applyAlignment="1" applyProtection="1">
      <alignment horizontal="center" vertical="center"/>
      <protection hidden="1"/>
    </xf>
    <xf numFmtId="0" fontId="0" fillId="0" borderId="0" xfId="0" applyAlignment="1" applyProtection="1">
      <alignment horizontal="right"/>
      <protection hidden="1"/>
    </xf>
    <xf numFmtId="165" fontId="0" fillId="0" borderId="0" xfId="0" applyNumberFormat="1" applyAlignment="1" applyProtection="1">
      <alignment horizontal="center" vertical="center"/>
      <protection hidden="1"/>
    </xf>
    <xf numFmtId="0" fontId="0" fillId="0" borderId="0" xfId="0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0" fontId="23" fillId="8" borderId="0" xfId="0" applyFont="1" applyFill="1" applyProtection="1">
      <protection hidden="1"/>
    </xf>
    <xf numFmtId="0" fontId="0" fillId="0" borderId="0" xfId="0" applyFill="1" applyBorder="1" applyProtection="1">
      <protection hidden="1"/>
    </xf>
    <xf numFmtId="0" fontId="1" fillId="0" borderId="0" xfId="0" applyFont="1" applyAlignment="1" applyProtection="1">
      <alignment horizontal="center" vertical="center" textRotation="90" wrapText="1"/>
      <protection hidden="1"/>
    </xf>
    <xf numFmtId="165" fontId="0" fillId="0" borderId="0" xfId="0" applyNumberFormat="1" applyAlignment="1" applyProtection="1">
      <alignment horizontal="center" vertical="center" textRotation="90" wrapText="1"/>
      <protection hidden="1"/>
    </xf>
    <xf numFmtId="0" fontId="0" fillId="0" borderId="1" xfId="0" applyBorder="1" applyAlignment="1" applyProtection="1">
      <alignment horizontal="center" vertical="center" textRotation="90" wrapText="1"/>
      <protection hidden="1"/>
    </xf>
    <xf numFmtId="0" fontId="23" fillId="8" borderId="0" xfId="0" applyFont="1" applyFill="1" applyBorder="1" applyAlignment="1" applyProtection="1">
      <alignment horizontal="center" vertical="center" textRotation="90" wrapText="1"/>
      <protection hidden="1"/>
    </xf>
    <xf numFmtId="0" fontId="1" fillId="0" borderId="5" xfId="0" applyFont="1" applyBorder="1" applyAlignment="1" applyProtection="1">
      <alignment horizontal="center" vertical="center" textRotation="90"/>
      <protection hidden="1"/>
    </xf>
    <xf numFmtId="0" fontId="0" fillId="0" borderId="0" xfId="0" applyAlignment="1" applyProtection="1">
      <alignment horizontal="center" vertical="center" textRotation="90"/>
      <protection hidden="1"/>
    </xf>
    <xf numFmtId="0" fontId="36" fillId="0" borderId="10" xfId="0" applyFont="1" applyBorder="1" applyAlignment="1" applyProtection="1">
      <alignment horizontal="center" vertical="center"/>
      <protection hidden="1"/>
    </xf>
    <xf numFmtId="0" fontId="0" fillId="0" borderId="0" xfId="0" applyAlignment="1" applyProtection="1">
      <alignment horizontal="center" vertical="center" wrapText="1"/>
      <protection hidden="1"/>
    </xf>
    <xf numFmtId="10" fontId="4" fillId="0" borderId="1" xfId="0" applyNumberFormat="1" applyFont="1" applyFill="1" applyBorder="1" applyAlignment="1" applyProtection="1">
      <alignment horizontal="right" vertical="center" wrapText="1"/>
      <protection hidden="1"/>
    </xf>
    <xf numFmtId="2" fontId="23" fillId="8" borderId="0" xfId="0" applyNumberFormat="1" applyFont="1" applyFill="1" applyProtection="1">
      <protection hidden="1"/>
    </xf>
    <xf numFmtId="1" fontId="0" fillId="0" borderId="0" xfId="0" applyNumberFormat="1" applyProtection="1">
      <protection hidden="1"/>
    </xf>
    <xf numFmtId="165" fontId="0" fillId="11" borderId="0" xfId="0" applyNumberFormat="1" applyFill="1" applyProtection="1">
      <protection hidden="1"/>
    </xf>
    <xf numFmtId="2" fontId="0" fillId="11" borderId="0" xfId="0" applyNumberFormat="1" applyFill="1" applyProtection="1">
      <protection hidden="1"/>
    </xf>
    <xf numFmtId="165" fontId="1" fillId="0" borderId="0" xfId="0" applyNumberFormat="1" applyFont="1" applyProtection="1">
      <protection hidden="1"/>
    </xf>
    <xf numFmtId="2" fontId="31" fillId="10" borderId="0" xfId="2" applyNumberFormat="1" applyProtection="1">
      <protection hidden="1"/>
    </xf>
    <xf numFmtId="165" fontId="0" fillId="4" borderId="0" xfId="0" applyNumberFormat="1" applyFill="1" applyProtection="1">
      <protection hidden="1"/>
    </xf>
    <xf numFmtId="10" fontId="0" fillId="0" borderId="0" xfId="0" applyNumberFormat="1" applyProtection="1">
      <protection hidden="1"/>
    </xf>
    <xf numFmtId="165" fontId="31" fillId="10" borderId="0" xfId="2" applyNumberFormat="1" applyProtection="1">
      <protection hidden="1"/>
    </xf>
    <xf numFmtId="168" fontId="0" fillId="0" borderId="0" xfId="0" applyNumberFormat="1" applyProtection="1">
      <protection hidden="1"/>
    </xf>
    <xf numFmtId="9" fontId="0" fillId="0" borderId="0" xfId="3" applyFont="1" applyProtection="1">
      <protection hidden="1"/>
    </xf>
    <xf numFmtId="166" fontId="0" fillId="4" borderId="0" xfId="0" applyNumberFormat="1" applyFill="1" applyProtection="1">
      <protection hidden="1"/>
    </xf>
    <xf numFmtId="0" fontId="21" fillId="0" borderId="0" xfId="0" applyFont="1" applyProtection="1">
      <protection hidden="1"/>
    </xf>
    <xf numFmtId="0" fontId="20" fillId="3" borderId="0" xfId="0" applyFont="1" applyFill="1" applyProtection="1">
      <protection hidden="1"/>
    </xf>
    <xf numFmtId="0" fontId="17" fillId="3" borderId="0" xfId="0" applyFont="1" applyFill="1" applyBorder="1" applyProtection="1">
      <protection hidden="1"/>
    </xf>
    <xf numFmtId="9" fontId="20" fillId="3" borderId="0" xfId="0" applyNumberFormat="1" applyFont="1" applyFill="1" applyBorder="1" applyProtection="1">
      <protection hidden="1"/>
    </xf>
    <xf numFmtId="0" fontId="15" fillId="3" borderId="0" xfId="0" applyFont="1" applyFill="1" applyBorder="1" applyProtection="1">
      <protection hidden="1"/>
    </xf>
    <xf numFmtId="9" fontId="20" fillId="3" borderId="0" xfId="0" applyNumberFormat="1" applyFont="1" applyFill="1" applyProtection="1">
      <protection hidden="1"/>
    </xf>
    <xf numFmtId="49" fontId="1" fillId="3" borderId="0" xfId="0" applyNumberFormat="1" applyFont="1" applyFill="1" applyAlignment="1">
      <alignment horizontal="center" vertical="center" textRotation="90" wrapText="1"/>
    </xf>
    <xf numFmtId="0" fontId="53" fillId="4" borderId="21" xfId="0" applyFont="1" applyFill="1" applyBorder="1" applyAlignment="1">
      <alignment horizontal="center"/>
    </xf>
    <xf numFmtId="0" fontId="54" fillId="4" borderId="0" xfId="0" applyFont="1" applyFill="1"/>
    <xf numFmtId="0" fontId="53" fillId="4" borderId="0" xfId="0" applyFont="1" applyFill="1"/>
    <xf numFmtId="9" fontId="0" fillId="0" borderId="1" xfId="0" quotePrefix="1" applyNumberFormat="1" applyBorder="1" applyProtection="1">
      <protection hidden="1"/>
    </xf>
    <xf numFmtId="9" fontId="0" fillId="0" borderId="1" xfId="0" applyNumberFormat="1" applyBorder="1" applyProtection="1">
      <protection hidden="1"/>
    </xf>
    <xf numFmtId="1" fontId="0" fillId="0" borderId="9" xfId="0" applyNumberFormat="1" applyBorder="1" applyProtection="1">
      <protection hidden="1"/>
    </xf>
    <xf numFmtId="0" fontId="0" fillId="6" borderId="0" xfId="0" applyFill="1" applyAlignment="1" applyProtection="1">
      <alignment horizontal="center" vertical="center" textRotation="90" wrapText="1"/>
      <protection hidden="1"/>
    </xf>
    <xf numFmtId="0" fontId="23" fillId="2" borderId="0" xfId="0" applyFont="1" applyFill="1" applyBorder="1" applyAlignment="1" applyProtection="1">
      <alignment horizontal="left"/>
    </xf>
    <xf numFmtId="0" fontId="1" fillId="3" borderId="0" xfId="0" applyFont="1" applyFill="1" applyAlignment="1">
      <alignment horizontal="center" vertical="center" textRotation="90" wrapText="1"/>
    </xf>
    <xf numFmtId="0" fontId="57" fillId="2" borderId="0" xfId="0" applyFont="1" applyFill="1" applyProtection="1"/>
    <xf numFmtId="0" fontId="0" fillId="2" borderId="0" xfId="0" applyFont="1" applyFill="1" applyBorder="1" applyAlignment="1" applyProtection="1">
      <alignment horizontal="left"/>
      <protection hidden="1"/>
    </xf>
    <xf numFmtId="165" fontId="0" fillId="0" borderId="0" xfId="0" applyNumberFormat="1"/>
    <xf numFmtId="0" fontId="2" fillId="3" borderId="0" xfId="0" applyFont="1" applyFill="1" applyAlignment="1">
      <alignment horizontal="left"/>
    </xf>
    <xf numFmtId="3" fontId="20" fillId="2" borderId="0" xfId="5" applyNumberFormat="1" applyFont="1" applyFill="1"/>
    <xf numFmtId="0" fontId="12" fillId="3" borderId="0" xfId="0" applyFont="1" applyFill="1"/>
    <xf numFmtId="9" fontId="1" fillId="2" borderId="0" xfId="0" applyNumberFormat="1" applyFont="1" applyFill="1" applyBorder="1" applyAlignment="1" applyProtection="1">
      <alignment horizontal="left" vertical="center"/>
      <protection hidden="1"/>
    </xf>
    <xf numFmtId="0" fontId="4" fillId="0" borderId="0" xfId="4"/>
    <xf numFmtId="167" fontId="1" fillId="2" borderId="0" xfId="0" applyNumberFormat="1" applyFont="1" applyFill="1" applyBorder="1" applyAlignment="1" applyProtection="1">
      <alignment horizontal="left" vertical="center"/>
      <protection hidden="1"/>
    </xf>
    <xf numFmtId="167" fontId="23" fillId="2" borderId="0" xfId="0" applyNumberFormat="1" applyFont="1" applyFill="1" applyBorder="1" applyAlignment="1" applyProtection="1">
      <alignment horizontal="left"/>
      <protection hidden="1"/>
    </xf>
    <xf numFmtId="9" fontId="23" fillId="2" borderId="0" xfId="0" applyNumberFormat="1" applyFont="1" applyFill="1" applyBorder="1" applyAlignment="1" applyProtection="1">
      <alignment horizontal="left"/>
      <protection hidden="1"/>
    </xf>
    <xf numFmtId="167" fontId="0" fillId="2" borderId="0" xfId="0" applyNumberFormat="1" applyFill="1" applyProtection="1">
      <protection hidden="1"/>
    </xf>
    <xf numFmtId="165" fontId="23" fillId="2" borderId="0" xfId="0" applyNumberFormat="1" applyFont="1" applyFill="1" applyBorder="1" applyAlignment="1" applyProtection="1">
      <protection hidden="1"/>
    </xf>
    <xf numFmtId="49" fontId="1" fillId="3" borderId="0" xfId="0" applyNumberFormat="1" applyFont="1" applyFill="1" applyAlignment="1">
      <alignment horizontal="center" vertical="center" textRotation="90" wrapText="1"/>
    </xf>
    <xf numFmtId="0" fontId="4" fillId="2" borderId="11" xfId="4" applyFill="1" applyBorder="1" applyAlignment="1"/>
    <xf numFmtId="0" fontId="4" fillId="2" borderId="0" xfId="4" applyFill="1" applyBorder="1" applyAlignment="1"/>
    <xf numFmtId="0" fontId="4" fillId="2" borderId="0" xfId="4" applyFill="1" applyBorder="1"/>
    <xf numFmtId="0" fontId="40" fillId="2" borderId="11" xfId="0" applyFont="1" applyFill="1" applyBorder="1" applyAlignment="1" applyProtection="1"/>
    <xf numFmtId="0" fontId="60" fillId="2" borderId="11" xfId="0" applyFont="1" applyFill="1" applyBorder="1" applyAlignment="1" applyProtection="1"/>
    <xf numFmtId="0" fontId="59" fillId="2" borderId="0" xfId="0" applyFont="1" applyFill="1" applyBorder="1" applyProtection="1"/>
    <xf numFmtId="0" fontId="40" fillId="2" borderId="0" xfId="0" applyFont="1" applyFill="1" applyBorder="1" applyAlignment="1" applyProtection="1"/>
    <xf numFmtId="0" fontId="1" fillId="19" borderId="0" xfId="0" applyFont="1" applyFill="1" applyProtection="1">
      <protection hidden="1"/>
    </xf>
    <xf numFmtId="0" fontId="0" fillId="19" borderId="0" xfId="0" applyFill="1" applyProtection="1">
      <protection hidden="1"/>
    </xf>
    <xf numFmtId="0" fontId="0" fillId="19" borderId="0" xfId="0" applyFill="1" applyAlignment="1" applyProtection="1">
      <alignment horizontal="center" vertical="center" textRotation="90" wrapText="1"/>
      <protection hidden="1"/>
    </xf>
    <xf numFmtId="165" fontId="0" fillId="19" borderId="0" xfId="0" applyNumberFormat="1" applyFill="1" applyProtection="1">
      <protection hidden="1"/>
    </xf>
    <xf numFmtId="0" fontId="0" fillId="6" borderId="0" xfId="0" applyFill="1" applyProtection="1"/>
    <xf numFmtId="0" fontId="6" fillId="3" borderId="0" xfId="0" applyFont="1" applyFill="1" applyProtection="1"/>
    <xf numFmtId="0" fontId="1" fillId="0" borderId="0" xfId="0" applyFont="1" applyProtection="1"/>
    <xf numFmtId="0" fontId="16" fillId="3" borderId="0" xfId="0" applyFont="1" applyFill="1" applyProtection="1"/>
    <xf numFmtId="0" fontId="1" fillId="3" borderId="0" xfId="0" applyFont="1" applyFill="1" applyProtection="1"/>
    <xf numFmtId="0" fontId="0" fillId="0" borderId="0" xfId="0" applyAlignment="1" applyProtection="1">
      <alignment horizontal="center" vertical="center" textRotation="90" wrapText="1"/>
    </xf>
    <xf numFmtId="0" fontId="2" fillId="3" borderId="0" xfId="0" applyFont="1" applyFill="1" applyProtection="1"/>
    <xf numFmtId="0" fontId="0" fillId="6" borderId="0" xfId="0" applyFill="1" applyAlignment="1" applyProtection="1">
      <alignment horizontal="center" vertical="center" textRotation="90" wrapText="1"/>
    </xf>
    <xf numFmtId="0" fontId="0" fillId="0" borderId="0" xfId="0" applyFill="1" applyBorder="1" applyAlignment="1" applyProtection="1">
      <alignment horizontal="center" vertical="center" textRotation="90" wrapText="1"/>
    </xf>
    <xf numFmtId="0" fontId="0" fillId="11" borderId="0" xfId="0" applyFill="1" applyAlignment="1" applyProtection="1">
      <alignment horizontal="center" vertical="center" textRotation="90" wrapText="1"/>
    </xf>
    <xf numFmtId="0" fontId="8" fillId="3" borderId="0" xfId="0" applyFont="1" applyFill="1" applyProtection="1"/>
    <xf numFmtId="10" fontId="0" fillId="3" borderId="0" xfId="0" applyNumberFormat="1" applyFill="1" applyProtection="1"/>
    <xf numFmtId="165" fontId="0" fillId="3" borderId="0" xfId="0" applyNumberFormat="1" applyFill="1" applyProtection="1"/>
    <xf numFmtId="2" fontId="0" fillId="3" borderId="0" xfId="0" applyNumberFormat="1" applyFill="1" applyProtection="1"/>
    <xf numFmtId="2" fontId="0" fillId="0" borderId="0" xfId="0" applyNumberFormat="1" applyProtection="1"/>
    <xf numFmtId="0" fontId="8" fillId="3" borderId="0" xfId="0" applyFont="1" applyFill="1" applyAlignment="1" applyProtection="1">
      <alignment horizontal="center"/>
    </xf>
    <xf numFmtId="0" fontId="1" fillId="0" borderId="0" xfId="0" applyFont="1" applyAlignment="1">
      <alignment horizontal="center" vertical="center" wrapText="1"/>
    </xf>
    <xf numFmtId="0" fontId="0" fillId="0" borderId="5" xfId="0" applyBorder="1"/>
    <xf numFmtId="0" fontId="1" fillId="3" borderId="0" xfId="0" applyFont="1" applyFill="1" applyAlignment="1">
      <alignment horizontal="center" vertical="center" textRotation="90" wrapText="1"/>
    </xf>
    <xf numFmtId="0" fontId="0" fillId="0" borderId="0" xfId="0" applyAlignment="1">
      <alignment textRotation="45"/>
    </xf>
    <xf numFmtId="49" fontId="1" fillId="3" borderId="0" xfId="0" applyNumberFormat="1" applyFont="1" applyFill="1" applyAlignment="1">
      <alignment horizontal="center" vertical="center" textRotation="90" wrapText="1"/>
    </xf>
    <xf numFmtId="0" fontId="1" fillId="3" borderId="0" xfId="0" applyFont="1" applyFill="1" applyAlignment="1">
      <alignment horizontal="center" vertical="center" textRotation="90" wrapText="1"/>
    </xf>
    <xf numFmtId="0" fontId="1" fillId="4" borderId="21" xfId="0" applyFont="1" applyFill="1" applyBorder="1" applyAlignment="1">
      <alignment horizontal="center"/>
    </xf>
    <xf numFmtId="10" fontId="4" fillId="4" borderId="0" xfId="0" applyNumberFormat="1" applyFont="1" applyFill="1" applyBorder="1" applyAlignment="1">
      <alignment horizontal="right" vertical="center" wrapText="1"/>
    </xf>
    <xf numFmtId="0" fontId="18" fillId="4" borderId="0" xfId="1" applyFill="1"/>
    <xf numFmtId="2" fontId="20" fillId="2" borderId="0" xfId="0" applyNumberFormat="1" applyFont="1" applyFill="1"/>
    <xf numFmtId="1" fontId="20" fillId="4" borderId="0" xfId="0" applyNumberFormat="1" applyFont="1" applyFill="1"/>
    <xf numFmtId="0" fontId="20" fillId="4" borderId="0" xfId="1" applyFont="1" applyFill="1"/>
    <xf numFmtId="1" fontId="33" fillId="2" borderId="0" xfId="0" applyNumberFormat="1" applyFont="1" applyFill="1" applyBorder="1" applyAlignment="1">
      <alignment horizontal="right" vertical="center" wrapText="1"/>
    </xf>
    <xf numFmtId="0" fontId="1" fillId="3" borderId="0" xfId="0" applyFont="1" applyFill="1" applyAlignment="1">
      <alignment horizontal="center" vertical="center" textRotation="90" wrapText="1"/>
    </xf>
    <xf numFmtId="0" fontId="54" fillId="3" borderId="0" xfId="0" applyFont="1" applyFill="1"/>
    <xf numFmtId="0" fontId="54" fillId="2" borderId="0" xfId="0" applyFont="1" applyFill="1"/>
    <xf numFmtId="0" fontId="14" fillId="3" borderId="0" xfId="0" applyFont="1" applyFill="1" applyAlignment="1">
      <alignment wrapText="1"/>
    </xf>
    <xf numFmtId="0" fontId="14" fillId="2" borderId="0" xfId="0" applyFont="1" applyFill="1" applyAlignment="1">
      <alignment wrapText="1"/>
    </xf>
    <xf numFmtId="3" fontId="61" fillId="2" borderId="0" xfId="0" applyNumberFormat="1" applyFont="1" applyFill="1"/>
    <xf numFmtId="1" fontId="20" fillId="4" borderId="0" xfId="2" applyNumberFormat="1" applyFont="1" applyFill="1"/>
    <xf numFmtId="1" fontId="2" fillId="2" borderId="0" xfId="0" applyNumberFormat="1" applyFont="1" applyFill="1" applyBorder="1" applyAlignment="1">
      <alignment horizontal="left" vertical="center" wrapText="1"/>
    </xf>
    <xf numFmtId="0" fontId="58" fillId="18" borderId="0" xfId="5" applyProtection="1">
      <protection hidden="1"/>
    </xf>
    <xf numFmtId="0" fontId="58" fillId="18" borderId="0" xfId="5" applyAlignment="1" applyProtection="1">
      <alignment horizontal="center" vertical="center"/>
      <protection hidden="1"/>
    </xf>
    <xf numFmtId="0" fontId="58" fillId="18" borderId="0" xfId="5" applyAlignment="1" applyProtection="1">
      <alignment horizontal="center" vertical="center" textRotation="90" wrapText="1"/>
      <protection hidden="1"/>
    </xf>
    <xf numFmtId="165" fontId="58" fillId="18" borderId="0" xfId="5" applyNumberFormat="1" applyProtection="1">
      <protection hidden="1"/>
    </xf>
    <xf numFmtId="0" fontId="58" fillId="18" borderId="0" xfId="5" applyBorder="1" applyAlignment="1" applyProtection="1">
      <alignment horizontal="center" vertical="center" textRotation="90" wrapText="1"/>
      <protection hidden="1"/>
    </xf>
    <xf numFmtId="10" fontId="58" fillId="18" borderId="0" xfId="5" applyNumberFormat="1" applyProtection="1">
      <protection hidden="1"/>
    </xf>
    <xf numFmtId="9" fontId="58" fillId="18" borderId="0" xfId="5" applyNumberFormat="1" applyProtection="1">
      <protection hidden="1"/>
    </xf>
    <xf numFmtId="165" fontId="0" fillId="0" borderId="9" xfId="0" applyNumberFormat="1" applyBorder="1" applyProtection="1">
      <protection hidden="1"/>
    </xf>
    <xf numFmtId="0" fontId="0" fillId="0" borderId="14" xfId="0" quotePrefix="1" applyBorder="1" applyProtection="1">
      <protection hidden="1"/>
    </xf>
    <xf numFmtId="165" fontId="0" fillId="0" borderId="13" xfId="0" applyNumberFormat="1" applyBorder="1" applyProtection="1">
      <protection hidden="1"/>
    </xf>
    <xf numFmtId="2" fontId="0" fillId="2" borderId="0" xfId="0" applyNumberFormat="1" applyFill="1" applyProtection="1"/>
    <xf numFmtId="2" fontId="1" fillId="2" borderId="0" xfId="0" applyNumberFormat="1" applyFont="1" applyFill="1" applyBorder="1" applyAlignment="1" applyProtection="1">
      <alignment horizontal="left" vertical="center"/>
      <protection hidden="1"/>
    </xf>
    <xf numFmtId="2" fontId="23" fillId="2" borderId="0" xfId="0" applyNumberFormat="1" applyFont="1" applyFill="1" applyBorder="1" applyAlignment="1" applyProtection="1">
      <alignment horizontal="left"/>
      <protection hidden="1"/>
    </xf>
    <xf numFmtId="2" fontId="23" fillId="2" borderId="0" xfId="0" applyNumberFormat="1" applyFont="1" applyFill="1" applyBorder="1" applyAlignment="1" applyProtection="1">
      <alignment horizontal="left"/>
    </xf>
    <xf numFmtId="2" fontId="1" fillId="2" borderId="0" xfId="0" applyNumberFormat="1" applyFont="1" applyFill="1" applyProtection="1"/>
    <xf numFmtId="1" fontId="0" fillId="3" borderId="0" xfId="0" applyNumberFormat="1" applyFill="1" applyProtection="1"/>
    <xf numFmtId="0" fontId="1" fillId="0" borderId="0" xfId="0" applyFont="1" applyAlignment="1">
      <alignment horizontal="center" vertical="center" wrapText="1"/>
    </xf>
    <xf numFmtId="1" fontId="33" fillId="2" borderId="0" xfId="0" applyNumberFormat="1" applyFont="1" applyFill="1" applyBorder="1" applyAlignment="1">
      <alignment horizontal="left" vertical="center"/>
    </xf>
    <xf numFmtId="165" fontId="33" fillId="2" borderId="0" xfId="0" applyNumberFormat="1" applyFont="1" applyFill="1" applyBorder="1" applyAlignment="1">
      <alignment horizontal="right" vertical="center" wrapText="1"/>
    </xf>
    <xf numFmtId="165" fontId="31" fillId="10" borderId="0" xfId="2" applyNumberFormat="1" applyBorder="1" applyAlignment="1">
      <alignment horizontal="right" vertical="center" wrapText="1"/>
    </xf>
    <xf numFmtId="1" fontId="31" fillId="10" borderId="0" xfId="2" applyNumberFormat="1" applyBorder="1" applyAlignment="1">
      <alignment horizontal="right" vertical="center" wrapText="1"/>
    </xf>
    <xf numFmtId="1" fontId="24" fillId="2" borderId="0" xfId="0" applyNumberFormat="1" applyFont="1" applyFill="1" applyBorder="1" applyAlignment="1" applyProtection="1">
      <alignment horizontal="left" vertical="center"/>
      <protection hidden="1"/>
    </xf>
    <xf numFmtId="0" fontId="0" fillId="12" borderId="24" xfId="0" applyFill="1" applyBorder="1" applyProtection="1"/>
    <xf numFmtId="49" fontId="1" fillId="3" borderId="0" xfId="0" applyNumberFormat="1" applyFont="1" applyFill="1" applyAlignment="1">
      <alignment horizontal="center" vertical="center" textRotation="90" wrapText="1"/>
    </xf>
    <xf numFmtId="0" fontId="31" fillId="10" borderId="0" xfId="2" applyAlignment="1" applyProtection="1">
      <alignment horizontal="center" vertical="center"/>
      <protection hidden="1"/>
    </xf>
    <xf numFmtId="0" fontId="1" fillId="2" borderId="0" xfId="0" applyFont="1" applyFill="1" applyAlignment="1">
      <alignment horizontal="center" vertical="center" textRotation="90" wrapText="1"/>
    </xf>
    <xf numFmtId="0" fontId="1" fillId="3" borderId="0" xfId="0" applyFont="1" applyFill="1" applyAlignment="1">
      <alignment horizontal="center" vertical="center" textRotation="90" wrapText="1"/>
    </xf>
    <xf numFmtId="165" fontId="20" fillId="2" borderId="0" xfId="0" applyNumberFormat="1" applyFont="1" applyFill="1"/>
    <xf numFmtId="0" fontId="63" fillId="21" borderId="25" xfId="0" applyFont="1" applyFill="1" applyBorder="1" applyAlignment="1">
      <alignment vertical="center" wrapText="1"/>
    </xf>
    <xf numFmtId="0" fontId="63" fillId="21" borderId="26" xfId="0" applyFont="1" applyFill="1" applyBorder="1" applyAlignment="1">
      <alignment vertical="center" wrapText="1"/>
    </xf>
    <xf numFmtId="0" fontId="63" fillId="0" borderId="27" xfId="0" applyFont="1" applyBorder="1" applyAlignment="1">
      <alignment vertical="center" wrapText="1"/>
    </xf>
    <xf numFmtId="0" fontId="64" fillId="0" borderId="28" xfId="0" applyFont="1" applyBorder="1" applyAlignment="1">
      <alignment vertical="center" wrapText="1"/>
    </xf>
    <xf numFmtId="2" fontId="64" fillId="0" borderId="28" xfId="0" applyNumberFormat="1" applyFont="1" applyBorder="1" applyAlignment="1">
      <alignment vertical="center" wrapText="1"/>
    </xf>
    <xf numFmtId="165" fontId="64" fillId="0" borderId="28" xfId="0" applyNumberFormat="1" applyFont="1" applyBorder="1" applyAlignment="1">
      <alignment vertical="center" wrapText="1"/>
    </xf>
    <xf numFmtId="2" fontId="0" fillId="0" borderId="0" xfId="0" applyNumberFormat="1"/>
    <xf numFmtId="0" fontId="63" fillId="0" borderId="29" xfId="0" applyFont="1" applyFill="1" applyBorder="1" applyAlignment="1">
      <alignment vertical="center" wrapText="1"/>
    </xf>
    <xf numFmtId="0" fontId="63" fillId="0" borderId="5" xfId="0" applyFont="1" applyFill="1" applyBorder="1" applyAlignment="1">
      <alignment vertical="center" wrapText="1"/>
    </xf>
    <xf numFmtId="2" fontId="0" fillId="0" borderId="5" xfId="0" applyNumberFormat="1" applyBorder="1"/>
    <xf numFmtId="0" fontId="1" fillId="0" borderId="0" xfId="0" applyFont="1" applyAlignment="1">
      <alignment horizontal="center" vertical="center" wrapText="1"/>
    </xf>
    <xf numFmtId="0" fontId="55" fillId="16" borderId="5" xfId="0" applyFont="1" applyFill="1" applyBorder="1" applyAlignment="1">
      <alignment horizontal="center" vertical="center" wrapText="1"/>
    </xf>
    <xf numFmtId="0" fontId="56" fillId="15" borderId="5" xfId="0" applyFont="1" applyFill="1" applyBorder="1" applyAlignment="1">
      <alignment horizontal="left" vertical="center" wrapText="1"/>
    </xf>
    <xf numFmtId="14" fontId="56" fillId="15" borderId="5" xfId="0" applyNumberFormat="1" applyFont="1" applyFill="1" applyBorder="1" applyAlignment="1">
      <alignment horizontal="left" vertical="center" wrapText="1"/>
    </xf>
    <xf numFmtId="0" fontId="56" fillId="15" borderId="5" xfId="0" applyFont="1" applyFill="1" applyBorder="1" applyAlignment="1">
      <alignment horizontal="left" vertical="center" wrapText="1" indent="2"/>
    </xf>
    <xf numFmtId="0" fontId="56" fillId="15" borderId="21" xfId="0" applyFont="1" applyFill="1" applyBorder="1" applyAlignment="1">
      <alignment horizontal="left" vertical="center" wrapText="1" indent="2"/>
    </xf>
    <xf numFmtId="0" fontId="1" fillId="3" borderId="0" xfId="0" applyFont="1" applyFill="1" applyAlignment="1">
      <alignment horizontal="center" vertical="center" textRotation="90" wrapText="1"/>
    </xf>
    <xf numFmtId="1" fontId="0" fillId="3" borderId="0" xfId="0" applyNumberFormat="1" applyFill="1"/>
    <xf numFmtId="10" fontId="4" fillId="8" borderId="1" xfId="0" applyNumberFormat="1" applyFont="1" applyFill="1" applyBorder="1" applyAlignment="1" applyProtection="1">
      <alignment horizontal="right" vertical="center" wrapText="1"/>
      <protection hidden="1"/>
    </xf>
    <xf numFmtId="1" fontId="74" fillId="2" borderId="0" xfId="0" applyNumberFormat="1" applyFont="1" applyFill="1" applyBorder="1" applyAlignment="1" applyProtection="1">
      <alignment horizontal="left" vertical="center"/>
      <protection hidden="1"/>
    </xf>
    <xf numFmtId="165" fontId="0" fillId="3" borderId="0" xfId="0" applyNumberFormat="1" applyFill="1"/>
    <xf numFmtId="165" fontId="1" fillId="11" borderId="0" xfId="0" applyNumberFormat="1" applyFont="1" applyFill="1" applyProtection="1">
      <protection hidden="1"/>
    </xf>
    <xf numFmtId="0" fontId="1" fillId="3" borderId="0" xfId="0" applyFont="1" applyFill="1" applyAlignment="1">
      <alignment horizontal="center" vertical="center" textRotation="90" wrapText="1"/>
    </xf>
    <xf numFmtId="170" fontId="0" fillId="11" borderId="0" xfId="0" applyNumberFormat="1" applyFill="1" applyProtection="1">
      <protection hidden="1"/>
    </xf>
    <xf numFmtId="165" fontId="0" fillId="8" borderId="0" xfId="0" applyNumberFormat="1" applyFill="1" applyProtection="1">
      <protection hidden="1"/>
    </xf>
    <xf numFmtId="0" fontId="56" fillId="15" borderId="30" xfId="0" applyFont="1" applyFill="1" applyBorder="1" applyAlignment="1">
      <alignment horizontal="left" vertical="center" wrapText="1" indent="2"/>
    </xf>
    <xf numFmtId="1" fontId="0" fillId="0" borderId="0" xfId="0" applyNumberFormat="1"/>
    <xf numFmtId="170" fontId="0" fillId="0" borderId="0" xfId="0" applyNumberFormat="1" applyProtection="1">
      <protection hidden="1"/>
    </xf>
    <xf numFmtId="0" fontId="35" fillId="4" borderId="0" xfId="0" applyFont="1" applyFill="1" applyBorder="1" applyAlignment="1" applyProtection="1">
      <alignment horizontal="left" vertical="top" wrapText="1"/>
    </xf>
    <xf numFmtId="0" fontId="0" fillId="12" borderId="8" xfId="0" applyFill="1" applyBorder="1" applyAlignment="1" applyProtection="1">
      <alignment horizontal="left"/>
    </xf>
    <xf numFmtId="0" fontId="0" fillId="12" borderId="15" xfId="0" applyFill="1" applyBorder="1" applyAlignment="1" applyProtection="1">
      <alignment horizontal="left"/>
    </xf>
    <xf numFmtId="0" fontId="7" fillId="13" borderId="2" xfId="0" applyFont="1" applyFill="1" applyBorder="1" applyAlignment="1" applyProtection="1">
      <alignment horizontal="center"/>
      <protection locked="0"/>
    </xf>
    <xf numFmtId="0" fontId="7" fillId="13" borderId="3" xfId="0" applyFont="1" applyFill="1" applyBorder="1" applyAlignment="1" applyProtection="1">
      <alignment horizontal="center"/>
      <protection locked="0"/>
    </xf>
    <xf numFmtId="0" fontId="1" fillId="12" borderId="11" xfId="0" applyFont="1" applyFill="1" applyBorder="1" applyAlignment="1" applyProtection="1">
      <alignment horizontal="left" vertical="top" wrapText="1"/>
    </xf>
    <xf numFmtId="0" fontId="1" fillId="12" borderId="0" xfId="0" applyFont="1" applyFill="1" applyBorder="1" applyAlignment="1" applyProtection="1">
      <alignment horizontal="left" vertical="top" wrapText="1"/>
    </xf>
    <xf numFmtId="0" fontId="1" fillId="12" borderId="0" xfId="0" applyFont="1" applyFill="1" applyBorder="1" applyAlignment="1" applyProtection="1">
      <alignment horizontal="left"/>
    </xf>
    <xf numFmtId="0" fontId="16" fillId="13" borderId="2" xfId="0" applyFont="1" applyFill="1" applyBorder="1" applyAlignment="1" applyProtection="1">
      <alignment horizontal="center"/>
      <protection locked="0"/>
    </xf>
    <xf numFmtId="0" fontId="16" fillId="13" borderId="3" xfId="0" applyFont="1" applyFill="1" applyBorder="1" applyAlignment="1" applyProtection="1">
      <alignment horizontal="center"/>
      <protection locked="0"/>
    </xf>
    <xf numFmtId="0" fontId="0" fillId="12" borderId="0" xfId="0" applyFill="1" applyBorder="1" applyAlignment="1" applyProtection="1">
      <alignment horizontal="left"/>
    </xf>
    <xf numFmtId="0" fontId="0" fillId="12" borderId="6" xfId="0" applyFill="1" applyBorder="1" applyAlignment="1" applyProtection="1">
      <alignment horizontal="left"/>
    </xf>
    <xf numFmtId="0" fontId="52" fillId="13" borderId="14" xfId="1" applyFont="1" applyFill="1" applyBorder="1" applyAlignment="1" applyProtection="1">
      <alignment horizontal="center" vertical="center"/>
      <protection locked="0"/>
    </xf>
    <xf numFmtId="0" fontId="52" fillId="13" borderId="11" xfId="1" applyFont="1" applyFill="1" applyBorder="1" applyAlignment="1" applyProtection="1">
      <alignment horizontal="center" vertical="center"/>
      <protection locked="0"/>
    </xf>
    <xf numFmtId="0" fontId="52" fillId="13" borderId="12" xfId="1" applyFont="1" applyFill="1" applyBorder="1" applyAlignment="1" applyProtection="1">
      <alignment horizontal="center" vertical="center"/>
      <protection locked="0"/>
    </xf>
    <xf numFmtId="0" fontId="52" fillId="13" borderId="10" xfId="1" applyFont="1" applyFill="1" applyBorder="1" applyAlignment="1" applyProtection="1">
      <alignment horizontal="center" vertical="center"/>
      <protection locked="0"/>
    </xf>
    <xf numFmtId="0" fontId="52" fillId="13" borderId="8" xfId="1" applyFont="1" applyFill="1" applyBorder="1" applyAlignment="1" applyProtection="1">
      <alignment horizontal="center" vertical="center"/>
      <protection locked="0"/>
    </xf>
    <xf numFmtId="0" fontId="52" fillId="13" borderId="13" xfId="1" applyFont="1" applyFill="1" applyBorder="1" applyAlignment="1" applyProtection="1">
      <alignment horizontal="center" vertical="center"/>
      <protection locked="0"/>
    </xf>
    <xf numFmtId="0" fontId="49" fillId="0" borderId="0" xfId="0" applyFont="1" applyAlignment="1">
      <alignment horizontal="center"/>
    </xf>
    <xf numFmtId="0" fontId="50" fillId="13" borderId="14" xfId="1" applyFont="1" applyFill="1" applyBorder="1" applyAlignment="1" applyProtection="1">
      <alignment horizontal="center" vertical="center"/>
      <protection locked="0"/>
    </xf>
    <xf numFmtId="0" fontId="50" fillId="13" borderId="11" xfId="1" applyFont="1" applyFill="1" applyBorder="1" applyAlignment="1" applyProtection="1">
      <alignment horizontal="center" vertical="center"/>
      <protection locked="0"/>
    </xf>
    <xf numFmtId="0" fontId="50" fillId="13" borderId="12" xfId="1" applyFont="1" applyFill="1" applyBorder="1" applyAlignment="1" applyProtection="1">
      <alignment horizontal="center" vertical="center"/>
      <protection locked="0"/>
    </xf>
    <xf numFmtId="0" fontId="50" fillId="13" borderId="10" xfId="1" applyFont="1" applyFill="1" applyBorder="1" applyAlignment="1" applyProtection="1">
      <alignment horizontal="center" vertical="center"/>
      <protection locked="0"/>
    </xf>
    <xf numFmtId="0" fontId="50" fillId="13" borderId="8" xfId="1" applyFont="1" applyFill="1" applyBorder="1" applyAlignment="1" applyProtection="1">
      <alignment horizontal="center" vertical="center"/>
      <protection locked="0"/>
    </xf>
    <xf numFmtId="0" fontId="50" fillId="13" borderId="13" xfId="1" applyFont="1" applyFill="1" applyBorder="1" applyAlignment="1" applyProtection="1">
      <alignment horizontal="center" vertical="center"/>
      <protection locked="0"/>
    </xf>
    <xf numFmtId="0" fontId="1" fillId="12" borderId="6" xfId="0" applyFont="1" applyFill="1" applyBorder="1" applyAlignment="1" applyProtection="1">
      <alignment horizontal="left"/>
    </xf>
    <xf numFmtId="0" fontId="52" fillId="13" borderId="14" xfId="1" applyFont="1" applyFill="1" applyBorder="1" applyAlignment="1">
      <alignment horizontal="center" vertical="center"/>
    </xf>
    <xf numFmtId="0" fontId="52" fillId="13" borderId="11" xfId="1" applyFont="1" applyFill="1" applyBorder="1" applyAlignment="1">
      <alignment horizontal="center" vertical="center"/>
    </xf>
    <xf numFmtId="0" fontId="52" fillId="13" borderId="12" xfId="1" applyFont="1" applyFill="1" applyBorder="1" applyAlignment="1">
      <alignment horizontal="center" vertical="center"/>
    </xf>
    <xf numFmtId="0" fontId="52" fillId="13" borderId="10" xfId="1" applyFont="1" applyFill="1" applyBorder="1" applyAlignment="1">
      <alignment horizontal="center" vertical="center"/>
    </xf>
    <xf numFmtId="0" fontId="52" fillId="13" borderId="8" xfId="1" applyFont="1" applyFill="1" applyBorder="1" applyAlignment="1">
      <alignment horizontal="center" vertical="center"/>
    </xf>
    <xf numFmtId="0" fontId="52" fillId="13" borderId="13" xfId="1" applyFont="1" applyFill="1" applyBorder="1" applyAlignment="1">
      <alignment horizontal="center" vertical="center"/>
    </xf>
    <xf numFmtId="0" fontId="16" fillId="13" borderId="17" xfId="0" applyFont="1" applyFill="1" applyBorder="1" applyAlignment="1" applyProtection="1">
      <alignment horizontal="center"/>
      <protection locked="0"/>
    </xf>
    <xf numFmtId="0" fontId="16" fillId="13" borderId="18" xfId="0" applyFont="1" applyFill="1" applyBorder="1" applyAlignment="1" applyProtection="1">
      <alignment horizontal="center"/>
      <protection locked="0"/>
    </xf>
    <xf numFmtId="0" fontId="0" fillId="12" borderId="1" xfId="0" applyFill="1" applyBorder="1" applyAlignment="1" applyProtection="1">
      <alignment horizontal="right"/>
    </xf>
    <xf numFmtId="0" fontId="0" fillId="12" borderId="0" xfId="0" applyFill="1" applyBorder="1" applyAlignment="1" applyProtection="1">
      <alignment horizontal="right"/>
    </xf>
    <xf numFmtId="0" fontId="0" fillId="12" borderId="10" xfId="0" applyFill="1" applyBorder="1" applyAlignment="1" applyProtection="1">
      <alignment horizontal="right"/>
    </xf>
    <xf numFmtId="0" fontId="0" fillId="12" borderId="8" xfId="0" applyFill="1" applyBorder="1" applyAlignment="1" applyProtection="1">
      <alignment horizontal="right"/>
    </xf>
    <xf numFmtId="0" fontId="51" fillId="0" borderId="0" xfId="0" applyFont="1" applyAlignment="1">
      <alignment horizontal="center"/>
    </xf>
    <xf numFmtId="0" fontId="16" fillId="13" borderId="20" xfId="0" applyFont="1" applyFill="1" applyBorder="1" applyAlignment="1" applyProtection="1">
      <alignment horizontal="center"/>
      <protection locked="0"/>
    </xf>
    <xf numFmtId="0" fontId="16" fillId="13" borderId="8" xfId="0" applyFont="1" applyFill="1" applyBorder="1" applyAlignment="1" applyProtection="1">
      <alignment horizontal="center"/>
      <protection locked="0"/>
    </xf>
    <xf numFmtId="0" fontId="16" fillId="13" borderId="15" xfId="0" applyFont="1" applyFill="1" applyBorder="1" applyAlignment="1" applyProtection="1">
      <alignment horizontal="center"/>
      <protection locked="0"/>
    </xf>
    <xf numFmtId="0" fontId="47" fillId="0" borderId="0" xfId="0" applyFont="1" applyAlignment="1">
      <alignment horizontal="center" vertical="center"/>
    </xf>
    <xf numFmtId="0" fontId="45" fillId="0" borderId="0" xfId="0" applyFont="1" applyAlignment="1">
      <alignment horizontal="center" vertical="center"/>
    </xf>
    <xf numFmtId="0" fontId="46" fillId="0" borderId="0" xfId="0" applyFont="1" applyAlignment="1">
      <alignment horizontal="center" vertical="center"/>
    </xf>
    <xf numFmtId="0" fontId="50" fillId="13" borderId="14" xfId="1" applyFont="1" applyFill="1" applyBorder="1" applyAlignment="1">
      <alignment horizontal="center" vertical="center"/>
    </xf>
    <xf numFmtId="0" fontId="50" fillId="13" borderId="11" xfId="1" applyFont="1" applyFill="1" applyBorder="1" applyAlignment="1">
      <alignment horizontal="center" vertical="center"/>
    </xf>
    <xf numFmtId="0" fontId="50" fillId="13" borderId="12" xfId="1" applyFont="1" applyFill="1" applyBorder="1" applyAlignment="1">
      <alignment horizontal="center" vertical="center"/>
    </xf>
    <xf numFmtId="0" fontId="50" fillId="13" borderId="10" xfId="1" applyFont="1" applyFill="1" applyBorder="1" applyAlignment="1">
      <alignment horizontal="center" vertical="center"/>
    </xf>
    <xf numFmtId="0" fontId="50" fillId="13" borderId="8" xfId="1" applyFont="1" applyFill="1" applyBorder="1" applyAlignment="1">
      <alignment horizontal="center" vertical="center"/>
    </xf>
    <xf numFmtId="0" fontId="50" fillId="13" borderId="13" xfId="1" applyFont="1" applyFill="1" applyBorder="1" applyAlignment="1">
      <alignment horizontal="center" vertical="center"/>
    </xf>
    <xf numFmtId="0" fontId="1" fillId="12" borderId="14" xfId="0" applyFont="1" applyFill="1" applyBorder="1" applyAlignment="1" applyProtection="1">
      <alignment horizontal="left" wrapText="1"/>
    </xf>
    <xf numFmtId="0" fontId="1" fillId="12" borderId="11" xfId="0" applyFont="1" applyFill="1" applyBorder="1" applyAlignment="1" applyProtection="1">
      <alignment horizontal="left" wrapText="1"/>
    </xf>
    <xf numFmtId="0" fontId="0" fillId="12" borderId="1" xfId="0" applyFont="1" applyFill="1" applyBorder="1" applyAlignment="1" applyProtection="1">
      <alignment horizontal="right"/>
    </xf>
    <xf numFmtId="0" fontId="0" fillId="12" borderId="0" xfId="0" applyFont="1" applyFill="1" applyBorder="1" applyAlignment="1" applyProtection="1">
      <alignment horizontal="right"/>
    </xf>
    <xf numFmtId="0" fontId="0" fillId="12" borderId="0" xfId="0" applyFill="1"/>
    <xf numFmtId="0" fontId="16" fillId="13" borderId="4" xfId="0" applyFont="1" applyFill="1" applyBorder="1" applyAlignment="1" applyProtection="1">
      <alignment horizontal="center"/>
      <protection locked="0"/>
    </xf>
    <xf numFmtId="0" fontId="1" fillId="12" borderId="14" xfId="0" applyFont="1" applyFill="1" applyBorder="1" applyAlignment="1" applyProtection="1">
      <alignment horizontal="left"/>
    </xf>
    <xf numFmtId="0" fontId="1" fillId="12" borderId="11" xfId="0" applyFont="1" applyFill="1" applyBorder="1" applyAlignment="1" applyProtection="1">
      <alignment horizontal="left"/>
    </xf>
    <xf numFmtId="0" fontId="7" fillId="13" borderId="19" xfId="0" applyFont="1" applyFill="1" applyBorder="1" applyAlignment="1" applyProtection="1">
      <alignment horizontal="center"/>
      <protection locked="0"/>
    </xf>
    <xf numFmtId="0" fontId="7" fillId="13" borderId="16" xfId="0" applyFont="1" applyFill="1" applyBorder="1" applyAlignment="1" applyProtection="1">
      <alignment horizontal="center"/>
      <protection locked="0"/>
    </xf>
    <xf numFmtId="0" fontId="7" fillId="13" borderId="7" xfId="0" applyFont="1" applyFill="1" applyBorder="1" applyAlignment="1" applyProtection="1">
      <alignment horizontal="center"/>
      <protection locked="0"/>
    </xf>
    <xf numFmtId="0" fontId="7" fillId="13" borderId="23" xfId="0" applyFont="1" applyFill="1" applyBorder="1" applyAlignment="1" applyProtection="1">
      <alignment horizontal="center"/>
      <protection locked="0"/>
    </xf>
    <xf numFmtId="0" fontId="0" fillId="14" borderId="0" xfId="0" applyFill="1" applyBorder="1" applyAlignment="1" applyProtection="1">
      <alignment horizontal="center"/>
    </xf>
    <xf numFmtId="0" fontId="0" fillId="14" borderId="6" xfId="0" applyFill="1" applyBorder="1" applyAlignment="1" applyProtection="1">
      <alignment horizontal="center"/>
    </xf>
    <xf numFmtId="0" fontId="7" fillId="13" borderId="8" xfId="0" applyFont="1" applyFill="1" applyBorder="1" applyAlignment="1" applyProtection="1">
      <alignment horizontal="center"/>
      <protection locked="0"/>
    </xf>
    <xf numFmtId="0" fontId="7" fillId="13" borderId="15" xfId="0" applyFont="1" applyFill="1" applyBorder="1" applyAlignment="1" applyProtection="1">
      <alignment horizontal="center"/>
      <protection locked="0"/>
    </xf>
    <xf numFmtId="0" fontId="0" fillId="12" borderId="1" xfId="0" applyFill="1" applyBorder="1" applyAlignment="1" applyProtection="1">
      <alignment horizontal="left"/>
    </xf>
    <xf numFmtId="0" fontId="30" fillId="12" borderId="0" xfId="0" applyFont="1" applyFill="1" applyBorder="1" applyAlignment="1" applyProtection="1">
      <alignment horizontal="left"/>
    </xf>
    <xf numFmtId="0" fontId="30" fillId="12" borderId="9" xfId="0" applyFont="1" applyFill="1" applyBorder="1" applyAlignment="1" applyProtection="1">
      <alignment horizontal="left"/>
    </xf>
    <xf numFmtId="0" fontId="0" fillId="12" borderId="10" xfId="0" applyFill="1" applyBorder="1" applyAlignment="1" applyProtection="1">
      <alignment horizontal="left"/>
    </xf>
    <xf numFmtId="0" fontId="7" fillId="14" borderId="7" xfId="0" applyFont="1" applyFill="1" applyBorder="1" applyAlignment="1" applyProtection="1">
      <alignment horizontal="center"/>
      <protection locked="0"/>
    </xf>
    <xf numFmtId="0" fontId="7" fillId="14" borderId="23" xfId="0" applyFont="1" applyFill="1" applyBorder="1" applyAlignment="1" applyProtection="1">
      <alignment horizontal="center"/>
      <protection locked="0"/>
    </xf>
    <xf numFmtId="0" fontId="13" fillId="4" borderId="0" xfId="0" applyFont="1" applyFill="1" applyBorder="1" applyAlignment="1" applyProtection="1">
      <alignment horizontal="left"/>
    </xf>
    <xf numFmtId="0" fontId="42" fillId="12" borderId="0" xfId="0" applyFont="1" applyFill="1" applyBorder="1" applyAlignment="1" applyProtection="1">
      <alignment horizontal="left"/>
      <protection hidden="1"/>
    </xf>
    <xf numFmtId="0" fontId="42" fillId="12" borderId="9" xfId="0" applyFont="1" applyFill="1" applyBorder="1" applyAlignment="1" applyProtection="1">
      <alignment horizontal="left"/>
      <protection hidden="1"/>
    </xf>
    <xf numFmtId="0" fontId="56" fillId="15" borderId="5" xfId="0" applyFont="1" applyFill="1" applyBorder="1" applyAlignment="1">
      <alignment horizontal="left" vertical="center" wrapText="1"/>
    </xf>
    <xf numFmtId="14" fontId="56" fillId="15" borderId="5" xfId="0" applyNumberFormat="1" applyFont="1" applyFill="1" applyBorder="1" applyAlignment="1">
      <alignment horizontal="left" vertical="center" wrapText="1"/>
    </xf>
    <xf numFmtId="0" fontId="56" fillId="15" borderId="5" xfId="0" applyFont="1" applyFill="1" applyBorder="1" applyAlignment="1">
      <alignment horizontal="center" vertical="center" wrapText="1"/>
    </xf>
    <xf numFmtId="14" fontId="56" fillId="15" borderId="5" xfId="0" applyNumberFormat="1" applyFont="1" applyFill="1" applyBorder="1" applyAlignment="1">
      <alignment horizontal="center" vertical="center" wrapText="1"/>
    </xf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center" vertical="center" wrapText="1"/>
    </xf>
    <xf numFmtId="0" fontId="29" fillId="8" borderId="2" xfId="0" applyFont="1" applyFill="1" applyBorder="1" applyAlignment="1" applyProtection="1">
      <alignment horizontal="left"/>
      <protection hidden="1"/>
    </xf>
    <xf numFmtId="0" fontId="29" fillId="8" borderId="4" xfId="0" applyFont="1" applyFill="1" applyBorder="1" applyAlignment="1" applyProtection="1">
      <alignment horizontal="left"/>
      <protection hidden="1"/>
    </xf>
    <xf numFmtId="0" fontId="29" fillId="8" borderId="3" xfId="0" applyFont="1" applyFill="1" applyBorder="1" applyAlignment="1" applyProtection="1">
      <alignment horizontal="left"/>
      <protection hidden="1"/>
    </xf>
    <xf numFmtId="0" fontId="28" fillId="7" borderId="4" xfId="1" applyFont="1" applyFill="1" applyBorder="1" applyAlignment="1" applyProtection="1">
      <alignment horizontal="left"/>
      <protection hidden="1"/>
    </xf>
    <xf numFmtId="0" fontId="16" fillId="20" borderId="20" xfId="0" applyFont="1" applyFill="1" applyBorder="1" applyAlignment="1" applyProtection="1">
      <alignment horizontal="center"/>
      <protection locked="0"/>
    </xf>
    <xf numFmtId="0" fontId="16" fillId="20" borderId="8" xfId="0" applyFont="1" applyFill="1" applyBorder="1" applyAlignment="1" applyProtection="1">
      <alignment horizontal="center"/>
      <protection locked="0"/>
    </xf>
    <xf numFmtId="0" fontId="16" fillId="20" borderId="15" xfId="0" applyFont="1" applyFill="1" applyBorder="1" applyAlignment="1" applyProtection="1">
      <alignment horizontal="center"/>
      <protection locked="0"/>
    </xf>
    <xf numFmtId="0" fontId="0" fillId="3" borderId="0" xfId="0" applyFill="1" applyBorder="1" applyAlignment="1" applyProtection="1">
      <alignment horizontal="center"/>
    </xf>
    <xf numFmtId="0" fontId="59" fillId="2" borderId="11" xfId="0" applyFont="1" applyFill="1" applyBorder="1" applyAlignment="1" applyProtection="1">
      <alignment horizontal="center"/>
    </xf>
    <xf numFmtId="9" fontId="22" fillId="9" borderId="0" xfId="0" applyNumberFormat="1" applyFont="1" applyFill="1" applyBorder="1" applyAlignment="1" applyProtection="1">
      <alignment vertical="center"/>
      <protection hidden="1"/>
    </xf>
    <xf numFmtId="0" fontId="37" fillId="13" borderId="2" xfId="0" applyFont="1" applyFill="1" applyBorder="1" applyAlignment="1" applyProtection="1">
      <alignment horizontal="center" vertical="center"/>
      <protection locked="0"/>
    </xf>
    <xf numFmtId="0" fontId="37" fillId="13" borderId="4" xfId="0" applyFont="1" applyFill="1" applyBorder="1" applyAlignment="1" applyProtection="1">
      <alignment horizontal="center" vertical="center"/>
      <protection locked="0"/>
    </xf>
    <xf numFmtId="0" fontId="8" fillId="9" borderId="0" xfId="0" applyFont="1" applyFill="1" applyAlignment="1" applyProtection="1">
      <alignment horizontal="center" vertical="center" textRotation="90" wrapText="1"/>
    </xf>
    <xf numFmtId="0" fontId="29" fillId="2" borderId="0" xfId="0" applyFont="1" applyFill="1" applyAlignment="1" applyProtection="1">
      <alignment horizontal="left"/>
    </xf>
    <xf numFmtId="165" fontId="22" fillId="9" borderId="0" xfId="0" applyNumberFormat="1" applyFont="1" applyFill="1" applyBorder="1" applyAlignment="1" applyProtection="1">
      <alignment vertical="center"/>
      <protection hidden="1"/>
    </xf>
    <xf numFmtId="167" fontId="22" fillId="9" borderId="0" xfId="0" applyNumberFormat="1" applyFont="1" applyFill="1" applyBorder="1" applyAlignment="1" applyProtection="1">
      <alignment vertical="center"/>
      <protection hidden="1"/>
    </xf>
    <xf numFmtId="165" fontId="29" fillId="3" borderId="0" xfId="0" applyNumberFormat="1" applyFont="1" applyFill="1" applyAlignment="1" applyProtection="1">
      <alignment horizontal="center"/>
      <protection hidden="1"/>
    </xf>
    <xf numFmtId="1" fontId="29" fillId="3" borderId="0" xfId="0" applyNumberFormat="1" applyFont="1" applyFill="1" applyAlignment="1" applyProtection="1">
      <alignment horizontal="center"/>
      <protection hidden="1"/>
    </xf>
    <xf numFmtId="1" fontId="22" fillId="9" borderId="0" xfId="0" applyNumberFormat="1" applyFont="1" applyFill="1" applyBorder="1" applyAlignment="1" applyProtection="1">
      <alignment vertical="center"/>
      <protection hidden="1"/>
    </xf>
    <xf numFmtId="0" fontId="15" fillId="3" borderId="0" xfId="0" applyFont="1" applyFill="1" applyAlignment="1" applyProtection="1">
      <alignment horizontal="center" vertical="center" textRotation="90" wrapText="1"/>
    </xf>
    <xf numFmtId="1" fontId="74" fillId="9" borderId="0" xfId="0" applyNumberFormat="1" applyFont="1" applyFill="1" applyBorder="1" applyAlignment="1" applyProtection="1">
      <alignment vertical="center"/>
      <protection hidden="1"/>
    </xf>
    <xf numFmtId="2" fontId="22" fillId="9" borderId="0" xfId="0" applyNumberFormat="1" applyFont="1" applyFill="1" applyBorder="1" applyAlignment="1" applyProtection="1">
      <alignment vertical="center"/>
      <protection hidden="1"/>
    </xf>
    <xf numFmtId="0" fontId="8" fillId="3" borderId="0" xfId="0" applyFont="1" applyFill="1" applyAlignment="1" applyProtection="1">
      <alignment horizontal="center" vertical="center" textRotation="90" wrapText="1"/>
    </xf>
    <xf numFmtId="165" fontId="29" fillId="2" borderId="0" xfId="0" applyNumberFormat="1" applyFont="1" applyFill="1" applyAlignment="1" applyProtection="1">
      <alignment horizontal="left"/>
    </xf>
    <xf numFmtId="0" fontId="8" fillId="3" borderId="22" xfId="0" applyFont="1" applyFill="1" applyBorder="1" applyAlignment="1" applyProtection="1">
      <alignment horizontal="center" vertical="center" textRotation="90" wrapText="1"/>
    </xf>
    <xf numFmtId="1" fontId="1" fillId="9" borderId="0" xfId="0" applyNumberFormat="1" applyFont="1" applyFill="1" applyBorder="1" applyAlignment="1" applyProtection="1">
      <alignment horizontal="center" vertical="center"/>
      <protection hidden="1"/>
    </xf>
    <xf numFmtId="1" fontId="24" fillId="9" borderId="0" xfId="0" applyNumberFormat="1" applyFont="1" applyFill="1" applyBorder="1" applyAlignment="1" applyProtection="1">
      <alignment horizontal="center" vertical="center"/>
      <protection hidden="1"/>
    </xf>
    <xf numFmtId="2" fontId="29" fillId="2" borderId="0" xfId="0" applyNumberFormat="1" applyFont="1" applyFill="1" applyAlignment="1" applyProtection="1">
      <alignment horizontal="left"/>
    </xf>
    <xf numFmtId="165" fontId="29" fillId="2" borderId="0" xfId="0" applyNumberFormat="1" applyFont="1" applyFill="1" applyAlignment="1" applyProtection="1">
      <alignment horizontal="center" vertical="center"/>
    </xf>
    <xf numFmtId="0" fontId="37" fillId="13" borderId="3" xfId="0" applyFont="1" applyFill="1" applyBorder="1" applyAlignment="1" applyProtection="1">
      <alignment horizontal="center" vertical="center"/>
      <protection locked="0"/>
    </xf>
    <xf numFmtId="0" fontId="22" fillId="9" borderId="0" xfId="0" applyFont="1" applyFill="1" applyBorder="1" applyAlignment="1" applyProtection="1">
      <alignment horizontal="center" vertical="center" textRotation="90" wrapText="1"/>
    </xf>
    <xf numFmtId="0" fontId="20" fillId="12" borderId="1" xfId="0" applyFont="1" applyFill="1" applyBorder="1" applyAlignment="1" applyProtection="1">
      <alignment horizontal="left"/>
    </xf>
    <xf numFmtId="0" fontId="20" fillId="12" borderId="0" xfId="0" applyFont="1" applyFill="1" applyBorder="1" applyAlignment="1" applyProtection="1">
      <alignment horizontal="left"/>
    </xf>
    <xf numFmtId="0" fontId="0" fillId="2" borderId="0" xfId="0" applyFill="1" applyBorder="1" applyAlignment="1" applyProtection="1">
      <alignment horizontal="center"/>
    </xf>
    <xf numFmtId="1" fontId="29" fillId="3" borderId="0" xfId="0" applyNumberFormat="1" applyFont="1" applyFill="1" applyAlignment="1" applyProtection="1">
      <alignment horizontal="left"/>
      <protection hidden="1"/>
    </xf>
    <xf numFmtId="0" fontId="26" fillId="2" borderId="0" xfId="1" applyFont="1" applyFill="1" applyBorder="1" applyAlignment="1" applyProtection="1">
      <alignment horizontal="left" textRotation="90" wrapText="1"/>
    </xf>
    <xf numFmtId="0" fontId="29" fillId="2" borderId="0" xfId="0" applyFont="1" applyFill="1" applyAlignment="1" applyProtection="1">
      <alignment horizontal="center"/>
    </xf>
    <xf numFmtId="0" fontId="16" fillId="17" borderId="2" xfId="0" applyFont="1" applyFill="1" applyBorder="1" applyAlignment="1" applyProtection="1">
      <alignment horizontal="center"/>
      <protection locked="0"/>
    </xf>
    <xf numFmtId="0" fontId="16" fillId="17" borderId="4" xfId="0" applyFont="1" applyFill="1" applyBorder="1" applyAlignment="1" applyProtection="1">
      <alignment horizontal="center"/>
      <protection locked="0"/>
    </xf>
    <xf numFmtId="0" fontId="1" fillId="2" borderId="0" xfId="0" applyFont="1" applyFill="1" applyAlignment="1" applyProtection="1">
      <alignment horizontal="center"/>
    </xf>
    <xf numFmtId="0" fontId="1" fillId="2" borderId="6" xfId="0" applyFont="1" applyFill="1" applyBorder="1" applyAlignment="1" applyProtection="1">
      <alignment horizontal="center"/>
    </xf>
    <xf numFmtId="0" fontId="15" fillId="2" borderId="0" xfId="0" applyFont="1" applyFill="1" applyBorder="1" applyAlignment="1" applyProtection="1">
      <alignment horizontal="left"/>
    </xf>
    <xf numFmtId="165" fontId="1" fillId="2" borderId="0" xfId="0" applyNumberFormat="1" applyFont="1" applyFill="1" applyBorder="1" applyAlignment="1" applyProtection="1">
      <alignment horizontal="center" vertical="center"/>
      <protection hidden="1"/>
    </xf>
    <xf numFmtId="0" fontId="1" fillId="2" borderId="0" xfId="0" applyFont="1" applyFill="1" applyAlignment="1" applyProtection="1">
      <alignment horizontal="left"/>
    </xf>
    <xf numFmtId="0" fontId="23" fillId="2" borderId="0" xfId="0" applyFont="1" applyFill="1" applyBorder="1" applyAlignment="1" applyProtection="1">
      <alignment horizontal="left"/>
    </xf>
    <xf numFmtId="0" fontId="22" fillId="9" borderId="0" xfId="0" applyFont="1" applyFill="1" applyAlignment="1" applyProtection="1">
      <alignment horizontal="center" vertical="center" textRotation="90" wrapText="1"/>
    </xf>
    <xf numFmtId="2" fontId="29" fillId="2" borderId="0" xfId="0" applyNumberFormat="1" applyFont="1" applyFill="1" applyAlignment="1" applyProtection="1">
      <alignment horizontal="center"/>
    </xf>
    <xf numFmtId="0" fontId="26" fillId="2" borderId="0" xfId="1" applyFont="1" applyFill="1" applyBorder="1" applyAlignment="1" applyProtection="1">
      <alignment horizontal="left" textRotation="90"/>
    </xf>
    <xf numFmtId="0" fontId="26" fillId="2" borderId="0" xfId="1" applyFont="1" applyFill="1" applyBorder="1" applyAlignment="1" applyProtection="1">
      <alignment horizontal="center" textRotation="90"/>
    </xf>
    <xf numFmtId="0" fontId="17" fillId="2" borderId="0" xfId="0" applyFont="1" applyFill="1" applyBorder="1" applyAlignment="1" applyProtection="1">
      <alignment horizontal="left"/>
    </xf>
    <xf numFmtId="0" fontId="24" fillId="2" borderId="0" xfId="0" applyFont="1" applyFill="1" applyBorder="1" applyAlignment="1" applyProtection="1">
      <alignment horizontal="left"/>
    </xf>
    <xf numFmtId="0" fontId="42" fillId="12" borderId="0" xfId="0" applyFont="1" applyFill="1" applyBorder="1" applyAlignment="1" applyProtection="1">
      <alignment horizontal="left"/>
    </xf>
    <xf numFmtId="0" fontId="42" fillId="12" borderId="9" xfId="0" applyFont="1" applyFill="1" applyBorder="1" applyAlignment="1" applyProtection="1">
      <alignment horizontal="left"/>
    </xf>
    <xf numFmtId="0" fontId="1" fillId="2" borderId="0" xfId="0" applyFont="1" applyFill="1" applyBorder="1" applyAlignment="1" applyProtection="1">
      <alignment horizontal="left"/>
    </xf>
    <xf numFmtId="0" fontId="0" fillId="9" borderId="0" xfId="0" applyFill="1" applyBorder="1" applyAlignment="1" applyProtection="1">
      <alignment horizontal="center"/>
    </xf>
    <xf numFmtId="0" fontId="38" fillId="13" borderId="17" xfId="0" applyFont="1" applyFill="1" applyBorder="1" applyAlignment="1" applyProtection="1">
      <alignment horizontal="center" vertical="center"/>
      <protection locked="0"/>
    </xf>
    <xf numFmtId="0" fontId="38" fillId="13" borderId="4" xfId="0" applyFont="1" applyFill="1" applyBorder="1" applyAlignment="1" applyProtection="1">
      <alignment horizontal="center" vertical="center"/>
      <protection locked="0"/>
    </xf>
    <xf numFmtId="0" fontId="38" fillId="13" borderId="3" xfId="0" applyFont="1" applyFill="1" applyBorder="1" applyAlignment="1" applyProtection="1">
      <alignment horizontal="center" vertical="center"/>
      <protection locked="0"/>
    </xf>
    <xf numFmtId="9" fontId="29" fillId="2" borderId="0" xfId="0" applyNumberFormat="1" applyFont="1" applyFill="1" applyAlignment="1" applyProtection="1">
      <alignment horizontal="left"/>
    </xf>
    <xf numFmtId="0" fontId="13" fillId="12" borderId="0" xfId="0" applyFont="1" applyFill="1" applyBorder="1" applyAlignment="1" applyProtection="1">
      <alignment horizontal="left" wrapText="1"/>
    </xf>
    <xf numFmtId="0" fontId="13" fillId="12" borderId="8" xfId="0" applyFont="1" applyFill="1" applyBorder="1" applyAlignment="1" applyProtection="1">
      <alignment horizontal="left" wrapText="1"/>
    </xf>
    <xf numFmtId="0" fontId="13" fillId="12" borderId="0" xfId="0" applyFont="1" applyFill="1" applyBorder="1" applyAlignment="1" applyProtection="1">
      <alignment horizontal="left"/>
    </xf>
    <xf numFmtId="0" fontId="1" fillId="0" borderId="0" xfId="0" applyFont="1" applyAlignment="1">
      <alignment horizontal="center"/>
    </xf>
    <xf numFmtId="0" fontId="0" fillId="0" borderId="0" xfId="0" applyAlignment="1" applyProtection="1">
      <alignment horizontal="center"/>
      <protection hidden="1"/>
    </xf>
    <xf numFmtId="0" fontId="0" fillId="0" borderId="0" xfId="0" applyAlignment="1" applyProtection="1">
      <alignment horizontal="right"/>
      <protection hidden="1"/>
    </xf>
    <xf numFmtId="0" fontId="0" fillId="5" borderId="0" xfId="0" applyFill="1" applyAlignment="1" applyProtection="1">
      <alignment horizontal="center" vertical="center"/>
      <protection hidden="1"/>
    </xf>
    <xf numFmtId="0" fontId="0" fillId="5" borderId="0" xfId="0" applyFill="1" applyAlignment="1" applyProtection="1">
      <alignment horizontal="center"/>
      <protection hidden="1"/>
    </xf>
    <xf numFmtId="0" fontId="0" fillId="6" borderId="1" xfId="0" applyFill="1" applyBorder="1" applyAlignment="1" applyProtection="1">
      <alignment horizontal="center"/>
      <protection hidden="1"/>
    </xf>
    <xf numFmtId="0" fontId="0" fillId="6" borderId="0" xfId="0" applyFill="1" applyBorder="1" applyAlignment="1" applyProtection="1">
      <alignment horizontal="center"/>
      <protection hidden="1"/>
    </xf>
    <xf numFmtId="0" fontId="31" fillId="10" borderId="0" xfId="2" applyAlignment="1" applyProtection="1">
      <alignment horizontal="center" vertical="center" textRotation="90" wrapText="1"/>
      <protection hidden="1"/>
    </xf>
    <xf numFmtId="49" fontId="1" fillId="2" borderId="0" xfId="0" applyNumberFormat="1" applyFont="1" applyFill="1" applyAlignment="1">
      <alignment horizontal="center" vertical="center" textRotation="90" wrapText="1"/>
    </xf>
    <xf numFmtId="0" fontId="1" fillId="4" borderId="1" xfId="0" applyFont="1" applyFill="1" applyBorder="1" applyAlignment="1">
      <alignment horizontal="center"/>
    </xf>
    <xf numFmtId="0" fontId="1" fillId="4" borderId="0" xfId="0" applyFont="1" applyFill="1" applyBorder="1" applyAlignment="1">
      <alignment horizontal="center"/>
    </xf>
    <xf numFmtId="0" fontId="1" fillId="4" borderId="9" xfId="0" applyFont="1" applyFill="1" applyBorder="1" applyAlignment="1">
      <alignment horizontal="center"/>
    </xf>
    <xf numFmtId="49" fontId="1" fillId="3" borderId="0" xfId="0" applyNumberFormat="1" applyFont="1" applyFill="1" applyAlignment="1">
      <alignment horizontal="center" vertical="center" textRotation="90" wrapText="1"/>
    </xf>
    <xf numFmtId="0" fontId="1" fillId="3" borderId="0" xfId="0" applyFont="1" applyFill="1" applyAlignment="1">
      <alignment horizontal="center" vertical="center" textRotation="90" wrapText="1"/>
    </xf>
    <xf numFmtId="0" fontId="1" fillId="2" borderId="0" xfId="0" applyFont="1" applyFill="1" applyAlignment="1">
      <alignment horizontal="center" vertical="center" textRotation="90" wrapText="1"/>
    </xf>
    <xf numFmtId="0" fontId="1" fillId="4" borderId="21" xfId="0" applyFont="1" applyFill="1" applyBorder="1" applyAlignment="1">
      <alignment horizontal="center"/>
    </xf>
    <xf numFmtId="0" fontId="1" fillId="4" borderId="1" xfId="0" applyFont="1" applyFill="1" applyBorder="1" applyAlignment="1">
      <alignment horizontal="center" vertical="center"/>
    </xf>
    <xf numFmtId="0" fontId="19" fillId="3" borderId="0" xfId="0" applyFont="1" applyFill="1" applyAlignment="1" applyProtection="1">
      <alignment horizontal="center" textRotation="90" wrapText="1"/>
      <protection hidden="1"/>
    </xf>
  </cellXfs>
  <cellStyles count="41">
    <cellStyle name="Calc area" xfId="8"/>
    <cellStyle name="Dezimal 2" xfId="9"/>
    <cellStyle name="Dezimal 2 2" xfId="10"/>
    <cellStyle name="Good" xfId="5" builtinId="26"/>
    <cellStyle name="Good 2" xfId="11"/>
    <cellStyle name="Hyperlink" xfId="1" builtinId="8"/>
    <cellStyle name="Hyperlink 2" xfId="12"/>
    <cellStyle name="Hyperlink 3" xfId="39"/>
    <cellStyle name="Needs attention" xfId="13"/>
    <cellStyle name="Neutral" xfId="2" builtinId="28"/>
    <cellStyle name="Normaallaad 2" xfId="14"/>
    <cellStyle name="Normaallaad 2 2" xfId="15"/>
    <cellStyle name="Normal" xfId="0" builtinId="0"/>
    <cellStyle name="Normal 10" xfId="16"/>
    <cellStyle name="Normal 11" xfId="17"/>
    <cellStyle name="Normal 12" xfId="6"/>
    <cellStyle name="Normal 2" xfId="18"/>
    <cellStyle name="Normal 2 2" xfId="19"/>
    <cellStyle name="Normal 3" xfId="7"/>
    <cellStyle name="Normal 3 2" xfId="20"/>
    <cellStyle name="Normal 4" xfId="4"/>
    <cellStyle name="Normal 4 2" xfId="22"/>
    <cellStyle name="Normal 4 3" xfId="21"/>
    <cellStyle name="Normal 5" xfId="23"/>
    <cellStyle name="Normal 6" xfId="24"/>
    <cellStyle name="Normal 7" xfId="25"/>
    <cellStyle name="Normal 8" xfId="26"/>
    <cellStyle name="Normal 9" xfId="27"/>
    <cellStyle name="Percent" xfId="3" builtinId="5"/>
    <cellStyle name="Percent 2" xfId="28"/>
    <cellStyle name="Percent 3" xfId="29"/>
    <cellStyle name="Percent 4" xfId="40"/>
    <cellStyle name="Prozent 2" xfId="30"/>
    <cellStyle name="Prozent 3" xfId="31"/>
    <cellStyle name="Standard 2" xfId="32"/>
    <cellStyle name="Standard 3" xfId="33"/>
    <cellStyle name="Standard 3 2" xfId="34"/>
    <cellStyle name="Standard 4" xfId="35"/>
    <cellStyle name="User input" xfId="36"/>
    <cellStyle name="User input 2" xfId="37"/>
    <cellStyle name="User input 2 2" xfId="38"/>
  </cellStyles>
  <dxfs count="12">
    <dxf>
      <font>
        <color rgb="FFC00000"/>
      </font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theme="0" tint="-0.34998626667073579"/>
      </font>
    </dxf>
    <dxf>
      <font>
        <color theme="0" tint="-0.34998626667073579"/>
      </font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theme="0" tint="-0.34998626667073579"/>
      </font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E10014"/>
      <color rgb="FFF8696B"/>
      <color rgb="FF63BE7B"/>
      <color rgb="FF78B428"/>
      <color rgb="FF46B4E6"/>
      <color rgb="FFFABE00"/>
      <color rgb="FFFF9900"/>
      <color rgb="FF82328C"/>
      <color rgb="FF006432"/>
      <color rgb="FF693C1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20" Type="http://schemas.openxmlformats.org/officeDocument/2006/relationships/theme" Target="theme/theme1.xml"/><Relationship Id="rId21" Type="http://schemas.openxmlformats.org/officeDocument/2006/relationships/styles" Target="styles.xml"/><Relationship Id="rId22" Type="http://schemas.openxmlformats.org/officeDocument/2006/relationships/sharedStrings" Target="sharedStrings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1" Type="http://schemas.openxmlformats.org/officeDocument/2006/relationships/worksheet" Target="worksheets/sheet11.xml"/><Relationship Id="rId12" Type="http://schemas.openxmlformats.org/officeDocument/2006/relationships/worksheet" Target="worksheets/sheet12.xml"/><Relationship Id="rId13" Type="http://schemas.openxmlformats.org/officeDocument/2006/relationships/worksheet" Target="worksheets/sheet13.xml"/><Relationship Id="rId14" Type="http://schemas.openxmlformats.org/officeDocument/2006/relationships/worksheet" Target="worksheets/sheet14.xml"/><Relationship Id="rId15" Type="http://schemas.openxmlformats.org/officeDocument/2006/relationships/worksheet" Target="worksheets/sheet15.xml"/><Relationship Id="rId16" Type="http://schemas.openxmlformats.org/officeDocument/2006/relationships/worksheet" Target="worksheets/sheet16.xml"/><Relationship Id="rId17" Type="http://schemas.openxmlformats.org/officeDocument/2006/relationships/worksheet" Target="worksheets/sheet17.xml"/><Relationship Id="rId18" Type="http://schemas.openxmlformats.org/officeDocument/2006/relationships/worksheet" Target="worksheets/sheet18.xml"/><Relationship Id="rId19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worksheet" Target="worksheets/sheet8.xml"/></Relationships>
</file>

<file path=xl/charts/_rels/chart1.xml.rels><?xml version="1.0" encoding="UTF-8" standalone="yes"?>
<Relationships xmlns="http://schemas.openxmlformats.org/package/2006/relationships"><Relationship Id="rId1" Type="http://schemas.microsoft.com/office/2011/relationships/chartStyle" Target="style1.xml"/><Relationship Id="rId2" Type="http://schemas.microsoft.com/office/2011/relationships/chartColorStyle" Target="colors1.xml"/></Relationships>
</file>

<file path=xl/charts/_rels/chart2.xml.rels><?xml version="1.0" encoding="UTF-8" standalone="yes"?>
<Relationships xmlns="http://schemas.openxmlformats.org/package/2006/relationships"><Relationship Id="rId1" Type="http://schemas.microsoft.com/office/2011/relationships/chartStyle" Target="style2.xml"/><Relationship Id="rId2" Type="http://schemas.microsoft.com/office/2011/relationships/chartColorStyle" Target="colors2.xml"/></Relationships>
</file>

<file path=xl/charts/_rels/chart3.xml.rels><?xml version="1.0" encoding="UTF-8" standalone="yes"?>
<Relationships xmlns="http://schemas.openxmlformats.org/package/2006/relationships"><Relationship Id="rId1" Type="http://schemas.microsoft.com/office/2011/relationships/chartStyle" Target="style3.xml"/><Relationship Id="rId2" Type="http://schemas.microsoft.com/office/2011/relationships/chartColorStyle" Target="colors3.xml"/></Relationships>
</file>

<file path=xl/charts/_rels/chart4.xml.rels><?xml version="1.0" encoding="UTF-8" standalone="yes"?>
<Relationships xmlns="http://schemas.openxmlformats.org/package/2006/relationships"><Relationship Id="rId1" Type="http://schemas.microsoft.com/office/2011/relationships/chartStyle" Target="style4.xml"/><Relationship Id="rId2" Type="http://schemas.microsoft.com/office/2011/relationships/chartColorStyle" Target="colors4.xml"/></Relationships>
</file>

<file path=xl/charts/_rels/chart5.xml.rels><?xml version="1.0" encoding="UTF-8" standalone="yes"?>
<Relationships xmlns="http://schemas.openxmlformats.org/package/2006/relationships"><Relationship Id="rId1" Type="http://schemas.microsoft.com/office/2011/relationships/chartStyle" Target="style5.xml"/><Relationship Id="rId2" Type="http://schemas.microsoft.com/office/2011/relationships/chartColorStyle" Target="colors5.xml"/></Relationships>
</file>

<file path=xl/charts/_rels/chart6.xml.rels><?xml version="1.0" encoding="UTF-8" standalone="yes"?>
<Relationships xmlns="http://schemas.openxmlformats.org/package/2006/relationships"><Relationship Id="rId1" Type="http://schemas.microsoft.com/office/2011/relationships/chartStyle" Target="style6.xml"/><Relationship Id="rId2" Type="http://schemas.microsoft.com/office/2011/relationships/chartColorStyle" Target="colors6.xml"/></Relationships>
</file>

<file path=xl/charts/_rels/chart7.xml.rels><?xml version="1.0" encoding="UTF-8" standalone="yes"?>
<Relationships xmlns="http://schemas.openxmlformats.org/package/2006/relationships"><Relationship Id="rId1" Type="http://schemas.microsoft.com/office/2011/relationships/chartStyle" Target="style7.xml"/><Relationship Id="rId2" Type="http://schemas.microsoft.com/office/2011/relationships/chartColorStyle" Target="colors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t-E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t-EE">
                <a:solidFill>
                  <a:sysClr val="windowText" lastClr="000000"/>
                </a:solidFill>
              </a:rPr>
              <a:t>Sotsiaalmajanduslikud mõjud</a:t>
            </a:r>
            <a:endParaRPr lang="et-EE" baseline="0">
              <a:solidFill>
                <a:sysClr val="windowText" lastClr="000000"/>
              </a:solidFill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66012928711643"/>
          <c:y val="0.165610816977608"/>
          <c:w val="0.692179629878524"/>
          <c:h val="0.813538746595746"/>
        </c:manualLayout>
      </c:layout>
      <c:radarChart>
        <c:radarStyle val="marker"/>
        <c:varyColors val="0"/>
        <c:ser>
          <c:idx val="0"/>
          <c:order val="0"/>
          <c:tx>
            <c:v>TOP1</c:v>
          </c:tx>
          <c:spPr>
            <a:ln w="22225" cap="rnd">
              <a:solidFill>
                <a:srgbClr val="E10014"/>
              </a:solidFill>
              <a:round/>
            </a:ln>
            <a:effectLst/>
          </c:spPr>
          <c:marker>
            <c:symbol val="none"/>
          </c:marker>
          <c:cat>
            <c:strRef>
              <c:f>Vahetabelid!$A$1:$G$4</c:f>
              <c:strCache>
                <c:ptCount val="7"/>
                <c:pt idx="0">
                  <c:v>SKP</c:v>
                </c:pt>
                <c:pt idx="1">
                  <c:v>Väliskaubanduse saldo</c:v>
                </c:pt>
                <c:pt idx="2">
                  <c:v>Tööviljakuse muutus</c:v>
                </c:pt>
                <c:pt idx="3">
                  <c:v>Tööhõive muutus</c:v>
                </c:pt>
                <c:pt idx="4">
                  <c:v>Primaarenergia tarbimine</c:v>
                </c:pt>
                <c:pt idx="5">
                  <c:v>Fossiilsed kütused</c:v>
                </c:pt>
                <c:pt idx="6">
                  <c:v>CO2 koguemissioon</c:v>
                </c:pt>
              </c:strCache>
            </c:strRef>
          </c:cat>
          <c:val>
            <c:numRef>
              <c:f>Vahetabelid!$A$6:$G$6</c:f>
              <c:numCache>
                <c:formatCode>0%</c:formatCode>
                <c:ptCount val="7"/>
                <c:pt idx="0">
                  <c:v>0.0266379656113347</c:v>
                </c:pt>
                <c:pt idx="1">
                  <c:v>0.00310586508048</c:v>
                </c:pt>
                <c:pt idx="2">
                  <c:v>0.00640071138041345</c:v>
                </c:pt>
                <c:pt idx="3">
                  <c:v>0.0204668638006687</c:v>
                </c:pt>
                <c:pt idx="4">
                  <c:v>-0.0445984393282788</c:v>
                </c:pt>
                <c:pt idx="5">
                  <c:v>-0.0571980348505712</c:v>
                </c:pt>
                <c:pt idx="6">
                  <c:v>-0.0802622962946785</c:v>
                </c:pt>
              </c:numCache>
            </c:numRef>
          </c:val>
          <c:extLst/>
        </c:ser>
        <c:ser>
          <c:idx val="1"/>
          <c:order val="1"/>
          <c:tx>
            <c:v>TOP2</c:v>
          </c:tx>
          <c:spPr>
            <a:ln w="22225" cap="rnd">
              <a:solidFill>
                <a:srgbClr val="144191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Vahetabelid!$A$1:$G$4</c:f>
              <c:strCache>
                <c:ptCount val="7"/>
                <c:pt idx="0">
                  <c:v>SKP</c:v>
                </c:pt>
                <c:pt idx="1">
                  <c:v>Väliskaubanduse saldo</c:v>
                </c:pt>
                <c:pt idx="2">
                  <c:v>Tööviljakuse muutus</c:v>
                </c:pt>
                <c:pt idx="3">
                  <c:v>Tööhõive muutus</c:v>
                </c:pt>
                <c:pt idx="4">
                  <c:v>Primaarenergia tarbimine</c:v>
                </c:pt>
                <c:pt idx="5">
                  <c:v>Fossiilsed kütused</c:v>
                </c:pt>
                <c:pt idx="6">
                  <c:v>CO2 koguemissioon</c:v>
                </c:pt>
              </c:strCache>
            </c:strRef>
          </c:cat>
          <c:val>
            <c:numRef>
              <c:f>Vahetabelid!$A$8:$G$8</c:f>
              <c:numCache>
                <c:formatCode>0%</c:formatCode>
                <c:ptCount val="7"/>
                <c:pt idx="0">
                  <c:v>0.0219869102330882</c:v>
                </c:pt>
                <c:pt idx="1">
                  <c:v>0.00309309935343861</c:v>
                </c:pt>
                <c:pt idx="2">
                  <c:v>0.00506992154436672</c:v>
                </c:pt>
                <c:pt idx="3">
                  <c:v>0.0170730003525039</c:v>
                </c:pt>
                <c:pt idx="4">
                  <c:v>-0.0485779264587247</c:v>
                </c:pt>
                <c:pt idx="5">
                  <c:v>-0.0584571947668597</c:v>
                </c:pt>
                <c:pt idx="6">
                  <c:v>-0.0817230152679047</c:v>
                </c:pt>
              </c:numCache>
            </c:numRef>
          </c:val>
          <c:extLst/>
        </c:ser>
        <c:ser>
          <c:idx val="2"/>
          <c:order val="2"/>
          <c:tx>
            <c:v>TOP3</c:v>
          </c:tx>
          <c:spPr>
            <a:ln w="15875" cap="rnd">
              <a:solidFill>
                <a:srgbClr val="82328C"/>
              </a:solidFill>
              <a:round/>
            </a:ln>
            <a:effectLst/>
          </c:spPr>
          <c:marker>
            <c:symbol val="none"/>
          </c:marker>
          <c:cat>
            <c:strRef>
              <c:f>Vahetabelid!$A$1:$G$4</c:f>
              <c:strCache>
                <c:ptCount val="7"/>
                <c:pt idx="0">
                  <c:v>SKP</c:v>
                </c:pt>
                <c:pt idx="1">
                  <c:v>Väliskaubanduse saldo</c:v>
                </c:pt>
                <c:pt idx="2">
                  <c:v>Tööviljakuse muutus</c:v>
                </c:pt>
                <c:pt idx="3">
                  <c:v>Tööhõive muutus</c:v>
                </c:pt>
                <c:pt idx="4">
                  <c:v>Primaarenergia tarbimine</c:v>
                </c:pt>
                <c:pt idx="5">
                  <c:v>Fossiilsed kütused</c:v>
                </c:pt>
                <c:pt idx="6">
                  <c:v>CO2 koguemissioon</c:v>
                </c:pt>
              </c:strCache>
            </c:strRef>
          </c:cat>
          <c:val>
            <c:numRef>
              <c:f>Vahetabelid!$A$9:$G$9</c:f>
              <c:numCache>
                <c:formatCode>0%</c:formatCode>
                <c:ptCount val="7"/>
                <c:pt idx="0">
                  <c:v>0.0241744291546182</c:v>
                </c:pt>
                <c:pt idx="1">
                  <c:v>0.0032096321363428</c:v>
                </c:pt>
                <c:pt idx="2">
                  <c:v>0.0044609666306242</c:v>
                </c:pt>
                <c:pt idx="3">
                  <c:v>0.0199189987311801</c:v>
                </c:pt>
                <c:pt idx="4">
                  <c:v>-0.0650783102985719</c:v>
                </c:pt>
                <c:pt idx="5">
                  <c:v>-0.197072619857042</c:v>
                </c:pt>
                <c:pt idx="6">
                  <c:v>-0.129557120478416</c:v>
                </c:pt>
              </c:numCache>
            </c:numRef>
          </c:val>
          <c:extLst/>
        </c:ser>
        <c:ser>
          <c:idx val="3"/>
          <c:order val="3"/>
          <c:spPr>
            <a:ln w="28575" cap="rnd">
              <a:noFill/>
              <a:round/>
            </a:ln>
            <a:effectLst/>
          </c:spPr>
          <c:marker>
            <c:symbol val="none"/>
          </c:marker>
          <c:val>
            <c:numRef>
              <c:f>Vahetabelid!$A$18:$G$18</c:f>
              <c:numCache>
                <c:formatCode>0%</c:formatCode>
                <c:ptCount val="7"/>
                <c:pt idx="0">
                  <c:v>-0.2</c:v>
                </c:pt>
                <c:pt idx="1">
                  <c:v>-0.2</c:v>
                </c:pt>
                <c:pt idx="2">
                  <c:v>-0.2</c:v>
                </c:pt>
                <c:pt idx="3">
                  <c:v>-0.2</c:v>
                </c:pt>
                <c:pt idx="4">
                  <c:v>-0.2</c:v>
                </c:pt>
                <c:pt idx="5">
                  <c:v>-0.2</c:v>
                </c:pt>
                <c:pt idx="6">
                  <c:v>-0.2</c:v>
                </c:pt>
              </c:numCache>
            </c:numRef>
          </c:val>
        </c:ser>
        <c:ser>
          <c:idx val="4"/>
          <c:order val="4"/>
          <c:tx>
            <c:v>BAAS</c:v>
          </c:tx>
          <c:spPr>
            <a:ln w="25400" cap="rnd">
              <a:solidFill>
                <a:sysClr val="windowText" lastClr="000000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Vahetabelid!$A$17:$G$17</c:f>
              <c:numCache>
                <c:formatCode>0%</c:formatCode>
                <c:ptCount val="7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78130912"/>
        <c:axId val="1978134528"/>
      </c:radarChart>
      <c:catAx>
        <c:axId val="19781309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78134528"/>
        <c:crosses val="autoZero"/>
        <c:auto val="1"/>
        <c:lblAlgn val="ctr"/>
        <c:lblOffset val="100"/>
        <c:noMultiLvlLbl val="0"/>
      </c:catAx>
      <c:valAx>
        <c:axId val="1978134528"/>
        <c:scaling>
          <c:orientation val="minMax"/>
          <c:max val="0.25"/>
          <c:min val="-0.25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781309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egendEntry>
        <c:idx val="3"/>
        <c:delete val="1"/>
      </c:legendEntry>
      <c:layout>
        <c:manualLayout>
          <c:xMode val="edge"/>
          <c:yMode val="edge"/>
          <c:x val="0.0393132136354322"/>
          <c:y val="0.893595989929544"/>
          <c:w val="0.834719820607925"/>
          <c:h val="0.076121340074290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0"/>
    <c:dispBlanksAs val="gap"/>
    <c:showDLblsOverMax val="0"/>
  </c:chart>
  <c:spPr>
    <a:noFill/>
    <a:ln w="9525" cap="flat" cmpd="sng" algn="ctr">
      <a:solidFill>
        <a:schemeClr val="bg2">
          <a:lumMod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t-E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t-EE">
                <a:solidFill>
                  <a:sysClr val="windowText" lastClr="000000"/>
                </a:solidFill>
              </a:rPr>
              <a:t>Energia lõpptarbimine @ 2030 [TWh/a]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Vahetabelid!$E$30</c:f>
              <c:strCache>
                <c:ptCount val="1"/>
                <c:pt idx="0">
                  <c:v>Kodumajapidamised ja teenindussektor</c:v>
                </c:pt>
              </c:strCache>
            </c:strRef>
          </c:tx>
          <c:spPr>
            <a:solidFill>
              <a:srgbClr val="E10014"/>
            </a:solidFill>
            <a:ln w="6350">
              <a:solidFill>
                <a:schemeClr val="tx1"/>
              </a:solidFill>
            </a:ln>
            <a:effectLst/>
          </c:spPr>
          <c:invertIfNegative val="0"/>
          <c:cat>
            <c:numRef>
              <c:f>Vahetabelid!$F$29:$H$29</c:f>
              <c:numCache>
                <c:formatCode>General</c:formatCode>
                <c:ptCount val="3"/>
                <c:pt idx="0">
                  <c:v>2010.0</c:v>
                </c:pt>
                <c:pt idx="1">
                  <c:v>2020.0</c:v>
                </c:pt>
                <c:pt idx="2">
                  <c:v>2030.0</c:v>
                </c:pt>
              </c:numCache>
            </c:numRef>
          </c:cat>
          <c:val>
            <c:numRef>
              <c:f>Vahetabelid!$F$30:$H$30</c:f>
              <c:numCache>
                <c:formatCode>0.00</c:formatCode>
                <c:ptCount val="3"/>
                <c:pt idx="0" formatCode="General">
                  <c:v>16.74</c:v>
                </c:pt>
                <c:pt idx="1">
                  <c:v>15.25</c:v>
                </c:pt>
                <c:pt idx="2">
                  <c:v>13.78</c:v>
                </c:pt>
              </c:numCache>
            </c:numRef>
          </c:val>
        </c:ser>
        <c:ser>
          <c:idx val="2"/>
          <c:order val="1"/>
          <c:tx>
            <c:strRef>
              <c:f>Vahetabelid!$E$31</c:f>
              <c:strCache>
                <c:ptCount val="1"/>
                <c:pt idx="0">
                  <c:v>Tööstus</c:v>
                </c:pt>
              </c:strCache>
            </c:strRef>
          </c:tx>
          <c:spPr>
            <a:solidFill>
              <a:srgbClr val="FF9900"/>
            </a:solidFill>
            <a:ln w="6350">
              <a:solidFill>
                <a:schemeClr val="tx1"/>
              </a:solidFill>
            </a:ln>
            <a:effectLst/>
          </c:spPr>
          <c:invertIfNegative val="0"/>
          <c:cat>
            <c:numRef>
              <c:f>Vahetabelid!$F$29:$H$29</c:f>
              <c:numCache>
                <c:formatCode>General</c:formatCode>
                <c:ptCount val="3"/>
                <c:pt idx="0">
                  <c:v>2010.0</c:v>
                </c:pt>
                <c:pt idx="1">
                  <c:v>2020.0</c:v>
                </c:pt>
                <c:pt idx="2">
                  <c:v>2030.0</c:v>
                </c:pt>
              </c:numCache>
            </c:numRef>
          </c:cat>
          <c:val>
            <c:numRef>
              <c:f>Vahetabelid!$F$31:$H$31</c:f>
              <c:numCache>
                <c:formatCode>General</c:formatCode>
                <c:ptCount val="3"/>
                <c:pt idx="0">
                  <c:v>7.52</c:v>
                </c:pt>
                <c:pt idx="1">
                  <c:v>8.5</c:v>
                </c:pt>
                <c:pt idx="2">
                  <c:v>9.710000000000001</c:v>
                </c:pt>
              </c:numCache>
            </c:numRef>
          </c:val>
        </c:ser>
        <c:ser>
          <c:idx val="3"/>
          <c:order val="2"/>
          <c:tx>
            <c:strRef>
              <c:f>Vahetabelid!$E$32</c:f>
              <c:strCache>
                <c:ptCount val="1"/>
                <c:pt idx="0">
                  <c:v>Transport</c:v>
                </c:pt>
              </c:strCache>
            </c:strRef>
          </c:tx>
          <c:spPr>
            <a:solidFill>
              <a:srgbClr val="82328C"/>
            </a:solidFill>
            <a:ln w="6350">
              <a:solidFill>
                <a:schemeClr val="tx1"/>
              </a:solidFill>
            </a:ln>
            <a:effectLst/>
          </c:spPr>
          <c:invertIfNegative val="0"/>
          <c:cat>
            <c:numRef>
              <c:f>Vahetabelid!$F$29:$H$29</c:f>
              <c:numCache>
                <c:formatCode>General</c:formatCode>
                <c:ptCount val="3"/>
                <c:pt idx="0">
                  <c:v>2010.0</c:v>
                </c:pt>
                <c:pt idx="1">
                  <c:v>2020.0</c:v>
                </c:pt>
                <c:pt idx="2">
                  <c:v>2030.0</c:v>
                </c:pt>
              </c:numCache>
            </c:numRef>
          </c:cat>
          <c:val>
            <c:numRef>
              <c:f>Vahetabelid!$F$32:$H$32</c:f>
              <c:numCache>
                <c:formatCode>General</c:formatCode>
                <c:ptCount val="3"/>
                <c:pt idx="0">
                  <c:v>9.140000000000001</c:v>
                </c:pt>
                <c:pt idx="1">
                  <c:v>8.68530937302436</c:v>
                </c:pt>
                <c:pt idx="2">
                  <c:v>8.125833333333334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78186304"/>
        <c:axId val="1978189808"/>
      </c:barChart>
      <c:lineChart>
        <c:grouping val="standard"/>
        <c:varyColors val="0"/>
        <c:ser>
          <c:idx val="4"/>
          <c:order val="3"/>
          <c:tx>
            <c:strRef>
              <c:f>Vahetabelid!$E$33</c:f>
              <c:strCache>
                <c:ptCount val="1"/>
                <c:pt idx="0">
                  <c:v>BAAS</c:v>
                </c:pt>
              </c:strCache>
            </c:strRef>
          </c:tx>
          <c:spPr>
            <a:ln w="15875" cap="rnd">
              <a:solidFill>
                <a:sysClr val="windowText" lastClr="000000"/>
              </a:solidFill>
              <a:prstDash val="dash"/>
              <a:round/>
            </a:ln>
            <a:effectLst/>
          </c:spPr>
          <c:marker>
            <c:symbol val="none"/>
          </c:marker>
          <c:dPt>
            <c:idx val="1"/>
            <c:marker>
              <c:symbol val="none"/>
            </c:marker>
            <c:bubble3D val="0"/>
          </c:dPt>
          <c:cat>
            <c:numRef>
              <c:f>Vahetabelid!$F$29:$H$29</c:f>
              <c:numCache>
                <c:formatCode>General</c:formatCode>
                <c:ptCount val="3"/>
                <c:pt idx="0">
                  <c:v>2010.0</c:v>
                </c:pt>
                <c:pt idx="1">
                  <c:v>2020.0</c:v>
                </c:pt>
                <c:pt idx="2">
                  <c:v>2030.0</c:v>
                </c:pt>
              </c:numCache>
            </c:numRef>
          </c:cat>
          <c:val>
            <c:numRef>
              <c:f>Vahetabelid!$F$33:$H$33</c:f>
              <c:numCache>
                <c:formatCode>General</c:formatCode>
                <c:ptCount val="3"/>
                <c:pt idx="0">
                  <c:v>33.4</c:v>
                </c:pt>
                <c:pt idx="1">
                  <c:v>36.23944444444444</c:v>
                </c:pt>
                <c:pt idx="2">
                  <c:v>40.18583333333333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78186304"/>
        <c:axId val="1978189808"/>
      </c:lineChart>
      <c:catAx>
        <c:axId val="197818630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78189808"/>
        <c:crosses val="autoZero"/>
        <c:auto val="1"/>
        <c:lblAlgn val="ctr"/>
        <c:lblOffset val="100"/>
        <c:noMultiLvlLbl val="0"/>
      </c:catAx>
      <c:valAx>
        <c:axId val="19781898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cross"/>
        <c:minorTickMark val="none"/>
        <c:tickLblPos val="nextTo"/>
        <c:spPr>
          <a:noFill/>
          <a:ln w="6350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781863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37873124653452"/>
          <c:y val="0.198691776775766"/>
          <c:w val="0.339610971273164"/>
          <c:h val="0.52707001368418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t-E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t-EE">
                <a:solidFill>
                  <a:sysClr val="windowText" lastClr="000000"/>
                </a:solidFill>
              </a:rPr>
              <a:t>Kodumaine kütuste</a:t>
            </a:r>
            <a:r>
              <a:rPr lang="et-EE" baseline="0">
                <a:solidFill>
                  <a:sysClr val="windowText" lastClr="000000"/>
                </a:solidFill>
              </a:rPr>
              <a:t> tarbimine ja eksport @2030 [TWh/a]</a:t>
            </a:r>
            <a:endParaRPr lang="et-EE">
              <a:solidFill>
                <a:sysClr val="windowText" lastClr="000000"/>
              </a:solidFill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5"/>
          <c:order val="0"/>
          <c:tx>
            <c:strRef>
              <c:f>Vahetabelid!$H$41</c:f>
              <c:strCache>
                <c:ptCount val="1"/>
                <c:pt idx="0">
                  <c:v>Taastuvad allikad ekspordiks</c:v>
                </c:pt>
              </c:strCache>
            </c:strRef>
          </c:tx>
          <c:spPr>
            <a:solidFill>
              <a:srgbClr val="006432"/>
            </a:solidFill>
            <a:ln w="6350">
              <a:solidFill>
                <a:schemeClr val="tx1"/>
              </a:solidFill>
            </a:ln>
            <a:effectLst/>
          </c:spPr>
          <c:invertIfNegative val="0"/>
          <c:cat>
            <c:strRef>
              <c:f>Vahetabelid!$B$42:$B$44</c:f>
              <c:strCache>
                <c:ptCount val="3"/>
                <c:pt idx="0">
                  <c:v>Elekter</c:v>
                </c:pt>
                <c:pt idx="1">
                  <c:v>Soojus</c:v>
                </c:pt>
                <c:pt idx="2">
                  <c:v>Kütused</c:v>
                </c:pt>
              </c:strCache>
            </c:strRef>
          </c:cat>
          <c:val>
            <c:numRef>
              <c:f>Vahetabelid!$H$42:$H$44</c:f>
              <c:numCache>
                <c:formatCode>0.00</c:formatCode>
                <c:ptCount val="3"/>
                <c:pt idx="2">
                  <c:v>-2.158015591743363</c:v>
                </c:pt>
              </c:numCache>
            </c:numRef>
          </c:val>
        </c:ser>
        <c:ser>
          <c:idx val="4"/>
          <c:order val="1"/>
          <c:tx>
            <c:strRef>
              <c:f>Vahetabelid!$G$41</c:f>
              <c:strCache>
                <c:ptCount val="1"/>
                <c:pt idx="0">
                  <c:v>Fossiilsed allikad ekspordiks</c:v>
                </c:pt>
              </c:strCache>
            </c:strRef>
          </c:tx>
          <c:spPr>
            <a:solidFill>
              <a:schemeClr val="accent4">
                <a:lumMod val="75000"/>
              </a:schemeClr>
            </a:solidFill>
            <a:ln w="6350">
              <a:solidFill>
                <a:schemeClr val="tx1"/>
              </a:solidFill>
            </a:ln>
            <a:effectLst/>
          </c:spPr>
          <c:invertIfNegative val="0"/>
          <c:cat>
            <c:strRef>
              <c:f>Vahetabelid!$B$42:$B$44</c:f>
              <c:strCache>
                <c:ptCount val="3"/>
                <c:pt idx="0">
                  <c:v>Elekter</c:v>
                </c:pt>
                <c:pt idx="1">
                  <c:v>Soojus</c:v>
                </c:pt>
                <c:pt idx="2">
                  <c:v>Kütused</c:v>
                </c:pt>
              </c:strCache>
            </c:strRef>
          </c:cat>
          <c:val>
            <c:numRef>
              <c:f>Vahetabelid!$G$42:$G$44</c:f>
              <c:numCache>
                <c:formatCode>0.00</c:formatCode>
                <c:ptCount val="3"/>
                <c:pt idx="0">
                  <c:v>0.0</c:v>
                </c:pt>
                <c:pt idx="2">
                  <c:v>-5.683720930232559</c:v>
                </c:pt>
              </c:numCache>
            </c:numRef>
          </c:val>
        </c:ser>
        <c:ser>
          <c:idx val="1"/>
          <c:order val="2"/>
          <c:tx>
            <c:strRef>
              <c:f>Vahetabelid!$D$41</c:f>
              <c:strCache>
                <c:ptCount val="1"/>
                <c:pt idx="0">
                  <c:v>Taastumatud importallikad</c:v>
                </c:pt>
              </c:strCache>
            </c:strRef>
          </c:tx>
          <c:spPr>
            <a:solidFill>
              <a:srgbClr val="693C14"/>
            </a:solidFill>
            <a:ln w="6350">
              <a:solidFill>
                <a:schemeClr val="tx1"/>
              </a:solidFill>
            </a:ln>
            <a:effectLst/>
          </c:spPr>
          <c:invertIfNegative val="0"/>
          <c:cat>
            <c:strRef>
              <c:f>Vahetabelid!$B$42:$B$44</c:f>
              <c:strCache>
                <c:ptCount val="3"/>
                <c:pt idx="0">
                  <c:v>Elekter</c:v>
                </c:pt>
                <c:pt idx="1">
                  <c:v>Soojus</c:v>
                </c:pt>
                <c:pt idx="2">
                  <c:v>Kütused</c:v>
                </c:pt>
              </c:strCache>
            </c:strRef>
          </c:cat>
          <c:val>
            <c:numRef>
              <c:f>Vahetabelid!$D$42:$D$44</c:f>
              <c:numCache>
                <c:formatCode>0.00</c:formatCode>
                <c:ptCount val="3"/>
                <c:pt idx="0">
                  <c:v>9.85</c:v>
                </c:pt>
                <c:pt idx="1">
                  <c:v>4.1</c:v>
                </c:pt>
                <c:pt idx="2">
                  <c:v>5.704529656433949</c:v>
                </c:pt>
              </c:numCache>
            </c:numRef>
          </c:val>
        </c:ser>
        <c:ser>
          <c:idx val="2"/>
          <c:order val="3"/>
          <c:tx>
            <c:strRef>
              <c:f>Vahetabelid!$E$41</c:f>
              <c:strCache>
                <c:ptCount val="1"/>
                <c:pt idx="0">
                  <c:v>Kodumaised fossiilsed kodumaiseks tarbimiseks</c:v>
                </c:pt>
              </c:strCache>
            </c:strRef>
          </c:tx>
          <c:spPr>
            <a:solidFill>
              <a:srgbClr val="FABE00"/>
            </a:solidFill>
            <a:ln w="6350">
              <a:solidFill>
                <a:schemeClr val="tx1"/>
              </a:solidFill>
            </a:ln>
            <a:effectLst/>
          </c:spPr>
          <c:invertIfNegative val="0"/>
          <c:cat>
            <c:strRef>
              <c:f>Vahetabelid!$B$42:$B$44</c:f>
              <c:strCache>
                <c:ptCount val="3"/>
                <c:pt idx="0">
                  <c:v>Elekter</c:v>
                </c:pt>
                <c:pt idx="1">
                  <c:v>Soojus</c:v>
                </c:pt>
                <c:pt idx="2">
                  <c:v>Kütused</c:v>
                </c:pt>
              </c:strCache>
            </c:strRef>
          </c:cat>
          <c:val>
            <c:numRef>
              <c:f>Vahetabelid!$E$42:$E$44</c:f>
              <c:numCache>
                <c:formatCode>0.00</c:formatCode>
                <c:ptCount val="3"/>
                <c:pt idx="0">
                  <c:v>11.58</c:v>
                </c:pt>
                <c:pt idx="1">
                  <c:v>7.1</c:v>
                </c:pt>
              </c:numCache>
            </c:numRef>
          </c:val>
        </c:ser>
        <c:ser>
          <c:idx val="0"/>
          <c:order val="4"/>
          <c:tx>
            <c:strRef>
              <c:f>Vahetabelid!$C$41</c:f>
              <c:strCache>
                <c:ptCount val="1"/>
                <c:pt idx="0">
                  <c:v>Taastuvad importallikad</c:v>
                </c:pt>
              </c:strCache>
            </c:strRef>
          </c:tx>
          <c:spPr>
            <a:solidFill>
              <a:srgbClr val="82328C"/>
            </a:solidFill>
            <a:ln w="6350">
              <a:solidFill>
                <a:schemeClr val="tx1"/>
              </a:solidFill>
            </a:ln>
            <a:effectLst>
              <a:outerShdw blurRad="50800" dist="50800" dir="5400000" algn="ctr" rotWithShape="0">
                <a:schemeClr val="accent6">
                  <a:lumMod val="50000"/>
                </a:schemeClr>
              </a:outerShdw>
            </a:effectLst>
          </c:spPr>
          <c:invertIfNegative val="0"/>
          <c:cat>
            <c:strRef>
              <c:f>Vahetabelid!$B$42:$B$44</c:f>
              <c:strCache>
                <c:ptCount val="3"/>
                <c:pt idx="0">
                  <c:v>Elekter</c:v>
                </c:pt>
                <c:pt idx="1">
                  <c:v>Soojus</c:v>
                </c:pt>
                <c:pt idx="2">
                  <c:v>Kütused</c:v>
                </c:pt>
              </c:strCache>
            </c:strRef>
          </c:cat>
          <c:val>
            <c:numRef>
              <c:f>Vahetabelid!$C$42:$C$44</c:f>
              <c:numCache>
                <c:formatCode>0.00</c:formatCode>
                <c:ptCount val="3"/>
                <c:pt idx="2">
                  <c:v>0.0</c:v>
                </c:pt>
              </c:numCache>
            </c:numRef>
          </c:val>
        </c:ser>
        <c:ser>
          <c:idx val="3"/>
          <c:order val="5"/>
          <c:tx>
            <c:strRef>
              <c:f>Vahetabelid!$F$41</c:f>
              <c:strCache>
                <c:ptCount val="1"/>
                <c:pt idx="0">
                  <c:v>Taastuvad allikad kodumaiseks tarbimiseks</c:v>
                </c:pt>
              </c:strCache>
            </c:strRef>
          </c:tx>
          <c:spPr>
            <a:solidFill>
              <a:srgbClr val="78B428"/>
            </a:solidFill>
            <a:ln w="6350">
              <a:solidFill>
                <a:schemeClr val="tx1"/>
              </a:solidFill>
            </a:ln>
            <a:effectLst/>
          </c:spPr>
          <c:invertIfNegative val="0"/>
          <c:cat>
            <c:strRef>
              <c:f>Vahetabelid!$B$42:$B$44</c:f>
              <c:strCache>
                <c:ptCount val="3"/>
                <c:pt idx="0">
                  <c:v>Elekter</c:v>
                </c:pt>
                <c:pt idx="1">
                  <c:v>Soojus</c:v>
                </c:pt>
                <c:pt idx="2">
                  <c:v>Kütused</c:v>
                </c:pt>
              </c:strCache>
            </c:strRef>
          </c:cat>
          <c:val>
            <c:numRef>
              <c:f>Vahetabelid!$F$42:$F$44</c:f>
              <c:numCache>
                <c:formatCode>0.00</c:formatCode>
                <c:ptCount val="3"/>
                <c:pt idx="0">
                  <c:v>4.45</c:v>
                </c:pt>
                <c:pt idx="1">
                  <c:v>11.5</c:v>
                </c:pt>
                <c:pt idx="2">
                  <c:v>2.121984408256636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2"/>
        <c:overlap val="100"/>
        <c:axId val="1978253152"/>
        <c:axId val="1978256800"/>
      </c:barChart>
      <c:catAx>
        <c:axId val="197825315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78256800"/>
        <c:crosses val="autoZero"/>
        <c:auto val="1"/>
        <c:lblAlgn val="ctr"/>
        <c:lblOffset val="100"/>
        <c:noMultiLvlLbl val="0"/>
      </c:catAx>
      <c:valAx>
        <c:axId val="1978256800"/>
        <c:scaling>
          <c:orientation val="minMax"/>
        </c:scaling>
        <c:delete val="0"/>
        <c:axPos val="l"/>
        <c:numFmt formatCode="0" sourceLinked="0"/>
        <c:majorTickMark val="cross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782531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58931596185568"/>
          <c:y val="0.200164248748111"/>
          <c:w val="0.324836961337641"/>
          <c:h val="0.72820254036559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t-E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Vahetabelid!$E$30</c:f>
              <c:strCache>
                <c:ptCount val="1"/>
                <c:pt idx="0">
                  <c:v>Kodumajapidamised ja teenindussektor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Vahetabelid!$F$29:$H$29</c:f>
              <c:numCache>
                <c:formatCode>General</c:formatCode>
                <c:ptCount val="3"/>
                <c:pt idx="0">
                  <c:v>2010.0</c:v>
                </c:pt>
                <c:pt idx="1">
                  <c:v>2020.0</c:v>
                </c:pt>
                <c:pt idx="2">
                  <c:v>2030.0</c:v>
                </c:pt>
              </c:numCache>
            </c:numRef>
          </c:cat>
          <c:val>
            <c:numRef>
              <c:f>Vahetabelid!$F$30:$H$30</c:f>
              <c:numCache>
                <c:formatCode>0.00</c:formatCode>
                <c:ptCount val="3"/>
                <c:pt idx="0" formatCode="General">
                  <c:v>16.74</c:v>
                </c:pt>
                <c:pt idx="1">
                  <c:v>15.25</c:v>
                </c:pt>
                <c:pt idx="2">
                  <c:v>13.78</c:v>
                </c:pt>
              </c:numCache>
            </c:numRef>
          </c:val>
        </c:ser>
        <c:ser>
          <c:idx val="2"/>
          <c:order val="1"/>
          <c:tx>
            <c:strRef>
              <c:f>Vahetabelid!$E$31</c:f>
              <c:strCache>
                <c:ptCount val="1"/>
                <c:pt idx="0">
                  <c:v>Tööstus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Vahetabelid!$F$29:$H$29</c:f>
              <c:numCache>
                <c:formatCode>General</c:formatCode>
                <c:ptCount val="3"/>
                <c:pt idx="0">
                  <c:v>2010.0</c:v>
                </c:pt>
                <c:pt idx="1">
                  <c:v>2020.0</c:v>
                </c:pt>
                <c:pt idx="2">
                  <c:v>2030.0</c:v>
                </c:pt>
              </c:numCache>
            </c:numRef>
          </c:cat>
          <c:val>
            <c:numRef>
              <c:f>Vahetabelid!$F$31:$H$31</c:f>
              <c:numCache>
                <c:formatCode>General</c:formatCode>
                <c:ptCount val="3"/>
                <c:pt idx="0">
                  <c:v>7.52</c:v>
                </c:pt>
                <c:pt idx="1">
                  <c:v>8.5</c:v>
                </c:pt>
                <c:pt idx="2">
                  <c:v>9.710000000000001</c:v>
                </c:pt>
              </c:numCache>
            </c:numRef>
          </c:val>
        </c:ser>
        <c:ser>
          <c:idx val="3"/>
          <c:order val="2"/>
          <c:tx>
            <c:strRef>
              <c:f>Vahetabelid!$E$32</c:f>
              <c:strCache>
                <c:ptCount val="1"/>
                <c:pt idx="0">
                  <c:v>Transport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Vahetabelid!$F$29:$H$29</c:f>
              <c:numCache>
                <c:formatCode>General</c:formatCode>
                <c:ptCount val="3"/>
                <c:pt idx="0">
                  <c:v>2010.0</c:v>
                </c:pt>
                <c:pt idx="1">
                  <c:v>2020.0</c:v>
                </c:pt>
                <c:pt idx="2">
                  <c:v>2030.0</c:v>
                </c:pt>
              </c:numCache>
            </c:numRef>
          </c:cat>
          <c:val>
            <c:numRef>
              <c:f>Vahetabelid!$F$32:$H$32</c:f>
              <c:numCache>
                <c:formatCode>General</c:formatCode>
                <c:ptCount val="3"/>
                <c:pt idx="0">
                  <c:v>9.140000000000001</c:v>
                </c:pt>
                <c:pt idx="1">
                  <c:v>8.68530937302436</c:v>
                </c:pt>
                <c:pt idx="2">
                  <c:v>8.125833333333334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004385424"/>
        <c:axId val="2004388720"/>
      </c:barChart>
      <c:lineChart>
        <c:grouping val="standard"/>
        <c:varyColors val="0"/>
        <c:ser>
          <c:idx val="4"/>
          <c:order val="3"/>
          <c:tx>
            <c:strRef>
              <c:f>Vahetabelid!$E$33</c:f>
              <c:strCache>
                <c:ptCount val="1"/>
                <c:pt idx="0">
                  <c:v>BAAS</c:v>
                </c:pt>
              </c:strCache>
            </c:strRef>
          </c:tx>
          <c:spPr>
            <a:ln w="28575" cap="rnd">
              <a:solidFill>
                <a:schemeClr val="accent5"/>
              </a:solidFill>
              <a:prstDash val="dash"/>
              <a:round/>
            </a:ln>
            <a:effectLst/>
          </c:spPr>
          <c:marker>
            <c:symbol val="none"/>
          </c:marker>
          <c:dPt>
            <c:idx val="1"/>
            <c:marker>
              <c:symbol val="none"/>
            </c:marker>
            <c:bubble3D val="0"/>
            <c:spPr>
              <a:ln w="28575" cap="rnd">
                <a:solidFill>
                  <a:schemeClr val="tx1"/>
                </a:solidFill>
                <a:prstDash val="dash"/>
                <a:round/>
              </a:ln>
              <a:effectLst/>
            </c:spPr>
          </c:dPt>
          <c:dPt>
            <c:idx val="2"/>
            <c:marker>
              <c:symbol val="none"/>
            </c:marker>
            <c:bubble3D val="0"/>
            <c:spPr>
              <a:ln w="28575" cap="rnd">
                <a:solidFill>
                  <a:schemeClr val="tx1"/>
                </a:solidFill>
                <a:prstDash val="dash"/>
                <a:round/>
              </a:ln>
              <a:effectLst/>
            </c:spPr>
          </c:dPt>
          <c:cat>
            <c:numRef>
              <c:f>Vahetabelid!$F$29:$H$29</c:f>
              <c:numCache>
                <c:formatCode>General</c:formatCode>
                <c:ptCount val="3"/>
                <c:pt idx="0">
                  <c:v>2010.0</c:v>
                </c:pt>
                <c:pt idx="1">
                  <c:v>2020.0</c:v>
                </c:pt>
                <c:pt idx="2">
                  <c:v>2030.0</c:v>
                </c:pt>
              </c:numCache>
            </c:numRef>
          </c:cat>
          <c:val>
            <c:numRef>
              <c:f>Vahetabelid!$F$33:$H$33</c:f>
              <c:numCache>
                <c:formatCode>General</c:formatCode>
                <c:ptCount val="3"/>
                <c:pt idx="0">
                  <c:v>33.4</c:v>
                </c:pt>
                <c:pt idx="1">
                  <c:v>36.23944444444444</c:v>
                </c:pt>
                <c:pt idx="2">
                  <c:v>40.18583333333333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04385424"/>
        <c:axId val="2004388720"/>
      </c:lineChart>
      <c:scatterChart>
        <c:scatterStyle val="lineMarker"/>
        <c:varyColors val="0"/>
        <c:ser>
          <c:idx val="5"/>
          <c:order val="4"/>
          <c:tx>
            <c:strRef>
              <c:f>Vahetabelid!$E$34</c:f>
              <c:strCache>
                <c:ptCount val="1"/>
                <c:pt idx="0">
                  <c:v>KK piirtase 2020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ash"/>
            <c:size val="22"/>
            <c:spPr>
              <a:solidFill>
                <a:srgbClr val="FF0000"/>
              </a:solidFill>
              <a:ln w="9525">
                <a:solidFill>
                  <a:schemeClr val="accent6"/>
                </a:solidFill>
              </a:ln>
              <a:effectLst/>
            </c:spPr>
          </c:marker>
          <c:xVal>
            <c:numRef>
              <c:f>Vahetabelid!$F$29:$H$29</c:f>
              <c:numCache>
                <c:formatCode>General</c:formatCode>
                <c:ptCount val="3"/>
                <c:pt idx="0">
                  <c:v>2010.0</c:v>
                </c:pt>
                <c:pt idx="1">
                  <c:v>2020.0</c:v>
                </c:pt>
                <c:pt idx="2">
                  <c:v>2030.0</c:v>
                </c:pt>
              </c:numCache>
            </c:numRef>
          </c:xVal>
          <c:yVal>
            <c:numRef>
              <c:f>Vahetabelid!$F$34:$H$34</c:f>
              <c:numCache>
                <c:formatCode>General</c:formatCode>
                <c:ptCount val="3"/>
                <c:pt idx="1">
                  <c:v>32.8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04394736"/>
        <c:axId val="2004392032"/>
      </c:scatterChart>
      <c:catAx>
        <c:axId val="2004385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04388720"/>
        <c:crosses val="autoZero"/>
        <c:auto val="1"/>
        <c:lblAlgn val="ctr"/>
        <c:lblOffset val="100"/>
        <c:noMultiLvlLbl val="0"/>
      </c:catAx>
      <c:valAx>
        <c:axId val="20043887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04385424"/>
        <c:crosses val="autoZero"/>
        <c:crossBetween val="between"/>
      </c:valAx>
      <c:valAx>
        <c:axId val="2004392032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2004394736"/>
        <c:crosses val="max"/>
        <c:crossBetween val="midCat"/>
      </c:valAx>
      <c:valAx>
        <c:axId val="2004394736"/>
        <c:scaling>
          <c:orientation val="minMax"/>
        </c:scaling>
        <c:delete val="0"/>
        <c:axPos val="t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04392032"/>
        <c:crosses val="max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t-E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4122754253555"/>
          <c:y val="0.130137150452369"/>
          <c:w val="0.813953315610689"/>
          <c:h val="0.768713202133815"/>
        </c:manualLayout>
      </c:layout>
      <c:ofPieChart>
        <c:ofPieType val="pie"/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1"/>
              <c:showCatName val="1"/>
              <c:showSerName val="0"/>
              <c:showPercent val="0"/>
              <c:showBubbleSize val="0"/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1"/>
              <c:showCatName val="1"/>
              <c:showSerName val="0"/>
              <c:showPercent val="0"/>
              <c:showBubbleSize val="0"/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1"/>
              <c:showCatName val="1"/>
              <c:showSerName val="0"/>
              <c:showPercent val="0"/>
              <c:showBubbleSize val="0"/>
            </c:dLbl>
            <c:dLbl>
              <c:idx val="3"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000" b="1" i="0" u="none" strike="noStrike" kern="1200" spc="0" baseline="0">
                        <a:solidFill>
                          <a:schemeClr val="accent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58BFD155-5358-45A9-80A8-124D9BB1BF27}" type="CATEGORYNAME">
                      <a:rPr lang="en-US"/>
                      <a:pPr>
                        <a:defRPr>
                          <a:solidFill>
                            <a:schemeClr val="accent1"/>
                          </a:solidFill>
                        </a:defRPr>
                      </a:pPr>
                      <a:t>[CATEGORY NAME]</a:t>
                    </a:fld>
                    <a:r>
                      <a:rPr lang="en-US" baseline="0"/>
                      <a:t>; </a:t>
                    </a:r>
                    <a:fld id="{04A53930-6683-46A5-BCA9-D46995464D4A}" type="VALUE">
                      <a:rPr lang="en-US" baseline="0"/>
                      <a:pPr>
                        <a:defRPr>
                          <a:solidFill>
                            <a:schemeClr val="accent1"/>
                          </a:solidFill>
                        </a:defRPr>
                      </a:pPr>
                      <a:t>[VALUE]</a:t>
                    </a:fld>
                    <a:r>
                      <a:rPr lang="en-US" baseline="0"/>
                      <a:t>MEUR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</c:extLst>
            </c:dLbl>
            <c:dLbl>
              <c:idx val="4"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000" b="1" i="0" u="none" strike="noStrike" kern="1200" spc="0" baseline="0">
                        <a:solidFill>
                          <a:schemeClr val="accent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C1BAD925-D04A-4A78-9413-56ED17D00A4A}" type="CATEGORYNAME">
                      <a:rPr lang="en-US"/>
                      <a:pPr>
                        <a:defRPr>
                          <a:solidFill>
                            <a:schemeClr val="accent1"/>
                          </a:solidFill>
                        </a:defRPr>
                      </a:pPr>
                      <a:t>[CATEGORY NAME]</a:t>
                    </a:fld>
                    <a:r>
                      <a:rPr lang="en-US" baseline="0"/>
                      <a:t>; </a:t>
                    </a:r>
                    <a:fld id="{4427D6A2-4E55-4D70-BBDF-DA227E25B68F}" type="VALUE">
                      <a:rPr lang="en-US" baseline="0"/>
                      <a:pPr>
                        <a:defRPr>
                          <a:solidFill>
                            <a:schemeClr val="accent1"/>
                          </a:solidFill>
                        </a:defRPr>
                      </a:pPr>
                      <a:t>[VALUE]</a:t>
                    </a:fld>
                    <a:r>
                      <a:rPr lang="en-US" baseline="0"/>
                      <a:t> MEUR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</c:extLst>
            </c:dLbl>
            <c:dLbl>
              <c:idx val="5"/>
              <c:layout>
                <c:manualLayout>
                  <c:x val="0.0388888888888889"/>
                  <c:y val="-0.12037037037037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000" b="1" i="0" u="none" strike="noStrike" kern="1200" spc="0" baseline="0">
                        <a:solidFill>
                          <a:schemeClr val="accent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40C7532D-10CB-4A41-AB08-346763229A33}" type="CATEGORYNAME">
                      <a:rPr lang="en-US"/>
                      <a:pPr>
                        <a:defRPr>
                          <a:solidFill>
                            <a:schemeClr val="accent1"/>
                          </a:solidFill>
                        </a:defRPr>
                      </a:pPr>
                      <a:t>[CATEGORY NAME]</a:t>
                    </a:fld>
                    <a:r>
                      <a:rPr lang="en-US" baseline="0"/>
                      <a:t>; </a:t>
                    </a:r>
                    <a:fld id="{7BEE56B6-E849-4E90-A572-B32332064305}" type="VALUE">
                      <a:rPr lang="en-US" baseline="0"/>
                      <a:pPr>
                        <a:defRPr>
                          <a:solidFill>
                            <a:schemeClr val="accent1"/>
                          </a:solidFill>
                        </a:defRPr>
                      </a:pPr>
                      <a:t>[VALUE]</a:t>
                    </a:fld>
                    <a:r>
                      <a:rPr lang="en-US" baseline="0"/>
                      <a:t> MEUR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</c:extLst>
            </c:dLbl>
            <c:dLbl>
              <c:idx val="6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1"/>
              <c:showCatName val="1"/>
              <c:showSerName val="0"/>
              <c:showPercent val="0"/>
              <c:showBubbleSize val="0"/>
            </c:dLbl>
            <c:dLbl>
              <c:idx val="7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1"/>
              <c:showCatName val="1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Vahetabelid!$A$23:$A$29</c:f>
              <c:strCache>
                <c:ptCount val="7"/>
                <c:pt idx="0">
                  <c:v>Erasektori maksumus</c:v>
                </c:pt>
                <c:pt idx="1">
                  <c:v>KOV maksumus</c:v>
                </c:pt>
                <c:pt idx="2">
                  <c:v>Transport</c:v>
                </c:pt>
                <c:pt idx="3">
                  <c:v>Soojus</c:v>
                </c:pt>
                <c:pt idx="4">
                  <c:v>Kütused</c:v>
                </c:pt>
                <c:pt idx="5">
                  <c:v>Põlevkivi</c:v>
                </c:pt>
                <c:pt idx="6">
                  <c:v>Hooned</c:v>
                </c:pt>
              </c:strCache>
            </c:strRef>
          </c:cat>
          <c:val>
            <c:numRef>
              <c:f>Vahetabelid!$B$23:$B$29</c:f>
              <c:numCache>
                <c:formatCode>General</c:formatCode>
                <c:ptCount val="7"/>
                <c:pt idx="0">
                  <c:v>55.0</c:v>
                </c:pt>
                <c:pt idx="1">
                  <c:v>22.0</c:v>
                </c:pt>
                <c:pt idx="2">
                  <c:v>2.0</c:v>
                </c:pt>
                <c:pt idx="3">
                  <c:v>3.0</c:v>
                </c:pt>
                <c:pt idx="4">
                  <c:v>1.0</c:v>
                </c:pt>
                <c:pt idx="5">
                  <c:v>4.0</c:v>
                </c:pt>
                <c:pt idx="6">
                  <c:v>6.0</c:v>
                </c:pt>
              </c:numCache>
            </c:numRef>
          </c:val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1"/>
        </c:dLbls>
        <c:gapWidth val="105"/>
        <c:splitType val="pos"/>
        <c:splitPos val="5.0"/>
        <c:secondPieSize val="75"/>
        <c:serLines>
          <c:spPr>
            <a:ln w="9525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serLines>
      </c:of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t-E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t-EE" sz="1400" b="0" i="0" u="none" strike="noStrike" baseline="0">
                <a:effectLst/>
              </a:rPr>
              <a:t>CO2ETS@2030 </a:t>
            </a:r>
            <a:endParaRPr lang="et-EE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Vahetabelid!$J$4</c:f>
              <c:strCache>
                <c:ptCount val="1"/>
                <c:pt idx="0">
                  <c:v>Elekter</c:v>
                </c:pt>
              </c:strCache>
            </c:strRef>
          </c:tx>
          <c:spPr>
            <a:solidFill>
              <a:schemeClr val="accent1"/>
            </a:solidFill>
            <a:ln>
              <a:solidFill>
                <a:schemeClr val="accent1"/>
              </a:solidFill>
              <a:round/>
            </a:ln>
            <a:effectLst/>
          </c:spPr>
          <c:invertIfNegative val="0"/>
          <c:cat>
            <c:strRef>
              <c:f>Vahetabelid!$I$5:$I$7</c:f>
              <c:strCache>
                <c:ptCount val="3"/>
                <c:pt idx="0">
                  <c:v>TOP1</c:v>
                </c:pt>
                <c:pt idx="1">
                  <c:v>TOP2</c:v>
                </c:pt>
                <c:pt idx="2">
                  <c:v>TOP3</c:v>
                </c:pt>
              </c:strCache>
            </c:strRef>
          </c:cat>
          <c:val>
            <c:numRef>
              <c:f>Vahetabelid!$J$5:$J$7</c:f>
              <c:numCache>
                <c:formatCode>General</c:formatCode>
                <c:ptCount val="3"/>
                <c:pt idx="0">
                  <c:v>3728.0</c:v>
                </c:pt>
                <c:pt idx="1">
                  <c:v>3728.0</c:v>
                </c:pt>
                <c:pt idx="2">
                  <c:v>0.0</c:v>
                </c:pt>
              </c:numCache>
            </c:numRef>
          </c:val>
        </c:ser>
        <c:ser>
          <c:idx val="1"/>
          <c:order val="1"/>
          <c:tx>
            <c:strRef>
              <c:f>Vahetabelid!$K$4</c:f>
              <c:strCache>
                <c:ptCount val="1"/>
                <c:pt idx="0">
                  <c:v>Põlevkivi</c:v>
                </c:pt>
              </c:strCache>
            </c:strRef>
          </c:tx>
          <c:spPr>
            <a:solidFill>
              <a:schemeClr val="accent4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strRef>
              <c:f>Vahetabelid!$I$5:$I$7</c:f>
              <c:strCache>
                <c:ptCount val="3"/>
                <c:pt idx="0">
                  <c:v>TOP1</c:v>
                </c:pt>
                <c:pt idx="1">
                  <c:v>TOP2</c:v>
                </c:pt>
                <c:pt idx="2">
                  <c:v>TOP3</c:v>
                </c:pt>
              </c:strCache>
            </c:strRef>
          </c:cat>
          <c:val>
            <c:numRef>
              <c:f>Vahetabelid!$K$5:$K$7</c:f>
              <c:numCache>
                <c:formatCode>General</c:formatCode>
                <c:ptCount val="3"/>
                <c:pt idx="0">
                  <c:v>2346.0</c:v>
                </c:pt>
                <c:pt idx="1">
                  <c:v>2346.0</c:v>
                </c:pt>
                <c:pt idx="2">
                  <c:v>2346.0</c:v>
                </c:pt>
              </c:numCache>
            </c:numRef>
          </c:val>
        </c:ser>
        <c:ser>
          <c:idx val="2"/>
          <c:order val="2"/>
          <c:tx>
            <c:strRef>
              <c:f>Vahetabelid!$L$4</c:f>
              <c:strCache>
                <c:ptCount val="1"/>
                <c:pt idx="0">
                  <c:v>Soojus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strRef>
              <c:f>Vahetabelid!$I$5:$I$7</c:f>
              <c:strCache>
                <c:ptCount val="3"/>
                <c:pt idx="0">
                  <c:v>TOP1</c:v>
                </c:pt>
                <c:pt idx="1">
                  <c:v>TOP2</c:v>
                </c:pt>
                <c:pt idx="2">
                  <c:v>TOP3</c:v>
                </c:pt>
              </c:strCache>
            </c:strRef>
          </c:cat>
          <c:val>
            <c:numRef>
              <c:f>Vahetabelid!$L$5:$L$7</c:f>
              <c:numCache>
                <c:formatCode>General</c:formatCode>
                <c:ptCount val="3"/>
                <c:pt idx="0">
                  <c:v>1177.0</c:v>
                </c:pt>
                <c:pt idx="1">
                  <c:v>1177.0</c:v>
                </c:pt>
                <c:pt idx="2">
                  <c:v>1177.0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2"/>
        <c:overlap val="100"/>
        <c:axId val="2004495904"/>
        <c:axId val="2004499424"/>
      </c:barChart>
      <c:lineChart>
        <c:grouping val="standard"/>
        <c:varyColors val="0"/>
        <c:ser>
          <c:idx val="3"/>
          <c:order val="3"/>
          <c:tx>
            <c:strRef>
              <c:f>Vahetabelid!$M$4</c:f>
              <c:strCache>
                <c:ptCount val="1"/>
                <c:pt idx="0">
                  <c:v>LIMIIT</c:v>
                </c:pt>
              </c:strCache>
            </c:strRef>
          </c:tx>
          <c:spPr>
            <a:ln w="28575" cap="rnd">
              <a:solidFill>
                <a:srgbClr val="C00000"/>
              </a:solidFill>
              <a:prstDash val="dash"/>
              <a:round/>
            </a:ln>
            <a:effectLst/>
          </c:spPr>
          <c:marker>
            <c:symbol val="none"/>
          </c:marker>
          <c:cat>
            <c:strRef>
              <c:f>Vahetabelid!$I$5:$I$7</c:f>
              <c:strCache>
                <c:ptCount val="3"/>
                <c:pt idx="0">
                  <c:v>TOP1</c:v>
                </c:pt>
                <c:pt idx="1">
                  <c:v>TOP2</c:v>
                </c:pt>
                <c:pt idx="2">
                  <c:v>TOP3</c:v>
                </c:pt>
              </c:strCache>
            </c:strRef>
          </c:cat>
          <c:val>
            <c:numRef>
              <c:f>Vahetabelid!$M$5:$M$7</c:f>
              <c:numCache>
                <c:formatCode>General</c:formatCode>
                <c:ptCount val="3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04495904"/>
        <c:axId val="2004499424"/>
      </c:lineChart>
      <c:catAx>
        <c:axId val="20044959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04499424"/>
        <c:crosses val="autoZero"/>
        <c:auto val="1"/>
        <c:lblAlgn val="ctr"/>
        <c:lblOffset val="100"/>
        <c:noMultiLvlLbl val="0"/>
      </c:catAx>
      <c:valAx>
        <c:axId val="2004499424"/>
        <c:scaling>
          <c:orientation val="minMax"/>
          <c:min val="0.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t-EE"/>
                  <a:t>[MtonCO2e/a]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044959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t-E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t-EE" sz="1400" b="0" i="0" u="none" strike="noStrike" baseline="0">
                <a:effectLst/>
              </a:rPr>
              <a:t>CO2non-ETS@2030 </a:t>
            </a:r>
            <a:endParaRPr lang="et-EE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Vahetabelid!$J$10</c:f>
              <c:strCache>
                <c:ptCount val="1"/>
                <c:pt idx="0">
                  <c:v>Transport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strRef>
              <c:f>Vahetabelid!$I$11:$I$13</c:f>
              <c:strCache>
                <c:ptCount val="3"/>
                <c:pt idx="0">
                  <c:v>TOP1</c:v>
                </c:pt>
                <c:pt idx="1">
                  <c:v>TOP2</c:v>
                </c:pt>
                <c:pt idx="2">
                  <c:v>TOP3</c:v>
                </c:pt>
              </c:strCache>
            </c:strRef>
          </c:cat>
          <c:val>
            <c:numRef>
              <c:f>Vahetabelid!$J$11:$J$13</c:f>
              <c:numCache>
                <c:formatCode>General</c:formatCode>
                <c:ptCount val="3"/>
                <c:pt idx="0">
                  <c:v>530.88499063732</c:v>
                </c:pt>
                <c:pt idx="1">
                  <c:v>530.88499063732</c:v>
                </c:pt>
                <c:pt idx="2">
                  <c:v>530.88499063732</c:v>
                </c:pt>
              </c:numCache>
            </c:numRef>
          </c:val>
        </c:ser>
        <c:ser>
          <c:idx val="1"/>
          <c:order val="1"/>
          <c:tx>
            <c:strRef>
              <c:f>Vahetabelid!$K$10</c:f>
              <c:strCache>
                <c:ptCount val="1"/>
                <c:pt idx="0">
                  <c:v>Soojus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Vahetabelid!$I$11:$I$13</c:f>
              <c:strCache>
                <c:ptCount val="3"/>
                <c:pt idx="0">
                  <c:v>TOP1</c:v>
                </c:pt>
                <c:pt idx="1">
                  <c:v>TOP2</c:v>
                </c:pt>
                <c:pt idx="2">
                  <c:v>TOP3</c:v>
                </c:pt>
              </c:strCache>
            </c:strRef>
          </c:cat>
          <c:val>
            <c:numRef>
              <c:f>Vahetabelid!$K$11:$K$13</c:f>
              <c:numCache>
                <c:formatCode>General</c:formatCode>
                <c:ptCount val="3"/>
                <c:pt idx="0">
                  <c:v>507.0</c:v>
                </c:pt>
                <c:pt idx="1">
                  <c:v>507.0</c:v>
                </c:pt>
                <c:pt idx="2">
                  <c:v>507.0</c:v>
                </c:pt>
              </c:numCache>
            </c:numRef>
          </c:val>
        </c:ser>
        <c:ser>
          <c:idx val="2"/>
          <c:order val="2"/>
          <c:tx>
            <c:strRef>
              <c:f>Vahetabelid!$L$10</c:f>
              <c:strCache>
                <c:ptCount val="1"/>
                <c:pt idx="0">
                  <c:v>Kütused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strRef>
              <c:f>Vahetabelid!$I$11:$I$13</c:f>
              <c:strCache>
                <c:ptCount val="3"/>
                <c:pt idx="0">
                  <c:v>TOP1</c:v>
                </c:pt>
                <c:pt idx="1">
                  <c:v>TOP2</c:v>
                </c:pt>
                <c:pt idx="2">
                  <c:v>TOP3</c:v>
                </c:pt>
              </c:strCache>
            </c:strRef>
          </c:cat>
          <c:val>
            <c:numRef>
              <c:f>Vahetabelid!$L$11:$L$13</c:f>
              <c:numCache>
                <c:formatCode>General</c:formatCode>
                <c:ptCount val="3"/>
                <c:pt idx="0">
                  <c:v>586.2</c:v>
                </c:pt>
                <c:pt idx="1">
                  <c:v>377.5</c:v>
                </c:pt>
                <c:pt idx="2">
                  <c:v>586.2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2"/>
        <c:overlap val="100"/>
        <c:axId val="2004552832"/>
        <c:axId val="2004556352"/>
      </c:barChart>
      <c:lineChart>
        <c:grouping val="standard"/>
        <c:varyColors val="0"/>
        <c:ser>
          <c:idx val="3"/>
          <c:order val="3"/>
          <c:tx>
            <c:strRef>
              <c:f>Vahetabelid!$M$10</c:f>
              <c:strCache>
                <c:ptCount val="1"/>
                <c:pt idx="0">
                  <c:v>LIMIIT</c:v>
                </c:pt>
              </c:strCache>
            </c:strRef>
          </c:tx>
          <c:spPr>
            <a:ln w="28575" cap="rnd">
              <a:solidFill>
                <a:srgbClr val="C00000"/>
              </a:solidFill>
              <a:prstDash val="dash"/>
              <a:round/>
            </a:ln>
            <a:effectLst/>
          </c:spPr>
          <c:marker>
            <c:symbol val="none"/>
          </c:marker>
          <c:cat>
            <c:strRef>
              <c:f>Vahetabelid!$I$11:$I$13</c:f>
              <c:strCache>
                <c:ptCount val="3"/>
                <c:pt idx="0">
                  <c:v>TOP1</c:v>
                </c:pt>
                <c:pt idx="1">
                  <c:v>TOP2</c:v>
                </c:pt>
                <c:pt idx="2">
                  <c:v>TOP3</c:v>
                </c:pt>
              </c:strCache>
            </c:strRef>
          </c:cat>
          <c:val>
            <c:numRef>
              <c:f>Vahetabelid!$M$11:$M$13</c:f>
              <c:numCache>
                <c:formatCode>General</c:formatCode>
                <c:ptCount val="3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04564960"/>
        <c:axId val="2004562256"/>
      </c:lineChart>
      <c:catAx>
        <c:axId val="20045528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04556352"/>
        <c:crosses val="autoZero"/>
        <c:auto val="1"/>
        <c:lblAlgn val="ctr"/>
        <c:lblOffset val="100"/>
        <c:noMultiLvlLbl val="0"/>
      </c:catAx>
      <c:valAx>
        <c:axId val="2004556352"/>
        <c:scaling>
          <c:orientation val="minMax"/>
          <c:min val="0.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t-EE"/>
                  <a:t>[MtonCO2e/a]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04552832"/>
        <c:crosses val="autoZero"/>
        <c:crossBetween val="between"/>
      </c:valAx>
      <c:valAx>
        <c:axId val="2004562256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2004564960"/>
        <c:crosses val="max"/>
        <c:crossBetween val="between"/>
      </c:valAx>
      <c:catAx>
        <c:axId val="20045649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00456225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4" Type="http://schemas.openxmlformats.org/officeDocument/2006/relationships/image" Target="../media/image1.png"/><Relationship Id="rId1" Type="http://schemas.openxmlformats.org/officeDocument/2006/relationships/chart" Target="../charts/chart1.xml"/><Relationship Id="rId2" Type="http://schemas.openxmlformats.org/officeDocument/2006/relationships/chart" Target="../charts/chart2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4" Type="http://schemas.openxmlformats.org/officeDocument/2006/relationships/chart" Target="../charts/chart7.xml"/><Relationship Id="rId1" Type="http://schemas.openxmlformats.org/officeDocument/2006/relationships/chart" Target="../charts/chart4.xml"/><Relationship Id="rId2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4224</xdr:colOff>
      <xdr:row>56</xdr:row>
      <xdr:rowOff>137160</xdr:rowOff>
    </xdr:from>
    <xdr:to>
      <xdr:col>25</xdr:col>
      <xdr:colOff>34290</xdr:colOff>
      <xdr:row>61</xdr:row>
      <xdr:rowOff>76199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63</xdr:col>
      <xdr:colOff>18595</xdr:colOff>
      <xdr:row>56</xdr:row>
      <xdr:rowOff>136164</xdr:rowOff>
    </xdr:from>
    <xdr:to>
      <xdr:col>98</xdr:col>
      <xdr:colOff>62754</xdr:colOff>
      <xdr:row>61</xdr:row>
      <xdr:rowOff>134471</xdr:rowOff>
    </xdr:to>
    <xdr:graphicFrame macro="">
      <xdr:nvGraphicFramePr>
        <xdr:cNvPr id="15" name="Chart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26</xdr:col>
      <xdr:colOff>56478</xdr:colOff>
      <xdr:row>56</xdr:row>
      <xdr:rowOff>129540</xdr:rowOff>
    </xdr:from>
    <xdr:to>
      <xdr:col>61</xdr:col>
      <xdr:colOff>83820</xdr:colOff>
      <xdr:row>61</xdr:row>
      <xdr:rowOff>121921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2</xdr:col>
      <xdr:colOff>39158</xdr:colOff>
      <xdr:row>20</xdr:row>
      <xdr:rowOff>67734</xdr:rowOff>
    </xdr:from>
    <xdr:to>
      <xdr:col>13</xdr:col>
      <xdr:colOff>29635</xdr:colOff>
      <xdr:row>21</xdr:row>
      <xdr:rowOff>187811</xdr:rowOff>
    </xdr:to>
    <xdr:pic>
      <xdr:nvPicPr>
        <xdr:cNvPr id="9" name="Picture 8" descr="Energiatalgud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758" y="3335867"/>
          <a:ext cx="1480610" cy="314811"/>
        </a:xfrm>
        <a:prstGeom prst="rect">
          <a:avLst/>
        </a:prstGeom>
        <a:noFill/>
        <a:ln>
          <a:solidFill>
            <a:sysClr val="windowText" lastClr="000000"/>
          </a:solidFill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518160</xdr:colOff>
      <xdr:row>25</xdr:row>
      <xdr:rowOff>121920</xdr:rowOff>
    </xdr:from>
    <xdr:to>
      <xdr:col>17</xdr:col>
      <xdr:colOff>144780</xdr:colOff>
      <xdr:row>40</xdr:row>
      <xdr:rowOff>121920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76200</xdr:colOff>
      <xdr:row>40</xdr:row>
      <xdr:rowOff>171450</xdr:rowOff>
    </xdr:from>
    <xdr:to>
      <xdr:col>7</xdr:col>
      <xdr:colOff>358802</xdr:colOff>
      <xdr:row>53</xdr:row>
      <xdr:rowOff>362116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1790700</xdr:colOff>
      <xdr:row>43</xdr:row>
      <xdr:rowOff>99062</xdr:rowOff>
    </xdr:from>
    <xdr:to>
      <xdr:col>9</xdr:col>
      <xdr:colOff>258196</xdr:colOff>
      <xdr:row>56</xdr:row>
      <xdr:rowOff>53340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265816</xdr:colOff>
      <xdr:row>43</xdr:row>
      <xdr:rowOff>129540</xdr:rowOff>
    </xdr:from>
    <xdr:to>
      <xdr:col>10</xdr:col>
      <xdr:colOff>2079376</xdr:colOff>
      <xdr:row>56</xdr:row>
      <xdr:rowOff>121920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aanus/Dropbox/01_T&#246;&#246;%20Arengufond/01_ENMAK2030/Legomaja/141023_ENMAK%20teekaartide%20mudel_v_2%2012_lukustatud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j.Mõju"/>
      <sheetName val="KuluTulu"/>
      <sheetName val="Piirangud"/>
      <sheetName val="Muudatused"/>
      <sheetName val="PJ"/>
      <sheetName val="Tulem"/>
      <sheetName val="data"/>
      <sheetName val="Tulemused"/>
      <sheetName val="KSH järjestus"/>
      <sheetName val="KOMBI"/>
      <sheetName val="VK-Hooned-Soojus"/>
      <sheetName val="VK-Transport"/>
      <sheetName val="VK-Elekter"/>
      <sheetName val="Kütuste tabel"/>
      <sheetName val="VK-Võrgud"/>
      <sheetName val="VK-Biokütused"/>
      <sheetName val="VK-Põlevkivi"/>
      <sheetName val="Vahetabeli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1">
          <cell r="E1" t="str">
            <v>Mitte-sekkuv</v>
          </cell>
          <cell r="F1" t="str">
            <v>Vähe-sekkuv</v>
          </cell>
          <cell r="G1" t="str">
            <v>Teadmistepõhine</v>
          </cell>
          <cell r="I1" t="str">
            <v>Allikmaterjalid</v>
          </cell>
        </row>
        <row r="2">
          <cell r="C2" t="str">
            <v>Hooned/Tööstus</v>
          </cell>
          <cell r="E2" t="str">
            <v>Stsenaarium # 1</v>
          </cell>
          <cell r="F2" t="str">
            <v>Stsenaarium # 2</v>
          </cell>
          <cell r="G2" t="str">
            <v>Stsenaarium # 3</v>
          </cell>
          <cell r="I2" t="str">
            <v>Artikkel</v>
          </cell>
          <cell r="K2" t="str">
            <v>Arvutusfail</v>
          </cell>
        </row>
        <row r="4">
          <cell r="C4" t="str">
            <v>Energia lõpptarbimine @ 2015 [TWh/a]</v>
          </cell>
          <cell r="D4" t="str">
            <v>TWh/a</v>
          </cell>
          <cell r="E4">
            <v>0</v>
          </cell>
          <cell r="F4">
            <v>0</v>
          </cell>
          <cell r="G4">
            <v>0</v>
          </cell>
          <cell r="I4" t="str">
            <v>-</v>
          </cell>
          <cell r="K4" t="str">
            <v>-</v>
          </cell>
        </row>
        <row r="5">
          <cell r="C5" t="str">
            <v>sh hoonete lõpptarbimine @ 2012 [TWh/a]</v>
          </cell>
          <cell r="D5" t="str">
            <v>TWh/a</v>
          </cell>
          <cell r="E5">
            <v>0</v>
          </cell>
          <cell r="F5">
            <v>0</v>
          </cell>
          <cell r="G5">
            <v>0</v>
          </cell>
          <cell r="I5" t="str">
            <v>Hoonefondi stsenaariumid</v>
          </cell>
          <cell r="K5" t="str">
            <v>Summaarne hoonefondi energia</v>
          </cell>
        </row>
        <row r="6">
          <cell r="C6" t="str">
            <v>Energia lõpptarbimine @ 2020 [TWh/a]</v>
          </cell>
          <cell r="D6" t="str">
            <v>TWh/a</v>
          </cell>
          <cell r="E6">
            <v>24.95</v>
          </cell>
          <cell r="F6">
            <v>24.2</v>
          </cell>
          <cell r="G6">
            <v>23.75</v>
          </cell>
          <cell r="I6" t="str">
            <v>-</v>
          </cell>
          <cell r="K6" t="str">
            <v>-</v>
          </cell>
        </row>
        <row r="7">
          <cell r="C7" t="str">
            <v>sh hoonete lõpptarbimine @ 2020 [TWh/a]</v>
          </cell>
          <cell r="D7" t="str">
            <v>TWh/a</v>
          </cell>
          <cell r="E7">
            <v>16.75</v>
          </cell>
          <cell r="F7">
            <v>16.09</v>
          </cell>
          <cell r="G7">
            <v>15.25</v>
          </cell>
          <cell r="I7" t="str">
            <v>Hoonefondi stsenaariumid</v>
          </cell>
          <cell r="K7" t="str">
            <v>Summaarne hoonefondi energia</v>
          </cell>
        </row>
        <row r="8">
          <cell r="C8" t="str">
            <v>Energia lõpptarbimine @ 2030 [TWh/a]</v>
          </cell>
          <cell r="D8" t="str">
            <v>TWh/a</v>
          </cell>
          <cell r="E8">
            <v>26.89</v>
          </cell>
          <cell r="F8">
            <v>24.79</v>
          </cell>
          <cell r="G8">
            <v>23.490000000000002</v>
          </cell>
          <cell r="I8" t="str">
            <v>-</v>
          </cell>
          <cell r="K8" t="str">
            <v>-</v>
          </cell>
        </row>
        <row r="9">
          <cell r="C9" t="str">
            <v>sh hoonete lõpptarbimine @ 2030 [TWh/a]</v>
          </cell>
          <cell r="D9" t="str">
            <v>TWh/a</v>
          </cell>
          <cell r="E9">
            <v>16.75</v>
          </cell>
          <cell r="F9">
            <v>15.27</v>
          </cell>
          <cell r="G9">
            <v>13.780000000000001</v>
          </cell>
          <cell r="I9" t="str">
            <v>Hoonefondi stsenaariumid</v>
          </cell>
          <cell r="K9" t="str">
            <v>Summaarne hoonefondi energia</v>
          </cell>
        </row>
        <row r="10">
          <cell r="C10" t="str">
            <v>Energia lõpptarbimine 2050</v>
          </cell>
          <cell r="D10" t="str">
            <v>TWh/a</v>
          </cell>
          <cell r="E10">
            <v>29.21</v>
          </cell>
          <cell r="F10">
            <v>23.61</v>
          </cell>
          <cell r="G10">
            <v>6.5277777777777768E-2</v>
          </cell>
          <cell r="I10" t="str">
            <v>-</v>
          </cell>
          <cell r="K10" t="str">
            <v>-</v>
          </cell>
        </row>
        <row r="11">
          <cell r="C11" t="str">
            <v>sh hooned</v>
          </cell>
          <cell r="D11" t="str">
            <v>TWh/a</v>
          </cell>
          <cell r="E11">
            <v>16.41</v>
          </cell>
          <cell r="F11">
            <v>13.709999999999999</v>
          </cell>
          <cell r="G11">
            <v>0.29944444444444446</v>
          </cell>
          <cell r="I11" t="str">
            <v>Hoonefondi stsenaariumid</v>
          </cell>
          <cell r="K11" t="str">
            <v>Summaarne hoonefondi energia</v>
          </cell>
        </row>
        <row r="12">
          <cell r="G12">
            <v>0.59333333333333338</v>
          </cell>
        </row>
        <row r="13">
          <cell r="C13" t="str">
            <v>Elektri lõpptarbimine 2012</v>
          </cell>
          <cell r="I13" t="str">
            <v>Elektritootmisstsenaariumid</v>
          </cell>
          <cell r="K13" t="str">
            <v>Elektritoomistsenaariumite tulemuste võrdlus</v>
          </cell>
        </row>
        <row r="14">
          <cell r="C14" t="str">
            <v>sh hooned</v>
          </cell>
          <cell r="I14" t="str">
            <v>Hoonefondi stsenaariumid</v>
          </cell>
          <cell r="K14" t="str">
            <v>Summaarne hoonefondi energia</v>
          </cell>
        </row>
        <row r="15">
          <cell r="C15" t="str">
            <v>Elektri lõpptarbimine 2020</v>
          </cell>
          <cell r="D15" t="str">
            <v>TWh/a</v>
          </cell>
          <cell r="E15">
            <v>7.95</v>
          </cell>
          <cell r="F15">
            <v>7.95</v>
          </cell>
          <cell r="G15">
            <v>7.95</v>
          </cell>
          <cell r="I15" t="str">
            <v>Elektritootmisstsenaariumid</v>
          </cell>
          <cell r="K15" t="str">
            <v>Elektritoomistsenaariumite tulemuste võrdlus</v>
          </cell>
        </row>
        <row r="16">
          <cell r="C16" t="str">
            <v>sh hooned</v>
          </cell>
          <cell r="D16" t="str">
            <v>TWh/a</v>
          </cell>
          <cell r="E16">
            <v>4.83</v>
          </cell>
          <cell r="F16">
            <v>4.84</v>
          </cell>
          <cell r="G16">
            <v>4.76</v>
          </cell>
          <cell r="I16" t="str">
            <v>Hoonefondi stsenaariumid</v>
          </cell>
          <cell r="K16" t="str">
            <v>Summaarne hoonefondi energia</v>
          </cell>
        </row>
        <row r="17">
          <cell r="C17" t="str">
            <v>Elektri lõpptarbimine 2030</v>
          </cell>
          <cell r="D17" t="str">
            <v>TWh/a</v>
          </cell>
          <cell r="E17">
            <v>8.89</v>
          </cell>
          <cell r="F17">
            <v>8.89</v>
          </cell>
          <cell r="G17">
            <v>8.89</v>
          </cell>
          <cell r="I17" t="str">
            <v>Elektritootmisstsenaariumid</v>
          </cell>
          <cell r="K17" t="str">
            <v>Elektritoomistsenaariumite tulemuste võrdlus</v>
          </cell>
        </row>
        <row r="18">
          <cell r="C18" t="str">
            <v>sh hooned</v>
          </cell>
          <cell r="D18" t="str">
            <v>TWh/a</v>
          </cell>
          <cell r="E18">
            <v>5.01</v>
          </cell>
          <cell r="F18">
            <v>4.95</v>
          </cell>
          <cell r="G18">
            <v>4.87</v>
          </cell>
          <cell r="I18" t="str">
            <v>Hoonefondi stsenaariumid</v>
          </cell>
          <cell r="K18" t="str">
            <v>Summaarne hoonefondi energia</v>
          </cell>
        </row>
        <row r="19">
          <cell r="C19" t="str">
            <v>Elektri lõpptarbimine 2050</v>
          </cell>
          <cell r="D19" t="str">
            <v>TWh/a</v>
          </cell>
          <cell r="E19">
            <v>11.41</v>
          </cell>
          <cell r="F19">
            <v>11.41</v>
          </cell>
          <cell r="G19">
            <v>11.41</v>
          </cell>
          <cell r="I19" t="str">
            <v>Elektritootmisstsenaariumid</v>
          </cell>
          <cell r="K19" t="str">
            <v>Elektritoomistsenaariumite tulemuste võrdlus</v>
          </cell>
        </row>
        <row r="20">
          <cell r="C20" t="str">
            <v>sh hooned</v>
          </cell>
          <cell r="D20" t="str">
            <v>TWh/a</v>
          </cell>
          <cell r="E20">
            <v>5.21</v>
          </cell>
          <cell r="F20">
            <v>5.17</v>
          </cell>
          <cell r="G20">
            <v>5.09</v>
          </cell>
          <cell r="I20" t="str">
            <v>Hoonefondi stsenaariumid</v>
          </cell>
          <cell r="K20" t="str">
            <v>Summaarne hoonefondi energia</v>
          </cell>
        </row>
        <row r="22">
          <cell r="C22" t="str">
            <v>Soojuse lõpptarbimine 2015</v>
          </cell>
          <cell r="I22" t="str">
            <v>Soojusmajanduse stsenaariumid</v>
          </cell>
          <cell r="K22" t="str">
            <v>Soojusmajanduse stsenaariumite tulemused</v>
          </cell>
        </row>
        <row r="23">
          <cell r="C23" t="str">
            <v>sh hooned</v>
          </cell>
          <cell r="I23" t="str">
            <v>Hoonefondi stsenaariumid</v>
          </cell>
          <cell r="K23" t="str">
            <v>Summaarne hoonefondi energia</v>
          </cell>
        </row>
        <row r="24">
          <cell r="C24" t="str">
            <v>Soojuse lõpptarbimine 2020</v>
          </cell>
          <cell r="D24" t="str">
            <v>TWh/a</v>
          </cell>
          <cell r="E24">
            <v>17</v>
          </cell>
          <cell r="F24">
            <v>16.25</v>
          </cell>
          <cell r="G24">
            <v>15.8</v>
          </cell>
          <cell r="I24" t="str">
            <v>Soojusmajanduse stsenaariumid</v>
          </cell>
          <cell r="K24" t="str">
            <v>Soojusmajanduse stsenaariumite tulemused</v>
          </cell>
        </row>
        <row r="25">
          <cell r="C25" t="str">
            <v>sh hooned</v>
          </cell>
          <cell r="D25" t="str">
            <v>TWh/a</v>
          </cell>
          <cell r="E25">
            <v>11.92</v>
          </cell>
          <cell r="F25">
            <v>11.25</v>
          </cell>
          <cell r="G25">
            <v>10.49</v>
          </cell>
          <cell r="I25" t="str">
            <v>Hoonefondi stsenaariumid</v>
          </cell>
          <cell r="K25" t="str">
            <v>Summaarne hoonefondi energia</v>
          </cell>
        </row>
        <row r="26">
          <cell r="C26" t="str">
            <v>Soojuse lõpptarbimine 2030</v>
          </cell>
          <cell r="D26" t="str">
            <v>TWh/a</v>
          </cell>
          <cell r="E26">
            <v>18</v>
          </cell>
          <cell r="F26">
            <v>15.9</v>
          </cell>
          <cell r="G26">
            <v>14.6</v>
          </cell>
          <cell r="I26" t="str">
            <v>Soojusmajanduse stsenaariumid</v>
          </cell>
          <cell r="K26" t="str">
            <v>Soojusmajanduse stsenaariumite tulemused</v>
          </cell>
        </row>
        <row r="27">
          <cell r="C27" t="str">
            <v>sh hooned</v>
          </cell>
          <cell r="D27" t="str">
            <v>TWh/a</v>
          </cell>
          <cell r="E27">
            <v>11.74</v>
          </cell>
          <cell r="F27">
            <v>10.32</v>
          </cell>
          <cell r="G27">
            <v>8.91</v>
          </cell>
          <cell r="I27" t="str">
            <v>Hoonefondi stsenaariumid</v>
          </cell>
          <cell r="K27" t="str">
            <v>Summaarne hoonefondi energia</v>
          </cell>
        </row>
        <row r="28">
          <cell r="C28" t="str">
            <v>sh kaugküte</v>
          </cell>
          <cell r="D28" t="str">
            <v>TWh/a</v>
          </cell>
          <cell r="E28">
            <v>4.4000000000000004</v>
          </cell>
          <cell r="F28">
            <v>4.0999999999999996</v>
          </cell>
          <cell r="G28">
            <v>3.5</v>
          </cell>
          <cell r="I28" t="str">
            <v>Soojusmajanduse stsenaariumid</v>
          </cell>
          <cell r="K28" t="str">
            <v>Soojusmajanduse stsenaariumite tulemused</v>
          </cell>
        </row>
        <row r="29">
          <cell r="C29" t="str">
            <v>Soojuse lõpptarbimine 2050</v>
          </cell>
          <cell r="D29" t="str">
            <v>TWh/a</v>
          </cell>
          <cell r="E29">
            <v>17.8</v>
          </cell>
          <cell r="F29">
            <v>12.2</v>
          </cell>
          <cell r="G29">
            <v>9.8000000000000007</v>
          </cell>
          <cell r="I29" t="str">
            <v>Soojusmajanduse stsenaariumid</v>
          </cell>
          <cell r="K29" t="str">
            <v>Soojusmajanduse stsenaariumite tulemused</v>
          </cell>
        </row>
        <row r="30">
          <cell r="C30" t="str">
            <v>sh hooned</v>
          </cell>
          <cell r="D30" t="str">
            <v>TWh/a</v>
          </cell>
          <cell r="E30">
            <v>11.2</v>
          </cell>
          <cell r="F30">
            <v>8.5399999999999991</v>
          </cell>
          <cell r="G30">
            <v>5.89</v>
          </cell>
          <cell r="I30" t="str">
            <v>Hoonefondi stsenaariumid</v>
          </cell>
          <cell r="K30" t="str">
            <v>Summaarne hoonefondi energia</v>
          </cell>
        </row>
        <row r="32">
          <cell r="C32" t="str">
            <v>Tootmisportfell @ 2030 - PUIDUHAKE</v>
          </cell>
          <cell r="D32" t="str">
            <v>TWh/a</v>
          </cell>
          <cell r="E32">
            <v>7.3</v>
          </cell>
          <cell r="F32">
            <v>6.7</v>
          </cell>
          <cell r="G32">
            <v>6.5</v>
          </cell>
          <cell r="I32" t="str">
            <v>Soojusmajanduse stsenaariumid</v>
          </cell>
          <cell r="K32" t="str">
            <v>Soojusmajanduse stsenaariumite tulemused</v>
          </cell>
        </row>
        <row r="33">
          <cell r="C33" t="str">
            <v>Tootmisportfell @ 2030 - HALUPUIT</v>
          </cell>
          <cell r="D33" t="str">
            <v>TWh/a</v>
          </cell>
          <cell r="E33">
            <v>2.5</v>
          </cell>
          <cell r="F33">
            <v>2.2999999999999998</v>
          </cell>
          <cell r="G33">
            <v>2.2000000000000002</v>
          </cell>
          <cell r="I33" t="str">
            <v>Soojusmajanduse stsenaariumid</v>
          </cell>
          <cell r="K33" t="str">
            <v>Soojusmajanduse stsenaariumite tulemused</v>
          </cell>
        </row>
        <row r="34">
          <cell r="C34" t="str">
            <v>Tootmisportfell @ 2030 - BIOMASS</v>
          </cell>
          <cell r="D34" t="str">
            <v>TWh/a</v>
          </cell>
          <cell r="E34">
            <v>0.4</v>
          </cell>
          <cell r="F34">
            <v>0.4</v>
          </cell>
          <cell r="G34">
            <v>0.4</v>
          </cell>
          <cell r="I34" t="str">
            <v>Soojusmajanduse stsenaariumid</v>
          </cell>
          <cell r="K34" t="str">
            <v>Soojusmajanduse stsenaariumite tulemused</v>
          </cell>
        </row>
        <row r="35">
          <cell r="C35" t="str">
            <v>Tootmisportfell @ 2030 - MAAGAAS</v>
          </cell>
          <cell r="D35" t="str">
            <v>TWh/a</v>
          </cell>
          <cell r="E35">
            <v>5</v>
          </cell>
          <cell r="F35">
            <v>4.3</v>
          </cell>
          <cell r="G35">
            <v>3.7</v>
          </cell>
          <cell r="I35" t="str">
            <v>Soojusmajanduse stsenaariumid</v>
          </cell>
          <cell r="K35" t="str">
            <v>Soojusmajanduse stsenaariumite tulemused</v>
          </cell>
        </row>
        <row r="36">
          <cell r="C36" t="str">
            <v>Tootmisportfell @ 2030 - PÕLEVKIVI</v>
          </cell>
          <cell r="D36" t="str">
            <v>TWh/a</v>
          </cell>
          <cell r="E36">
            <v>0.03</v>
          </cell>
          <cell r="F36">
            <v>0</v>
          </cell>
          <cell r="G36">
            <v>0</v>
          </cell>
          <cell r="I36" t="str">
            <v>Soojusmajanduse stsenaariumid</v>
          </cell>
          <cell r="K36" t="str">
            <v>Soojusmajanduse stsenaariumite tulemused</v>
          </cell>
        </row>
        <row r="37">
          <cell r="C37" t="str">
            <v>Tootmisportfell @ 2030 - PÕLEVKIVIÕLI</v>
          </cell>
          <cell r="D37" t="str">
            <v>TWh/a</v>
          </cell>
          <cell r="E37">
            <v>0.85</v>
          </cell>
          <cell r="F37">
            <v>0.4</v>
          </cell>
          <cell r="G37">
            <v>0</v>
          </cell>
          <cell r="I37" t="str">
            <v>Soojusmajanduse stsenaariumid</v>
          </cell>
          <cell r="K37" t="str">
            <v>Soojusmajanduse stsenaariumite tulemused</v>
          </cell>
        </row>
        <row r="38">
          <cell r="C38" t="str">
            <v>Tootmisportfell @ 2030 - UTTEGAAS</v>
          </cell>
          <cell r="D38" t="str">
            <v>TWh/a</v>
          </cell>
          <cell r="E38">
            <v>0.15</v>
          </cell>
          <cell r="F38">
            <v>0.15</v>
          </cell>
          <cell r="G38">
            <v>0.15</v>
          </cell>
          <cell r="I38" t="str">
            <v>Soojusmajanduse stsenaariumid</v>
          </cell>
          <cell r="K38" t="str">
            <v>Soojusmajanduse stsenaariumite tulemused</v>
          </cell>
        </row>
        <row r="39">
          <cell r="C39" t="str">
            <v>Tootmisportfell @ 2030 - KÜTTEÕLI</v>
          </cell>
          <cell r="D39" t="str">
            <v>TWh/a</v>
          </cell>
          <cell r="E39">
            <v>0.09</v>
          </cell>
          <cell r="F39">
            <v>0.09</v>
          </cell>
          <cell r="G39">
            <v>0</v>
          </cell>
          <cell r="I39" t="str">
            <v>Soojusmajanduse stsenaariumid</v>
          </cell>
          <cell r="K39" t="str">
            <v>Soojusmajanduse stsenaariumite tulemused</v>
          </cell>
        </row>
        <row r="40">
          <cell r="C40" t="str">
            <v>Tootmisportfell @ 2030 - KIVISÜSI</v>
          </cell>
          <cell r="D40" t="str">
            <v>TWh/a</v>
          </cell>
          <cell r="E40">
            <v>0.4</v>
          </cell>
          <cell r="F40">
            <v>0.35</v>
          </cell>
          <cell r="G40">
            <v>0.35</v>
          </cell>
          <cell r="I40" t="str">
            <v>Soojusmajanduse stsenaariumid</v>
          </cell>
          <cell r="K40" t="str">
            <v>Soojusmajanduse stsenaariumite tulemused</v>
          </cell>
        </row>
        <row r="41">
          <cell r="C41" t="str">
            <v>Tootmisportfell @ 2030 - TURVAS</v>
          </cell>
          <cell r="D41" t="str">
            <v>TWh/a</v>
          </cell>
          <cell r="E41">
            <v>0.34</v>
          </cell>
          <cell r="F41">
            <v>0.34</v>
          </cell>
          <cell r="G41">
            <v>0.25</v>
          </cell>
          <cell r="I41" t="str">
            <v>Soojusmajanduse stsenaariumid</v>
          </cell>
          <cell r="K41" t="str">
            <v>Soojusmajanduse stsenaariumite tulemused</v>
          </cell>
        </row>
        <row r="42">
          <cell r="C42" t="str">
            <v>Tootmisportfell @ 2030 - KÜTUSETA KÜTUS (maasoojus)</v>
          </cell>
          <cell r="D42" t="str">
            <v>TWh/a</v>
          </cell>
          <cell r="E42">
            <v>0.2</v>
          </cell>
          <cell r="F42">
            <v>0.3</v>
          </cell>
          <cell r="G42">
            <v>0.4</v>
          </cell>
          <cell r="I42" t="str">
            <v>Soojusmajanduse stsenaariumid</v>
          </cell>
          <cell r="K42" t="str">
            <v>Soojusmajanduse stsenaariumite tulemused</v>
          </cell>
        </row>
        <row r="44">
          <cell r="C44" t="str">
            <v>Kütuste tarbimine @ 2030 - PUIDUHAKE</v>
          </cell>
          <cell r="D44" t="str">
            <v>TWh/a</v>
          </cell>
          <cell r="E44">
            <v>8.6</v>
          </cell>
          <cell r="F44">
            <v>7.9</v>
          </cell>
          <cell r="G44">
            <v>7.7</v>
          </cell>
          <cell r="I44" t="str">
            <v>Soojusmajanduse stsenaariumid</v>
          </cell>
          <cell r="K44" t="str">
            <v>Soojusmajanduse stsenaariumite tulemused</v>
          </cell>
        </row>
        <row r="45">
          <cell r="C45" t="str">
            <v>Kütuste tarbimine @ 2030 - HALUPUIT</v>
          </cell>
          <cell r="D45" t="str">
            <v>TWh/a</v>
          </cell>
          <cell r="E45">
            <v>3.7</v>
          </cell>
          <cell r="F45">
            <v>3.4</v>
          </cell>
          <cell r="G45">
            <v>3.2</v>
          </cell>
          <cell r="I45" t="str">
            <v>Soojusmajanduse stsenaariumid</v>
          </cell>
          <cell r="K45" t="str">
            <v>Soojusmajanduse stsenaariumite tulemused</v>
          </cell>
        </row>
        <row r="46">
          <cell r="C46" t="str">
            <v>Kütuste tarbimine @ 2030 - MAAGAAS</v>
          </cell>
          <cell r="D46" t="str">
            <v>TWh/a</v>
          </cell>
          <cell r="E46">
            <v>5.6</v>
          </cell>
          <cell r="F46">
            <v>4.8</v>
          </cell>
          <cell r="G46">
            <v>4.0999999999999996</v>
          </cell>
          <cell r="I46" t="str">
            <v>Soojusmajanduse stsenaariumid</v>
          </cell>
          <cell r="K46" t="str">
            <v>Soojusmajanduse stsenaariumite tulemused</v>
          </cell>
        </row>
        <row r="47">
          <cell r="C47" t="str">
            <v>Kütuste tarbimine @ 2030 - PÕLEVKIVI</v>
          </cell>
          <cell r="D47" t="str">
            <v>TWh/a</v>
          </cell>
          <cell r="E47">
            <v>0.1</v>
          </cell>
          <cell r="F47">
            <v>0</v>
          </cell>
          <cell r="G47">
            <v>0</v>
          </cell>
          <cell r="I47" t="str">
            <v>Soojusmajanduse stsenaariumid</v>
          </cell>
          <cell r="K47" t="str">
            <v>Soojusmajanduse stsenaariumite tulemused</v>
          </cell>
        </row>
        <row r="48">
          <cell r="C48" t="str">
            <v>Kütuste tarbimine @ 2030 - PÕLEVKIVIÕLI</v>
          </cell>
          <cell r="D48" t="str">
            <v>TWh/a</v>
          </cell>
          <cell r="E48">
            <v>1</v>
          </cell>
          <cell r="F48">
            <v>0.5</v>
          </cell>
          <cell r="G48">
            <v>0</v>
          </cell>
          <cell r="I48" t="str">
            <v>Soojusmajanduse stsenaariumid</v>
          </cell>
          <cell r="K48" t="str">
            <v>Soojusmajanduse stsenaariumite tulemused</v>
          </cell>
        </row>
        <row r="49">
          <cell r="C49" t="str">
            <v>Kütuste tarbimine @ 2030 - TURVAS</v>
          </cell>
          <cell r="D49" t="str">
            <v>TWh/a</v>
          </cell>
          <cell r="E49">
            <v>0.4</v>
          </cell>
          <cell r="F49">
            <v>0.4</v>
          </cell>
          <cell r="G49">
            <v>0.3</v>
          </cell>
          <cell r="I49" t="str">
            <v>Soojusmajanduse stsenaariumid</v>
          </cell>
          <cell r="K49" t="str">
            <v>Soojusmajanduse stsenaariumite tulemused</v>
          </cell>
        </row>
        <row r="50">
          <cell r="C50" t="str">
            <v>Kütuste tarbimine @ 2030 - UTTEGAAS</v>
          </cell>
          <cell r="D50" t="str">
            <v>TWh/a</v>
          </cell>
          <cell r="I50" t="str">
            <v>Soojusmajanduse stsenaariumid</v>
          </cell>
          <cell r="K50" t="str">
            <v>Soojusmajanduse stsenaariumite tulemused</v>
          </cell>
        </row>
        <row r="51">
          <cell r="C51" t="str">
            <v>Kütuste tarbimine @ 2030 - UTTEGAAS_soojus</v>
          </cell>
          <cell r="D51" t="str">
            <v>TWh/a</v>
          </cell>
          <cell r="E51">
            <v>0.5</v>
          </cell>
          <cell r="F51">
            <v>0.4</v>
          </cell>
          <cell r="G51">
            <v>0.4</v>
          </cell>
          <cell r="I51" t="str">
            <v>Soojusmajanduse stsenaariumid</v>
          </cell>
          <cell r="K51" t="str">
            <v>Soojusmajanduse stsenaariumite tulemused</v>
          </cell>
        </row>
        <row r="52">
          <cell r="C52" t="str">
            <v>Kütuste tarbimine @ 2030 - BIOMASS</v>
          </cell>
          <cell r="D52" t="str">
            <v>TWh/a</v>
          </cell>
          <cell r="E52">
            <v>0.4</v>
          </cell>
          <cell r="F52">
            <v>0.4</v>
          </cell>
          <cell r="G52">
            <v>0.4</v>
          </cell>
          <cell r="I52" t="str">
            <v>Soojusmajanduse stsenaariumid</v>
          </cell>
          <cell r="K52" t="str">
            <v>Soojusmajanduse stsenaariumite tulemused</v>
          </cell>
        </row>
        <row r="53">
          <cell r="C53" t="str">
            <v>Kütuste tarbimine @ 2030 - KÜTTEÕLI</v>
          </cell>
          <cell r="D53" t="str">
            <v>TWh/a</v>
          </cell>
          <cell r="E53">
            <v>0.1</v>
          </cell>
          <cell r="F53">
            <v>0.1</v>
          </cell>
          <cell r="G53">
            <v>0</v>
          </cell>
          <cell r="I53" t="str">
            <v>Soojusmajanduse stsenaariumid</v>
          </cell>
          <cell r="K53" t="str">
            <v>Soojusmajanduse stsenaariumite tulemused</v>
          </cell>
        </row>
        <row r="54">
          <cell r="C54" t="str">
            <v>Kütuste tarbimine @ 2030 - KIVISÜSI</v>
          </cell>
          <cell r="D54" t="str">
            <v>TWh/a</v>
          </cell>
          <cell r="E54">
            <v>1.5</v>
          </cell>
          <cell r="F54">
            <v>1.4</v>
          </cell>
          <cell r="G54">
            <v>1.4</v>
          </cell>
          <cell r="I54" t="str">
            <v>Soojusmajanduse stsenaariumid</v>
          </cell>
          <cell r="K54" t="str">
            <v>Soojusmajanduse stsenaariumite tulemused</v>
          </cell>
        </row>
        <row r="55">
          <cell r="C55" t="str">
            <v>Kütuste tarbimine @ 2030 - KÜTUSETA KÜTUS (maasoojus)</v>
          </cell>
          <cell r="D55" t="str">
            <v>TWh/a</v>
          </cell>
          <cell r="E55">
            <v>0.2</v>
          </cell>
          <cell r="F55">
            <v>0.2</v>
          </cell>
          <cell r="G55">
            <v>0.2</v>
          </cell>
          <cell r="I55" t="str">
            <v>Soojusmajanduse stsenaariumid</v>
          </cell>
          <cell r="K55" t="str">
            <v>Soojusmajanduse stsenaariumite tulemused</v>
          </cell>
        </row>
        <row r="57">
          <cell r="C57" t="str">
            <v>Taastumatutest allikatest soojus @ 2030 [TWh/a]</v>
          </cell>
          <cell r="D57" t="str">
            <v>TWh/a</v>
          </cell>
          <cell r="E57">
            <v>7.1999999999999993</v>
          </cell>
          <cell r="F57">
            <v>7.1999999999999993</v>
          </cell>
          <cell r="G57">
            <v>7.1</v>
          </cell>
          <cell r="H57">
            <v>0</v>
          </cell>
          <cell r="I57" t="str">
            <v>-</v>
          </cell>
          <cell r="K57" t="str">
            <v>-</v>
          </cell>
        </row>
        <row r="58">
          <cell r="C58" t="str">
            <v>Taastuvatest allikatest soojus @ 2030 [TWh/a]</v>
          </cell>
          <cell r="D58" t="str">
            <v>TWh/a</v>
          </cell>
          <cell r="E58">
            <v>12.9</v>
          </cell>
          <cell r="F58">
            <v>11.9</v>
          </cell>
          <cell r="G58">
            <v>11.5</v>
          </cell>
          <cell r="H58">
            <v>0</v>
          </cell>
          <cell r="I58" t="str">
            <v>-</v>
          </cell>
          <cell r="K58" t="str">
            <v>-</v>
          </cell>
        </row>
        <row r="59">
          <cell r="C59" t="str">
            <v>Kütusevabad taastuvad allikad @2030, TWh/a</v>
          </cell>
          <cell r="D59" t="str">
            <v>TWh/a</v>
          </cell>
          <cell r="E59">
            <v>0.2</v>
          </cell>
          <cell r="F59">
            <v>0.2</v>
          </cell>
          <cell r="G59">
            <v>0.2</v>
          </cell>
          <cell r="I59" t="str">
            <v>-</v>
          </cell>
          <cell r="K59" t="str">
            <v>-</v>
          </cell>
        </row>
        <row r="60">
          <cell r="C60" t="str">
            <v>Imporditud kütustest soojus @ 2030 [TWh/a]</v>
          </cell>
          <cell r="D60" t="str">
            <v>TWh/a</v>
          </cell>
          <cell r="E60">
            <v>5.6999999999999993</v>
          </cell>
          <cell r="F60">
            <v>4.8999999999999995</v>
          </cell>
          <cell r="G60">
            <v>4.0999999999999996</v>
          </cell>
          <cell r="H60">
            <v>0</v>
          </cell>
          <cell r="I60" t="str">
            <v>-</v>
          </cell>
          <cell r="K60" t="str">
            <v>-</v>
          </cell>
        </row>
        <row r="61">
          <cell r="C61" t="str">
            <v>Puitkütuste lõpptarbimine @2030, TWh/a</v>
          </cell>
        </row>
        <row r="62">
          <cell r="C62" t="str">
            <v>Puitkütuste lõpptarbimine @2030, mln tm/a</v>
          </cell>
        </row>
        <row r="63">
          <cell r="C63" t="str">
            <v>Puitkütuste kogutarbimine @2030, TWh/a</v>
          </cell>
          <cell r="D63" t="str">
            <v>TWh/a</v>
          </cell>
          <cell r="E63">
            <v>12.700000000000001</v>
          </cell>
          <cell r="F63">
            <v>11.700000000000001</v>
          </cell>
          <cell r="G63">
            <v>11.3</v>
          </cell>
          <cell r="I63" t="str">
            <v>-</v>
          </cell>
          <cell r="K63" t="str">
            <v>-</v>
          </cell>
        </row>
        <row r="64">
          <cell r="C64" t="str">
            <v>Puitkütuste kogutarbimine @2030, mln tm/a</v>
          </cell>
          <cell r="D64" t="str">
            <v>mln tm/a</v>
          </cell>
          <cell r="E64">
            <v>6.3500000000000005</v>
          </cell>
          <cell r="F64">
            <v>5.8500000000000005</v>
          </cell>
          <cell r="G64">
            <v>5.65</v>
          </cell>
          <cell r="I64" t="str">
            <v>-</v>
          </cell>
          <cell r="K64" t="str">
            <v>-</v>
          </cell>
        </row>
        <row r="66">
          <cell r="C66" t="str">
            <v>Põlevkivi kasutamine @2030</v>
          </cell>
          <cell r="D66" t="str">
            <v>TWh/a</v>
          </cell>
          <cell r="E66">
            <v>1.1000000000000001</v>
          </cell>
          <cell r="F66">
            <v>0.5</v>
          </cell>
          <cell r="G66">
            <v>0</v>
          </cell>
          <cell r="I66" t="str">
            <v>-</v>
          </cell>
          <cell r="K66" t="str">
            <v>-</v>
          </cell>
        </row>
        <row r="67">
          <cell r="C67" t="str">
            <v>Primaarenergia tarbimine @ 2030</v>
          </cell>
          <cell r="D67" t="str">
            <v>TWh/a</v>
          </cell>
          <cell r="E67">
            <v>18.999999999999996</v>
          </cell>
          <cell r="F67">
            <v>17.2</v>
          </cell>
          <cell r="G67">
            <v>15.9</v>
          </cell>
          <cell r="I67" t="str">
            <v>-</v>
          </cell>
          <cell r="K67" t="str">
            <v>-</v>
          </cell>
        </row>
        <row r="71">
          <cell r="C71" t="str">
            <v>Maksumus kokku kuni 2030 [M EUR]</v>
          </cell>
          <cell r="D71" t="str">
            <v>MEUR</v>
          </cell>
          <cell r="E71">
            <v>-38172.5</v>
          </cell>
          <cell r="F71">
            <v>-38424</v>
          </cell>
          <cell r="G71">
            <v>-39540.199999999997</v>
          </cell>
          <cell r="I71" t="str">
            <v>-</v>
          </cell>
          <cell r="K71" t="str">
            <v>-</v>
          </cell>
        </row>
        <row r="72">
          <cell r="C72" t="str">
            <v>sh hooned 2011-2030</v>
          </cell>
          <cell r="D72" t="str">
            <v>MEUR</v>
          </cell>
          <cell r="E72">
            <v>-19100</v>
          </cell>
          <cell r="F72">
            <v>-21050</v>
          </cell>
          <cell r="G72">
            <v>-23304</v>
          </cell>
          <cell r="I72" t="str">
            <v>Hoonefondi stsenaariumid</v>
          </cell>
          <cell r="K72" t="str">
            <v>Elamumajanduse stsenaariumite tulemused</v>
          </cell>
        </row>
        <row r="73">
          <cell r="C73" t="str">
            <v>sh hooned 2015-2030</v>
          </cell>
          <cell r="D73" t="str">
            <v>MEUR</v>
          </cell>
          <cell r="E73">
            <v>-15280</v>
          </cell>
          <cell r="F73">
            <v>-16840</v>
          </cell>
          <cell r="G73">
            <v>-18643.2</v>
          </cell>
        </row>
        <row r="74">
          <cell r="C74" t="str">
            <v>sh soojusmajandus 2015-2030</v>
          </cell>
          <cell r="D74" t="str">
            <v>MEUR</v>
          </cell>
          <cell r="E74">
            <v>-22892.5</v>
          </cell>
          <cell r="F74">
            <v>-21584</v>
          </cell>
          <cell r="G74">
            <v>-20897</v>
          </cell>
          <cell r="I74" t="str">
            <v>Soojusmajanduse stsenaariumid</v>
          </cell>
          <cell r="K74" t="str">
            <v>Soojusmajanduse stsenaariumite tulemused</v>
          </cell>
        </row>
        <row r="75">
          <cell r="C75" t="str">
            <v>Riigi kulud 2015-2030</v>
          </cell>
          <cell r="D75" t="str">
            <v>MEUR</v>
          </cell>
          <cell r="E75">
            <v>-60</v>
          </cell>
          <cell r="F75">
            <v>-648.16</v>
          </cell>
          <cell r="G75">
            <v>-2018.72</v>
          </cell>
          <cell r="I75" t="str">
            <v>-</v>
          </cell>
          <cell r="K75" t="str">
            <v>-</v>
          </cell>
        </row>
        <row r="76">
          <cell r="C76" t="str">
            <v>Riigi kulud 2015-2030 vs BAAS</v>
          </cell>
          <cell r="D76" t="str">
            <v>MEUR</v>
          </cell>
          <cell r="E76">
            <v>0</v>
          </cell>
          <cell r="F76">
            <v>-588.16</v>
          </cell>
          <cell r="G76">
            <v>-1958.72</v>
          </cell>
          <cell r="I76" t="str">
            <v>Hoonefondi stsenaariumid</v>
          </cell>
          <cell r="K76" t="str">
            <v>Elamumajanduse stsenaariumite tulemused</v>
          </cell>
        </row>
        <row r="77">
          <cell r="C77" t="str">
            <v>sh hooned 2011-2030</v>
          </cell>
          <cell r="D77" t="str">
            <v>MEUR</v>
          </cell>
          <cell r="E77">
            <v>-71.3</v>
          </cell>
          <cell r="F77">
            <v>-810.3</v>
          </cell>
          <cell r="G77">
            <v>-2523.4</v>
          </cell>
          <cell r="I77" t="str">
            <v>Hoonefondi stsenaariumid</v>
          </cell>
          <cell r="K77" t="str">
            <v>Elamumajanduse stsenaariumite tulemused</v>
          </cell>
        </row>
        <row r="78">
          <cell r="C78" t="str">
            <v>sh hooned 2015-2030</v>
          </cell>
          <cell r="D78" t="str">
            <v>MEUR</v>
          </cell>
          <cell r="E78">
            <v>-60</v>
          </cell>
          <cell r="F78">
            <v>-648.16</v>
          </cell>
          <cell r="G78">
            <v>-2018.72</v>
          </cell>
        </row>
        <row r="79">
          <cell r="C79" t="str">
            <v>sh soojusmajandus 2015-2030</v>
          </cell>
          <cell r="D79" t="str">
            <v>MEUR</v>
          </cell>
          <cell r="E79">
            <v>0</v>
          </cell>
          <cell r="F79">
            <v>0</v>
          </cell>
          <cell r="G79">
            <v>0</v>
          </cell>
          <cell r="I79" t="str">
            <v>Soojusmajanduse stsenaariumid</v>
          </cell>
          <cell r="K79" t="str">
            <v>Soojusmajanduse stsenaariumite tulemused</v>
          </cell>
        </row>
        <row r="81">
          <cell r="C81" t="str">
            <v>Otsesed maksutulud 2015-2030</v>
          </cell>
          <cell r="D81" t="str">
            <v>MEUR</v>
          </cell>
          <cell r="E81">
            <v>563.79999999999995</v>
          </cell>
          <cell r="F81">
            <v>1128.5999999999999</v>
          </cell>
          <cell r="G81">
            <v>1827.1</v>
          </cell>
          <cell r="I81" t="str">
            <v>-</v>
          </cell>
        </row>
        <row r="82">
          <cell r="C82" t="str">
            <v>Hoonete ehitamise/rekonstrueerimisega seotud maksutulu  2011-2030 [MEUR]</v>
          </cell>
          <cell r="D82" t="str">
            <v>MEUR</v>
          </cell>
          <cell r="E82">
            <v>279.8</v>
          </cell>
          <cell r="F82">
            <v>901.6</v>
          </cell>
          <cell r="G82">
            <v>1684.1</v>
          </cell>
          <cell r="I82" t="str">
            <v>Hoonefondi stsenaariumid</v>
          </cell>
          <cell r="K82" t="str">
            <v>Elamumajanduse stsenaariumite tulemused</v>
          </cell>
        </row>
        <row r="83">
          <cell r="C83" t="str">
            <v>Soojusmajandusega seotud maksutulu 2015-2030 [MEUR]</v>
          </cell>
          <cell r="D83" t="str">
            <v>MEUR</v>
          </cell>
          <cell r="E83">
            <v>284</v>
          </cell>
          <cell r="F83">
            <v>227</v>
          </cell>
          <cell r="G83">
            <v>143</v>
          </cell>
          <cell r="I83" t="str">
            <v>Soojusmajanduse stsenaariumid</v>
          </cell>
          <cell r="K83" t="str">
            <v>Soojusmajanduse stsenaariumite tulemused</v>
          </cell>
        </row>
        <row r="86">
          <cell r="C86" t="str">
            <v>Sisekliima muutusest tulenev positiivne rahaline mõju 2011-2030 [MEUR]</v>
          </cell>
          <cell r="D86" t="str">
            <v>MEUR</v>
          </cell>
          <cell r="E86">
            <v>37</v>
          </cell>
          <cell r="F86">
            <v>78.2</v>
          </cell>
          <cell r="G86">
            <v>106.6</v>
          </cell>
          <cell r="I86" t="str">
            <v>Hoonefondi stsenaariumid</v>
          </cell>
          <cell r="K86" t="str">
            <v>Elamumajanduse stsenaariumite tulemused</v>
          </cell>
        </row>
        <row r="88">
          <cell r="C88" t="str">
            <v>Kinnisvara väärtuse tõus @ 2030</v>
          </cell>
          <cell r="D88" t="str">
            <v>MEUR</v>
          </cell>
          <cell r="E88">
            <v>534.5</v>
          </cell>
          <cell r="F88">
            <v>1069.0999999999999</v>
          </cell>
          <cell r="G88">
            <v>2563.6</v>
          </cell>
          <cell r="I88" t="str">
            <v>Hoonefondi stsenaariumid</v>
          </cell>
          <cell r="K88" t="str">
            <v>Elamumajanduse stsenaariumite tulemused</v>
          </cell>
        </row>
        <row r="89">
          <cell r="C89" t="str">
            <v>Lisandunud töökohtade arv @ 2030</v>
          </cell>
          <cell r="D89" t="str">
            <v>in-a/a</v>
          </cell>
          <cell r="E89">
            <v>1712</v>
          </cell>
          <cell r="F89">
            <v>3166</v>
          </cell>
          <cell r="G89">
            <v>5097</v>
          </cell>
          <cell r="I89" t="str">
            <v>-</v>
          </cell>
          <cell r="K89" t="str">
            <v>-</v>
          </cell>
        </row>
        <row r="90">
          <cell r="C90" t="str">
            <v>sh hooned</v>
          </cell>
          <cell r="D90" t="str">
            <v>in-a/a</v>
          </cell>
          <cell r="E90">
            <v>670</v>
          </cell>
          <cell r="F90">
            <v>2150</v>
          </cell>
          <cell r="G90">
            <v>4240</v>
          </cell>
          <cell r="I90" t="str">
            <v>Hoonefondi stsenaariumid</v>
          </cell>
          <cell r="K90" t="str">
            <v>Elamumajanduse stsenaariumite tulemused</v>
          </cell>
        </row>
        <row r="91">
          <cell r="C91" t="str">
            <v>sh soojusmajandus</v>
          </cell>
          <cell r="D91" t="str">
            <v>in-a/a</v>
          </cell>
          <cell r="E91">
            <v>1042</v>
          </cell>
          <cell r="F91">
            <v>1016</v>
          </cell>
          <cell r="G91">
            <v>857</v>
          </cell>
          <cell r="I91" t="str">
            <v>Soojusmajanduse stsenaariumid</v>
          </cell>
          <cell r="K91" t="str">
            <v>Soojusmajanduse stsenaariumite tulemused</v>
          </cell>
        </row>
        <row r="92">
          <cell r="C92" t="str">
            <v>CO2 heitme väliskulu 2015-2030 [MEUR]</v>
          </cell>
          <cell r="D92" t="str">
            <v>MEUR</v>
          </cell>
        </row>
        <row r="94">
          <cell r="C94" t="str">
            <v>CO2non-ETS @ 2020 [1000 t/a]</v>
          </cell>
          <cell r="D94" t="str">
            <v>1000 tCO2ekv</v>
          </cell>
          <cell r="E94">
            <v>828</v>
          </cell>
          <cell r="F94">
            <v>716</v>
          </cell>
          <cell r="G94">
            <v>714</v>
          </cell>
          <cell r="K94" t="str">
            <v>ENMAK 2030 stsenaariumitega kaasneva õhukvaliteedi muutuse prognoos</v>
          </cell>
        </row>
        <row r="95">
          <cell r="C95" t="str">
            <v>CO2ETS @ 2030 [1000 t/a]</v>
          </cell>
          <cell r="D95" t="str">
            <v>1000 tCO2ekv</v>
          </cell>
          <cell r="E95">
            <v>1602</v>
          </cell>
          <cell r="F95">
            <v>1337</v>
          </cell>
          <cell r="G95">
            <v>1177</v>
          </cell>
          <cell r="K95" t="str">
            <v>ENMAK 2030 stsenaariumitega kaasneva õhukvaliteedi muutuse prognoos</v>
          </cell>
        </row>
        <row r="96">
          <cell r="C96" t="str">
            <v>CO2non-ETS @ 2030 [1000 t/a]</v>
          </cell>
          <cell r="D96" t="str">
            <v>1000 tCO2ekv</v>
          </cell>
          <cell r="E96">
            <v>812</v>
          </cell>
          <cell r="F96">
            <v>666</v>
          </cell>
          <cell r="G96">
            <v>507</v>
          </cell>
          <cell r="K96" t="str">
            <v>ENMAK 2030 stsenaariumitega kaasneva õhukvaliteedi muutuse prognoos</v>
          </cell>
        </row>
        <row r="98">
          <cell r="C98" t="str">
            <v>Riigi kulud 2015-2030_mudelist</v>
          </cell>
          <cell r="D98" t="str">
            <v>M€</v>
          </cell>
          <cell r="E98">
            <v>-47.600000000000016</v>
          </cell>
          <cell r="F98">
            <v>-540.1333333333331</v>
          </cell>
          <cell r="G98">
            <v>-1682.2666666666669</v>
          </cell>
          <cell r="I98" t="str">
            <v>Stsenaariumite majandusmõju hinnang</v>
          </cell>
          <cell r="K98" t="str">
            <v>Majandusmõjude hinnang. Arvutusmudel</v>
          </cell>
        </row>
        <row r="99">
          <cell r="C99" t="str">
            <v>Riigi tulud 2015-2030</v>
          </cell>
          <cell r="D99" t="str">
            <v>M€</v>
          </cell>
          <cell r="E99">
            <v>6559.7059129858972</v>
          </cell>
          <cell r="F99">
            <v>7014.5208406263009</v>
          </cell>
          <cell r="G99">
            <v>7310.2743564920638</v>
          </cell>
          <cell r="I99" t="str">
            <v>Stsenaariumite majandusmõju hinnang</v>
          </cell>
          <cell r="K99" t="str">
            <v>Majandusmõjude hinnang. Arvutusmudel</v>
          </cell>
        </row>
        <row r="100">
          <cell r="C100" t="str">
            <v>Riigi kulud 2015-2030 vs BAAS_mudelist</v>
          </cell>
          <cell r="D100" t="str">
            <v>M€</v>
          </cell>
          <cell r="E100">
            <v>0</v>
          </cell>
          <cell r="F100">
            <v>-492.53333333333308</v>
          </cell>
          <cell r="G100">
            <v>-1634.666666666667</v>
          </cell>
          <cell r="I100" t="str">
            <v>Stsenaariumite majandusmõju hinnang</v>
          </cell>
          <cell r="K100" t="str">
            <v>Majandusmõjude hinnang. Arvutusmudel</v>
          </cell>
        </row>
        <row r="101">
          <cell r="C101" t="str">
            <v>Riigi tulud 2015-2030 vs BAAS</v>
          </cell>
          <cell r="D101" t="str">
            <v>M€</v>
          </cell>
          <cell r="E101">
            <v>0</v>
          </cell>
          <cell r="F101">
            <v>454.81492764040348</v>
          </cell>
          <cell r="G101">
            <v>750.56844350616711</v>
          </cell>
          <cell r="I101" t="str">
            <v>Stsenaariumite majandusmõju hinnang</v>
          </cell>
          <cell r="K101" t="str">
            <v>Majandusmõjude hinnang. Arvutusmudel</v>
          </cell>
        </row>
        <row r="102">
          <cell r="C102" t="str">
            <v>SKP muutus turuhindades @2030</v>
          </cell>
          <cell r="D102" t="str">
            <v>M€/a</v>
          </cell>
          <cell r="E102">
            <v>1132.6093908396394</v>
          </cell>
          <cell r="F102">
            <v>1178.6186636870341</v>
          </cell>
          <cell r="G102">
            <v>1167.9260680564014</v>
          </cell>
          <cell r="I102" t="str">
            <v>Stsenaariumite majandusmõju hinnang</v>
          </cell>
          <cell r="K102" t="str">
            <v>Majandusmõjude hinnang. Arvutusmudel</v>
          </cell>
        </row>
        <row r="103">
          <cell r="C103" t="str">
            <v>SKP muutus turuhindades @2030 VS BAAS</v>
          </cell>
          <cell r="D103" t="str">
            <v>M€/a</v>
          </cell>
          <cell r="E103">
            <v>0</v>
          </cell>
          <cell r="F103">
            <v>46.009272847394641</v>
          </cell>
          <cell r="G103">
            <v>35.316677216762045</v>
          </cell>
          <cell r="I103" t="str">
            <v>Stsenaariumite majandusmõju hinnang</v>
          </cell>
          <cell r="K103" t="str">
            <v>Majandusmõjude hinnang. Arvutusmudel</v>
          </cell>
        </row>
        <row r="104">
          <cell r="C104" t="str">
            <v>SKP muutus turuhindades 2015-2030</v>
          </cell>
          <cell r="D104" t="str">
            <v>M€</v>
          </cell>
          <cell r="E104">
            <v>19321.80581996742</v>
          </cell>
          <cell r="F104">
            <v>20367.224847844784</v>
          </cell>
          <cell r="G104">
            <v>20577.899786487931</v>
          </cell>
          <cell r="I104" t="str">
            <v>Stsenaariumite majandusmõju hinnang</v>
          </cell>
          <cell r="K104" t="str">
            <v>Majandusmõjude hinnang. Arvutusmudel</v>
          </cell>
        </row>
        <row r="105">
          <cell r="C105" t="str">
            <v>SKP muutus turuhindades 2015-2030 VS BAAS</v>
          </cell>
          <cell r="D105" t="str">
            <v>M€</v>
          </cell>
          <cell r="E105">
            <v>0</v>
          </cell>
          <cell r="F105">
            <v>1045.4190278773638</v>
          </cell>
          <cell r="G105">
            <v>1256.0939665205105</v>
          </cell>
          <cell r="I105" t="str">
            <v>Stsenaariumite majandusmõju hinnang</v>
          </cell>
          <cell r="K105" t="str">
            <v>Majandusmõjude hinnang. Arvutusmudel</v>
          </cell>
        </row>
        <row r="106">
          <cell r="C106" t="str">
            <v>Tööhõive muutus @2030 VS BAAS</v>
          </cell>
          <cell r="D106" t="str">
            <v>in/a</v>
          </cell>
          <cell r="E106">
            <v>0</v>
          </cell>
          <cell r="F106">
            <v>1363.9300660265517</v>
          </cell>
          <cell r="G106">
            <v>2406.8486253123333</v>
          </cell>
          <cell r="I106" t="str">
            <v>Stsenaariumite majandusmõju hinnang</v>
          </cell>
          <cell r="K106" t="str">
            <v>Majandusmõjude hinnang. Arvutusmudel</v>
          </cell>
        </row>
        <row r="107">
          <cell r="C107" t="str">
            <v>SKP inimese kohta</v>
          </cell>
          <cell r="D107" t="str">
            <v>%</v>
          </cell>
          <cell r="E107">
            <v>0</v>
          </cell>
          <cell r="F107">
            <v>2.3071144913275436E-3</v>
          </cell>
          <cell r="G107">
            <v>0</v>
          </cell>
          <cell r="I107" t="str">
            <v>Stsenaariumite majandusmõju hinnang</v>
          </cell>
          <cell r="K107" t="str">
            <v>Majandusmõjude hinnang. Arvutusmudel</v>
          </cell>
        </row>
        <row r="108">
          <cell r="C108" t="str">
            <v>Väliskaubanduse saldo/SKP</v>
          </cell>
          <cell r="D108" t="str">
            <v>%</v>
          </cell>
          <cell r="E108">
            <v>0</v>
          </cell>
          <cell r="F108">
            <v>-7.3511465892116214E-4</v>
          </cell>
          <cell r="G108">
            <v>1.4673746184126125E-2</v>
          </cell>
          <cell r="I108" t="str">
            <v>Stsenaariumite majandusmõju hinnang</v>
          </cell>
          <cell r="K108" t="str">
            <v>Majandusmõjude hinnang. Arvutusmudel</v>
          </cell>
        </row>
        <row r="109">
          <cell r="C109" t="str">
            <v>Tööviljakuse muutus</v>
          </cell>
          <cell r="D109" t="str">
            <v>%</v>
          </cell>
          <cell r="E109">
            <v>0</v>
          </cell>
          <cell r="F109">
            <v>3.1669785413706662E-3</v>
          </cell>
          <cell r="G109">
            <v>-2.3862784124671038E-3</v>
          </cell>
          <cell r="I109" t="str">
            <v>Stsenaariumite majandusmõju hinnang</v>
          </cell>
          <cell r="K109" t="str">
            <v>Majandusmõjude hinnang. Arvutusmudel</v>
          </cell>
        </row>
        <row r="110">
          <cell r="C110" t="str">
            <v>Tööhõive muutus</v>
          </cell>
          <cell r="D110" t="str">
            <v>%</v>
          </cell>
          <cell r="E110">
            <v>0</v>
          </cell>
          <cell r="F110">
            <v>-8.5060444642845456E-4</v>
          </cell>
          <cell r="G110">
            <v>2.4134345197880658E-3</v>
          </cell>
          <cell r="I110" t="str">
            <v>Stsenaariumite majandusmõju hinnang</v>
          </cell>
          <cell r="K110" t="str">
            <v>Majandusmõjude hinnang. Arvutusmudel</v>
          </cell>
        </row>
        <row r="112">
          <cell r="C112" t="str">
            <v>Primaarenergia tarbimine/SKP</v>
          </cell>
          <cell r="D112" t="str">
            <v>%</v>
          </cell>
          <cell r="E112">
            <v>0</v>
          </cell>
          <cell r="F112">
            <v>-1.2805851953787001E-2</v>
          </cell>
          <cell r="G112">
            <v>-2.1560123171907759E-2</v>
          </cell>
          <cell r="I112" t="str">
            <v>Stsenaariumite majandusmõju hinnang</v>
          </cell>
          <cell r="K112" t="str">
            <v>Majandusmõjude hinnang. Arvutusmudel</v>
          </cell>
        </row>
        <row r="113">
          <cell r="C113" t="str">
            <v>Fossiilsed kütused/SKP</v>
          </cell>
          <cell r="D113" t="str">
            <v>%</v>
          </cell>
          <cell r="E113">
            <v>0</v>
          </cell>
          <cell r="F113">
            <v>-1.0978676018761777E-2</v>
          </cell>
          <cell r="G113">
            <v>-1.8678242133685109E-2</v>
          </cell>
          <cell r="I113" t="str">
            <v>Stsenaariumite majandusmõju hinnang</v>
          </cell>
          <cell r="K113" t="str">
            <v>Majandusmõjude hinnang. Arvutusmudel</v>
          </cell>
        </row>
        <row r="114">
          <cell r="C114" t="str">
            <v>CO2 koguemissioon/SKP</v>
          </cell>
          <cell r="D114" t="str">
            <v>%</v>
          </cell>
          <cell r="E114">
            <v>0</v>
          </cell>
          <cell r="F114">
            <v>-1.9517465554739134E-2</v>
          </cell>
          <cell r="G114">
            <v>-3.3253681720014201E-2</v>
          </cell>
          <cell r="I114" t="str">
            <v>Stsenaariumite majandusmõju hinnang</v>
          </cell>
          <cell r="K114" t="str">
            <v>Majandusmõjude hinnang. Arvutusmudel</v>
          </cell>
        </row>
        <row r="116">
          <cell r="C116" t="str">
            <v>KHG (CO2 eq) @ baasaasta</v>
          </cell>
          <cell r="D116" t="str">
            <v>1000 t/a</v>
          </cell>
          <cell r="E116">
            <v>2483</v>
          </cell>
          <cell r="F116">
            <v>2483</v>
          </cell>
          <cell r="G116">
            <v>2483</v>
          </cell>
          <cell r="I116" t="str">
            <v>-</v>
          </cell>
          <cell r="K116" t="str">
            <v>ENMAK 2030 stsenaariumitega kaasneva õhukvaliteedi muutuse prognoos</v>
          </cell>
        </row>
        <row r="117">
          <cell r="C117" t="str">
            <v>NOx @ baasaasta</v>
          </cell>
          <cell r="D117" t="str">
            <v>t/a</v>
          </cell>
          <cell r="E117">
            <v>7024</v>
          </cell>
          <cell r="F117">
            <v>7024</v>
          </cell>
          <cell r="G117">
            <v>7024</v>
          </cell>
          <cell r="I117" t="str">
            <v>-</v>
          </cell>
          <cell r="K117" t="str">
            <v>ENMAK 2030 stsenaariumitega kaasneva õhukvaliteedi muutuse prognoos</v>
          </cell>
        </row>
        <row r="118">
          <cell r="C118" t="str">
            <v>SO2 @ baasaasta</v>
          </cell>
          <cell r="D118" t="str">
            <v>t/a</v>
          </cell>
          <cell r="E118">
            <v>6059</v>
          </cell>
          <cell r="F118">
            <v>6059</v>
          </cell>
          <cell r="G118">
            <v>6059</v>
          </cell>
          <cell r="I118" t="str">
            <v>-</v>
          </cell>
          <cell r="K118" t="str">
            <v>ENMAK 2030 stsenaariumitega kaasneva õhukvaliteedi muutuse prognoos</v>
          </cell>
        </row>
        <row r="119">
          <cell r="C119" t="str">
            <v>PM2.5 @ baasaasta</v>
          </cell>
          <cell r="D119" t="str">
            <v>t/a</v>
          </cell>
          <cell r="E119">
            <v>6357</v>
          </cell>
          <cell r="F119">
            <v>6357</v>
          </cell>
          <cell r="G119">
            <v>6357</v>
          </cell>
          <cell r="I119" t="str">
            <v>-</v>
          </cell>
          <cell r="K119" t="str">
            <v>ENMAK 2030 stsenaariumitega kaasneva õhukvaliteedi muutuse prognoos</v>
          </cell>
        </row>
        <row r="120">
          <cell r="C120" t="str">
            <v>LOÜ @ baasaasta</v>
          </cell>
          <cell r="D120" t="str">
            <v>t/a</v>
          </cell>
          <cell r="E120">
            <v>1921</v>
          </cell>
          <cell r="F120">
            <v>1921</v>
          </cell>
          <cell r="G120">
            <v>1921</v>
          </cell>
          <cell r="I120" t="str">
            <v>-</v>
          </cell>
          <cell r="K120" t="str">
            <v>ENMAK 2030 stsenaariumitega kaasneva õhukvaliteedi muutuse prognoos</v>
          </cell>
        </row>
        <row r="121">
          <cell r="C121" t="str">
            <v>HCB @ baasaasta</v>
          </cell>
          <cell r="D121" t="str">
            <v>kg/a</v>
          </cell>
          <cell r="E121">
            <v>0.77800000000000002</v>
          </cell>
          <cell r="F121">
            <v>0.77800000000000002</v>
          </cell>
          <cell r="G121">
            <v>0.77800000000000002</v>
          </cell>
          <cell r="I121" t="str">
            <v>-</v>
          </cell>
          <cell r="K121" t="str">
            <v>ENMAK 2030 stsenaariumitega kaasneva õhukvaliteedi muutuse prognoos</v>
          </cell>
        </row>
        <row r="122">
          <cell r="C122" t="str">
            <v>PAH @ baasaasta</v>
          </cell>
          <cell r="D122" t="str">
            <v>t/a</v>
          </cell>
          <cell r="E122">
            <v>228</v>
          </cell>
          <cell r="F122">
            <v>228</v>
          </cell>
          <cell r="G122">
            <v>228</v>
          </cell>
          <cell r="I122" t="str">
            <v>-</v>
          </cell>
          <cell r="K122" t="str">
            <v>ENMAK 2030 stsenaariumitega kaasneva õhukvaliteedi muutuse prognoos</v>
          </cell>
        </row>
        <row r="123">
          <cell r="F123">
            <v>0</v>
          </cell>
        </row>
        <row r="124">
          <cell r="C124" t="str">
            <v>KHG (CO2 eq) @ 2020</v>
          </cell>
          <cell r="D124" t="str">
            <v>1000 t/a</v>
          </cell>
          <cell r="E124">
            <v>2553</v>
          </cell>
          <cell r="F124">
            <v>2332</v>
          </cell>
          <cell r="G124">
            <v>2252</v>
          </cell>
          <cell r="I124" t="str">
            <v>-</v>
          </cell>
          <cell r="K124" t="str">
            <v>ENMAK 2030 stsenaariumitega kaasneva õhukvaliteedi muutuse prognoos</v>
          </cell>
        </row>
        <row r="125">
          <cell r="C125" t="str">
            <v>NOx @ 2020</v>
          </cell>
          <cell r="D125" t="str">
            <v>t/a</v>
          </cell>
          <cell r="E125">
            <v>7195</v>
          </cell>
          <cell r="F125">
            <v>6823</v>
          </cell>
          <cell r="G125">
            <v>6647</v>
          </cell>
          <cell r="I125" t="str">
            <v>-</v>
          </cell>
          <cell r="K125" t="str">
            <v>ENMAK 2030 stsenaariumitega kaasneva õhukvaliteedi muutuse prognoos</v>
          </cell>
        </row>
        <row r="126">
          <cell r="C126" t="str">
            <v>SO2 @ 2020</v>
          </cell>
          <cell r="D126" t="str">
            <v>t/a</v>
          </cell>
          <cell r="E126">
            <v>4409</v>
          </cell>
          <cell r="F126">
            <v>4027</v>
          </cell>
          <cell r="G126">
            <v>3991</v>
          </cell>
          <cell r="I126" t="str">
            <v>-</v>
          </cell>
          <cell r="K126" t="str">
            <v>ENMAK 2030 stsenaariumitega kaasneva õhukvaliteedi muutuse prognoos</v>
          </cell>
        </row>
        <row r="127">
          <cell r="C127" t="str">
            <v>PM2.5 @ 2020</v>
          </cell>
          <cell r="D127" t="str">
            <v>t/a</v>
          </cell>
          <cell r="E127">
            <v>6468</v>
          </cell>
          <cell r="F127">
            <v>6251</v>
          </cell>
          <cell r="G127">
            <v>6078</v>
          </cell>
          <cell r="I127" t="str">
            <v>-</v>
          </cell>
          <cell r="K127" t="str">
            <v>ENMAK 2030 stsenaariumitega kaasneva õhukvaliteedi muutuse prognoos</v>
          </cell>
        </row>
        <row r="128">
          <cell r="C128" t="str">
            <v>LOÜ @ 2020</v>
          </cell>
          <cell r="D128" t="str">
            <v>t/a</v>
          </cell>
          <cell r="E128">
            <v>2004</v>
          </cell>
          <cell r="F128">
            <v>1984</v>
          </cell>
          <cell r="G128">
            <v>1934</v>
          </cell>
          <cell r="I128" t="str">
            <v>-</v>
          </cell>
          <cell r="K128" t="str">
            <v>ENMAK 2030 stsenaariumitega kaasneva õhukvaliteedi muutuse prognoos</v>
          </cell>
        </row>
        <row r="129">
          <cell r="C129" t="str">
            <v>HCB @ 2020</v>
          </cell>
          <cell r="D129" t="str">
            <v>kg/a</v>
          </cell>
          <cell r="E129">
            <v>0.79200000000000004</v>
          </cell>
          <cell r="F129">
            <v>0.78900000000000003</v>
          </cell>
          <cell r="G129">
            <v>0.76900000000000002</v>
          </cell>
          <cell r="I129" t="str">
            <v>-</v>
          </cell>
          <cell r="K129" t="str">
            <v>ENMAK 2030 stsenaariumitega kaasneva õhukvaliteedi muutuse prognoos</v>
          </cell>
        </row>
        <row r="130">
          <cell r="C130" t="str">
            <v>PAH @ 2020</v>
          </cell>
          <cell r="D130" t="str">
            <v>t/a</v>
          </cell>
          <cell r="E130">
            <v>228</v>
          </cell>
          <cell r="F130">
            <v>229</v>
          </cell>
          <cell r="G130">
            <v>222</v>
          </cell>
          <cell r="I130" t="str">
            <v>-</v>
          </cell>
          <cell r="K130" t="str">
            <v>ENMAK 2030 stsenaariumitega kaasneva õhukvaliteedi muutuse prognoos</v>
          </cell>
        </row>
        <row r="132">
          <cell r="C132" t="str">
            <v>KHG (CO2 eq) @ 2030</v>
          </cell>
          <cell r="D132" t="str">
            <v>1000 t/a</v>
          </cell>
          <cell r="E132">
            <v>2402</v>
          </cell>
          <cell r="F132">
            <v>1990</v>
          </cell>
          <cell r="G132">
            <v>1646</v>
          </cell>
          <cell r="I132" t="str">
            <v>-</v>
          </cell>
          <cell r="K132" t="str">
            <v>ENMAK 2030 stsenaariumitega kaasneva õhukvaliteedi muutuse prognoos</v>
          </cell>
        </row>
        <row r="133">
          <cell r="C133" t="str">
            <v>NOx @ 2030</v>
          </cell>
          <cell r="D133" t="str">
            <v>t/a</v>
          </cell>
          <cell r="E133">
            <v>7580</v>
          </cell>
          <cell r="F133">
            <v>6661</v>
          </cell>
          <cell r="G133">
            <v>5959</v>
          </cell>
          <cell r="I133" t="str">
            <v>-</v>
          </cell>
          <cell r="K133" t="str">
            <v>ENMAK 2030 stsenaariumitega kaasneva õhukvaliteedi muutuse prognoos</v>
          </cell>
        </row>
        <row r="134">
          <cell r="C134" t="str">
            <v>SO2 @ 2030</v>
          </cell>
          <cell r="D134" t="str">
            <v>t/a</v>
          </cell>
          <cell r="E134">
            <v>4695</v>
          </cell>
          <cell r="F134">
            <v>3763</v>
          </cell>
          <cell r="G134">
            <v>3113</v>
          </cell>
          <cell r="I134" t="str">
            <v>-</v>
          </cell>
          <cell r="K134" t="str">
            <v>ENMAK 2030 stsenaariumitega kaasneva õhukvaliteedi muutuse prognoos</v>
          </cell>
        </row>
        <row r="135">
          <cell r="C135" t="str">
            <v>PM2.5 @ 2030</v>
          </cell>
          <cell r="D135" t="str">
            <v>t/a</v>
          </cell>
          <cell r="E135">
            <v>7099</v>
          </cell>
          <cell r="F135">
            <v>6340</v>
          </cell>
          <cell r="G135">
            <v>6154</v>
          </cell>
          <cell r="I135" t="str">
            <v>-</v>
          </cell>
          <cell r="K135" t="str">
            <v>ENMAK 2030 stsenaariumitega kaasneva õhukvaliteedi muutuse prognoos</v>
          </cell>
        </row>
        <row r="136">
          <cell r="C136" t="str">
            <v>LOÜ @ 2030</v>
          </cell>
          <cell r="D136" t="str">
            <v>t/a</v>
          </cell>
          <cell r="E136">
            <v>2290</v>
          </cell>
          <cell r="F136">
            <v>2115</v>
          </cell>
          <cell r="G136">
            <v>2020</v>
          </cell>
          <cell r="I136" t="str">
            <v>-</v>
          </cell>
          <cell r="K136" t="str">
            <v>ENMAK 2030 stsenaariumitega kaasneva õhukvaliteedi muutuse prognoos</v>
          </cell>
        </row>
        <row r="137">
          <cell r="C137" t="str">
            <v>HCB @ 2030</v>
          </cell>
          <cell r="D137" t="str">
            <v>kg/a</v>
          </cell>
          <cell r="E137">
            <v>0.82899999999999996</v>
          </cell>
          <cell r="F137">
            <v>0.76300000000000001</v>
          </cell>
          <cell r="G137">
            <v>0.72299999999999998</v>
          </cell>
          <cell r="I137" t="str">
            <v>-</v>
          </cell>
          <cell r="K137" t="str">
            <v>ENMAK 2030 stsenaariumitega kaasneva õhukvaliteedi muutuse prognoos</v>
          </cell>
        </row>
        <row r="138">
          <cell r="C138" t="str">
            <v>PAH @ 2030</v>
          </cell>
          <cell r="D138" t="str">
            <v>t/a</v>
          </cell>
          <cell r="E138">
            <v>229</v>
          </cell>
          <cell r="F138">
            <v>211</v>
          </cell>
          <cell r="G138">
            <v>199</v>
          </cell>
          <cell r="I138" t="str">
            <v>-</v>
          </cell>
          <cell r="K138" t="str">
            <v>ENMAK 2030 stsenaariumitega kaasneva õhukvaliteedi muutuse prognoos</v>
          </cell>
        </row>
        <row r="140">
          <cell r="C140" t="str">
            <v>KHG (CO2 eq) @ 2050</v>
          </cell>
          <cell r="D140" t="str">
            <v>1000 t/a</v>
          </cell>
          <cell r="E140">
            <v>2133</v>
          </cell>
          <cell r="F140">
            <v>1117</v>
          </cell>
          <cell r="G140">
            <v>860</v>
          </cell>
          <cell r="I140" t="str">
            <v>-</v>
          </cell>
          <cell r="K140" t="str">
            <v>ENMAK 2030 stsenaariumitega kaasneva õhukvaliteedi muutuse prognoos</v>
          </cell>
        </row>
        <row r="141">
          <cell r="C141" t="str">
            <v>NOx @ 2030</v>
          </cell>
          <cell r="D141" t="str">
            <v>t/a</v>
          </cell>
          <cell r="E141">
            <v>7292</v>
          </cell>
          <cell r="F141">
            <v>5118</v>
          </cell>
          <cell r="G141">
            <v>4095</v>
          </cell>
          <cell r="I141" t="str">
            <v>-</v>
          </cell>
          <cell r="K141" t="str">
            <v>ENMAK 2030 stsenaariumitega kaasneva õhukvaliteedi muutuse prognoos</v>
          </cell>
        </row>
        <row r="142">
          <cell r="C142" t="str">
            <v>SO2 @ 2030</v>
          </cell>
          <cell r="D142" t="str">
            <v>t/a</v>
          </cell>
          <cell r="E142">
            <v>3802</v>
          </cell>
          <cell r="F142">
            <v>2271</v>
          </cell>
          <cell r="G142">
            <v>2089</v>
          </cell>
          <cell r="I142" t="str">
            <v>-</v>
          </cell>
          <cell r="K142" t="str">
            <v>ENMAK 2030 stsenaariumitega kaasneva õhukvaliteedi muutuse prognoos</v>
          </cell>
        </row>
        <row r="143">
          <cell r="C143" t="str">
            <v>PM2.5 @ 2030</v>
          </cell>
          <cell r="D143" t="str">
            <v>t/a</v>
          </cell>
          <cell r="E143">
            <v>6973</v>
          </cell>
          <cell r="F143">
            <v>4143</v>
          </cell>
          <cell r="G143">
            <v>3617</v>
          </cell>
          <cell r="I143" t="str">
            <v>-</v>
          </cell>
          <cell r="K143" t="str">
            <v>ENMAK 2030 stsenaariumitega kaasneva õhukvaliteedi muutuse prognoos</v>
          </cell>
        </row>
        <row r="144">
          <cell r="C144" t="str">
            <v>LOÜ @ 2030</v>
          </cell>
          <cell r="D144" t="str">
            <v>t/a</v>
          </cell>
          <cell r="E144">
            <v>2411</v>
          </cell>
          <cell r="F144">
            <v>1909</v>
          </cell>
          <cell r="G144">
            <v>1581</v>
          </cell>
          <cell r="I144" t="str">
            <v>-</v>
          </cell>
          <cell r="K144" t="str">
            <v>ENMAK 2030 stsenaariumitega kaasneva õhukvaliteedi muutuse prognoos</v>
          </cell>
        </row>
        <row r="145">
          <cell r="C145" t="str">
            <v>HCB @ 2020</v>
          </cell>
          <cell r="D145" t="str">
            <v>kg/a</v>
          </cell>
          <cell r="E145">
            <v>0.85499999999999998</v>
          </cell>
          <cell r="F145">
            <v>0.65700000000000003</v>
          </cell>
          <cell r="G145">
            <v>0.54</v>
          </cell>
          <cell r="I145" t="str">
            <v>-</v>
          </cell>
          <cell r="K145" t="str">
            <v>ENMAK 2030 stsenaariumitega kaasneva õhukvaliteedi muutuse prognoos</v>
          </cell>
        </row>
        <row r="146">
          <cell r="C146" t="str">
            <v>PAH @ 2020</v>
          </cell>
          <cell r="D146" t="str">
            <v>t/a</v>
          </cell>
          <cell r="E146">
            <v>236</v>
          </cell>
          <cell r="F146">
            <v>186</v>
          </cell>
          <cell r="G146">
            <v>155</v>
          </cell>
          <cell r="I146" t="str">
            <v>-</v>
          </cell>
          <cell r="K146" t="str">
            <v>ENMAK 2030 stsenaariumitega kaasneva õhukvaliteedi muutuse prognoos</v>
          </cell>
        </row>
        <row r="148">
          <cell r="C148" t="str">
            <v>Inimese tervis @ baasaasta</v>
          </cell>
          <cell r="D148" t="str">
            <v>DALY</v>
          </cell>
          <cell r="E148">
            <v>3618</v>
          </cell>
          <cell r="F148">
            <v>3618</v>
          </cell>
          <cell r="G148">
            <v>3618</v>
          </cell>
          <cell r="I148" t="str">
            <v>-</v>
          </cell>
          <cell r="K148" t="str">
            <v>ENMAK 2030 stsenaariumitega kaasneva keskkonnamõju modelleerimine</v>
          </cell>
        </row>
        <row r="149">
          <cell r="C149" t="str">
            <v>Ökosüsteemi kvaliteet @ baasaasta</v>
          </cell>
          <cell r="D149" t="str">
            <v>Species*y</v>
          </cell>
          <cell r="E149">
            <v>21</v>
          </cell>
          <cell r="F149">
            <v>21</v>
          </cell>
          <cell r="G149">
            <v>21</v>
          </cell>
          <cell r="I149" t="str">
            <v>-</v>
          </cell>
          <cell r="K149" t="str">
            <v>ENMAK 2030 stsenaariumitega kaasneva keskkonnamõju modelleerimine</v>
          </cell>
        </row>
        <row r="150">
          <cell r="C150" t="str">
            <v>Kliima-muutused @ baasaasta</v>
          </cell>
          <cell r="D150" t="str">
            <v>1000 t CO2 eq</v>
          </cell>
          <cell r="E150">
            <v>3682</v>
          </cell>
          <cell r="F150">
            <v>3682</v>
          </cell>
          <cell r="G150">
            <v>3682</v>
          </cell>
          <cell r="I150" t="str">
            <v>-</v>
          </cell>
          <cell r="K150" t="str">
            <v>ENMAK 2030 stsenaariumitega kaasneva keskkonnamõju modelleerimine</v>
          </cell>
        </row>
        <row r="151">
          <cell r="C151" t="str">
            <v>Ressursid @ baasaasta</v>
          </cell>
          <cell r="D151" t="str">
            <v>TJ primary</v>
          </cell>
          <cell r="E151">
            <v>58881</v>
          </cell>
          <cell r="F151">
            <v>58881</v>
          </cell>
          <cell r="G151">
            <v>58881</v>
          </cell>
          <cell r="I151" t="str">
            <v>-</v>
          </cell>
          <cell r="K151" t="str">
            <v>ENMAK 2030 stsenaariumitega kaasneva keskkonnamõju modelleerimine</v>
          </cell>
        </row>
        <row r="152">
          <cell r="C152" t="str">
            <v>Kokku @ baasaasta</v>
          </cell>
          <cell r="D152" t="str">
            <v>Pt</v>
          </cell>
          <cell r="E152">
            <v>1461967</v>
          </cell>
          <cell r="F152">
            <v>1461967</v>
          </cell>
          <cell r="G152">
            <v>1461967</v>
          </cell>
          <cell r="I152" t="str">
            <v>-</v>
          </cell>
          <cell r="K152" t="str">
            <v>ENMAK 2030 stsenaariumitega kaasneva keskkonnamõju modelleerimine</v>
          </cell>
        </row>
        <row r="154">
          <cell r="C154" t="str">
            <v>Inimese tervis</v>
          </cell>
          <cell r="D154" t="str">
            <v>DALY</v>
          </cell>
          <cell r="E154">
            <v>4438</v>
          </cell>
          <cell r="F154">
            <v>3878</v>
          </cell>
          <cell r="G154">
            <v>3749</v>
          </cell>
          <cell r="I154" t="str">
            <v>-</v>
          </cell>
          <cell r="K154" t="str">
            <v>ENMAK 2030 stsenaariumitega kaasneva keskkonnamõju modelleerimine</v>
          </cell>
        </row>
        <row r="155">
          <cell r="C155" t="str">
            <v>Ökosüsteemi kvaliteet</v>
          </cell>
          <cell r="D155" t="str">
            <v>Species*y</v>
          </cell>
          <cell r="E155">
            <v>37</v>
          </cell>
          <cell r="F155">
            <v>32</v>
          </cell>
          <cell r="G155">
            <v>33</v>
          </cell>
          <cell r="I155" t="str">
            <v>-</v>
          </cell>
          <cell r="K155" t="str">
            <v>ENMAK 2030 stsenaariumitega kaasneva keskkonnamõju modelleerimine</v>
          </cell>
        </row>
        <row r="156">
          <cell r="C156" t="str">
            <v>Kliima-muutused</v>
          </cell>
          <cell r="D156" t="str">
            <v>1000 t CO2 eq</v>
          </cell>
          <cell r="E156">
            <v>3461</v>
          </cell>
          <cell r="F156">
            <v>2610</v>
          </cell>
          <cell r="G156">
            <v>2370</v>
          </cell>
          <cell r="I156" t="str">
            <v>-</v>
          </cell>
          <cell r="K156" t="str">
            <v>ENMAK 2030 stsenaariumitega kaasneva keskkonnamõju modelleerimine</v>
          </cell>
        </row>
        <row r="157">
          <cell r="C157" t="str">
            <v>Ressursid</v>
          </cell>
          <cell r="D157" t="str">
            <v>TJ primary</v>
          </cell>
          <cell r="E157">
            <v>53634</v>
          </cell>
          <cell r="F157">
            <v>40533</v>
          </cell>
          <cell r="G157">
            <v>36148</v>
          </cell>
          <cell r="I157" t="str">
            <v>-</v>
          </cell>
          <cell r="K157" t="str">
            <v>ENMAK 2030 stsenaariumitega kaasneva keskkonnamõju modelleerimine</v>
          </cell>
        </row>
        <row r="158">
          <cell r="C158" t="str">
            <v>Kokku</v>
          </cell>
          <cell r="D158" t="str">
            <v>Pt</v>
          </cell>
          <cell r="E158">
            <v>1659756</v>
          </cell>
          <cell r="F158">
            <v>1369932</v>
          </cell>
          <cell r="G158">
            <v>1304034</v>
          </cell>
          <cell r="I158" t="str">
            <v>-</v>
          </cell>
          <cell r="K158" t="str">
            <v>ENMAK 2030 stsenaariumitega kaasneva keskkonnamõju modelleerimine</v>
          </cell>
        </row>
        <row r="160">
          <cell r="C160" t="str">
            <v>PM2.5-st tingitud varajaste surmajuhtumite arv @ 2012</v>
          </cell>
          <cell r="D160" t="str">
            <v>surmajuhtumite arv</v>
          </cell>
          <cell r="E160">
            <v>321.2</v>
          </cell>
          <cell r="F160">
            <v>321.2</v>
          </cell>
          <cell r="G160">
            <v>321.2</v>
          </cell>
          <cell r="I160" t="str">
            <v>ENMAK 2030. Õhusaaste tervisemõju</v>
          </cell>
          <cell r="K160" t="str">
            <v>Orru, H. ENMAK 2030 õhusaaste tervisemõju. Arvutusfail</v>
          </cell>
        </row>
        <row r="161">
          <cell r="C161" t="str">
            <v>PM2.5-st tingitud varajaste surmajuhtumite arv @ 2030</v>
          </cell>
          <cell r="D161" t="str">
            <v>surmajuhtumite arv</v>
          </cell>
          <cell r="E161">
            <v>284.39999999999998</v>
          </cell>
          <cell r="F161">
            <v>263.3</v>
          </cell>
          <cell r="G161">
            <v>253.9</v>
          </cell>
          <cell r="I161" t="str">
            <v>ENMAK 2030. Õhusaaste tervisemõju</v>
          </cell>
          <cell r="K161" t="str">
            <v>Orru, H. ENMAK 2030 õhusaaste tervisemõju. Arvutusfail</v>
          </cell>
        </row>
      </sheetData>
      <sheetData sheetId="11">
        <row r="1">
          <cell r="E1" t="str">
            <v>Mitte-sekkuv</v>
          </cell>
          <cell r="F1" t="str">
            <v>Vähe-sekkuv</v>
          </cell>
          <cell r="G1" t="str">
            <v>Teadmistepõhine</v>
          </cell>
          <cell r="I1" t="str">
            <v>Allikmaterjalid</v>
          </cell>
        </row>
        <row r="2">
          <cell r="E2" t="str">
            <v>Stsenaarium # 1</v>
          </cell>
          <cell r="F2" t="str">
            <v>Stsenaarium # 2</v>
          </cell>
          <cell r="G2" t="str">
            <v>Stsenaarium # 3</v>
          </cell>
          <cell r="I2" t="str">
            <v>Artikkel</v>
          </cell>
          <cell r="K2" t="str">
            <v>Arvutusfail / Aruanne</v>
          </cell>
        </row>
        <row r="4">
          <cell r="C4" t="str">
            <v>Energia lõpptarbimine @ 2020 [TWh/a]</v>
          </cell>
          <cell r="D4" t="str">
            <v>TWh/a</v>
          </cell>
          <cell r="E4">
            <v>11.289444444444445</v>
          </cell>
          <cell r="F4">
            <v>9.8566666666666674</v>
          </cell>
          <cell r="G4">
            <v>8.68530937302436</v>
          </cell>
          <cell r="I4" t="str">
            <v>Transpordistsenaariumid</v>
          </cell>
          <cell r="K4" t="str">
            <v>Transpordistsenaariumite tulemused</v>
          </cell>
        </row>
        <row r="5">
          <cell r="C5" t="str">
            <v>Energia lõpptarbimine @ 2030 [TWh/a]</v>
          </cell>
          <cell r="D5" t="str">
            <v>TWh/a</v>
          </cell>
          <cell r="E5">
            <v>13.295833333333334</v>
          </cell>
          <cell r="F5">
            <v>11.138055555555555</v>
          </cell>
          <cell r="G5">
            <v>8.1258333333333344</v>
          </cell>
          <cell r="I5" t="str">
            <v>Transpordistsenaariumid</v>
          </cell>
          <cell r="K5" t="str">
            <v>Transpordistsenaariumite tulemused</v>
          </cell>
        </row>
        <row r="6">
          <cell r="C6" t="str">
            <v>Energia lõpptarbimine 2050</v>
          </cell>
          <cell r="D6" t="str">
            <v>TWh/a</v>
          </cell>
          <cell r="E6">
            <v>10.8575</v>
          </cell>
          <cell r="F6">
            <v>9.5386111111111109</v>
          </cell>
          <cell r="G6">
            <v>4.2441666666666666</v>
          </cell>
          <cell r="I6" t="str">
            <v>Transpordistsenaariumid</v>
          </cell>
          <cell r="K6" t="str">
            <v>Transpordistsenaariumite tulemused</v>
          </cell>
        </row>
        <row r="8">
          <cell r="C8" t="str">
            <v>Elektri lõpptarbimine 2020</v>
          </cell>
          <cell r="D8" t="str">
            <v>TWh/a</v>
          </cell>
          <cell r="E8">
            <v>5.7777777777777775E-2</v>
          </cell>
          <cell r="F8">
            <v>5.3055555555555557E-2</v>
          </cell>
          <cell r="G8">
            <v>6.5309373024360004E-2</v>
          </cell>
          <cell r="I8" t="str">
            <v>Transpordistsenaariumid</v>
          </cell>
          <cell r="K8" t="str">
            <v>Transpordistsenaariumite tulemused</v>
          </cell>
        </row>
        <row r="9">
          <cell r="C9" t="str">
            <v>Elektri lõpptarbimine 2030</v>
          </cell>
          <cell r="D9" t="str">
            <v>TWh/a</v>
          </cell>
          <cell r="E9">
            <v>0.10777777777777778</v>
          </cell>
          <cell r="F9">
            <v>0.13388888888888889</v>
          </cell>
          <cell r="G9">
            <v>0.29944444444444446</v>
          </cell>
          <cell r="I9" t="str">
            <v>Transpordistsenaariumid</v>
          </cell>
          <cell r="K9" t="str">
            <v>Transpordistsenaariumite tulemused</v>
          </cell>
        </row>
        <row r="10">
          <cell r="C10" t="str">
            <v>Elektri lõpptarbimine 2050</v>
          </cell>
          <cell r="D10" t="str">
            <v>TWh/a</v>
          </cell>
          <cell r="E10">
            <v>0.26027777777777777</v>
          </cell>
          <cell r="F10">
            <v>0.33750000000000002</v>
          </cell>
          <cell r="G10">
            <v>0.59333333333333338</v>
          </cell>
          <cell r="I10" t="str">
            <v>Transpordistsenaariumid</v>
          </cell>
          <cell r="K10" t="str">
            <v>Transpordistsenaariumite tulemused</v>
          </cell>
        </row>
        <row r="12">
          <cell r="C12" t="str">
            <v>Kütuste lõpptarbimine 2020</v>
          </cell>
          <cell r="D12" t="str">
            <v>TWh/a</v>
          </cell>
          <cell r="E12">
            <v>11.231666666666667</v>
          </cell>
          <cell r="F12">
            <v>9.8036111111111115</v>
          </cell>
          <cell r="G12">
            <v>8.6199999999999992</v>
          </cell>
          <cell r="I12" t="str">
            <v>Transpordistsenaariumid</v>
          </cell>
          <cell r="K12" t="str">
            <v>Transpordistsenaariumite tulemused</v>
          </cell>
        </row>
        <row r="13">
          <cell r="C13" t="str">
            <v>Kütuste lõpptarbimine 2030</v>
          </cell>
          <cell r="D13" t="str">
            <v>TWh/a</v>
          </cell>
          <cell r="E13">
            <v>13.188055555555556</v>
          </cell>
          <cell r="F13">
            <v>11.004166666666666</v>
          </cell>
          <cell r="G13">
            <v>7.8263888888888893</v>
          </cell>
          <cell r="I13" t="str">
            <v>Transpordistsenaariumid</v>
          </cell>
          <cell r="K13" t="str">
            <v>Transpordistsenaariumite tulemused</v>
          </cell>
        </row>
        <row r="14">
          <cell r="C14" t="str">
            <v>Kütuste lõpptarbimine 2050</v>
          </cell>
          <cell r="D14" t="str">
            <v>TWh/a</v>
          </cell>
          <cell r="E14">
            <v>10.597222222222221</v>
          </cell>
          <cell r="F14">
            <v>9.2011111111111106</v>
          </cell>
          <cell r="G14">
            <v>3.6508333333333334</v>
          </cell>
          <cell r="I14" t="str">
            <v>Transpordistsenaariumid</v>
          </cell>
          <cell r="K14" t="str">
            <v>Transpordistsenaariumite tulemused</v>
          </cell>
        </row>
        <row r="16">
          <cell r="C16" t="str">
            <v>BENSIIN tarbimine 2030</v>
          </cell>
          <cell r="D16" t="str">
            <v>TWh/a</v>
          </cell>
          <cell r="E16">
            <v>4.0479965292790245</v>
          </cell>
          <cell r="F16">
            <v>3.0065588552485663</v>
          </cell>
          <cell r="G16">
            <v>1.3656162530971774</v>
          </cell>
          <cell r="I16" t="str">
            <v>Transpordistsenaariumid</v>
          </cell>
          <cell r="K16" t="str">
            <v>Transpordistsenaariumite tulemused</v>
          </cell>
        </row>
        <row r="17">
          <cell r="C17" t="str">
            <v>DIISEL tarbimine 2030</v>
          </cell>
          <cell r="D17" t="str">
            <v>TWh/a</v>
          </cell>
          <cell r="E17">
            <v>7.532551025099556</v>
          </cell>
          <cell r="F17">
            <v>5.4787687160599488</v>
          </cell>
          <cell r="G17">
            <v>3.5579450813055762</v>
          </cell>
          <cell r="I17" t="str">
            <v>Transpordistsenaariumid</v>
          </cell>
          <cell r="K17" t="str">
            <v>Transpordistsenaariumite tulemused</v>
          </cell>
        </row>
        <row r="18">
          <cell r="C18" t="str">
            <v>MAAGAAS tarbimine 2030</v>
          </cell>
          <cell r="D18" t="str">
            <v>TWh/a</v>
          </cell>
          <cell r="E18">
            <v>0.42438166814748612</v>
          </cell>
          <cell r="F18">
            <v>0.79311831964595514</v>
          </cell>
          <cell r="G18">
            <v>0.78096832203119493</v>
          </cell>
          <cell r="I18" t="str">
            <v>Transpordistsenaariumid</v>
          </cell>
          <cell r="K18" t="str">
            <v>Transpordistsenaariumite tulemused</v>
          </cell>
        </row>
        <row r="19">
          <cell r="C19" t="str">
            <v>ETANOOL tarbimine 2030</v>
          </cell>
          <cell r="D19" t="str">
            <v>TWh/a</v>
          </cell>
          <cell r="E19">
            <v>0.33733304410658543</v>
          </cell>
          <cell r="F19">
            <v>0.30065588552485661</v>
          </cell>
          <cell r="G19">
            <v>0.45520541769905926</v>
          </cell>
          <cell r="I19" t="str">
            <v>Transpordistsenaariumid</v>
          </cell>
          <cell r="K19" t="str">
            <v>Transpordistsenaariumite tulemused</v>
          </cell>
        </row>
        <row r="20">
          <cell r="C20" t="str">
            <v>BIODIISEL tarbimine 2030</v>
          </cell>
          <cell r="D20" t="str">
            <v>TWh/a</v>
          </cell>
          <cell r="E20">
            <v>0.84578944063092387</v>
          </cell>
          <cell r="F20">
            <v>3.3792272273011424E-2</v>
          </cell>
          <cell r="G20">
            <v>0</v>
          </cell>
          <cell r="I20" t="str">
            <v>Transpordistsenaariumid</v>
          </cell>
          <cell r="K20" t="str">
            <v>Transpordistsenaariumite tulemused</v>
          </cell>
        </row>
        <row r="21">
          <cell r="C21" t="str">
            <v>BIOMETAAN tarbimine 2030</v>
          </cell>
          <cell r="D21" t="str">
            <v>TWh/a</v>
          </cell>
          <cell r="E21">
            <v>0</v>
          </cell>
          <cell r="F21">
            <v>1.3912840012364687</v>
          </cell>
          <cell r="G21">
            <v>1.6667789905575772</v>
          </cell>
          <cell r="I21" t="str">
            <v>Transpordistsenaariumid</v>
          </cell>
          <cell r="K21" t="str">
            <v>Transpordistsenaariumite tulemused</v>
          </cell>
        </row>
        <row r="23">
          <cell r="C23" t="str">
            <v>Taastumatud imporditud mootorikütused @ 2030 [TWh/a]</v>
          </cell>
          <cell r="D23" t="str">
            <v>TWh/a</v>
          </cell>
          <cell r="E23">
            <v>12.004929222526066</v>
          </cell>
          <cell r="F23">
            <v>9.2784458909544707</v>
          </cell>
          <cell r="G23">
            <v>5.7045296564339489</v>
          </cell>
          <cell r="I23" t="str">
            <v>-</v>
          </cell>
        </row>
        <row r="24">
          <cell r="C24" t="str">
            <v>Taastuvatest allikatest tarbitavad mootorikütused @ 2030 [TWh/a]</v>
          </cell>
          <cell r="D24" t="str">
            <v>TWh/a</v>
          </cell>
          <cell r="E24">
            <v>1.1831224847375093</v>
          </cell>
          <cell r="F24">
            <v>1.7257321590343366</v>
          </cell>
          <cell r="G24">
            <v>2.1219844082566364</v>
          </cell>
          <cell r="I24" t="str">
            <v>-</v>
          </cell>
        </row>
        <row r="26">
          <cell r="C26" t="str">
            <v>Primaarenergia tarbimine @ 2030</v>
          </cell>
          <cell r="D26" t="str">
            <v>TWh/a</v>
          </cell>
          <cell r="E26">
            <v>13.188055555555556</v>
          </cell>
          <cell r="F26">
            <v>11.004166666666666</v>
          </cell>
          <cell r="G26">
            <v>7.8263888888888893</v>
          </cell>
        </row>
        <row r="28">
          <cell r="C28" t="str">
            <v>Maksumus kokku kuni 2030 [M EUR]</v>
          </cell>
          <cell r="D28" t="str">
            <v>MEUR</v>
          </cell>
          <cell r="E28">
            <v>-46683.315942515401</v>
          </cell>
          <cell r="F28">
            <v>-44053.595720593497</v>
          </cell>
          <cell r="G28">
            <v>-40515.321945321994</v>
          </cell>
          <cell r="I28" t="str">
            <v>-</v>
          </cell>
        </row>
        <row r="29">
          <cell r="C29" t="str">
            <v>Stsenaariumi kogumaksumus (v.a. riigi panus)</v>
          </cell>
          <cell r="D29" t="str">
            <v>MEUR</v>
          </cell>
          <cell r="E29">
            <v>-39327.415942515399</v>
          </cell>
          <cell r="F29">
            <v>-36269.3957205935</v>
          </cell>
          <cell r="G29">
            <v>-32292.821945321997</v>
          </cell>
          <cell r="I29" t="str">
            <v>-</v>
          </cell>
        </row>
        <row r="30">
          <cell r="C30" t="str">
            <v>sh kulutused kütustele 2015-2030</v>
          </cell>
          <cell r="D30" t="str">
            <v>MEUR</v>
          </cell>
          <cell r="E30">
            <v>-23715.315942515401</v>
          </cell>
          <cell r="F30">
            <v>-20743.495720593502</v>
          </cell>
          <cell r="G30">
            <v>-17490.021945321998</v>
          </cell>
          <cell r="I30" t="str">
            <v>Transpordistsenaariumid</v>
          </cell>
          <cell r="K30" t="str">
            <v>Transpordistsenaariumite tulemused</v>
          </cell>
        </row>
        <row r="31">
          <cell r="C31" t="str">
            <v>sh autode import 2015-2030</v>
          </cell>
          <cell r="D31" t="str">
            <v>MEUR</v>
          </cell>
          <cell r="E31">
            <v>-10547.2</v>
          </cell>
          <cell r="F31">
            <v>-10495.4</v>
          </cell>
          <cell r="G31">
            <v>-10297.5</v>
          </cell>
          <cell r="I31" t="str">
            <v>Transpordistsenaariumid</v>
          </cell>
          <cell r="K31" t="str">
            <v>Transpordistsenaariumite tulemused</v>
          </cell>
        </row>
        <row r="32">
          <cell r="C32" t="str">
            <v>sh autode hooldus 2015-2030</v>
          </cell>
          <cell r="D32" t="str">
            <v>MEUR</v>
          </cell>
          <cell r="E32">
            <v>-5064.8999999999996</v>
          </cell>
          <cell r="F32">
            <v>-5030.5</v>
          </cell>
          <cell r="G32">
            <v>-4505.3</v>
          </cell>
          <cell r="I32" t="str">
            <v>Transpordistsenaariumid</v>
          </cell>
          <cell r="K32" t="str">
            <v>Transpordistsenaariumite tulemused</v>
          </cell>
        </row>
        <row r="33">
          <cell r="C33" t="str">
            <v>Riigi kulud 2015-2030</v>
          </cell>
          <cell r="D33" t="str">
            <v>MEUR</v>
          </cell>
          <cell r="E33">
            <v>-7355.9</v>
          </cell>
          <cell r="F33">
            <v>-7784.2</v>
          </cell>
          <cell r="G33">
            <v>-8222.5</v>
          </cell>
          <cell r="I33" t="str">
            <v>-</v>
          </cell>
        </row>
        <row r="34">
          <cell r="C34" t="str">
            <v>sh taristu investeeringud 2015-2030</v>
          </cell>
          <cell r="D34" t="str">
            <v>MEUR</v>
          </cell>
          <cell r="E34">
            <v>-1837.5</v>
          </cell>
          <cell r="F34">
            <v>-1712.4</v>
          </cell>
          <cell r="G34">
            <v>-1520.1</v>
          </cell>
          <cell r="I34" t="str">
            <v>Transpordistsenaariumid</v>
          </cell>
          <cell r="K34" t="str">
            <v>Transpordistsenaariumite tulemused</v>
          </cell>
        </row>
        <row r="35">
          <cell r="C35" t="str">
            <v>sh taristu hooldus 2015-2030</v>
          </cell>
          <cell r="D35" t="str">
            <v>MEUR</v>
          </cell>
          <cell r="E35">
            <v>-4114</v>
          </cell>
          <cell r="F35">
            <v>-4062</v>
          </cell>
          <cell r="G35">
            <v>-4128.3999999999996</v>
          </cell>
          <cell r="I35" t="str">
            <v>Transpordistsenaariumid</v>
          </cell>
          <cell r="K35" t="str">
            <v>Transpordistsenaariumite tulemused</v>
          </cell>
        </row>
        <row r="36">
          <cell r="C36" t="str">
            <v>sh üt toetused 2015-2030</v>
          </cell>
          <cell r="D36" t="str">
            <v>MEUR</v>
          </cell>
          <cell r="E36">
            <v>-1404.4</v>
          </cell>
          <cell r="F36">
            <v>-1470.6</v>
          </cell>
          <cell r="G36">
            <v>-1565.9</v>
          </cell>
          <cell r="I36" t="str">
            <v>Transpordistsenaariumid</v>
          </cell>
          <cell r="K36" t="str">
            <v>Transpordistsenaariumite tulemused</v>
          </cell>
        </row>
        <row r="37">
          <cell r="C37" t="str">
            <v>sh muud tegevused 2015-2030</v>
          </cell>
          <cell r="D37" t="str">
            <v>MEUR</v>
          </cell>
          <cell r="E37">
            <v>0</v>
          </cell>
          <cell r="F37">
            <v>-539.20000000000005</v>
          </cell>
          <cell r="G37">
            <v>-1008.1</v>
          </cell>
          <cell r="I37" t="str">
            <v>Transpordistsenaariumid</v>
          </cell>
          <cell r="K37" t="str">
            <v>Transpordistsenaariumite tulemused</v>
          </cell>
        </row>
        <row r="38">
          <cell r="C38" t="str">
            <v>Stsenaariumi tegevused eraldi kokku</v>
          </cell>
          <cell r="D38" t="str">
            <v>MEUR</v>
          </cell>
          <cell r="E38">
            <v>0</v>
          </cell>
          <cell r="F38">
            <v>989</v>
          </cell>
          <cell r="G38">
            <v>1709</v>
          </cell>
          <cell r="I38" t="str">
            <v>Transpordistsenaariumid</v>
          </cell>
          <cell r="K38" t="str">
            <v>Transpordistsenaariumite tulemused</v>
          </cell>
        </row>
        <row r="39">
          <cell r="C39" t="str">
            <v>Riigi kulud 2015-2030 VS BAAS</v>
          </cell>
          <cell r="D39" t="str">
            <v>MEUR</v>
          </cell>
          <cell r="E39">
            <v>0</v>
          </cell>
          <cell r="F39">
            <v>-401.3</v>
          </cell>
          <cell r="G39">
            <v>-648.6</v>
          </cell>
        </row>
        <row r="42">
          <cell r="C42" t="str">
            <v>Otsesed maksutulud 2015-2030</v>
          </cell>
          <cell r="D42" t="str">
            <v>MEUR</v>
          </cell>
          <cell r="E42">
            <v>8016.9000000000005</v>
          </cell>
          <cell r="F42">
            <v>8528.7999999999993</v>
          </cell>
          <cell r="G42">
            <v>8896</v>
          </cell>
          <cell r="I42" t="str">
            <v>-</v>
          </cell>
        </row>
        <row r="43">
          <cell r="C43" t="str">
            <v>sh aktsiisitulu 2015-2030</v>
          </cell>
          <cell r="D43" t="str">
            <v>MEUR</v>
          </cell>
          <cell r="E43">
            <v>7941.3</v>
          </cell>
          <cell r="F43">
            <v>6487.2</v>
          </cell>
          <cell r="G43">
            <v>5164.7</v>
          </cell>
          <cell r="I43" t="str">
            <v>Transpordistsenaariumid</v>
          </cell>
          <cell r="K43" t="str">
            <v>Transpordistsenaariumite tulemused</v>
          </cell>
        </row>
        <row r="44">
          <cell r="C44" t="str">
            <v>sh tulu muudelt transpordimaksudelt</v>
          </cell>
          <cell r="D44" t="str">
            <v>MEUR</v>
          </cell>
          <cell r="E44">
            <v>75.599999999999994</v>
          </cell>
          <cell r="F44">
            <v>2041.6</v>
          </cell>
          <cell r="G44">
            <v>3731.3</v>
          </cell>
          <cell r="I44" t="str">
            <v>Transpordistsenaariumid</v>
          </cell>
          <cell r="K44" t="str">
            <v>Transpordistsenaariumite tulemused</v>
          </cell>
        </row>
        <row r="49">
          <cell r="C49" t="str">
            <v>Tervis (liikumine) 2015-2030 [MEUR]</v>
          </cell>
          <cell r="D49" t="str">
            <v>MEUR</v>
          </cell>
          <cell r="E49">
            <v>-1192.2</v>
          </cell>
          <cell r="F49">
            <v>439.6</v>
          </cell>
          <cell r="G49">
            <v>1192.2</v>
          </cell>
          <cell r="I49" t="str">
            <v>Transpordistsenaariumid</v>
          </cell>
          <cell r="K49" t="str">
            <v>Transpordistsenaariumite tulemused</v>
          </cell>
        </row>
        <row r="51">
          <cell r="C51" t="str">
            <v>CO2 heitme väliskulu 2015-2030 [MEUR]</v>
          </cell>
          <cell r="D51" t="str">
            <v>MEUR</v>
          </cell>
          <cell r="E51">
            <v>-1610.9</v>
          </cell>
          <cell r="F51">
            <v>-372.7</v>
          </cell>
          <cell r="G51">
            <v>-343.6</v>
          </cell>
          <cell r="I51" t="str">
            <v>Transpordistsenaariumid</v>
          </cell>
          <cell r="K51" t="str">
            <v>Transpordistsenaariumite tulemused</v>
          </cell>
        </row>
        <row r="52">
          <cell r="C52" t="str">
            <v>CO2non-ETS @ 2020 [1000 t/a]</v>
          </cell>
          <cell r="D52" t="str">
            <v>1000 tCO2ekv</v>
          </cell>
          <cell r="E52">
            <v>2653.9070000000002</v>
          </cell>
          <cell r="F52">
            <v>2295.346</v>
          </cell>
          <cell r="G52">
            <v>1986.9190000000001</v>
          </cell>
          <cell r="I52" t="str">
            <v>-</v>
          </cell>
          <cell r="K52" t="str">
            <v>Transpordistsenaariumite õhuheited</v>
          </cell>
        </row>
        <row r="53">
          <cell r="C53" t="str">
            <v>CO2non-ETS @ 2030 [1000 t/a]</v>
          </cell>
          <cell r="D53" t="str">
            <v>1000 tCO2ekv</v>
          </cell>
          <cell r="E53">
            <v>2490.6368215830603</v>
          </cell>
          <cell r="F53">
            <v>1892.3823271229701</v>
          </cell>
          <cell r="G53">
            <v>530.88499063732002</v>
          </cell>
          <cell r="I53" t="str">
            <v>-</v>
          </cell>
          <cell r="K53" t="str">
            <v>Transpordistsenaariumite õhuheited</v>
          </cell>
        </row>
        <row r="55">
          <cell r="C55" t="str">
            <v>Riigi kulud 2015-2030_mudelist</v>
          </cell>
          <cell r="D55" t="str">
            <v>M€</v>
          </cell>
          <cell r="E55">
            <v>-1404.4072802160915</v>
          </cell>
          <cell r="F55">
            <v>-1470.5664689838234</v>
          </cell>
          <cell r="G55">
            <v>-1565.9052334601483</v>
          </cell>
          <cell r="I55" t="str">
            <v>Stsenaariumite majandusmõju hinnang</v>
          </cell>
          <cell r="K55" t="str">
            <v>Majandusmõjude hinnang. Arvutusmudel</v>
          </cell>
        </row>
        <row r="56">
          <cell r="C56" t="str">
            <v>Riigi tulud 2015-2030</v>
          </cell>
          <cell r="D56" t="str">
            <v>M€</v>
          </cell>
          <cell r="E56">
            <v>466.71580924663931</v>
          </cell>
          <cell r="F56">
            <v>1321.95427143692</v>
          </cell>
          <cell r="G56">
            <v>2294.1167767300462</v>
          </cell>
          <cell r="I56" t="str">
            <v>Stsenaariumite majandusmõju hinnang</v>
          </cell>
          <cell r="K56" t="str">
            <v>Majandusmõjude hinnang. Arvutusmudel</v>
          </cell>
        </row>
        <row r="57">
          <cell r="C57" t="str">
            <v>Riigi kulud 2015-2030 vs BAAS_mudelist</v>
          </cell>
          <cell r="D57" t="str">
            <v>M€</v>
          </cell>
          <cell r="E57">
            <v>0</v>
          </cell>
          <cell r="F57">
            <v>-66.159188767731791</v>
          </cell>
          <cell r="G57">
            <v>-161.49795324405687</v>
          </cell>
          <cell r="I57" t="str">
            <v>Stsenaariumite majandusmõju hinnang</v>
          </cell>
          <cell r="K57" t="str">
            <v>Majandusmõjude hinnang. Arvutusmudel</v>
          </cell>
        </row>
        <row r="58">
          <cell r="C58" t="str">
            <v>Riigi tulud 2015-2030 vs BAAS</v>
          </cell>
          <cell r="D58" t="str">
            <v>M€</v>
          </cell>
          <cell r="E58">
            <v>0</v>
          </cell>
          <cell r="F58">
            <v>855.23846219028064</v>
          </cell>
          <cell r="G58">
            <v>1827.4009674834069</v>
          </cell>
          <cell r="I58" t="str">
            <v>Stsenaariumite majandusmõju hinnang</v>
          </cell>
          <cell r="K58" t="str">
            <v>Majandusmõjude hinnang. Arvutusmudel</v>
          </cell>
        </row>
        <row r="59">
          <cell r="C59" t="str">
            <v>SKP muutus turuhindades @2030</v>
          </cell>
          <cell r="D59" t="str">
            <v>M€/a</v>
          </cell>
          <cell r="E59">
            <v>-641.21231690744014</v>
          </cell>
          <cell r="F59">
            <v>-523.7286983094109</v>
          </cell>
          <cell r="G59">
            <v>-314.0323473232985</v>
          </cell>
          <cell r="I59" t="str">
            <v>Stsenaariumite majandusmõju hinnang</v>
          </cell>
          <cell r="K59" t="str">
            <v>Majandusmõjude hinnang. Arvutusmudel</v>
          </cell>
        </row>
        <row r="60">
          <cell r="C60" t="str">
            <v>SKP muutus turuhindades @2030 VS BAAS</v>
          </cell>
          <cell r="D60" t="str">
            <v>M€/a</v>
          </cell>
          <cell r="E60">
            <v>0</v>
          </cell>
          <cell r="F60">
            <v>117.48361859802921</v>
          </cell>
          <cell r="G60">
            <v>327.17996958414165</v>
          </cell>
          <cell r="I60" t="str">
            <v>Stsenaariumite majandusmõju hinnang</v>
          </cell>
          <cell r="K60" t="str">
            <v>Majandusmõjude hinnang. Arvutusmudel</v>
          </cell>
        </row>
        <row r="61">
          <cell r="C61" t="str">
            <v>SKP muutus turuhindades 2015-2030</v>
          </cell>
          <cell r="D61" t="str">
            <v>M€</v>
          </cell>
          <cell r="E61">
            <v>-9484.9457490812329</v>
          </cell>
          <cell r="F61">
            <v>-8106.9142003107463</v>
          </cell>
          <cell r="G61">
            <v>-6290.6410528323404</v>
          </cell>
          <cell r="I61" t="str">
            <v>Stsenaariumite majandusmõju hinnang</v>
          </cell>
          <cell r="K61" t="str">
            <v>Majandusmõjude hinnang. Arvutusmudel</v>
          </cell>
        </row>
        <row r="62">
          <cell r="C62" t="str">
            <v>SKP muutus turuhindades 2015-2030 VS BAAS</v>
          </cell>
          <cell r="D62" t="str">
            <v>M€</v>
          </cell>
          <cell r="E62">
            <v>0</v>
          </cell>
          <cell r="F62">
            <v>1378.0315487704861</v>
          </cell>
          <cell r="G62">
            <v>3194.3046962488925</v>
          </cell>
          <cell r="I62" t="str">
            <v>Stsenaariumite majandusmõju hinnang</v>
          </cell>
          <cell r="K62" t="str">
            <v>Majandusmõjude hinnang. Arvutusmudel</v>
          </cell>
        </row>
        <row r="63">
          <cell r="C63" t="str">
            <v>Tööhõive muutus @2030 VS BAAS</v>
          </cell>
          <cell r="D63" t="str">
            <v>in/a</v>
          </cell>
          <cell r="E63">
            <v>0</v>
          </cell>
          <cell r="F63">
            <v>1019.5311958951504</v>
          </cell>
          <cell r="G63">
            <v>3036.1858657478847</v>
          </cell>
          <cell r="I63" t="str">
            <v>Stsenaariumite majandusmõju hinnang</v>
          </cell>
          <cell r="K63" t="str">
            <v>Majandusmõjude hinnang. Arvutusmudel</v>
          </cell>
        </row>
        <row r="64">
          <cell r="C64" t="str">
            <v>SKP inimese kohta</v>
          </cell>
          <cell r="D64" t="str">
            <v>%</v>
          </cell>
          <cell r="E64">
            <v>0</v>
          </cell>
          <cell r="F64">
            <v>3.1146592327198908E-3</v>
          </cell>
          <cell r="G64">
            <v>7.4006219706018745E-3</v>
          </cell>
          <cell r="I64" t="str">
            <v>Stsenaariumite majandusmõju hinnang</v>
          </cell>
          <cell r="K64" t="str">
            <v>Majandusmõjude hinnang. Arvutusmudel</v>
          </cell>
        </row>
        <row r="65">
          <cell r="C65" t="str">
            <v>Väliskaubanduse saldo/SKP</v>
          </cell>
          <cell r="D65" t="str">
            <v>%</v>
          </cell>
          <cell r="E65">
            <v>0</v>
          </cell>
          <cell r="F65">
            <v>5.3737890583823618E-3</v>
          </cell>
          <cell r="G65">
            <v>1.0745679399080365E-2</v>
          </cell>
          <cell r="I65" t="str">
            <v>Stsenaariumite majandusmõju hinnang</v>
          </cell>
          <cell r="K65" t="str">
            <v>Majandusmõjude hinnang. Arvutusmudel</v>
          </cell>
        </row>
        <row r="66">
          <cell r="C66" t="str">
            <v>Tööviljakuse muutus</v>
          </cell>
          <cell r="D66" t="str">
            <v>%</v>
          </cell>
          <cell r="E66">
            <v>0</v>
          </cell>
          <cell r="F66">
            <v>1.3604848753858059E-3</v>
          </cell>
          <cell r="G66">
            <v>3.3644796386416032E-3</v>
          </cell>
          <cell r="I66" t="str">
            <v>Stsenaariumite majandusmõju hinnang</v>
          </cell>
          <cell r="K66" t="str">
            <v>Majandusmõjude hinnang. Arvutusmudel</v>
          </cell>
        </row>
        <row r="67">
          <cell r="C67" t="str">
            <v>Tööhõive muutus</v>
          </cell>
          <cell r="D67" t="str">
            <v>%</v>
          </cell>
          <cell r="E67">
            <v>0</v>
          </cell>
          <cell r="F67">
            <v>1.7652371272793566E-3</v>
          </cell>
          <cell r="G67">
            <v>4.0946651833518866E-3</v>
          </cell>
          <cell r="I67" t="str">
            <v>Stsenaariumite majandusmõju hinnang</v>
          </cell>
          <cell r="K67" t="str">
            <v>Majandusmõjude hinnang. Arvutusmudel</v>
          </cell>
        </row>
        <row r="69">
          <cell r="C69" t="str">
            <v>Primaarenergia tarbimine/SKP</v>
          </cell>
          <cell r="D69" t="str">
            <v>%</v>
          </cell>
          <cell r="E69">
            <v>0</v>
          </cell>
          <cell r="F69">
            <v>-1.5799259147920276E-2</v>
          </cell>
          <cell r="G69">
            <v>-3.1286753025420624E-2</v>
          </cell>
          <cell r="I69" t="str">
            <v>Stsenaariumite majandusmõju hinnang</v>
          </cell>
          <cell r="K69" t="str">
            <v>Majandusmõjude hinnang. Arvutusmudel</v>
          </cell>
        </row>
        <row r="70">
          <cell r="C70" t="str">
            <v>Fossiilsed kütused/SKP</v>
          </cell>
          <cell r="D70" t="str">
            <v>%</v>
          </cell>
          <cell r="E70">
            <v>0</v>
          </cell>
          <cell r="F70">
            <v>-2.0789962137892092E-2</v>
          </cell>
          <cell r="G70">
            <v>-4.0800981783396348E-2</v>
          </cell>
          <cell r="I70" t="str">
            <v>Stsenaariumite majandusmõju hinnang</v>
          </cell>
          <cell r="K70" t="str">
            <v>Majandusmõjude hinnang. Arvutusmudel</v>
          </cell>
        </row>
        <row r="71">
          <cell r="C71" t="str">
            <v>CO2 koguemissioon/SKP</v>
          </cell>
          <cell r="D71" t="str">
            <v>%</v>
          </cell>
          <cell r="E71">
            <v>0</v>
          </cell>
          <cell r="F71">
            <v>-2.4056044240144722E-2</v>
          </cell>
          <cell r="G71">
            <v>-4.9878868907418432E-2</v>
          </cell>
          <cell r="I71" t="str">
            <v>Stsenaariumite majandusmõju hinnang</v>
          </cell>
          <cell r="K71" t="str">
            <v>Majandusmõjude hinnang. Arvutusmudel</v>
          </cell>
        </row>
        <row r="73">
          <cell r="C73" t="str">
            <v>KHG (CO2 eq) @ baasaasta</v>
          </cell>
          <cell r="D73" t="str">
            <v>1000 t/a</v>
          </cell>
          <cell r="E73">
            <v>2248</v>
          </cell>
          <cell r="F73">
            <v>2248</v>
          </cell>
          <cell r="G73">
            <v>2248</v>
          </cell>
          <cell r="I73" t="str">
            <v>-</v>
          </cell>
          <cell r="K73" t="str">
            <v>Transpordistsenaariumite õhuheited</v>
          </cell>
        </row>
        <row r="74">
          <cell r="C74" t="str">
            <v>NOx @ baasaasta</v>
          </cell>
          <cell r="D74" t="str">
            <v>t/a</v>
          </cell>
          <cell r="E74">
            <v>11547</v>
          </cell>
          <cell r="F74">
            <v>11547</v>
          </cell>
          <cell r="G74">
            <v>11547</v>
          </cell>
          <cell r="I74" t="str">
            <v>-</v>
          </cell>
          <cell r="K74" t="str">
            <v>Transpordistsenaariumite õhuheited</v>
          </cell>
        </row>
        <row r="75">
          <cell r="C75" t="str">
            <v>SO2 @ baasaasta</v>
          </cell>
          <cell r="D75" t="str">
            <v>t/a</v>
          </cell>
          <cell r="E75">
            <v>76</v>
          </cell>
          <cell r="F75">
            <v>76</v>
          </cell>
          <cell r="G75">
            <v>76</v>
          </cell>
          <cell r="I75" t="str">
            <v>-</v>
          </cell>
          <cell r="K75" t="str">
            <v>Transpordistsenaariumite õhuheited</v>
          </cell>
        </row>
        <row r="76">
          <cell r="C76" t="str">
            <v>PM2.5 @baasaasta</v>
          </cell>
          <cell r="D76" t="str">
            <v>t/a</v>
          </cell>
          <cell r="E76">
            <v>499</v>
          </cell>
          <cell r="F76">
            <v>499</v>
          </cell>
          <cell r="G76">
            <v>499</v>
          </cell>
          <cell r="I76" t="str">
            <v>-</v>
          </cell>
          <cell r="K76" t="str">
            <v>Transpordistsenaariumite õhuheited</v>
          </cell>
        </row>
        <row r="77">
          <cell r="C77" t="str">
            <v>LOÜ @ baasaasta</v>
          </cell>
          <cell r="D77" t="str">
            <v>t/a</v>
          </cell>
          <cell r="E77">
            <v>2578</v>
          </cell>
          <cell r="F77">
            <v>2578</v>
          </cell>
          <cell r="G77">
            <v>2578</v>
          </cell>
          <cell r="I77" t="str">
            <v>-</v>
          </cell>
          <cell r="K77" t="str">
            <v>Transpordistsenaariumite õhuheited</v>
          </cell>
        </row>
        <row r="79">
          <cell r="C79" t="str">
            <v>KHG (CO2 eq) @ 2020</v>
          </cell>
          <cell r="D79" t="str">
            <v>1000 t/a</v>
          </cell>
          <cell r="E79">
            <v>2653.9070000000002</v>
          </cell>
          <cell r="F79">
            <v>2295.346</v>
          </cell>
          <cell r="G79">
            <v>1986.9190000000001</v>
          </cell>
          <cell r="I79" t="str">
            <v>-</v>
          </cell>
          <cell r="K79" t="str">
            <v>Transpordistsenaariumite õhuheited</v>
          </cell>
        </row>
        <row r="80">
          <cell r="C80" t="str">
            <v>NOx @ 2020</v>
          </cell>
          <cell r="D80" t="str">
            <v>t/a</v>
          </cell>
          <cell r="E80">
            <v>10936.649773285453</v>
          </cell>
          <cell r="F80">
            <v>9654.5752107972803</v>
          </cell>
          <cell r="G80">
            <v>9382.3623373569935</v>
          </cell>
          <cell r="I80" t="str">
            <v>-</v>
          </cell>
          <cell r="K80" t="str">
            <v>Transpordistsenaariumite õhuheited</v>
          </cell>
        </row>
        <row r="81">
          <cell r="C81" t="str">
            <v>SO2 @ 2020</v>
          </cell>
          <cell r="D81" t="str">
            <v>t/a</v>
          </cell>
          <cell r="E81">
            <v>14.948584295613685</v>
          </cell>
          <cell r="F81">
            <v>12.994830349824268</v>
          </cell>
          <cell r="G81">
            <v>12.392120693660845</v>
          </cell>
          <cell r="I81" t="str">
            <v>-</v>
          </cell>
          <cell r="K81" t="str">
            <v>Transpordistsenaariumite õhuheited</v>
          </cell>
        </row>
        <row r="82">
          <cell r="C82" t="str">
            <v>PM2.5 @ 2020</v>
          </cell>
          <cell r="D82" t="str">
            <v>t/a</v>
          </cell>
          <cell r="E82">
            <v>294.75335627480422</v>
          </cell>
          <cell r="F82">
            <v>265.08727845757471</v>
          </cell>
          <cell r="G82">
            <v>255.75183739968878</v>
          </cell>
          <cell r="I82" t="str">
            <v>-</v>
          </cell>
          <cell r="K82" t="str">
            <v>Transpordistsenaariumite õhuheited</v>
          </cell>
        </row>
        <row r="83">
          <cell r="C83" t="str">
            <v>LOÜ @ 2020</v>
          </cell>
          <cell r="D83" t="str">
            <v>t/a</v>
          </cell>
          <cell r="E83">
            <v>1943.1524051216152</v>
          </cell>
          <cell r="F83">
            <v>1821.3344900598324</v>
          </cell>
          <cell r="G83">
            <v>1795.6495098622383</v>
          </cell>
          <cell r="I83" t="str">
            <v>-</v>
          </cell>
          <cell r="K83" t="str">
            <v>Transpordistsenaariumite õhuheited</v>
          </cell>
        </row>
        <row r="85">
          <cell r="C85" t="str">
            <v>KHG (CO2 eq) @ 2030</v>
          </cell>
          <cell r="D85" t="str">
            <v>1000 t/a</v>
          </cell>
          <cell r="E85">
            <v>3087.2332703934599</v>
          </cell>
          <cell r="F85">
            <v>2359.2895597237898</v>
          </cell>
          <cell r="G85">
            <v>1433.63031159868</v>
          </cell>
          <cell r="I85" t="str">
            <v>-</v>
          </cell>
          <cell r="K85" t="str">
            <v>Transpordistsenaariumite õhuheited</v>
          </cell>
        </row>
        <row r="86">
          <cell r="C86" t="str">
            <v>NOx @ 2030</v>
          </cell>
          <cell r="D86" t="str">
            <v>t/a</v>
          </cell>
          <cell r="E86">
            <v>5438</v>
          </cell>
          <cell r="F86">
            <v>4328</v>
          </cell>
          <cell r="G86">
            <v>3311</v>
          </cell>
          <cell r="I86" t="str">
            <v>-</v>
          </cell>
          <cell r="K86" t="str">
            <v>Transpordistsenaariumite õhuheited</v>
          </cell>
        </row>
        <row r="87">
          <cell r="C87" t="str">
            <v>SO2 @ 2030</v>
          </cell>
          <cell r="D87" t="str">
            <v>t/a</v>
          </cell>
          <cell r="E87">
            <v>15.543134371308904</v>
          </cell>
          <cell r="F87">
            <v>12.743209992719569</v>
          </cell>
          <cell r="G87">
            <v>9.4965484335065788</v>
          </cell>
          <cell r="I87" t="str">
            <v>-</v>
          </cell>
          <cell r="K87" t="str">
            <v>Transpordistsenaariumite õhuheited</v>
          </cell>
        </row>
        <row r="88">
          <cell r="C88" t="str">
            <v>PM2.5 @ 2030</v>
          </cell>
          <cell r="D88" t="str">
            <v>t/a</v>
          </cell>
          <cell r="E88">
            <v>109</v>
          </cell>
          <cell r="F88">
            <v>86</v>
          </cell>
          <cell r="G88">
            <v>60</v>
          </cell>
          <cell r="I88" t="str">
            <v>-</v>
          </cell>
          <cell r="K88" t="str">
            <v>Transpordistsenaariumite õhuheited</v>
          </cell>
        </row>
        <row r="89">
          <cell r="C89" t="str">
            <v>LOÜ @ 2030</v>
          </cell>
          <cell r="D89" t="str">
            <v>t/a</v>
          </cell>
          <cell r="E89">
            <v>697</v>
          </cell>
          <cell r="F89">
            <v>839</v>
          </cell>
          <cell r="G89">
            <v>722</v>
          </cell>
          <cell r="I89" t="str">
            <v>-</v>
          </cell>
          <cell r="K89" t="str">
            <v>Transpordistsenaariumite õhuheited</v>
          </cell>
        </row>
        <row r="91">
          <cell r="C91" t="str">
            <v>KHG (CO2 eq) @ 2050</v>
          </cell>
          <cell r="D91" t="str">
            <v>1000 t/a</v>
          </cell>
          <cell r="E91">
            <v>2490.6368215830603</v>
          </cell>
          <cell r="F91">
            <v>1892.3823271229701</v>
          </cell>
          <cell r="G91">
            <v>530.88499063732002</v>
          </cell>
          <cell r="I91" t="str">
            <v>-</v>
          </cell>
          <cell r="K91" t="str">
            <v>Transpordistsenaariumite õhuheited</v>
          </cell>
        </row>
        <row r="92">
          <cell r="C92" t="str">
            <v>NOx @ 2050</v>
          </cell>
          <cell r="D92" t="str">
            <v>t/a</v>
          </cell>
          <cell r="E92">
            <v>4112</v>
          </cell>
          <cell r="F92">
            <v>3069</v>
          </cell>
          <cell r="G92">
            <v>1574</v>
          </cell>
          <cell r="I92" t="str">
            <v>-</v>
          </cell>
          <cell r="K92" t="str">
            <v>Transpordistsenaariumite õhuheited</v>
          </cell>
        </row>
        <row r="93">
          <cell r="C93" t="str">
            <v>SO2 @ 2050</v>
          </cell>
          <cell r="D93" t="str">
            <v>t/a</v>
          </cell>
          <cell r="E93">
            <v>13</v>
          </cell>
          <cell r="F93">
            <v>9</v>
          </cell>
          <cell r="G93">
            <v>6</v>
          </cell>
          <cell r="I93" t="str">
            <v>-</v>
          </cell>
          <cell r="K93" t="str">
            <v>Transpordistsenaariumite õhuheited</v>
          </cell>
        </row>
        <row r="94">
          <cell r="C94" t="str">
            <v>PM2.5 @ 2050</v>
          </cell>
          <cell r="D94" t="str">
            <v>t/a</v>
          </cell>
          <cell r="E94">
            <v>91</v>
          </cell>
          <cell r="F94">
            <v>72</v>
          </cell>
          <cell r="G94">
            <v>31</v>
          </cell>
          <cell r="I94" t="str">
            <v>-</v>
          </cell>
          <cell r="K94" t="str">
            <v>Transpordistsenaariumite õhuheited</v>
          </cell>
        </row>
        <row r="95">
          <cell r="C95" t="str">
            <v>LOÜ @ 2050</v>
          </cell>
          <cell r="D95" t="str">
            <v>t/a</v>
          </cell>
          <cell r="E95">
            <v>522.77784440297353</v>
          </cell>
          <cell r="F95">
            <v>652</v>
          </cell>
          <cell r="G95">
            <v>396</v>
          </cell>
          <cell r="I95" t="str">
            <v>-</v>
          </cell>
          <cell r="K95" t="str">
            <v>Transpordistsenaariumite õhuheited</v>
          </cell>
        </row>
        <row r="97">
          <cell r="C97" t="str">
            <v>Inimese tervis @ baasaasta</v>
          </cell>
          <cell r="D97" t="str">
            <v>DALY</v>
          </cell>
          <cell r="E97">
            <v>3387</v>
          </cell>
          <cell r="F97">
            <v>3387</v>
          </cell>
          <cell r="G97">
            <v>3387</v>
          </cell>
          <cell r="I97" t="str">
            <v>-</v>
          </cell>
          <cell r="K97" t="str">
            <v>ENMAK 2030 stsenaariumitega kaasneva keskkonnamõju modelleerimine</v>
          </cell>
        </row>
        <row r="98">
          <cell r="C98" t="str">
            <v>Ökosüsteemi kvaliteet @ baasaasta</v>
          </cell>
          <cell r="D98" t="str">
            <v>Species*y</v>
          </cell>
          <cell r="E98">
            <v>10</v>
          </cell>
          <cell r="F98">
            <v>10</v>
          </cell>
          <cell r="G98">
            <v>10</v>
          </cell>
          <cell r="I98" t="str">
            <v>-</v>
          </cell>
          <cell r="K98" t="str">
            <v>ENMAK 2030 stsenaariumitega kaasneva keskkonnamõju modelleerimine</v>
          </cell>
        </row>
        <row r="99">
          <cell r="C99" t="str">
            <v>Kliima-muutused @ baasaasta</v>
          </cell>
          <cell r="D99" t="str">
            <v>1000 t CO2 eq</v>
          </cell>
          <cell r="E99">
            <v>4756</v>
          </cell>
          <cell r="F99">
            <v>4756</v>
          </cell>
          <cell r="G99">
            <v>4756</v>
          </cell>
          <cell r="I99" t="str">
            <v>-</v>
          </cell>
          <cell r="K99" t="str">
            <v>ENMAK 2030 stsenaariumitega kaasneva keskkonnamõju modelleerimine</v>
          </cell>
        </row>
        <row r="100">
          <cell r="C100" t="str">
            <v>Ressursid @ baasaasta</v>
          </cell>
          <cell r="D100" t="str">
            <v>TJ primary</v>
          </cell>
          <cell r="E100">
            <v>69820</v>
          </cell>
          <cell r="F100">
            <v>69820</v>
          </cell>
          <cell r="G100">
            <v>69820</v>
          </cell>
          <cell r="I100" t="str">
            <v>-</v>
          </cell>
          <cell r="K100" t="str">
            <v>ENMAK 2030 stsenaariumitega kaasneva keskkonnamõju modelleerimine</v>
          </cell>
        </row>
        <row r="101">
          <cell r="C101" t="str">
            <v>Kokku @ baasaasta</v>
          </cell>
          <cell r="D101" t="str">
            <v>Pt</v>
          </cell>
          <cell r="E101">
            <v>1507957</v>
          </cell>
          <cell r="F101">
            <v>1507957</v>
          </cell>
          <cell r="G101">
            <v>1507957</v>
          </cell>
          <cell r="I101" t="str">
            <v>-</v>
          </cell>
          <cell r="K101" t="str">
            <v>ENMAK 2030 stsenaariumitega kaasneva keskkonnamõju modelleerimine</v>
          </cell>
        </row>
        <row r="103">
          <cell r="C103" t="str">
            <v>Inimese tervis</v>
          </cell>
          <cell r="D103" t="str">
            <v>DALY</v>
          </cell>
          <cell r="E103">
            <v>5110</v>
          </cell>
          <cell r="F103">
            <v>4601</v>
          </cell>
          <cell r="G103">
            <v>4068</v>
          </cell>
          <cell r="I103" t="str">
            <v>-</v>
          </cell>
          <cell r="K103" t="str">
            <v>ENMAK 2030 stsenaariumitega kaasneva keskkonnamõju modelleerimine</v>
          </cell>
        </row>
        <row r="104">
          <cell r="C104" t="str">
            <v>Ökosüsteemi kvaliteet</v>
          </cell>
          <cell r="D104" t="str">
            <v>Species*y</v>
          </cell>
          <cell r="E104">
            <v>22</v>
          </cell>
          <cell r="F104">
            <v>16</v>
          </cell>
          <cell r="G104">
            <v>14</v>
          </cell>
          <cell r="I104" t="str">
            <v>-</v>
          </cell>
          <cell r="K104" t="str">
            <v>ENMAK 2030 stsenaariumitega kaasneva keskkonnamõju modelleerimine</v>
          </cell>
        </row>
        <row r="105">
          <cell r="C105" t="str">
            <v>Kliima-muutused</v>
          </cell>
          <cell r="D105" t="str">
            <v>1000 t CO2 eq</v>
          </cell>
          <cell r="E105">
            <v>7149</v>
          </cell>
          <cell r="F105">
            <v>6647</v>
          </cell>
          <cell r="G105">
            <v>5500</v>
          </cell>
          <cell r="I105" t="str">
            <v>-</v>
          </cell>
          <cell r="K105" t="str">
            <v>ENMAK 2030 stsenaariumitega kaasneva keskkonnamõju modelleerimine</v>
          </cell>
        </row>
        <row r="106">
          <cell r="C106" t="str">
            <v>Ressursid</v>
          </cell>
          <cell r="D106" t="str">
            <v>TJ primary</v>
          </cell>
          <cell r="E106">
            <v>102389</v>
          </cell>
          <cell r="F106">
            <v>93101</v>
          </cell>
          <cell r="G106">
            <v>77802</v>
          </cell>
          <cell r="I106" t="str">
            <v>-</v>
          </cell>
          <cell r="K106" t="str">
            <v>ENMAK 2030 stsenaariumitega kaasneva keskkonnamõju modelleerimine</v>
          </cell>
        </row>
        <row r="107">
          <cell r="C107" t="str">
            <v>Kokku</v>
          </cell>
          <cell r="D107" t="str">
            <v>Pt</v>
          </cell>
          <cell r="E107">
            <v>2315521</v>
          </cell>
          <cell r="F107">
            <v>2077688</v>
          </cell>
          <cell r="G107">
            <v>1763470</v>
          </cell>
          <cell r="I107" t="str">
            <v>-</v>
          </cell>
          <cell r="K107" t="str">
            <v>ENMAK 2030 stsenaariumitega kaasneva keskkonnamõju modelleerimine</v>
          </cell>
        </row>
        <row r="109">
          <cell r="C109" t="str">
            <v>PM2.5-st tingitud varajaste surmajuhtumite arv @ 2012</v>
          </cell>
          <cell r="D109" t="str">
            <v>surmajuhtumite arv</v>
          </cell>
          <cell r="E109">
            <v>201.8</v>
          </cell>
          <cell r="F109">
            <v>201.8</v>
          </cell>
          <cell r="G109">
            <v>201.8</v>
          </cell>
          <cell r="I109" t="str">
            <v>ENMAK 2030. Õhusaaste tervisemõju</v>
          </cell>
          <cell r="K109" t="str">
            <v>Orru, H. ENMAK 2030 õhusaaste tervisemõju. Arvutusfail</v>
          </cell>
        </row>
        <row r="110">
          <cell r="C110" t="str">
            <v>PM2.5-st tingitud varajaste surmajuhtumite arv @ 2030</v>
          </cell>
          <cell r="D110" t="str">
            <v>surmajuhtumite arv</v>
          </cell>
          <cell r="E110">
            <v>54.3</v>
          </cell>
          <cell r="F110">
            <v>42.25</v>
          </cell>
          <cell r="G110">
            <v>30.2</v>
          </cell>
          <cell r="I110" t="str">
            <v>ENMAK 2030. Õhusaaste tervisemõju</v>
          </cell>
          <cell r="K110" t="str">
            <v>Orru, H. ENMAK 2030 õhusaaste tervisemõju. Arvutusfail</v>
          </cell>
        </row>
      </sheetData>
      <sheetData sheetId="12">
        <row r="1">
          <cell r="E1" t="str">
            <v>Liberaalne</v>
          </cell>
          <cell r="F1" t="str">
            <v>Liberaalne+</v>
          </cell>
          <cell r="G1" t="str">
            <v>Taastuvenergia</v>
          </cell>
          <cell r="H1" t="str">
            <v>Taastuvenergia++</v>
          </cell>
          <cell r="I1" t="str">
            <v>Põlevkivi ja uttegaas</v>
          </cell>
          <cell r="K1" t="str">
            <v>Allikmaterjalid</v>
          </cell>
        </row>
        <row r="2">
          <cell r="E2" t="str">
            <v>Stsenaarium # 1</v>
          </cell>
          <cell r="F2" t="str">
            <v>Stsenaarium # 2</v>
          </cell>
          <cell r="G2" t="str">
            <v>Stsenaarium # 3</v>
          </cell>
          <cell r="H2" t="str">
            <v>Stsenaarium # 4</v>
          </cell>
          <cell r="I2" t="str">
            <v>Stsenaarium # 5</v>
          </cell>
          <cell r="K2" t="str">
            <v>Artikkel</v>
          </cell>
          <cell r="M2" t="str">
            <v>Arvutusfail</v>
          </cell>
        </row>
        <row r="4">
          <cell r="C4" t="str">
            <v>Tootmisportfell @ 2030 - PÄIKE</v>
          </cell>
          <cell r="D4" t="str">
            <v>TWh/a</v>
          </cell>
          <cell r="E4">
            <v>0.04</v>
          </cell>
          <cell r="F4">
            <v>0.04</v>
          </cell>
          <cell r="G4">
            <v>0.04</v>
          </cell>
          <cell r="H4">
            <v>0.04</v>
          </cell>
          <cell r="I4">
            <v>0.04</v>
          </cell>
          <cell r="K4" t="str">
            <v>Elektritootmisstsenaariumid</v>
          </cell>
          <cell r="M4" t="str">
            <v>Elektritoomistsenaariumite tulemuste võrdlus</v>
          </cell>
        </row>
        <row r="5">
          <cell r="C5" t="str">
            <v>Tootmisportfell @ 2030 - PUUGAAS</v>
          </cell>
          <cell r="D5" t="str">
            <v>TWh/a</v>
          </cell>
          <cell r="E5">
            <v>0.25</v>
          </cell>
          <cell r="F5">
            <v>0.25</v>
          </cell>
          <cell r="G5">
            <v>0.25</v>
          </cell>
          <cell r="H5">
            <v>0.25</v>
          </cell>
          <cell r="I5">
            <v>0.25</v>
          </cell>
          <cell r="K5" t="str">
            <v>Elektritootmisstsenaariumid</v>
          </cell>
          <cell r="M5" t="str">
            <v>Elektritoomistsenaariumite tulemuste võrdlus</v>
          </cell>
        </row>
        <row r="6">
          <cell r="C6" t="str">
            <v>Tootmisportfell @ 2030 - BIOGAAS</v>
          </cell>
          <cell r="D6" t="str">
            <v>TWh/a</v>
          </cell>
          <cell r="E6">
            <v>0.02</v>
          </cell>
          <cell r="F6">
            <v>0.02</v>
          </cell>
          <cell r="G6">
            <v>0.02</v>
          </cell>
          <cell r="H6">
            <v>0.02</v>
          </cell>
          <cell r="I6">
            <v>0.02</v>
          </cell>
          <cell r="K6" t="str">
            <v>Elektritootmisstsenaariumid</v>
          </cell>
          <cell r="M6" t="str">
            <v>Elektritoomistsenaariumite tulemuste võrdlus</v>
          </cell>
        </row>
        <row r="7">
          <cell r="C7" t="str">
            <v>Tootmisportfell @ 2030 - KIVISÜSI</v>
          </cell>
          <cell r="D7" t="str">
            <v>TWh/a</v>
          </cell>
          <cell r="E7">
            <v>3.33</v>
          </cell>
          <cell r="F7">
            <v>3.33</v>
          </cell>
          <cell r="G7">
            <v>3.31</v>
          </cell>
          <cell r="I7">
            <v>1.82</v>
          </cell>
          <cell r="K7" t="str">
            <v>Elektritootmisstsenaariumid</v>
          </cell>
          <cell r="M7" t="str">
            <v>Elektritoomistsenaariumite tulemuste võrdlus</v>
          </cell>
        </row>
        <row r="8">
          <cell r="C8" t="str">
            <v>Tootmisportfell @ 2030 - KOKS</v>
          </cell>
          <cell r="D8" t="str">
            <v>TWh/a</v>
          </cell>
          <cell r="E8">
            <v>0.28999999999999998</v>
          </cell>
          <cell r="F8">
            <v>0.28999999999999998</v>
          </cell>
          <cell r="G8">
            <v>0.28999999999999998</v>
          </cell>
          <cell r="I8">
            <v>0.28999999999999998</v>
          </cell>
          <cell r="K8" t="str">
            <v>Elektritootmisstsenaariumid</v>
          </cell>
          <cell r="M8" t="str">
            <v>Elektritoomistsenaariumite tulemuste võrdlus</v>
          </cell>
        </row>
        <row r="9">
          <cell r="C9" t="str">
            <v>Tootmisportfell @ 2030 - JÄÄTMED</v>
          </cell>
          <cell r="D9" t="str">
            <v>TWh/a</v>
          </cell>
          <cell r="E9">
            <v>0.22</v>
          </cell>
          <cell r="F9">
            <v>0.22</v>
          </cell>
          <cell r="G9">
            <v>0.22</v>
          </cell>
          <cell r="H9">
            <v>0.22</v>
          </cell>
          <cell r="I9">
            <v>0.22</v>
          </cell>
          <cell r="K9" t="str">
            <v>Elektritootmisstsenaariumid</v>
          </cell>
          <cell r="M9" t="str">
            <v>Elektritoomistsenaariumite tulemuste võrdlus</v>
          </cell>
        </row>
        <row r="10">
          <cell r="C10" t="str">
            <v>Tootmisportfell @ 2030 - MAAGAAS</v>
          </cell>
          <cell r="D10" t="str">
            <v>TWh/a</v>
          </cell>
          <cell r="E10">
            <v>0.12</v>
          </cell>
          <cell r="F10">
            <v>0.12</v>
          </cell>
          <cell r="G10">
            <v>0.09</v>
          </cell>
          <cell r="I10">
            <v>0.12</v>
          </cell>
          <cell r="K10" t="str">
            <v>Elektritootmisstsenaariumid</v>
          </cell>
          <cell r="M10" t="str">
            <v>Elektritoomistsenaariumite tulemuste võrdlus</v>
          </cell>
        </row>
        <row r="11">
          <cell r="C11" t="str">
            <v>Tootmisportfell @ 2030 - UTTEGAAS</v>
          </cell>
          <cell r="D11" t="str">
            <v>TWh/a</v>
          </cell>
          <cell r="E11">
            <v>0.51</v>
          </cell>
          <cell r="F11">
            <v>0.51</v>
          </cell>
          <cell r="G11">
            <v>0.51</v>
          </cell>
          <cell r="I11">
            <v>5.15</v>
          </cell>
          <cell r="K11" t="str">
            <v>Elektritootmisstsenaariumid</v>
          </cell>
          <cell r="M11" t="str">
            <v>Elektritoomistsenaariumite tulemuste võrdlus</v>
          </cell>
        </row>
        <row r="12">
          <cell r="C12" t="str">
            <v>Tootmisportfell @ 2030 - PÕLEVKIVI</v>
          </cell>
          <cell r="D12" t="str">
            <v>TWh/a</v>
          </cell>
          <cell r="E12">
            <v>0</v>
          </cell>
          <cell r="F12">
            <v>0</v>
          </cell>
          <cell r="G12">
            <v>0</v>
          </cell>
          <cell r="I12">
            <v>0.03</v>
          </cell>
          <cell r="K12" t="str">
            <v>Elektritootmisstsenaariumid</v>
          </cell>
          <cell r="M12" t="str">
            <v>Elektritoomistsenaariumite tulemuste võrdlus</v>
          </cell>
        </row>
        <row r="13">
          <cell r="C13" t="str">
            <v>Tootmisportfell @ 2030 - HÜDROENERGIA</v>
          </cell>
          <cell r="D13" t="str">
            <v>TWh/a</v>
          </cell>
          <cell r="E13">
            <v>0.03</v>
          </cell>
          <cell r="F13">
            <v>0.03</v>
          </cell>
          <cell r="G13">
            <v>0.03</v>
          </cell>
          <cell r="H13">
            <v>0.03</v>
          </cell>
          <cell r="I13">
            <v>0.03</v>
          </cell>
          <cell r="K13" t="str">
            <v>Elektritootmisstsenaariumid</v>
          </cell>
          <cell r="M13" t="str">
            <v>Elektritoomistsenaariumite tulemuste võrdlus</v>
          </cell>
        </row>
        <row r="14">
          <cell r="C14" t="str">
            <v>Tootmisportfell @ 2030 - TUUL</v>
          </cell>
          <cell r="D14" t="str">
            <v>TWh/a</v>
          </cell>
          <cell r="E14">
            <v>0.54</v>
          </cell>
          <cell r="F14">
            <v>0.54</v>
          </cell>
          <cell r="G14">
            <v>2.68</v>
          </cell>
          <cell r="H14">
            <v>0.54</v>
          </cell>
          <cell r="I14">
            <v>0.54</v>
          </cell>
          <cell r="K14" t="str">
            <v>Elektritootmisstsenaariumid</v>
          </cell>
          <cell r="M14" t="str">
            <v>Elektritoomistsenaariumite tulemuste võrdlus</v>
          </cell>
        </row>
        <row r="15">
          <cell r="C15" t="str">
            <v>Tootmisportfell @ 2030 - BIOMASS</v>
          </cell>
          <cell r="D15" t="str">
            <v>TWh/a</v>
          </cell>
          <cell r="E15">
            <v>1.83</v>
          </cell>
          <cell r="F15">
            <v>1.83</v>
          </cell>
          <cell r="G15">
            <v>1.86</v>
          </cell>
          <cell r="H15">
            <v>5.22</v>
          </cell>
          <cell r="I15">
            <v>1.86</v>
          </cell>
          <cell r="K15" t="str">
            <v>Elektritootmisstsenaariumid</v>
          </cell>
          <cell r="M15" t="str">
            <v>Elektritoomistsenaariumite tulemuste võrdlus</v>
          </cell>
        </row>
        <row r="17">
          <cell r="C17" t="str">
            <v>Kütuste tarbimine @ 2030 - PUUGAAS</v>
          </cell>
          <cell r="D17" t="str">
            <v>TWh/a</v>
          </cell>
          <cell r="E17">
            <v>0.86</v>
          </cell>
          <cell r="F17">
            <v>0.86</v>
          </cell>
          <cell r="G17">
            <v>0.86</v>
          </cell>
          <cell r="H17">
            <v>0.86</v>
          </cell>
          <cell r="I17">
            <v>0.86</v>
          </cell>
          <cell r="K17" t="str">
            <v>Elektritootmisstsenaariumid</v>
          </cell>
          <cell r="M17" t="str">
            <v>Elektritoomistsenaariumite tulemuste võrdlus</v>
          </cell>
        </row>
        <row r="18">
          <cell r="C18" t="str">
            <v>Kütuste tarbimine @ 2030 - BIOGAAS</v>
          </cell>
          <cell r="D18" t="str">
            <v>TWh/a</v>
          </cell>
          <cell r="E18">
            <v>0.05</v>
          </cell>
          <cell r="F18">
            <v>0.05</v>
          </cell>
          <cell r="G18">
            <v>0.05</v>
          </cell>
          <cell r="H18">
            <v>0.05</v>
          </cell>
          <cell r="I18">
            <v>0.05</v>
          </cell>
          <cell r="K18" t="str">
            <v>Elektritootmisstsenaariumid</v>
          </cell>
          <cell r="M18" t="str">
            <v>Elektritoomistsenaariumite tulemuste võrdlus</v>
          </cell>
        </row>
        <row r="19">
          <cell r="C19" t="str">
            <v>Kütuste tarbimine @ 2030 - KIVISÜSI</v>
          </cell>
          <cell r="D19" t="str">
            <v>TWh/a</v>
          </cell>
          <cell r="E19">
            <v>9.24</v>
          </cell>
          <cell r="F19">
            <v>9.25</v>
          </cell>
          <cell r="G19">
            <v>9.19</v>
          </cell>
          <cell r="H19">
            <v>0</v>
          </cell>
          <cell r="I19">
            <v>4.59</v>
          </cell>
          <cell r="K19" t="str">
            <v>Elektritootmisstsenaariumid</v>
          </cell>
          <cell r="M19" t="str">
            <v>Elektritoomistsenaariumite tulemuste võrdlus</v>
          </cell>
        </row>
        <row r="20">
          <cell r="C20" t="str">
            <v>Kütuste tarbimine @ 2030 - KOKS</v>
          </cell>
          <cell r="D20" t="str">
            <v>TWh/a</v>
          </cell>
          <cell r="E20">
            <v>0.51</v>
          </cell>
          <cell r="F20">
            <v>0.51</v>
          </cell>
          <cell r="G20">
            <v>0.51</v>
          </cell>
          <cell r="H20">
            <v>0</v>
          </cell>
          <cell r="I20">
            <v>0.51</v>
          </cell>
          <cell r="K20" t="str">
            <v>Elektritootmisstsenaariumid</v>
          </cell>
          <cell r="M20" t="str">
            <v>Elektritoomistsenaariumite tulemuste võrdlus</v>
          </cell>
        </row>
        <row r="21">
          <cell r="C21" t="str">
            <v>Kütuste tarbimine @ 2030 - JÄÄTMED</v>
          </cell>
          <cell r="D21" t="str">
            <v>TWh/a</v>
          </cell>
          <cell r="E21">
            <v>0.79</v>
          </cell>
          <cell r="F21">
            <v>0.79</v>
          </cell>
          <cell r="G21">
            <v>0.79</v>
          </cell>
          <cell r="H21">
            <v>0.79</v>
          </cell>
          <cell r="I21">
            <v>0.79</v>
          </cell>
          <cell r="K21" t="str">
            <v>Elektritootmisstsenaariumid</v>
          </cell>
          <cell r="M21" t="str">
            <v>Elektritoomistsenaariumite tulemuste võrdlus</v>
          </cell>
        </row>
        <row r="22">
          <cell r="C22" t="str">
            <v>Kütuste tarbimine @ 2030 - MAAGAAS</v>
          </cell>
          <cell r="D22" t="str">
            <v>TWh/a</v>
          </cell>
          <cell r="E22">
            <v>0.28999999999999998</v>
          </cell>
          <cell r="F22">
            <v>0.28999999999999998</v>
          </cell>
          <cell r="G22">
            <v>0.22</v>
          </cell>
          <cell r="H22">
            <v>0</v>
          </cell>
          <cell r="I22">
            <v>0.28999999999999998</v>
          </cell>
          <cell r="K22" t="str">
            <v>Elektritootmisstsenaariumid</v>
          </cell>
          <cell r="M22" t="str">
            <v>Elektritoomistsenaariumite tulemuste võrdlus</v>
          </cell>
        </row>
        <row r="23">
          <cell r="C23" t="str">
            <v>Kütuste tarbimine @ 2030 - UTTEGAAS</v>
          </cell>
          <cell r="D23" t="str">
            <v>TWh/a</v>
          </cell>
          <cell r="E23">
            <v>1.88</v>
          </cell>
          <cell r="F23">
            <v>1.88</v>
          </cell>
          <cell r="G23">
            <v>1.88</v>
          </cell>
          <cell r="H23">
            <v>0</v>
          </cell>
          <cell r="I23">
            <v>12.18</v>
          </cell>
          <cell r="K23" t="str">
            <v>Elektritootmisstsenaariumid</v>
          </cell>
          <cell r="M23" t="str">
            <v>Elektritoomistsenaariumite tulemuste võrdlus</v>
          </cell>
        </row>
        <row r="24">
          <cell r="C24" t="str">
            <v>Kütuste tarbimine @ 2030 - PÕLEVKIVI</v>
          </cell>
          <cell r="D24" t="str">
            <v>TWh/a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0.12</v>
          </cell>
          <cell r="K24" t="str">
            <v>Elektritootmisstsenaariumid</v>
          </cell>
          <cell r="M24" t="str">
            <v>Elektritoomistsenaariumite tulemuste võrdlus</v>
          </cell>
        </row>
        <row r="25">
          <cell r="C25" t="str">
            <v>Kütuste tarbimine @ 2030 - BIOMASS</v>
          </cell>
          <cell r="D25" t="str">
            <v>TWh/a</v>
          </cell>
          <cell r="E25">
            <v>4.96</v>
          </cell>
          <cell r="F25">
            <v>4.97</v>
          </cell>
          <cell r="G25">
            <v>5.05</v>
          </cell>
          <cell r="H25">
            <v>14.23</v>
          </cell>
          <cell r="I25">
            <v>5.19</v>
          </cell>
          <cell r="K25" t="str">
            <v>Elektritootmisstsenaariumid</v>
          </cell>
          <cell r="M25" t="str">
            <v>Elektritoomistsenaariumite tulemuste võrdlus</v>
          </cell>
        </row>
        <row r="27">
          <cell r="C27" t="str">
            <v>Taastumatutest allikatest elekter @ 2030 [TWh/a]</v>
          </cell>
          <cell r="D27" t="str">
            <v>TWh/a</v>
          </cell>
          <cell r="E27">
            <v>11.919999999999998</v>
          </cell>
          <cell r="F27">
            <v>11.93</v>
          </cell>
          <cell r="G27">
            <v>11.8</v>
          </cell>
          <cell r="H27">
            <v>0</v>
          </cell>
          <cell r="I27">
            <v>17.690000000000001</v>
          </cell>
          <cell r="K27" t="str">
            <v>-</v>
          </cell>
        </row>
        <row r="28">
          <cell r="C28" t="str">
            <v>Taastuvatest allikatest elekter @ 2030 [TWh/a]</v>
          </cell>
          <cell r="D28" t="str">
            <v>TWh/a</v>
          </cell>
          <cell r="E28">
            <v>7.2700000000000005</v>
          </cell>
          <cell r="F28">
            <v>7.28</v>
          </cell>
          <cell r="G28">
            <v>9.5</v>
          </cell>
          <cell r="H28">
            <v>16.54</v>
          </cell>
          <cell r="I28">
            <v>7.5000000000000009</v>
          </cell>
          <cell r="K28" t="str">
            <v>-</v>
          </cell>
        </row>
        <row r="29">
          <cell r="C29" t="str">
            <v>Imporditud kütustest elekter @ 2030 [TWh/a]</v>
          </cell>
          <cell r="D29" t="str">
            <v>TWh/a</v>
          </cell>
          <cell r="E29">
            <v>9.24</v>
          </cell>
          <cell r="F29">
            <v>9.25</v>
          </cell>
          <cell r="G29">
            <v>9.19</v>
          </cell>
          <cell r="H29">
            <v>0</v>
          </cell>
          <cell r="I29">
            <v>4.59</v>
          </cell>
          <cell r="K29" t="str">
            <v>-</v>
          </cell>
        </row>
        <row r="30">
          <cell r="C30" t="str">
            <v>Import-eksport elekter @ 2030 [TWh/a]</v>
          </cell>
          <cell r="D30" t="str">
            <v>TWh/a</v>
          </cell>
          <cell r="E30">
            <v>2.78</v>
          </cell>
          <cell r="F30">
            <v>2.78</v>
          </cell>
          <cell r="G30">
            <v>0.66</v>
          </cell>
          <cell r="H30">
            <v>3.65</v>
          </cell>
          <cell r="I30">
            <v>-0.41</v>
          </cell>
          <cell r="K30" t="str">
            <v>Elektritootmisstsenaariumid</v>
          </cell>
          <cell r="M30" t="str">
            <v>Elektritoomistsenaariumite tulemuste võrdlus</v>
          </cell>
        </row>
        <row r="31">
          <cell r="C31" t="str">
            <v>Kütusevabad taastuvad allikad @2030, TWh/a</v>
          </cell>
          <cell r="D31" t="str">
            <v>TWh/a</v>
          </cell>
          <cell r="E31">
            <v>0.6100000000000001</v>
          </cell>
          <cell r="F31">
            <v>0.6100000000000001</v>
          </cell>
          <cell r="G31">
            <v>2.75</v>
          </cell>
          <cell r="H31">
            <v>0.6100000000000001</v>
          </cell>
          <cell r="I31">
            <v>0.6100000000000001</v>
          </cell>
          <cell r="K31" t="str">
            <v>-</v>
          </cell>
        </row>
        <row r="32">
          <cell r="C32" t="str">
            <v>Puitkütuste kogutarbimine @2030, TWh/a</v>
          </cell>
          <cell r="D32" t="str">
            <v>TWh/a</v>
          </cell>
          <cell r="E32">
            <v>0.86</v>
          </cell>
          <cell r="F32">
            <v>0.86</v>
          </cell>
          <cell r="G32">
            <v>0.86</v>
          </cell>
          <cell r="H32">
            <v>10.039999999999999</v>
          </cell>
          <cell r="I32">
            <v>0.86</v>
          </cell>
          <cell r="K32" t="str">
            <v>-</v>
          </cell>
        </row>
        <row r="33">
          <cell r="C33" t="str">
            <v>Puitkütuste kogutarbimine @2030, mln tm/a</v>
          </cell>
          <cell r="D33" t="str">
            <v>mln tm/a</v>
          </cell>
          <cell r="E33">
            <v>0.43</v>
          </cell>
          <cell r="F33">
            <v>0.43</v>
          </cell>
          <cell r="G33">
            <v>0.43</v>
          </cell>
          <cell r="H33">
            <v>5.0199999999999996</v>
          </cell>
          <cell r="I33">
            <v>0.43</v>
          </cell>
          <cell r="K33" t="str">
            <v>-</v>
          </cell>
        </row>
        <row r="34">
          <cell r="C34" t="str">
            <v>Puitkütuste kogutarbimine @2030, m3/a</v>
          </cell>
          <cell r="D34" t="str">
            <v>mln m3/a</v>
          </cell>
          <cell r="K34" t="str">
            <v>-</v>
          </cell>
        </row>
        <row r="36">
          <cell r="C36" t="str">
            <v>Põlevkivi kasutamine @2030</v>
          </cell>
          <cell r="D36" t="str">
            <v>TWh/a</v>
          </cell>
          <cell r="E36">
            <v>2.3899999999999997</v>
          </cell>
          <cell r="F36">
            <v>2.3899999999999997</v>
          </cell>
          <cell r="G36">
            <v>2.3899999999999997</v>
          </cell>
          <cell r="H36">
            <v>0</v>
          </cell>
          <cell r="I36">
            <v>12.809999999999999</v>
          </cell>
        </row>
        <row r="37">
          <cell r="C37" t="str">
            <v>Primaarenergia tarbimine @ 2030</v>
          </cell>
          <cell r="D37" t="str">
            <v>TWh/a</v>
          </cell>
          <cell r="E37">
            <v>14.329999999999997</v>
          </cell>
          <cell r="F37">
            <v>14.339999999999998</v>
          </cell>
          <cell r="G37">
            <v>14.299999999999999</v>
          </cell>
          <cell r="H37">
            <v>15.139999999999999</v>
          </cell>
          <cell r="I37">
            <v>6.9000000000000012</v>
          </cell>
        </row>
        <row r="38">
          <cell r="C38" t="str">
            <v>Kodumaise elektritoodangu osakkaal kogutarbimises</v>
          </cell>
          <cell r="D38" t="str">
            <v>%</v>
          </cell>
          <cell r="E38">
            <v>0.72088353413654627</v>
          </cell>
          <cell r="F38">
            <v>0.72088353413654627</v>
          </cell>
          <cell r="G38">
            <v>0.9337349397590361</v>
          </cell>
          <cell r="H38">
            <v>0.63390170511534605</v>
          </cell>
          <cell r="I38">
            <v>1</v>
          </cell>
          <cell r="K38" t="str">
            <v>-</v>
          </cell>
        </row>
        <row r="40">
          <cell r="C40" t="str">
            <v>Maksumus kokku kuni 2030 [M EUR]</v>
          </cell>
          <cell r="D40" t="str">
            <v>MEUR</v>
          </cell>
          <cell r="E40">
            <v>-10023.25878756674</v>
          </cell>
          <cell r="F40">
            <v>-10023.703603913709</v>
          </cell>
          <cell r="G40">
            <v>-11090.029162552779</v>
          </cell>
          <cell r="H40">
            <v>-10806.87242925753</v>
          </cell>
          <cell r="I40">
            <v>-10176.208448876179</v>
          </cell>
          <cell r="K40" t="str">
            <v>-</v>
          </cell>
        </row>
        <row r="41">
          <cell r="C41" t="str">
            <v>sh CAPEX 2015-2030</v>
          </cell>
          <cell r="D41" t="str">
            <v>MEUR</v>
          </cell>
          <cell r="E41">
            <v>-2988.1875</v>
          </cell>
          <cell r="F41">
            <v>-2988.1875</v>
          </cell>
          <cell r="G41">
            <v>-3996.9375</v>
          </cell>
          <cell r="H41">
            <v>-4649.3249999999998</v>
          </cell>
          <cell r="I41">
            <v>-3167.2125000000001</v>
          </cell>
          <cell r="K41" t="str">
            <v>-</v>
          </cell>
          <cell r="M41" t="str">
            <v>Väljavõte BALMOREL mudeli tulemustest</v>
          </cell>
        </row>
        <row r="42">
          <cell r="C42" t="str">
            <v>sh OPEX 2015-2030</v>
          </cell>
          <cell r="D42" t="str">
            <v>MEUR</v>
          </cell>
          <cell r="E42">
            <v>-7035.0712875667396</v>
          </cell>
          <cell r="F42">
            <v>-7035.5161039137101</v>
          </cell>
          <cell r="G42">
            <v>-7093.0916625527798</v>
          </cell>
          <cell r="H42">
            <v>-6157.54742925753</v>
          </cell>
          <cell r="I42">
            <v>-7008.9959488761797</v>
          </cell>
          <cell r="K42" t="str">
            <v>-</v>
          </cell>
          <cell r="M42" t="str">
            <v>Väljavõte BALMOREL mudeli tulemustest</v>
          </cell>
        </row>
        <row r="43">
          <cell r="C43" t="str">
            <v>Meetmete maksumus riigilie kuni 2030 [MEUR]</v>
          </cell>
          <cell r="D43" t="str">
            <v>MEUR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</row>
        <row r="47">
          <cell r="C47" t="str">
            <v>CO2 heitme väliskulu 2015-2030 [MEUR]</v>
          </cell>
          <cell r="D47" t="str">
            <v>MEUR</v>
          </cell>
          <cell r="E47">
            <v>-1595</v>
          </cell>
          <cell r="F47">
            <v>-1596</v>
          </cell>
          <cell r="G47">
            <v>-1591</v>
          </cell>
          <cell r="H47">
            <v>-308</v>
          </cell>
          <cell r="I47">
            <v>-2322</v>
          </cell>
          <cell r="M47" t="str">
            <v>Väljavõte BALMOREL mudeli tulemustest</v>
          </cell>
        </row>
        <row r="48">
          <cell r="C48" t="str">
            <v>CO2non-ETS @ 2020 [1000 t/a]</v>
          </cell>
          <cell r="D48" t="str">
            <v>1000 tCO2ekv</v>
          </cell>
          <cell r="E48">
            <v>360</v>
          </cell>
          <cell r="F48">
            <v>360</v>
          </cell>
          <cell r="G48">
            <v>360</v>
          </cell>
          <cell r="H48">
            <v>407.46852356917958</v>
          </cell>
          <cell r="I48">
            <v>450</v>
          </cell>
          <cell r="M48" t="str">
            <v>Eesti Keskkonnauringute Keskuse prognoos (2014 juuni)</v>
          </cell>
        </row>
        <row r="49">
          <cell r="C49" t="str">
            <v>CO2ETS @ 2030 [1000 t/a]</v>
          </cell>
          <cell r="D49" t="str">
            <v>1000 tCO2ekv</v>
          </cell>
          <cell r="E49">
            <v>3729</v>
          </cell>
          <cell r="F49">
            <v>3761</v>
          </cell>
          <cell r="G49">
            <v>3728</v>
          </cell>
          <cell r="H49">
            <v>0</v>
          </cell>
          <cell r="I49">
            <v>4727</v>
          </cell>
          <cell r="M49" t="str">
            <v>Eesti Keskkonnauringute Keskuse prognoos (2014 juuni)</v>
          </cell>
        </row>
        <row r="50">
          <cell r="C50" t="str">
            <v>CO2non-ETS @ 2030 [1000 t/a]</v>
          </cell>
          <cell r="D50" t="str">
            <v>1000 tCO2ekv</v>
          </cell>
          <cell r="E50">
            <v>343</v>
          </cell>
          <cell r="F50">
            <v>343</v>
          </cell>
          <cell r="G50">
            <v>343</v>
          </cell>
          <cell r="H50">
            <v>399.76723900772163</v>
          </cell>
          <cell r="I50">
            <v>328.83441415287427</v>
          </cell>
          <cell r="K50" t="str">
            <v>Elektritootmisstsenaariumid</v>
          </cell>
          <cell r="M50" t="str">
            <v>Eesti Keskkonnauringute Keskuse prognoos (2014 juuni)</v>
          </cell>
        </row>
        <row r="52">
          <cell r="C52" t="str">
            <v>Riigi kulud 2015-2030</v>
          </cell>
          <cell r="D52" t="str">
            <v>M€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K52" t="str">
            <v>Stsenaariumite majandusmõju hinnang</v>
          </cell>
          <cell r="M52" t="str">
            <v>Majandusmõjude hinnang. Arvutusmudel</v>
          </cell>
        </row>
        <row r="53">
          <cell r="C53" t="str">
            <v>Riigi tulud 2015-2030</v>
          </cell>
          <cell r="D53" t="str">
            <v>M€</v>
          </cell>
          <cell r="E53">
            <v>2123.1456082434788</v>
          </cell>
          <cell r="F53">
            <v>2126.3040843182562</v>
          </cell>
          <cell r="G53">
            <v>2491.4537800551052</v>
          </cell>
          <cell r="H53">
            <v>2337.4249826583159</v>
          </cell>
          <cell r="I53">
            <v>3822.8301153898597</v>
          </cell>
          <cell r="K53" t="str">
            <v>Stsenaariumite majandusmõju hinnang</v>
          </cell>
          <cell r="M53" t="str">
            <v>Majandusmõjude hinnang. Arvutusmudel</v>
          </cell>
        </row>
        <row r="54">
          <cell r="C54" t="str">
            <v>Riigi kulud 2015-2030 vs BAAS</v>
          </cell>
          <cell r="D54" t="str">
            <v>M€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K54" t="str">
            <v>Stsenaariumite majandusmõju hinnang</v>
          </cell>
          <cell r="M54" t="str">
            <v>Majandusmõjude hinnang. Arvutusmudel</v>
          </cell>
        </row>
        <row r="55">
          <cell r="C55" t="str">
            <v>Riigi tulud 2015-2030 vs BAAS</v>
          </cell>
          <cell r="D55" t="str">
            <v>M€</v>
          </cell>
          <cell r="E55">
            <v>0</v>
          </cell>
          <cell r="F55">
            <v>3.1584760747774325</v>
          </cell>
          <cell r="G55">
            <v>368.30817181162638</v>
          </cell>
          <cell r="H55">
            <v>214.27937441483704</v>
          </cell>
          <cell r="I55">
            <v>1699.6845071463808</v>
          </cell>
          <cell r="K55" t="str">
            <v>Stsenaariumite majandusmõju hinnang</v>
          </cell>
          <cell r="M55" t="str">
            <v>Majandusmõjude hinnang. Arvutusmudel</v>
          </cell>
        </row>
        <row r="56">
          <cell r="C56" t="str">
            <v>SKP muutus turuhindades @2030</v>
          </cell>
          <cell r="D56" t="str">
            <v>M€/a</v>
          </cell>
          <cell r="E56">
            <v>532.6309746662796</v>
          </cell>
          <cell r="F56">
            <v>535.04910273985695</v>
          </cell>
          <cell r="G56">
            <v>870.22656890065855</v>
          </cell>
          <cell r="H56">
            <v>599.20467843540666</v>
          </cell>
          <cell r="I56">
            <v>1016.9899465780616</v>
          </cell>
          <cell r="K56" t="str">
            <v>Stsenaariumite majandusmõju hinnang</v>
          </cell>
          <cell r="M56" t="str">
            <v>Majandusmõjude hinnang. Arvutusmudel</v>
          </cell>
        </row>
        <row r="57">
          <cell r="C57" t="str">
            <v>SKP muutus turuhindades @2030 VS BAAS</v>
          </cell>
          <cell r="D57" t="str">
            <v>M€/a</v>
          </cell>
          <cell r="E57">
            <v>0</v>
          </cell>
          <cell r="F57">
            <v>2.4181280735773343</v>
          </cell>
          <cell r="G57">
            <v>337.59559423437895</v>
          </cell>
          <cell r="H57">
            <v>66.573703769127079</v>
          </cell>
          <cell r="I57">
            <v>484.35897191178191</v>
          </cell>
          <cell r="K57" t="str">
            <v>Stsenaariumite majandusmõju hinnang</v>
          </cell>
          <cell r="M57" t="str">
            <v>Majandusmõjude hinnang. Arvutusmudel</v>
          </cell>
        </row>
        <row r="58">
          <cell r="C58" t="str">
            <v>SKP muutus turuhindades 2015-2030</v>
          </cell>
          <cell r="D58" t="str">
            <v>M€</v>
          </cell>
          <cell r="E58">
            <v>8544.3190766505377</v>
          </cell>
          <cell r="F58">
            <v>8553.6569857142804</v>
          </cell>
          <cell r="G58">
            <v>9929.737875066794</v>
          </cell>
          <cell r="H58">
            <v>9011.1720696053926</v>
          </cell>
          <cell r="I58">
            <v>15734.587664706229</v>
          </cell>
          <cell r="K58" t="str">
            <v>Stsenaariumite majandusmõju hinnang</v>
          </cell>
          <cell r="M58" t="str">
            <v>Majandusmõjude hinnang. Arvutusmudel</v>
          </cell>
        </row>
        <row r="59">
          <cell r="C59" t="str">
            <v>SKP muutus turuhindades 2015-2030 VS BAAS</v>
          </cell>
          <cell r="D59" t="str">
            <v>M€</v>
          </cell>
          <cell r="E59">
            <v>0</v>
          </cell>
          <cell r="F59">
            <v>9.3379090637430302</v>
          </cell>
          <cell r="G59">
            <v>1385.4187984162559</v>
          </cell>
          <cell r="H59">
            <v>466.85299295485561</v>
          </cell>
          <cell r="I59">
            <v>7190.2685880556901</v>
          </cell>
          <cell r="K59" t="str">
            <v>Stsenaariumite majandusmõju hinnang</v>
          </cell>
          <cell r="M59" t="str">
            <v>Majandusmõjude hinnang. Arvutusmudel</v>
          </cell>
        </row>
        <row r="60">
          <cell r="C60" t="str">
            <v>Tööhõive muutus @2030 VS BAAS</v>
          </cell>
          <cell r="D60" t="str">
            <v>in/a</v>
          </cell>
          <cell r="E60">
            <v>0</v>
          </cell>
          <cell r="F60">
            <v>1.7839398946615272</v>
          </cell>
          <cell r="G60">
            <v>3910.3225166429174</v>
          </cell>
          <cell r="H60">
            <v>945.07159981056736</v>
          </cell>
          <cell r="I60">
            <v>3719.0696590465859</v>
          </cell>
          <cell r="K60" t="str">
            <v>Stsenaariumite majandusmõju hinnang</v>
          </cell>
          <cell r="M60" t="str">
            <v>Majandusmõjude hinnang. Arvutusmudel</v>
          </cell>
        </row>
        <row r="61">
          <cell r="C61" t="str">
            <v>SKP inimese kohta</v>
          </cell>
          <cell r="D61" t="str">
            <v>%</v>
          </cell>
          <cell r="E61">
            <v>0</v>
          </cell>
          <cell r="F61">
            <v>3.8860775931841434E-5</v>
          </cell>
          <cell r="G61">
            <v>3.6495069909285799E-3</v>
          </cell>
          <cell r="H61">
            <v>1.1859705342121053E-3</v>
          </cell>
          <cell r="I61">
            <v>1.6170650792182481E-2</v>
          </cell>
          <cell r="K61" t="str">
            <v>Stsenaariumite majandusmõju hinnang</v>
          </cell>
          <cell r="M61" t="str">
            <v>Majandusmõjude hinnang. Arvutusmudel</v>
          </cell>
        </row>
        <row r="62">
          <cell r="C62" t="str">
            <v>Väliskaubanduse saldo/SKP</v>
          </cell>
          <cell r="D62" t="str">
            <v>%</v>
          </cell>
          <cell r="E62">
            <v>0</v>
          </cell>
          <cell r="F62">
            <v>-3.2752531965811009E-5</v>
          </cell>
          <cell r="G62">
            <v>-8.2196448755825007E-4</v>
          </cell>
          <cell r="H62">
            <v>-7.1819743169545603E-4</v>
          </cell>
          <cell r="I62">
            <v>7.6111560446694929E-3</v>
          </cell>
          <cell r="K62" t="str">
            <v>Stsenaariumite majandusmõju hinnang</v>
          </cell>
          <cell r="M62" t="str">
            <v>Majandusmõjude hinnang. Arvutusmudel</v>
          </cell>
        </row>
        <row r="63">
          <cell r="C63" t="str">
            <v>Tööviljakuse muutus</v>
          </cell>
          <cell r="D63" t="str">
            <v>%</v>
          </cell>
          <cell r="E63">
            <v>0</v>
          </cell>
          <cell r="F63">
            <v>2.1865788303510723E-5</v>
          </cell>
          <cell r="G63">
            <v>2.0230003105967862E-3</v>
          </cell>
          <cell r="H63">
            <v>1.4751352411081222E-3</v>
          </cell>
          <cell r="I63">
            <v>6.9981466134073399E-3</v>
          </cell>
          <cell r="K63" t="str">
            <v>Stsenaariumite majandusmõju hinnang</v>
          </cell>
          <cell r="M63" t="str">
            <v>Majandusmõjude hinnang. Arvutusmudel</v>
          </cell>
        </row>
        <row r="64">
          <cell r="C64" t="str">
            <v>Tööhõive muutus</v>
          </cell>
          <cell r="D64" t="str">
            <v>%</v>
          </cell>
          <cell r="E64">
            <v>0</v>
          </cell>
          <cell r="F64">
            <v>1.6997497137460904E-5</v>
          </cell>
          <cell r="G64">
            <v>1.6538819265236038E-3</v>
          </cell>
          <cell r="H64">
            <v>-2.8586282326564794E-4</v>
          </cell>
          <cell r="I64">
            <v>9.4527911091342731E-3</v>
          </cell>
          <cell r="K64" t="str">
            <v>Stsenaariumite majandusmõju hinnang</v>
          </cell>
          <cell r="M64" t="str">
            <v>Majandusmõjude hinnang. Arvutusmudel</v>
          </cell>
        </row>
        <row r="66">
          <cell r="C66" t="str">
            <v>Primaarenergia tarbimine/SKP</v>
          </cell>
          <cell r="D66" t="str">
            <v>%</v>
          </cell>
          <cell r="E66">
            <v>0</v>
          </cell>
          <cell r="F66">
            <v>1.849685073702665E-5</v>
          </cell>
          <cell r="G66">
            <v>3.5150727338995226E-5</v>
          </cell>
          <cell r="H66">
            <v>-2.0444720242954191E-2</v>
          </cell>
          <cell r="I66">
            <v>9.81009517832457E-3</v>
          </cell>
          <cell r="K66" t="str">
            <v>Stsenaariumite majandusmõju hinnang</v>
          </cell>
          <cell r="M66" t="str">
            <v>Majandusmõjude hinnang. Arvutusmudel</v>
          </cell>
        </row>
        <row r="67">
          <cell r="C67" t="str">
            <v>Fossiilsed kütused/SKP</v>
          </cell>
          <cell r="D67" t="str">
            <v>%</v>
          </cell>
          <cell r="E67">
            <v>0</v>
          </cell>
          <cell r="F67">
            <v>2.086028511696189E-5</v>
          </cell>
          <cell r="G67">
            <v>-3.1158306941380526E-4</v>
          </cell>
          <cell r="H67">
            <v>-0.14018616807588472</v>
          </cell>
          <cell r="I67">
            <v>8.820364857878267E-2</v>
          </cell>
          <cell r="K67" t="str">
            <v>Stsenaariumite majandusmõju hinnang</v>
          </cell>
          <cell r="M67" t="str">
            <v>Majandusmõjude hinnang. Arvutusmudel</v>
          </cell>
        </row>
        <row r="68">
          <cell r="C68" t="str">
            <v>CO2 koguemissioon/SKP</v>
          </cell>
          <cell r="D68" t="str">
            <v>%</v>
          </cell>
          <cell r="E68">
            <v>0</v>
          </cell>
          <cell r="F68">
            <v>3.8062194737299741E-5</v>
          </cell>
          <cell r="G68">
            <v>3.1057256013390471E-4</v>
          </cell>
          <cell r="H68">
            <v>-4.8984251623603543E-2</v>
          </cell>
          <cell r="I68">
            <v>9.4910950897915763E-2</v>
          </cell>
          <cell r="K68" t="str">
            <v>Stsenaariumite majandusmõju hinnang</v>
          </cell>
          <cell r="M68" t="str">
            <v>Majandusmõjude hinnang. Arvutusmudel</v>
          </cell>
        </row>
        <row r="70">
          <cell r="C70" t="str">
            <v>KHG (CO2 eq) @ baasaasta</v>
          </cell>
          <cell r="D70" t="str">
            <v>1000 t/a</v>
          </cell>
          <cell r="E70">
            <v>12362</v>
          </cell>
          <cell r="F70">
            <v>12362</v>
          </cell>
          <cell r="G70">
            <v>12362</v>
          </cell>
          <cell r="H70">
            <v>12362</v>
          </cell>
          <cell r="I70">
            <v>12362</v>
          </cell>
          <cell r="K70" t="str">
            <v>-</v>
          </cell>
          <cell r="M70" t="str">
            <v>ENMAK 2030 stsenaariumitega kaasneva õhukvaliteedi muutuse prognoos</v>
          </cell>
        </row>
        <row r="71">
          <cell r="C71" t="str">
            <v>NOx @ baasaasta</v>
          </cell>
          <cell r="D71" t="str">
            <v>t/a</v>
          </cell>
          <cell r="E71">
            <v>13393</v>
          </cell>
          <cell r="F71">
            <v>13393</v>
          </cell>
          <cell r="G71">
            <v>13393</v>
          </cell>
          <cell r="H71">
            <v>13393</v>
          </cell>
          <cell r="I71">
            <v>13393</v>
          </cell>
          <cell r="K71" t="str">
            <v>-</v>
          </cell>
          <cell r="M71" t="str">
            <v>ENMAK 2030 stsenaariumitega kaasneva õhukvaliteedi muutuse prognoos</v>
          </cell>
        </row>
        <row r="72">
          <cell r="C72" t="str">
            <v>SO2 @ baasaasta</v>
          </cell>
          <cell r="D72" t="str">
            <v>t/a</v>
          </cell>
          <cell r="E72">
            <v>46040</v>
          </cell>
          <cell r="F72">
            <v>46040</v>
          </cell>
          <cell r="G72">
            <v>46040</v>
          </cell>
          <cell r="H72">
            <v>46040</v>
          </cell>
          <cell r="I72">
            <v>46040</v>
          </cell>
          <cell r="K72" t="str">
            <v>-</v>
          </cell>
          <cell r="M72" t="str">
            <v>ENMAK 2030 stsenaariumitega kaasneva õhukvaliteedi muutuse prognoos</v>
          </cell>
        </row>
        <row r="73">
          <cell r="C73" t="str">
            <v>PM2.5 @ baasaasta</v>
          </cell>
          <cell r="D73" t="str">
            <v>t/a</v>
          </cell>
          <cell r="E73">
            <v>2176</v>
          </cell>
          <cell r="F73">
            <v>2176</v>
          </cell>
          <cell r="G73">
            <v>2176</v>
          </cell>
          <cell r="H73">
            <v>2176</v>
          </cell>
          <cell r="I73">
            <v>2176</v>
          </cell>
          <cell r="K73" t="str">
            <v>-</v>
          </cell>
          <cell r="M73" t="str">
            <v>ENMAK 2030 stsenaariumitega kaasneva õhukvaliteedi muutuse prognoos</v>
          </cell>
        </row>
        <row r="75">
          <cell r="C75" t="str">
            <v>KHG (CO2 eq) @ 2020</v>
          </cell>
          <cell r="D75" t="str">
            <v>1000 t/a</v>
          </cell>
          <cell r="E75">
            <v>5980</v>
          </cell>
          <cell r="F75">
            <v>6010</v>
          </cell>
          <cell r="G75">
            <v>6009</v>
          </cell>
          <cell r="H75">
            <v>407</v>
          </cell>
          <cell r="I75">
            <v>10685</v>
          </cell>
          <cell r="K75" t="str">
            <v>-</v>
          </cell>
          <cell r="M75" t="str">
            <v>ENMAK 2030 stsenaariumitega kaasneva õhukvaliteedi muutuse prognoos</v>
          </cell>
        </row>
        <row r="76">
          <cell r="C76" t="str">
            <v>NOx @ 2020</v>
          </cell>
          <cell r="D76" t="str">
            <v>t/a</v>
          </cell>
          <cell r="E76">
            <v>6340</v>
          </cell>
          <cell r="F76">
            <v>6340</v>
          </cell>
          <cell r="G76">
            <v>6348</v>
          </cell>
          <cell r="H76">
            <v>5118</v>
          </cell>
          <cell r="I76">
            <v>11694</v>
          </cell>
          <cell r="K76" t="str">
            <v>-</v>
          </cell>
          <cell r="M76" t="str">
            <v>ENMAK 2030 stsenaariumitega kaasneva õhukvaliteedi muutuse prognoos</v>
          </cell>
        </row>
        <row r="77">
          <cell r="C77" t="str">
            <v>SO2 @ 2020</v>
          </cell>
          <cell r="D77" t="str">
            <v>t/a</v>
          </cell>
          <cell r="E77">
            <v>7152</v>
          </cell>
          <cell r="F77">
            <v>7152</v>
          </cell>
          <cell r="G77">
            <v>7152</v>
          </cell>
          <cell r="H77">
            <v>368</v>
          </cell>
          <cell r="I77">
            <v>26048.481894304274</v>
          </cell>
          <cell r="K77" t="str">
            <v>-</v>
          </cell>
          <cell r="M77" t="str">
            <v>ENMAK 2030 stsenaariumitega kaasneva õhukvaliteedi muutuse prognoos</v>
          </cell>
        </row>
        <row r="78">
          <cell r="C78" t="str">
            <v>PM2.5 @ 2020</v>
          </cell>
          <cell r="D78" t="str">
            <v>t/a</v>
          </cell>
          <cell r="E78">
            <v>370</v>
          </cell>
          <cell r="F78">
            <v>381</v>
          </cell>
          <cell r="G78">
            <v>382</v>
          </cell>
          <cell r="H78">
            <v>365</v>
          </cell>
          <cell r="I78">
            <v>696</v>
          </cell>
          <cell r="K78" t="str">
            <v>-</v>
          </cell>
          <cell r="M78" t="str">
            <v>ENMAK 2030 stsenaariumitega kaasneva õhukvaliteedi muutuse prognoos</v>
          </cell>
        </row>
        <row r="80">
          <cell r="C80" t="str">
            <v>KHG (CO2 eq) @ 2030</v>
          </cell>
          <cell r="D80" t="str">
            <v>1000 t/a</v>
          </cell>
          <cell r="E80">
            <v>4071</v>
          </cell>
          <cell r="F80">
            <v>4103.4807993214208</v>
          </cell>
          <cell r="G80">
            <v>4070.6523807003477</v>
          </cell>
          <cell r="H80">
            <v>399.76723900772163</v>
          </cell>
          <cell r="I80">
            <v>5063</v>
          </cell>
          <cell r="K80" t="str">
            <v>-</v>
          </cell>
          <cell r="M80" t="str">
            <v>ENMAK 2030 stsenaariumitega kaasneva õhukvaliteedi muutuse prognoos</v>
          </cell>
        </row>
        <row r="81">
          <cell r="C81" t="str">
            <v>NOx @ 2030</v>
          </cell>
          <cell r="D81" t="str">
            <v>t/a</v>
          </cell>
          <cell r="E81">
            <v>5498</v>
          </cell>
          <cell r="F81">
            <v>5500.5780115745347</v>
          </cell>
          <cell r="G81">
            <v>5503.8610994305845</v>
          </cell>
          <cell r="H81">
            <v>5067.7217932428175</v>
          </cell>
          <cell r="I81">
            <v>9966</v>
          </cell>
          <cell r="K81" t="str">
            <v>-</v>
          </cell>
          <cell r="M81" t="str">
            <v>ENMAK 2030 stsenaariumitega kaasneva õhukvaliteedi muutuse prognoos</v>
          </cell>
        </row>
        <row r="82">
          <cell r="C82" t="str">
            <v>SO2 @ 2030</v>
          </cell>
          <cell r="D82" t="str">
            <v>t/a</v>
          </cell>
          <cell r="E82">
            <v>5548</v>
          </cell>
          <cell r="F82">
            <v>5546.5814279072902</v>
          </cell>
          <cell r="G82">
            <v>5546.5814279072902</v>
          </cell>
          <cell r="H82">
            <v>333.20225277991483</v>
          </cell>
          <cell r="I82">
            <v>32165.173005800512</v>
          </cell>
          <cell r="K82" t="str">
            <v>-</v>
          </cell>
          <cell r="M82" t="str">
            <v>ENMAK 2030 stsenaariumitega kaasneva õhukvaliteedi muutuse prognoos</v>
          </cell>
        </row>
        <row r="83">
          <cell r="C83" t="str">
            <v>PM2.5 @ 2030</v>
          </cell>
          <cell r="D83" t="str">
            <v>t/a</v>
          </cell>
          <cell r="E83">
            <v>302</v>
          </cell>
          <cell r="F83">
            <v>312.76057774890688</v>
          </cell>
          <cell r="G83">
            <v>315.3156794471023</v>
          </cell>
          <cell r="H83">
            <v>344.83135709009554</v>
          </cell>
          <cell r="I83">
            <v>260.98961560491642</v>
          </cell>
          <cell r="K83" t="str">
            <v>-</v>
          </cell>
          <cell r="M83" t="str">
            <v>ENMAK 2030 stsenaariumitega kaasneva õhukvaliteedi muutuse prognoos</v>
          </cell>
        </row>
        <row r="85">
          <cell r="C85" t="str">
            <v>KHG (CO2 eq) @ 2050</v>
          </cell>
          <cell r="D85" t="str">
            <v>1000 t/a</v>
          </cell>
          <cell r="E85">
            <v>1334</v>
          </cell>
          <cell r="F85">
            <v>2049</v>
          </cell>
          <cell r="G85">
            <v>1357</v>
          </cell>
          <cell r="H85">
            <v>329</v>
          </cell>
          <cell r="I85">
            <v>3487</v>
          </cell>
          <cell r="K85" t="str">
            <v>-</v>
          </cell>
          <cell r="M85" t="str">
            <v>ENMAK 2030 stsenaariumitega kaasneva õhukvaliteedi muutuse prognoos</v>
          </cell>
        </row>
        <row r="86">
          <cell r="C86" t="str">
            <v>NOx @ 2050</v>
          </cell>
          <cell r="D86" t="str">
            <v>t/a</v>
          </cell>
          <cell r="E86">
            <v>3331</v>
          </cell>
          <cell r="F86">
            <v>3792</v>
          </cell>
          <cell r="G86">
            <v>3649</v>
          </cell>
          <cell r="H86">
            <v>2945</v>
          </cell>
          <cell r="I86">
            <v>8881</v>
          </cell>
          <cell r="K86" t="str">
            <v>-</v>
          </cell>
          <cell r="M86" t="str">
            <v>ENMAK 2030 stsenaariumitega kaasneva õhukvaliteedi muutuse prognoos</v>
          </cell>
        </row>
        <row r="87">
          <cell r="C87" t="str">
            <v>SO2 @ 2050</v>
          </cell>
          <cell r="D87" t="str">
            <v>t/a</v>
          </cell>
          <cell r="E87">
            <v>5253</v>
          </cell>
          <cell r="F87">
            <v>5048</v>
          </cell>
          <cell r="G87">
            <v>5048</v>
          </cell>
          <cell r="H87">
            <v>119</v>
          </cell>
          <cell r="I87">
            <v>32112.04988281674</v>
          </cell>
          <cell r="K87" t="str">
            <v>-</v>
          </cell>
          <cell r="M87" t="str">
            <v>ENMAK 2030 stsenaariumitega kaasneva õhukvaliteedi muutuse prognoos</v>
          </cell>
        </row>
        <row r="88">
          <cell r="C88" t="str">
            <v>PM2.5 @ 2050</v>
          </cell>
          <cell r="D88" t="str">
            <v>t/a</v>
          </cell>
          <cell r="E88">
            <v>145</v>
          </cell>
          <cell r="F88">
            <v>167</v>
          </cell>
          <cell r="G88">
            <v>184</v>
          </cell>
          <cell r="H88">
            <v>172</v>
          </cell>
          <cell r="I88">
            <v>157</v>
          </cell>
          <cell r="K88" t="str">
            <v>-</v>
          </cell>
          <cell r="M88" t="str">
            <v>ENMAK 2030 stsenaariumitega kaasneva õhukvaliteedi muutuse prognoos</v>
          </cell>
        </row>
        <row r="90">
          <cell r="C90" t="str">
            <v>Inimese tervis @ baasaasta</v>
          </cell>
          <cell r="D90" t="str">
            <v>DALY</v>
          </cell>
          <cell r="E90">
            <v>9623</v>
          </cell>
          <cell r="F90">
            <v>9623</v>
          </cell>
          <cell r="G90">
            <v>9623</v>
          </cell>
          <cell r="H90">
            <v>9623</v>
          </cell>
          <cell r="I90">
            <v>9623</v>
          </cell>
          <cell r="K90" t="str">
            <v>-</v>
          </cell>
          <cell r="M90" t="str">
            <v>ENMAK 2030 stsenaariumitega kaasneva keskkonnamõju modelleerimine</v>
          </cell>
        </row>
        <row r="91">
          <cell r="C91" t="str">
            <v>Ökosüsteemi kvaliteet @ baasaasta</v>
          </cell>
          <cell r="D91" t="str">
            <v>Species*y</v>
          </cell>
          <cell r="E91">
            <v>22</v>
          </cell>
          <cell r="F91">
            <v>22</v>
          </cell>
          <cell r="G91">
            <v>22</v>
          </cell>
          <cell r="H91">
            <v>22</v>
          </cell>
          <cell r="I91">
            <v>22</v>
          </cell>
          <cell r="K91" t="str">
            <v>-</v>
          </cell>
          <cell r="M91" t="str">
            <v>ENMAK 2030 stsenaariumitega kaasneva keskkonnamõju modelleerimine</v>
          </cell>
        </row>
        <row r="92">
          <cell r="C92" t="str">
            <v>Kliima-muutused @ baasaasta</v>
          </cell>
          <cell r="D92" t="str">
            <v>1000 t CO2 eq</v>
          </cell>
          <cell r="E92">
            <v>14602</v>
          </cell>
          <cell r="F92">
            <v>14602</v>
          </cell>
          <cell r="G92">
            <v>14602</v>
          </cell>
          <cell r="H92">
            <v>14602</v>
          </cell>
          <cell r="I92">
            <v>14602</v>
          </cell>
          <cell r="K92" t="str">
            <v>-</v>
          </cell>
          <cell r="M92" t="str">
            <v>ENMAK 2030 stsenaariumitega kaasneva keskkonnamõju modelleerimine</v>
          </cell>
        </row>
        <row r="93">
          <cell r="C93" t="str">
            <v>Ressursid @ baasaasta</v>
          </cell>
          <cell r="D93" t="str">
            <v>TJ primary</v>
          </cell>
          <cell r="E93">
            <v>161326</v>
          </cell>
          <cell r="F93">
            <v>161326</v>
          </cell>
          <cell r="G93">
            <v>161326</v>
          </cell>
          <cell r="H93">
            <v>161326</v>
          </cell>
          <cell r="I93">
            <v>161326</v>
          </cell>
          <cell r="K93" t="str">
            <v>-</v>
          </cell>
          <cell r="M93" t="str">
            <v>ENMAK 2030 stsenaariumitega kaasneva keskkonnamõju modelleerimine</v>
          </cell>
        </row>
        <row r="94">
          <cell r="C94" t="str">
            <v>Kokku @ baasaasta</v>
          </cell>
          <cell r="D94" t="str">
            <v>Pt</v>
          </cell>
          <cell r="E94">
            <v>4088098</v>
          </cell>
          <cell r="F94">
            <v>4088098</v>
          </cell>
          <cell r="G94">
            <v>4088098</v>
          </cell>
          <cell r="H94">
            <v>4088098</v>
          </cell>
          <cell r="I94">
            <v>4088098</v>
          </cell>
          <cell r="K94" t="str">
            <v>-</v>
          </cell>
          <cell r="M94" t="str">
            <v>ENMAK 2030 stsenaariumitega kaasneva keskkonnamõju modelleerimine</v>
          </cell>
        </row>
        <row r="96">
          <cell r="C96" t="str">
            <v>Inimese tervis</v>
          </cell>
          <cell r="D96" t="str">
            <v>DALY</v>
          </cell>
          <cell r="E96">
            <v>1863</v>
          </cell>
          <cell r="F96">
            <v>1863</v>
          </cell>
          <cell r="G96">
            <v>1946</v>
          </cell>
          <cell r="H96">
            <v>1400</v>
          </cell>
          <cell r="I96">
            <v>2898</v>
          </cell>
          <cell r="K96" t="str">
            <v>-</v>
          </cell>
          <cell r="M96" t="str">
            <v>ENMAK 2030 stsenaariumitega kaasneva keskkonnamõju modelleerimine</v>
          </cell>
        </row>
        <row r="97">
          <cell r="C97" t="str">
            <v>Ökosüsteemi kvaliteet</v>
          </cell>
          <cell r="D97" t="str">
            <v>Species*y</v>
          </cell>
          <cell r="E97">
            <v>20</v>
          </cell>
          <cell r="F97">
            <v>20</v>
          </cell>
          <cell r="G97">
            <v>21</v>
          </cell>
          <cell r="H97">
            <v>28</v>
          </cell>
          <cell r="I97">
            <v>44</v>
          </cell>
          <cell r="K97" t="str">
            <v>-</v>
          </cell>
          <cell r="M97" t="str">
            <v>ENMAK 2030 stsenaariumitega kaasneva keskkonnamõju modelleerimine</v>
          </cell>
        </row>
        <row r="98">
          <cell r="C98" t="str">
            <v>Kliima-muutused</v>
          </cell>
          <cell r="D98" t="str">
            <v>1000 t CO2 eq</v>
          </cell>
          <cell r="E98">
            <v>4763</v>
          </cell>
          <cell r="F98">
            <v>4765</v>
          </cell>
          <cell r="G98">
            <v>4780</v>
          </cell>
          <cell r="H98">
            <v>660</v>
          </cell>
          <cell r="I98">
            <v>7321</v>
          </cell>
          <cell r="K98" t="str">
            <v>-</v>
          </cell>
          <cell r="M98" t="str">
            <v>ENMAK 2030 stsenaariumitega kaasneva keskkonnamõju modelleerimine</v>
          </cell>
        </row>
        <row r="99">
          <cell r="C99" t="str">
            <v>Ressursid</v>
          </cell>
          <cell r="D99" t="str">
            <v>TJ primary</v>
          </cell>
          <cell r="E99">
            <v>91247</v>
          </cell>
          <cell r="F99">
            <v>91274</v>
          </cell>
          <cell r="G99">
            <v>91295</v>
          </cell>
          <cell r="H99">
            <v>8356</v>
          </cell>
          <cell r="I99">
            <v>356691</v>
          </cell>
          <cell r="K99" t="str">
            <v>-</v>
          </cell>
          <cell r="M99" t="str">
            <v>ENMAK 2030 stsenaariumitega kaasneva keskkonnamõju modelleerimine</v>
          </cell>
        </row>
        <row r="100">
          <cell r="C100" t="str">
            <v>Kokku</v>
          </cell>
          <cell r="D100" t="str">
            <v>Pt</v>
          </cell>
          <cell r="E100">
            <v>1524540</v>
          </cell>
          <cell r="F100">
            <v>1525109</v>
          </cell>
          <cell r="G100">
            <v>1546128</v>
          </cell>
          <cell r="H100">
            <v>576102</v>
          </cell>
          <cell r="I100">
            <v>3888934</v>
          </cell>
          <cell r="K100" t="str">
            <v>-</v>
          </cell>
          <cell r="M100" t="str">
            <v>ENMAK 2030 stsenaariumitega kaasneva keskkonnamõju modelleerimine</v>
          </cell>
        </row>
        <row r="102">
          <cell r="C102" t="str">
            <v>PM2.5-st tingitud varajaste surmajuhtumite arv @ 2012</v>
          </cell>
          <cell r="D102" t="str">
            <v>surmajuhtumite arv</v>
          </cell>
          <cell r="E102">
            <v>20.2</v>
          </cell>
          <cell r="F102">
            <v>20.2</v>
          </cell>
          <cell r="G102">
            <v>20.2</v>
          </cell>
          <cell r="H102">
            <v>20.2</v>
          </cell>
          <cell r="I102">
            <v>20.2</v>
          </cell>
          <cell r="K102" t="str">
            <v>ENMAK 2030. Õhusaaste tervisemõju</v>
          </cell>
          <cell r="M102" t="str">
            <v>Orru, H. ENMAK 2030 õhusaaste tervisemõju. Arvutusfail</v>
          </cell>
        </row>
        <row r="103">
          <cell r="C103" t="str">
            <v>PM2.5-st tingitud varajaste surmajuhtumite arv @ 2030</v>
          </cell>
          <cell r="D103" t="str">
            <v>surmajuhtumite arv</v>
          </cell>
          <cell r="E103">
            <v>0.9</v>
          </cell>
          <cell r="F103">
            <v>0.9</v>
          </cell>
          <cell r="G103">
            <v>0.9</v>
          </cell>
          <cell r="H103">
            <v>1</v>
          </cell>
          <cell r="I103">
            <v>0.8</v>
          </cell>
          <cell r="K103" t="str">
            <v>ENMAK 2030. Õhusaaste tervisemõju</v>
          </cell>
          <cell r="M103" t="str">
            <v>Orru, H. ENMAK 2030 õhusaaste tervisemõju. Arvutusfail</v>
          </cell>
        </row>
      </sheetData>
      <sheetData sheetId="13" refreshError="1"/>
      <sheetData sheetId="14" refreshError="1"/>
      <sheetData sheetId="15">
        <row r="1">
          <cell r="E1" t="str">
            <v>Mitte-sekkuv</v>
          </cell>
          <cell r="F1" t="str">
            <v>Vähe-sekkuv</v>
          </cell>
          <cell r="G1" t="str">
            <v>Teadmistepõhine</v>
          </cell>
          <cell r="I1" t="str">
            <v>Allikmaterjalid</v>
          </cell>
        </row>
        <row r="2">
          <cell r="E2" t="str">
            <v>Stsenaarium # 1</v>
          </cell>
          <cell r="F2" t="str">
            <v>Stsenaarium # 2</v>
          </cell>
          <cell r="G2" t="str">
            <v>Stsenaarium # 3</v>
          </cell>
          <cell r="I2" t="str">
            <v>Artikkel</v>
          </cell>
          <cell r="K2" t="str">
            <v>Arvutusfail / Aruanne</v>
          </cell>
        </row>
        <row r="4">
          <cell r="C4" t="str">
            <v>Bioetanool @ 2030</v>
          </cell>
          <cell r="D4" t="str">
            <v>TWh/a</v>
          </cell>
          <cell r="E4">
            <v>0</v>
          </cell>
          <cell r="F4">
            <v>0.75</v>
          </cell>
          <cell r="G4">
            <v>1.65</v>
          </cell>
          <cell r="I4" t="str">
            <v>Kütuste stsenaariumid</v>
          </cell>
          <cell r="K4" t="str">
            <v>Kohalike biokütuste stsenaariumite tulemused</v>
          </cell>
        </row>
        <row r="5">
          <cell r="C5" t="str">
            <v>Biometaan @ 2030</v>
          </cell>
          <cell r="D5" t="str">
            <v>TWh/a</v>
          </cell>
          <cell r="E5">
            <v>0</v>
          </cell>
          <cell r="F5">
            <v>1.391</v>
          </cell>
          <cell r="G5">
            <v>2.63</v>
          </cell>
          <cell r="I5" t="str">
            <v>Kütuste stsenaariumid</v>
          </cell>
          <cell r="K5" t="str">
            <v>Kohalike biokütuste stsenaariumite tulemused</v>
          </cell>
        </row>
        <row r="7">
          <cell r="C7" t="str">
            <v>Taastuvatest allikatest toodetud mootorikütused @ 2030 [TWh/a]</v>
          </cell>
          <cell r="D7" t="str">
            <v>TWh/a</v>
          </cell>
          <cell r="E7">
            <v>0</v>
          </cell>
          <cell r="F7">
            <v>2.141</v>
          </cell>
          <cell r="G7">
            <v>4.2799999999999994</v>
          </cell>
          <cell r="I7" t="str">
            <v>-</v>
          </cell>
          <cell r="K7" t="str">
            <v>-</v>
          </cell>
        </row>
        <row r="9">
          <cell r="C9" t="str">
            <v>Riigi kulud 2015-2030</v>
          </cell>
          <cell r="D9" t="str">
            <v>MEUR</v>
          </cell>
          <cell r="E9">
            <v>0</v>
          </cell>
          <cell r="F9">
            <v>-437.22869609954267</v>
          </cell>
          <cell r="G9">
            <v>-600.04558644406939</v>
          </cell>
          <cell r="I9" t="str">
            <v>Kütuste stsenaariumid</v>
          </cell>
          <cell r="K9" t="str">
            <v>Kohalike biokütuste stsenaariumite tulemused</v>
          </cell>
        </row>
        <row r="10">
          <cell r="C10" t="str">
            <v>Investeeringutoetus biometaan</v>
          </cell>
          <cell r="D10" t="str">
            <v>MEUR</v>
          </cell>
          <cell r="E10">
            <v>0</v>
          </cell>
          <cell r="F10">
            <v>-34.5321000309117</v>
          </cell>
          <cell r="G10">
            <v>-41.419474763939398</v>
          </cell>
          <cell r="I10" t="str">
            <v>Kütuste stsenaariumid</v>
          </cell>
          <cell r="K10" t="str">
            <v>Kohalike biokütuste stsenaariumite tulemused</v>
          </cell>
        </row>
        <row r="11">
          <cell r="C11" t="str">
            <v>Investeeringutoetus bioetanool</v>
          </cell>
          <cell r="D11" t="str">
            <v>MEUR</v>
          </cell>
          <cell r="E11">
            <v>0</v>
          </cell>
          <cell r="F11">
            <v>-42</v>
          </cell>
          <cell r="G11">
            <v>-92</v>
          </cell>
          <cell r="I11" t="str">
            <v>Kütuste stsenaariumid</v>
          </cell>
          <cell r="K11" t="str">
            <v>Kohalike biokütuste stsenaariumite tulemused</v>
          </cell>
        </row>
        <row r="12">
          <cell r="C12" t="str">
            <v>A 1: toetusvajadus maagaasi aktsiisiga</v>
          </cell>
          <cell r="D12" t="str">
            <v>MEUR</v>
          </cell>
          <cell r="E12">
            <v>0</v>
          </cell>
          <cell r="F12">
            <v>-17.408586288689499</v>
          </cell>
          <cell r="G12">
            <v>-26.6251201296989</v>
          </cell>
          <cell r="I12" t="str">
            <v>Kütuste stsenaariumid</v>
          </cell>
          <cell r="K12" t="str">
            <v>Kohalike biokütuste stsenaariumite tulemused</v>
          </cell>
        </row>
        <row r="13">
          <cell r="C13" t="str">
            <v>A 2: toetusvajadus maagaasi aktsiisita</v>
          </cell>
          <cell r="D13" t="str">
            <v>MEUR</v>
          </cell>
          <cell r="E13">
            <v>0</v>
          </cell>
          <cell r="F13">
            <v>-360.69659606863098</v>
          </cell>
          <cell r="G13">
            <v>-466.62611168013001</v>
          </cell>
          <cell r="I13" t="str">
            <v>Kütuste stsenaariumid</v>
          </cell>
          <cell r="K13" t="str">
            <v>Kohalike biokütuste stsenaariumite tulemused</v>
          </cell>
        </row>
        <row r="20">
          <cell r="C20" t="str">
            <v>CO2non-ETS @ 2020 [1000 t/a]</v>
          </cell>
          <cell r="D20" t="str">
            <v>1000 tCO2ekv</v>
          </cell>
          <cell r="E20">
            <v>0</v>
          </cell>
          <cell r="F20">
            <v>212</v>
          </cell>
          <cell r="G20">
            <v>289</v>
          </cell>
          <cell r="I20" t="str">
            <v>-</v>
          </cell>
          <cell r="K20" t="str">
            <v>-</v>
          </cell>
        </row>
        <row r="21">
          <cell r="C21" t="str">
            <v>Bioetanoli WTT @2020</v>
          </cell>
          <cell r="D21" t="str">
            <v>1000 tCO2e</v>
          </cell>
          <cell r="E21">
            <v>0</v>
          </cell>
          <cell r="F21">
            <v>189</v>
          </cell>
          <cell r="G21">
            <v>189</v>
          </cell>
          <cell r="I21" t="str">
            <v>Kütuste stsenaariumid</v>
          </cell>
          <cell r="K21" t="str">
            <v>Kohalike biokütuste stsenaariumite tulemused</v>
          </cell>
        </row>
        <row r="22">
          <cell r="C22" t="str">
            <v>Biometaani WTT @2020</v>
          </cell>
          <cell r="D22" t="str">
            <v>1000 tCO2e</v>
          </cell>
          <cell r="E22">
            <v>0</v>
          </cell>
          <cell r="F22">
            <v>23</v>
          </cell>
          <cell r="G22">
            <v>100</v>
          </cell>
          <cell r="I22" t="str">
            <v>Kütuste stsenaariumid</v>
          </cell>
          <cell r="K22" t="str">
            <v>Kohalike biokütuste stsenaariumite tulemused</v>
          </cell>
        </row>
        <row r="23">
          <cell r="C23" t="str">
            <v>CO2non-ETS @ 2030 [1000 t/a]</v>
          </cell>
          <cell r="D23" t="str">
            <v>1000 tCO2ekv</v>
          </cell>
          <cell r="E23">
            <v>0</v>
          </cell>
          <cell r="F23">
            <v>377.5</v>
          </cell>
          <cell r="G23">
            <v>586.20000000000005</v>
          </cell>
          <cell r="I23" t="str">
            <v>-</v>
          </cell>
          <cell r="K23" t="str">
            <v>-</v>
          </cell>
        </row>
        <row r="24">
          <cell r="C24" t="str">
            <v>Bioetanoli WTT @2030</v>
          </cell>
          <cell r="D24" t="str">
            <v>1000 t CO2e</v>
          </cell>
          <cell r="E24">
            <v>0</v>
          </cell>
          <cell r="F24">
            <v>189</v>
          </cell>
          <cell r="G24">
            <v>415.8</v>
          </cell>
          <cell r="I24" t="str">
            <v>Kütuste stsenaariumid</v>
          </cell>
          <cell r="K24" t="str">
            <v>Kohalike biokütuste stsenaariumite tulemused</v>
          </cell>
        </row>
        <row r="25">
          <cell r="C25" t="str">
            <v>Biometaani WTT @2030</v>
          </cell>
          <cell r="D25" t="str">
            <v>1000tCO2e</v>
          </cell>
          <cell r="E25">
            <v>0</v>
          </cell>
          <cell r="F25">
            <v>188.5</v>
          </cell>
          <cell r="G25">
            <v>170.4</v>
          </cell>
          <cell r="I25" t="str">
            <v>Kütuste stsenaariumid</v>
          </cell>
          <cell r="K25" t="str">
            <v>Kohalike biokütuste stsenaariumite tulemused</v>
          </cell>
        </row>
        <row r="27">
          <cell r="C27" t="str">
            <v>Primaarenergia tarbimine @ 2030_kütuste tootmiseks</v>
          </cell>
          <cell r="D27" t="str">
            <v>TWh/a</v>
          </cell>
          <cell r="E27">
            <v>0</v>
          </cell>
          <cell r="F27">
            <v>0.72205555555555556</v>
          </cell>
          <cell r="G27">
            <v>1.4361944444444446</v>
          </cell>
          <cell r="I27" t="str">
            <v>Kütuste stsenaariumid</v>
          </cell>
          <cell r="K27" t="str">
            <v>Kohalike biokütuste stsenaariumite tulemused</v>
          </cell>
        </row>
        <row r="29">
          <cell r="C29" t="str">
            <v>Biokütuste maksutulu kokku kuni 2030 [MEUR]</v>
          </cell>
          <cell r="D29" t="str">
            <v>MEUR</v>
          </cell>
          <cell r="E29">
            <v>0</v>
          </cell>
          <cell r="F29">
            <v>955.9</v>
          </cell>
          <cell r="G29">
            <v>2016.3</v>
          </cell>
          <cell r="I29" t="str">
            <v>Kütuste stsenaariumid</v>
          </cell>
          <cell r="K29" t="str">
            <v>Majandusmõjude hinnang. Arvutusmudel</v>
          </cell>
          <cell r="M29" t="str">
            <v>Kohalike biokütuste stsenaariumite tulemused</v>
          </cell>
        </row>
        <row r="30">
          <cell r="C30" t="str">
            <v>Maksutulu BIOMETAAN kuni 2030 [MEUR]</v>
          </cell>
          <cell r="D30" t="str">
            <v>MEUR</v>
          </cell>
          <cell r="I30" t="str">
            <v>Kütuste stsenaariumid</v>
          </cell>
          <cell r="K30" t="str">
            <v>Majandusmõjude hinnang. Arvutusmudel</v>
          </cell>
          <cell r="M30" t="str">
            <v>Kohalike biokütuste stsenaariumite tulemused</v>
          </cell>
        </row>
        <row r="31">
          <cell r="C31" t="str">
            <v>Maksutulu BIOETANOOL kuni 2030 [MEUR]</v>
          </cell>
          <cell r="D31" t="str">
            <v>MEUR</v>
          </cell>
          <cell r="I31" t="str">
            <v>Kütuste stsenaariumid</v>
          </cell>
          <cell r="K31" t="str">
            <v>Majandusmõjude hinnang. Arvutusmudel</v>
          </cell>
          <cell r="M31" t="str">
            <v>Kohalike biokütuste stsenaariumite tulemused</v>
          </cell>
        </row>
        <row r="33">
          <cell r="I33" t="str">
            <v>Stsenaariumite majandusmõju hinnang</v>
          </cell>
          <cell r="K33" t="str">
            <v>Majandusmõjude hinnang. Arvutusmudel</v>
          </cell>
        </row>
        <row r="34">
          <cell r="C34" t="str">
            <v>Riigi kulud 2015-2030_mudelist</v>
          </cell>
          <cell r="D34" t="str">
            <v>M€</v>
          </cell>
          <cell r="E34">
            <v>0</v>
          </cell>
          <cell r="F34">
            <v>-243.73151809011364</v>
          </cell>
          <cell r="G34">
            <v>-549.45301918545658</v>
          </cell>
          <cell r="I34" t="str">
            <v>Stsenaariumite majandusmõju hinnang</v>
          </cell>
          <cell r="K34" t="str">
            <v>Majandusmõjude hinnang. Arvutusmudel</v>
          </cell>
        </row>
        <row r="35">
          <cell r="C35" t="str">
            <v>Riigi tulud 2015-2030</v>
          </cell>
          <cell r="D35" t="str">
            <v>M€</v>
          </cell>
          <cell r="E35">
            <v>0</v>
          </cell>
          <cell r="F35">
            <v>710.37667054667509</v>
          </cell>
          <cell r="G35">
            <v>1280.968801387377</v>
          </cell>
          <cell r="I35" t="str">
            <v>Stsenaariumite majandusmõju hinnang</v>
          </cell>
          <cell r="K35" t="str">
            <v>Majandusmõjude hinnang. Arvutusmudel</v>
          </cell>
        </row>
        <row r="36">
          <cell r="C36" t="str">
            <v>Riigi kulud 2015-2030 vs BAAS</v>
          </cell>
          <cell r="D36" t="str">
            <v>M€</v>
          </cell>
          <cell r="E36">
            <v>0</v>
          </cell>
          <cell r="F36">
            <v>-243.73151809011364</v>
          </cell>
          <cell r="G36">
            <v>-549.45301918545658</v>
          </cell>
          <cell r="I36" t="str">
            <v>Stsenaariumite majandusmõju hinnang</v>
          </cell>
          <cell r="K36" t="str">
            <v>Majandusmõjude hinnang. Arvutusmudel</v>
          </cell>
        </row>
        <row r="37">
          <cell r="C37" t="str">
            <v>Riigi tulud 2015-2030 vs BAAS</v>
          </cell>
          <cell r="D37" t="str">
            <v>M€</v>
          </cell>
          <cell r="E37">
            <v>0</v>
          </cell>
          <cell r="F37">
            <v>710.37667054667509</v>
          </cell>
          <cell r="G37">
            <v>1280.968801387377</v>
          </cell>
          <cell r="I37" t="str">
            <v>Stsenaariumite majandusmõju hinnang</v>
          </cell>
          <cell r="K37" t="str">
            <v>Majandusmõjude hinnang. Arvutusmudel</v>
          </cell>
        </row>
        <row r="38">
          <cell r="C38" t="str">
            <v>SKP muutus turuhindades @2030</v>
          </cell>
          <cell r="D38" t="str">
            <v>M€/a</v>
          </cell>
          <cell r="E38">
            <v>0</v>
          </cell>
          <cell r="F38">
            <v>262.51137830854617</v>
          </cell>
          <cell r="G38">
            <v>471.60335064918502</v>
          </cell>
          <cell r="I38" t="str">
            <v>Stsenaariumite majandusmõju hinnang</v>
          </cell>
          <cell r="K38" t="str">
            <v>Majandusmõjude hinnang. Arvutusmudel</v>
          </cell>
        </row>
        <row r="39">
          <cell r="C39" t="str">
            <v>SKP muutus turuhindades @2030 VS BAAS</v>
          </cell>
          <cell r="D39" t="str">
            <v>M€/a</v>
          </cell>
          <cell r="E39">
            <v>0</v>
          </cell>
          <cell r="F39">
            <v>262.51137830854617</v>
          </cell>
          <cell r="G39">
            <v>471.60335064918502</v>
          </cell>
          <cell r="I39" t="str">
            <v>Stsenaariumite majandusmõju hinnang</v>
          </cell>
          <cell r="K39" t="str">
            <v>Majandusmõjude hinnang. Arvutusmudel</v>
          </cell>
        </row>
        <row r="40">
          <cell r="C40" t="str">
            <v>SKP muutus turuhindades 2015-2030</v>
          </cell>
          <cell r="D40" t="str">
            <v>M€</v>
          </cell>
          <cell r="F40">
            <v>2567.6805163082117</v>
          </cell>
          <cell r="G40">
            <v>4433.4531725878805</v>
          </cell>
          <cell r="I40" t="str">
            <v>Stsenaariumite majandusmõju hinnang</v>
          </cell>
          <cell r="K40" t="str">
            <v>Majandusmõjude hinnang. Arvutusmudel</v>
          </cell>
        </row>
        <row r="41">
          <cell r="C41" t="str">
            <v>SKP muutus turuhindades 2015-2030 VS BAAS</v>
          </cell>
          <cell r="D41" t="str">
            <v>M€</v>
          </cell>
          <cell r="E41">
            <v>0</v>
          </cell>
          <cell r="F41">
            <v>2567.6805163082117</v>
          </cell>
          <cell r="G41">
            <v>4433.4531725878805</v>
          </cell>
          <cell r="I41" t="str">
            <v>Stsenaariumite majandusmõju hinnang</v>
          </cell>
          <cell r="K41" t="str">
            <v>Majandusmõjude hinnang. Arvutusmudel</v>
          </cell>
        </row>
        <row r="42">
          <cell r="C42" t="str">
            <v>Tööhõive muutus @2030 VS BAAS</v>
          </cell>
          <cell r="D42" t="str">
            <v>in/a</v>
          </cell>
          <cell r="E42">
            <v>0</v>
          </cell>
          <cell r="F42">
            <v>3113.4892458208697</v>
          </cell>
          <cell r="G42">
            <v>6185.079187019719</v>
          </cell>
          <cell r="I42" t="str">
            <v>Stsenaariumite majandusmõju hinnang</v>
          </cell>
          <cell r="K42" t="str">
            <v>Majandusmõjude hinnang. Arvutusmudel</v>
          </cell>
        </row>
        <row r="43">
          <cell r="C43" t="str">
            <v>SKP inimese kohta</v>
          </cell>
          <cell r="D43" t="str">
            <v>%</v>
          </cell>
          <cell r="E43">
            <v>0</v>
          </cell>
          <cell r="F43">
            <v>6.2823930864223266E-3</v>
          </cell>
          <cell r="G43">
            <v>1.0933448464668847E-2</v>
          </cell>
          <cell r="I43" t="str">
            <v>Stsenaariumite majandusmõju hinnang</v>
          </cell>
          <cell r="K43" t="str">
            <v>Majandusmõjude hinnang. Arvutusmudel</v>
          </cell>
        </row>
        <row r="44">
          <cell r="C44" t="str">
            <v>Väliskaubanduse saldo/SKP</v>
          </cell>
          <cell r="D44" t="str">
            <v>%</v>
          </cell>
          <cell r="E44">
            <v>0</v>
          </cell>
          <cell r="F44">
            <v>-2.6930528494156134E-3</v>
          </cell>
          <cell r="G44">
            <v>-2.680287122374227E-3</v>
          </cell>
          <cell r="I44" t="str">
            <v>Stsenaariumite majandusmõju hinnang</v>
          </cell>
          <cell r="K44" t="str">
            <v>Majandusmõjude hinnang. Arvutusmudel</v>
          </cell>
        </row>
        <row r="45">
          <cell r="C45" t="str">
            <v>Tööviljakuse muutus</v>
          </cell>
          <cell r="D45" t="str">
            <v>%</v>
          </cell>
          <cell r="E45">
            <v>0</v>
          </cell>
          <cell r="F45">
            <v>3.8248865438768281E-3</v>
          </cell>
          <cell r="G45">
            <v>7.2187499920416832E-3</v>
          </cell>
          <cell r="I45" t="str">
            <v>Stsenaariumite majandusmõju hinnang</v>
          </cell>
          <cell r="K45" t="str">
            <v>Majandusmõjude hinnang. Arvutusmudel</v>
          </cell>
        </row>
        <row r="46">
          <cell r="C46" t="str">
            <v>Tööhõive muutus</v>
          </cell>
          <cell r="D46" t="str">
            <v>%</v>
          </cell>
          <cell r="E46">
            <v>0</v>
          </cell>
          <cell r="F46">
            <v>2.4928698613578271E-3</v>
          </cell>
          <cell r="G46">
            <v>3.8236596974045578E-3</v>
          </cell>
          <cell r="I46" t="str">
            <v>Stsenaariumite majandusmõju hinnang</v>
          </cell>
          <cell r="K46" t="str">
            <v>Majandusmõjude hinnang. Arvutusmudel</v>
          </cell>
        </row>
        <row r="48">
          <cell r="C48" t="str">
            <v>Primaarenergia tarbimine/SKP</v>
          </cell>
          <cell r="D48" t="str">
            <v>%</v>
          </cell>
          <cell r="E48">
            <v>0</v>
          </cell>
          <cell r="F48">
            <v>4.2337990112647217E-3</v>
          </cell>
          <cell r="G48">
            <v>8.2132861417106191E-3</v>
          </cell>
          <cell r="I48" t="str">
            <v>Stsenaariumite majandusmõju hinnang</v>
          </cell>
          <cell r="K48" t="str">
            <v>Majandusmõjude hinnang. Arvutusmudel</v>
          </cell>
        </row>
        <row r="49">
          <cell r="C49" t="str">
            <v>Fossiilsed kütused/SKP</v>
          </cell>
          <cell r="D49" t="str">
            <v>%</v>
          </cell>
          <cell r="E49">
            <v>0</v>
          </cell>
          <cell r="F49">
            <v>1.3336122196355611E-3</v>
          </cell>
          <cell r="G49">
            <v>2.5927721359240083E-3</v>
          </cell>
          <cell r="I49" t="str">
            <v>Stsenaariumite majandusmõju hinnang</v>
          </cell>
          <cell r="K49" t="str">
            <v>Majandusmõjude hinnang. Arvutusmudel</v>
          </cell>
        </row>
        <row r="50">
          <cell r="C50" t="str">
            <v>CO2 koguemissioon/SKP</v>
          </cell>
          <cell r="D50" t="str">
            <v>%</v>
          </cell>
          <cell r="E50">
            <v>0</v>
          </cell>
          <cell r="F50">
            <v>1.0989627993939581E-3</v>
          </cell>
          <cell r="G50">
            <v>2.5596817726202137E-3</v>
          </cell>
          <cell r="I50" t="str">
            <v>Stsenaariumite majandusmõju hinnang</v>
          </cell>
          <cell r="K50" t="str">
            <v>Majandusmõjude hinnang. Arvutusmudel</v>
          </cell>
        </row>
        <row r="52">
          <cell r="C52" t="str">
            <v>Inimese tervis - BM</v>
          </cell>
          <cell r="D52" t="str">
            <v>DALY</v>
          </cell>
          <cell r="E52">
            <v>0</v>
          </cell>
          <cell r="F52">
            <v>0</v>
          </cell>
          <cell r="G52">
            <v>74</v>
          </cell>
          <cell r="I52" t="str">
            <v>-</v>
          </cell>
          <cell r="K52" t="str">
            <v>ENMAK 2030 stsenaariumitega kaasneva keskkonnamõju modelleerimine</v>
          </cell>
        </row>
        <row r="53">
          <cell r="C53" t="str">
            <v>Ökosüsteemi kvaliteet - BM</v>
          </cell>
          <cell r="D53" t="str">
            <v>Species*y</v>
          </cell>
          <cell r="E53">
            <v>0</v>
          </cell>
          <cell r="F53">
            <v>0</v>
          </cell>
          <cell r="G53">
            <v>1</v>
          </cell>
          <cell r="I53" t="str">
            <v>-</v>
          </cell>
          <cell r="K53" t="str">
            <v>ENMAK 2030 stsenaariumitega kaasneva keskkonnamõju modelleerimine</v>
          </cell>
        </row>
        <row r="54">
          <cell r="C54" t="str">
            <v>Kliima-muutused - BM</v>
          </cell>
          <cell r="D54" t="str">
            <v>1000 t CO2 eq</v>
          </cell>
          <cell r="E54">
            <v>0</v>
          </cell>
          <cell r="F54">
            <v>0</v>
          </cell>
          <cell r="G54">
            <v>104</v>
          </cell>
          <cell r="I54" t="str">
            <v>-</v>
          </cell>
          <cell r="K54" t="str">
            <v>ENMAK 2030 stsenaariumitega kaasneva keskkonnamõju modelleerimine</v>
          </cell>
        </row>
        <row r="55">
          <cell r="C55" t="str">
            <v>Ressursid - BM</v>
          </cell>
          <cell r="D55" t="str">
            <v>TJ primary</v>
          </cell>
          <cell r="E55">
            <v>0</v>
          </cell>
          <cell r="F55">
            <v>0</v>
          </cell>
          <cell r="G55">
            <v>1246</v>
          </cell>
          <cell r="I55" t="str">
            <v>-</v>
          </cell>
          <cell r="K55" t="str">
            <v>ENMAK 2030 stsenaariumitega kaasneva keskkonnamõju modelleerimine</v>
          </cell>
        </row>
        <row r="56">
          <cell r="C56" t="str">
            <v>Kokku - BM</v>
          </cell>
          <cell r="D56" t="str">
            <v>Pt</v>
          </cell>
          <cell r="E56">
            <v>0</v>
          </cell>
          <cell r="F56">
            <v>0</v>
          </cell>
          <cell r="G56">
            <v>38340</v>
          </cell>
          <cell r="I56" t="str">
            <v>-</v>
          </cell>
          <cell r="K56" t="str">
            <v>ENMAK 2030 stsenaariumitega kaasneva keskkonnamõju modelleerimine</v>
          </cell>
        </row>
        <row r="58">
          <cell r="C58" t="str">
            <v>Inimese tervis - BE</v>
          </cell>
          <cell r="D58" t="str">
            <v>DALY</v>
          </cell>
          <cell r="E58">
            <v>0</v>
          </cell>
          <cell r="F58">
            <v>91</v>
          </cell>
          <cell r="G58">
            <v>241</v>
          </cell>
          <cell r="I58" t="str">
            <v>-</v>
          </cell>
          <cell r="K58" t="str">
            <v>ENMAK 2030 stsenaariumitega kaasneva keskkonnamõju modelleerimine</v>
          </cell>
        </row>
        <row r="59">
          <cell r="C59" t="str">
            <v>Ökosüsteemi kvaliteet - BE</v>
          </cell>
          <cell r="D59" t="str">
            <v>Species*y</v>
          </cell>
          <cell r="E59">
            <v>0</v>
          </cell>
          <cell r="F59">
            <v>0.4</v>
          </cell>
          <cell r="G59">
            <v>1</v>
          </cell>
          <cell r="I59" t="str">
            <v>-</v>
          </cell>
          <cell r="K59" t="str">
            <v>ENMAK 2030 stsenaariumitega kaasneva keskkonnamõju modelleerimine</v>
          </cell>
        </row>
        <row r="60">
          <cell r="C60" t="str">
            <v>Kliima-muutused - BE</v>
          </cell>
          <cell r="D60" t="str">
            <v>1000 t CO2 eq</v>
          </cell>
          <cell r="E60">
            <v>0</v>
          </cell>
          <cell r="F60">
            <v>89</v>
          </cell>
          <cell r="G60">
            <v>237</v>
          </cell>
          <cell r="I60" t="str">
            <v>-</v>
          </cell>
          <cell r="K60" t="str">
            <v>ENMAK 2030 stsenaariumitega kaasneva keskkonnamõju modelleerimine</v>
          </cell>
        </row>
        <row r="61">
          <cell r="C61" t="str">
            <v>Ressursid - BE</v>
          </cell>
          <cell r="D61" t="str">
            <v>TJ primary</v>
          </cell>
          <cell r="E61">
            <v>0</v>
          </cell>
          <cell r="F61">
            <v>1225</v>
          </cell>
          <cell r="G61">
            <v>3248</v>
          </cell>
          <cell r="I61" t="str">
            <v>-</v>
          </cell>
          <cell r="K61" t="str">
            <v>ENMAK 2030 stsenaariumitega kaasneva keskkonnamõju modelleerimine</v>
          </cell>
        </row>
        <row r="62">
          <cell r="C62" t="str">
            <v>Kokku - BE</v>
          </cell>
          <cell r="D62" t="str">
            <v>Pt</v>
          </cell>
          <cell r="E62">
            <v>0</v>
          </cell>
          <cell r="F62">
            <v>33292</v>
          </cell>
          <cell r="G62">
            <v>88297</v>
          </cell>
          <cell r="I62" t="str">
            <v>-</v>
          </cell>
          <cell r="K62" t="str">
            <v>ENMAK 2030 stsenaariumitega kaasneva keskkonnamõju modelleerimine</v>
          </cell>
        </row>
        <row r="64">
          <cell r="C64" t="str">
            <v>Inimese tervis</v>
          </cell>
          <cell r="D64" t="str">
            <v>DALY</v>
          </cell>
          <cell r="E64">
            <v>0</v>
          </cell>
          <cell r="F64">
            <v>91</v>
          </cell>
          <cell r="G64">
            <v>315</v>
          </cell>
          <cell r="I64" t="str">
            <v>-</v>
          </cell>
          <cell r="K64" t="str">
            <v>ENMAK 2030 stsenaariumitega kaasneva keskkonnamõju modelleerimine</v>
          </cell>
        </row>
        <row r="65">
          <cell r="C65" t="str">
            <v>Ökosüsteemi kvaliteet</v>
          </cell>
          <cell r="D65" t="str">
            <v>Species*y</v>
          </cell>
          <cell r="E65">
            <v>0</v>
          </cell>
          <cell r="F65">
            <v>0.4</v>
          </cell>
          <cell r="G65">
            <v>2</v>
          </cell>
          <cell r="I65" t="str">
            <v>-</v>
          </cell>
          <cell r="K65" t="str">
            <v>ENMAK 2030 stsenaariumitega kaasneva keskkonnamõju modelleerimine</v>
          </cell>
        </row>
        <row r="66">
          <cell r="C66" t="str">
            <v>Kliima-muutused</v>
          </cell>
          <cell r="D66" t="str">
            <v>1000 t CO2 eq</v>
          </cell>
          <cell r="E66">
            <v>0</v>
          </cell>
          <cell r="F66">
            <v>89</v>
          </cell>
          <cell r="G66">
            <v>341</v>
          </cell>
          <cell r="I66" t="str">
            <v>-</v>
          </cell>
          <cell r="K66" t="str">
            <v>ENMAK 2030 stsenaariumitega kaasneva keskkonnamõju modelleerimine</v>
          </cell>
        </row>
        <row r="67">
          <cell r="C67" t="str">
            <v>Ressursid</v>
          </cell>
          <cell r="D67" t="str">
            <v>TJ primary</v>
          </cell>
          <cell r="E67">
            <v>0</v>
          </cell>
          <cell r="F67">
            <v>1225</v>
          </cell>
          <cell r="G67">
            <v>4494</v>
          </cell>
          <cell r="I67" t="str">
            <v>-</v>
          </cell>
          <cell r="K67" t="str">
            <v>ENMAK 2030 stsenaariumitega kaasneva keskkonnamõju modelleerimine</v>
          </cell>
        </row>
        <row r="68">
          <cell r="C68" t="str">
            <v>Kokku</v>
          </cell>
          <cell r="D68" t="str">
            <v>Pt</v>
          </cell>
          <cell r="E68">
            <v>0</v>
          </cell>
          <cell r="F68">
            <v>33292</v>
          </cell>
          <cell r="G68">
            <v>126637</v>
          </cell>
          <cell r="I68" t="str">
            <v>-</v>
          </cell>
          <cell r="K68" t="str">
            <v>ENMAK 2030 stsenaariumitega kaasneva keskkonnamõju modelleerimine</v>
          </cell>
        </row>
        <row r="70">
          <cell r="C70" t="str">
            <v>Inimese tervis @ baasaasta</v>
          </cell>
          <cell r="D70" t="str">
            <v>DALY</v>
          </cell>
          <cell r="E70">
            <v>0</v>
          </cell>
          <cell r="F70">
            <v>0</v>
          </cell>
          <cell r="G70">
            <v>0</v>
          </cell>
          <cell r="I70" t="str">
            <v>-</v>
          </cell>
          <cell r="K70" t="str">
            <v>ENMAK 2030 stsenaariumitega kaasneva keskkonnamõju modelleerimine</v>
          </cell>
        </row>
        <row r="71">
          <cell r="C71" t="str">
            <v>Ökosüsteemi kvaliteet @ baasaasta</v>
          </cell>
          <cell r="D71" t="str">
            <v>Species*y</v>
          </cell>
          <cell r="E71">
            <v>0</v>
          </cell>
          <cell r="F71">
            <v>0</v>
          </cell>
          <cell r="G71">
            <v>0</v>
          </cell>
          <cell r="I71" t="str">
            <v>-</v>
          </cell>
          <cell r="K71" t="str">
            <v>ENMAK 2030 stsenaariumitega kaasneva keskkonnamõju modelleerimine</v>
          </cell>
        </row>
        <row r="72">
          <cell r="C72" t="str">
            <v>Kliima-muutused @ baasaasta</v>
          </cell>
          <cell r="D72" t="str">
            <v>1000 t CO2 eq</v>
          </cell>
          <cell r="E72">
            <v>0</v>
          </cell>
          <cell r="F72">
            <v>0</v>
          </cell>
          <cell r="G72">
            <v>0</v>
          </cell>
          <cell r="I72" t="str">
            <v>-</v>
          </cell>
          <cell r="K72" t="str">
            <v>ENMAK 2030 stsenaariumitega kaasneva keskkonnamõju modelleerimine</v>
          </cell>
        </row>
        <row r="73">
          <cell r="C73" t="str">
            <v>Ressursid @ baasaasta</v>
          </cell>
          <cell r="D73" t="str">
            <v>TJ primary</v>
          </cell>
          <cell r="E73">
            <v>0</v>
          </cell>
          <cell r="F73">
            <v>0</v>
          </cell>
          <cell r="G73">
            <v>0</v>
          </cell>
          <cell r="I73" t="str">
            <v>-</v>
          </cell>
          <cell r="K73" t="str">
            <v>ENMAK 2030 stsenaariumitega kaasneva keskkonnamõju modelleerimine</v>
          </cell>
        </row>
        <row r="74">
          <cell r="C74" t="str">
            <v>Kokku @ baasaasta</v>
          </cell>
          <cell r="D74" t="str">
            <v>Pt</v>
          </cell>
          <cell r="E74">
            <v>0</v>
          </cell>
          <cell r="F74">
            <v>0</v>
          </cell>
          <cell r="G74">
            <v>0</v>
          </cell>
          <cell r="I74" t="str">
            <v>-</v>
          </cell>
          <cell r="K74" t="str">
            <v>ENMAK 2030 stsenaariumitega kaasneva keskkonnamõju modelleerimine</v>
          </cell>
        </row>
      </sheetData>
      <sheetData sheetId="16">
        <row r="1">
          <cell r="E1" t="str">
            <v>Mitte-sekkuv</v>
          </cell>
          <cell r="F1" t="str">
            <v>Vähe-sekkuv</v>
          </cell>
          <cell r="G1" t="str">
            <v>Teadmistepõhine</v>
          </cell>
          <cell r="I1" t="str">
            <v>Allikmaterjalid</v>
          </cell>
        </row>
        <row r="2">
          <cell r="E2" t="str">
            <v>Stsenaarium # 1</v>
          </cell>
          <cell r="F2" t="str">
            <v>Stsenaarium # 2</v>
          </cell>
          <cell r="G2" t="str">
            <v>Stsenaarium # 3</v>
          </cell>
          <cell r="I2" t="str">
            <v>Artikkel</v>
          </cell>
          <cell r="K2" t="str">
            <v>Arvutusfail / Aruanne</v>
          </cell>
        </row>
        <row r="3">
          <cell r="E3" t="str">
            <v>15 mln t</v>
          </cell>
          <cell r="F3" t="str">
            <v>20 mln t</v>
          </cell>
          <cell r="G3" t="str">
            <v>25 mln t</v>
          </cell>
        </row>
        <row r="7">
          <cell r="C7" t="str">
            <v>Kaubapõlevkivi kasutamine õlitootmiseks @ 2030_PK&amp;UG</v>
          </cell>
          <cell r="D7" t="str">
            <v>mln t/a</v>
          </cell>
          <cell r="E7">
            <v>17.2</v>
          </cell>
          <cell r="F7">
            <v>24.23</v>
          </cell>
          <cell r="G7">
            <v>28.26</v>
          </cell>
          <cell r="I7" t="str">
            <v>Kütuste stsenaariumid</v>
          </cell>
          <cell r="K7" t="str">
            <v>Põlevkivi kasutusstsenaariumite tulemused</v>
          </cell>
        </row>
        <row r="8">
          <cell r="C8" t="str">
            <v>Primaarenergia tarbimine @ 2030</v>
          </cell>
          <cell r="D8" t="str">
            <v>TWh/a</v>
          </cell>
          <cell r="E8">
            <v>40.133333333333333</v>
          </cell>
          <cell r="F8">
            <v>56.536666666666669</v>
          </cell>
          <cell r="G8">
            <v>65.94</v>
          </cell>
        </row>
        <row r="9">
          <cell r="C9" t="str">
            <v>Taastumatutest allikatest vedelkütused ekspordiks @ 2030 [TWh/a]</v>
          </cell>
          <cell r="D9" t="str">
            <v>TWh/a</v>
          </cell>
          <cell r="E9">
            <v>20.889903066365918</v>
          </cell>
          <cell r="F9">
            <v>29.428043680118964</v>
          </cell>
          <cell r="G9">
            <v>34.322596549738421</v>
          </cell>
          <cell r="I9" t="str">
            <v>Kütuste stsenaariumid</v>
          </cell>
          <cell r="K9" t="str">
            <v>Põlevkivi kasutusstsenaariumite tulemused</v>
          </cell>
        </row>
        <row r="10">
          <cell r="C10" t="str">
            <v>Kokku kaubapõlevkivi kasutamine_PK&amp;UG</v>
          </cell>
          <cell r="D10" t="str">
            <v>mln t/a</v>
          </cell>
          <cell r="E10">
            <v>17.2</v>
          </cell>
          <cell r="F10">
            <v>24.23</v>
          </cell>
          <cell r="G10">
            <v>28.26</v>
          </cell>
          <cell r="I10" t="str">
            <v>Kütuste stsenaariumid</v>
          </cell>
          <cell r="K10" t="str">
            <v>Põlevkivi kasutusstsenaariumite tulemused</v>
          </cell>
        </row>
        <row r="11">
          <cell r="C11" t="str">
            <v>Kokku põlevkivi geoloogilise varu kasutamine_PK&amp;UG</v>
          </cell>
          <cell r="D11" t="str">
            <v>mln t/a</v>
          </cell>
          <cell r="E11">
            <v>14.333333333333334</v>
          </cell>
          <cell r="F11">
            <v>20.191666666666666</v>
          </cell>
          <cell r="G11">
            <v>23.55</v>
          </cell>
          <cell r="I11" t="str">
            <v>Kütuste stsenaariumid</v>
          </cell>
          <cell r="K11" t="str">
            <v>Põlevkivi kasutusstsenaariumite tulemused</v>
          </cell>
        </row>
        <row r="20">
          <cell r="C20" t="str">
            <v>Maksumus kokku kuni 2030 [M EUR]</v>
          </cell>
        </row>
        <row r="21">
          <cell r="C21" t="str">
            <v>Maksumus riigile kuni 2030 [MEUR]</v>
          </cell>
        </row>
        <row r="22">
          <cell r="C22" t="str">
            <v>Maksutulu kokku 2015-2030 [MEUR]</v>
          </cell>
        </row>
        <row r="25">
          <cell r="C25" t="str">
            <v>CO2ETS @ 2020 [1000 t/a]</v>
          </cell>
          <cell r="D25" t="str">
            <v>1000 tCO2ekv</v>
          </cell>
          <cell r="E25">
            <v>1697</v>
          </cell>
          <cell r="F25">
            <v>1697</v>
          </cell>
          <cell r="G25">
            <v>1828</v>
          </cell>
          <cell r="K25" t="str">
            <v>ENMAK 2030 stsenaariumitega kaasneva õhukvaliteedi muutuse prognoos</v>
          </cell>
        </row>
        <row r="26">
          <cell r="C26" t="str">
            <v>CO2ETS @ 2030 [1000 t/a]</v>
          </cell>
          <cell r="D26" t="str">
            <v>1000 tCO2ekv</v>
          </cell>
          <cell r="E26">
            <v>1697</v>
          </cell>
          <cell r="F26">
            <v>2346</v>
          </cell>
          <cell r="G26">
            <v>3450</v>
          </cell>
          <cell r="K26" t="str">
            <v>ENMAK 2030 stsenaariumitega kaasneva õhukvaliteedi muutuse prognoos</v>
          </cell>
        </row>
        <row r="29">
          <cell r="C29" t="str">
            <v>Riigi kulud 2015-2030</v>
          </cell>
          <cell r="D29" t="str">
            <v>M€</v>
          </cell>
          <cell r="E29">
            <v>0</v>
          </cell>
          <cell r="F29">
            <v>0</v>
          </cell>
          <cell r="G29">
            <v>0</v>
          </cell>
          <cell r="I29" t="str">
            <v>Stsenaariumite majandusmõju hinnang</v>
          </cell>
          <cell r="K29" t="str">
            <v>Majandusmõjude hinnang. Arvutusmudel</v>
          </cell>
        </row>
        <row r="30">
          <cell r="C30" t="str">
            <v>Riigi tulud 2015-2030</v>
          </cell>
          <cell r="D30" t="str">
            <v>M€</v>
          </cell>
          <cell r="E30">
            <v>6598.2026286745004</v>
          </cell>
          <cell r="F30">
            <v>7999.8532894889495</v>
          </cell>
          <cell r="G30">
            <v>8670.9871440978477</v>
          </cell>
          <cell r="I30" t="str">
            <v>Stsenaariumite majandusmõju hinnang</v>
          </cell>
          <cell r="K30" t="str">
            <v>Majandusmõjude hinnang. Arvutusmudel</v>
          </cell>
        </row>
        <row r="31">
          <cell r="C31" t="str">
            <v>Riigi kulud 2015-2030 vs BAAS</v>
          </cell>
          <cell r="D31" t="str">
            <v>M€</v>
          </cell>
          <cell r="E31">
            <v>0</v>
          </cell>
          <cell r="F31">
            <v>0</v>
          </cell>
          <cell r="G31">
            <v>0</v>
          </cell>
          <cell r="I31" t="str">
            <v>Stsenaariumite majandusmõju hinnang</v>
          </cell>
          <cell r="K31" t="str">
            <v>Majandusmõjude hinnang. Arvutusmudel</v>
          </cell>
        </row>
        <row r="32">
          <cell r="C32" t="str">
            <v>Riigi tulud 2015-2030 vs BAAS</v>
          </cell>
          <cell r="D32" t="str">
            <v>M€</v>
          </cell>
          <cell r="E32">
            <v>-1401.6506608144493</v>
          </cell>
          <cell r="F32">
            <v>0</v>
          </cell>
          <cell r="G32">
            <v>671.13385460889822</v>
          </cell>
          <cell r="I32" t="str">
            <v>Stsenaariumite majandusmõju hinnang</v>
          </cell>
          <cell r="K32" t="str">
            <v>Majandusmõjude hinnang. Arvutusmudel</v>
          </cell>
        </row>
        <row r="33">
          <cell r="C33" t="str">
            <v>SKP muutus turuhindades @2030</v>
          </cell>
          <cell r="D33" t="str">
            <v>M€/a</v>
          </cell>
          <cell r="E33">
            <v>1724.4082408939394</v>
          </cell>
          <cell r="F33">
            <v>2514.0392868258336</v>
          </cell>
          <cell r="G33">
            <v>3254.5742600061508</v>
          </cell>
          <cell r="I33" t="str">
            <v>Stsenaariumite majandusmõju hinnang</v>
          </cell>
          <cell r="K33" t="str">
            <v>Majandusmõjude hinnang. Arvutusmudel</v>
          </cell>
        </row>
        <row r="34">
          <cell r="C34" t="str">
            <v>SKP muutus turuhindades @2030 VS BAAS</v>
          </cell>
          <cell r="D34" t="str">
            <v>M€/a</v>
          </cell>
          <cell r="E34">
            <v>-789.63104593189428</v>
          </cell>
          <cell r="F34">
            <v>0</v>
          </cell>
          <cell r="G34">
            <v>740.53497318031714</v>
          </cell>
          <cell r="I34" t="str">
            <v>Stsenaariumite majandusmõju hinnang</v>
          </cell>
          <cell r="K34" t="str">
            <v>Majandusmõjude hinnang. Arvutusmudel</v>
          </cell>
        </row>
        <row r="35">
          <cell r="C35" t="str">
            <v>SKP muutus turuhindades 2015-2030</v>
          </cell>
          <cell r="D35" t="str">
            <v>M€</v>
          </cell>
          <cell r="E35">
            <v>22882.752381184102</v>
          </cell>
          <cell r="F35">
            <v>27607.96812831665</v>
          </cell>
          <cell r="G35">
            <v>29829.573047857601</v>
          </cell>
          <cell r="I35" t="str">
            <v>Stsenaariumite majandusmõju hinnang</v>
          </cell>
          <cell r="K35" t="str">
            <v>Majandusmõjude hinnang. Arvutusmudel</v>
          </cell>
        </row>
        <row r="36">
          <cell r="C36" t="str">
            <v>SKP muutus turuhindades 2015-2030 VS BAAS</v>
          </cell>
          <cell r="D36" t="str">
            <v>M€</v>
          </cell>
          <cell r="E36">
            <v>-4725.2157471325463</v>
          </cell>
          <cell r="F36">
            <v>0</v>
          </cell>
          <cell r="G36">
            <v>2221.6049195409514</v>
          </cell>
          <cell r="I36" t="str">
            <v>Stsenaariumite majandusmõju hinnang</v>
          </cell>
          <cell r="K36" t="str">
            <v>Majandusmõjude hinnang. Arvutusmudel</v>
          </cell>
        </row>
        <row r="37">
          <cell r="C37" t="str">
            <v>Tööhõive muutus @2030 VS BAAS</v>
          </cell>
          <cell r="D37" t="str">
            <v>in/a</v>
          </cell>
          <cell r="E37">
            <v>-8925.4343025036105</v>
          </cell>
          <cell r="F37">
            <v>0</v>
          </cell>
          <cell r="G37">
            <v>8859.809546809829</v>
          </cell>
          <cell r="I37" t="str">
            <v>Stsenaariumite majandusmõju hinnang</v>
          </cell>
          <cell r="K37" t="str">
            <v>Majandusmõjude hinnang. Arvutusmudel</v>
          </cell>
        </row>
        <row r="38">
          <cell r="C38" t="str">
            <v>SKP inimese kohta</v>
          </cell>
          <cell r="D38" t="str">
            <v>%</v>
          </cell>
          <cell r="E38">
            <v>-1.2003894658898692E-2</v>
          </cell>
          <cell r="F38">
            <v>0</v>
          </cell>
          <cell r="G38">
            <v>6.3005461733413775E-3</v>
          </cell>
          <cell r="I38" t="str">
            <v>Stsenaariumite majandusmõju hinnang</v>
          </cell>
          <cell r="K38" t="str">
            <v>Majandusmõjude hinnang. Arvutusmudel</v>
          </cell>
        </row>
        <row r="39">
          <cell r="C39" t="str">
            <v>Väliskaubanduse saldo/SKP</v>
          </cell>
          <cell r="D39" t="str">
            <v>%</v>
          </cell>
          <cell r="E39">
            <v>-2.8826605518066806E-3</v>
          </cell>
          <cell r="F39">
            <v>0</v>
          </cell>
          <cell r="G39">
            <v>9.6270236772469354E-4</v>
          </cell>
          <cell r="I39" t="str">
            <v>Stsenaariumite majandusmõju hinnang</v>
          </cell>
          <cell r="K39" t="str">
            <v>Majandusmõjude hinnang. Arvutusmudel</v>
          </cell>
        </row>
        <row r="40">
          <cell r="C40" t="str">
            <v>Tööviljakuse muutus</v>
          </cell>
          <cell r="D40" t="str">
            <v>%</v>
          </cell>
          <cell r="E40">
            <v>-6.3401547076100025E-3</v>
          </cell>
          <cell r="F40">
            <v>0</v>
          </cell>
          <cell r="G40">
            <v>3.6450913016797138E-3</v>
          </cell>
          <cell r="I40" t="str">
            <v>Stsenaariumite majandusmõju hinnang</v>
          </cell>
          <cell r="K40" t="str">
            <v>Majandusmõjude hinnang. Arvutusmudel</v>
          </cell>
        </row>
        <row r="41">
          <cell r="C41" t="str">
            <v>Tööhõive muutus</v>
          </cell>
          <cell r="D41" t="str">
            <v>%</v>
          </cell>
          <cell r="E41">
            <v>-5.47417801719563E-3</v>
          </cell>
          <cell r="F41">
            <v>0</v>
          </cell>
          <cell r="G41">
            <v>2.7778456499127357E-3</v>
          </cell>
          <cell r="I41" t="str">
            <v>Stsenaariumite majandusmõju hinnang</v>
          </cell>
          <cell r="K41" t="str">
            <v>Majandusmõjude hinnang. Arvutusmudel</v>
          </cell>
        </row>
        <row r="43">
          <cell r="C43" t="str">
            <v>Primaarenergia tarbimine/SKP</v>
          </cell>
          <cell r="D43" t="str">
            <v>%</v>
          </cell>
          <cell r="E43">
            <v>-6.3211579980068489E-2</v>
          </cell>
          <cell r="F43">
            <v>0</v>
          </cell>
          <cell r="G43">
            <v>3.1269994952321897E-2</v>
          </cell>
          <cell r="I43" t="str">
            <v>Stsenaariumite majandusmõju hinnang</v>
          </cell>
          <cell r="K43" t="str">
            <v>Majandusmõjude hinnang. Arvutusmudel</v>
          </cell>
        </row>
        <row r="44">
          <cell r="C44" t="str">
            <v>Fossiilsed kütused/SKP</v>
          </cell>
          <cell r="D44" t="str">
            <v>%</v>
          </cell>
          <cell r="E44">
            <v>-7.5592465637041084E-2</v>
          </cell>
          <cell r="F44">
            <v>0</v>
          </cell>
          <cell r="G44">
            <v>3.7353855707644483E-2</v>
          </cell>
          <cell r="I44" t="str">
            <v>Stsenaariumite majandusmõju hinnang</v>
          </cell>
          <cell r="K44" t="str">
            <v>Majandusmõjude hinnang. Arvutusmudel</v>
          </cell>
        </row>
        <row r="45">
          <cell r="C45" t="str">
            <v>CO2 koguemissioon/SKP</v>
          </cell>
          <cell r="D45" t="str">
            <v>%</v>
          </cell>
          <cell r="E45">
            <v>-1.4677437545734348E-2</v>
          </cell>
          <cell r="F45">
            <v>0</v>
          </cell>
          <cell r="G45">
            <v>7.6053165272937807E-3</v>
          </cell>
          <cell r="I45" t="str">
            <v>Stsenaariumite majandusmõju hinnang</v>
          </cell>
          <cell r="K45" t="str">
            <v>Majandusmõjude hinnang. Arvutusmudel</v>
          </cell>
        </row>
        <row r="47">
          <cell r="C47" t="str">
            <v>KHG (CO2 eq) @ baasaasta</v>
          </cell>
          <cell r="D47" t="str">
            <v>1000 t/a</v>
          </cell>
          <cell r="E47">
            <v>397</v>
          </cell>
          <cell r="F47">
            <v>397</v>
          </cell>
          <cell r="G47">
            <v>397</v>
          </cell>
          <cell r="I47" t="str">
            <v>-</v>
          </cell>
          <cell r="K47" t="str">
            <v>ENMAK 2030 stsenaariumitega kaasneva õhukvaliteedi muutuse prognoos</v>
          </cell>
        </row>
        <row r="48">
          <cell r="C48" t="str">
            <v>NOx @ baasaasta</v>
          </cell>
          <cell r="D48" t="str">
            <v>t/a</v>
          </cell>
          <cell r="E48">
            <v>349</v>
          </cell>
          <cell r="F48">
            <v>349</v>
          </cell>
          <cell r="G48">
            <v>349</v>
          </cell>
          <cell r="I48" t="str">
            <v>-</v>
          </cell>
          <cell r="K48" t="str">
            <v>ENMAK 2030 stsenaariumitega kaasneva õhukvaliteedi muutuse prognoos</v>
          </cell>
        </row>
        <row r="49">
          <cell r="C49" t="str">
            <v>SO2@ baasaasta</v>
          </cell>
          <cell r="D49" t="str">
            <v>t/a</v>
          </cell>
          <cell r="E49">
            <v>299</v>
          </cell>
          <cell r="F49">
            <v>299</v>
          </cell>
          <cell r="G49">
            <v>299</v>
          </cell>
          <cell r="I49" t="str">
            <v>-</v>
          </cell>
          <cell r="K49" t="str">
            <v>ENMAK 2030 stsenaariumitega kaasneva õhukvaliteedi muutuse prognoos</v>
          </cell>
        </row>
        <row r="50">
          <cell r="C50" t="str">
            <v>PM2.5 @ baasaasta</v>
          </cell>
          <cell r="D50" t="str">
            <v>t/a</v>
          </cell>
          <cell r="E50">
            <v>505</v>
          </cell>
          <cell r="F50">
            <v>505</v>
          </cell>
          <cell r="G50">
            <v>505</v>
          </cell>
          <cell r="I50" t="str">
            <v>-</v>
          </cell>
          <cell r="K50" t="str">
            <v>ENMAK 2030 stsenaariumitega kaasneva õhukvaliteedi muutuse prognoos</v>
          </cell>
        </row>
        <row r="51">
          <cell r="C51" t="str">
            <v>LOÜ @ baasaasta</v>
          </cell>
          <cell r="D51" t="str">
            <v>t/a</v>
          </cell>
          <cell r="E51">
            <v>11</v>
          </cell>
          <cell r="F51">
            <v>11</v>
          </cell>
          <cell r="G51">
            <v>11</v>
          </cell>
          <cell r="I51" t="str">
            <v>-</v>
          </cell>
          <cell r="K51" t="str">
            <v>ENMAK 2030 stsenaariumitega kaasneva õhukvaliteedi muutuse prognoos</v>
          </cell>
        </row>
        <row r="52">
          <cell r="C52" t="str">
            <v>H2S @ baasaasta</v>
          </cell>
          <cell r="D52" t="str">
            <v>t/a</v>
          </cell>
          <cell r="E52">
            <v>6</v>
          </cell>
          <cell r="F52">
            <v>6</v>
          </cell>
          <cell r="G52">
            <v>6</v>
          </cell>
          <cell r="I52" t="str">
            <v>-</v>
          </cell>
          <cell r="K52" t="str">
            <v>ENMAK 2030 stsenaariumitega kaasneva õhukvaliteedi muutuse prognoos</v>
          </cell>
        </row>
        <row r="53">
          <cell r="C53" t="str">
            <v>PAH @ baasaasta</v>
          </cell>
          <cell r="D53" t="str">
            <v>t/a</v>
          </cell>
          <cell r="E53">
            <v>6</v>
          </cell>
          <cell r="F53">
            <v>6</v>
          </cell>
          <cell r="G53">
            <v>6</v>
          </cell>
          <cell r="I53" t="str">
            <v>-</v>
          </cell>
          <cell r="K53" t="str">
            <v>ENMAK 2030 stsenaariumitega kaasneva õhukvaliteedi muutuse prognoos</v>
          </cell>
        </row>
        <row r="55">
          <cell r="C55" t="str">
            <v>KHG (CO2 eq) @ 2020</v>
          </cell>
          <cell r="D55" t="str">
            <v>1000 t/a</v>
          </cell>
          <cell r="E55">
            <v>1697</v>
          </cell>
          <cell r="F55">
            <v>1697</v>
          </cell>
          <cell r="G55">
            <v>1828</v>
          </cell>
          <cell r="I55" t="str">
            <v>-</v>
          </cell>
          <cell r="K55" t="str">
            <v>ENMAK 2030 stsenaariumitega kaasneva õhukvaliteedi muutuse prognoos</v>
          </cell>
        </row>
        <row r="56">
          <cell r="C56" t="str">
            <v>NOx @ 2020</v>
          </cell>
          <cell r="D56" t="str">
            <v>t/a</v>
          </cell>
          <cell r="E56">
            <v>1192</v>
          </cell>
          <cell r="F56">
            <v>1192</v>
          </cell>
          <cell r="G56">
            <v>1224</v>
          </cell>
          <cell r="I56" t="str">
            <v>-</v>
          </cell>
          <cell r="K56" t="str">
            <v>ENMAK 2030 stsenaariumitega kaasneva õhukvaliteedi muutuse prognoos</v>
          </cell>
        </row>
        <row r="57">
          <cell r="C57" t="str">
            <v>SO2 @ 2020</v>
          </cell>
          <cell r="D57" t="str">
            <v>t/a</v>
          </cell>
          <cell r="E57">
            <v>2250</v>
          </cell>
          <cell r="F57">
            <v>2250</v>
          </cell>
          <cell r="G57">
            <v>2740</v>
          </cell>
          <cell r="I57" t="str">
            <v>-</v>
          </cell>
          <cell r="K57" t="str">
            <v>ENMAK 2030 stsenaariumitega kaasneva õhukvaliteedi muutuse prognoos</v>
          </cell>
        </row>
        <row r="58">
          <cell r="C58" t="str">
            <v>PM2.5 @ 2020</v>
          </cell>
          <cell r="D58" t="str">
            <v>t/a</v>
          </cell>
          <cell r="E58">
            <v>978</v>
          </cell>
          <cell r="F58">
            <v>978</v>
          </cell>
          <cell r="G58">
            <v>1100</v>
          </cell>
          <cell r="I58" t="str">
            <v>-</v>
          </cell>
          <cell r="K58" t="str">
            <v>ENMAK 2030 stsenaariumitega kaasneva õhukvaliteedi muutuse prognoos</v>
          </cell>
        </row>
        <row r="59">
          <cell r="C59" t="str">
            <v>LOÜ @ 2020</v>
          </cell>
          <cell r="D59" t="str">
            <v>t/a</v>
          </cell>
          <cell r="E59">
            <v>39</v>
          </cell>
          <cell r="F59">
            <v>39</v>
          </cell>
          <cell r="G59">
            <v>42</v>
          </cell>
          <cell r="I59" t="str">
            <v>-</v>
          </cell>
          <cell r="K59" t="str">
            <v>ENMAK 2030 stsenaariumitega kaasneva õhukvaliteedi muutuse prognoos</v>
          </cell>
        </row>
        <row r="60">
          <cell r="C60" t="str">
            <v>H2S @ 2020</v>
          </cell>
          <cell r="D60" t="str">
            <v>t/a</v>
          </cell>
          <cell r="E60">
            <v>9</v>
          </cell>
          <cell r="F60">
            <v>9</v>
          </cell>
          <cell r="G60">
            <v>9</v>
          </cell>
          <cell r="I60" t="str">
            <v>-</v>
          </cell>
          <cell r="K60" t="str">
            <v>ENMAK 2030 stsenaariumitega kaasneva õhukvaliteedi muutuse prognoos</v>
          </cell>
        </row>
        <row r="61">
          <cell r="C61" t="str">
            <v>PAH @ 2020</v>
          </cell>
          <cell r="D61" t="str">
            <v>t/a</v>
          </cell>
          <cell r="E61">
            <v>16</v>
          </cell>
          <cell r="F61">
            <v>16</v>
          </cell>
          <cell r="G61">
            <v>18</v>
          </cell>
          <cell r="I61" t="str">
            <v>-</v>
          </cell>
          <cell r="K61" t="str">
            <v>ENMAK 2030 stsenaariumitega kaasneva õhukvaliteedi muutuse prognoos</v>
          </cell>
        </row>
        <row r="63">
          <cell r="C63" t="str">
            <v>KHG (CO2 eq) @ 2030</v>
          </cell>
          <cell r="D63" t="str">
            <v>1000 t/a</v>
          </cell>
          <cell r="E63">
            <v>1697</v>
          </cell>
          <cell r="F63">
            <v>2346</v>
          </cell>
          <cell r="G63">
            <v>3450</v>
          </cell>
          <cell r="I63" t="str">
            <v>-</v>
          </cell>
          <cell r="K63" t="str">
            <v>ENMAK 2030 stsenaariumitega kaasneva õhukvaliteedi muutuse prognoos</v>
          </cell>
        </row>
        <row r="64">
          <cell r="C64" t="str">
            <v>NOx @ 2030</v>
          </cell>
          <cell r="D64" t="str">
            <v>t/a</v>
          </cell>
          <cell r="E64">
            <v>1192</v>
          </cell>
          <cell r="F64">
            <v>1692</v>
          </cell>
          <cell r="G64">
            <v>2475</v>
          </cell>
          <cell r="I64" t="str">
            <v>-</v>
          </cell>
          <cell r="K64" t="str">
            <v>ENMAK 2030 stsenaariumitega kaasneva õhukvaliteedi muutuse prognoos</v>
          </cell>
        </row>
        <row r="65">
          <cell r="C65" t="str">
            <v>SO2 @ 2030</v>
          </cell>
          <cell r="D65" t="str">
            <v>t/a</v>
          </cell>
          <cell r="E65">
            <v>2250</v>
          </cell>
          <cell r="F65">
            <v>2550</v>
          </cell>
          <cell r="G65">
            <v>3491</v>
          </cell>
          <cell r="I65" t="str">
            <v>-</v>
          </cell>
          <cell r="K65" t="str">
            <v>ENMAK 2030 stsenaariumitega kaasneva õhukvaliteedi muutuse prognoos</v>
          </cell>
        </row>
        <row r="66">
          <cell r="C66" t="str">
            <v>PM2.5 @ 2030</v>
          </cell>
          <cell r="D66" t="str">
            <v>t/a</v>
          </cell>
          <cell r="E66">
            <v>978</v>
          </cell>
          <cell r="F66">
            <v>1045</v>
          </cell>
          <cell r="G66">
            <v>1267</v>
          </cell>
          <cell r="I66" t="str">
            <v>-</v>
          </cell>
          <cell r="K66" t="str">
            <v>ENMAK 2030 stsenaariumitega kaasneva õhukvaliteedi muutuse prognoos</v>
          </cell>
        </row>
        <row r="67">
          <cell r="C67" t="str">
            <v>LOÜ @ 2030</v>
          </cell>
          <cell r="D67" t="str">
            <v>t/a</v>
          </cell>
          <cell r="E67">
            <v>39</v>
          </cell>
          <cell r="F67">
            <v>39</v>
          </cell>
          <cell r="G67">
            <v>42</v>
          </cell>
          <cell r="I67" t="str">
            <v>-</v>
          </cell>
          <cell r="K67" t="str">
            <v>ENMAK 2030 stsenaariumitega kaasneva õhukvaliteedi muutuse prognoos</v>
          </cell>
        </row>
        <row r="68">
          <cell r="C68" t="str">
            <v>H2S @ 2030</v>
          </cell>
          <cell r="D68" t="str">
            <v>t/a</v>
          </cell>
          <cell r="E68">
            <v>9</v>
          </cell>
          <cell r="F68">
            <v>9</v>
          </cell>
          <cell r="G68">
            <v>9</v>
          </cell>
          <cell r="I68" t="str">
            <v>-</v>
          </cell>
          <cell r="K68" t="str">
            <v>ENMAK 2030 stsenaariumitega kaasneva õhukvaliteedi muutuse prognoos</v>
          </cell>
        </row>
        <row r="69">
          <cell r="C69" t="str">
            <v>PAH @ 2030</v>
          </cell>
          <cell r="D69" t="str">
            <v>t/a</v>
          </cell>
          <cell r="E69">
            <v>16</v>
          </cell>
          <cell r="F69">
            <v>21</v>
          </cell>
          <cell r="G69">
            <v>30</v>
          </cell>
          <cell r="I69" t="str">
            <v>-</v>
          </cell>
          <cell r="K69" t="str">
            <v>ENMAK 2030 stsenaariumitega kaasneva õhukvaliteedi muutuse prognoos</v>
          </cell>
        </row>
        <row r="71">
          <cell r="C71" t="str">
            <v>KHG (CO2 eq) @ 2050</v>
          </cell>
          <cell r="D71" t="str">
            <v>1000 t/a</v>
          </cell>
          <cell r="E71">
            <v>1697</v>
          </cell>
          <cell r="F71">
            <v>2346</v>
          </cell>
          <cell r="G71">
            <v>3450</v>
          </cell>
          <cell r="I71" t="str">
            <v>-</v>
          </cell>
          <cell r="K71" t="str">
            <v>ENMAK 2030 stsenaariumitega kaasneva õhukvaliteedi muutuse prognoos</v>
          </cell>
        </row>
        <row r="72">
          <cell r="C72" t="str">
            <v>NOx @ 2050</v>
          </cell>
          <cell r="D72" t="str">
            <v>t/a</v>
          </cell>
          <cell r="E72">
            <v>1192</v>
          </cell>
          <cell r="F72">
            <v>1692</v>
          </cell>
          <cell r="G72">
            <v>2475</v>
          </cell>
          <cell r="I72" t="str">
            <v>-</v>
          </cell>
          <cell r="K72" t="str">
            <v>ENMAK 2030 stsenaariumitega kaasneva õhukvaliteedi muutuse prognoos</v>
          </cell>
        </row>
        <row r="73">
          <cell r="C73" t="str">
            <v>SO2 @ 2050</v>
          </cell>
          <cell r="D73" t="str">
            <v>t/a</v>
          </cell>
          <cell r="E73">
            <v>2250</v>
          </cell>
          <cell r="F73">
            <v>2550</v>
          </cell>
          <cell r="G73">
            <v>3491</v>
          </cell>
          <cell r="I73" t="str">
            <v>-</v>
          </cell>
          <cell r="K73" t="str">
            <v>ENMAK 2030 stsenaariumitega kaasneva õhukvaliteedi muutuse prognoos</v>
          </cell>
        </row>
        <row r="74">
          <cell r="C74" t="str">
            <v>PM2.5 @ 2050</v>
          </cell>
          <cell r="D74" t="str">
            <v>t/a</v>
          </cell>
          <cell r="E74">
            <v>978</v>
          </cell>
          <cell r="F74">
            <v>1045</v>
          </cell>
          <cell r="G74">
            <v>1267</v>
          </cell>
          <cell r="I74" t="str">
            <v>-</v>
          </cell>
          <cell r="K74" t="str">
            <v>ENMAK 2030 stsenaariumitega kaasneva õhukvaliteedi muutuse prognoos</v>
          </cell>
        </row>
        <row r="75">
          <cell r="C75" t="str">
            <v>LOÜ @ 2050</v>
          </cell>
          <cell r="D75" t="str">
            <v>t/a</v>
          </cell>
          <cell r="E75">
            <v>39</v>
          </cell>
          <cell r="F75">
            <v>39</v>
          </cell>
          <cell r="G75">
            <v>42</v>
          </cell>
          <cell r="I75" t="str">
            <v>-</v>
          </cell>
          <cell r="K75" t="str">
            <v>ENMAK 2030 stsenaariumitega kaasneva õhukvaliteedi muutuse prognoos</v>
          </cell>
        </row>
        <row r="76">
          <cell r="C76" t="str">
            <v>H2S @ 2050</v>
          </cell>
          <cell r="D76" t="str">
            <v>t/a</v>
          </cell>
          <cell r="E76">
            <v>9</v>
          </cell>
          <cell r="F76">
            <v>9</v>
          </cell>
          <cell r="G76">
            <v>9</v>
          </cell>
          <cell r="I76" t="str">
            <v>-</v>
          </cell>
          <cell r="K76" t="str">
            <v>ENMAK 2030 stsenaariumitega kaasneva õhukvaliteedi muutuse prognoos</v>
          </cell>
        </row>
        <row r="77">
          <cell r="C77" t="str">
            <v>PAH @ 2050</v>
          </cell>
          <cell r="D77" t="str">
            <v>t/a</v>
          </cell>
          <cell r="E77">
            <v>16</v>
          </cell>
          <cell r="F77">
            <v>9</v>
          </cell>
          <cell r="G77">
            <v>30</v>
          </cell>
          <cell r="I77" t="str">
            <v>-</v>
          </cell>
          <cell r="K77" t="str">
            <v>ENMAK 2030 stsenaariumitega kaasneva õhukvaliteedi muutuse prognoos</v>
          </cell>
        </row>
        <row r="79">
          <cell r="C79" t="str">
            <v>PM2.5-st tingitud varajaste surmajuhtumite arv @ 2012</v>
          </cell>
          <cell r="D79" t="str">
            <v>surmajuhtumite arv</v>
          </cell>
          <cell r="E79">
            <v>4.5</v>
          </cell>
          <cell r="F79">
            <v>4.5</v>
          </cell>
          <cell r="G79">
            <v>4.5</v>
          </cell>
          <cell r="I79" t="str">
            <v>ENMAK 2030. Õhusaaste tervisemõju</v>
          </cell>
          <cell r="K79" t="str">
            <v>Orru, H. ENMAK 2030 õhusaaste tervisemõju. Arvutusfail</v>
          </cell>
        </row>
        <row r="80">
          <cell r="C80" t="str">
            <v>PM2.5-st tingitud varajaste surmajuhtumite arv @ 2030</v>
          </cell>
          <cell r="D80" t="str">
            <v>surmajuhtumite arv</v>
          </cell>
          <cell r="E80">
            <v>13.8</v>
          </cell>
          <cell r="F80">
            <v>12.25</v>
          </cell>
          <cell r="G80">
            <v>10.7</v>
          </cell>
          <cell r="I80" t="str">
            <v>ENMAK 2030. Õhusaaste tervisemõju</v>
          </cell>
          <cell r="K80" t="str">
            <v>Orru, H. ENMAK 2030 õhusaaste tervisemõju. Arvutusfail</v>
          </cell>
        </row>
      </sheetData>
      <sheetData sheetId="17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1.vml"/><Relationship Id="rId2" Type="http://schemas.openxmlformats.org/officeDocument/2006/relationships/comments" Target="../comments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5.vml"/><Relationship Id="rId2" Type="http://schemas.openxmlformats.org/officeDocument/2006/relationships/comments" Target="../comments5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6.vml"/><Relationship Id="rId2" Type="http://schemas.openxmlformats.org/officeDocument/2006/relationships/comments" Target="../comments6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7.vml"/><Relationship Id="rId2" Type="http://schemas.openxmlformats.org/officeDocument/2006/relationships/comments" Target="../comments7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8.vml"/><Relationship Id="rId2" Type="http://schemas.openxmlformats.org/officeDocument/2006/relationships/comments" Target="../comments8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9.vml"/><Relationship Id="rId2" Type="http://schemas.openxmlformats.org/officeDocument/2006/relationships/comments" Target="../comments9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10.vml"/><Relationship Id="rId2" Type="http://schemas.openxmlformats.org/officeDocument/2006/relationships/comments" Target="../comments10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11.vml"/><Relationship Id="rId2" Type="http://schemas.openxmlformats.org/officeDocument/2006/relationships/comments" Target="../comments11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hyperlink" Target="mailto:SO2@%20baasaasta" TargetMode="External"/><Relationship Id="rId2" Type="http://schemas.openxmlformats.org/officeDocument/2006/relationships/vmlDrawing" Target="../drawings/vmlDrawing12.vml"/><Relationship Id="rId3" Type="http://schemas.openxmlformats.org/officeDocument/2006/relationships/comments" Target="../comments12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2.vml"/><Relationship Id="rId2" Type="http://schemas.openxmlformats.org/officeDocument/2006/relationships/comments" Target="../comments2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4" Type="http://schemas.openxmlformats.org/officeDocument/2006/relationships/comments" Target="../comments3.xml"/><Relationship Id="rId1" Type="http://schemas.openxmlformats.org/officeDocument/2006/relationships/hyperlink" Target="http://www.energiatalgud.ee/index.php?title=Hoonefondi_ENMAK_stsenaariumid" TargetMode="External"/><Relationship Id="rId2" Type="http://schemas.openxmlformats.org/officeDocument/2006/relationships/drawing" Target="../drawings/drawing1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4.vml"/><Relationship Id="rId2" Type="http://schemas.openxmlformats.org/officeDocument/2006/relationships/comments" Target="../comments4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AZ21"/>
  <sheetViews>
    <sheetView workbookViewId="0">
      <selection activeCell="BB13" sqref="BB13"/>
    </sheetView>
  </sheetViews>
  <sheetFormatPr baseColWidth="10" defaultColWidth="8.796875" defaultRowHeight="15" x14ac:dyDescent="0.2"/>
  <cols>
    <col min="1" max="2" width="8.796875" style="25"/>
    <col min="3" max="51" width="2" customWidth="1"/>
  </cols>
  <sheetData>
    <row r="2" spans="3:52" ht="15.5" customHeight="1" x14ac:dyDescent="0.2">
      <c r="C2" s="373" t="s">
        <v>436</v>
      </c>
      <c r="D2" s="373"/>
      <c r="E2" s="373"/>
      <c r="F2" s="373"/>
      <c r="G2" s="373"/>
      <c r="H2" s="373"/>
      <c r="I2" s="373"/>
      <c r="J2" s="373"/>
      <c r="K2" s="373"/>
      <c r="L2" s="373"/>
      <c r="M2" s="373"/>
      <c r="N2" s="373"/>
      <c r="O2" s="373"/>
      <c r="P2" s="373"/>
      <c r="Q2" s="373"/>
      <c r="R2" s="373"/>
      <c r="S2" s="373"/>
      <c r="T2" s="373"/>
      <c r="U2" s="373"/>
      <c r="V2" s="373"/>
      <c r="W2" s="373"/>
      <c r="X2" s="373"/>
      <c r="Y2" s="373"/>
      <c r="Z2" s="373"/>
      <c r="AA2" s="373"/>
      <c r="AB2" s="373"/>
      <c r="AC2" s="373"/>
      <c r="AD2" s="373"/>
      <c r="AE2" s="373"/>
      <c r="AF2" s="373"/>
      <c r="AG2" s="373"/>
      <c r="AH2" s="373"/>
      <c r="AI2" s="373"/>
      <c r="AJ2" s="373"/>
      <c r="AK2" s="373"/>
      <c r="AL2" s="373"/>
      <c r="AM2" s="373"/>
      <c r="AN2" s="373"/>
      <c r="AO2" s="373"/>
      <c r="AP2" s="373"/>
      <c r="AQ2" s="373"/>
      <c r="AR2" s="373"/>
      <c r="AS2" s="373"/>
      <c r="AT2" s="373"/>
      <c r="AU2" s="373"/>
      <c r="AV2" s="373"/>
      <c r="AW2" s="373"/>
      <c r="AX2" s="373"/>
      <c r="AY2" s="373"/>
      <c r="AZ2" s="373"/>
    </row>
    <row r="3" spans="3:52" x14ac:dyDescent="0.2">
      <c r="C3" s="373"/>
      <c r="D3" s="373"/>
      <c r="E3" s="373"/>
      <c r="F3" s="373"/>
      <c r="G3" s="373"/>
      <c r="H3" s="373"/>
      <c r="I3" s="373"/>
      <c r="J3" s="373"/>
      <c r="K3" s="373"/>
      <c r="L3" s="373"/>
      <c r="M3" s="373"/>
      <c r="N3" s="373"/>
      <c r="O3" s="373"/>
      <c r="P3" s="373"/>
      <c r="Q3" s="373"/>
      <c r="R3" s="373"/>
      <c r="S3" s="373"/>
      <c r="T3" s="373"/>
      <c r="U3" s="373"/>
      <c r="V3" s="373"/>
      <c r="W3" s="373"/>
      <c r="X3" s="373"/>
      <c r="Y3" s="373"/>
      <c r="Z3" s="373"/>
      <c r="AA3" s="373"/>
      <c r="AB3" s="373"/>
      <c r="AC3" s="373"/>
      <c r="AD3" s="373"/>
      <c r="AE3" s="373"/>
      <c r="AF3" s="373"/>
      <c r="AG3" s="373"/>
      <c r="AH3" s="373"/>
      <c r="AI3" s="373"/>
      <c r="AJ3" s="373"/>
      <c r="AK3" s="373"/>
      <c r="AL3" s="373"/>
      <c r="AM3" s="373"/>
      <c r="AN3" s="373"/>
      <c r="AO3" s="373"/>
      <c r="AP3" s="373"/>
      <c r="AQ3" s="373"/>
      <c r="AR3" s="373"/>
      <c r="AS3" s="373"/>
      <c r="AT3" s="373"/>
      <c r="AU3" s="373"/>
      <c r="AV3" s="373"/>
      <c r="AW3" s="373"/>
      <c r="AX3" s="373"/>
      <c r="AY3" s="373"/>
      <c r="AZ3" s="373"/>
    </row>
    <row r="5" spans="3:52" x14ac:dyDescent="0.2">
      <c r="H5" s="138"/>
      <c r="I5" s="378" t="s">
        <v>334</v>
      </c>
      <c r="J5" s="378"/>
      <c r="K5" s="378"/>
      <c r="L5" s="378"/>
      <c r="M5" s="378"/>
      <c r="N5" s="378"/>
      <c r="O5" s="378"/>
      <c r="P5" s="378"/>
      <c r="Q5" s="378"/>
      <c r="R5" s="378"/>
      <c r="S5" s="378"/>
      <c r="T5" s="378"/>
      <c r="U5" s="378"/>
      <c r="V5" s="378"/>
      <c r="W5" s="378"/>
      <c r="X5" s="139"/>
    </row>
    <row r="6" spans="3:52" x14ac:dyDescent="0.2">
      <c r="H6" s="140"/>
      <c r="I6" s="379"/>
      <c r="J6" s="379"/>
      <c r="K6" s="379"/>
      <c r="L6" s="379"/>
      <c r="M6" s="379"/>
      <c r="N6" s="379"/>
      <c r="O6" s="379"/>
      <c r="P6" s="379"/>
      <c r="Q6" s="379"/>
      <c r="R6" s="379"/>
      <c r="S6" s="379"/>
      <c r="T6" s="379"/>
      <c r="U6" s="379"/>
      <c r="V6" s="379"/>
      <c r="W6" s="379"/>
      <c r="X6" s="141"/>
    </row>
    <row r="7" spans="3:52" x14ac:dyDescent="0.2">
      <c r="H7" s="140"/>
      <c r="I7" s="379"/>
      <c r="J7" s="379"/>
      <c r="K7" s="379"/>
      <c r="L7" s="379"/>
      <c r="M7" s="379"/>
      <c r="N7" s="379"/>
      <c r="O7" s="379"/>
      <c r="P7" s="379"/>
      <c r="Q7" s="379"/>
      <c r="R7" s="379"/>
      <c r="S7" s="379"/>
      <c r="T7" s="379"/>
      <c r="U7" s="379"/>
      <c r="V7" s="379"/>
      <c r="W7" s="379"/>
      <c r="X7" s="141"/>
    </row>
    <row r="8" spans="3:52" x14ac:dyDescent="0.2">
      <c r="H8" s="140"/>
      <c r="I8" s="380" t="s">
        <v>332</v>
      </c>
      <c r="J8" s="380"/>
      <c r="K8" s="380"/>
      <c r="L8" s="380"/>
      <c r="M8" s="380"/>
      <c r="N8" s="380"/>
      <c r="O8" s="380"/>
      <c r="P8" s="380"/>
      <c r="Q8" s="380"/>
      <c r="R8" s="380"/>
      <c r="S8" s="380"/>
      <c r="T8" s="380"/>
      <c r="U8" s="142"/>
      <c r="V8" s="381">
        <v>3</v>
      </c>
      <c r="W8" s="382"/>
      <c r="X8" s="143"/>
    </row>
    <row r="9" spans="3:52" x14ac:dyDescent="0.2">
      <c r="H9" s="140"/>
      <c r="I9" s="383" t="s">
        <v>337</v>
      </c>
      <c r="J9" s="383"/>
      <c r="K9" s="383"/>
      <c r="L9" s="383"/>
      <c r="M9" s="383"/>
      <c r="N9" s="383"/>
      <c r="O9" s="383"/>
      <c r="P9" s="383"/>
      <c r="Q9" s="383"/>
      <c r="R9" s="383"/>
      <c r="S9" s="383"/>
      <c r="T9" s="383"/>
      <c r="U9" s="384"/>
      <c r="V9" s="376">
        <v>5</v>
      </c>
      <c r="W9" s="377"/>
      <c r="X9" s="143"/>
    </row>
    <row r="10" spans="3:52" x14ac:dyDescent="0.2">
      <c r="H10" s="140"/>
      <c r="I10" s="383" t="s">
        <v>338</v>
      </c>
      <c r="J10" s="383"/>
      <c r="K10" s="383"/>
      <c r="L10" s="383"/>
      <c r="M10" s="383"/>
      <c r="N10" s="383"/>
      <c r="O10" s="383"/>
      <c r="P10" s="383"/>
      <c r="Q10" s="383"/>
      <c r="R10" s="383"/>
      <c r="S10" s="383"/>
      <c r="T10" s="383"/>
      <c r="U10" s="384"/>
      <c r="V10" s="376">
        <v>4</v>
      </c>
      <c r="W10" s="377"/>
      <c r="X10" s="143"/>
    </row>
    <row r="11" spans="3:52" x14ac:dyDescent="0.2">
      <c r="H11" s="140"/>
      <c r="I11" s="383" t="s">
        <v>339</v>
      </c>
      <c r="J11" s="383"/>
      <c r="K11" s="383"/>
      <c r="L11" s="383"/>
      <c r="M11" s="383"/>
      <c r="N11" s="383"/>
      <c r="O11" s="383"/>
      <c r="P11" s="383"/>
      <c r="Q11" s="383"/>
      <c r="R11" s="383"/>
      <c r="S11" s="383"/>
      <c r="T11" s="383"/>
      <c r="U11" s="384"/>
      <c r="V11" s="376">
        <v>2</v>
      </c>
      <c r="W11" s="377"/>
      <c r="X11" s="143"/>
    </row>
    <row r="12" spans="3:52" x14ac:dyDescent="0.2">
      <c r="H12" s="140"/>
      <c r="I12" s="383" t="s">
        <v>340</v>
      </c>
      <c r="J12" s="383"/>
      <c r="K12" s="383"/>
      <c r="L12" s="383"/>
      <c r="M12" s="383"/>
      <c r="N12" s="383"/>
      <c r="O12" s="383"/>
      <c r="P12" s="383"/>
      <c r="Q12" s="383"/>
      <c r="R12" s="383"/>
      <c r="S12" s="383"/>
      <c r="T12" s="383"/>
      <c r="U12" s="384"/>
      <c r="V12" s="376">
        <v>2</v>
      </c>
      <c r="W12" s="377"/>
      <c r="X12" s="143"/>
    </row>
    <row r="13" spans="3:52" x14ac:dyDescent="0.2">
      <c r="H13" s="140"/>
      <c r="I13" s="380" t="s">
        <v>333</v>
      </c>
      <c r="J13" s="380"/>
      <c r="K13" s="380"/>
      <c r="L13" s="380"/>
      <c r="M13" s="380"/>
      <c r="N13" s="380"/>
      <c r="O13" s="380"/>
      <c r="P13" s="380"/>
      <c r="Q13" s="380"/>
      <c r="R13" s="380"/>
      <c r="S13" s="380"/>
      <c r="T13" s="380"/>
      <c r="U13" s="398"/>
      <c r="V13" s="381">
        <v>1</v>
      </c>
      <c r="W13" s="382"/>
      <c r="X13" s="143"/>
    </row>
    <row r="14" spans="3:52" x14ac:dyDescent="0.2">
      <c r="H14" s="140"/>
      <c r="I14" s="383" t="s">
        <v>341</v>
      </c>
      <c r="J14" s="383"/>
      <c r="K14" s="383"/>
      <c r="L14" s="383"/>
      <c r="M14" s="383"/>
      <c r="N14" s="383"/>
      <c r="O14" s="383"/>
      <c r="P14" s="383"/>
      <c r="Q14" s="383"/>
      <c r="R14" s="383"/>
      <c r="S14" s="383"/>
      <c r="T14" s="383"/>
      <c r="U14" s="384"/>
      <c r="V14" s="376">
        <v>1</v>
      </c>
      <c r="W14" s="377"/>
      <c r="X14" s="143"/>
    </row>
    <row r="15" spans="3:52" x14ac:dyDescent="0.2">
      <c r="H15" s="140"/>
      <c r="I15" s="383" t="s">
        <v>342</v>
      </c>
      <c r="J15" s="383"/>
      <c r="K15" s="383"/>
      <c r="L15" s="383"/>
      <c r="M15" s="383"/>
      <c r="N15" s="383"/>
      <c r="O15" s="383"/>
      <c r="P15" s="383"/>
      <c r="Q15" s="383"/>
      <c r="R15" s="383"/>
      <c r="S15" s="383"/>
      <c r="T15" s="383"/>
      <c r="U15" s="384"/>
      <c r="V15" s="376">
        <v>3</v>
      </c>
      <c r="W15" s="377"/>
      <c r="X15" s="143"/>
    </row>
    <row r="16" spans="3:52" x14ac:dyDescent="0.2">
      <c r="H16" s="144"/>
      <c r="I16" s="374" t="s">
        <v>343</v>
      </c>
      <c r="J16" s="374"/>
      <c r="K16" s="374"/>
      <c r="L16" s="374"/>
      <c r="M16" s="374"/>
      <c r="N16" s="374"/>
      <c r="O16" s="374"/>
      <c r="P16" s="374"/>
      <c r="Q16" s="374"/>
      <c r="R16" s="374"/>
      <c r="S16" s="374"/>
      <c r="T16" s="374"/>
      <c r="U16" s="375"/>
      <c r="V16" s="376">
        <v>1</v>
      </c>
      <c r="W16" s="377"/>
      <c r="X16" s="145"/>
    </row>
    <row r="17" spans="2:52" ht="15.5" customHeight="1" x14ac:dyDescent="0.3">
      <c r="B17" s="137"/>
      <c r="C17" s="25"/>
      <c r="D17" s="25"/>
      <c r="E17" s="25"/>
      <c r="F17" s="137"/>
      <c r="G17" s="137"/>
      <c r="H17" s="137"/>
      <c r="I17" s="137"/>
      <c r="J17" s="137"/>
      <c r="K17" s="137"/>
      <c r="L17" s="137"/>
      <c r="M17" s="137"/>
      <c r="N17" s="137"/>
      <c r="O17" s="137"/>
      <c r="P17" s="137"/>
      <c r="Q17" s="25"/>
      <c r="R17" s="25"/>
      <c r="S17" s="25"/>
      <c r="T17" s="137"/>
      <c r="AI17" s="385" t="s">
        <v>439</v>
      </c>
      <c r="AJ17" s="386"/>
      <c r="AK17" s="386"/>
      <c r="AL17" s="386"/>
      <c r="AM17" s="386"/>
      <c r="AN17" s="386"/>
      <c r="AO17" s="386"/>
      <c r="AP17" s="387"/>
      <c r="AQ17" s="391" t="s">
        <v>440</v>
      </c>
      <c r="AR17" s="385" t="s">
        <v>438</v>
      </c>
      <c r="AS17" s="386"/>
      <c r="AT17" s="386"/>
      <c r="AU17" s="386"/>
      <c r="AV17" s="386"/>
      <c r="AW17" s="386"/>
      <c r="AX17" s="386"/>
      <c r="AY17" s="387"/>
      <c r="AZ17" s="161"/>
    </row>
    <row r="18" spans="2:52" ht="15.5" customHeight="1" x14ac:dyDescent="0.3">
      <c r="B18" s="137"/>
      <c r="C18" s="25"/>
      <c r="D18" s="25"/>
      <c r="E18" s="25"/>
      <c r="F18" s="137"/>
      <c r="G18" s="137"/>
      <c r="H18" s="137"/>
      <c r="I18" s="137"/>
      <c r="J18" s="137"/>
      <c r="K18" s="137"/>
      <c r="L18" s="137"/>
      <c r="M18" s="137"/>
      <c r="N18" s="137"/>
      <c r="O18" s="137"/>
      <c r="P18" s="137"/>
      <c r="Q18" s="25"/>
      <c r="R18" s="25"/>
      <c r="S18" s="25"/>
      <c r="T18" s="137"/>
      <c r="AI18" s="388"/>
      <c r="AJ18" s="389"/>
      <c r="AK18" s="389"/>
      <c r="AL18" s="389"/>
      <c r="AM18" s="389"/>
      <c r="AN18" s="389"/>
      <c r="AO18" s="389"/>
      <c r="AP18" s="390"/>
      <c r="AQ18" s="391"/>
      <c r="AR18" s="388"/>
      <c r="AS18" s="389"/>
      <c r="AT18" s="389"/>
      <c r="AU18" s="389"/>
      <c r="AV18" s="389"/>
      <c r="AW18" s="389"/>
      <c r="AX18" s="389"/>
      <c r="AY18" s="390"/>
      <c r="AZ18" s="161"/>
    </row>
    <row r="19" spans="2:52" ht="15.5" customHeight="1" x14ac:dyDescent="0.3">
      <c r="B19" s="137"/>
      <c r="C19" s="25"/>
      <c r="D19" s="25"/>
      <c r="E19" s="25"/>
      <c r="F19" s="137"/>
      <c r="G19" s="137"/>
      <c r="H19" s="137"/>
      <c r="I19" s="137"/>
      <c r="J19" s="137"/>
      <c r="K19" s="137"/>
      <c r="L19" s="137"/>
      <c r="M19" s="137"/>
      <c r="N19" s="137"/>
      <c r="O19" s="137"/>
      <c r="P19" s="137"/>
      <c r="Q19" s="25"/>
      <c r="R19" s="25"/>
      <c r="S19" s="25"/>
      <c r="T19" s="137"/>
      <c r="AI19" s="162"/>
      <c r="AJ19" s="162"/>
      <c r="AK19" s="162"/>
      <c r="AL19" s="162"/>
      <c r="AM19" s="162"/>
      <c r="AN19" s="162"/>
      <c r="AO19" s="161"/>
      <c r="AP19" s="161"/>
      <c r="AQ19" s="161"/>
      <c r="AR19" s="161"/>
      <c r="AS19" s="161"/>
      <c r="AT19" s="161"/>
      <c r="AU19" s="161"/>
      <c r="AV19" s="161"/>
      <c r="AW19" s="161"/>
      <c r="AX19" s="161"/>
      <c r="AY19" s="162"/>
      <c r="AZ19" s="161"/>
    </row>
    <row r="20" spans="2:52" ht="15.5" customHeight="1" x14ac:dyDescent="0.3">
      <c r="AI20" s="161"/>
      <c r="AJ20" s="161"/>
      <c r="AK20" s="161"/>
      <c r="AL20" s="161"/>
      <c r="AM20" s="392" t="s">
        <v>437</v>
      </c>
      <c r="AN20" s="393"/>
      <c r="AO20" s="393"/>
      <c r="AP20" s="393"/>
      <c r="AQ20" s="393"/>
      <c r="AR20" s="393"/>
      <c r="AS20" s="393"/>
      <c r="AT20" s="393"/>
      <c r="AU20" s="394"/>
      <c r="AV20" s="161"/>
      <c r="AW20" s="161"/>
      <c r="AX20" s="161"/>
      <c r="AY20" s="161"/>
      <c r="AZ20" s="161"/>
    </row>
    <row r="21" spans="2:52" ht="15.5" customHeight="1" x14ac:dyDescent="0.3">
      <c r="AI21" s="162"/>
      <c r="AJ21" s="162"/>
      <c r="AK21" s="162"/>
      <c r="AL21" s="162"/>
      <c r="AM21" s="395"/>
      <c r="AN21" s="396"/>
      <c r="AO21" s="396"/>
      <c r="AP21" s="396"/>
      <c r="AQ21" s="396"/>
      <c r="AR21" s="396"/>
      <c r="AS21" s="396"/>
      <c r="AT21" s="396"/>
      <c r="AU21" s="397"/>
      <c r="AV21" s="162"/>
      <c r="AW21" s="162"/>
      <c r="AX21" s="162"/>
      <c r="AY21" s="162"/>
      <c r="AZ21" s="161"/>
    </row>
  </sheetData>
  <sheetProtection sheet="1" objects="1" scenarios="1"/>
  <mergeCells count="24">
    <mergeCell ref="AI17:AP18"/>
    <mergeCell ref="AQ17:AQ18"/>
    <mergeCell ref="AR17:AY18"/>
    <mergeCell ref="AM20:AU21"/>
    <mergeCell ref="I10:U10"/>
    <mergeCell ref="V10:W10"/>
    <mergeCell ref="I11:U11"/>
    <mergeCell ref="V11:W11"/>
    <mergeCell ref="I12:U12"/>
    <mergeCell ref="V12:W12"/>
    <mergeCell ref="I13:U13"/>
    <mergeCell ref="V13:W13"/>
    <mergeCell ref="I14:U14"/>
    <mergeCell ref="V14:W14"/>
    <mergeCell ref="I15:U15"/>
    <mergeCell ref="V15:W15"/>
    <mergeCell ref="C2:AZ3"/>
    <mergeCell ref="I16:U16"/>
    <mergeCell ref="V16:W16"/>
    <mergeCell ref="I5:W7"/>
    <mergeCell ref="I8:T8"/>
    <mergeCell ref="V8:W8"/>
    <mergeCell ref="I9:U9"/>
    <mergeCell ref="V9:W9"/>
  </mergeCells>
  <dataValidations count="3">
    <dataValidation type="list" allowBlank="1" showInputMessage="1" showErrorMessage="1" sqref="V14:W16">
      <formula1>Ressursikasutus</formula1>
    </dataValidation>
    <dataValidation type="list" allowBlank="1" showInputMessage="1" showErrorMessage="1" sqref="V9:W12">
      <formula1>Majanduse_seisund</formula1>
    </dataValidation>
    <dataValidation type="list" allowBlank="1" showInputMessage="1" showErrorMessage="1" sqref="V8:W8 V13:W13">
      <formula1>Konkurentsivõime_Koondindeks</formula1>
    </dataValidation>
  </dataValidations>
  <hyperlinks>
    <hyperlink ref="AR17:AY18" location="KuluTulu!C2" display="→"/>
    <hyperlink ref="AI17:AP18" location="Maj.Mõju!I5" display="←"/>
    <hyperlink ref="AM20:AU21" location="Tulemused!F23" display="Tulemused"/>
  </hyperlinks>
  <pageMargins left="0.7" right="0.7" top="0.75" bottom="0.75" header="0.3" footer="0.3"/>
  <pageSetup paperSize="9" orientation="portrait"/>
  <legacy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A3153483-8A46-4DE8-8F52-0B98B8EE0FB8}">
            <xm:f>AND(Tulemused!#REF!=data!$C$19,ISTEXT(Tulemused!$AJ9))</xm:f>
            <x14:dxf>
              <fill>
                <patternFill>
                  <bgColor rgb="FFFF0000"/>
                </patternFill>
              </fill>
            </x14:dxf>
          </x14:cfRule>
          <xm:sqref>V8:W16</xm:sqref>
        </x14:conditionalFormatting>
        <x14:conditionalFormatting xmlns:xm="http://schemas.microsoft.com/office/excel/2006/main">
          <x14:cfRule type="expression" priority="2" id="{09A4C559-8A6D-4EAB-BD20-626784D16ED1}">
            <xm:f>AND(Tulemused!#REF!=data!$D$19,ISNUMBER(Tulemused!$AJ9))</xm:f>
            <x14:dxf>
              <fill>
                <patternFill>
                  <bgColor rgb="FFFF0000"/>
                </patternFill>
              </fill>
            </x14:dxf>
          </x14:cfRule>
          <xm:sqref>V8:W16</xm:sqref>
        </x14:conditionalFormatting>
      </x14:conditionalFormatting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R150"/>
  <sheetViews>
    <sheetView zoomScale="115" zoomScaleNormal="115" zoomScalePageLayoutView="115" workbookViewId="0">
      <pane xSplit="8" ySplit="10" topLeftCell="EI11" activePane="bottomRight" state="frozen"/>
      <selection pane="topRight" activeCell="I1" sqref="I1"/>
      <selection pane="bottomLeft" activeCell="A11" sqref="A11"/>
      <selection pane="bottomRight" activeCell="ER11" sqref="ER11"/>
    </sheetView>
  </sheetViews>
  <sheetFormatPr baseColWidth="10" defaultColWidth="8.796875" defaultRowHeight="15" x14ac:dyDescent="0.2"/>
  <cols>
    <col min="1" max="1" width="6.59765625" style="184" bestFit="1" customWidth="1"/>
    <col min="2" max="2" width="3.19921875" style="87" customWidth="1"/>
    <col min="3" max="3" width="3.3984375" style="87" bestFit="1" customWidth="1"/>
    <col min="4" max="4" width="2.3984375" style="87" bestFit="1" customWidth="1"/>
    <col min="5" max="5" width="3" style="87" bestFit="1" customWidth="1"/>
    <col min="6" max="7" width="3" style="87" customWidth="1"/>
    <col min="8" max="8" width="1.3984375" style="87" customWidth="1"/>
    <col min="9" max="9" width="10.59765625" style="209" bestFit="1" customWidth="1"/>
    <col min="10" max="11" width="10.59765625" style="209" customWidth="1"/>
    <col min="12" max="12" width="10.59765625" style="209" bestFit="1" customWidth="1"/>
    <col min="13" max="14" width="10.59765625" style="209" customWidth="1"/>
    <col min="15" max="17" width="8.796875" style="87"/>
    <col min="18" max="18" width="10.59765625" style="87" bestFit="1" customWidth="1"/>
    <col min="19" max="19" width="8" style="195" bestFit="1" customWidth="1"/>
    <col min="20" max="20" width="10.59765625" style="87" bestFit="1" customWidth="1"/>
    <col min="21" max="22" width="8" style="87" bestFit="1" customWidth="1"/>
    <col min="23" max="23" width="10.59765625" style="195" bestFit="1" customWidth="1"/>
    <col min="24" max="25" width="8" style="87" bestFit="1" customWidth="1"/>
    <col min="26" max="26" width="9.59765625" style="87" bestFit="1" customWidth="1"/>
    <col min="27" max="27" width="6.59765625" style="87" bestFit="1" customWidth="1"/>
    <col min="28" max="28" width="6" style="87" customWidth="1"/>
    <col min="29" max="29" width="6" style="87" bestFit="1" customWidth="1"/>
    <col min="30" max="32" width="6.3984375" style="87" bestFit="1" customWidth="1"/>
    <col min="33" max="33" width="3.3984375" style="87" customWidth="1"/>
    <col min="34" max="40" width="6.3984375" style="87" customWidth="1"/>
    <col min="41" max="42" width="8" style="87" customWidth="1"/>
    <col min="43" max="43" width="6.3984375" style="317" customWidth="1"/>
    <col min="44" max="44" width="6.3984375" style="87" customWidth="1"/>
    <col min="45" max="45" width="6.3984375" style="317" customWidth="1"/>
    <col min="46" max="46" width="11.3984375" style="87" bestFit="1" customWidth="1"/>
    <col min="47" max="47" width="11.3984375" style="210" customWidth="1"/>
    <col min="48" max="49" width="11.3984375" style="87" bestFit="1" customWidth="1"/>
    <col min="50" max="50" width="8.796875" style="210" customWidth="1"/>
    <col min="51" max="51" width="6.3984375" style="210" customWidth="1"/>
    <col min="52" max="57" width="9.3984375" style="210" customWidth="1"/>
    <col min="58" max="58" width="6.3984375" style="210" customWidth="1"/>
    <col min="59" max="59" width="8.796875" style="87" bestFit="1" customWidth="1"/>
    <col min="60" max="60" width="14" style="87" bestFit="1" customWidth="1"/>
    <col min="61" max="61" width="8.796875" style="87" bestFit="1" customWidth="1"/>
    <col min="62" max="62" width="11.3984375" style="87" bestFit="1" customWidth="1"/>
    <col min="63" max="63" width="6.3984375" style="87" customWidth="1"/>
    <col min="64" max="65" width="2.59765625" style="87" customWidth="1"/>
    <col min="66" max="66" width="8.3984375" style="87" bestFit="1" customWidth="1"/>
    <col min="67" max="68" width="7" style="87" bestFit="1" customWidth="1"/>
    <col min="69" max="69" width="6.3984375" style="87" customWidth="1"/>
    <col min="70" max="70" width="7.59765625" style="87" bestFit="1" customWidth="1"/>
    <col min="71" max="71" width="7" style="87" bestFit="1" customWidth="1"/>
    <col min="72" max="73" width="2" style="87" customWidth="1"/>
    <col min="74" max="75" width="6.3984375" style="87" customWidth="1"/>
    <col min="76" max="76" width="7" style="87" bestFit="1" customWidth="1"/>
    <col min="77" max="78" width="2.59765625" style="87" customWidth="1"/>
    <col min="79" max="79" width="6.59765625" style="87" bestFit="1" customWidth="1"/>
    <col min="80" max="80" width="7" style="87" bestFit="1" customWidth="1"/>
    <col min="81" max="81" width="9.3984375" style="87" bestFit="1" customWidth="1"/>
    <col min="82" max="82" width="1.59765625" style="87" customWidth="1"/>
    <col min="83" max="83" width="7.3984375" style="87" bestFit="1" customWidth="1"/>
    <col min="84" max="84" width="6.3984375" style="87" customWidth="1"/>
    <col min="85" max="86" width="6.59765625" style="87" bestFit="1" customWidth="1"/>
    <col min="87" max="87" width="6.3984375" style="87" customWidth="1"/>
    <col min="88" max="90" width="7.59765625" style="87" bestFit="1" customWidth="1"/>
    <col min="91" max="91" width="6.59765625" style="87" bestFit="1" customWidth="1"/>
    <col min="92" max="92" width="6.3984375" style="87" customWidth="1"/>
    <col min="93" max="93" width="8.3984375" style="87" customWidth="1"/>
    <col min="94" max="94" width="8.59765625" style="87" customWidth="1"/>
    <col min="95" max="95" width="7.796875" style="87" customWidth="1"/>
    <col min="96" max="96" width="7.59765625" style="87" customWidth="1"/>
    <col min="97" max="97" width="8.19921875" style="87" customWidth="1"/>
    <col min="98" max="100" width="6.3984375" style="87" customWidth="1"/>
    <col min="101" max="101" width="12.19921875" style="87" customWidth="1"/>
    <col min="102" max="102" width="6.3984375" style="195" bestFit="1" customWidth="1"/>
    <col min="103" max="103" width="7.59765625" style="87" bestFit="1" customWidth="1"/>
    <col min="104" max="104" width="12.796875" style="87" bestFit="1" customWidth="1"/>
    <col min="105" max="105" width="14.19921875" style="87" bestFit="1" customWidth="1"/>
    <col min="106" max="106" width="15.19921875" style="87" bestFit="1" customWidth="1"/>
    <col min="107" max="107" width="6.3984375" style="87" customWidth="1"/>
    <col min="108" max="108" width="7.3984375" style="87" customWidth="1"/>
    <col min="109" max="109" width="8.59765625" style="87" customWidth="1"/>
    <col min="110" max="112" width="6.3984375" style="87" customWidth="1"/>
    <col min="113" max="113" width="6.3984375" style="184" customWidth="1"/>
    <col min="114" max="114" width="3.3984375" style="87" customWidth="1"/>
    <col min="115" max="115" width="8.796875" style="87" customWidth="1"/>
    <col min="116" max="116" width="3.3984375" style="87" customWidth="1"/>
    <col min="117" max="118" width="8.796875" style="87"/>
    <col min="119" max="119" width="3.19921875" style="87" customWidth="1"/>
    <col min="120" max="120" width="8.19921875" style="87" bestFit="1" customWidth="1"/>
    <col min="121" max="122" width="6.3984375" style="87" bestFit="1" customWidth="1"/>
    <col min="123" max="123" width="8.3984375" style="87" bestFit="1" customWidth="1"/>
    <col min="124" max="124" width="6.3984375" style="87" bestFit="1" customWidth="1"/>
    <col min="125" max="125" width="8.59765625" style="87" bestFit="1" customWidth="1"/>
    <col min="126" max="126" width="8.3984375" style="87" customWidth="1"/>
    <col min="127" max="127" width="8.3984375" style="87" bestFit="1" customWidth="1"/>
    <col min="128" max="129" width="6.3984375" style="87" bestFit="1" customWidth="1"/>
    <col min="130" max="134" width="6.3984375" style="87" customWidth="1"/>
    <col min="135" max="135" width="7.59765625" style="87" customWidth="1"/>
    <col min="136" max="136" width="6.796875" style="87" customWidth="1"/>
    <col min="137" max="137" width="6.3984375" style="87" customWidth="1"/>
    <col min="138" max="138" width="7.3984375" style="87" customWidth="1"/>
    <col min="139" max="140" width="9.19921875" style="317" customWidth="1"/>
    <col min="141" max="141" width="8.3984375" style="317" customWidth="1"/>
    <col min="142" max="142" width="2.3984375" style="87" customWidth="1"/>
    <col min="143" max="143" width="8.3984375" style="87" bestFit="1" customWidth="1"/>
    <col min="144" max="144" width="7.59765625" style="87" bestFit="1" customWidth="1"/>
    <col min="145" max="145" width="7.3984375" style="87" bestFit="1" customWidth="1"/>
    <col min="146" max="146" width="6.59765625" style="87" customWidth="1"/>
    <col min="147" max="147" width="7.59765625" style="87" customWidth="1"/>
    <col min="148" max="148" width="8.796875" style="262" customWidth="1"/>
    <col min="149" max="149" width="6.3984375" style="262" customWidth="1"/>
    <col min="150" max="150" width="10.3984375" style="87" customWidth="1"/>
    <col min="151" max="151" width="10.19921875" style="87" customWidth="1"/>
    <col min="152" max="153" width="8.796875" style="87"/>
    <col min="154" max="154" width="13.3984375" style="87" bestFit="1" customWidth="1"/>
    <col min="155" max="155" width="8.19921875" style="87" customWidth="1"/>
    <col min="156" max="156" width="9" style="87" customWidth="1"/>
    <col min="157" max="157" width="8.59765625" style="87" customWidth="1"/>
    <col min="158" max="158" width="8.59765625" style="277" customWidth="1"/>
    <col min="159" max="166" width="8.59765625" style="87" customWidth="1"/>
    <col min="167" max="167" width="6.3984375" style="87" customWidth="1"/>
    <col min="168" max="168" width="8.796875" style="87" customWidth="1"/>
    <col min="169" max="181" width="6.3984375" style="87" customWidth="1"/>
    <col min="182" max="182" width="10.19921875" style="184" customWidth="1"/>
    <col min="183" max="184" width="6.3984375" style="87" customWidth="1"/>
    <col min="185" max="185" width="14.3984375" style="87" customWidth="1"/>
    <col min="186" max="186" width="5.796875" style="184" customWidth="1"/>
    <col min="187" max="187" width="5.796875" style="87" customWidth="1"/>
    <col min="188" max="188" width="8.796875" style="87" customWidth="1"/>
    <col min="189" max="189" width="3.3984375" style="87" customWidth="1"/>
    <col min="190" max="190" width="12.796875" style="87" bestFit="1" customWidth="1"/>
    <col min="191" max="16384" width="8.796875" style="87"/>
  </cols>
  <sheetData>
    <row r="1" spans="1:200" x14ac:dyDescent="0.2">
      <c r="A1" s="184" t="s">
        <v>532</v>
      </c>
      <c r="C1" s="184"/>
      <c r="E1" s="184"/>
      <c r="G1" s="184"/>
      <c r="H1" s="87">
        <v>8</v>
      </c>
      <c r="I1" s="184">
        <v>9</v>
      </c>
      <c r="J1" s="184">
        <v>10</v>
      </c>
      <c r="K1" s="184">
        <v>11</v>
      </c>
      <c r="L1" s="184">
        <v>12</v>
      </c>
      <c r="M1" s="184">
        <v>13</v>
      </c>
      <c r="N1" s="184">
        <v>14</v>
      </c>
      <c r="O1" s="184">
        <v>15</v>
      </c>
      <c r="P1" s="184">
        <v>16</v>
      </c>
      <c r="Q1" s="184">
        <v>17</v>
      </c>
      <c r="R1" s="184">
        <v>18</v>
      </c>
      <c r="S1" s="184">
        <v>19</v>
      </c>
      <c r="T1" s="184">
        <v>20</v>
      </c>
      <c r="U1" s="184">
        <v>21</v>
      </c>
      <c r="V1" s="184">
        <v>22</v>
      </c>
      <c r="W1" s="184">
        <v>23</v>
      </c>
      <c r="X1" s="184">
        <v>24</v>
      </c>
      <c r="Y1" s="184">
        <v>25</v>
      </c>
      <c r="Z1" s="184">
        <v>26</v>
      </c>
      <c r="AA1" s="184">
        <v>27</v>
      </c>
      <c r="AB1" s="184">
        <v>28</v>
      </c>
      <c r="AC1" s="184">
        <v>29</v>
      </c>
      <c r="AD1" s="184">
        <v>30</v>
      </c>
      <c r="AE1" s="184">
        <v>31</v>
      </c>
      <c r="AF1" s="184">
        <v>32</v>
      </c>
      <c r="AG1" s="184">
        <v>33</v>
      </c>
      <c r="AH1" s="184">
        <v>34</v>
      </c>
      <c r="AI1" s="184">
        <v>35</v>
      </c>
      <c r="AJ1" s="184">
        <v>36</v>
      </c>
      <c r="AK1" s="184">
        <v>37</v>
      </c>
      <c r="AL1" s="184">
        <v>38</v>
      </c>
      <c r="AM1" s="184">
        <v>39</v>
      </c>
      <c r="AN1" s="184">
        <v>40</v>
      </c>
      <c r="AO1" s="184"/>
      <c r="AP1" s="184"/>
      <c r="AR1" s="184"/>
      <c r="AT1" s="184">
        <v>41</v>
      </c>
      <c r="AU1" s="207">
        <v>42</v>
      </c>
      <c r="AV1" s="184">
        <v>43</v>
      </c>
      <c r="AW1" s="184">
        <v>44</v>
      </c>
      <c r="AX1" s="207">
        <v>45</v>
      </c>
      <c r="AY1" s="207">
        <v>46</v>
      </c>
      <c r="AZ1" s="207">
        <v>47</v>
      </c>
      <c r="BA1" s="207"/>
      <c r="BB1" s="207"/>
      <c r="BC1" s="207"/>
      <c r="BD1" s="366">
        <f>SUM(BA11:BD11)</f>
        <v>25.653750000000002</v>
      </c>
      <c r="BE1" s="207"/>
      <c r="BF1" s="207">
        <v>48</v>
      </c>
      <c r="BG1" s="184">
        <v>49</v>
      </c>
      <c r="BH1" s="184">
        <v>50</v>
      </c>
      <c r="BI1" s="184">
        <v>51</v>
      </c>
      <c r="BJ1" s="184">
        <v>52</v>
      </c>
      <c r="BK1" s="184">
        <v>53</v>
      </c>
      <c r="BL1" s="184">
        <v>54</v>
      </c>
      <c r="BM1" s="184">
        <v>55</v>
      </c>
      <c r="BN1" s="184">
        <v>56</v>
      </c>
      <c r="BO1" s="184">
        <v>57</v>
      </c>
      <c r="BP1" s="184">
        <v>58</v>
      </c>
      <c r="BQ1" s="184">
        <v>59</v>
      </c>
      <c r="BR1" s="184">
        <v>60</v>
      </c>
      <c r="BS1" s="184">
        <v>61</v>
      </c>
      <c r="BT1" s="184">
        <v>62</v>
      </c>
      <c r="BU1" s="184">
        <v>63</v>
      </c>
      <c r="BV1" s="184">
        <v>64</v>
      </c>
      <c r="BW1" s="184">
        <v>65</v>
      </c>
      <c r="BX1" s="184">
        <v>66</v>
      </c>
      <c r="BY1" s="184">
        <v>67</v>
      </c>
      <c r="BZ1" s="184">
        <v>68</v>
      </c>
      <c r="CA1" s="184">
        <v>69</v>
      </c>
      <c r="CB1" s="184">
        <v>70</v>
      </c>
      <c r="CC1" s="184">
        <v>71</v>
      </c>
      <c r="CD1" s="184">
        <v>72</v>
      </c>
      <c r="CE1" s="184">
        <v>73</v>
      </c>
      <c r="CF1" s="184">
        <v>74</v>
      </c>
      <c r="CG1" s="184">
        <v>75</v>
      </c>
      <c r="CH1" s="184">
        <v>76</v>
      </c>
      <c r="CI1" s="184">
        <v>77</v>
      </c>
      <c r="CJ1" s="184">
        <v>78</v>
      </c>
      <c r="CK1" s="184">
        <v>79</v>
      </c>
      <c r="CL1" s="184">
        <v>80</v>
      </c>
      <c r="CM1" s="184">
        <v>81</v>
      </c>
      <c r="CN1" s="184">
        <v>82</v>
      </c>
      <c r="CO1" s="208">
        <v>135</v>
      </c>
      <c r="CP1" s="208">
        <v>136</v>
      </c>
      <c r="CQ1" s="208">
        <v>137</v>
      </c>
      <c r="CR1" s="208">
        <v>138</v>
      </c>
      <c r="CS1" s="208">
        <v>138</v>
      </c>
      <c r="CT1" s="184">
        <v>83</v>
      </c>
      <c r="CU1" s="184">
        <v>84</v>
      </c>
      <c r="CV1" s="184">
        <v>85</v>
      </c>
      <c r="CW1" s="184">
        <v>86</v>
      </c>
      <c r="CX1" s="184">
        <v>87</v>
      </c>
      <c r="CY1" s="184">
        <v>88</v>
      </c>
      <c r="CZ1" s="184">
        <v>89</v>
      </c>
      <c r="DA1" s="184">
        <v>90</v>
      </c>
      <c r="DB1" s="184">
        <v>91</v>
      </c>
      <c r="DC1" s="184">
        <v>92</v>
      </c>
      <c r="DD1" s="184">
        <v>93</v>
      </c>
      <c r="DE1" s="184">
        <v>94</v>
      </c>
      <c r="DF1" s="184">
        <v>95</v>
      </c>
      <c r="DG1" s="184">
        <v>96</v>
      </c>
      <c r="DH1" s="184">
        <v>97</v>
      </c>
      <c r="DI1" s="184">
        <v>98</v>
      </c>
      <c r="DJ1" s="184">
        <v>99</v>
      </c>
      <c r="DK1" s="184">
        <v>100</v>
      </c>
      <c r="DL1" s="184">
        <v>101</v>
      </c>
      <c r="DM1" s="184">
        <v>102</v>
      </c>
      <c r="DN1" s="184">
        <v>103</v>
      </c>
      <c r="DO1" s="184">
        <v>104</v>
      </c>
      <c r="DP1" s="184">
        <v>105</v>
      </c>
      <c r="DQ1" s="184">
        <v>106</v>
      </c>
      <c r="DR1" s="184">
        <v>107</v>
      </c>
      <c r="DS1" s="184">
        <v>108</v>
      </c>
      <c r="DT1" s="184">
        <v>109</v>
      </c>
      <c r="DU1" s="184">
        <v>110</v>
      </c>
      <c r="DV1" s="184">
        <v>111</v>
      </c>
      <c r="DW1" s="184">
        <v>112</v>
      </c>
      <c r="DX1" s="184">
        <v>113</v>
      </c>
      <c r="DY1" s="184">
        <v>114</v>
      </c>
      <c r="DZ1" s="184">
        <v>115</v>
      </c>
      <c r="EA1" s="184">
        <v>116</v>
      </c>
      <c r="EB1" s="184">
        <v>117</v>
      </c>
      <c r="EC1" s="184">
        <v>118</v>
      </c>
      <c r="ED1" s="184"/>
      <c r="EE1" s="184">
        <v>119</v>
      </c>
      <c r="EF1" s="184">
        <v>120</v>
      </c>
      <c r="EG1" s="184">
        <v>121</v>
      </c>
      <c r="EH1" s="184">
        <v>122</v>
      </c>
      <c r="EI1" s="317">
        <v>123</v>
      </c>
      <c r="EJ1" s="317">
        <v>124</v>
      </c>
      <c r="EK1" s="317">
        <v>125</v>
      </c>
      <c r="EL1" s="184"/>
      <c r="EM1" s="184">
        <v>126</v>
      </c>
      <c r="EN1" s="184">
        <v>127</v>
      </c>
      <c r="EO1" s="184">
        <v>128</v>
      </c>
      <c r="EQ1" s="184">
        <v>129</v>
      </c>
      <c r="ER1" s="184">
        <v>130</v>
      </c>
      <c r="ES1" s="184">
        <v>131</v>
      </c>
      <c r="ET1" s="184">
        <v>132</v>
      </c>
      <c r="EU1" s="184">
        <v>133</v>
      </c>
      <c r="EV1" s="184">
        <v>134</v>
      </c>
      <c r="EW1" s="184"/>
      <c r="EX1" s="184"/>
      <c r="EY1" s="184"/>
      <c r="EZ1" s="184">
        <v>150</v>
      </c>
      <c r="FA1" s="184">
        <v>151</v>
      </c>
      <c r="FB1" s="276">
        <v>152</v>
      </c>
      <c r="FC1" s="184">
        <v>153</v>
      </c>
      <c r="FD1" s="184">
        <v>154</v>
      </c>
      <c r="FE1" s="184">
        <v>155</v>
      </c>
      <c r="FF1" s="184">
        <v>156</v>
      </c>
      <c r="FG1" s="184">
        <v>157</v>
      </c>
      <c r="FH1" s="184"/>
      <c r="FI1" s="184"/>
      <c r="FJ1" s="184"/>
      <c r="FK1" s="184"/>
      <c r="FL1" s="184"/>
      <c r="FM1" s="184"/>
      <c r="FN1" s="184"/>
      <c r="FO1" s="184"/>
      <c r="FP1" s="184"/>
      <c r="FQ1" s="184"/>
      <c r="FR1" s="184"/>
      <c r="FS1" s="184"/>
      <c r="FT1" s="184"/>
      <c r="FU1" s="184"/>
      <c r="FV1" s="184"/>
      <c r="FW1" s="184"/>
      <c r="FX1" s="184"/>
      <c r="FY1" s="184"/>
      <c r="GA1" s="184"/>
      <c r="GB1" s="184"/>
      <c r="GC1" s="184"/>
      <c r="GE1" s="184"/>
      <c r="GF1" s="184"/>
      <c r="GG1" s="184"/>
      <c r="GH1" s="184"/>
      <c r="GI1" s="184"/>
    </row>
    <row r="2" spans="1:200" x14ac:dyDescent="0.2">
      <c r="I2" s="209" t="s">
        <v>51</v>
      </c>
      <c r="L2" s="209" t="s">
        <v>51</v>
      </c>
      <c r="AV2" s="209"/>
      <c r="CJ2" s="518" t="s">
        <v>364</v>
      </c>
      <c r="CK2" s="518"/>
      <c r="CL2" s="518"/>
      <c r="CM2" s="518"/>
      <c r="CY2" s="518" t="s">
        <v>323</v>
      </c>
      <c r="CZ2" s="518"/>
      <c r="DA2" s="518"/>
      <c r="DB2" s="518"/>
      <c r="ER2" s="87"/>
      <c r="ES2" s="87"/>
    </row>
    <row r="3" spans="1:200" x14ac:dyDescent="0.2">
      <c r="S3" s="522" t="s">
        <v>200</v>
      </c>
      <c r="T3" s="523"/>
      <c r="U3" s="523"/>
      <c r="V3" s="523"/>
      <c r="W3" s="523"/>
      <c r="X3" s="523"/>
      <c r="Y3" s="523"/>
      <c r="Z3" s="523"/>
      <c r="AA3" s="521" t="s">
        <v>199</v>
      </c>
      <c r="AB3" s="521"/>
      <c r="AC3" s="521"/>
      <c r="AD3" s="521"/>
      <c r="AE3" s="521"/>
      <c r="AF3" s="521"/>
      <c r="AH3" s="520" t="s">
        <v>198</v>
      </c>
      <c r="AI3" s="520"/>
      <c r="AJ3" s="520"/>
      <c r="AK3" s="520"/>
      <c r="AL3" s="520"/>
      <c r="AM3" s="520"/>
      <c r="AN3" s="520"/>
      <c r="AO3" s="520"/>
      <c r="AP3" s="520"/>
      <c r="AQ3" s="520"/>
      <c r="AR3" s="520"/>
      <c r="AS3" s="520"/>
      <c r="AT3" s="520"/>
      <c r="AU3" s="520"/>
      <c r="AV3" s="520"/>
      <c r="AW3" s="520"/>
      <c r="AX3" s="520"/>
      <c r="AY3" s="520"/>
      <c r="AZ3" s="211"/>
      <c r="BA3" s="211"/>
      <c r="BB3" s="211"/>
      <c r="BC3" s="211"/>
      <c r="BD3" s="211"/>
      <c r="BE3" s="211"/>
      <c r="BF3" s="518" t="s">
        <v>201</v>
      </c>
      <c r="BG3" s="518"/>
      <c r="BH3" s="518"/>
      <c r="BI3" s="518"/>
      <c r="BJ3" s="518"/>
      <c r="BK3" s="518"/>
      <c r="BL3" s="518"/>
      <c r="BM3" s="518"/>
      <c r="BN3" s="518"/>
      <c r="BO3" s="518"/>
      <c r="BP3" s="518"/>
      <c r="ER3" s="87"/>
      <c r="ES3" s="87"/>
    </row>
    <row r="4" spans="1:200" x14ac:dyDescent="0.2">
      <c r="H4" s="212" t="s">
        <v>120</v>
      </c>
      <c r="I4" s="213"/>
      <c r="J4" s="213"/>
      <c r="K4" s="213"/>
      <c r="L4" s="213"/>
      <c r="M4" s="213"/>
      <c r="N4" s="213"/>
      <c r="O4" s="214"/>
      <c r="P4" s="214"/>
      <c r="Q4" s="214"/>
      <c r="R4" s="214"/>
      <c r="S4" s="215" t="s">
        <v>34</v>
      </c>
      <c r="T4" s="215" t="s">
        <v>34</v>
      </c>
      <c r="U4" s="215" t="s">
        <v>34</v>
      </c>
      <c r="V4" s="215" t="s">
        <v>34</v>
      </c>
      <c r="W4" s="215" t="s">
        <v>34</v>
      </c>
      <c r="X4" s="215" t="s">
        <v>34</v>
      </c>
      <c r="Y4" s="215" t="s">
        <v>34</v>
      </c>
      <c r="Z4" s="216"/>
      <c r="AH4" s="214"/>
      <c r="AI4" s="214"/>
      <c r="AJ4" s="214"/>
      <c r="AK4" s="214"/>
      <c r="AL4" s="214"/>
      <c r="AM4" s="214"/>
      <c r="AN4" s="214"/>
      <c r="AO4" s="214"/>
      <c r="AP4" s="214"/>
      <c r="AQ4" s="318"/>
      <c r="AR4" s="214"/>
      <c r="AS4" s="318"/>
      <c r="AT4" s="214"/>
      <c r="AU4" s="211"/>
      <c r="AV4" s="214"/>
      <c r="AW4" s="214"/>
      <c r="AX4" s="211"/>
      <c r="AY4" s="211"/>
      <c r="AZ4" s="211"/>
      <c r="BA4" s="211"/>
      <c r="BB4" s="211"/>
      <c r="BC4" s="211"/>
      <c r="BD4" s="211"/>
      <c r="BE4" s="211"/>
      <c r="CE4" s="87" t="s">
        <v>34</v>
      </c>
      <c r="CT4" s="87" t="s">
        <v>34</v>
      </c>
      <c r="EE4" s="87" t="s">
        <v>34</v>
      </c>
      <c r="ER4" s="184"/>
      <c r="ES4" s="184"/>
      <c r="ET4" s="184"/>
      <c r="EU4" s="184"/>
      <c r="FB4" s="277" t="s">
        <v>419</v>
      </c>
      <c r="FD4" s="87" t="s">
        <v>419</v>
      </c>
      <c r="FE4" s="87" t="s">
        <v>34</v>
      </c>
      <c r="FF4" s="87" t="str">
        <f>IF(Tulemused!$AO$17="Jah","X",0)</f>
        <v>X</v>
      </c>
    </row>
    <row r="5" spans="1:200" x14ac:dyDescent="0.2">
      <c r="H5" s="212" t="s">
        <v>119</v>
      </c>
      <c r="I5" s="213"/>
      <c r="J5" s="213"/>
      <c r="K5" s="213"/>
      <c r="L5" s="213"/>
      <c r="M5" s="213"/>
      <c r="N5" s="213"/>
      <c r="O5" s="213"/>
      <c r="P5" s="214"/>
      <c r="Q5" s="341"/>
      <c r="R5" s="214"/>
      <c r="S5" s="215"/>
      <c r="T5" s="215"/>
      <c r="U5" s="215"/>
      <c r="V5" s="215"/>
      <c r="W5" s="215"/>
      <c r="X5" s="215"/>
      <c r="Y5" s="215"/>
      <c r="Z5" s="216"/>
      <c r="AC5" s="214" t="s">
        <v>34</v>
      </c>
      <c r="AH5" s="214"/>
      <c r="AI5" s="214"/>
      <c r="AJ5" s="214"/>
      <c r="AK5" s="214"/>
      <c r="AL5" s="214"/>
      <c r="AM5" s="214"/>
      <c r="AN5" s="214"/>
      <c r="AO5" s="214"/>
      <c r="AP5" s="214"/>
      <c r="AQ5" s="318"/>
      <c r="AR5" s="214"/>
      <c r="AS5" s="320"/>
      <c r="AT5" s="214"/>
      <c r="AU5" s="211"/>
      <c r="AV5" s="214"/>
      <c r="AW5" s="214"/>
      <c r="AX5" s="211"/>
      <c r="AY5" s="211"/>
      <c r="AZ5" s="211"/>
      <c r="BA5" s="211"/>
      <c r="BB5" s="211"/>
      <c r="BC5" s="211"/>
      <c r="BD5" s="211"/>
      <c r="BE5" s="211"/>
      <c r="CJ5" s="208" t="s">
        <v>419</v>
      </c>
      <c r="CK5" s="208" t="s">
        <v>419</v>
      </c>
      <c r="CL5" s="208" t="s">
        <v>419</v>
      </c>
      <c r="CM5" s="208" t="s">
        <v>419</v>
      </c>
      <c r="CN5" s="208" t="s">
        <v>419</v>
      </c>
      <c r="CO5" s="208" t="s">
        <v>419</v>
      </c>
      <c r="CP5" s="208" t="s">
        <v>419</v>
      </c>
      <c r="CQ5" s="208" t="s">
        <v>419</v>
      </c>
      <c r="CR5" s="208" t="s">
        <v>419</v>
      </c>
      <c r="CS5" s="208" t="s">
        <v>419</v>
      </c>
      <c r="EF5" s="208" t="s">
        <v>34</v>
      </c>
      <c r="EH5" s="208"/>
      <c r="EQ5" s="208"/>
      <c r="ER5" s="87"/>
      <c r="ES5" s="87"/>
      <c r="FA5" s="214"/>
      <c r="FC5" s="208"/>
      <c r="FD5" s="208"/>
    </row>
    <row r="6" spans="1:200" x14ac:dyDescent="0.2">
      <c r="B6" s="519" t="s">
        <v>35</v>
      </c>
      <c r="C6" s="519"/>
      <c r="D6" s="519"/>
      <c r="E6" s="519"/>
      <c r="F6" s="519"/>
      <c r="G6" s="519"/>
      <c r="H6" s="519"/>
      <c r="I6" s="213"/>
      <c r="J6" s="213" t="s">
        <v>34</v>
      </c>
      <c r="K6" s="213"/>
      <c r="L6" s="213"/>
      <c r="M6" s="213" t="s">
        <v>34</v>
      </c>
      <c r="N6" s="213"/>
      <c r="O6" s="214"/>
      <c r="P6" s="214"/>
      <c r="Q6" s="214"/>
      <c r="R6" s="214" t="s">
        <v>34</v>
      </c>
      <c r="S6" s="215" t="s">
        <v>34</v>
      </c>
      <c r="T6" s="215" t="s">
        <v>34</v>
      </c>
      <c r="U6" s="215" t="s">
        <v>34</v>
      </c>
      <c r="V6" s="215" t="s">
        <v>34</v>
      </c>
      <c r="W6" s="215" t="s">
        <v>34</v>
      </c>
      <c r="X6" s="215" t="s">
        <v>34</v>
      </c>
      <c r="Y6" s="215" t="s">
        <v>34</v>
      </c>
      <c r="Z6" s="216"/>
      <c r="AF6" s="87" t="s">
        <v>34</v>
      </c>
      <c r="AH6" s="214"/>
      <c r="AI6" s="214"/>
      <c r="AJ6" s="214"/>
      <c r="AK6" s="214"/>
      <c r="AL6" s="214"/>
      <c r="AM6" s="214"/>
      <c r="AN6" s="214"/>
      <c r="AO6" s="214"/>
      <c r="AP6" s="214"/>
      <c r="AQ6" s="318"/>
      <c r="AR6" s="214"/>
      <c r="AS6" s="318"/>
      <c r="AT6" s="214" t="s">
        <v>34</v>
      </c>
      <c r="AU6" s="211"/>
      <c r="AV6" s="214" t="s">
        <v>34</v>
      </c>
      <c r="AW6" s="214"/>
      <c r="AX6" s="211"/>
      <c r="AY6" s="211"/>
      <c r="AZ6" s="211"/>
      <c r="BA6" s="211"/>
      <c r="BB6" s="211"/>
      <c r="BC6" s="211"/>
      <c r="BD6" s="211"/>
      <c r="BE6" s="211"/>
      <c r="BN6" s="87" t="s">
        <v>34</v>
      </c>
      <c r="BO6" s="87" t="s">
        <v>34</v>
      </c>
      <c r="BP6" s="87" t="s">
        <v>34</v>
      </c>
      <c r="BQ6" s="87" t="s">
        <v>34</v>
      </c>
      <c r="BR6" s="87" t="s">
        <v>34</v>
      </c>
      <c r="BS6" s="87" t="s">
        <v>34</v>
      </c>
      <c r="CJ6" s="87" t="s">
        <v>34</v>
      </c>
      <c r="CK6" s="87" t="s">
        <v>34</v>
      </c>
      <c r="CL6" s="87" t="s">
        <v>34</v>
      </c>
      <c r="CM6" s="87" t="s">
        <v>34</v>
      </c>
      <c r="CN6" s="87" t="s">
        <v>34</v>
      </c>
      <c r="CO6" s="87" t="s">
        <v>34</v>
      </c>
      <c r="CP6" s="87" t="s">
        <v>34</v>
      </c>
      <c r="CQ6" s="87" t="s">
        <v>34</v>
      </c>
      <c r="CR6" s="87" t="s">
        <v>34</v>
      </c>
      <c r="CS6" s="87" t="s">
        <v>34</v>
      </c>
      <c r="CY6" s="87" t="s">
        <v>34</v>
      </c>
      <c r="CZ6" s="87" t="s">
        <v>34</v>
      </c>
      <c r="DA6" s="87" t="s">
        <v>34</v>
      </c>
      <c r="DB6" s="87" t="s">
        <v>34</v>
      </c>
      <c r="DC6" s="217" t="s">
        <v>34</v>
      </c>
      <c r="DI6" s="184">
        <f>IF((DF11="EI")+(DG11="EI")+(DH11="EI"),0,2)</f>
        <v>2</v>
      </c>
      <c r="EE6" s="87" t="s">
        <v>34</v>
      </c>
      <c r="EF6" s="87" t="s">
        <v>34</v>
      </c>
      <c r="EH6" s="87" t="s">
        <v>34</v>
      </c>
      <c r="ER6" s="87"/>
      <c r="ES6" s="87"/>
      <c r="FA6" s="214" t="s">
        <v>34</v>
      </c>
      <c r="FB6" s="277" t="s">
        <v>419</v>
      </c>
      <c r="FC6" s="87" t="s">
        <v>34</v>
      </c>
      <c r="FD6" s="87" t="s">
        <v>34</v>
      </c>
      <c r="FE6" s="87" t="str">
        <f>IF(Tulemused!$AO$9="Jah","X",0)</f>
        <v>X</v>
      </c>
      <c r="FF6" s="87" t="str">
        <f>IF(Tulemused!$AO$18="Jah","X",0)</f>
        <v>X</v>
      </c>
      <c r="FZ6" s="184">
        <f ca="1">IF((FK11="EI")+(FL11="EI")+(FM11="EI"),0,2)</f>
        <v>2</v>
      </c>
      <c r="GQ6" s="87" t="s">
        <v>419</v>
      </c>
    </row>
    <row r="7" spans="1:200" x14ac:dyDescent="0.2">
      <c r="B7" s="519" t="s">
        <v>36</v>
      </c>
      <c r="C7" s="519"/>
      <c r="D7" s="519"/>
      <c r="E7" s="519"/>
      <c r="F7" s="519"/>
      <c r="G7" s="519"/>
      <c r="H7" s="519"/>
      <c r="I7" s="213" t="s">
        <v>34</v>
      </c>
      <c r="J7" s="213"/>
      <c r="K7" s="213" t="s">
        <v>34</v>
      </c>
      <c r="L7" s="213" t="s">
        <v>34</v>
      </c>
      <c r="M7" s="213"/>
      <c r="N7" s="213" t="s">
        <v>34</v>
      </c>
      <c r="O7" s="214"/>
      <c r="P7" s="214"/>
      <c r="Q7" s="214" t="s">
        <v>34</v>
      </c>
      <c r="R7" s="214" t="s">
        <v>34</v>
      </c>
      <c r="S7" s="215" t="s">
        <v>34</v>
      </c>
      <c r="T7" s="215" t="s">
        <v>34</v>
      </c>
      <c r="U7" s="215" t="s">
        <v>34</v>
      </c>
      <c r="V7" s="215" t="s">
        <v>34</v>
      </c>
      <c r="W7" s="215" t="s">
        <v>34</v>
      </c>
      <c r="X7" s="215" t="s">
        <v>34</v>
      </c>
      <c r="Y7" s="215" t="s">
        <v>34</v>
      </c>
      <c r="Z7" s="216"/>
      <c r="AB7" s="214" t="s">
        <v>34</v>
      </c>
      <c r="AE7" s="87" t="s">
        <v>34</v>
      </c>
      <c r="AH7" s="214"/>
      <c r="AI7" s="214"/>
      <c r="AJ7" s="214"/>
      <c r="AK7" s="214"/>
      <c r="AL7" s="214" t="s">
        <v>34</v>
      </c>
      <c r="AM7" s="214" t="s">
        <v>34</v>
      </c>
      <c r="AN7" s="214" t="s">
        <v>34</v>
      </c>
      <c r="AO7" s="214" t="s">
        <v>34</v>
      </c>
      <c r="AP7" s="214" t="s">
        <v>34</v>
      </c>
      <c r="AQ7" s="318"/>
      <c r="AR7" s="214" t="s">
        <v>419</v>
      </c>
      <c r="AS7" s="318"/>
      <c r="AT7" s="214"/>
      <c r="AU7" s="211"/>
      <c r="AV7" s="214"/>
      <c r="AW7" s="214"/>
      <c r="AX7" s="211"/>
      <c r="AY7" s="211"/>
      <c r="AZ7" s="211"/>
      <c r="BA7" s="211"/>
      <c r="BB7" s="211"/>
      <c r="BC7" s="211" t="s">
        <v>419</v>
      </c>
      <c r="BD7" s="211" t="s">
        <v>419</v>
      </c>
      <c r="BE7" s="211"/>
      <c r="BG7" s="87" t="s">
        <v>34</v>
      </c>
      <c r="BH7" s="87" t="s">
        <v>34</v>
      </c>
      <c r="BI7" s="87" t="s">
        <v>34</v>
      </c>
      <c r="BJ7" s="87" t="s">
        <v>34</v>
      </c>
      <c r="CH7" s="87" t="s">
        <v>34</v>
      </c>
      <c r="CJ7" s="87" t="s">
        <v>34</v>
      </c>
      <c r="CK7" s="87" t="s">
        <v>34</v>
      </c>
      <c r="CL7" s="87" t="s">
        <v>34</v>
      </c>
      <c r="CM7" s="87" t="s">
        <v>34</v>
      </c>
      <c r="CN7" s="87" t="s">
        <v>34</v>
      </c>
      <c r="CO7" s="87" t="s">
        <v>34</v>
      </c>
      <c r="CP7" s="87" t="s">
        <v>34</v>
      </c>
      <c r="CQ7" s="87" t="s">
        <v>34</v>
      </c>
      <c r="CR7" s="87" t="s">
        <v>34</v>
      </c>
      <c r="CS7" s="87" t="s">
        <v>34</v>
      </c>
      <c r="CY7" s="87" t="s">
        <v>34</v>
      </c>
      <c r="CZ7" s="87" t="s">
        <v>34</v>
      </c>
      <c r="DA7" s="87" t="s">
        <v>34</v>
      </c>
      <c r="DB7" s="87" t="s">
        <v>34</v>
      </c>
      <c r="DC7" s="217" t="s">
        <v>34</v>
      </c>
      <c r="EE7" s="87" t="s">
        <v>34</v>
      </c>
      <c r="EF7" s="87" t="s">
        <v>34</v>
      </c>
      <c r="EG7" s="87" t="s">
        <v>34</v>
      </c>
      <c r="EH7" s="87" t="s">
        <v>34</v>
      </c>
      <c r="EQ7" s="87" t="s">
        <v>34</v>
      </c>
      <c r="ER7" s="87" t="s">
        <v>34</v>
      </c>
      <c r="ES7" s="87" t="s">
        <v>34</v>
      </c>
      <c r="FA7" s="214" t="s">
        <v>34</v>
      </c>
      <c r="FB7" s="277" t="s">
        <v>419</v>
      </c>
      <c r="FC7" s="87" t="s">
        <v>34</v>
      </c>
      <c r="FD7" s="87" t="s">
        <v>34</v>
      </c>
      <c r="FE7" s="87" t="str">
        <f>IF(Tulemused!$AO$10="Jah","X",0)</f>
        <v>X</v>
      </c>
      <c r="FF7" s="87" t="str">
        <f>IF(Tulemused!$AO$15="Jah","X",0)</f>
        <v>X</v>
      </c>
      <c r="GO7" s="87" t="s">
        <v>419</v>
      </c>
      <c r="GP7" s="87" t="s">
        <v>419</v>
      </c>
    </row>
    <row r="8" spans="1:200" x14ac:dyDescent="0.2">
      <c r="B8" s="519" t="s">
        <v>37</v>
      </c>
      <c r="C8" s="519"/>
      <c r="D8" s="519"/>
      <c r="E8" s="519"/>
      <c r="F8" s="519"/>
      <c r="G8" s="519"/>
      <c r="H8" s="519"/>
      <c r="I8" s="213"/>
      <c r="J8" s="213"/>
      <c r="K8" s="213"/>
      <c r="L8" s="213"/>
      <c r="M8" s="213"/>
      <c r="N8" s="213"/>
      <c r="O8" s="214"/>
      <c r="P8" s="214"/>
      <c r="Q8" s="214" t="s">
        <v>34</v>
      </c>
      <c r="R8" s="214"/>
      <c r="S8" s="215" t="s">
        <v>34</v>
      </c>
      <c r="T8" s="215" t="s">
        <v>34</v>
      </c>
      <c r="U8" s="215" t="s">
        <v>34</v>
      </c>
      <c r="V8" s="215" t="s">
        <v>34</v>
      </c>
      <c r="W8" s="215" t="s">
        <v>34</v>
      </c>
      <c r="X8" s="215" t="s">
        <v>34</v>
      </c>
      <c r="Y8" s="215" t="s">
        <v>34</v>
      </c>
      <c r="Z8" s="216"/>
      <c r="AA8" s="214" t="s">
        <v>34</v>
      </c>
      <c r="AH8" s="214" t="s">
        <v>34</v>
      </c>
      <c r="AI8" s="214" t="s">
        <v>34</v>
      </c>
      <c r="AJ8" s="214" t="s">
        <v>34</v>
      </c>
      <c r="AK8" s="214" t="s">
        <v>34</v>
      </c>
      <c r="AL8" s="214"/>
      <c r="AM8" s="214"/>
      <c r="AN8" s="214"/>
      <c r="AO8" s="214" t="s">
        <v>34</v>
      </c>
      <c r="AP8" s="214" t="s">
        <v>34</v>
      </c>
      <c r="AQ8" s="318"/>
      <c r="AR8" s="214" t="s">
        <v>419</v>
      </c>
      <c r="AS8" s="318"/>
      <c r="AT8" s="214"/>
      <c r="AU8" s="211"/>
      <c r="AV8" s="214"/>
      <c r="AW8" s="214"/>
      <c r="AX8" s="211"/>
      <c r="AY8" s="211"/>
      <c r="AZ8" s="211"/>
      <c r="BA8" s="211" t="s">
        <v>419</v>
      </c>
      <c r="BB8" s="211" t="s">
        <v>419</v>
      </c>
      <c r="BC8" s="211"/>
      <c r="BD8" s="211"/>
      <c r="BE8" s="211"/>
      <c r="BV8" s="87" t="s">
        <v>34</v>
      </c>
      <c r="BW8" s="87" t="s">
        <v>34</v>
      </c>
      <c r="BX8" s="87" t="s">
        <v>34</v>
      </c>
      <c r="CJ8" s="87" t="s">
        <v>34</v>
      </c>
      <c r="CK8" s="87" t="s">
        <v>34</v>
      </c>
      <c r="CL8" s="87" t="s">
        <v>34</v>
      </c>
      <c r="CM8" s="87" t="s">
        <v>34</v>
      </c>
      <c r="CO8" s="87" t="s">
        <v>34</v>
      </c>
      <c r="CP8" s="87" t="s">
        <v>34</v>
      </c>
      <c r="CQ8" s="87" t="s">
        <v>34</v>
      </c>
      <c r="CR8" s="87" t="s">
        <v>34</v>
      </c>
      <c r="CU8" s="87" t="s">
        <v>34</v>
      </c>
      <c r="CY8" s="87" t="s">
        <v>34</v>
      </c>
      <c r="CZ8" s="87" t="s">
        <v>34</v>
      </c>
      <c r="DA8" s="87" t="s">
        <v>34</v>
      </c>
      <c r="DB8" s="87" t="s">
        <v>34</v>
      </c>
      <c r="DC8" s="217" t="s">
        <v>34</v>
      </c>
      <c r="DP8" s="87" t="str">
        <f>ADDRESS(MATCH(DP$10,Tulemused!$T$1:$T$20,0),41)</f>
        <v>$AO$9</v>
      </c>
      <c r="DQ8" s="87" t="e">
        <f>ADDRESS(MATCH(DQ$10,Tulemused!$T$1:$T$20,0),41)</f>
        <v>#N/A</v>
      </c>
      <c r="DR8" s="87" t="str">
        <f>ADDRESS(MATCH(DR$10,Tulemused!$T$1:$T$20,0),41)</f>
        <v>$AO$8</v>
      </c>
      <c r="DS8" s="87" t="e">
        <f>ADDRESS(MATCH(DS$10,Tulemused!$T$1:$T$20,0),41)</f>
        <v>#N/A</v>
      </c>
      <c r="DT8" s="87" t="str">
        <f>ADDRESS(MATCH(DT$10,Tulemused!$T$1:$T$20,0),41)</f>
        <v>$AO$11</v>
      </c>
      <c r="DU8" s="87" t="e">
        <f>ADDRESS(MATCH(DU$10,Tulemused!$T$1:$T$20,0),41)</f>
        <v>#N/A</v>
      </c>
      <c r="DV8" s="87" t="e">
        <f>ADDRESS(MATCH(DV$10,Tulemused!$T$1:$T$20,0),41)</f>
        <v>#N/A</v>
      </c>
      <c r="DW8" s="87" t="str">
        <f>ADDRESS(MATCH(DW$10,Tulemused!$T$1:$T$20,0),41)</f>
        <v>$AO$18</v>
      </c>
      <c r="DX8" s="87" t="str">
        <f>ADDRESS(MATCH(DX$10,Tulemused!$T$1:$T$20,0),41)</f>
        <v>$AO$12</v>
      </c>
      <c r="DZ8" s="87" t="str">
        <f>ADDRESS(MATCH(DZ$10,Tulemused!$T$1:$T$20,0),41)</f>
        <v>$AO$7</v>
      </c>
      <c r="EB8" s="87" t="str">
        <f>ADDRESS(MATCH(EB$10,Tulemused!$T$1:$T$20,0),41)</f>
        <v>$AO$13</v>
      </c>
      <c r="EC8" s="87" t="str">
        <f>ADDRESS(MATCH(EC$10,Tulemused!$T$1:$T$20,0),41)</f>
        <v>$AO$19</v>
      </c>
      <c r="EE8" s="87" t="s">
        <v>34</v>
      </c>
      <c r="EF8" s="87" t="s">
        <v>34</v>
      </c>
      <c r="EG8" s="87" t="s">
        <v>34</v>
      </c>
      <c r="EH8" s="87" t="s">
        <v>34</v>
      </c>
      <c r="EM8" s="209"/>
      <c r="EN8" s="209"/>
      <c r="ER8" s="87"/>
      <c r="ES8" s="87" t="s">
        <v>34</v>
      </c>
      <c r="FA8" s="214"/>
      <c r="FB8" s="277" t="s">
        <v>419</v>
      </c>
      <c r="FC8" s="87" t="s">
        <v>34</v>
      </c>
      <c r="FD8" s="87" t="s">
        <v>34</v>
      </c>
      <c r="FE8" s="87" t="s">
        <v>34</v>
      </c>
      <c r="FF8" s="87" t="str">
        <f>IF(Tulemused!$AO$16="Jah","X",0)</f>
        <v>X</v>
      </c>
      <c r="GM8" s="87" t="s">
        <v>419</v>
      </c>
      <c r="GN8" s="87" t="s">
        <v>419</v>
      </c>
    </row>
    <row r="9" spans="1:200" x14ac:dyDescent="0.2">
      <c r="B9" s="519" t="s">
        <v>38</v>
      </c>
      <c r="C9" s="519"/>
      <c r="D9" s="519"/>
      <c r="E9" s="519"/>
      <c r="F9" s="519"/>
      <c r="G9" s="519"/>
      <c r="H9" s="519"/>
      <c r="I9" s="213"/>
      <c r="J9" s="213"/>
      <c r="K9" s="213"/>
      <c r="L9" s="213"/>
      <c r="M9" s="213"/>
      <c r="N9" s="213"/>
      <c r="O9" s="214"/>
      <c r="P9" s="214"/>
      <c r="Q9" s="214"/>
      <c r="R9" s="214" t="s">
        <v>34</v>
      </c>
      <c r="S9" s="215" t="s">
        <v>34</v>
      </c>
      <c r="T9" s="215" t="s">
        <v>34</v>
      </c>
      <c r="U9" s="215" t="s">
        <v>34</v>
      </c>
      <c r="V9" s="215" t="s">
        <v>34</v>
      </c>
      <c r="W9" s="215" t="s">
        <v>34</v>
      </c>
      <c r="X9" s="215" t="s">
        <v>34</v>
      </c>
      <c r="Y9" s="215" t="s">
        <v>34</v>
      </c>
      <c r="Z9" s="216"/>
      <c r="AD9" s="214" t="s">
        <v>34</v>
      </c>
      <c r="AH9" s="214"/>
      <c r="AI9" s="214"/>
      <c r="AJ9" s="214"/>
      <c r="AK9" s="214"/>
      <c r="AL9" s="214"/>
      <c r="AM9" s="214"/>
      <c r="AN9" s="214"/>
      <c r="AO9" s="214"/>
      <c r="AP9" s="214"/>
      <c r="AQ9" s="318"/>
      <c r="AR9" s="214"/>
      <c r="AS9" s="318"/>
      <c r="AT9" s="214"/>
      <c r="AU9" s="211"/>
      <c r="AV9" s="214"/>
      <c r="AW9" s="214" t="s">
        <v>34</v>
      </c>
      <c r="AX9" s="211"/>
      <c r="AY9" s="211"/>
      <c r="AZ9" s="211"/>
      <c r="BA9" s="211"/>
      <c r="BB9" s="211"/>
      <c r="BC9" s="211"/>
      <c r="BD9" s="211"/>
      <c r="BE9" s="211"/>
      <c r="CA9" s="87" t="s">
        <v>34</v>
      </c>
      <c r="CW9" s="87" t="s">
        <v>34</v>
      </c>
      <c r="CY9" s="87" t="s">
        <v>34</v>
      </c>
      <c r="CZ9" s="87" t="s">
        <v>34</v>
      </c>
      <c r="DA9" s="87" t="s">
        <v>34</v>
      </c>
      <c r="DB9" s="87" t="s">
        <v>34</v>
      </c>
      <c r="DC9" s="217" t="s">
        <v>34</v>
      </c>
      <c r="DK9" s="518" t="s">
        <v>216</v>
      </c>
      <c r="DL9" s="518"/>
      <c r="DM9" s="518"/>
      <c r="DN9" s="518"/>
      <c r="DP9" s="518" t="s">
        <v>217</v>
      </c>
      <c r="DQ9" s="518"/>
      <c r="DR9" s="518"/>
      <c r="DS9" s="518"/>
      <c r="DT9" s="518"/>
      <c r="DU9" s="518"/>
      <c r="DV9" s="518"/>
      <c r="DW9" s="518"/>
      <c r="DX9" s="518"/>
      <c r="EE9" s="87" t="s">
        <v>34</v>
      </c>
      <c r="ER9" s="87"/>
      <c r="ES9" s="87"/>
      <c r="FA9" s="214" t="s">
        <v>34</v>
      </c>
      <c r="FB9" s="277" t="s">
        <v>419</v>
      </c>
      <c r="FD9" s="87" t="s">
        <v>34</v>
      </c>
      <c r="FE9" s="87" t="str">
        <f>IF(Tulemused!$AO$8="Jah","X",0)</f>
        <v>X</v>
      </c>
      <c r="FF9" s="87" t="str">
        <f>IF(Tulemused!$AO$19="Jah","X",0)</f>
        <v>X</v>
      </c>
      <c r="GF9" s="518" t="s">
        <v>216</v>
      </c>
      <c r="GG9" s="518"/>
      <c r="GH9" s="518"/>
      <c r="GI9" s="518"/>
    </row>
    <row r="10" spans="1:200" ht="120.5" customHeight="1" x14ac:dyDescent="0.2">
      <c r="A10" s="218" t="s">
        <v>33</v>
      </c>
      <c r="B10" s="86" t="s">
        <v>35</v>
      </c>
      <c r="C10" s="86" t="s">
        <v>48</v>
      </c>
      <c r="D10" s="86" t="s">
        <v>37</v>
      </c>
      <c r="E10" s="86" t="s">
        <v>38</v>
      </c>
      <c r="F10" s="86" t="s">
        <v>120</v>
      </c>
      <c r="G10" s="86" t="s">
        <v>119</v>
      </c>
      <c r="I10" s="219" t="s">
        <v>39</v>
      </c>
      <c r="J10" s="219" t="s">
        <v>39</v>
      </c>
      <c r="K10" s="219" t="s">
        <v>160</v>
      </c>
      <c r="L10" s="219" t="s">
        <v>40</v>
      </c>
      <c r="M10" s="219" t="s">
        <v>40</v>
      </c>
      <c r="N10" s="219" t="s">
        <v>161</v>
      </c>
      <c r="O10" s="86" t="s">
        <v>39</v>
      </c>
      <c r="P10" s="86"/>
      <c r="Q10" s="86" t="s">
        <v>367</v>
      </c>
      <c r="R10" s="86" t="s">
        <v>366</v>
      </c>
      <c r="S10" s="220" t="s">
        <v>331</v>
      </c>
      <c r="T10" s="86" t="s">
        <v>15</v>
      </c>
      <c r="U10" s="86" t="s">
        <v>16</v>
      </c>
      <c r="V10" s="86" t="s">
        <v>17</v>
      </c>
      <c r="W10" s="220" t="s">
        <v>18</v>
      </c>
      <c r="X10" s="86" t="s">
        <v>19</v>
      </c>
      <c r="Y10" s="86" t="s">
        <v>20</v>
      </c>
      <c r="Z10" s="221" t="s">
        <v>363</v>
      </c>
      <c r="AA10" s="86" t="s">
        <v>367</v>
      </c>
      <c r="AB10" s="86" t="s">
        <v>367</v>
      </c>
      <c r="AC10" s="86" t="s">
        <v>367</v>
      </c>
      <c r="AD10" s="86" t="s">
        <v>366</v>
      </c>
      <c r="AE10" s="86" t="s">
        <v>366</v>
      </c>
      <c r="AF10" s="86" t="s">
        <v>366</v>
      </c>
      <c r="AG10" s="86"/>
      <c r="AH10" s="86" t="s">
        <v>175</v>
      </c>
      <c r="AI10" s="86" t="s">
        <v>176</v>
      </c>
      <c r="AJ10" s="86" t="s">
        <v>173</v>
      </c>
      <c r="AK10" s="86" t="s">
        <v>203</v>
      </c>
      <c r="AL10" s="86" t="s">
        <v>177</v>
      </c>
      <c r="AM10" s="86" t="s">
        <v>178</v>
      </c>
      <c r="AN10" s="86" t="s">
        <v>174</v>
      </c>
      <c r="AO10" s="86" t="s">
        <v>580</v>
      </c>
      <c r="AP10" s="86" t="s">
        <v>581</v>
      </c>
      <c r="AQ10" s="319" t="s">
        <v>599</v>
      </c>
      <c r="AR10" s="86" t="s">
        <v>604</v>
      </c>
      <c r="AS10" s="319" t="s">
        <v>603</v>
      </c>
      <c r="AT10" s="86" t="s">
        <v>195</v>
      </c>
      <c r="AU10" s="183" t="s">
        <v>506</v>
      </c>
      <c r="AV10" s="86" t="s">
        <v>185</v>
      </c>
      <c r="AW10" s="86" t="s">
        <v>186</v>
      </c>
      <c r="AX10" s="183" t="s">
        <v>187</v>
      </c>
      <c r="AY10" s="183" t="s">
        <v>188</v>
      </c>
      <c r="AZ10" s="183" t="s">
        <v>219</v>
      </c>
      <c r="BA10" s="86" t="s">
        <v>735</v>
      </c>
      <c r="BB10" s="86" t="s">
        <v>738</v>
      </c>
      <c r="BC10" s="86" t="s">
        <v>712</v>
      </c>
      <c r="BD10" s="86" t="s">
        <v>713</v>
      </c>
      <c r="BE10" s="183"/>
      <c r="BF10" s="183" t="s">
        <v>240</v>
      </c>
      <c r="BG10" s="86" t="s">
        <v>209</v>
      </c>
      <c r="BH10" s="86" t="s">
        <v>205</v>
      </c>
      <c r="BI10" s="86" t="s">
        <v>318</v>
      </c>
      <c r="BJ10" s="86" t="s">
        <v>206</v>
      </c>
      <c r="BK10" s="86" t="s">
        <v>207</v>
      </c>
      <c r="BL10" s="86"/>
      <c r="BM10" s="86"/>
      <c r="BN10" s="86" t="s">
        <v>210</v>
      </c>
      <c r="BO10" s="86" t="s">
        <v>70</v>
      </c>
      <c r="BP10" s="86"/>
      <c r="BQ10" s="86" t="s">
        <v>402</v>
      </c>
      <c r="BR10" s="86" t="s">
        <v>211</v>
      </c>
      <c r="BS10" s="86" t="s">
        <v>212</v>
      </c>
      <c r="BT10" s="86"/>
      <c r="BU10" s="86"/>
      <c r="BV10" s="86" t="s">
        <v>210</v>
      </c>
      <c r="BW10" s="86" t="s">
        <v>213</v>
      </c>
      <c r="BX10" s="86" t="s">
        <v>212</v>
      </c>
      <c r="BY10" s="86"/>
      <c r="BZ10" s="86"/>
      <c r="CA10" s="86" t="s">
        <v>122</v>
      </c>
      <c r="CB10" s="86" t="s">
        <v>214</v>
      </c>
      <c r="CC10" s="86" t="s">
        <v>215</v>
      </c>
      <c r="CD10" s="86"/>
      <c r="CE10" s="86" t="s">
        <v>229</v>
      </c>
      <c r="CF10" s="86"/>
      <c r="CG10" s="86" t="s">
        <v>256</v>
      </c>
      <c r="CH10" s="86" t="s">
        <v>112</v>
      </c>
      <c r="CI10" s="86"/>
      <c r="CJ10" s="86" t="s">
        <v>369</v>
      </c>
      <c r="CK10" s="86" t="s">
        <v>370</v>
      </c>
      <c r="CL10" s="222" t="s">
        <v>371</v>
      </c>
      <c r="CM10" s="86" t="s">
        <v>372</v>
      </c>
      <c r="CN10" s="182" t="s">
        <v>375</v>
      </c>
      <c r="CO10" s="86" t="s">
        <v>349</v>
      </c>
      <c r="CP10" s="86" t="s">
        <v>350</v>
      </c>
      <c r="CQ10" s="222" t="s">
        <v>373</v>
      </c>
      <c r="CR10" s="86" t="s">
        <v>374</v>
      </c>
      <c r="CS10" s="182" t="s">
        <v>376</v>
      </c>
      <c r="CT10" s="86" t="s">
        <v>267</v>
      </c>
      <c r="CU10" s="86" t="s">
        <v>258</v>
      </c>
      <c r="CV10" s="86" t="s">
        <v>322</v>
      </c>
      <c r="CW10" s="86" t="s">
        <v>308</v>
      </c>
      <c r="CX10" s="220"/>
      <c r="CY10" s="86" t="s">
        <v>312</v>
      </c>
      <c r="CZ10" s="86" t="s">
        <v>313</v>
      </c>
      <c r="DA10" s="86" t="s">
        <v>314</v>
      </c>
      <c r="DB10" s="86" t="s">
        <v>315</v>
      </c>
      <c r="DC10" s="86" t="s">
        <v>345</v>
      </c>
      <c r="DD10" s="86"/>
      <c r="DE10" s="86" t="s">
        <v>168</v>
      </c>
      <c r="DF10" s="86" t="s">
        <v>221</v>
      </c>
      <c r="DG10" s="86" t="s">
        <v>231</v>
      </c>
      <c r="DH10" s="86" t="s">
        <v>324</v>
      </c>
      <c r="DI10" s="218" t="s">
        <v>170</v>
      </c>
      <c r="DJ10" s="86"/>
      <c r="DK10" s="86" t="s">
        <v>169</v>
      </c>
      <c r="DL10" s="86"/>
      <c r="DM10" s="182" t="s">
        <v>113</v>
      </c>
      <c r="DN10" s="182" t="s">
        <v>114</v>
      </c>
      <c r="DP10" s="86" t="s">
        <v>247</v>
      </c>
      <c r="DQ10" s="86" t="s">
        <v>248</v>
      </c>
      <c r="DR10" s="86" t="s">
        <v>249</v>
      </c>
      <c r="DS10" s="86" t="s">
        <v>259</v>
      </c>
      <c r="DT10" s="86" t="s">
        <v>335</v>
      </c>
      <c r="DU10" s="86" t="s">
        <v>251</v>
      </c>
      <c r="DV10" s="86" t="s">
        <v>252</v>
      </c>
      <c r="DW10" s="86" t="s">
        <v>253</v>
      </c>
      <c r="DX10" s="86" t="s">
        <v>254</v>
      </c>
      <c r="DY10" s="86" t="s">
        <v>255</v>
      </c>
      <c r="DZ10" s="86" t="s">
        <v>260</v>
      </c>
      <c r="EA10" s="86" t="s">
        <v>261</v>
      </c>
      <c r="EB10" s="86" t="s">
        <v>266</v>
      </c>
      <c r="EC10" s="86" t="s">
        <v>307</v>
      </c>
      <c r="ED10" s="86"/>
      <c r="EE10" s="86" t="s">
        <v>556</v>
      </c>
      <c r="EF10" s="86" t="s">
        <v>555</v>
      </c>
      <c r="EG10" s="86" t="s">
        <v>602</v>
      </c>
      <c r="EH10" s="86" t="s">
        <v>605</v>
      </c>
      <c r="EI10" s="321" t="s">
        <v>606</v>
      </c>
      <c r="EJ10" s="321" t="s">
        <v>607</v>
      </c>
      <c r="EK10" s="321" t="s">
        <v>608</v>
      </c>
      <c r="EL10" s="182"/>
      <c r="EM10" s="182"/>
      <c r="EN10" s="182" t="s">
        <v>238</v>
      </c>
      <c r="EO10" s="182"/>
      <c r="EP10" s="223"/>
      <c r="EQ10" s="86" t="s">
        <v>382</v>
      </c>
      <c r="ER10" s="86" t="s">
        <v>610</v>
      </c>
      <c r="ES10" s="86" t="s">
        <v>581</v>
      </c>
      <c r="ET10" s="86"/>
      <c r="EU10" s="86"/>
      <c r="EV10" s="182" t="s">
        <v>628</v>
      </c>
      <c r="EZ10" s="86" t="s">
        <v>394</v>
      </c>
      <c r="FA10" s="86" t="s">
        <v>429</v>
      </c>
      <c r="FB10" s="278" t="s">
        <v>527</v>
      </c>
      <c r="FC10" s="86" t="s">
        <v>519</v>
      </c>
      <c r="FD10" s="86" t="s">
        <v>527</v>
      </c>
      <c r="FE10" s="86" t="s">
        <v>443</v>
      </c>
      <c r="FF10" s="86" t="s">
        <v>444</v>
      </c>
      <c r="FG10" s="252" t="s">
        <v>246</v>
      </c>
      <c r="FH10" s="86"/>
      <c r="FI10" s="86"/>
      <c r="FJ10" s="86" t="s">
        <v>168</v>
      </c>
      <c r="FK10" s="86" t="s">
        <v>221</v>
      </c>
      <c r="FL10" s="524" t="s">
        <v>386</v>
      </c>
      <c r="FM10" s="524"/>
      <c r="FN10" s="86" t="s">
        <v>377</v>
      </c>
      <c r="FO10" s="86" t="s">
        <v>378</v>
      </c>
      <c r="FP10" s="86" t="s">
        <v>464</v>
      </c>
      <c r="FQ10" s="86" t="s">
        <v>370</v>
      </c>
      <c r="FR10" s="86" t="s">
        <v>465</v>
      </c>
      <c r="FS10" s="86" t="s">
        <v>466</v>
      </c>
      <c r="FT10" s="86" t="s">
        <v>425</v>
      </c>
      <c r="FU10" s="86" t="s">
        <v>388</v>
      </c>
      <c r="FV10" s="86" t="s">
        <v>350</v>
      </c>
      <c r="FW10" s="86" t="s">
        <v>351</v>
      </c>
      <c r="FX10" s="86" t="s">
        <v>352</v>
      </c>
      <c r="FY10" s="86" t="s">
        <v>612</v>
      </c>
      <c r="FZ10" s="218" t="s">
        <v>170</v>
      </c>
      <c r="GA10" s="86"/>
      <c r="GB10" s="86"/>
      <c r="GC10" s="86"/>
      <c r="GD10" s="224"/>
      <c r="GE10" s="86">
        <f>IF(ISNA(VLOOKUP(HLOOKUP("↓",Tulemused!$AB$23:$GO$24,2,FALSE),data!C67:D107,2,0)),VLOOKUP(HLOOKUP("↑",Tulemused!$AB$23:$GO$24,2,FALSE),data!C67:D107,2,0),VLOOKUP(HLOOKUP("↓",Tulemused!$AB$23:$GO$24,2,FALSE),data!C67:D107,2,0))</f>
        <v>134</v>
      </c>
      <c r="GF10" s="86" t="s">
        <v>169</v>
      </c>
      <c r="GG10" s="225" t="str">
        <f t="array" ref="GG10">IF(OR(Tulemused!AB23:GO23="↑"),"↑","↓")</f>
        <v>↓</v>
      </c>
      <c r="GH10" s="182" t="s">
        <v>113</v>
      </c>
      <c r="GI10" s="182" t="s">
        <v>114</v>
      </c>
      <c r="GM10" s="86" t="s">
        <v>736</v>
      </c>
      <c r="GN10" s="86" t="s">
        <v>737</v>
      </c>
      <c r="GO10" s="86" t="s">
        <v>715</v>
      </c>
      <c r="GP10" s="86" t="s">
        <v>716</v>
      </c>
      <c r="GQ10" s="86" t="s">
        <v>745</v>
      </c>
      <c r="GR10" s="321" t="s">
        <v>748</v>
      </c>
    </row>
    <row r="11" spans="1:200" x14ac:dyDescent="0.2">
      <c r="A11" s="184">
        <v>1</v>
      </c>
      <c r="B11" s="87">
        <v>1</v>
      </c>
      <c r="C11" s="87">
        <v>1</v>
      </c>
      <c r="D11" s="87">
        <v>1</v>
      </c>
      <c r="E11" s="87">
        <v>1</v>
      </c>
      <c r="F11" s="87">
        <f>VLOOKUP(Tulemused!$BF$7,data!$J$6:$K$8,2,FALSE)</f>
        <v>2</v>
      </c>
      <c r="G11" s="87">
        <f>VLOOKUP(data!$H$2,data!$J$12:$K$14,2,FALSE)</f>
        <v>2</v>
      </c>
      <c r="I11" s="209">
        <f>IF(I$7="X",VLOOKUP(I$10,'VK-Hooned-Soojus'!$C:$X,2+$C11,FALSE),0)+IF(I$6="X",VLOOKUP(I$10,'VK-Transport'!$C:$X,2+$B11,0))+IF(I$8="X",VLOOKUP(I$10,'VK-Elekter'!$C:$X,2+$D11,0))+IF(I$9="X",VLOOKUP(I$10,'VK-Biokütused'!$C:$U,2+$E11,0))+IF(I$5="X",VLOOKUP(I$10,'VK-Põlevkivi'!$C:$X,2+$G11,0))+IF(I$4="X",VLOOKUP(I$10,'VK-Võrgud'!$C:$X,2+$F11,0))</f>
        <v>26.89</v>
      </c>
      <c r="J11" s="209">
        <f>IF(J$7="X",VLOOKUP(J$10,'VK-Hooned-Soojus'!$C:$X,2+$C11,FALSE),0)+IF(J$6="X",VLOOKUP(J$10,'VK-Transport'!$C:$X,2+$B11,0))+IF(J$8="X",VLOOKUP(J$10,'VK-Elekter'!$C:$X,2+$D11,0))+IF(J$9="X",VLOOKUP(J$10,'VK-Biokütused'!$C:$U,2+$E11,0))+IF(J$5="X",VLOOKUP(J$10,'VK-Põlevkivi'!$C:$X,2+$G11,0))+IF(J$4="X",VLOOKUP(J$10,'VK-Võrgud'!$C:$X,2+$F11,0))</f>
        <v>13.295833333333334</v>
      </c>
      <c r="K11" s="209">
        <f>IF(K$7="X",VLOOKUP(K$10,'VK-Hooned-Soojus'!$C:$X,2+$C11,FALSE),0)+IF(K$6="X",VLOOKUP(K$10,'VK-Transport'!$C:$X,2+$B11,0))+IF(K$8="X",VLOOKUP(K$10,'VK-Elekter'!$C:$X,2+$D11,0))+IF(K$9="X",VLOOKUP(K$10,'VK-Biokütused'!$C:$U,2+$E11,0))+IF(K$5="X",VLOOKUP(K$10,'VK-Põlevkivi'!$C:$X,2+$G11,0))+IF(K$4="X",VLOOKUP(K$10,'VK-Võrgud'!$C:$X,2+$F11,0))</f>
        <v>16.75</v>
      </c>
      <c r="L11" s="209">
        <f>IF(L$7="X",VLOOKUP(L$10,'VK-Hooned-Soojus'!$C:$X,2+$C11,FALSE),0)+IF(L$6="X",VLOOKUP(L$10,'VK-Transport'!$C:$X,2+$B11,0))+IF(L$8="X",VLOOKUP(L$10,'VK-Elekter'!$C:$X,2+$D11,0))+IF(L$9="X",VLOOKUP(L$10,'VK-Biokütused'!$C:$U,2+$E11,0))+IF(L$5="X",VLOOKUP(L$10,'VK-Põlevkivi'!$C:$X,2+$G11,0))+IF(L$4="X",VLOOKUP(L$10,'VK-Võrgud'!$C:$X,2+$F11,0))</f>
        <v>24.95</v>
      </c>
      <c r="M11" s="209">
        <f>IF(M$7="X",VLOOKUP(M$10,'VK-Hooned-Soojus'!$C:$X,2+$C11,FALSE),0)+IF(M$6="X",VLOOKUP(M$10,'VK-Transport'!$C:$X,2+$B11,0))+IF(M$8="X",VLOOKUP(M$10,'VK-Elekter'!$C:$X,2+$D11,0))+IF(M$9="X",VLOOKUP(M$10,'VK-Biokütused'!$C:$U,2+$E11,0))+IF(M$5="X",VLOOKUP(M$10,'VK-Põlevkivi'!$C:$X,2+$G11,0))+IF(M$4="X",VLOOKUP(M$10,'VK-Võrgud'!$C:$X,2+$F11,0))</f>
        <v>11.289444444444445</v>
      </c>
      <c r="N11" s="209">
        <f>IF(N$7="X",VLOOKUP(N$10,'VK-Hooned-Soojus'!$C:$X,2+$C11,FALSE),0)+IF(N$6="X",VLOOKUP(N$10,'VK-Transport'!$C:$X,2+$B11,0))+IF(N$8="X",VLOOKUP(N$10,'VK-Elekter'!$C:$X,2+$D11,0))+IF(N$9="X",VLOOKUP(N$10,'VK-Biokütused'!$C:$U,2+$E11,0))+IF(N$5="X",VLOOKUP(N$10,'VK-Põlevkivi'!$C:$X,2+$G11,0))+IF(N$4="X",VLOOKUP(N$10,'VK-Võrgud'!$C:$X,2+$F11,0))</f>
        <v>16.75</v>
      </c>
      <c r="O11" s="209">
        <f>SUM(I11:J11)</f>
        <v>40.185833333333335</v>
      </c>
      <c r="P11" s="209"/>
      <c r="Q11" s="209">
        <f>(IF(Q$7="X",VLOOKUP(Q$10,'VK-Hooned-Soojus'!$C:$X,2+$C11,FALSE),0)+IF(Q$6="X",VLOOKUP(Q$10,'VK-Transport'!$C:$X,2+$B11,0))+IF(Q$8="X",VLOOKUP(Q$10,'VK-Elekter'!$C:$X,2+$D11,0))+IF(Q$9="X",VLOOKUP(Q$10,'VK-Biokütused'!$C:$U,2+$E11,0))+IF(Q$5="X",VLOOKUP(Q$10,'VK-Põlevkivi'!$C:$X,2+$G11,0))+IF(Q$4="X",VLOOKUP(Q$10,'VK-Võrgud'!$C:$X,2+$F11,0)))/1000</f>
        <v>5.3310000000000004</v>
      </c>
      <c r="R11" s="209">
        <f>(IF(R$7="X",VLOOKUP(R$10,'VK-Hooned-Soojus'!$C:$X,2+$C11,FALSE),0)+IF(R$6="X",VLOOKUP(R$10,'VK-Transport'!$C:$X,2+$B11,0))+IF(R$8="X",VLOOKUP(R$10,'VK-Elekter'!$C:$X,2+$D11,0))+IF(R$9="X",VLOOKUP(R$10,'VK-Biokütused'!$C:$U,2+$E11,0))+IF(R$5="X",VLOOKUP(R$10,'VK-Põlevkivi'!$C:$X,2+$G11,0))+IF(R$4="X",VLOOKUP(R$10,'VK-Võrgud'!$C:$X,2+$F11,0)))/1000</f>
        <v>3.3026368215830604</v>
      </c>
      <c r="S11" s="363">
        <f>VLOOKUP(S$10,'VK-Hooned-Soojus'!$C:$I,2+$C11,FALSE) + VLOOKUP(S$10,'VK-Transport'!$C:$I,2+$B11,FALSE)+ VLOOKUP(S$10,'VK-Biokütused'!$C:$G,2+$E11,FALSE)+ VLOOKUP(S$10,'VK-Elekter'!$C:$I,2+$D11,FALSE)+ VLOOKUP(S$10,'VK-Põlevkivi'!$C:$I,2+$G11,FALSE)</f>
        <v>0</v>
      </c>
      <c r="T11" s="363">
        <f>VLOOKUP(T$10,'VK-Hooned-Soojus'!$C:$I,2+$C11,FALSE) + VLOOKUP(T$10,'VK-Transport'!$C:$I,2+$B11,FALSE)+ VLOOKUP(T$10,'VK-Biokütused'!$C:$G,2+$E11,FALSE)+ VLOOKUP(T$10,'VK-Elekter'!$C:$I,2+$D11,FALSE)+ VLOOKUP(T$10,'VK-Põlevkivi'!$C:$I,2+$G11,FALSE)</f>
        <v>0</v>
      </c>
      <c r="U11" s="363">
        <f>VLOOKUP(U$10,'VK-Hooned-Soojus'!$C:$I,2+$C11,FALSE) + VLOOKUP(U$10,'VK-Transport'!$C:$I,2+$B11,FALSE)+ VLOOKUP(U$10,'VK-Biokütused'!$C:$G,2+$E11,FALSE)+ VLOOKUP(U$10,'VK-Elekter'!$C:$I,2+$D11,FALSE)+ VLOOKUP(U$10,'VK-Põlevkivi'!$C:$I,2+$G11,FALSE)</f>
        <v>0</v>
      </c>
      <c r="V11" s="363">
        <f>VLOOKUP(V$10,'VK-Hooned-Soojus'!$C:$I,2+$C11,FALSE) + VLOOKUP(V$10,'VK-Transport'!$C:$I,2+$B11,FALSE)+ VLOOKUP(V$10,'VK-Biokütused'!$C:$G,2+$E11,FALSE)+ VLOOKUP(V$10,'VK-Elekter'!$C:$I,2+$D11,FALSE)+ VLOOKUP(V$10,'VK-Põlevkivi'!$C:$I,2+$G11,FALSE)</f>
        <v>0</v>
      </c>
      <c r="W11" s="363">
        <f>VLOOKUP(W$10,'VK-Hooned-Soojus'!$C:$I,2+$C11,FALSE) + VLOOKUP(W$10,'VK-Transport'!$C:$I,2+$B11,FALSE)+ VLOOKUP(W$10,'VK-Biokütused'!$C:$G,2+$E11,FALSE)+ VLOOKUP(W$10,'VK-Elekter'!$C:$I,2+$D11,FALSE)+ VLOOKUP(W$10,'VK-Põlevkivi'!$C:$I,2+$G11,FALSE)</f>
        <v>0</v>
      </c>
      <c r="X11" s="363">
        <f>VLOOKUP(X$10,'VK-Hooned-Soojus'!$C:$I,2+$C11,FALSE) + VLOOKUP(X$10,'VK-Transport'!$C:$I,2+$B11,FALSE)+ VLOOKUP(X$10,'VK-Biokütused'!$C:$G,2+$E11,FALSE)+ VLOOKUP(X$10,'VK-Elekter'!$C:$I,2+$D11,FALSE)+ VLOOKUP(X$10,'VK-Põlevkivi'!$C:$I,2+$G11,FALSE)</f>
        <v>0</v>
      </c>
      <c r="Y11" s="363">
        <f>VLOOKUP(Y$10,'VK-Hooned-Soojus'!$C:$I,2+$C11,FALSE) + VLOOKUP(Y$10,'VK-Transport'!$C:$I,2+$B11,FALSE)+ VLOOKUP(Y$10,'VK-Biokütused'!$C:$G,2+$E11,FALSE)+ VLOOKUP(Y$10,'VK-Elekter'!$C:$I,2+$D11,FALSE)+ VLOOKUP(Y$10,'VK-Põlevkivi'!$C:$I,2+$G11,FALSE)</f>
        <v>0</v>
      </c>
      <c r="Z11" s="227">
        <f>(S11*Tulemused!$Q$9*10+T11*Tulemused!$Q$10*10+KOMBI!U11*Tulemused!$Q$11*10+KOMBI!V11*Tulemused!$Q$12*10)*Tulemused!$Q$8+-(W11*Tulemused!$Q$14*10+KOMBI!X11*Tulemused!$Q$15*10+KOMBI!Y11*Tulemused!$Q$16*10)*Tulemused!$Q$13</f>
        <v>0</v>
      </c>
      <c r="AA11" s="228">
        <f>(IF(AA$7="X",VLOOKUP(AA$10,'VK-Hooned-Soojus'!$C:$X,2+$C11,FALSE),0)+IF(AA$6="X",VLOOKUP(AA$10,'VK-Transport'!$C:$X,2+$B11,0))+IF(AA$8="X",VLOOKUP(AA$10,'VK-Elekter'!$C:$X,2+$D11,0))+IF(AA$9="X",VLOOKUP(AA$10,'VK-Biokütused'!$C:$U,2+$E11,0))+IF(AA$5="X",VLOOKUP(AA$10,'VK-Põlevkivi'!$C:$X,2+$G11,0))+IF(AA$4="X",VLOOKUP(AA$10,'VK-Võrgud'!$C:$X,2+$F11,0)))</f>
        <v>3729</v>
      </c>
      <c r="AB11" s="228">
        <f>(IF(AB$7="X",VLOOKUP(AB$10,'VK-Hooned-Soojus'!$C:$X,2+$C11,FALSE),0)+IF(AB$6="X",VLOOKUP(AB$10,'VK-Transport'!$C:$X,2+$B11,0))+IF(AB$8="X",VLOOKUP(AB$10,'VK-Elekter'!$C:$X,2+$D11,0))+IF(AB$9="X",VLOOKUP(AB$10,'VK-Biokütused'!$C:$U,2+$E11,0))+IF(AB$5="X",VLOOKUP(AB$10,'VK-Põlevkivi'!$C:$X,2+$G11,0))+IF(AB$4="X",VLOOKUP(AB$10,'VK-Võrgud'!$C:$X,2+$F11,0)))</f>
        <v>1602</v>
      </c>
      <c r="AC11" s="228">
        <f>(IF(AC$7="X",VLOOKUP(AC$10,'VK-Hooned-Soojus'!$C:$X,2+$C11,FALSE),0)+IF(AC$6="X",VLOOKUP(AC$10,'VK-Transport'!$C:$X,2+$B11,0))+IF(AC$8="X",VLOOKUP(AC$10,'VK-Elekter'!$C:$X,2+$D11,0))+IF(AC$9="X",VLOOKUP(AC$10,'VK-Biokütused'!$C:$U,2+$E11,0))+IF(AC$5="X",VLOOKUP(AC$10,'VK-Põlevkivi'!$C:$X,2+$G11,0))+IF(AC$4="X",VLOOKUP(AC$10,'VK-Võrgud'!$C:$X,2+$F11,0)))</f>
        <v>2346</v>
      </c>
      <c r="AD11" s="228">
        <f>(IF(AD$7="X",VLOOKUP(AD$10,'VK-Hooned-Soojus'!$C:$X,2+$C11,FALSE),0)+IF(AD$6="X",VLOOKUP(AD$10,'VK-Transport'!$C:$X,2+$B11,0))+IF(AD$8="X",VLOOKUP(AD$10,'VK-Elekter'!$C:$X,2+$D11,0))+IF(AD$9="X",VLOOKUP(AD$10,'VK-Biokütused'!$C:$U,2+$E11,0))+IF(AD$5="X",VLOOKUP(AD$10,'VK-Põlevkivi'!$C:$X,2+$G11,0))+IF(AD$4="X",VLOOKUP(AD$10,'VK-Võrgud'!$C:$X,2+$F11,0)))</f>
        <v>0</v>
      </c>
      <c r="AE11" s="228">
        <f>(IF(AE$7="X",VLOOKUP(AE$10,'VK-Hooned-Soojus'!$C:$X,2+$C11,FALSE),0)+IF(AE$6="X",VLOOKUP(AE$10,'VK-Transport'!$C:$X,2+$B11,0))+IF(AE$8="X",VLOOKUP(AE$10,'VK-Elekter'!$C:$X,2+$D11,0))+IF(AE$9="X",VLOOKUP(AE$10,'VK-Biokütused'!$C:$U,2+$E11,0))+IF(AE$5="X",VLOOKUP(AE$10,'VK-Põlevkivi'!$C:$X,2+$G11,0))+IF(AE$4="X",VLOOKUP(AE$10,'VK-Võrgud'!$C:$X,2+$F11,0)))</f>
        <v>812</v>
      </c>
      <c r="AF11" s="228">
        <f>(IF(AF$7="X",VLOOKUP(AF$10,'VK-Hooned-Soojus'!$C:$X,2+$C11,FALSE),0)+IF(AF$6="X",VLOOKUP(AF$10,'VK-Transport'!$C:$X,2+$B11,0))+IF(AF$8="X",VLOOKUP(AF$10,'VK-Elekter'!$C:$X,2+$D11,0))+IF(AF$9="X",VLOOKUP(AF$10,'VK-Biokütused'!$C:$U,2+$E11,0))+IF(AF$5="X",VLOOKUP(AF$10,'VK-Põlevkivi'!$C:$X,2+$G11,0))+IF(AF$4="X",VLOOKUP(AF$10,'VK-Võrgud'!$C:$X,2+$F11,0)))</f>
        <v>2490.6368215830603</v>
      </c>
      <c r="AG11" s="209"/>
      <c r="AH11" s="209">
        <f>IF(AH$7="X",VLOOKUP(AH$10,'VK-Hooned-Soojus'!$C:$X,2+$C11,FALSE),0)+IF(AH$6="X",VLOOKUP(AH$10,'VK-Transport'!$C:$X,2+$B11,0))+IF(AH$8="X",VLOOKUP(AH$10,'VK-Elekter'!$C:$X,2+$D11,0))+IF(AH$9="X",VLOOKUP(AH$10,'VK-Biokütused'!$C:$U,2+$E11,0))+IF(AH$5="X",VLOOKUP(AH$10,'VK-Põlevkivi'!$C:$X,2+$G11,0))+IF(AH$4="X",VLOOKUP(AH$10,'VK-Võrgud'!$C:$X,2+$F11,0))</f>
        <v>11.629999999999999</v>
      </c>
      <c r="AI11" s="209">
        <f>IF(AI$7="X",VLOOKUP(AI$10,'VK-Hooned-Soojus'!$C:$X,2+$C11,FALSE),0)+IF(AI$6="X",VLOOKUP(AI$10,'VK-Transport'!$C:$X,2+$B11,0))+IF(AI$8="X",VLOOKUP(AI$10,'VK-Elekter'!$C:$X,2+$D11,0))+IF(AI$9="X",VLOOKUP(AI$10,'VK-Biokütused'!$C:$U,2+$E11,0))+IF(AI$5="X",VLOOKUP(AI$10,'VK-Põlevkivi'!$C:$X,2+$G11,0))+IF(AI$4="X",VLOOKUP(AI$10,'VK-Võrgud'!$C:$X,2+$F11,0))</f>
        <v>2.3100000000000005</v>
      </c>
      <c r="AJ11" s="209">
        <f>IF(AJ$7="X",VLOOKUP(AJ$10,'VK-Hooned-Soojus'!$C:$X,2+$C11,FALSE),0)+IF(AJ$6="X",VLOOKUP(AJ$10,'VK-Transport'!$C:$X,2+$B11,0))+IF(AJ$8="X",VLOOKUP(AJ$10,'VK-Elekter'!$C:$X,2+$D11,0))+IF(AJ$9="X",VLOOKUP(AJ$10,'VK-Biokütused'!$C:$U,2+$E11,0))+IF(AJ$5="X",VLOOKUP(AJ$10,'VK-Põlevkivi'!$C:$X,2+$G11,0))+IF(AJ$4="X",VLOOKUP(AJ$10,'VK-Võrgud'!$C:$X,2+$F11,0))</f>
        <v>9.24</v>
      </c>
      <c r="AK11" s="209">
        <f>IF(AK$7="X",VLOOKUP(AK$10,'VK-Hooned-Soojus'!$C:$X,2+$C11,FALSE),0)+IF(AK$6="X",VLOOKUP(AK$10,'VK-Transport'!$C:$X,2+$B11,0))+IF(AK$8="X",VLOOKUP(AK$10,'VK-Elekter'!$C:$X,2+$D11,0))+IF(AK$9="X",VLOOKUP(AK$10,'VK-Biokütused'!$C:$U,2+$E11,0))+IF(AK$5="X",VLOOKUP(AK$10,'VK-Põlevkivi'!$C:$X,2+$G11,0))+IF(AK$4="X",VLOOKUP(AK$10,'VK-Võrgud'!$C:$X,2+$F11,0))</f>
        <v>2.78</v>
      </c>
      <c r="AL11" s="209">
        <f>IF(AL$7="X",VLOOKUP(AL$10,'VK-Hooned-Soojus'!$C:$X,2+$C11,FALSE),0)+IF(AL$6="X",VLOOKUP(AL$10,'VK-Transport'!$C:$X,2+$B11,0))+IF(AL$8="X",VLOOKUP(AL$10,'VK-Elekter'!$C:$X,2+$D11,0))+IF(AL$9="X",VLOOKUP(AL$10,'VK-Biokütused'!$C:$U,2+$E11,0))+IF(AL$5="X",VLOOKUP(AL$10,'VK-Põlevkivi'!$C:$X,2+$G11,0))+IF(AL$4="X",VLOOKUP(AL$10,'VK-Võrgud'!$C:$X,2+$F11,0))</f>
        <v>7.1999999999999993</v>
      </c>
      <c r="AM11" s="209">
        <f>IF(AM$7="X",VLOOKUP(AM$10,'VK-Hooned-Soojus'!$C:$X,2+$C11,FALSE),0)+IF(AM$6="X",VLOOKUP(AM$10,'VK-Transport'!$C:$X,2+$B11,0))+IF(AM$8="X",VLOOKUP(AM$10,'VK-Elekter'!$C:$X,2+$D11,0))+IF(AM$9="X",VLOOKUP(AM$10,'VK-Biokütused'!$C:$U,2+$E11,0))+IF(AM$5="X",VLOOKUP(AM$10,'VK-Põlevkivi'!$C:$X,2+$G11,0))+IF(AM$4="X",VLOOKUP(AM$10,'VK-Võrgud'!$C:$X,2+$F11,0))</f>
        <v>12.9</v>
      </c>
      <c r="AN11" s="209">
        <f>IF(AN$7="X",VLOOKUP(AN$10,'VK-Hooned-Soojus'!$C:$X,2+$C11,FALSE),0)+IF(AN$6="X",VLOOKUP(AN$10,'VK-Transport'!$C:$X,2+$B11,0))+IF(AN$8="X",VLOOKUP(AN$10,'VK-Elekter'!$C:$X,2+$D11,0))+IF(AN$9="X",VLOOKUP(AN$10,'VK-Biokütused'!$C:$U,2+$E11,0))+IF(AN$5="X",VLOOKUP(AN$10,'VK-Põlevkivi'!$C:$X,2+$G11,0))+IF(AN$4="X",VLOOKUP(AN$10,'VK-Võrgud'!$C:$X,2+$F11,0))</f>
        <v>5.6999999999999993</v>
      </c>
      <c r="AO11" s="209">
        <f>IF(AO$7="X",VLOOKUP(AO$10,'VK-Hooned-Soojus'!$C:$X,2+$C11,FALSE),0)+IF(AO$6="X",VLOOKUP(AO$10,'VK-Transport'!$C:$X,2+$B11,0))+IF(AO$8="X",VLOOKUP(AO$10,'VK-Elekter'!$C:$X,2+$D11,0))+IF(AO$9="X",VLOOKUP(AO$10,'VK-Biokütused'!$C:$U,2+$E11,0))+IF(AO$5="X",VLOOKUP(AO$10,'VK-Põlevkivi'!$C:$X,2+$G11,0))+IF(AO$4="X",VLOOKUP(AO$10,'VK-Võrgud'!$C:$X,2+$F11,0))</f>
        <v>13.56</v>
      </c>
      <c r="AP11" s="209">
        <f>IF(AP$7="X",VLOOKUP(AP$10,'VK-Hooned-Soojus'!$C:$X,2+$C11,FALSE),0)+IF(AP$6="X",VLOOKUP(AP$10,'VK-Transport'!$C:$X,2+$B11,0))+IF(AP$8="X",VLOOKUP(AP$10,'VK-Elekter'!$C:$X,2+$D11,0))+IF(AP$9="X",VLOOKUP(AP$10,'VK-Biokütused'!$C:$U,2+$E11,0))+IF(AP$5="X",VLOOKUP(AP$10,'VK-Põlevkivi'!$C:$X,2+$G11,0))+IF(AP$4="X",VLOOKUP(AP$10,'VK-Võrgud'!$C:$X,2+$F11,0))</f>
        <v>6.78</v>
      </c>
      <c r="AQ11" s="320">
        <f>IF(12.3-AO11&gt;0,0,ABS(12.3-AO11))</f>
        <v>1.2599999999999998</v>
      </c>
      <c r="AR11" s="209">
        <f>IF(AR$7="X",VLOOKUP(AR$10,'VK-Hooned-Soojus'!$C:$X,2+$C11,FALSE),0)+IF(AR$6="X",VLOOKUP(AR$10,'VK-Transport'!$C:$X,2+$B11,0))+IF(AR$8="X",VLOOKUP(AR$10,'VK-Elekter'!$C:$X,2+$D11,0))+IF(AR$9="X",VLOOKUP(AR$10,'VK-Biokütused'!$C:$U,2+$E11,0))+IF(AR$5="X",VLOOKUP(AR$10,'VK-Põlevkivi'!$C:$X,2+$G11,0))+IF(AR$4="X",VLOOKUP(AR$10,'VK-Võrgud'!$C:$X,2+$F11,0))</f>
        <v>3.4899999999999998</v>
      </c>
      <c r="AS11" s="320">
        <f>VLOOKUP("Kütuste tarbimine @ 2030 - UTTEGAAS",'VK-Hooned-Soojus'!$C:$X,2+$C11,FALSE)/0.172+VLOOKUP("Kütuste tarbimine @ 2030 - UTTEGAAS",'VK-Elekter'!$C:$X,2+$D11,FALSE)/0.172-AR11-AU11</f>
        <v>2.7565116279069759</v>
      </c>
      <c r="AT11" s="209">
        <f>IF(AT$7="X",VLOOKUP(AT$10,'VK-Hooned-Soojus'!$C:$X,2+$C11,FALSE),0)+IF(AT$6="X",VLOOKUP(AT$10,'VK-Transport'!$C:$X,2+$B11,0))+IF(AT$8="X",VLOOKUP(AT$10,'VK-Elekter'!$C:$X,2+$D11,0))+IF(AT$9="X",VLOOKUP(AT$10,'VK-Biokütused'!$C:$U,2+$E11,0))+IF(AT$5="X",VLOOKUP(AT$10,'VK-Põlevkivi'!$C:$X,2+$G11,0))+IF(AT$4="X",VLOOKUP(AT$10,'VK-Võrgud'!$C:$X,2+$F11,0))</f>
        <v>12.004929222526066</v>
      </c>
      <c r="AU11" s="229">
        <f>MAX(0,(VLOOKUP("Kütuste tarbimine @ 2030 - UTTEGAAS",'VK-Hooned-Soojus'!$C:$X,2+$C11,FALSE)/0.172+VLOOKUP("Kütuste tarbimine @ 2030 - UTTEGAAS",'VK-Elekter'!$C:$X,2+$D11,FALSE)/0.172)*0.52-VLOOKUP("Kütuste tarbimine @ 2030 - PÕLEVKIVIÕLI",'VK-Hooned-Soojus'!$C:$X,2+$C11,FALSE))</f>
        <v>4.6837209302325586</v>
      </c>
      <c r="AV11" s="209">
        <f>IF(AV$7="X",VLOOKUP(AV$10,'VK-Hooned-Soojus'!$C:$X,2+$C11,FALSE),0)+IF(AV$6="X",VLOOKUP(AV$10,'VK-Transport'!$C:$X,2+$B11,0))+IF(AV$8="X",VLOOKUP(AV$10,'VK-Elekter'!$C:$X,2+$D11,0))+IF(AV$9="X",VLOOKUP(AV$10,'VK-Biokütused'!$C:$U,2+$E11,0))+IF(AV$5="X",VLOOKUP(AV$10,'VK-Põlevkivi'!$C:$X,2+$G11,0))+IF(AV$4="X",VLOOKUP(AV$10,'VK-Võrgud'!$C:$X,2+$F11,0))</f>
        <v>1.1831224847375093</v>
      </c>
      <c r="AW11" s="209">
        <f>IF(AW$7="X",VLOOKUP(AW$10,'VK-Hooned-Soojus'!$C:$X,2+$C11,FALSE),0)+IF(AW$6="X",VLOOKUP(AW$10,'VK-Transport'!$C:$X,2+$B11,0))+IF(AW$8="X",VLOOKUP(AW$10,'VK-Elekter'!$C:$X,2+$D11,0))+IF(AW$9="X",VLOOKUP(AW$10,'VK-Biokütused'!$C:$U,2+$E11,0))+IF(AW$5="X",VLOOKUP(AW$10,'VK-Põlevkivi'!$C:$X,2+$G11,0))+IF(AW$4="X",VLOOKUP(AW$10,'VK-Võrgud'!$C:$X,2+$F11,0))</f>
        <v>0</v>
      </c>
      <c r="AX11" s="229">
        <f>MAX(0,AW11-AV11)</f>
        <v>0</v>
      </c>
      <c r="AY11" s="229">
        <f>MAX(0,AV11-AW11)</f>
        <v>1.1831224847375093</v>
      </c>
      <c r="AZ11" s="230">
        <f t="shared" ref="AZ11:AZ42" si="0">(MAX(0,AK11)+AJ11+AN11+AQ11+AT11+AY11)/EI11</f>
        <v>0.60965252676886705</v>
      </c>
      <c r="BA11" s="209">
        <f>IF(BA$7="X",VLOOKUP(BA$10,'VK-Hooned-Soojus'!$C:$X,2+$C11,FALSE),0)+IF(BA$6="X",VLOOKUP(BA$10,'VK-Transport'!$C:$X,2+$B11,0))+IF(BA$8="X",VLOOKUP(BA$10,'VK-Elekter'!$C:$X,2+$D11,0))+IF(BA$9="X",VLOOKUP(BA$10,'VK-Biokütused'!$C:$U,2+$E11,0))+IF(BA$5="X",VLOOKUP(BA$10,'VK-Põlevkivi'!$C:$X,2+$G11,0))+IF(BA$4="X",VLOOKUP(BA$10,'VK-Võrgud'!$C:$X,2+$F11,0))</f>
        <v>4.25</v>
      </c>
      <c r="BB11" s="209">
        <f>IF(BB$7="X",VLOOKUP(BB$10,'VK-Hooned-Soojus'!$C:$X,2+$C11,FALSE),0)+IF(BB$6="X",VLOOKUP(BB$10,'VK-Transport'!$C:$X,2+$B11,0))+IF(BB$8="X",VLOOKUP(BB$10,'VK-Elekter'!$C:$X,2+$D11,0))+IF(BB$9="X",VLOOKUP(BB$10,'VK-Biokütused'!$C:$U,2+$E11,0))+IF(BB$5="X",VLOOKUP(BB$10,'VK-Põlevkivi'!$C:$X,2+$G11,0))+IF(BB$4="X",VLOOKUP(BB$10,'VK-Võrgud'!$C:$X,2+$F11,0))</f>
        <v>2.93</v>
      </c>
      <c r="BC11" s="209">
        <f>IF(BC$7="X",VLOOKUP(BC$10,'VK-Hooned-Soojus'!$C:$X,2+$C11,FALSE),0)+IF(BC$6="X",VLOOKUP(BC$10,'VK-Transport'!$C:$X,2+$B11,0))+IF(BC$8="X",VLOOKUP(BC$10,'VK-Elekter'!$C:$X,2+$D11,0))+IF(BC$9="X",VLOOKUP(BC$10,'VK-Biokütused'!$C:$U,2+$E11,0))+IF(BC$5="X",VLOOKUP(BC$10,'VK-Põlevkivi'!$C:$X,2+$G11,0))+IF(BC$4="X",VLOOKUP(BC$10,'VK-Võrgud'!$C:$X,2+$F11,0))</f>
        <v>8.0523611111111126</v>
      </c>
      <c r="BD11" s="209">
        <f>IF(BD$7="X",VLOOKUP(BD$10,'VK-Hooned-Soojus'!$C:$X,2+$C11,FALSE),0)+IF(BD$6="X",VLOOKUP(BD$10,'VK-Transport'!$C:$X,2+$B11,0))+IF(BD$8="X",VLOOKUP(BD$10,'VK-Elekter'!$C:$X,2+$D11,0))+IF(BD$9="X",VLOOKUP(BD$10,'VK-Biokütused'!$C:$U,2+$E11,0))+IF(BD$5="X",VLOOKUP(BD$10,'VK-Põlevkivi'!$C:$X,2+$G11,0))+IF(BD$4="X",VLOOKUP(BD$10,'VK-Võrgud'!$C:$X,2+$F11,0))</f>
        <v>10.42138888888889</v>
      </c>
      <c r="BE11" s="230"/>
      <c r="BF11" s="229">
        <f>SUM(AI11,AM11,AV11)/EI11</f>
        <v>0.31068429743275605</v>
      </c>
      <c r="BG11" s="209" t="e">
        <f>(IF(BG$7="X",VLOOKUP(BG$10,'VK-Hooned-Soojus'!$C:$X,2+$C11,FALSE),0)+IF(BG$6="X",VLOOKUP(BG$10,'VK-Transport'!$C:$X,2+$B11,0))+IF(BG$8="X",VLOOKUP(BG$10,'VK-Elekter'!$C:$X,2+$D11,0))+IF(BG$9="X",VLOOKUP(BG$10,'VK-Biokütused'!$C:$U,2+$E11,0))+IF(BG$5="X",VLOOKUP(BG$10,'VK-Põlevkivi'!$C:$X,2+$G11,0))+IF(BG$4="X",VLOOKUP(BG$10,'VK-Võrgud'!$C:$X,2+$F11,0)))/20</f>
        <v>#N/A</v>
      </c>
      <c r="BH11" s="209">
        <f>(IF(BH$7="X",VLOOKUP(BH$10,'VK-Hooned-Soojus'!$C:$X,2+$C11,FALSE),0)+IF(BH$6="X",VLOOKUP(BH$10,'VK-Transport'!$C:$X,2+$B11,0))+IF(BH$8="X",VLOOKUP(BH$10,'VK-Elekter'!$C:$X,2+$D11,0))+IF(BH$9="X",VLOOKUP(BH$10,'VK-Biokütused'!$C:$U,2+$E11,0))+IF(BH$5="X",VLOOKUP(BH$10,'VK-Põlevkivi'!$C:$X,2+$G11,0))+IF(BH$4="X",VLOOKUP(BH$10,'VK-Võrgud'!$C:$X,2+$F11,0)))/20</f>
        <v>13.99</v>
      </c>
      <c r="BI11" s="209">
        <f>(IF(BI$7="X",VLOOKUP(BI$10,'VK-Hooned-Soojus'!$C:$X,2+$C11,FALSE),0)+IF(BI$6="X",VLOOKUP(BI$10,'VK-Transport'!$C:$X,2+$B11,0))+IF(BI$8="X",VLOOKUP(BI$10,'VK-Elekter'!$C:$X,2+$D11,0))+IF(BI$9="X",VLOOKUP(BI$10,'VK-Biokütused'!$C:$U,2+$E11,0))+IF(BI$5="X",VLOOKUP(BI$10,'VK-Põlevkivi'!$C:$X,2+$G11,0))+IF(BI$4="X",VLOOKUP(BI$10,'VK-Võrgud'!$C:$X,2+$F11,0)))/16</f>
        <v>17.75</v>
      </c>
      <c r="BJ11" s="209">
        <f>(IF(BJ$7="X",VLOOKUP(BJ$10,'VK-Hooned-Soojus'!$C:$X,2+$C11,FALSE),0)+IF(BJ$6="X",VLOOKUP(BJ$10,'VK-Transport'!$C:$X,2+$B11,0))+IF(BJ$8="X",VLOOKUP(BJ$10,'VK-Elekter'!$C:$X,2+$D11,0))+IF(BJ$9="X",VLOOKUP(BJ$10,'VK-Biokütused'!$C:$U,2+$E11,0))+IF(BJ$5="X",VLOOKUP(BJ$10,'VK-Põlevkivi'!$C:$X,2+$G11,0))+IF(BJ$4="X",VLOOKUP(BJ$10,'VK-Võrgud'!$C:$X,2+$F11,0)))/20</f>
        <v>1.85</v>
      </c>
      <c r="BK11" s="209"/>
      <c r="BL11" s="209"/>
      <c r="BM11" s="209"/>
      <c r="BN11" s="209" t="e">
        <f>(IF(BN$7="X",VLOOKUP(BN$10,'VK-Hooned-Soojus'!$C:$X,2+$C11,FALSE),0)+IF(BN$6="X",VLOOKUP(BN$10,'VK-Transport'!$C:$X,2+$B11,0))+IF(BN$8="X",VLOOKUP(BN$10,'VK-Elekter'!$C:$X,2+$D11,0))+IF(BN$9="X",VLOOKUP(BN$10,'VK-Biokütused'!$C:$U,2+$E11,0))+IF(BN$5="X",VLOOKUP(BN$10,'VK-Põlevkivi'!$C:$X,2+$G11,0))+IF(BN$4="X",VLOOKUP(BN$10,'VK-Võrgud'!$C:$X,2+$F11,0)))/16</f>
        <v>#N/A</v>
      </c>
      <c r="BO11" s="209">
        <f>(IF(BO$7="X",VLOOKUP(BO$10,'VK-Hooned-Soojus'!$C:$X,2+$C11,FALSE),0)+IF(BO$6="X",VLOOKUP(BO$10,'VK-Transport'!$C:$X,2+$B11,0))+IF(BO$8="X",VLOOKUP(BO$10,'VK-Elekter'!$C:$X,2+$D11,0))+IF(BO$9="X",VLOOKUP(BO$10,'VK-Biokütused'!$C:$U,2+$E11,0))+IF(BO$5="X",VLOOKUP(BO$10,'VK-Põlevkivi'!$C:$X,2+$G11,0))+IF(BO$4="X",VLOOKUP(BO$10,'VK-Võrgud'!$C:$X,2+$F11,0)))/16</f>
        <v>496.33125000000001</v>
      </c>
      <c r="BP11" s="209"/>
      <c r="BQ11" s="209">
        <f>(IF(BQ$7="X",VLOOKUP(BQ$10,'VK-Hooned-Soojus'!$C:$X,2+$C11,FALSE),0)+IF(BQ$6="X",VLOOKUP(BQ$10,'VK-Transport'!$C:$X,2+$B11,0))+IF(BQ$8="X",VLOOKUP(BQ$10,'VK-Elekter'!$C:$X,2+$D11,0))+IF(BQ$9="X",VLOOKUP(BQ$10,'VK-Biokütused'!$C:$U,2+$E11,0))+IF(BQ$5="X",VLOOKUP(BQ$10,'VK-Põlevkivi'!$C:$X,2+$G11,0))+IF(BQ$4="X",VLOOKUP(BQ$10,'VK-Võrgud'!$C:$X,2+$F11,0)))/16</f>
        <v>4.7249999999999996</v>
      </c>
      <c r="BR11" s="209">
        <f>(IF(BR$7="X",VLOOKUP(BR$10,'VK-Hooned-Soojus'!$C:$X,2+$C11,FALSE),0)+IF(BR$6="X",VLOOKUP(BR$10,'VK-Transport'!$C:$X,2+$B11,0))+IF(BR$8="X",VLOOKUP(BR$10,'VK-Elekter'!$C:$X,2+$D11,0))+IF(BR$9="X",VLOOKUP(BR$10,'VK-Biokütused'!$C:$U,2+$E11,0))+IF(BR$5="X",VLOOKUP(BR$10,'VK-Põlevkivi'!$C:$X,2+$G11,0))+IF(BR$4="X",VLOOKUP(BR$10,'VK-Võrgud'!$C:$X,2+$F11,0)))/16</f>
        <v>-74.512500000000003</v>
      </c>
      <c r="BS11" s="209">
        <f>(IF(BS$7="X",VLOOKUP(BS$10,'VK-Hooned-Soojus'!$C:$X,2+$C11,FALSE),0)+IF(BS$6="X",VLOOKUP(BS$10,'VK-Transport'!$C:$X,2+$B11,0))+IF(BS$8="X",VLOOKUP(BS$10,'VK-Elekter'!$C:$X,2+$D11,0))+IF(BS$9="X",VLOOKUP(BS$10,'VK-Biokütused'!$C:$U,2+$E11,0))+IF(BS$5="X",VLOOKUP(BS$10,'VK-Põlevkivi'!$C:$X,2+$G11,0))+IF(BS$4="X",VLOOKUP(BS$10,'VK-Võrgud'!$C:$X,2+$F11,0)))/16</f>
        <v>-100.68125000000001</v>
      </c>
      <c r="BT11" s="209"/>
      <c r="BU11" s="209"/>
      <c r="BV11" s="209">
        <f>(IF(BV$7="X",VLOOKUP(BV$10,'VK-Hooned-Soojus'!$C:$X,2+$C11,FALSE),0)+IF(BV$6="X",VLOOKUP(BV$10,'VK-Transport'!$C:$X,2+$B11,0))+IF(BV$8="X",VLOOKUP(BV$10,'VK-Elekter'!$C:$X,2+$D11,0))+IF(BV$9="X",VLOOKUP(BV$10,'VK-Biokütused'!$C:$U,2+$E11,0))+IF(BV$5="X",VLOOKUP(BV$10,'VK-Põlevkivi'!$C:$X,2+$G11,0))+IF(BV$4="X",VLOOKUP(BV$10,'VK-Võrgud'!$C:$X,2+$F11,0)))/16</f>
        <v>0</v>
      </c>
      <c r="BW11" s="209"/>
      <c r="BX11" s="209">
        <f>(IF(BX$7="X",VLOOKUP(BX$10,'VK-Hooned-Soojus'!$C:$X,2+$C11,FALSE),0)+IF(BX$6="X",VLOOKUP(BX$10,'VK-Transport'!$C:$X,2+$B11,0))+IF(BX$8="X",VLOOKUP(BX$10,'VK-Elekter'!$C:$X,2+$D11,0))+IF(BX$9="X",VLOOKUP(BX$10,'VK-Biokütused'!$C:$U,2+$E11,0))+IF(BX$5="X",VLOOKUP(BX$10,'VK-Põlevkivi'!$C:$X,2+$G11,0))+IF(BX$4="X",VLOOKUP(BX$10,'VK-Võrgud'!$C:$X,2+$F11,0)))/16</f>
        <v>-99.6875</v>
      </c>
      <c r="BY11" s="209"/>
      <c r="BZ11" s="209"/>
      <c r="CA11" s="209" t="e">
        <f>(IF(CA$7="X",VLOOKUP(CA$10,'VK-Hooned-Soojus'!$C:$X,2+$C11,FALSE),0)+IF(CA$6="X",VLOOKUP(CA$10,'VK-Transport'!$C:$X,2+$B11,0))+IF(CA$8="X",VLOOKUP(CA$10,'VK-Elekter'!$C:$X,2+$D11,0))+IF(CA$9="X",VLOOKUP(CA$10,'VK-Biokütused'!$C:$U,2+$E11,0))+IF(CA$5="X",VLOOKUP(CA$10,'VK-Põlevkivi'!$C:$X,2+$G11,0))+IF(CA$4="X",VLOOKUP(CA$10,'VK-Võrgud'!$C:$X,2+$F11,0)))/16</f>
        <v>#N/A</v>
      </c>
      <c r="CB11" s="209">
        <f>(IF(CB$7="X",VLOOKUP(CB$10,'VK-Hooned-Soojus'!$C:$X,2+$C11,FALSE),0)+IF(CB$6="X",VLOOKUP(CB$10,'VK-Transport'!$C:$X,2+$B11,0))+IF(CB$8="X",VLOOKUP(CB$10,'VK-Elekter'!$C:$X,2+$D11,0))+IF(CB$9="X",VLOOKUP(CB$10,'VK-Biokütused'!$C:$U,2+$E11,0))+IF(CB$5="X",VLOOKUP(CB$10,'VK-Põlevkivi'!$C:$X,2+$G11,0))+IF(CB$4="X",VLOOKUP(CB$10,'VK-Võrgud'!$C:$X,2+$F11,0)))/16</f>
        <v>0</v>
      </c>
      <c r="CC11" s="209">
        <f>(IF(CC$7="X",VLOOKUP(CC$10,'VK-Hooned-Soojus'!$C:$X,2+$C11,FALSE),0)+IF(CC$6="X",VLOOKUP(CC$10,'VK-Transport'!$C:$X,2+$B11,0))+IF(CC$8="X",VLOOKUP(CC$10,'VK-Elekter'!$C:$X,2+$D11,0))+IF(CC$9="X",VLOOKUP(CC$10,'VK-Biokütused'!$C:$U,2+$E11,0))+IF(CC$5="X",VLOOKUP(CC$10,'VK-Põlevkivi'!$C:$X,2+$G11,0))+IF(CC$4="X",VLOOKUP(CC$10,'VK-Võrgud'!$C:$X,2+$F11,0)))/16</f>
        <v>0</v>
      </c>
      <c r="CD11" s="209"/>
      <c r="CE11" s="209">
        <f>(IF(CE$7="X",VLOOKUP(CE$10,'VK-Hooned-Soojus'!$C:$X,2+$C11,FALSE),0)+IF(CE$6="X",VLOOKUP(CE$10,'VK-Transport'!$C:$X,2+$B11,0))+IF(CE$8="X",VLOOKUP(CE$10,'VK-Elekter'!$C:$X,2+$D11,0))+IF(CE$9="X",VLOOKUP(CE$10,'VK-Biokütused'!$C:$U,2+$E11,0))+IF(CE$5="X",VLOOKUP(CE$10,'VK-Põlevkivi'!$C:$X,2+$G11,0))+IF(CE$4="X",VLOOKUP(CE$10,'VK-Võrgud'!$C:$X,2+$F11,0)))/16</f>
        <v>24.15625</v>
      </c>
      <c r="CF11" s="209"/>
      <c r="CG11" s="209">
        <f>(IF(CG$7="X",VLOOKUP(CG$10,'VK-Hooned-Soojus'!$C:$X,2+$C11,FALSE),0)+IF(CG$6="X",VLOOKUP(CG$10,'VK-Transport'!$C:$X,2+$B11,0))+IF(CG$8="X",VLOOKUP(CG$10,'VK-Elekter'!$C:$X,2+$D11,0))+IF(CG$9="X",VLOOKUP(CG$10,'VK-Biokütused'!$C:$U,2+$E11,0))+IF(CG$5="X",VLOOKUP(CG$10,'VK-Põlevkivi'!$C:$X,2+$G11,0))+IF(CG$4="X",VLOOKUP(CG$10,'VK-Võrgud'!$C:$X,2+$F11,0)))/16</f>
        <v>0</v>
      </c>
      <c r="CH11" s="209">
        <f>(IF(CH$7="X",VLOOKUP(CH$10,'VK-Hooned-Soojus'!$C:$X,2+$C11,FALSE),0)+IF(CH$6="X",VLOOKUP(CH$10,'VK-Transport'!$C:$X,2+$B11,0))+IF(CH$8="X",VLOOKUP(CH$10,'VK-Elekter'!$C:$X,2+$D11,0))+IF(CH$9="X",VLOOKUP(CH$10,'VK-Biokütused'!$C:$U,2+$E11,0))+IF(CH$5="X",VLOOKUP(CH$10,'VK-Põlevkivi'!$C:$X,2+$G11,0))+IF(CH$4="X",VLOOKUP(CH$10,'VK-Võrgud'!$C:$X,2+$F11,0)))/20*0.21</f>
        <v>5.6122500000000004</v>
      </c>
      <c r="CI11" s="209"/>
      <c r="CJ11" s="209">
        <f>(IF(CJ$7="X",VLOOKUP(CJ$10,'VK-Hooned-Soojus'!$C:$X,2+$C11,FALSE),0)+IF(CJ$6="X",VLOOKUP(CJ$10,'VK-Transport'!$C:$X,2+$B11,0))+IF(CJ$8="X",VLOOKUP(CJ$10,'VK-Elekter'!$C:$X,2+$D11,0))+IF(CJ$9="X",VLOOKUP(CJ$10,'VK-Biokütused'!$C:$U,2+$E11,0))+IF(CJ$5="X",VLOOKUP(CJ$10,'VK-Põlevkivi'!$C:$X,2+$G11,0))+IF(CJ$4="X",VLOOKUP(CJ$10,'VK-Võrgud'!$C:$X,2+$F11,0)))/1000</f>
        <v>20.207999999999998</v>
      </c>
      <c r="CK11" s="209">
        <f>(IF(CK$7="X",VLOOKUP(CK$10,'VK-Hooned-Soojus'!$C:$X,2+$C11,FALSE),0)+IF(CK$6="X",VLOOKUP(CK$10,'VK-Transport'!$C:$X,2+$B11,0))+IF(CK$8="X",VLOOKUP(CK$10,'VK-Elekter'!$C:$X,2+$D11,0))+IF(CK$9="X",VLOOKUP(CK$10,'VK-Biokütused'!$C:$U,2+$E11,0))+IF(CK$5="X",VLOOKUP(CK$10,'VK-Põlevkivi'!$C:$X,2+$G11,0))+IF(CK$4="X",VLOOKUP(CK$10,'VK-Võrgud'!$C:$X,2+$F11,0)))/1000</f>
        <v>12.808543134371309</v>
      </c>
      <c r="CL11" s="235">
        <f>(IF(CL$7="X",VLOOKUP(CL$10,'VK-Hooned-Soojus'!$C:$X,2+$C11,FALSE),0)+IF(CL$6="X",VLOOKUP(CL$10,'VK-Transport'!$C:$X,2+$B11,0))+IF(CL$8="X",VLOOKUP(CL$10,'VK-Elekter'!$C:$X,2+$D11,0))+IF(CL$9="X",VLOOKUP(CL$10,'VK-Biokütused'!$C:$U,2+$E11,0)))/1000</f>
        <v>9.5602332703934589</v>
      </c>
      <c r="CM11" s="209">
        <f>(IF(CM$7="X",VLOOKUP(CM$10,'VK-Hooned-Soojus'!$C:$X,2+$C11,FALSE),0)+IF(CM$6="X",VLOOKUP(CM$10,'VK-Transport'!$C:$X,2+$B11,0))+IF(CM$8="X",VLOOKUP(CM$10,'VK-Elekter'!$C:$X,2+$D11,0))+IF(CM$9="X",VLOOKUP(CM$10,'VK-Biokütused'!$C:$U,2+$E11,0))+IF(CM$5="X",VLOOKUP(CM$10,'VK-Põlevkivi'!$C:$X,2+$G11,0))+IF(CM$4="X",VLOOKUP(CM$10,'VK-Võrgud'!$C:$X,2+$F11,0)))/1000</f>
        <v>8.5549999999999997</v>
      </c>
      <c r="CN11" s="209">
        <f>(IF(CN$7="X",VLOOKUP(CN$10,'VK-Hooned-Soojus'!$C:$X,2+$C11,FALSE),0)+IF(CN$6="X",VLOOKUP(CN$10,'VK-Transport'!$C:$X,2+$B11,0))+IF(CN$8="X",VLOOKUP(CN$10,'VK-Elekter'!$C:$X,2+$D11,0))+IF(CN$9="X",VLOOKUP(CN$10,'VK-Biokütused'!$C:$U,2+$E11,0))+IF(CN$5="X",VLOOKUP(CN$10,'VK-Põlevkivi'!$C:$X,2+$G11,0))+IF(CN$4="X",VLOOKUP(CN$10,'VK-Võrgud'!$C:$X,2+$F11,0)))/1000</f>
        <v>3.0259999999999998</v>
      </c>
      <c r="CO11" s="209">
        <f>(IF(CO$7="X",VLOOKUP(CO$10,'VK-Hooned-Soojus'!$C:$X,2+$C11,FALSE),0)+IF(CO$6="X",VLOOKUP(CO$10,'VK-Transport'!$C:$X,2+$B11,0))+IF(CO$8="X",VLOOKUP(CO$10,'VK-Elekter'!$C:$X,2+$D11,0))+IF(CO$9="X",VLOOKUP(CO$10,'VK-Biokütused'!$C:$U,2+$E11,0))+IF(CO$5="X",VLOOKUP(CO$10,'VK-Põlevkivi'!$C:$X,2+$G11,0))+IF(CO$4="X",VLOOKUP(CO$10,'VK-Võrgud'!$C:$X,2+$F11,0)))/1000</f>
        <v>25.663649773285456</v>
      </c>
      <c r="CP11" s="209">
        <f>(IF(CP$7="X",VLOOKUP(CP$10,'VK-Hooned-Soojus'!$C:$X,2+$C11,FALSE),0)+IF(CP$6="X",VLOOKUP(CP$10,'VK-Transport'!$C:$X,2+$B11,0))+IF(CP$8="X",VLOOKUP(CP$10,'VK-Elekter'!$C:$X,2+$D11,0))+IF(CP$9="X",VLOOKUP(CP$10,'VK-Biokütused'!$C:$U,2+$E11,0))+IF(CP$5="X",VLOOKUP(CP$10,'VK-Põlevkivi'!$C:$X,2+$G11,0))+IF(CP$4="X",VLOOKUP(CP$10,'VK-Võrgud'!$C:$X,2+$F11,0)))/1000</f>
        <v>13.825948584295613</v>
      </c>
      <c r="CQ11" s="235">
        <f>(IF(CQ$7="X",VLOOKUP(CQ$10,'VK-Hooned-Soojus'!$C:$X,2+$C11,FALSE),0)+IF(CQ$6="X",VLOOKUP(CQ$10,'VK-Transport'!$C:$X,2+$B11,0))+IF(CQ$8="X",VLOOKUP(CQ$10,'VK-Elekter'!$C:$X,2+$D11,0))+IF(CQ$9="X",VLOOKUP(CQ$10,'VK-Biokütused'!$C:$U,2+$E11,0)))/1000</f>
        <v>11.186907</v>
      </c>
      <c r="CR11" s="209">
        <f>(IF(CR$7="X",VLOOKUP(CR$10,'VK-Hooned-Soojus'!$C:$X,2+$C11,FALSE),0)+IF(CR$6="X",VLOOKUP(CR$10,'VK-Transport'!$C:$X,2+$B11,0))+IF(CR$8="X",VLOOKUP(CR$10,'VK-Elekter'!$C:$X,2+$D11,0))+IF(CR$9="X",VLOOKUP(CR$10,'VK-Biokütused'!$C:$U,2+$E11,0))+IF(CR$5="X",VLOOKUP(CR$10,'VK-Põlevkivi'!$C:$X,2+$G11,0))+IF(CR$4="X",VLOOKUP(CR$10,'VK-Võrgud'!$C:$X,2+$F11,0)))/1000</f>
        <v>8.1107533562748042</v>
      </c>
      <c r="CS11" s="209">
        <f>(IF(CS$7="X",VLOOKUP(CS$10,'VK-Hooned-Soojus'!$C:$X,2+$C11,FALSE),0)+IF(CS$6="X",VLOOKUP(CS$10,'VK-Transport'!$C:$X,2+$B11,0))+IF(CS$8="X",VLOOKUP(CS$10,'VK-Elekter'!$C:$X,2+$D11,0))+IF(CS$9="X",VLOOKUP(CS$10,'VK-Biokütused'!$C:$U,2+$E11,0))+IF(CS$5="X",VLOOKUP(CS$10,'VK-Põlevkivi'!$C:$X,2+$G11,0))+IF(CS$4="X",VLOOKUP(CS$10,'VK-Võrgud'!$C:$X,2+$F11,0)))/1000</f>
        <v>3.9861524051216151</v>
      </c>
      <c r="CT11" s="209">
        <f>IF(CT$7="X",VLOOKUP(CT$10,'VK-Hooned-Soojus'!$C:$X,2+$C11,FALSE),0)+IF(CT$6="X",VLOOKUP(CT$10,'VK-Transport'!$C:$X,2+$B11,0))+IF(CT$8="X",VLOOKUP(CT$10,'VK-Elekter'!$C:$X,2+$D11,0))+IF(CT$9="X",VLOOKUP(CT$10,'VK-Biokütused'!$C:$U,2+$E11,0))+IF(CT$5="X",VLOOKUP(CT$10,'VK-Põlevkivi'!$C:$X,2+$G11,0))+IF(CT$4="X",VLOOKUP(CT$10,'VK-Võrgud'!$C:$X,2+$F11,0))</f>
        <v>90</v>
      </c>
      <c r="CU11" s="209">
        <f>IF(CU$7="X",VLOOKUP(CU$10,'VK-Hooned-Soojus'!$C:$X,2+$C11,FALSE),0)+IF(CU$6="X",VLOOKUP(CU$10,'VK-Transport'!$C:$X,2+$B11,0))+IF(CU$8="X",VLOOKUP(CU$10,'VK-Elekter'!$C:$X,2+$D11,0))+IF(CU$9="X",VLOOKUP(CU$10,'VK-Biokütused'!$C:$U,2+$E11,0))+IF(CU$5="X",VLOOKUP(CU$10,'VK-Põlevkivi'!$C:$X,2+$G11,0))+IF(CU$4="X",VLOOKUP(CU$10,'VK-Võrgud'!$C:$X,2+$F11,0))</f>
        <v>0.72088353413654627</v>
      </c>
      <c r="CV11" s="209">
        <f t="shared" ref="CV11:CV42" si="1">(AY11+AT11)/(AT11+AY11+AW11-AX11)</f>
        <v>1</v>
      </c>
      <c r="CW11" s="209">
        <f>(IF(CW$7="X",VLOOKUP(CW$10,'VK-Hooned-Soojus'!$C:$X,2+$C11,FALSE),0)+IF(CW$6="X",VLOOKUP(CW$10,'VK-Transport'!$C:$X,2+$B11,0))+IF(CW$8="X",VLOOKUP(CW$10,'VK-Elekter'!$C:$X,2+$D11,0))+IF(CW$9="X",VLOOKUP(CW$10,'VK-Biokütused'!$C:$U,2+$E11,0))+IF(CW$5="X",VLOOKUP(CW$10,'VK-Põlevkivi'!$C:$X,2+$G11,0))+IF(CW$4="X",VLOOKUP(CW$10,'VK-Võrgud'!$C:$X,2+$F11,0)))/16</f>
        <v>0</v>
      </c>
      <c r="CY11" s="209">
        <f>(IF(CY$7="X",VLOOKUP(CY$10,'VK-Hooned-Soojus'!$C:$X,2+$C11,FALSE),0)+IF(CY$6="X",VLOOKUP(CY$10,'VK-Transport'!$C:$X,2+$B11,0))+IF(CY$8="X",VLOOKUP(CY$10,'VK-Elekter'!$C:$X,2+$D11,0))+IF(CY$9="X",VLOOKUP(CY$10,'VK-Biokütused'!$C:$U,2+$E11,0))+IF(CY$5="X",VLOOKUP(CY$10,'VK-Põlevkivi'!$C:$X,2+$G11,0))+IF(CY$4="X",VLOOKUP(CY$10,'VK-Võrgud'!$C:$X,2+$F11,0)))/1000</f>
        <v>11.411</v>
      </c>
      <c r="CZ11" s="209">
        <f>(IF(CZ$7="X",VLOOKUP(CZ$10,'VK-Hooned-Soojus'!$C:$X,2+$C11,FALSE),0)+IF(CZ$6="X",VLOOKUP(CZ$10,'VK-Transport'!$C:$X,2+$B11,0))+IF(CZ$8="X",VLOOKUP(CZ$10,'VK-Elekter'!$C:$X,2+$D11,0))+IF(CZ$9="X",VLOOKUP(CZ$10,'VK-Biokütused'!$C:$U,2+$E11,0))+IF(CZ$5="X",VLOOKUP(CZ$10,'VK-Põlevkivi'!$C:$X,2+$G11,0))+IF(CZ$4="X",VLOOKUP(CZ$10,'VK-Võrgud'!$C:$X,2+$F11,0)))</f>
        <v>79</v>
      </c>
      <c r="DA11" s="209">
        <f>(IF(DA$7="X",VLOOKUP(DA$10,'VK-Hooned-Soojus'!$C:$X,2+$C11,FALSE),0)+IF(DA$6="X",VLOOKUP(DA$10,'VK-Transport'!$C:$X,2+$B11,0))+IF(DA$8="X",VLOOKUP(DA$10,'VK-Elekter'!$C:$X,2+$D11,0))+IF(DA$9="X",VLOOKUP(DA$10,'VK-Biokütused'!$C:$U,2+$E11,0))+IF(DA$5="X",VLOOKUP(DA$10,'VK-Põlevkivi'!$C:$X,2+$G11,0))+IF(DA$4="X",VLOOKUP(DA$10,'VK-Võrgud'!$C:$X,2+$F11,0)))/1000</f>
        <v>15.372999999999999</v>
      </c>
      <c r="DB11" s="209">
        <f>(IF(DB$7="X",VLOOKUP(DB$10,'VK-Hooned-Soojus'!$C:$X,2+$C11,FALSE),0)+IF(DB$6="X",VLOOKUP(DB$10,'VK-Transport'!$C:$X,2+$B11,0))+IF(DB$8="X",VLOOKUP(DB$10,'VK-Elekter'!$C:$X,2+$D11,0))+IF(DB$9="X",VLOOKUP(DB$10,'VK-Biokütused'!$C:$U,2+$E11,0))+IF(DB$5="X",VLOOKUP(DB$10,'VK-Põlevkivi'!$C:$X,2+$G11,0))+IF(DB$4="X",VLOOKUP(DB$10,'VK-Võrgud'!$C:$X,2+$F11,0)))/1000/3.6</f>
        <v>68.686111111111117</v>
      </c>
      <c r="DC11" s="209">
        <f>(IF(DC$7="X",VLOOKUP(DC$10,'VK-Hooned-Soojus'!$C:$X,2+$C11,FALSE),0)+IF(DC$6="X",VLOOKUP(DC$10,'VK-Transport'!$C:$X,2+$B11,0))+IF(DC$8="X",VLOOKUP(DC$10,'VK-Elekter'!$C:$X,2+$D11,0))+IF(DC$9="X",VLOOKUP(DC$10,'VK-Biokütused'!$C:$U,2+$E11,0))+IF(DC$5="X",VLOOKUP(DC$10,'VK-Põlevkivi'!$C:$X,2+$G11,0))+IF(DC$4="X",VLOOKUP(DC$10,'VK-Võrgud'!$C:$X,2+$F11,0)))/1000000</f>
        <v>5.4998170000000002</v>
      </c>
      <c r="DD11" s="209"/>
      <c r="DE11" s="88">
        <f>VLOOKUP(Tulemused!$BN$12,data!M$7:N$12,2,FALSE)-SUM(L11,M11)</f>
        <v>-3.4066444444444528</v>
      </c>
      <c r="DF11" s="209" t="str">
        <f>IF(AZ11&lt;=VLOOKUP(Tulemused!$BN$15,data!$E$36:$F$39,2,FALSE),"JAH","EI")</f>
        <v>JAH</v>
      </c>
      <c r="DG11" s="209"/>
      <c r="DH11" s="209">
        <f t="shared" ref="DH11:DH42" si="2">ES11</f>
        <v>6.78</v>
      </c>
      <c r="DI11" s="231" t="str">
        <f>IF((DE11&lt;0)+(DF11="EI")+(DG11="EI")+(DH11="JAH"),"EI","JAH")</f>
        <v>EI</v>
      </c>
      <c r="DK11" s="232">
        <f t="shared" ref="DK11:DK42" si="3">$Z11+IF($DI11="EI",-1000,0)</f>
        <v>-1000</v>
      </c>
      <c r="DM11" s="233">
        <f t="shared" ref="DM11:DM42" si="4">LARGE($DK$11:$DK$145,ROW(1:1))</f>
        <v>12.03707984995911</v>
      </c>
      <c r="DN11" s="87">
        <f t="array" ref="DN11">INDEX($A$11:$A$145, SMALL(IF(DM11=$DK$11:$DK$145, MATCH(ROW($DK$11:$DK$145), ROW($DK$11:$DK$145))), SUM(--(DM11=$DM$11:DM11))))</f>
        <v>132</v>
      </c>
      <c r="DP11" s="87" t="e">
        <f ca="1">IF(INDIRECT("Tulemused!"&amp;DP$8)="Jah",BN11,0)</f>
        <v>#N/A</v>
      </c>
      <c r="DQ11" s="87" t="e">
        <f t="shared" ref="DQ11:EC26" ca="1" si="5">IF(INDIRECT("Tulemused!"&amp;DQ$8)="Jah",BO11,0)</f>
        <v>#N/A</v>
      </c>
      <c r="DR11" s="87">
        <f t="shared" ca="1" si="5"/>
        <v>0</v>
      </c>
      <c r="DS11" s="87" t="e">
        <f t="shared" ca="1" si="5"/>
        <v>#N/A</v>
      </c>
      <c r="DT11" s="87">
        <f ca="1">IF(INDIRECT("Tulemused!"&amp;DT$8)="Jah",BS11+BX11,0)</f>
        <v>0</v>
      </c>
      <c r="DU11" s="87" t="e">
        <f t="shared" ca="1" si="5"/>
        <v>#N/A</v>
      </c>
      <c r="DV11" s="87" t="e">
        <f t="shared" ca="1" si="5"/>
        <v>#N/A</v>
      </c>
      <c r="DW11" s="87">
        <f t="shared" ca="1" si="5"/>
        <v>0</v>
      </c>
      <c r="DX11" s="87">
        <f ca="1">IF(INDIRECT("Tulemused!"&amp;DX$8)="Jah",BR11+BJ11,0)</f>
        <v>0</v>
      </c>
      <c r="DZ11" s="87">
        <f t="shared" ca="1" si="5"/>
        <v>0</v>
      </c>
      <c r="EB11" s="87">
        <f ca="1">IF(INDIRECT("Tulemused!"&amp;EB$8)="Jah",CH11,0)</f>
        <v>0</v>
      </c>
      <c r="EC11" s="87" t="e">
        <f t="shared" ca="1" si="5"/>
        <v>#N/A</v>
      </c>
      <c r="EE11" s="228">
        <f>(IF(EE$7="X",VLOOKUP(EE$10,'VK-Hooned-Soojus'!$C:$X,2+$C11,FALSE),0)+IF(EE$6="X",VLOOKUP(EE$10,'VK-Transport'!$C:$X,2+$B11,0))+IF(EE$8="X",VLOOKUP(EE$10,'VK-Elekter'!$C:$X,2+$D11,0))+IF(EE$9="X",VLOOKUP(EE$10,'VK-Biokütused'!$C:$U,2+$E11,0))+IF(EE$5="X",VLOOKUP(EE$10,'VK-Põlevkivi'!$C:$X,2+$G11,0))+IF(EE$4="X",VLOOKUP(EE$10,'VK-Võrgud'!$C:$X,2+$F11,0)))</f>
        <v>559.41614957093236</v>
      </c>
      <c r="EF11" s="235">
        <f>(IF(EF$7="X",VLOOKUP(EF$10,'VK-Hooned-Soojus'!$C:$X,2+$C11,FALSE),0)+IF(EF$6="X",VLOOKUP(EF$10,'VK-Transport'!$C:$X,2+$B11,0))+IF(EF$8="X",VLOOKUP(EF$10,'VK-Elekter'!$C:$X,2+$D11,0))+IF(EF$9="X",VLOOKUP(EF$10,'VK-Biokütused'!$C:$U,2+$E11,0)))/1000</f>
        <v>5.9576368215830611</v>
      </c>
      <c r="EG11" s="209">
        <f>(IF(EG$7="X",VLOOKUP(EG$10,'VK-Hooned-Soojus'!$C:$X,2+$C11,FALSE),0)+IF(EG$6="X",VLOOKUP(EG$10,'VK-Transport'!$C:$X,2+$B11,0))+IF(EG$8="X",VLOOKUP(EG$10,'VK-Elekter'!$C:$X,2+$D11,0))+IF(EG$9="X",VLOOKUP(EG$10,'VK-Biokütused'!$C:$U,2+$E11,0))+IF(EG$5="X",VLOOKUP(EG$10,'VK-Põlevkivi'!$C:$X,2+$G11,0))+IF(EG$4="X",VLOOKUP(EG$10,'VK-Võrgud'!$C:$X,2+$F11,0)))</f>
        <v>0.81</v>
      </c>
      <c r="EH11" s="209">
        <f>(IF(EH$7="X",VLOOKUP(EH$10,'VK-Hooned-Soojus'!$C:$X,2+$C11,FALSE),0)+IF(EH$6="X",VLOOKUP(EH$10,'VK-Transport'!$C:$X,2+$B11,0))+IF(EH$8="X",VLOOKUP(EH$10,'VK-Elekter'!$C:$X,2+$D11,0))+IF(EH$9="X",VLOOKUP(EH$10,'VK-Biokütused'!$C:$U,2+$E11,0)))+AR11+AS11+AU11+AX11</f>
        <v>57.448288113695085</v>
      </c>
      <c r="EI11" s="320">
        <f t="shared" ref="EI11:EI42" si="6">EH11-AU11-AX11</f>
        <v>52.764567183462525</v>
      </c>
      <c r="EJ11" s="322">
        <f t="shared" ref="EJ11:EJ42" si="7">EG11/O11</f>
        <v>2.0156356925118721E-2</v>
      </c>
      <c r="EK11" s="323">
        <f>SUM(BB11,BD11,AV11)/O11</f>
        <v>0.36168246787532254</v>
      </c>
      <c r="EM11" s="209"/>
      <c r="EN11" s="209">
        <f t="shared" ref="EN11:EN42" ca="1" si="8">SUM(DT11,DX11,DZ11,EB11,DY11)</f>
        <v>0</v>
      </c>
      <c r="EO11" s="209"/>
      <c r="EP11" s="234"/>
      <c r="EQ11" s="209">
        <f>(IF(EQ$7="X",VLOOKUP(EQ$10,'VK-Hooned-Soojus'!$C:$X,2+$C11,FALSE),0)+IF(EQ$6="X",VLOOKUP(EQ$10,'VK-Transport'!$C:$X,2+$B11,0))+IF(EQ$8="X",VLOOKUP(EQ$10,'VK-Elekter'!$C:$X,2+$D11,0))+IF(EQ$9="X",VLOOKUP(EQ$10,'VK-Biokütused'!$C:$U,2+$E11,0))+IF(EQ$5="X",VLOOKUP(EQ$10,'VK-Põlevkivi'!$C:$X,2+$G11,0))+IF(EQ$4="X",VLOOKUP(EQ$10,'VK-Võrgud'!$C:$X,2+$F11,0)))/1000</f>
        <v>0.22900000000000001</v>
      </c>
      <c r="ER11" s="209">
        <f>(IF(ER$7="X",VLOOKUP(ER$10,'VK-Hooned-Soojus'!$C:$X,2+$C11,FALSE),0)+IF(ER$6="X",VLOOKUP(ER$10,'VK-Transport'!$C:$X,2+$B11,0))+IF(ER$8="X",VLOOKUP(ER$10,'VK-Elekter'!$C:$X,2+$D11,0))+IF(ER$9="X",VLOOKUP(ER$10,'VK-Biokütused'!$C:$U,2+$E11,0))+IF(ER$5="X",VLOOKUP(ER$10,'VK-Põlevkivi'!$C:$X,2+$G11,0))+IF(ER$4="X",VLOOKUP(ER$10,'VK-Võrgud'!$C:$X,2+$F11,0)))</f>
        <v>0.82899999999999996</v>
      </c>
      <c r="ES11" s="209">
        <f>(IF(ES$7="X",VLOOKUP(ES$10,'VK-Hooned-Soojus'!$C:$X,2+$C11,FALSE),0)+IF(ES$6="X",VLOOKUP(ES$10,'VK-Transport'!$C:$X,2+$B11,0))+IF(ES$8="X",VLOOKUP(ES$10,'VK-Elekter'!$C:$X,2+$D11,0))+IF(ES$9="X",VLOOKUP(ES$10,'VK-Biokütused'!$C:$U,2+$E11,0))+IF(ES$5="X",VLOOKUP(ES$10,'VK-Põlevkivi'!$C:$X,2+$G11,0))+IF(ES$4="X",VLOOKUP(ES$10,'VK-Võrgud'!$C:$X,2+$F11,0)))</f>
        <v>6.78</v>
      </c>
      <c r="ET11" s="209"/>
      <c r="EU11" s="233"/>
      <c r="EV11" s="87">
        <f>'KSH järjestus'!AS4</f>
        <v>2455</v>
      </c>
      <c r="EX11" s="236"/>
      <c r="EY11" s="236"/>
      <c r="EZ11" s="237">
        <f t="shared" ref="EZ11:EZ42" si="9">1-CU11</f>
        <v>0.27911646586345373</v>
      </c>
      <c r="FA11" s="209">
        <f>IF(FA$7="X",VLOOKUP(FA$10,'VK-Hooned-Soojus'!$C:$X,2+$C11,FALSE),0)+IF(FA$6="X",VLOOKUP(FA$10,'VK-Transport'!$C:$X,2+$B11,0))+IF(FA$8="X",VLOOKUP(FA$10,'VK-Elekter'!$C:$X,2+$D11,0))+IF(FA$9="X",VLOOKUP(FA$10,'VK-Biokütused'!$C:$U,2+$E11,0))+IF(FA$5="X",VLOOKUP(FA$10,'VK-Põlevkivi'!$C:$X,2+$G11,0))+IF(FA$4="X",VLOOKUP(FA$10,'VK-Võrgud'!$C:$X,2+$F11,0))</f>
        <v>3481.9070000000002</v>
      </c>
      <c r="FB11" s="279">
        <f>(IF(FB$7="X",VLOOKUP(FB$10,'VK-Hooned-Soojus'!$C:$X,2+$C11,FALSE),0)+IF(FB$6="X",VLOOKUP(FB$10,'VK-Transport'!$C:$X,2+$B11,0))+IF(FB$8="X",VLOOKUP(FB$10,'VK-Elekter'!$C:$X,2+$D11,0))+IF(FB$9="X",VLOOKUP(FB$10,'VK-Biokütused'!$C:$U,2+$E11,0))+IF(FB$5="X",VLOOKUP(FB$10,'VK-Põlevkivi'!$C:$X,2+$G11,0))+IF(FB$4="X",VLOOKUP(FB$10,'VK-Võrgud'!$C:$X,2+$F11,0)))/16</f>
        <v>36.816351506457288</v>
      </c>
      <c r="FC11" s="209">
        <f>IF(FC$7="X",VLOOKUP(FC$10,'VK-Hooned-Soojus'!$C:$X,2+$C11,FALSE),0)+IF(FC$6="X",VLOOKUP(FC$10,'VK-Transport'!$C:$X,2+$B11,0))+IF(FC$8="X",VLOOKUP(FC$10,'VK-Elekter'!$C:$X,2+$D11,0))+IF(FC$9="X",VLOOKUP(FC$10,'VK-Biokütused'!$C:$U,2+$E11,0))+IF(FC$5="X",VLOOKUP(FC$10,'VK-Põlevkivi'!$C:$X,2+$G11,0))+IF(FC$4="X",VLOOKUP(FC$10,'VK-Võrgud'!$C:$X,2+$F11,0))</f>
        <v>339.59999999999997</v>
      </c>
      <c r="FD11" s="369">
        <f>(IF(FD$7="X",VLOOKUP(FD$10,'[1]VK-Hooned-Soojus'!$C:$X,2+$C11,FALSE),0)+IF(FD$6="X",VLOOKUP(FD$10,'[1]VK-Transport'!$C:$X,2+$B11,0))+IF(FD$8="X",VLOOKUP(FD$10,'[1]VK-Elekter'!$C:$X,2+$D11,0))+IF(FD$9="X",VLOOKUP(FD$10,'[1]VK-Biokütused'!$C:$U,2+$E11,0))+IF(FD$5="X",VLOOKUP(FD$10,'[1]VK-Põlevkivi'!$C:$X,2+$G11,0)))/16</f>
        <v>0</v>
      </c>
      <c r="FE11" s="209">
        <f>(IF(FE$7="X",VLOOKUP(FE$10,'VK-Hooned-Soojus'!$C:$X,2+$C11,FALSE),0)+IF(FE$6="X",VLOOKUP(FE$10,'VK-Transport'!$C:$X,2+$B11,0))+IF(FE$8="X",VLOOKUP(FE$10,'VK-Elekter'!$C:$X,2+$D11,0))+IF(FE$9="X",VLOOKUP(FE$10,'VK-Biokütused'!$C:$U,2+$E11,0))+IF(FE$5="X",VLOOKUP(FE$10,'VK-Põlevkivi'!$C:$X,2+$G11,0))+IF(FE$4="X",VLOOKUP(FE$10,'VK-Võrgud'!$C:$X,2+$F11,0)))/16</f>
        <v>0</v>
      </c>
      <c r="FF11" s="369">
        <f>(IF(FF$7="X",VLOOKUP(FF$10,'[1]VK-Hooned-Soojus'!$C:$X,2+$C11,FALSE),0)+IF(FF$6="X",VLOOKUP(FF$10,'[1]VK-Transport'!$C:$X,2+$B11,0))+IF(FF$8="X",VLOOKUP(FF$10,'[1]VK-Elekter'!$C:$X,2+$D11,0))+IF(FF$9="X",VLOOKUP(FF$10,'[1]VK-Biokütused'!$C:$U,2+$E11,0))+IF(FF$5="X",VLOOKUP(FF$10,'[1]VK-Põlevkivi'!$C:$X,2+$G11,0)))/16</f>
        <v>0</v>
      </c>
      <c r="FG11" s="88">
        <f ca="1">SUM(EN11,FE11,FF11)</f>
        <v>0</v>
      </c>
      <c r="FH11" s="88"/>
      <c r="FI11" s="88"/>
      <c r="FJ11" s="88">
        <f>VLOOKUP(Tulemused!$BN$12,data!M$7:N$12,2,FALSE)-SUM(L11,M11)</f>
        <v>-3.4066444444444528</v>
      </c>
      <c r="FK11" s="209" t="str">
        <f>IF(AZ11&lt;=VLOOKUP(Tulemused!$BN$15,data!$E$36:$F$39,2,FALSE),"JAH","EI")</f>
        <v>JAH</v>
      </c>
      <c r="FL11" s="235">
        <f ca="1">IF(ISNA(MATCH($A11,INDIRECT(VLOOKUP(Tulemused!$BF$11,data!$J$57:$M$71,4,FALSE)))),0,MATCH($A11,INDIRECT(VLOOKUP(Tulemused!$BF$11,data!$J$57:$M$71,4,FALSE))))</f>
        <v>0</v>
      </c>
      <c r="FM11" s="235" t="str">
        <f t="shared" ref="FM11:FM42" ca="1" si="10">IF(OR(ISNA($FL11),$FL11=$FL10,$FL11=0),"JAH","EI")</f>
        <v>JAH</v>
      </c>
      <c r="FN11" s="209">
        <f>VLOOKUP(Tulemused!$BN$13,data!$C$132:$D$137,2,FALSE)-KOMBI!R11</f>
        <v>2.9433331784169403</v>
      </c>
      <c r="FO11" s="209"/>
      <c r="FP11" s="209">
        <f>VLOOKUP(Tulemused!$BN$17,NO_x,2,FALSE)-CJ11</f>
        <v>9.23</v>
      </c>
      <c r="FQ11" s="209">
        <f>VLOOKUP(Tulemused!$BN$18,SO_2,2,FALSE)-CK11</f>
        <v>39.075456865628695</v>
      </c>
      <c r="FR11" s="209">
        <f>VLOOKUP(Tulemused!$BN$19,LOU,2,FALSE)-CN11</f>
        <v>34.054000000000002</v>
      </c>
      <c r="FS11" s="209">
        <f>VLOOKUP(Tulemused!$BN$20,PM_2.5,2,FALSE)-CM11</f>
        <v>8.36</v>
      </c>
      <c r="FT11" s="209">
        <f>VLOOKUP(Tulemused!$BN$13,data!$C$132:$D$137,2,FALSE)-FA11/1000</f>
        <v>2.7640630000000006</v>
      </c>
      <c r="FU11" s="209">
        <f>VLOOKUP(Tulemused!$BN$17,NO_x,2,FALSE)-CO11</f>
        <v>3.7743502267145423</v>
      </c>
      <c r="FV11" s="209">
        <f>VLOOKUP(Tulemused!$BN$18,SO_2,2,FALSE)-CP11</f>
        <v>38.058051415704384</v>
      </c>
      <c r="FW11" s="209">
        <f>VLOOKUP(Tulemused!$BN$19,LOU,2,FALSE)-CS11</f>
        <v>33.09384759487839</v>
      </c>
      <c r="FX11" s="209">
        <f>VLOOKUP(Tulemused!$BN$20,PM_2.5,2,FALSE)-CR11</f>
        <v>8.8042466437251949</v>
      </c>
      <c r="FY11" s="209">
        <f>VLOOKUP(Tulemused!$BN$14,KHG_2050,2,FALSE)-EF11</f>
        <v>94.042363178416934</v>
      </c>
      <c r="FZ11" s="231" t="str">
        <f ca="1">IF((FJ11&lt;0)+(FK11="EI")+(FM11="EI")+(FN11&lt;0)+(FO11&lt;0)+(FP11&lt;0)+(FQ11&lt;0)+(FR11&lt;0)+(FS11&lt;0)+(FT11&lt;0)+(FU11&lt;0)+(FV11&lt;0)+(FW11&lt;0)+(FX11&lt;0)+(FY11&lt;0),"EI","JAH")</f>
        <v>EI</v>
      </c>
      <c r="GA11" s="209"/>
      <c r="GB11" s="209"/>
      <c r="GC11" s="209"/>
      <c r="GD11" s="231"/>
      <c r="GE11" s="87">
        <f t="shared" ref="GE11:GE42" si="11">HLOOKUP($GE$10,$I$1:$GC$145,ROW(A11),FALSE)</f>
        <v>2455</v>
      </c>
      <c r="GF11" s="232" t="str">
        <f ca="1">IF(FZ11="EI","",GE11)</f>
        <v/>
      </c>
      <c r="GH11" s="238">
        <f t="shared" ref="GH11:GH42" ca="1" si="12">IF($GG$10="↓",SMALL($GF$11:$GF$145,ROW(1:1)),LARGE($GF$11:$GF$145,ROW(1:1)))</f>
        <v>462</v>
      </c>
      <c r="GI11" s="87">
        <f t="array" aca="1" ref="GI11" ca="1">INDEX($A$11:$A$145, SMALL(IF(GH11=$GF$11:$GF$145, MATCH(ROW($GF$11:$GF$145), ROW($GF$11:$GF$145))), SUM(--(GH11=$GH$11:GH11))))</f>
        <v>129</v>
      </c>
      <c r="GM11" s="209">
        <f>IF(GM$7="X",VLOOKUP(GM$10,'VK-Hooned-Soojus'!$C:$X,2+$C11,FALSE),0)+IF(GM$6="X",VLOOKUP(GM$10,'VK-Transport'!$C:$X,2+$B11,0))+IF(GM$8="X",VLOOKUP(GM$10,'VK-Elekter'!$C:$X,2+$D11,0))+IF(GM$9="X",VLOOKUP(GM$10,'VK-Biokütused'!$C:$U,2+$E11,0))+IF(GM$5="X",VLOOKUP(GM$10,'VK-Põlevkivi'!$C:$X,2+$G11,0))+IF(GM$4="X",VLOOKUP(GM$10,'VK-Võrgud'!$C:$X,2+$F11,0))</f>
        <v>6.012827991027228</v>
      </c>
      <c r="GN11" s="209">
        <f>IF(GN$7="X",VLOOKUP(GN$10,'VK-Hooned-Soojus'!$C:$X,2+$C11,FALSE),0)+IF(GN$6="X",VLOOKUP(GN$10,'VK-Transport'!$C:$X,2+$B11,0))+IF(GN$8="X",VLOOKUP(GN$10,'VK-Elekter'!$C:$X,2+$D11,0))+IF(GN$9="X",VLOOKUP(GN$10,'VK-Biokütused'!$C:$U,2+$E11,0))+IF(GN$5="X",VLOOKUP(GN$10,'VK-Põlevkivi'!$C:$X,2+$G11,0))+IF(GN$4="X",VLOOKUP(GN$10,'VK-Võrgud'!$C:$X,2+$F11,0))</f>
        <v>3.4467619395011728</v>
      </c>
      <c r="GO11" s="209">
        <f>IF(GO$7="X",VLOOKUP(GO$10,'VK-Hooned-Soojus'!$C:$X,2+$C11,FALSE),0)+IF(GO$6="X",VLOOKUP(GO$10,'VK-Transport'!$C:$X,2+$B11,0))+IF(GO$8="X",VLOOKUP(GO$10,'VK-Elekter'!$C:$X,2+$D11,0))+IF(GO$9="X",VLOOKUP(GO$10,'VK-Biokütused'!$C:$U,2+$E11,0))+IF(GO$5="X",VLOOKUP(GO$10,'VK-Põlevkivi'!$C:$X,2+$G11,0))+IF(GO$4="X",VLOOKUP(GO$10,'VK-Võrgud'!$C:$X,2+$F11,0))</f>
        <v>8.7471755658278116</v>
      </c>
      <c r="GP11" s="209">
        <f>IF(GP$7="X",VLOOKUP(GP$10,'VK-Hooned-Soojus'!$C:$X,2+$C11,FALSE),0)+IF(GP$6="X",VLOOKUP(GP$10,'VK-Transport'!$C:$X,2+$B11,0))+IF(GP$8="X",VLOOKUP(GP$10,'VK-Elekter'!$C:$X,2+$D11,0))+IF(GP$9="X",VLOOKUP(GP$10,'VK-Biokütused'!$C:$U,2+$E11,0))+IF(GP$5="X",VLOOKUP(GP$10,'VK-Põlevkivi'!$C:$X,2+$G11,0))+IF(GP$4="X",VLOOKUP(GP$10,'VK-Võrgud'!$C:$X,2+$F11,0))</f>
        <v>9.3279335818485372</v>
      </c>
      <c r="GQ11" s="88">
        <f>IF(GQ$7="X",VLOOKUP(GQ$10,'VK-Hooned-Soojus'!$C:$X,2+$C11,FALSE),0)+IF(GQ$6="X",VLOOKUP(GQ$10,'VK-Transport'!$C:$X,2+$B11,0))+IF(GQ$8="X",VLOOKUP(GQ$10,'VK-Elekter'!$C:$X,2+$D11,0))+IF(GQ$9="X",VLOOKUP(GQ$10,'VK-Biokütused'!$C:$U,2+$E11,0))+IF(GQ$5="X",VLOOKUP(GQ$10,'VK-Põlevkivi'!$C:$X,2+$G11,0))+IF(GQ$4="X",VLOOKUP(GQ$10,'VK-Võrgud'!$C:$X,2+$F11,0))</f>
        <v>0.9682855968523334</v>
      </c>
      <c r="GR11" s="186">
        <f>SUM(GN11,GP11,GQ11)/SUM(L11,M11)</f>
        <v>0.37922714679774455</v>
      </c>
    </row>
    <row r="12" spans="1:200" x14ac:dyDescent="0.2">
      <c r="A12" s="184">
        <v>2</v>
      </c>
      <c r="B12" s="87">
        <v>1</v>
      </c>
      <c r="C12" s="87">
        <v>1</v>
      </c>
      <c r="D12" s="87">
        <v>1</v>
      </c>
      <c r="E12" s="87">
        <v>2</v>
      </c>
      <c r="F12" s="87">
        <f>VLOOKUP(Tulemused!$BF$7,data!$J$6:$K$8,2,FALSE)</f>
        <v>2</v>
      </c>
      <c r="G12" s="87">
        <f>VLOOKUP(data!$H$2,data!$J$12:$K$14,2,FALSE)</f>
        <v>2</v>
      </c>
      <c r="I12" s="209">
        <f>IF(I$7="X",VLOOKUP(I$10,'VK-Hooned-Soojus'!$C:$X,2+$C12,FALSE),0)+IF(I$6="X",VLOOKUP(I$10,'VK-Transport'!$C:$X,2+$B12,0))+IF(I$8="X",VLOOKUP(I$10,'VK-Elekter'!$C:$X,2+$D12,0))+IF(I$9="X",VLOOKUP(I$10,'VK-Biokütused'!$C:$U,2+$E12,0))+IF(I$5="X",VLOOKUP(I$10,'VK-Põlevkivi'!$C:$X,2+$G12,0))+IF(I$4="X",VLOOKUP(I$10,'VK-Võrgud'!$C:$X,2+$F12,0))</f>
        <v>26.89</v>
      </c>
      <c r="J12" s="209">
        <f>IF(J$7="X",VLOOKUP(J$10,'VK-Hooned-Soojus'!$C:$X,2+$C12,FALSE),0)+IF(J$6="X",VLOOKUP(J$10,'VK-Transport'!$C:$X,2+$B12,0))+IF(J$8="X",VLOOKUP(J$10,'VK-Elekter'!$C:$X,2+$D12,0))+IF(J$9="X",VLOOKUP(J$10,'VK-Biokütused'!$C:$U,2+$E12,0))+IF(J$5="X",VLOOKUP(J$10,'VK-Põlevkivi'!$C:$X,2+$G12,0))+IF(J$4="X",VLOOKUP(J$10,'VK-Võrgud'!$C:$X,2+$F12,0))</f>
        <v>13.295833333333334</v>
      </c>
      <c r="K12" s="209">
        <f>IF(K$7="X",VLOOKUP(K$10,'VK-Hooned-Soojus'!$C:$X,2+$C12,FALSE),0)+IF(K$6="X",VLOOKUP(K$10,'VK-Transport'!$C:$X,2+$B12,0))+IF(K$8="X",VLOOKUP(K$10,'VK-Elekter'!$C:$X,2+$D12,0))+IF(K$9="X",VLOOKUP(K$10,'VK-Biokütused'!$C:$U,2+$E12,0))+IF(K$5="X",VLOOKUP(K$10,'VK-Põlevkivi'!$C:$X,2+$G12,0))+IF(K$4="X",VLOOKUP(K$10,'VK-Võrgud'!$C:$X,2+$F12,0))</f>
        <v>16.75</v>
      </c>
      <c r="L12" s="209">
        <f>IF(L$7="X",VLOOKUP(L$10,'VK-Hooned-Soojus'!$C:$X,2+$C12,FALSE),0)+IF(L$6="X",VLOOKUP(L$10,'VK-Transport'!$C:$X,2+$B12,0))+IF(L$8="X",VLOOKUP(L$10,'VK-Elekter'!$C:$X,2+$D12,0))+IF(L$9="X",VLOOKUP(L$10,'VK-Biokütused'!$C:$U,2+$E12,0))+IF(L$5="X",VLOOKUP(L$10,'VK-Põlevkivi'!$C:$X,2+$G12,0))+IF(L$4="X",VLOOKUP(L$10,'VK-Võrgud'!$C:$X,2+$F12,0))</f>
        <v>24.95</v>
      </c>
      <c r="M12" s="209">
        <f>IF(M$7="X",VLOOKUP(M$10,'VK-Hooned-Soojus'!$C:$X,2+$C12,FALSE),0)+IF(M$6="X",VLOOKUP(M$10,'VK-Transport'!$C:$X,2+$B12,0))+IF(M$8="X",VLOOKUP(M$10,'VK-Elekter'!$C:$X,2+$D12,0))+IF(M$9="X",VLOOKUP(M$10,'VK-Biokütused'!$C:$U,2+$E12,0))+IF(M$5="X",VLOOKUP(M$10,'VK-Põlevkivi'!$C:$X,2+$G12,0))+IF(M$4="X",VLOOKUP(M$10,'VK-Võrgud'!$C:$X,2+$F12,0))</f>
        <v>11.289444444444445</v>
      </c>
      <c r="N12" s="209">
        <f>IF(N$7="X",VLOOKUP(N$10,'VK-Hooned-Soojus'!$C:$X,2+$C12,FALSE),0)+IF(N$6="X",VLOOKUP(N$10,'VK-Transport'!$C:$X,2+$B12,0))+IF(N$8="X",VLOOKUP(N$10,'VK-Elekter'!$C:$X,2+$D12,0))+IF(N$9="X",VLOOKUP(N$10,'VK-Biokütused'!$C:$U,2+$E12,0))+IF(N$5="X",VLOOKUP(N$10,'VK-Põlevkivi'!$C:$X,2+$G12,0))+IF(N$4="X",VLOOKUP(N$10,'VK-Võrgud'!$C:$X,2+$F12,0))</f>
        <v>16.75</v>
      </c>
      <c r="O12" s="209">
        <f t="shared" ref="O12:O75" si="13">SUM(I12:J12)</f>
        <v>40.185833333333335</v>
      </c>
      <c r="P12" s="209"/>
      <c r="Q12" s="209">
        <f>(IF(Q$7="X",VLOOKUP(Q$10,'VK-Hooned-Soojus'!$C:$X,2+$C12,FALSE),0)+IF(Q$6="X",VLOOKUP(Q$10,'VK-Transport'!$C:$X,2+$B12,0))+IF(Q$8="X",VLOOKUP(Q$10,'VK-Elekter'!$C:$X,2+$D12,0))+IF(Q$9="X",VLOOKUP(Q$10,'VK-Biokütused'!$C:$U,2+$E12,0))+IF(Q$5="X",VLOOKUP(Q$10,'VK-Põlevkivi'!$C:$X,2+$G12,0))+IF(Q$4="X",VLOOKUP(Q$10,'VK-Võrgud'!$C:$X,2+$F12,0)))/1000</f>
        <v>5.3310000000000004</v>
      </c>
      <c r="R12" s="209">
        <f>(IF(R$7="X",VLOOKUP(R$10,'VK-Hooned-Soojus'!$C:$X,2+$C12,FALSE),0)+IF(R$6="X",VLOOKUP(R$10,'VK-Transport'!$C:$X,2+$B12,0))+IF(R$8="X",VLOOKUP(R$10,'VK-Elekter'!$C:$X,2+$D12,0))+IF(R$9="X",VLOOKUP(R$10,'VK-Biokütused'!$C:$U,2+$E12,0))+IF(R$5="X",VLOOKUP(R$10,'VK-Põlevkivi'!$C:$X,2+$G12,0))+IF(R$4="X",VLOOKUP(R$10,'VK-Võrgud'!$C:$X,2+$F12,0)))/1000</f>
        <v>3.6801368215830603</v>
      </c>
      <c r="S12" s="226">
        <f>VLOOKUP(S$10,'VK-Hooned-Soojus'!$C:$I,2+$C12,FALSE) + VLOOKUP(S$10,'VK-Transport'!$C:$I,2+$B12,FALSE)+ VLOOKUP(S$10,'VK-Biokütused'!$C:$G,2+$E12,FALSE)+ VLOOKUP(S$10,'VK-Elekter'!$C:$I,2+$D12,FALSE)+ VLOOKUP(S$10,'VK-Põlevkivi'!$C:$I,2+$G12,FALSE)+ VLOOKUP(S$10,'VK-Võrgud'!$C:$I,2+$F12,FALSE)</f>
        <v>7.9594787268030369E-3</v>
      </c>
      <c r="T12" s="226">
        <f>VLOOKUP(T$10,'VK-Hooned-Soojus'!$C:$I,2+$C12,FALSE) + VLOOKUP(T$10,'VK-Transport'!$C:$I,2+$B12,FALSE)+ VLOOKUP(T$10,'VK-Biokütused'!$C:$G,2+$E12,FALSE)+ VLOOKUP(T$10,'VK-Elekter'!$C:$I,2+$D12,FALSE)+ VLOOKUP(T$10,'VK-Põlevkivi'!$C:$I,2+$G12,FALSE)+ VLOOKUP(T$10,'VK-Võrgud'!$C:$I,2+$F12,FALSE)</f>
        <v>-5.1383190362297819E-3</v>
      </c>
      <c r="U12" s="226">
        <f>VLOOKUP(U$10,'VK-Hooned-Soojus'!$C:$I,2+$C12,FALSE) + VLOOKUP(U$10,'VK-Transport'!$C:$I,2+$B12,FALSE)+ VLOOKUP(U$10,'VK-Biokütused'!$C:$G,2+$E12,FALSE)+ VLOOKUP(U$10,'VK-Elekter'!$C:$I,2+$D12,FALSE)+ VLOOKUP(U$10,'VK-Põlevkivi'!$C:$I,2+$G12,FALSE)+ VLOOKUP(U$10,'VK-Võrgud'!$C:$I,2+$F12,FALSE)</f>
        <v>2.5581680953431218E-3</v>
      </c>
      <c r="V12" s="226">
        <f>VLOOKUP(V$10,'VK-Hooned-Soojus'!$C:$I,2+$C12,FALSE) + VLOOKUP(V$10,'VK-Transport'!$C:$I,2+$B12,FALSE)+ VLOOKUP(V$10,'VK-Biokütused'!$C:$G,2+$E12,FALSE)+ VLOOKUP(V$10,'VK-Elekter'!$C:$I,2+$D12,FALSE)+ VLOOKUP(V$10,'VK-Põlevkivi'!$C:$I,2+$G12,FALSE)+ VLOOKUP(V$10,'VK-Võrgud'!$C:$I,2+$F12,FALSE)</f>
        <v>5.4398260676771903E-3</v>
      </c>
      <c r="W12" s="226">
        <f>VLOOKUP(W$10,'VK-Hooned-Soojus'!$C:$I,2+$C12,FALSE) + VLOOKUP(W$10,'VK-Transport'!$C:$I,2+$B12,FALSE)+ VLOOKUP(W$10,'VK-Biokütused'!$C:$G,2+$E12,FALSE)+ VLOOKUP(W$10,'VK-Elekter'!$C:$I,2+$D12,FALSE)+ VLOOKUP(W$10,'VK-Põlevkivi'!$C:$I,2+$G12,FALSE)+ VLOOKUP(W$10,'VK-Võrgud'!$C:$I,2+$F12,FALSE)</f>
        <v>4.2337990112647217E-3</v>
      </c>
      <c r="X12" s="226">
        <f>VLOOKUP(X$10,'VK-Hooned-Soojus'!$C:$I,2+$C12,FALSE) + VLOOKUP(X$10,'VK-Transport'!$C:$I,2+$B12,FALSE)+ VLOOKUP(X$10,'VK-Biokütused'!$C:$G,2+$E12,FALSE)+ VLOOKUP(X$10,'VK-Elekter'!$C:$I,2+$D12,FALSE)+ VLOOKUP(X$10,'VK-Põlevkivi'!$C:$I,2+$G12,FALSE)+ VLOOKUP(X$10,'VK-Võrgud'!$C:$I,2+$F12,FALSE)</f>
        <v>1.3336122196355611E-3</v>
      </c>
      <c r="Y12" s="226">
        <f>VLOOKUP(Y$10,'VK-Hooned-Soojus'!$C:$I,2+$C12,FALSE) + VLOOKUP(Y$10,'VK-Transport'!$C:$I,2+$B12,FALSE)+ VLOOKUP(Y$10,'VK-Biokütused'!$C:$G,2+$E12,FALSE)+ VLOOKUP(Y$10,'VK-Elekter'!$C:$I,2+$D12,FALSE)+ VLOOKUP(Y$10,'VK-Põlevkivi'!$C:$I,2+$G12,FALSE)+ VLOOKUP(Y$10,'VK-Võrgud'!$C:$I,2+$F12,FALSE)</f>
        <v>1.0989627993939581E-3</v>
      </c>
      <c r="Z12" s="227">
        <f>(S12*Tulemused!$Q$9*10+T12*Tulemused!$Q$10*10+KOMBI!U12*Tulemused!$Q$11*10+KOMBI!V12*Tulemused!$Q$12*10)*Tulemused!$Q$8+-(W12*Tulemused!$Q$14*10+KOMBI!X12*Tulemused!$Q$15*10+KOMBI!Y12*Tulemused!$Q$16*10)*Tulemused!$Q$13</f>
        <v>0.97485681775238653</v>
      </c>
      <c r="AA12" s="228">
        <f>(IF(AA$7="X",VLOOKUP(AA$10,'VK-Hooned-Soojus'!$C:$X,2+$C12,FALSE),0)+IF(AA$6="X",VLOOKUP(AA$10,'VK-Transport'!$C:$X,2+$B12,0))+IF(AA$8="X",VLOOKUP(AA$10,'VK-Elekter'!$C:$X,2+$D12,0))+IF(AA$9="X",VLOOKUP(AA$10,'VK-Biokütused'!$C:$U,2+$E12,0))+IF(AA$5="X",VLOOKUP(AA$10,'VK-Põlevkivi'!$C:$X,2+$G12,0))+IF(AA$4="X",VLOOKUP(AA$10,'VK-Võrgud'!$C:$X,2+$F12,0)))</f>
        <v>3729</v>
      </c>
      <c r="AB12" s="228">
        <f>(IF(AB$7="X",VLOOKUP(AB$10,'VK-Hooned-Soojus'!$C:$X,2+$C12,FALSE),0)+IF(AB$6="X",VLOOKUP(AB$10,'VK-Transport'!$C:$X,2+$B12,0))+IF(AB$8="X",VLOOKUP(AB$10,'VK-Elekter'!$C:$X,2+$D12,0))+IF(AB$9="X",VLOOKUP(AB$10,'VK-Biokütused'!$C:$U,2+$E12,0))+IF(AB$5="X",VLOOKUP(AB$10,'VK-Põlevkivi'!$C:$X,2+$G12,0))+IF(AB$4="X",VLOOKUP(AB$10,'VK-Võrgud'!$C:$X,2+$F12,0)))</f>
        <v>1602</v>
      </c>
      <c r="AC12" s="228">
        <f>(IF(AC$7="X",VLOOKUP(AC$10,'VK-Hooned-Soojus'!$C:$X,2+$C12,FALSE),0)+IF(AC$6="X",VLOOKUP(AC$10,'VK-Transport'!$C:$X,2+$B12,0))+IF(AC$8="X",VLOOKUP(AC$10,'VK-Elekter'!$C:$X,2+$D12,0))+IF(AC$9="X",VLOOKUP(AC$10,'VK-Biokütused'!$C:$U,2+$E12,0))+IF(AC$5="X",VLOOKUP(AC$10,'VK-Põlevkivi'!$C:$X,2+$G12,0))+IF(AC$4="X",VLOOKUP(AC$10,'VK-Võrgud'!$C:$X,2+$F12,0)))</f>
        <v>2346</v>
      </c>
      <c r="AD12" s="228">
        <f>(IF(AD$7="X",VLOOKUP(AD$10,'VK-Hooned-Soojus'!$C:$X,2+$C12,FALSE),0)+IF(AD$6="X",VLOOKUP(AD$10,'VK-Transport'!$C:$X,2+$B12,0))+IF(AD$8="X",VLOOKUP(AD$10,'VK-Elekter'!$C:$X,2+$D12,0))+IF(AD$9="X",VLOOKUP(AD$10,'VK-Biokütused'!$C:$U,2+$E12,0))+IF(AD$5="X",VLOOKUP(AD$10,'VK-Põlevkivi'!$C:$X,2+$G12,0))+IF(AD$4="X",VLOOKUP(AD$10,'VK-Võrgud'!$C:$X,2+$F12,0)))</f>
        <v>377.5</v>
      </c>
      <c r="AE12" s="228">
        <f>(IF(AE$7="X",VLOOKUP(AE$10,'VK-Hooned-Soojus'!$C:$X,2+$C12,FALSE),0)+IF(AE$6="X",VLOOKUP(AE$10,'VK-Transport'!$C:$X,2+$B12,0))+IF(AE$8="X",VLOOKUP(AE$10,'VK-Elekter'!$C:$X,2+$D12,0))+IF(AE$9="X",VLOOKUP(AE$10,'VK-Biokütused'!$C:$U,2+$E12,0))+IF(AE$5="X",VLOOKUP(AE$10,'VK-Põlevkivi'!$C:$X,2+$G12,0))+IF(AE$4="X",VLOOKUP(AE$10,'VK-Võrgud'!$C:$X,2+$F12,0)))</f>
        <v>812</v>
      </c>
      <c r="AF12" s="228">
        <f>(IF(AF$7="X",VLOOKUP(AF$10,'VK-Hooned-Soojus'!$C:$X,2+$C12,FALSE),0)+IF(AF$6="X",VLOOKUP(AF$10,'VK-Transport'!$C:$X,2+$B12,0))+IF(AF$8="X",VLOOKUP(AF$10,'VK-Elekter'!$C:$X,2+$D12,0))+IF(AF$9="X",VLOOKUP(AF$10,'VK-Biokütused'!$C:$U,2+$E12,0))+IF(AF$5="X",VLOOKUP(AF$10,'VK-Põlevkivi'!$C:$X,2+$G12,0))+IF(AF$4="X",VLOOKUP(AF$10,'VK-Võrgud'!$C:$X,2+$F12,0)))</f>
        <v>2490.6368215830603</v>
      </c>
      <c r="AG12" s="209"/>
      <c r="AH12" s="209">
        <f>IF(AH$7="X",VLOOKUP(AH$10,'VK-Hooned-Soojus'!$C:$X,2+$C12,FALSE),0)+IF(AH$6="X",VLOOKUP(AH$10,'VK-Transport'!$C:$X,2+$B12,0))+IF(AH$8="X",VLOOKUP(AH$10,'VK-Elekter'!$C:$X,2+$D12,0))+IF(AH$9="X",VLOOKUP(AH$10,'VK-Biokütused'!$C:$U,2+$E12,0))+IF(AH$5="X",VLOOKUP(AH$10,'VK-Põlevkivi'!$C:$X,2+$G12,0))+IF(AH$4="X",VLOOKUP(AH$10,'VK-Võrgud'!$C:$X,2+$F12,0))</f>
        <v>11.629999999999999</v>
      </c>
      <c r="AI12" s="209">
        <f>IF(AI$7="X",VLOOKUP(AI$10,'VK-Hooned-Soojus'!$C:$X,2+$C12,FALSE),0)+IF(AI$6="X",VLOOKUP(AI$10,'VK-Transport'!$C:$X,2+$B12,0))+IF(AI$8="X",VLOOKUP(AI$10,'VK-Elekter'!$C:$X,2+$D12,0))+IF(AI$9="X",VLOOKUP(AI$10,'VK-Biokütused'!$C:$U,2+$E12,0))+IF(AI$5="X",VLOOKUP(AI$10,'VK-Põlevkivi'!$C:$X,2+$G12,0))+IF(AI$4="X",VLOOKUP(AI$10,'VK-Võrgud'!$C:$X,2+$F12,0))</f>
        <v>2.3100000000000005</v>
      </c>
      <c r="AJ12" s="209">
        <f>IF(AJ$7="X",VLOOKUP(AJ$10,'VK-Hooned-Soojus'!$C:$X,2+$C12,FALSE),0)+IF(AJ$6="X",VLOOKUP(AJ$10,'VK-Transport'!$C:$X,2+$B12,0))+IF(AJ$8="X",VLOOKUP(AJ$10,'VK-Elekter'!$C:$X,2+$D12,0))+IF(AJ$9="X",VLOOKUP(AJ$10,'VK-Biokütused'!$C:$U,2+$E12,0))+IF(AJ$5="X",VLOOKUP(AJ$10,'VK-Põlevkivi'!$C:$X,2+$G12,0))+IF(AJ$4="X",VLOOKUP(AJ$10,'VK-Võrgud'!$C:$X,2+$F12,0))</f>
        <v>9.24</v>
      </c>
      <c r="AK12" s="209">
        <f>IF(AK$7="X",VLOOKUP(AK$10,'VK-Hooned-Soojus'!$C:$X,2+$C12,FALSE),0)+IF(AK$6="X",VLOOKUP(AK$10,'VK-Transport'!$C:$X,2+$B12,0))+IF(AK$8="X",VLOOKUP(AK$10,'VK-Elekter'!$C:$X,2+$D12,0))+IF(AK$9="X",VLOOKUP(AK$10,'VK-Biokütused'!$C:$U,2+$E12,0))+IF(AK$5="X",VLOOKUP(AK$10,'VK-Põlevkivi'!$C:$X,2+$G12,0))+IF(AK$4="X",VLOOKUP(AK$10,'VK-Võrgud'!$C:$X,2+$F12,0))</f>
        <v>2.78</v>
      </c>
      <c r="AL12" s="209">
        <f>IF(AL$7="X",VLOOKUP(AL$10,'VK-Hooned-Soojus'!$C:$X,2+$C12,FALSE),0)+IF(AL$6="X",VLOOKUP(AL$10,'VK-Transport'!$C:$X,2+$B12,0))+IF(AL$8="X",VLOOKUP(AL$10,'VK-Elekter'!$C:$X,2+$D12,0))+IF(AL$9="X",VLOOKUP(AL$10,'VK-Biokütused'!$C:$U,2+$E12,0))+IF(AL$5="X",VLOOKUP(AL$10,'VK-Põlevkivi'!$C:$X,2+$G12,0))+IF(AL$4="X",VLOOKUP(AL$10,'VK-Võrgud'!$C:$X,2+$F12,0))</f>
        <v>7.1999999999999993</v>
      </c>
      <c r="AM12" s="209">
        <f>IF(AM$7="X",VLOOKUP(AM$10,'VK-Hooned-Soojus'!$C:$X,2+$C12,FALSE),0)+IF(AM$6="X",VLOOKUP(AM$10,'VK-Transport'!$C:$X,2+$B12,0))+IF(AM$8="X",VLOOKUP(AM$10,'VK-Elekter'!$C:$X,2+$D12,0))+IF(AM$9="X",VLOOKUP(AM$10,'VK-Biokütused'!$C:$U,2+$E12,0))+IF(AM$5="X",VLOOKUP(AM$10,'VK-Põlevkivi'!$C:$X,2+$G12,0))+IF(AM$4="X",VLOOKUP(AM$10,'VK-Võrgud'!$C:$X,2+$F12,0))</f>
        <v>12.9</v>
      </c>
      <c r="AN12" s="209">
        <f>IF(AN$7="X",VLOOKUP(AN$10,'VK-Hooned-Soojus'!$C:$X,2+$C12,FALSE),0)+IF(AN$6="X",VLOOKUP(AN$10,'VK-Transport'!$C:$X,2+$B12,0))+IF(AN$8="X",VLOOKUP(AN$10,'VK-Elekter'!$C:$X,2+$D12,0))+IF(AN$9="X",VLOOKUP(AN$10,'VK-Biokütused'!$C:$U,2+$E12,0))+IF(AN$5="X",VLOOKUP(AN$10,'VK-Põlevkivi'!$C:$X,2+$G12,0))+IF(AN$4="X",VLOOKUP(AN$10,'VK-Võrgud'!$C:$X,2+$F12,0))</f>
        <v>5.6999999999999993</v>
      </c>
      <c r="AO12" s="209">
        <f>IF(AO$7="X",VLOOKUP(AO$10,'VK-Hooned-Soojus'!$C:$X,2+$C12,FALSE),0)+IF(AO$6="X",VLOOKUP(AO$10,'VK-Transport'!$C:$X,2+$B12,0))+IF(AO$8="X",VLOOKUP(AO$10,'VK-Elekter'!$C:$X,2+$D12,0))+IF(AO$9="X",VLOOKUP(AO$10,'VK-Biokütused'!$C:$U,2+$E12,0))+IF(AO$5="X",VLOOKUP(AO$10,'VK-Põlevkivi'!$C:$X,2+$G12,0))+IF(AO$4="X",VLOOKUP(AO$10,'VK-Võrgud'!$C:$X,2+$F12,0))</f>
        <v>13.56</v>
      </c>
      <c r="AP12" s="209">
        <f>IF(AP$7="X",VLOOKUP(AP$10,'VK-Hooned-Soojus'!$C:$X,2+$C12,FALSE),0)+IF(AP$6="X",VLOOKUP(AP$10,'VK-Transport'!$C:$X,2+$B12,0))+IF(AP$8="X",VLOOKUP(AP$10,'VK-Elekter'!$C:$X,2+$D12,0))+IF(AP$9="X",VLOOKUP(AP$10,'VK-Biokütused'!$C:$U,2+$E12,0))+IF(AP$5="X",VLOOKUP(AP$10,'VK-Põlevkivi'!$C:$X,2+$G12,0))+IF(AP$4="X",VLOOKUP(AP$10,'VK-Võrgud'!$C:$X,2+$F12,0))</f>
        <v>6.78</v>
      </c>
      <c r="AQ12" s="320">
        <f t="shared" ref="AQ12:AQ75" si="14">IF(12.3-AO12&gt;0,0,ABS(12.3-AO12))</f>
        <v>1.2599999999999998</v>
      </c>
      <c r="AR12" s="209">
        <f>IF(AR$7="X",VLOOKUP(AR$10,'VK-Hooned-Soojus'!$C:$X,2+$C12,FALSE),0)+IF(AR$6="X",VLOOKUP(AR$10,'VK-Transport'!$C:$X,2+$B12,0))+IF(AR$8="X",VLOOKUP(AR$10,'VK-Elekter'!$C:$X,2+$D12,0))+IF(AR$9="X",VLOOKUP(AR$10,'VK-Biokütused'!$C:$U,2+$E12,0))+IF(AR$5="X",VLOOKUP(AR$10,'VK-Põlevkivi'!$C:$X,2+$G12,0))+IF(AR$4="X",VLOOKUP(AR$10,'VK-Võrgud'!$C:$X,2+$F12,0))</f>
        <v>3.4899999999999998</v>
      </c>
      <c r="AS12" s="320">
        <f>VLOOKUP("Kütuste tarbimine @ 2030 - UTTEGAAS",'VK-Hooned-Soojus'!$C:$X,2+$C12,FALSE)/0.172+VLOOKUP("Kütuste tarbimine @ 2030 - UTTEGAAS",'VK-Elekter'!$C:$X,2+$D12,FALSE)/0.172-AR12-AU12</f>
        <v>2.7565116279069759</v>
      </c>
      <c r="AT12" s="209">
        <f>IF(AT$7="X",VLOOKUP(AT$10,'VK-Hooned-Soojus'!$C:$X,2+$C12,FALSE),0)+IF(AT$6="X",VLOOKUP(AT$10,'VK-Transport'!$C:$X,2+$B12,0))+IF(AT$8="X",VLOOKUP(AT$10,'VK-Elekter'!$C:$X,2+$D12,0))+IF(AT$9="X",VLOOKUP(AT$10,'VK-Biokütused'!$C:$U,2+$E12,0))+IF(AT$5="X",VLOOKUP(AT$10,'VK-Põlevkivi'!$C:$X,2+$G12,0))+IF(AT$4="X",VLOOKUP(AT$10,'VK-Võrgud'!$C:$X,2+$F12,0))</f>
        <v>12.004929222526066</v>
      </c>
      <c r="AU12" s="229">
        <f>MAX(0,(VLOOKUP("Kütuste tarbimine @ 2030 - UTTEGAAS",'VK-Hooned-Soojus'!$C:$X,2+$C12,FALSE)/0.172+VLOOKUP("Kütuste tarbimine @ 2030 - UTTEGAAS",'VK-Elekter'!$C:$X,2+$D12,FALSE)/0.172)*0.52-VLOOKUP("Kütuste tarbimine @ 2030 - PÕLEVKIVIÕLI",'VK-Hooned-Soojus'!$C:$X,2+$C12,FALSE))</f>
        <v>4.6837209302325586</v>
      </c>
      <c r="AV12" s="209">
        <f>IF(AV$7="X",VLOOKUP(AV$10,'VK-Hooned-Soojus'!$C:$X,2+$C12,FALSE),0)+IF(AV$6="X",VLOOKUP(AV$10,'VK-Transport'!$C:$X,2+$B12,0))+IF(AV$8="X",VLOOKUP(AV$10,'VK-Elekter'!$C:$X,2+$D12,0))+IF(AV$9="X",VLOOKUP(AV$10,'VK-Biokütused'!$C:$U,2+$E12,0))+IF(AV$5="X",VLOOKUP(AV$10,'VK-Põlevkivi'!$C:$X,2+$G12,0))+IF(AV$4="X",VLOOKUP(AV$10,'VK-Võrgud'!$C:$X,2+$F12,0))</f>
        <v>1.1831224847375093</v>
      </c>
      <c r="AW12" s="209">
        <f>IF(AW$7="X",VLOOKUP(AW$10,'VK-Hooned-Soojus'!$C:$X,2+$C12,FALSE),0)+IF(AW$6="X",VLOOKUP(AW$10,'VK-Transport'!$C:$X,2+$B12,0))+IF(AW$8="X",VLOOKUP(AW$10,'VK-Elekter'!$C:$X,2+$D12,0))+IF(AW$9="X",VLOOKUP(AW$10,'VK-Biokütused'!$C:$U,2+$E12,0))+IF(AW$5="X",VLOOKUP(AW$10,'VK-Põlevkivi'!$C:$X,2+$G12,0))+IF(AW$4="X",VLOOKUP(AW$10,'VK-Võrgud'!$C:$X,2+$F12,0))</f>
        <v>2.141</v>
      </c>
      <c r="AX12" s="229">
        <f>MAX(0,AW12-AV12)</f>
        <v>0.95787751526249076</v>
      </c>
      <c r="AY12" s="229">
        <f t="shared" ref="AY12:AY75" si="15">MAX(0,AV12-AW12)</f>
        <v>0</v>
      </c>
      <c r="AZ12" s="230">
        <f t="shared" si="0"/>
        <v>0.58722985663449845</v>
      </c>
      <c r="BA12" s="209">
        <f>IF(BA$7="X",VLOOKUP(BA$10,'VK-Hooned-Soojus'!$C:$X,2+$C12,FALSE),0)+IF(BA$6="X",VLOOKUP(BA$10,'VK-Transport'!$C:$X,2+$B12,0))+IF(BA$8="X",VLOOKUP(BA$10,'VK-Elekter'!$C:$X,2+$D12,0))+IF(BA$9="X",VLOOKUP(BA$10,'VK-Biokütused'!$C:$U,2+$E12,0))+IF(BA$5="X",VLOOKUP(BA$10,'VK-Põlevkivi'!$C:$X,2+$G12,0))+IF(BA$4="X",VLOOKUP(BA$10,'VK-Võrgud'!$C:$X,2+$F12,0))</f>
        <v>4.25</v>
      </c>
      <c r="BB12" s="209">
        <f>IF(BB$7="X",VLOOKUP(BB$10,'VK-Hooned-Soojus'!$C:$X,2+$C12,FALSE),0)+IF(BB$6="X",VLOOKUP(BB$10,'VK-Transport'!$C:$X,2+$B12,0))+IF(BB$8="X",VLOOKUP(BB$10,'VK-Elekter'!$C:$X,2+$D12,0))+IF(BB$9="X",VLOOKUP(BB$10,'VK-Biokütused'!$C:$U,2+$E12,0))+IF(BB$5="X",VLOOKUP(BB$10,'VK-Põlevkivi'!$C:$X,2+$G12,0))+IF(BB$4="X",VLOOKUP(BB$10,'VK-Võrgud'!$C:$X,2+$F12,0))</f>
        <v>2.93</v>
      </c>
      <c r="BC12" s="209">
        <f>IF(BC$7="X",VLOOKUP(BC$10,'VK-Hooned-Soojus'!$C:$X,2+$C12,FALSE),0)+IF(BC$6="X",VLOOKUP(BC$10,'VK-Transport'!$C:$X,2+$B12,0))+IF(BC$8="X",VLOOKUP(BC$10,'VK-Elekter'!$C:$X,2+$D12,0))+IF(BC$9="X",VLOOKUP(BC$10,'VK-Biokütused'!$C:$U,2+$E12,0))+IF(BC$5="X",VLOOKUP(BC$10,'VK-Põlevkivi'!$C:$X,2+$G12,0))+IF(BC$4="X",VLOOKUP(BC$10,'VK-Võrgud'!$C:$X,2+$F12,0))</f>
        <v>8.0523611111111126</v>
      </c>
      <c r="BD12" s="209">
        <f>IF(BD$7="X",VLOOKUP(BD$10,'VK-Hooned-Soojus'!$C:$X,2+$C12,FALSE),0)+IF(BD$6="X",VLOOKUP(BD$10,'VK-Transport'!$C:$X,2+$B12,0))+IF(BD$8="X",VLOOKUP(BD$10,'VK-Elekter'!$C:$X,2+$D12,0))+IF(BD$9="X",VLOOKUP(BD$10,'VK-Biokütused'!$C:$U,2+$E12,0))+IF(BD$5="X",VLOOKUP(BD$10,'VK-Põlevkivi'!$C:$X,2+$G12,0))+IF(BD$4="X",VLOOKUP(BD$10,'VK-Võrgud'!$C:$X,2+$F12,0))</f>
        <v>10.42138888888889</v>
      </c>
      <c r="BE12" s="230"/>
      <c r="BF12" s="229">
        <f t="shared" ref="BF12:BF75" si="16">SUM(AI12,AM12,AV12)/EI12</f>
        <v>0.31068429743275605</v>
      </c>
      <c r="BG12" s="209" t="e">
        <f>(IF(BG$7="X",VLOOKUP(BG$10,'VK-Hooned-Soojus'!$C:$X,2+$C12,FALSE),0)+IF(BG$6="X",VLOOKUP(BG$10,'VK-Transport'!$C:$X,2+$B12,0))+IF(BG$8="X",VLOOKUP(BG$10,'VK-Elekter'!$C:$X,2+$D12,0))+IF(BG$9="X",VLOOKUP(BG$10,'VK-Biokütused'!$C:$U,2+$E12,0))+IF(BG$5="X",VLOOKUP(BG$10,'VK-Põlevkivi'!$C:$X,2+$G12,0))+IF(BG$4="X",VLOOKUP(BG$10,'VK-Võrgud'!$C:$X,2+$F12,0)))/20</f>
        <v>#N/A</v>
      </c>
      <c r="BH12" s="209">
        <f>(IF(BH$7="X",VLOOKUP(BH$10,'VK-Hooned-Soojus'!$C:$X,2+$C12,FALSE),0)+IF(BH$6="X",VLOOKUP(BH$10,'VK-Transport'!$C:$X,2+$B12,0))+IF(BH$8="X",VLOOKUP(BH$10,'VK-Elekter'!$C:$X,2+$D12,0))+IF(BH$9="X",VLOOKUP(BH$10,'VK-Biokütused'!$C:$U,2+$E12,0))+IF(BH$5="X",VLOOKUP(BH$10,'VK-Põlevkivi'!$C:$X,2+$G12,0))+IF(BH$4="X",VLOOKUP(BH$10,'VK-Võrgud'!$C:$X,2+$F12,0)))/20</f>
        <v>13.99</v>
      </c>
      <c r="BI12" s="209">
        <f>(IF(BI$7="X",VLOOKUP(BI$10,'VK-Hooned-Soojus'!$C:$X,2+$C12,FALSE),0)+IF(BI$6="X",VLOOKUP(BI$10,'VK-Transport'!$C:$X,2+$B12,0))+IF(BI$8="X",VLOOKUP(BI$10,'VK-Elekter'!$C:$X,2+$D12,0))+IF(BI$9="X",VLOOKUP(BI$10,'VK-Biokütused'!$C:$U,2+$E12,0))+IF(BI$5="X",VLOOKUP(BI$10,'VK-Põlevkivi'!$C:$X,2+$G12,0))+IF(BI$4="X",VLOOKUP(BI$10,'VK-Võrgud'!$C:$X,2+$F12,0)))/16</f>
        <v>17.75</v>
      </c>
      <c r="BJ12" s="209">
        <f>(IF(BJ$7="X",VLOOKUP(BJ$10,'VK-Hooned-Soojus'!$C:$X,2+$C12,FALSE),0)+IF(BJ$6="X",VLOOKUP(BJ$10,'VK-Transport'!$C:$X,2+$B12,0))+IF(BJ$8="X",VLOOKUP(BJ$10,'VK-Elekter'!$C:$X,2+$D12,0))+IF(BJ$9="X",VLOOKUP(BJ$10,'VK-Biokütused'!$C:$U,2+$E12,0))+IF(BJ$5="X",VLOOKUP(BJ$10,'VK-Põlevkivi'!$C:$X,2+$G12,0))+IF(BJ$4="X",VLOOKUP(BJ$10,'VK-Võrgud'!$C:$X,2+$F12,0)))/20</f>
        <v>1.85</v>
      </c>
      <c r="BK12" s="209"/>
      <c r="BL12" s="209"/>
      <c r="BM12" s="209"/>
      <c r="BN12" s="209" t="e">
        <f>(IF(BN$7="X",VLOOKUP(BN$10,'VK-Hooned-Soojus'!$C:$X,2+$C12,FALSE),0)+IF(BN$6="X",VLOOKUP(BN$10,'VK-Transport'!$C:$X,2+$B12,0))+IF(BN$8="X",VLOOKUP(BN$10,'VK-Elekter'!$C:$X,2+$D12,0))+IF(BN$9="X",VLOOKUP(BN$10,'VK-Biokütused'!$C:$U,2+$E12,0))+IF(BN$5="X",VLOOKUP(BN$10,'VK-Põlevkivi'!$C:$X,2+$G12,0))+IF(BN$4="X",VLOOKUP(BN$10,'VK-Võrgud'!$C:$X,2+$F12,0)))/16</f>
        <v>#N/A</v>
      </c>
      <c r="BO12" s="209">
        <f>(IF(BO$7="X",VLOOKUP(BO$10,'VK-Hooned-Soojus'!$C:$X,2+$C12,FALSE),0)+IF(BO$6="X",VLOOKUP(BO$10,'VK-Transport'!$C:$X,2+$B12,0))+IF(BO$8="X",VLOOKUP(BO$10,'VK-Elekter'!$C:$X,2+$D12,0))+IF(BO$9="X",VLOOKUP(BO$10,'VK-Biokütused'!$C:$U,2+$E12,0))+IF(BO$5="X",VLOOKUP(BO$10,'VK-Põlevkivi'!$C:$X,2+$G12,0))+IF(BO$4="X",VLOOKUP(BO$10,'VK-Võrgud'!$C:$X,2+$F12,0)))/16</f>
        <v>496.33125000000001</v>
      </c>
      <c r="BP12" s="209"/>
      <c r="BQ12" s="209">
        <f>(IF(BQ$7="X",VLOOKUP(BQ$10,'VK-Hooned-Soojus'!$C:$X,2+$C12,FALSE),0)+IF(BQ$6="X",VLOOKUP(BQ$10,'VK-Transport'!$C:$X,2+$B12,0))+IF(BQ$8="X",VLOOKUP(BQ$10,'VK-Elekter'!$C:$X,2+$D12,0))+IF(BQ$9="X",VLOOKUP(BQ$10,'VK-Biokütused'!$C:$U,2+$E12,0))+IF(BQ$5="X",VLOOKUP(BQ$10,'VK-Põlevkivi'!$C:$X,2+$G12,0))+IF(BQ$4="X",VLOOKUP(BQ$10,'VK-Võrgud'!$C:$X,2+$F12,0)))/16</f>
        <v>4.7249999999999996</v>
      </c>
      <c r="BR12" s="209">
        <f>(IF(BR$7="X",VLOOKUP(BR$10,'VK-Hooned-Soojus'!$C:$X,2+$C12,FALSE),0)+IF(BR$6="X",VLOOKUP(BR$10,'VK-Transport'!$C:$X,2+$B12,0))+IF(BR$8="X",VLOOKUP(BR$10,'VK-Elekter'!$C:$X,2+$D12,0))+IF(BR$9="X",VLOOKUP(BR$10,'VK-Biokütused'!$C:$U,2+$E12,0))+IF(BR$5="X",VLOOKUP(BR$10,'VK-Põlevkivi'!$C:$X,2+$G12,0))+IF(BR$4="X",VLOOKUP(BR$10,'VK-Võrgud'!$C:$X,2+$F12,0)))/16</f>
        <v>-74.512500000000003</v>
      </c>
      <c r="BS12" s="209">
        <f>(IF(BS$7="X",VLOOKUP(BS$10,'VK-Hooned-Soojus'!$C:$X,2+$C12,FALSE),0)+IF(BS$6="X",VLOOKUP(BS$10,'VK-Transport'!$C:$X,2+$B12,0))+IF(BS$8="X",VLOOKUP(BS$10,'VK-Elekter'!$C:$X,2+$D12,0))+IF(BS$9="X",VLOOKUP(BS$10,'VK-Biokütused'!$C:$U,2+$E12,0))+IF(BS$5="X",VLOOKUP(BS$10,'VK-Põlevkivi'!$C:$X,2+$G12,0))+IF(BS$4="X",VLOOKUP(BS$10,'VK-Võrgud'!$C:$X,2+$F12,0)))/16</f>
        <v>-100.68125000000001</v>
      </c>
      <c r="BT12" s="209"/>
      <c r="BU12" s="209"/>
      <c r="BV12" s="209">
        <f>(IF(BV$7="X",VLOOKUP(BV$10,'VK-Hooned-Soojus'!$C:$X,2+$C12,FALSE),0)+IF(BV$6="X",VLOOKUP(BV$10,'VK-Transport'!$C:$X,2+$B12,0))+IF(BV$8="X",VLOOKUP(BV$10,'VK-Elekter'!$C:$X,2+$D12,0))+IF(BV$9="X",VLOOKUP(BV$10,'VK-Biokütused'!$C:$U,2+$E12,0))+IF(BV$5="X",VLOOKUP(BV$10,'VK-Põlevkivi'!$C:$X,2+$G12,0))+IF(BV$4="X",VLOOKUP(BV$10,'VK-Võrgud'!$C:$X,2+$F12,0)))/16</f>
        <v>0</v>
      </c>
      <c r="BW12" s="209"/>
      <c r="BX12" s="209">
        <f>(IF(BX$7="X",VLOOKUP(BX$10,'VK-Hooned-Soojus'!$C:$X,2+$C12,FALSE),0)+IF(BX$6="X",VLOOKUP(BX$10,'VK-Transport'!$C:$X,2+$B12,0))+IF(BX$8="X",VLOOKUP(BX$10,'VK-Elekter'!$C:$X,2+$D12,0))+IF(BX$9="X",VLOOKUP(BX$10,'VK-Biokütused'!$C:$U,2+$E12,0))+IF(BX$5="X",VLOOKUP(BX$10,'VK-Põlevkivi'!$C:$X,2+$G12,0))+IF(BX$4="X",VLOOKUP(BX$10,'VK-Võrgud'!$C:$X,2+$F12,0)))/16</f>
        <v>-99.6875</v>
      </c>
      <c r="BY12" s="209"/>
      <c r="BZ12" s="209"/>
      <c r="CA12" s="209" t="e">
        <f>(IF(CA$7="X",VLOOKUP(CA$10,'VK-Hooned-Soojus'!$C:$X,2+$C12,FALSE),0)+IF(CA$6="X",VLOOKUP(CA$10,'VK-Transport'!$C:$X,2+$B12,0))+IF(CA$8="X",VLOOKUP(CA$10,'VK-Elekter'!$C:$X,2+$D12,0))+IF(CA$9="X",VLOOKUP(CA$10,'VK-Biokütused'!$C:$U,2+$E12,0))+IF(CA$5="X",VLOOKUP(CA$10,'VK-Põlevkivi'!$C:$X,2+$G12,0))+IF(CA$4="X",VLOOKUP(CA$10,'VK-Võrgud'!$C:$X,2+$F12,0)))/16</f>
        <v>#N/A</v>
      </c>
      <c r="CB12" s="209">
        <f>(IF(CB$7="X",VLOOKUP(CB$10,'VK-Hooned-Soojus'!$C:$X,2+$C12,FALSE),0)+IF(CB$6="X",VLOOKUP(CB$10,'VK-Transport'!$C:$X,2+$B12,0))+IF(CB$8="X",VLOOKUP(CB$10,'VK-Elekter'!$C:$X,2+$D12,0))+IF(CB$9="X",VLOOKUP(CB$10,'VK-Biokütused'!$C:$U,2+$E12,0))+IF(CB$5="X",VLOOKUP(CB$10,'VK-Põlevkivi'!$C:$X,2+$G12,0))+IF(CB$4="X",VLOOKUP(CB$10,'VK-Võrgud'!$C:$X,2+$F12,0)))/16</f>
        <v>0</v>
      </c>
      <c r="CC12" s="209">
        <f>(IF(CC$7="X",VLOOKUP(CC$10,'VK-Hooned-Soojus'!$C:$X,2+$C12,FALSE),0)+IF(CC$6="X",VLOOKUP(CC$10,'VK-Transport'!$C:$X,2+$B12,0))+IF(CC$8="X",VLOOKUP(CC$10,'VK-Elekter'!$C:$X,2+$D12,0))+IF(CC$9="X",VLOOKUP(CC$10,'VK-Biokütused'!$C:$U,2+$E12,0))+IF(CC$5="X",VLOOKUP(CC$10,'VK-Põlevkivi'!$C:$X,2+$G12,0))+IF(CC$4="X",VLOOKUP(CC$10,'VK-Võrgud'!$C:$X,2+$F12,0)))/16</f>
        <v>0</v>
      </c>
      <c r="CD12" s="209"/>
      <c r="CE12" s="209">
        <f>(IF(CE$7="X",VLOOKUP(CE$10,'VK-Hooned-Soojus'!$C:$X,2+$C12,FALSE),0)+IF(CE$6="X",VLOOKUP(CE$10,'VK-Transport'!$C:$X,2+$B12,0))+IF(CE$8="X",VLOOKUP(CE$10,'VK-Elekter'!$C:$X,2+$D12,0))+IF(CE$9="X",VLOOKUP(CE$10,'VK-Biokütused'!$C:$U,2+$E12,0))+IF(CE$5="X",VLOOKUP(CE$10,'VK-Põlevkivi'!$C:$X,2+$G12,0))+IF(CE$4="X",VLOOKUP(CE$10,'VK-Võrgud'!$C:$X,2+$F12,0)))/16</f>
        <v>24.15625</v>
      </c>
      <c r="CF12" s="209"/>
      <c r="CG12" s="209">
        <f>(IF(CG$7="X",VLOOKUP(CG$10,'VK-Hooned-Soojus'!$C:$X,2+$C12,FALSE),0)+IF(CG$6="X",VLOOKUP(CG$10,'VK-Transport'!$C:$X,2+$B12,0))+IF(CG$8="X",VLOOKUP(CG$10,'VK-Elekter'!$C:$X,2+$D12,0))+IF(CG$9="X",VLOOKUP(CG$10,'VK-Biokütused'!$C:$U,2+$E12,0))+IF(CG$5="X",VLOOKUP(CG$10,'VK-Põlevkivi'!$C:$X,2+$G12,0))+IF(CG$4="X",VLOOKUP(CG$10,'VK-Võrgud'!$C:$X,2+$F12,0)))/16</f>
        <v>0</v>
      </c>
      <c r="CH12" s="209">
        <f>(IF(CH$7="X",VLOOKUP(CH$10,'VK-Hooned-Soojus'!$C:$X,2+$C12,FALSE),0)+IF(CH$6="X",VLOOKUP(CH$10,'VK-Transport'!$C:$X,2+$B12,0))+IF(CH$8="X",VLOOKUP(CH$10,'VK-Elekter'!$C:$X,2+$D12,0))+IF(CH$9="X",VLOOKUP(CH$10,'VK-Biokütused'!$C:$U,2+$E12,0))+IF(CH$5="X",VLOOKUP(CH$10,'VK-Põlevkivi'!$C:$X,2+$G12,0))+IF(CH$4="X",VLOOKUP(CH$10,'VK-Võrgud'!$C:$X,2+$F12,0)))/20*0.21</f>
        <v>5.6122500000000004</v>
      </c>
      <c r="CI12" s="209"/>
      <c r="CJ12" s="209">
        <f>(IF(CJ$7="X",VLOOKUP(CJ$10,'VK-Hooned-Soojus'!$C:$X,2+$C12,FALSE),0)+IF(CJ$6="X",VLOOKUP(CJ$10,'VK-Transport'!$C:$X,2+$B12,0))+IF(CJ$8="X",VLOOKUP(CJ$10,'VK-Elekter'!$C:$X,2+$D12,0))+IF(CJ$9="X",VLOOKUP(CJ$10,'VK-Biokütused'!$C:$U,2+$E12,0))+IF(CJ$5="X",VLOOKUP(CJ$10,'VK-Põlevkivi'!$C:$X,2+$G12,0))+IF(CJ$4="X",VLOOKUP(CJ$10,'VK-Võrgud'!$C:$X,2+$F12,0)))/1000</f>
        <v>20.207999999999998</v>
      </c>
      <c r="CK12" s="209">
        <f>(IF(CK$7="X",VLOOKUP(CK$10,'VK-Hooned-Soojus'!$C:$X,2+$C12,FALSE),0)+IF(CK$6="X",VLOOKUP(CK$10,'VK-Transport'!$C:$X,2+$B12,0))+IF(CK$8="X",VLOOKUP(CK$10,'VK-Elekter'!$C:$X,2+$D12,0))+IF(CK$9="X",VLOOKUP(CK$10,'VK-Biokütused'!$C:$U,2+$E12,0))+IF(CK$5="X",VLOOKUP(CK$10,'VK-Põlevkivi'!$C:$X,2+$G12,0))+IF(CK$4="X",VLOOKUP(CK$10,'VK-Võrgud'!$C:$X,2+$F12,0)))/1000</f>
        <v>12.808543134371309</v>
      </c>
      <c r="CL12" s="235">
        <f>(IF(CL$7="X",VLOOKUP(CL$10,'VK-Hooned-Soojus'!$C:$X,2+$C12,FALSE),0)+IF(CL$6="X",VLOOKUP(CL$10,'VK-Transport'!$C:$X,2+$B12,0))+IF(CL$8="X",VLOOKUP(CL$10,'VK-Elekter'!$C:$X,2+$D12,0))+IF(CL$9="X",VLOOKUP(CL$10,'VK-Biokütused'!$C:$U,2+$E12,0)))/1000</f>
        <v>9.5602332703934589</v>
      </c>
      <c r="CM12" s="209">
        <f>(IF(CM$7="X",VLOOKUP(CM$10,'VK-Hooned-Soojus'!$C:$X,2+$C12,FALSE),0)+IF(CM$6="X",VLOOKUP(CM$10,'VK-Transport'!$C:$X,2+$B12,0))+IF(CM$8="X",VLOOKUP(CM$10,'VK-Elekter'!$C:$X,2+$D12,0))+IF(CM$9="X",VLOOKUP(CM$10,'VK-Biokütused'!$C:$U,2+$E12,0))+IF(CM$5="X",VLOOKUP(CM$10,'VK-Põlevkivi'!$C:$X,2+$G12,0))+IF(CM$4="X",VLOOKUP(CM$10,'VK-Võrgud'!$C:$X,2+$F12,0)))/1000</f>
        <v>8.5549999999999997</v>
      </c>
      <c r="CN12" s="209">
        <f>(IF(CN$7="X",VLOOKUP(CN$10,'VK-Hooned-Soojus'!$C:$X,2+$C12,FALSE),0)+IF(CN$6="X",VLOOKUP(CN$10,'VK-Transport'!$C:$X,2+$B12,0))+IF(CN$8="X",VLOOKUP(CN$10,'VK-Elekter'!$C:$X,2+$D12,0))+IF(CN$9="X",VLOOKUP(CN$10,'VK-Biokütused'!$C:$U,2+$E12,0))+IF(CN$5="X",VLOOKUP(CN$10,'VK-Põlevkivi'!$C:$X,2+$G12,0))+IF(CN$4="X",VLOOKUP(CN$10,'VK-Võrgud'!$C:$X,2+$F12,0)))/1000</f>
        <v>3.0259999999999998</v>
      </c>
      <c r="CO12" s="209">
        <f>(IF(CO$7="X",VLOOKUP(CO$10,'VK-Hooned-Soojus'!$C:$X,2+$C12,FALSE),0)+IF(CO$6="X",VLOOKUP(CO$10,'VK-Transport'!$C:$X,2+$B12,0))+IF(CO$8="X",VLOOKUP(CO$10,'VK-Elekter'!$C:$X,2+$D12,0))+IF(CO$9="X",VLOOKUP(CO$10,'VK-Biokütused'!$C:$U,2+$E12,0))+IF(CO$5="X",VLOOKUP(CO$10,'VK-Põlevkivi'!$C:$X,2+$G12,0))+IF(CO$4="X",VLOOKUP(CO$10,'VK-Võrgud'!$C:$X,2+$F12,0)))/1000</f>
        <v>25.663649773285456</v>
      </c>
      <c r="CP12" s="209">
        <f>(IF(CP$7="X",VLOOKUP(CP$10,'VK-Hooned-Soojus'!$C:$X,2+$C12,FALSE),0)+IF(CP$6="X",VLOOKUP(CP$10,'VK-Transport'!$C:$X,2+$B12,0))+IF(CP$8="X",VLOOKUP(CP$10,'VK-Elekter'!$C:$X,2+$D12,0))+IF(CP$9="X",VLOOKUP(CP$10,'VK-Biokütused'!$C:$U,2+$E12,0))+IF(CP$5="X",VLOOKUP(CP$10,'VK-Põlevkivi'!$C:$X,2+$G12,0))+IF(CP$4="X",VLOOKUP(CP$10,'VK-Võrgud'!$C:$X,2+$F12,0)))/1000</f>
        <v>13.825948584295613</v>
      </c>
      <c r="CQ12" s="235">
        <f>(IF(CQ$7="X",VLOOKUP(CQ$10,'VK-Hooned-Soojus'!$C:$X,2+$C12,FALSE),0)+IF(CQ$6="X",VLOOKUP(CQ$10,'VK-Transport'!$C:$X,2+$B12,0))+IF(CQ$8="X",VLOOKUP(CQ$10,'VK-Elekter'!$C:$X,2+$D12,0))+IF(CQ$9="X",VLOOKUP(CQ$10,'VK-Biokütused'!$C:$U,2+$E12,0)))/1000</f>
        <v>11.186907</v>
      </c>
      <c r="CR12" s="209">
        <f>(IF(CR$7="X",VLOOKUP(CR$10,'VK-Hooned-Soojus'!$C:$X,2+$C12,FALSE),0)+IF(CR$6="X",VLOOKUP(CR$10,'VK-Transport'!$C:$X,2+$B12,0))+IF(CR$8="X",VLOOKUP(CR$10,'VK-Elekter'!$C:$X,2+$D12,0))+IF(CR$9="X",VLOOKUP(CR$10,'VK-Biokütused'!$C:$U,2+$E12,0))+IF(CR$5="X",VLOOKUP(CR$10,'VK-Põlevkivi'!$C:$X,2+$G12,0))+IF(CR$4="X",VLOOKUP(CR$10,'VK-Võrgud'!$C:$X,2+$F12,0)))/1000</f>
        <v>8.1107533562748042</v>
      </c>
      <c r="CS12" s="209">
        <f>(IF(CS$7="X",VLOOKUP(CS$10,'VK-Hooned-Soojus'!$C:$X,2+$C12,FALSE),0)+IF(CS$6="X",VLOOKUP(CS$10,'VK-Transport'!$C:$X,2+$B12,0))+IF(CS$8="X",VLOOKUP(CS$10,'VK-Elekter'!$C:$X,2+$D12,0))+IF(CS$9="X",VLOOKUP(CS$10,'VK-Biokütused'!$C:$U,2+$E12,0))+IF(CS$5="X",VLOOKUP(CS$10,'VK-Põlevkivi'!$C:$X,2+$G12,0))+IF(CS$4="X",VLOOKUP(CS$10,'VK-Võrgud'!$C:$X,2+$F12,0)))/1000</f>
        <v>3.9861524051216151</v>
      </c>
      <c r="CT12" s="209">
        <f>IF(CT$7="X",VLOOKUP(CT$10,'VK-Hooned-Soojus'!$C:$X,2+$C12,FALSE),0)+IF(CT$6="X",VLOOKUP(CT$10,'VK-Transport'!$C:$X,2+$B12,0))+IF(CT$8="X",VLOOKUP(CT$10,'VK-Elekter'!$C:$X,2+$D12,0))+IF(CT$9="X",VLOOKUP(CT$10,'VK-Biokütused'!$C:$U,2+$E12,0))+IF(CT$5="X",VLOOKUP(CT$10,'VK-Põlevkivi'!$C:$X,2+$G12,0))+IF(CT$4="X",VLOOKUP(CT$10,'VK-Võrgud'!$C:$X,2+$F12,0))</f>
        <v>90</v>
      </c>
      <c r="CU12" s="209">
        <f>IF(CU$7="X",VLOOKUP(CU$10,'VK-Hooned-Soojus'!$C:$X,2+$C12,FALSE),0)+IF(CU$6="X",VLOOKUP(CU$10,'VK-Transport'!$C:$X,2+$B12,0))+IF(CU$8="X",VLOOKUP(CU$10,'VK-Elekter'!$C:$X,2+$D12,0))+IF(CU$9="X",VLOOKUP(CU$10,'VK-Biokütused'!$C:$U,2+$E12,0))+IF(CU$5="X",VLOOKUP(CU$10,'VK-Põlevkivi'!$C:$X,2+$G12,0))+IF(CU$4="X",VLOOKUP(CU$10,'VK-Võrgud'!$C:$X,2+$F12,0))</f>
        <v>0.72088353413654627</v>
      </c>
      <c r="CV12" s="209">
        <f t="shared" si="1"/>
        <v>0.91028830406496797</v>
      </c>
      <c r="CW12" s="209">
        <f>(IF(CW$7="X",VLOOKUP(CW$10,'VK-Hooned-Soojus'!$C:$X,2+$C12,FALSE),0)+IF(CW$6="X",VLOOKUP(CW$10,'VK-Transport'!$C:$X,2+$B12,0))+IF(CW$8="X",VLOOKUP(CW$10,'VK-Elekter'!$C:$X,2+$D12,0))+IF(CW$9="X",VLOOKUP(CW$10,'VK-Biokütused'!$C:$U,2+$E12,0))+IF(CW$5="X",VLOOKUP(CW$10,'VK-Põlevkivi'!$C:$X,2+$G12,0))+IF(CW$4="X",VLOOKUP(CW$10,'VK-Võrgud'!$C:$X,2+$F12,0)))/16</f>
        <v>59.743749999999999</v>
      </c>
      <c r="CY12" s="209">
        <f>(IF(CY$7="X",VLOOKUP(CY$10,'VK-Hooned-Soojus'!$C:$X,2+$C12,FALSE),0)+IF(CY$6="X",VLOOKUP(CY$10,'VK-Transport'!$C:$X,2+$B12,0))+IF(CY$8="X",VLOOKUP(CY$10,'VK-Elekter'!$C:$X,2+$D12,0))+IF(CY$9="X",VLOOKUP(CY$10,'VK-Biokütused'!$C:$U,2+$E12,0))+IF(CY$5="X",VLOOKUP(CY$10,'VK-Põlevkivi'!$C:$X,2+$G12,0))+IF(CY$4="X",VLOOKUP(CY$10,'VK-Võrgud'!$C:$X,2+$F12,0)))/1000</f>
        <v>11.502000000000001</v>
      </c>
      <c r="CZ12" s="209">
        <f>(IF(CZ$7="X",VLOOKUP(CZ$10,'VK-Hooned-Soojus'!$C:$X,2+$C12,FALSE),0)+IF(CZ$6="X",VLOOKUP(CZ$10,'VK-Transport'!$C:$X,2+$B12,0))+IF(CZ$8="X",VLOOKUP(CZ$10,'VK-Elekter'!$C:$X,2+$D12,0))+IF(CZ$9="X",VLOOKUP(CZ$10,'VK-Biokütused'!$C:$U,2+$E12,0))+IF(CZ$5="X",VLOOKUP(CZ$10,'VK-Põlevkivi'!$C:$X,2+$G12,0))+IF(CZ$4="X",VLOOKUP(CZ$10,'VK-Võrgud'!$C:$X,2+$F12,0)))</f>
        <v>79.400000000000006</v>
      </c>
      <c r="DA12" s="209">
        <f>(IF(DA$7="X",VLOOKUP(DA$10,'VK-Hooned-Soojus'!$C:$X,2+$C12,FALSE),0)+IF(DA$6="X",VLOOKUP(DA$10,'VK-Transport'!$C:$X,2+$B12,0))+IF(DA$8="X",VLOOKUP(DA$10,'VK-Elekter'!$C:$X,2+$D12,0))+IF(DA$9="X",VLOOKUP(DA$10,'VK-Biokütused'!$C:$U,2+$E12,0))+IF(DA$5="X",VLOOKUP(DA$10,'VK-Põlevkivi'!$C:$X,2+$G12,0))+IF(DA$4="X",VLOOKUP(DA$10,'VK-Võrgud'!$C:$X,2+$F12,0)))/1000</f>
        <v>15.462</v>
      </c>
      <c r="DB12" s="209">
        <f>(IF(DB$7="X",VLOOKUP(DB$10,'VK-Hooned-Soojus'!$C:$X,2+$C12,FALSE),0)+IF(DB$6="X",VLOOKUP(DB$10,'VK-Transport'!$C:$X,2+$B12,0))+IF(DB$8="X",VLOOKUP(DB$10,'VK-Elekter'!$C:$X,2+$D12,0))+IF(DB$9="X",VLOOKUP(DB$10,'VK-Biokütused'!$C:$U,2+$E12,0))+IF(DB$5="X",VLOOKUP(DB$10,'VK-Põlevkivi'!$C:$X,2+$G12,0))+IF(DB$4="X",VLOOKUP(DB$10,'VK-Võrgud'!$C:$X,2+$F12,0)))/1000/3.6</f>
        <v>69.026388888888889</v>
      </c>
      <c r="DC12" s="209">
        <f>(IF(DC$7="X",VLOOKUP(DC$10,'VK-Hooned-Soojus'!$C:$X,2+$C12,FALSE),0)+IF(DC$6="X",VLOOKUP(DC$10,'VK-Transport'!$C:$X,2+$B12,0))+IF(DC$8="X",VLOOKUP(DC$10,'VK-Elekter'!$C:$X,2+$D12,0))+IF(DC$9="X",VLOOKUP(DC$10,'VK-Biokütused'!$C:$U,2+$E12,0))+IF(DC$5="X",VLOOKUP(DC$10,'VK-Põlevkivi'!$C:$X,2+$G12,0))+IF(DC$4="X",VLOOKUP(DC$10,'VK-Võrgud'!$C:$X,2+$F12,0)))/1000000</f>
        <v>5.5331089999999996</v>
      </c>
      <c r="DD12" s="209"/>
      <c r="DE12" s="88">
        <f>VLOOKUP(Tulemused!$BN$12,data!M$7:N$12,2,FALSE)-SUM(L12,M12)</f>
        <v>-3.4066444444444528</v>
      </c>
      <c r="DF12" s="209" t="str">
        <f>IF(AZ12&lt;=VLOOKUP(Tulemused!$BN$15,data!$E$36:$F$39,2,FALSE),"JAH","EI")</f>
        <v>JAH</v>
      </c>
      <c r="DG12" s="209"/>
      <c r="DH12" s="209">
        <f t="shared" si="2"/>
        <v>6.78</v>
      </c>
      <c r="DI12" s="231" t="str">
        <f t="shared" ref="DI12:DI75" si="17">IF((DE12&lt;0)+(DF12="EI")+(DG12="EI")+(DH12="JAH"),"EI","JAH")</f>
        <v>EI</v>
      </c>
      <c r="DK12" s="232">
        <f t="shared" si="3"/>
        <v>-999.02514318224758</v>
      </c>
      <c r="DM12" s="233">
        <f t="shared" si="4"/>
        <v>11.131980127717581</v>
      </c>
      <c r="DN12" s="87">
        <f t="array" ref="DN12">INDEX($A$11:$A$145, SMALL(IF(DM12=$DK$11:$DK$145, MATCH(ROW($DK$11:$DK$145), ROW($DK$11:$DK$145))), SUM(--(DM12=$DM$11:DM12))))</f>
        <v>131</v>
      </c>
      <c r="DP12" s="87" t="e">
        <f t="shared" ref="DP12:DP75" ca="1" si="18">IF(INDIRECT("Tulemused!"&amp;DP$8)="Jah",BN12,0)</f>
        <v>#N/A</v>
      </c>
      <c r="DQ12" s="87" t="e">
        <f t="shared" ref="DQ12:DQ75" ca="1" si="19">IF(INDIRECT("Tulemused!"&amp;DQ$8)="Jah",BO12,0)</f>
        <v>#N/A</v>
      </c>
      <c r="DR12" s="87">
        <f t="shared" ref="DR12:DR75" ca="1" si="20">IF(INDIRECT("Tulemused!"&amp;DR$8)="Jah",BP12,0)</f>
        <v>0</v>
      </c>
      <c r="DS12" s="87" t="e">
        <f t="shared" ref="DS12:DS75" ca="1" si="21">IF(INDIRECT("Tulemused!"&amp;DS$8)="Jah",BQ12,0)</f>
        <v>#N/A</v>
      </c>
      <c r="DT12" s="87">
        <f t="shared" ref="DT12:DT75" ca="1" si="22">IF(INDIRECT("Tulemused!"&amp;DT$8)="Jah",BS12+BX12,0)</f>
        <v>0</v>
      </c>
      <c r="DU12" s="87" t="e">
        <f t="shared" ref="DU12:DU75" ca="1" si="23">IF(INDIRECT("Tulemused!"&amp;DU$8)="Jah",BS12,0)</f>
        <v>#N/A</v>
      </c>
      <c r="DV12" s="87" t="e">
        <f t="shared" ref="DV12:DV75" ca="1" si="24">IF(INDIRECT("Tulemused!"&amp;DV$8)="Jah",BT12,0)</f>
        <v>#N/A</v>
      </c>
      <c r="DW12" s="87">
        <f t="shared" ref="DW12:DW75" ca="1" si="25">IF(INDIRECT("Tulemused!"&amp;DW$8)="Jah",BU12,0)</f>
        <v>0</v>
      </c>
      <c r="DX12" s="87">
        <f t="shared" ref="DX12:DX75" ca="1" si="26">IF(INDIRECT("Tulemused!"&amp;DX$8)="Jah",BR12+BJ12,0)</f>
        <v>0</v>
      </c>
      <c r="DZ12" s="87">
        <f t="shared" ca="1" si="5"/>
        <v>0</v>
      </c>
      <c r="EB12" s="87">
        <f t="shared" ref="EB12:EB75" ca="1" si="27">IF(INDIRECT("Tulemused!"&amp;EB$8)="Jah",CH12,0)</f>
        <v>0</v>
      </c>
      <c r="EC12" s="87" t="e">
        <f t="shared" ref="EC12:EC75" ca="1" si="28">IF(INDIRECT("Tulemused!"&amp;EC$8)="Jah",CA12,0)</f>
        <v>#N/A</v>
      </c>
      <c r="EE12" s="228">
        <f>(IF(EE$7="X",VLOOKUP(EE$10,'VK-Hooned-Soojus'!$C:$X,2+$C12,FALSE),0)+IF(EE$6="X",VLOOKUP(EE$10,'VK-Transport'!$C:$X,2+$B12,0))+IF(EE$8="X",VLOOKUP(EE$10,'VK-Elekter'!$C:$X,2+$D12,0))+IF(EE$9="X",VLOOKUP(EE$10,'VK-Biokütused'!$C:$U,2+$E12,0))+IF(EE$5="X",VLOOKUP(EE$10,'VK-Põlevkivi'!$C:$X,2+$G12,0))+IF(EE$4="X",VLOOKUP(EE$10,'VK-Võrgud'!$C:$X,2+$F12,0)))</f>
        <v>3672.9053953918019</v>
      </c>
      <c r="EF12" s="235">
        <f>(IF(EF$7="X",VLOOKUP(EF$10,'VK-Hooned-Soojus'!$C:$X,2+$C12,FALSE),0)+IF(EF$6="X",VLOOKUP(EF$10,'VK-Transport'!$C:$X,2+$B12,0))+IF(EF$8="X",VLOOKUP(EF$10,'VK-Elekter'!$C:$X,2+$D12,0))+IF(EF$9="X",VLOOKUP(EF$10,'VK-Biokütused'!$C:$U,2+$E12,0)))/1000</f>
        <v>5.9576368215830611</v>
      </c>
      <c r="EG12" s="209">
        <f>(IF(EG$7="X",VLOOKUP(EG$10,'VK-Hooned-Soojus'!$C:$X,2+$C12,FALSE),0)+IF(EG$6="X",VLOOKUP(EG$10,'VK-Transport'!$C:$X,2+$B12,0))+IF(EG$8="X",VLOOKUP(EG$10,'VK-Elekter'!$C:$X,2+$D12,0))+IF(EG$9="X",VLOOKUP(EG$10,'VK-Biokütused'!$C:$U,2+$E12,0))+IF(EG$5="X",VLOOKUP(EG$10,'VK-Põlevkivi'!$C:$X,2+$G12,0))+IF(EG$4="X",VLOOKUP(EG$10,'VK-Võrgud'!$C:$X,2+$F12,0)))</f>
        <v>0.81</v>
      </c>
      <c r="EH12" s="209">
        <f>(IF(EH$7="X",VLOOKUP(EH$10,'VK-Hooned-Soojus'!$C:$X,2+$C12,FALSE),0)+IF(EH$6="X",VLOOKUP(EH$10,'VK-Transport'!$C:$X,2+$B12,0))+IF(EH$8="X",VLOOKUP(EH$10,'VK-Elekter'!$C:$X,2+$D12,0))+IF(EH$9="X",VLOOKUP(EH$10,'VK-Biokütused'!$C:$U,2+$E12,0)))+AR12+AS12+AU12+AX12</f>
        <v>58.406165628957574</v>
      </c>
      <c r="EI12" s="320">
        <f t="shared" si="6"/>
        <v>52.764567183462525</v>
      </c>
      <c r="EJ12" s="322">
        <f t="shared" si="7"/>
        <v>2.0156356925118721E-2</v>
      </c>
      <c r="EK12" s="323">
        <f t="shared" ref="EK12:EK75" si="29">SUM(BB12,BD12,AV12)/O12</f>
        <v>0.36168246787532254</v>
      </c>
      <c r="EM12" s="209"/>
      <c r="EN12" s="209">
        <f t="shared" ca="1" si="8"/>
        <v>0</v>
      </c>
      <c r="EO12" s="209"/>
      <c r="EP12" s="234"/>
      <c r="EQ12" s="209">
        <f>(IF(EQ$7="X",VLOOKUP(EQ$10,'VK-Hooned-Soojus'!$C:$X,2+$C12,FALSE),0)+IF(EQ$6="X",VLOOKUP(EQ$10,'VK-Transport'!$C:$X,2+$B12,0))+IF(EQ$8="X",VLOOKUP(EQ$10,'VK-Elekter'!$C:$X,2+$D12,0))+IF(EQ$9="X",VLOOKUP(EQ$10,'VK-Biokütused'!$C:$U,2+$E12,0))+IF(EQ$5="X",VLOOKUP(EQ$10,'VK-Põlevkivi'!$C:$X,2+$G12,0))+IF(EQ$4="X",VLOOKUP(EQ$10,'VK-Võrgud'!$C:$X,2+$F12,0)))/1000</f>
        <v>0.22900000000000001</v>
      </c>
      <c r="ER12" s="209">
        <f>(IF(ER$7="X",VLOOKUP(ER$10,'VK-Hooned-Soojus'!$C:$X,2+$C12,FALSE),0)+IF(ER$6="X",VLOOKUP(ER$10,'VK-Transport'!$C:$X,2+$B12,0))+IF(ER$8="X",VLOOKUP(ER$10,'VK-Elekter'!$C:$X,2+$D12,0))+IF(ER$9="X",VLOOKUP(ER$10,'VK-Biokütused'!$C:$U,2+$E12,0))+IF(ER$5="X",VLOOKUP(ER$10,'VK-Põlevkivi'!$C:$X,2+$G12,0))+IF(ER$4="X",VLOOKUP(ER$10,'VK-Võrgud'!$C:$X,2+$F12,0)))</f>
        <v>0.82899999999999996</v>
      </c>
      <c r="ES12" s="209">
        <f>(IF(ES$7="X",VLOOKUP(ES$10,'VK-Hooned-Soojus'!$C:$X,2+$C12,FALSE),0)+IF(ES$6="X",VLOOKUP(ES$10,'VK-Transport'!$C:$X,2+$B12,0))+IF(ES$8="X",VLOOKUP(ES$10,'VK-Elekter'!$C:$X,2+$D12,0))+IF(ES$9="X",VLOOKUP(ES$10,'VK-Biokütused'!$C:$U,2+$E12,0))+IF(ES$5="X",VLOOKUP(ES$10,'VK-Põlevkivi'!$C:$X,2+$G12,0))+IF(ES$4="X",VLOOKUP(ES$10,'VK-Võrgud'!$C:$X,2+$F12,0)))</f>
        <v>6.78</v>
      </c>
      <c r="ET12" s="209"/>
      <c r="EU12" s="209"/>
      <c r="EV12" s="87">
        <f>'KSH järjestus'!AS5</f>
        <v>2424</v>
      </c>
      <c r="EX12" s="236"/>
      <c r="EY12" s="236"/>
      <c r="EZ12" s="237">
        <f t="shared" si="9"/>
        <v>0.27911646586345373</v>
      </c>
      <c r="FA12" s="209">
        <f>IF(FA$7="X",VLOOKUP(FA$10,'VK-Hooned-Soojus'!$C:$X,2+$C12,FALSE),0)+IF(FA$6="X",VLOOKUP(FA$10,'VK-Transport'!$C:$X,2+$B12,0))+IF(FA$8="X",VLOOKUP(FA$10,'VK-Elekter'!$C:$X,2+$D12,0))+IF(FA$9="X",VLOOKUP(FA$10,'VK-Biokütused'!$C:$U,2+$E12,0))+IF(FA$5="X",VLOOKUP(FA$10,'VK-Põlevkivi'!$C:$X,2+$G12,0))+IF(FA$4="X",VLOOKUP(FA$10,'VK-Võrgud'!$C:$X,2+$F12,0))</f>
        <v>3693.9070000000002</v>
      </c>
      <c r="FB12" s="279">
        <f>(IF(FB$7="X",VLOOKUP(FB$10,'VK-Hooned-Soojus'!$C:$X,2+$C12,FALSE),0)+IF(FB$6="X",VLOOKUP(FB$10,'VK-Transport'!$C:$X,2+$B12,0))+IF(FB$8="X",VLOOKUP(FB$10,'VK-Elekter'!$C:$X,2+$D12,0))+IF(FB$9="X",VLOOKUP(FB$10,'VK-Biokütused'!$C:$U,2+$E12,0))+IF(FB$5="X",VLOOKUP(FB$10,'VK-Põlevkivi'!$C:$X,2+$G12,0))+IF(FB$4="X",VLOOKUP(FB$10,'VK-Võrgud'!$C:$X,2+$F12,0)))/16</f>
        <v>197.29638377572053</v>
      </c>
      <c r="FC12" s="209">
        <f>IF(FC$7="X",VLOOKUP(FC$10,'VK-Hooned-Soojus'!$C:$X,2+$C12,FALSE),0)+IF(FC$6="X",VLOOKUP(FC$10,'VK-Transport'!$C:$X,2+$B12,0))+IF(FC$8="X",VLOOKUP(FC$10,'VK-Elekter'!$C:$X,2+$D12,0))+IF(FC$9="X",VLOOKUP(FC$10,'VK-Biokütused'!$C:$U,2+$E12,0))+IF(FC$5="X",VLOOKUP(FC$10,'VK-Põlevkivi'!$C:$X,2+$G12,0))+IF(FC$4="X",VLOOKUP(FC$10,'VK-Võrgud'!$C:$X,2+$F12,0))</f>
        <v>339.59999999999997</v>
      </c>
      <c r="FD12" s="209">
        <f>(IF(FD$7="X",VLOOKUP(FD$10,'VK-Hooned-Soojus'!$C:$X,2+$C12,FALSE),0)+IF(FD$6="X",VLOOKUP(FD$10,'VK-Transport'!$C:$X,2+$B12,0))+IF(FD$8="X",VLOOKUP(FD$10,'VK-Elekter'!$C:$X,2+$D12,0))+IF(FD$9="X",VLOOKUP(FD$10,'VK-Biokütused'!$C:$U,2+$E12,0))+IF(FD$5="X",VLOOKUP(FD$10,'VK-Põlevkivi'!$C:$X,2+$G12,0))+IF(FD$4="X",VLOOKUP(FD$10,'VK-Võrgud'!$C:$X,2+$F12,0)))/16</f>
        <v>197.29638377572053</v>
      </c>
      <c r="FE12" s="209">
        <f>(IF(FE$7="X",VLOOKUP(FE$10,'VK-Hooned-Soojus'!$C:$X,2+$C12,FALSE),0)+IF(FE$6="X",VLOOKUP(FE$10,'VK-Transport'!$C:$X,2+$B12,0))+IF(FE$8="X",VLOOKUP(FE$10,'VK-Elekter'!$C:$X,2+$D12,0))+IF(FE$9="X",VLOOKUP(FE$10,'VK-Biokütused'!$C:$U,2+$E12,0))+IF(FE$5="X",VLOOKUP(FE$10,'VK-Põlevkivi'!$C:$X,2+$G12,0))+IF(FE$4="X",VLOOKUP(FE$10,'VK-Võrgud'!$C:$X,2+$F12,0)))/16</f>
        <v>-15.233219880632102</v>
      </c>
      <c r="FF12" s="209">
        <f>(IF(FF$7="X",VLOOKUP(FF$10,'VK-Hooned-Soojus'!$C:$X,2+$C12,FALSE),0)+IF(FF$6="X",VLOOKUP(FF$10,'VK-Transport'!$C:$X,2+$B12,0))+IF(FF$8="X",VLOOKUP(FF$10,'VK-Elekter'!$C:$X,2+$D12,0))+IF(FF$9="X",VLOOKUP(FF$10,'VK-Biokütused'!$C:$U,2+$E12,0))+IF(FF$5="X",VLOOKUP(FF$10,'VK-Põlevkivi'!$C:$X,2+$G12,0))+IF(FF$4="X",VLOOKUP(FF$10,'VK-Võrgud'!$C:$X,2+$F12,0)))/16</f>
        <v>57.946486188139225</v>
      </c>
      <c r="FG12" s="88">
        <f t="shared" ref="FG12:FG75" ca="1" si="30">SUM(EN12,FE12,FF12)</f>
        <v>42.713266307507126</v>
      </c>
      <c r="FH12" s="88"/>
      <c r="FI12" s="88"/>
      <c r="FJ12" s="88">
        <f>VLOOKUP(Tulemused!$BN$12,data!M$7:N$12,2,FALSE)-SUM(L12,M12)</f>
        <v>-3.4066444444444528</v>
      </c>
      <c r="FK12" s="209" t="str">
        <f>IF(AZ12&lt;=VLOOKUP(Tulemused!$BN$15,data!$E$36:$F$39,2,FALSE),"JAH","EI")</f>
        <v>JAH</v>
      </c>
      <c r="FL12" s="235">
        <f ca="1">IF(ISNA(MATCH($A12,INDIRECT(VLOOKUP(Tulemused!$BF$11,data!$J$57:$M$71,4,FALSE)))),0,MATCH($A12,INDIRECT(VLOOKUP(Tulemused!$BF$11,data!$J$57:$M$71,4,FALSE))))</f>
        <v>0</v>
      </c>
      <c r="FM12" s="235" t="str">
        <f t="shared" ca="1" si="10"/>
        <v>JAH</v>
      </c>
      <c r="FN12" s="209">
        <f>VLOOKUP(Tulemused!$BN$13,data!$C$132:$D$137,2,FALSE)-KOMBI!R12</f>
        <v>2.5658331784169404</v>
      </c>
      <c r="FO12" s="209"/>
      <c r="FP12" s="209">
        <f>VLOOKUP(Tulemused!$BN$17,NO_x,2,FALSE)-CJ12</f>
        <v>9.23</v>
      </c>
      <c r="FQ12" s="209">
        <f>VLOOKUP(Tulemused!$BN$18,SO_2,2,FALSE)-CK12</f>
        <v>39.075456865628695</v>
      </c>
      <c r="FR12" s="209">
        <f>VLOOKUP(Tulemused!$BN$19,LOU,2,FALSE)-CN12</f>
        <v>34.054000000000002</v>
      </c>
      <c r="FS12" s="209">
        <f>VLOOKUP(Tulemused!$BN$20,PM_2.5,2,FALSE)-CM12</f>
        <v>8.36</v>
      </c>
      <c r="FT12" s="209">
        <f>VLOOKUP(Tulemused!$BN$13,data!$C$132:$D$137,2,FALSE)-FA12/1000</f>
        <v>2.5520630000000004</v>
      </c>
      <c r="FU12" s="209">
        <f>VLOOKUP(Tulemused!$BN$17,NO_x,2,FALSE)-CO12</f>
        <v>3.7743502267145423</v>
      </c>
      <c r="FV12" s="209">
        <f>VLOOKUP(Tulemused!$BN$18,SO_2,2,FALSE)-CP12</f>
        <v>38.058051415704384</v>
      </c>
      <c r="FW12" s="209">
        <f>VLOOKUP(Tulemused!$BN$19,LOU,2,FALSE)-CS12</f>
        <v>33.09384759487839</v>
      </c>
      <c r="FX12" s="209">
        <f>VLOOKUP(Tulemused!$BN$20,PM_2.5,2,FALSE)-CR12</f>
        <v>8.8042466437251949</v>
      </c>
      <c r="FY12" s="209">
        <f>VLOOKUP(Tulemused!$BN$14,KHG_2050,2,FALSE)-EF12</f>
        <v>94.042363178416934</v>
      </c>
      <c r="FZ12" s="231" t="str">
        <f t="shared" ref="FZ12:FZ75" ca="1" si="31">IF((FJ12&lt;0)+(FK12="EI")+(FM12="EI")+(FN12&lt;0)+(FO12&lt;0)+(FP12&lt;0)+(FQ12&lt;0)+(FR12&lt;0)+(FS12&lt;0)+(FT12&lt;0)+(FU12&lt;0)+(FV12&lt;0)+(FW12&lt;0)+(FX12&lt;0)+(FY12&lt;0),"EI","JAH")</f>
        <v>EI</v>
      </c>
      <c r="GA12" s="209"/>
      <c r="GB12" s="209"/>
      <c r="GC12" s="209"/>
      <c r="GD12" s="231"/>
      <c r="GE12" s="87">
        <f t="shared" si="11"/>
        <v>2424</v>
      </c>
      <c r="GF12" s="232" t="str">
        <f t="shared" ref="GF12:GF75" ca="1" si="32">IF(FZ12="EI","",GE12)</f>
        <v/>
      </c>
      <c r="GH12" s="238">
        <f t="shared" ca="1" si="12"/>
        <v>483</v>
      </c>
      <c r="GI12" s="87">
        <f t="array" aca="1" ref="GI12" ca="1">INDEX($A$11:$A$145, SMALL(IF(GH12=$GF$11:$GF$145, MATCH(ROW($GF$11:$GF$145), ROW($GF$11:$GF$145))), SUM(--(GH12=$GH$11:GH12))))</f>
        <v>128</v>
      </c>
      <c r="GM12" s="209">
        <f>IF(GM$7="X",VLOOKUP(GM$10,'VK-Hooned-Soojus'!$C:$X,2+$C12,FALSE),0)+IF(GM$6="X",VLOOKUP(GM$10,'VK-Transport'!$C:$X,2+$B12,0))+IF(GM$8="X",VLOOKUP(GM$10,'VK-Elekter'!$C:$X,2+$D12,0))+IF(GM$9="X",VLOOKUP(GM$10,'VK-Biokütused'!$C:$U,2+$E12,0))+IF(GM$5="X",VLOOKUP(GM$10,'VK-Põlevkivi'!$C:$X,2+$G12,0))+IF(GM$4="X",VLOOKUP(GM$10,'VK-Võrgud'!$C:$X,2+$F12,0))</f>
        <v>6.012827991027228</v>
      </c>
      <c r="GN12" s="209">
        <f>IF(GN$7="X",VLOOKUP(GN$10,'VK-Hooned-Soojus'!$C:$X,2+$C12,FALSE),0)+IF(GN$6="X",VLOOKUP(GN$10,'VK-Transport'!$C:$X,2+$B12,0))+IF(GN$8="X",VLOOKUP(GN$10,'VK-Elekter'!$C:$X,2+$D12,0))+IF(GN$9="X",VLOOKUP(GN$10,'VK-Biokütused'!$C:$U,2+$E12,0))+IF(GN$5="X",VLOOKUP(GN$10,'VK-Põlevkivi'!$C:$X,2+$G12,0))+IF(GN$4="X",VLOOKUP(GN$10,'VK-Võrgud'!$C:$X,2+$F12,0))</f>
        <v>3.4467619395011728</v>
      </c>
      <c r="GO12" s="209">
        <f>IF(GO$7="X",VLOOKUP(GO$10,'VK-Hooned-Soojus'!$C:$X,2+$C12,FALSE),0)+IF(GO$6="X",VLOOKUP(GO$10,'VK-Transport'!$C:$X,2+$B12,0))+IF(GO$8="X",VLOOKUP(GO$10,'VK-Elekter'!$C:$X,2+$D12,0))+IF(GO$9="X",VLOOKUP(GO$10,'VK-Biokütused'!$C:$U,2+$E12,0))+IF(GO$5="X",VLOOKUP(GO$10,'VK-Põlevkivi'!$C:$X,2+$G12,0))+IF(GO$4="X",VLOOKUP(GO$10,'VK-Võrgud'!$C:$X,2+$F12,0))</f>
        <v>8.7471755658278116</v>
      </c>
      <c r="GP12" s="209">
        <f>IF(GP$7="X",VLOOKUP(GP$10,'VK-Hooned-Soojus'!$C:$X,2+$C12,FALSE),0)+IF(GP$6="X",VLOOKUP(GP$10,'VK-Transport'!$C:$X,2+$B12,0))+IF(GP$8="X",VLOOKUP(GP$10,'VK-Elekter'!$C:$X,2+$D12,0))+IF(GP$9="X",VLOOKUP(GP$10,'VK-Biokütused'!$C:$U,2+$E12,0))+IF(GP$5="X",VLOOKUP(GP$10,'VK-Põlevkivi'!$C:$X,2+$G12,0))+IF(GP$4="X",VLOOKUP(GP$10,'VK-Võrgud'!$C:$X,2+$F12,0))</f>
        <v>9.3279335818485372</v>
      </c>
      <c r="GQ12" s="88">
        <f>IF(GQ$7="X",VLOOKUP(GQ$10,'VK-Hooned-Soojus'!$C:$X,2+$C12,FALSE),0)+IF(GQ$6="X",VLOOKUP(GQ$10,'VK-Transport'!$C:$X,2+$B12,0))+IF(GQ$8="X",VLOOKUP(GQ$10,'VK-Elekter'!$C:$X,2+$D12,0))+IF(GQ$9="X",VLOOKUP(GQ$10,'VK-Biokütused'!$C:$U,2+$E12,0))+IF(GQ$5="X",VLOOKUP(GQ$10,'VK-Põlevkivi'!$C:$X,2+$G12,0))+IF(GQ$4="X",VLOOKUP(GQ$10,'VK-Võrgud'!$C:$X,2+$F12,0))</f>
        <v>0.9682855968523334</v>
      </c>
      <c r="GR12" s="186">
        <f t="shared" ref="GR12:GR75" si="33">SUM(GN12,GP12,GQ12)/SUM(L12,M12)</f>
        <v>0.37922714679774455</v>
      </c>
    </row>
    <row r="13" spans="1:200" x14ac:dyDescent="0.2">
      <c r="A13" s="184">
        <v>3</v>
      </c>
      <c r="B13" s="87">
        <v>1</v>
      </c>
      <c r="C13" s="87">
        <v>1</v>
      </c>
      <c r="D13" s="87">
        <v>1</v>
      </c>
      <c r="E13" s="87">
        <v>3</v>
      </c>
      <c r="F13" s="87">
        <f>VLOOKUP(Tulemused!$BF$7,data!$J$6:$K$8,2,FALSE)</f>
        <v>2</v>
      </c>
      <c r="G13" s="87">
        <f>VLOOKUP(data!$H$2,data!$J$12:$K$14,2,FALSE)</f>
        <v>2</v>
      </c>
      <c r="I13" s="209">
        <f>IF(I$7="X",VLOOKUP(I$10,'VK-Hooned-Soojus'!$C:$X,2+$C13,FALSE),0)+IF(I$6="X",VLOOKUP(I$10,'VK-Transport'!$C:$X,2+$B13,0))+IF(I$8="X",VLOOKUP(I$10,'VK-Elekter'!$C:$X,2+$D13,0))+IF(I$9="X",VLOOKUP(I$10,'VK-Biokütused'!$C:$U,2+$E13,0))+IF(I$5="X",VLOOKUP(I$10,'VK-Põlevkivi'!$C:$X,2+$G13,0))+IF(I$4="X",VLOOKUP(I$10,'VK-Võrgud'!$C:$X,2+$F13,0))</f>
        <v>26.89</v>
      </c>
      <c r="J13" s="209">
        <f>IF(J$7="X",VLOOKUP(J$10,'VK-Hooned-Soojus'!$C:$X,2+$C13,FALSE),0)+IF(J$6="X",VLOOKUP(J$10,'VK-Transport'!$C:$X,2+$B13,0))+IF(J$8="X",VLOOKUP(J$10,'VK-Elekter'!$C:$X,2+$D13,0))+IF(J$9="X",VLOOKUP(J$10,'VK-Biokütused'!$C:$U,2+$E13,0))+IF(J$5="X",VLOOKUP(J$10,'VK-Põlevkivi'!$C:$X,2+$G13,0))+IF(J$4="X",VLOOKUP(J$10,'VK-Võrgud'!$C:$X,2+$F13,0))</f>
        <v>13.295833333333334</v>
      </c>
      <c r="K13" s="209">
        <f>IF(K$7="X",VLOOKUP(K$10,'VK-Hooned-Soojus'!$C:$X,2+$C13,FALSE),0)+IF(K$6="X",VLOOKUP(K$10,'VK-Transport'!$C:$X,2+$B13,0))+IF(K$8="X",VLOOKUP(K$10,'VK-Elekter'!$C:$X,2+$D13,0))+IF(K$9="X",VLOOKUP(K$10,'VK-Biokütused'!$C:$U,2+$E13,0))+IF(K$5="X",VLOOKUP(K$10,'VK-Põlevkivi'!$C:$X,2+$G13,0))+IF(K$4="X",VLOOKUP(K$10,'VK-Võrgud'!$C:$X,2+$F13,0))</f>
        <v>16.75</v>
      </c>
      <c r="L13" s="209">
        <f>IF(L$7="X",VLOOKUP(L$10,'VK-Hooned-Soojus'!$C:$X,2+$C13,FALSE),0)+IF(L$6="X",VLOOKUP(L$10,'VK-Transport'!$C:$X,2+$B13,0))+IF(L$8="X",VLOOKUP(L$10,'VK-Elekter'!$C:$X,2+$D13,0))+IF(L$9="X",VLOOKUP(L$10,'VK-Biokütused'!$C:$U,2+$E13,0))+IF(L$5="X",VLOOKUP(L$10,'VK-Põlevkivi'!$C:$X,2+$G13,0))+IF(L$4="X",VLOOKUP(L$10,'VK-Võrgud'!$C:$X,2+$F13,0))</f>
        <v>24.95</v>
      </c>
      <c r="M13" s="209">
        <f>IF(M$7="X",VLOOKUP(M$10,'VK-Hooned-Soojus'!$C:$X,2+$C13,FALSE),0)+IF(M$6="X",VLOOKUP(M$10,'VK-Transport'!$C:$X,2+$B13,0))+IF(M$8="X",VLOOKUP(M$10,'VK-Elekter'!$C:$X,2+$D13,0))+IF(M$9="X",VLOOKUP(M$10,'VK-Biokütused'!$C:$U,2+$E13,0))+IF(M$5="X",VLOOKUP(M$10,'VK-Põlevkivi'!$C:$X,2+$G13,0))+IF(M$4="X",VLOOKUP(M$10,'VK-Võrgud'!$C:$X,2+$F13,0))</f>
        <v>11.289444444444445</v>
      </c>
      <c r="N13" s="209">
        <f>IF(N$7="X",VLOOKUP(N$10,'VK-Hooned-Soojus'!$C:$X,2+$C13,FALSE),0)+IF(N$6="X",VLOOKUP(N$10,'VK-Transport'!$C:$X,2+$B13,0))+IF(N$8="X",VLOOKUP(N$10,'VK-Elekter'!$C:$X,2+$D13,0))+IF(N$9="X",VLOOKUP(N$10,'VK-Biokütused'!$C:$U,2+$E13,0))+IF(N$5="X",VLOOKUP(N$10,'VK-Põlevkivi'!$C:$X,2+$G13,0))+IF(N$4="X",VLOOKUP(N$10,'VK-Võrgud'!$C:$X,2+$F13,0))</f>
        <v>16.75</v>
      </c>
      <c r="O13" s="209">
        <f t="shared" si="13"/>
        <v>40.185833333333335</v>
      </c>
      <c r="P13" s="209"/>
      <c r="Q13" s="209">
        <f>(IF(Q$7="X",VLOOKUP(Q$10,'VK-Hooned-Soojus'!$C:$X,2+$C13,FALSE),0)+IF(Q$6="X",VLOOKUP(Q$10,'VK-Transport'!$C:$X,2+$B13,0))+IF(Q$8="X",VLOOKUP(Q$10,'VK-Elekter'!$C:$X,2+$D13,0))+IF(Q$9="X",VLOOKUP(Q$10,'VK-Biokütused'!$C:$U,2+$E13,0))+IF(Q$5="X",VLOOKUP(Q$10,'VK-Põlevkivi'!$C:$X,2+$G13,0))+IF(Q$4="X",VLOOKUP(Q$10,'VK-Võrgud'!$C:$X,2+$F13,0)))/1000</f>
        <v>5.3310000000000004</v>
      </c>
      <c r="R13" s="209">
        <f>(IF(R$7="X",VLOOKUP(R$10,'VK-Hooned-Soojus'!$C:$X,2+$C13,FALSE),0)+IF(R$6="X",VLOOKUP(R$10,'VK-Transport'!$C:$X,2+$B13,0))+IF(R$8="X",VLOOKUP(R$10,'VK-Elekter'!$C:$X,2+$D13,0))+IF(R$9="X",VLOOKUP(R$10,'VK-Biokütused'!$C:$U,2+$E13,0))+IF(R$5="X",VLOOKUP(R$10,'VK-Põlevkivi'!$C:$X,2+$G13,0))+IF(R$4="X",VLOOKUP(R$10,'VK-Võrgud'!$C:$X,2+$F13,0)))/1000</f>
        <v>3.8888368215830607</v>
      </c>
      <c r="S13" s="226">
        <f>VLOOKUP(S$10,'VK-Hooned-Soojus'!$C:$I,2+$C13,FALSE) + VLOOKUP(S$10,'VK-Transport'!$C:$I,2+$B13,FALSE)+ VLOOKUP(S$10,'VK-Biokütused'!$C:$G,2+$E13,FALSE)+ VLOOKUP(S$10,'VK-Elekter'!$C:$I,2+$D13,FALSE)+ VLOOKUP(S$10,'VK-Põlevkivi'!$C:$I,2+$G13,FALSE)+ VLOOKUP(S$10,'VK-Võrgud'!$C:$I,2+$F13,FALSE)</f>
        <v>1.2610534105049559E-2</v>
      </c>
      <c r="T13" s="226">
        <f>VLOOKUP(T$10,'VK-Hooned-Soojus'!$C:$I,2+$C13,FALSE) + VLOOKUP(T$10,'VK-Transport'!$C:$I,2+$B13,FALSE)+ VLOOKUP(T$10,'VK-Biokütused'!$C:$G,2+$E13,FALSE)+ VLOOKUP(T$10,'VK-Elekter'!$C:$I,2+$D13,FALSE)+ VLOOKUP(T$10,'VK-Põlevkivi'!$C:$I,2+$G13,FALSE)+ VLOOKUP(T$10,'VK-Võrgud'!$C:$I,2+$F13,FALSE)</f>
        <v>-5.1255533091883951E-3</v>
      </c>
      <c r="U13" s="226">
        <f>VLOOKUP(U$10,'VK-Hooned-Soojus'!$C:$I,2+$C13,FALSE) + VLOOKUP(U$10,'VK-Transport'!$C:$I,2+$B13,FALSE)+ VLOOKUP(U$10,'VK-Biokütused'!$C:$G,2+$E13,FALSE)+ VLOOKUP(U$10,'VK-Elekter'!$C:$I,2+$D13,FALSE)+ VLOOKUP(U$10,'VK-Põlevkivi'!$C:$I,2+$G13,FALSE)+ VLOOKUP(U$10,'VK-Võrgud'!$C:$I,2+$F13,FALSE)</f>
        <v>3.8889579313898526E-3</v>
      </c>
      <c r="V13" s="226">
        <f>VLOOKUP(V$10,'VK-Hooned-Soojus'!$C:$I,2+$C13,FALSE) + VLOOKUP(V$10,'VK-Transport'!$C:$I,2+$B13,FALSE)+ VLOOKUP(V$10,'VK-Biokütused'!$C:$G,2+$E13,FALSE)+ VLOOKUP(V$10,'VK-Elekter'!$C:$I,2+$D13,FALSE)+ VLOOKUP(V$10,'VK-Põlevkivi'!$C:$I,2+$G13,FALSE)+ VLOOKUP(V$10,'VK-Võrgud'!$C:$I,2+$F13,FALSE)</f>
        <v>8.8336895158420449E-3</v>
      </c>
      <c r="W13" s="226">
        <f>VLOOKUP(W$10,'VK-Hooned-Soojus'!$C:$I,2+$C13,FALSE) + VLOOKUP(W$10,'VK-Transport'!$C:$I,2+$B13,FALSE)+ VLOOKUP(W$10,'VK-Biokütused'!$C:$G,2+$E13,FALSE)+ VLOOKUP(W$10,'VK-Elekter'!$C:$I,2+$D13,FALSE)+ VLOOKUP(W$10,'VK-Põlevkivi'!$C:$I,2+$G13,FALSE)+ VLOOKUP(W$10,'VK-Võrgud'!$C:$I,2+$F13,FALSE)</f>
        <v>8.2132861417106191E-3</v>
      </c>
      <c r="X13" s="226">
        <f>VLOOKUP(X$10,'VK-Hooned-Soojus'!$C:$I,2+$C13,FALSE) + VLOOKUP(X$10,'VK-Transport'!$C:$I,2+$B13,FALSE)+ VLOOKUP(X$10,'VK-Biokütused'!$C:$G,2+$E13,FALSE)+ VLOOKUP(X$10,'VK-Elekter'!$C:$I,2+$D13,FALSE)+ VLOOKUP(X$10,'VK-Põlevkivi'!$C:$I,2+$G13,FALSE)+ VLOOKUP(X$10,'VK-Võrgud'!$C:$I,2+$F13,FALSE)</f>
        <v>2.5927721359240083E-3</v>
      </c>
      <c r="Y13" s="226">
        <f>VLOOKUP(Y$10,'VK-Hooned-Soojus'!$C:$I,2+$C13,FALSE) + VLOOKUP(Y$10,'VK-Transport'!$C:$I,2+$B13,FALSE)+ VLOOKUP(Y$10,'VK-Biokütused'!$C:$G,2+$E13,FALSE)+ VLOOKUP(Y$10,'VK-Elekter'!$C:$I,2+$D13,FALSE)+ VLOOKUP(Y$10,'VK-Põlevkivi'!$C:$I,2+$G13,FALSE)+ VLOOKUP(Y$10,'VK-Võrgud'!$C:$I,2+$F13,FALSE)</f>
        <v>2.5596817726202137E-3</v>
      </c>
      <c r="Z13" s="227">
        <f>(S13*Tulemused!$Q$9*10+T13*Tulemused!$Q$10*10+KOMBI!U13*Tulemused!$Q$11*10+KOMBI!V13*Tulemused!$Q$12*10)*Tulemused!$Q$8+-(W13*Tulemused!$Q$14*10+KOMBI!X13*Tulemused!$Q$15*10+KOMBI!Y13*Tulemused!$Q$16*10)*Tulemused!$Q$13</f>
        <v>1.8799565399939138</v>
      </c>
      <c r="AA13" s="228">
        <f>(IF(AA$7="X",VLOOKUP(AA$10,'VK-Hooned-Soojus'!$C:$X,2+$C13,FALSE),0)+IF(AA$6="X",VLOOKUP(AA$10,'VK-Transport'!$C:$X,2+$B13,0))+IF(AA$8="X",VLOOKUP(AA$10,'VK-Elekter'!$C:$X,2+$D13,0))+IF(AA$9="X",VLOOKUP(AA$10,'VK-Biokütused'!$C:$U,2+$E13,0))+IF(AA$5="X",VLOOKUP(AA$10,'VK-Põlevkivi'!$C:$X,2+$G13,0))+IF(AA$4="X",VLOOKUP(AA$10,'VK-Võrgud'!$C:$X,2+$F13,0)))</f>
        <v>3729</v>
      </c>
      <c r="AB13" s="228">
        <f>(IF(AB$7="X",VLOOKUP(AB$10,'VK-Hooned-Soojus'!$C:$X,2+$C13,FALSE),0)+IF(AB$6="X",VLOOKUP(AB$10,'VK-Transport'!$C:$X,2+$B13,0))+IF(AB$8="X",VLOOKUP(AB$10,'VK-Elekter'!$C:$X,2+$D13,0))+IF(AB$9="X",VLOOKUP(AB$10,'VK-Biokütused'!$C:$U,2+$E13,0))+IF(AB$5="X",VLOOKUP(AB$10,'VK-Põlevkivi'!$C:$X,2+$G13,0))+IF(AB$4="X",VLOOKUP(AB$10,'VK-Võrgud'!$C:$X,2+$F13,0)))</f>
        <v>1602</v>
      </c>
      <c r="AC13" s="228">
        <f>(IF(AC$7="X",VLOOKUP(AC$10,'VK-Hooned-Soojus'!$C:$X,2+$C13,FALSE),0)+IF(AC$6="X",VLOOKUP(AC$10,'VK-Transport'!$C:$X,2+$B13,0))+IF(AC$8="X",VLOOKUP(AC$10,'VK-Elekter'!$C:$X,2+$D13,0))+IF(AC$9="X",VLOOKUP(AC$10,'VK-Biokütused'!$C:$U,2+$E13,0))+IF(AC$5="X",VLOOKUP(AC$10,'VK-Põlevkivi'!$C:$X,2+$G13,0))+IF(AC$4="X",VLOOKUP(AC$10,'VK-Võrgud'!$C:$X,2+$F13,0)))</f>
        <v>2346</v>
      </c>
      <c r="AD13" s="228">
        <f>(IF(AD$7="X",VLOOKUP(AD$10,'VK-Hooned-Soojus'!$C:$X,2+$C13,FALSE),0)+IF(AD$6="X",VLOOKUP(AD$10,'VK-Transport'!$C:$X,2+$B13,0))+IF(AD$8="X",VLOOKUP(AD$10,'VK-Elekter'!$C:$X,2+$D13,0))+IF(AD$9="X",VLOOKUP(AD$10,'VK-Biokütused'!$C:$U,2+$E13,0))+IF(AD$5="X",VLOOKUP(AD$10,'VK-Põlevkivi'!$C:$X,2+$G13,0))+IF(AD$4="X",VLOOKUP(AD$10,'VK-Võrgud'!$C:$X,2+$F13,0)))</f>
        <v>586.20000000000005</v>
      </c>
      <c r="AE13" s="228">
        <f>(IF(AE$7="X",VLOOKUP(AE$10,'VK-Hooned-Soojus'!$C:$X,2+$C13,FALSE),0)+IF(AE$6="X",VLOOKUP(AE$10,'VK-Transport'!$C:$X,2+$B13,0))+IF(AE$8="X",VLOOKUP(AE$10,'VK-Elekter'!$C:$X,2+$D13,0))+IF(AE$9="X",VLOOKUP(AE$10,'VK-Biokütused'!$C:$U,2+$E13,0))+IF(AE$5="X",VLOOKUP(AE$10,'VK-Põlevkivi'!$C:$X,2+$G13,0))+IF(AE$4="X",VLOOKUP(AE$10,'VK-Võrgud'!$C:$X,2+$F13,0)))</f>
        <v>812</v>
      </c>
      <c r="AF13" s="228">
        <f>(IF(AF$7="X",VLOOKUP(AF$10,'VK-Hooned-Soojus'!$C:$X,2+$C13,FALSE),0)+IF(AF$6="X",VLOOKUP(AF$10,'VK-Transport'!$C:$X,2+$B13,0))+IF(AF$8="X",VLOOKUP(AF$10,'VK-Elekter'!$C:$X,2+$D13,0))+IF(AF$9="X",VLOOKUP(AF$10,'VK-Biokütused'!$C:$U,2+$E13,0))+IF(AF$5="X",VLOOKUP(AF$10,'VK-Põlevkivi'!$C:$X,2+$G13,0))+IF(AF$4="X",VLOOKUP(AF$10,'VK-Võrgud'!$C:$X,2+$F13,0)))</f>
        <v>2490.6368215830603</v>
      </c>
      <c r="AG13" s="209"/>
      <c r="AH13" s="209">
        <f>IF(AH$7="X",VLOOKUP(AH$10,'VK-Hooned-Soojus'!$C:$X,2+$C13,FALSE),0)+IF(AH$6="X",VLOOKUP(AH$10,'VK-Transport'!$C:$X,2+$B13,0))+IF(AH$8="X",VLOOKUP(AH$10,'VK-Elekter'!$C:$X,2+$D13,0))+IF(AH$9="X",VLOOKUP(AH$10,'VK-Biokütused'!$C:$U,2+$E13,0))+IF(AH$5="X",VLOOKUP(AH$10,'VK-Põlevkivi'!$C:$X,2+$G13,0))+IF(AH$4="X",VLOOKUP(AH$10,'VK-Võrgud'!$C:$X,2+$F13,0))</f>
        <v>11.629999999999999</v>
      </c>
      <c r="AI13" s="209">
        <f>IF(AI$7="X",VLOOKUP(AI$10,'VK-Hooned-Soojus'!$C:$X,2+$C13,FALSE),0)+IF(AI$6="X",VLOOKUP(AI$10,'VK-Transport'!$C:$X,2+$B13,0))+IF(AI$8="X",VLOOKUP(AI$10,'VK-Elekter'!$C:$X,2+$D13,0))+IF(AI$9="X",VLOOKUP(AI$10,'VK-Biokütused'!$C:$U,2+$E13,0))+IF(AI$5="X",VLOOKUP(AI$10,'VK-Põlevkivi'!$C:$X,2+$G13,0))+IF(AI$4="X",VLOOKUP(AI$10,'VK-Võrgud'!$C:$X,2+$F13,0))</f>
        <v>2.3100000000000005</v>
      </c>
      <c r="AJ13" s="209">
        <f>IF(AJ$7="X",VLOOKUP(AJ$10,'VK-Hooned-Soojus'!$C:$X,2+$C13,FALSE),0)+IF(AJ$6="X",VLOOKUP(AJ$10,'VK-Transport'!$C:$X,2+$B13,0))+IF(AJ$8="X",VLOOKUP(AJ$10,'VK-Elekter'!$C:$X,2+$D13,0))+IF(AJ$9="X",VLOOKUP(AJ$10,'VK-Biokütused'!$C:$U,2+$E13,0))+IF(AJ$5="X",VLOOKUP(AJ$10,'VK-Põlevkivi'!$C:$X,2+$G13,0))+IF(AJ$4="X",VLOOKUP(AJ$10,'VK-Võrgud'!$C:$X,2+$F13,0))</f>
        <v>9.24</v>
      </c>
      <c r="AK13" s="209">
        <f>IF(AK$7="X",VLOOKUP(AK$10,'VK-Hooned-Soojus'!$C:$X,2+$C13,FALSE),0)+IF(AK$6="X",VLOOKUP(AK$10,'VK-Transport'!$C:$X,2+$B13,0))+IF(AK$8="X",VLOOKUP(AK$10,'VK-Elekter'!$C:$X,2+$D13,0))+IF(AK$9="X",VLOOKUP(AK$10,'VK-Biokütused'!$C:$U,2+$E13,0))+IF(AK$5="X",VLOOKUP(AK$10,'VK-Põlevkivi'!$C:$X,2+$G13,0))+IF(AK$4="X",VLOOKUP(AK$10,'VK-Võrgud'!$C:$X,2+$F13,0))</f>
        <v>2.78</v>
      </c>
      <c r="AL13" s="209">
        <f>IF(AL$7="X",VLOOKUP(AL$10,'VK-Hooned-Soojus'!$C:$X,2+$C13,FALSE),0)+IF(AL$6="X",VLOOKUP(AL$10,'VK-Transport'!$C:$X,2+$B13,0))+IF(AL$8="X",VLOOKUP(AL$10,'VK-Elekter'!$C:$X,2+$D13,0))+IF(AL$9="X",VLOOKUP(AL$10,'VK-Biokütused'!$C:$U,2+$E13,0))+IF(AL$5="X",VLOOKUP(AL$10,'VK-Põlevkivi'!$C:$X,2+$G13,0))+IF(AL$4="X",VLOOKUP(AL$10,'VK-Võrgud'!$C:$X,2+$F13,0))</f>
        <v>7.1999999999999993</v>
      </c>
      <c r="AM13" s="209">
        <f>IF(AM$7="X",VLOOKUP(AM$10,'VK-Hooned-Soojus'!$C:$X,2+$C13,FALSE),0)+IF(AM$6="X",VLOOKUP(AM$10,'VK-Transport'!$C:$X,2+$B13,0))+IF(AM$8="X",VLOOKUP(AM$10,'VK-Elekter'!$C:$X,2+$D13,0))+IF(AM$9="X",VLOOKUP(AM$10,'VK-Biokütused'!$C:$U,2+$E13,0))+IF(AM$5="X",VLOOKUP(AM$10,'VK-Põlevkivi'!$C:$X,2+$G13,0))+IF(AM$4="X",VLOOKUP(AM$10,'VK-Võrgud'!$C:$X,2+$F13,0))</f>
        <v>12.9</v>
      </c>
      <c r="AN13" s="209">
        <f>IF(AN$7="X",VLOOKUP(AN$10,'VK-Hooned-Soojus'!$C:$X,2+$C13,FALSE),0)+IF(AN$6="X",VLOOKUP(AN$10,'VK-Transport'!$C:$X,2+$B13,0))+IF(AN$8="X",VLOOKUP(AN$10,'VK-Elekter'!$C:$X,2+$D13,0))+IF(AN$9="X",VLOOKUP(AN$10,'VK-Biokütused'!$C:$U,2+$E13,0))+IF(AN$5="X",VLOOKUP(AN$10,'VK-Põlevkivi'!$C:$X,2+$G13,0))+IF(AN$4="X",VLOOKUP(AN$10,'VK-Võrgud'!$C:$X,2+$F13,0))</f>
        <v>5.6999999999999993</v>
      </c>
      <c r="AO13" s="209">
        <f>IF(AO$7="X",VLOOKUP(AO$10,'VK-Hooned-Soojus'!$C:$X,2+$C13,FALSE),0)+IF(AO$6="X",VLOOKUP(AO$10,'VK-Transport'!$C:$X,2+$B13,0))+IF(AO$8="X",VLOOKUP(AO$10,'VK-Elekter'!$C:$X,2+$D13,0))+IF(AO$9="X",VLOOKUP(AO$10,'VK-Biokütused'!$C:$U,2+$E13,0))+IF(AO$5="X",VLOOKUP(AO$10,'VK-Põlevkivi'!$C:$X,2+$G13,0))+IF(AO$4="X",VLOOKUP(AO$10,'VK-Võrgud'!$C:$X,2+$F13,0))</f>
        <v>13.56</v>
      </c>
      <c r="AP13" s="209">
        <f>IF(AP$7="X",VLOOKUP(AP$10,'VK-Hooned-Soojus'!$C:$X,2+$C13,FALSE),0)+IF(AP$6="X",VLOOKUP(AP$10,'VK-Transport'!$C:$X,2+$B13,0))+IF(AP$8="X",VLOOKUP(AP$10,'VK-Elekter'!$C:$X,2+$D13,0))+IF(AP$9="X",VLOOKUP(AP$10,'VK-Biokütused'!$C:$U,2+$E13,0))+IF(AP$5="X",VLOOKUP(AP$10,'VK-Põlevkivi'!$C:$X,2+$G13,0))+IF(AP$4="X",VLOOKUP(AP$10,'VK-Võrgud'!$C:$X,2+$F13,0))</f>
        <v>6.78</v>
      </c>
      <c r="AQ13" s="320">
        <f t="shared" si="14"/>
        <v>1.2599999999999998</v>
      </c>
      <c r="AR13" s="209">
        <f>IF(AR$7="X",VLOOKUP(AR$10,'VK-Hooned-Soojus'!$C:$X,2+$C13,FALSE),0)+IF(AR$6="X",VLOOKUP(AR$10,'VK-Transport'!$C:$X,2+$B13,0))+IF(AR$8="X",VLOOKUP(AR$10,'VK-Elekter'!$C:$X,2+$D13,0))+IF(AR$9="X",VLOOKUP(AR$10,'VK-Biokütused'!$C:$U,2+$E13,0))+IF(AR$5="X",VLOOKUP(AR$10,'VK-Põlevkivi'!$C:$X,2+$G13,0))+IF(AR$4="X",VLOOKUP(AR$10,'VK-Võrgud'!$C:$X,2+$F13,0))</f>
        <v>3.4899999999999998</v>
      </c>
      <c r="AS13" s="320">
        <f>VLOOKUP("Kütuste tarbimine @ 2030 - UTTEGAAS",'VK-Hooned-Soojus'!$C:$X,2+$C13,FALSE)/0.172+VLOOKUP("Kütuste tarbimine @ 2030 - UTTEGAAS",'VK-Elekter'!$C:$X,2+$D13,FALSE)/0.172-AR13-AU13</f>
        <v>2.7565116279069759</v>
      </c>
      <c r="AT13" s="209">
        <f>IF(AT$7="X",VLOOKUP(AT$10,'VK-Hooned-Soojus'!$C:$X,2+$C13,FALSE),0)+IF(AT$6="X",VLOOKUP(AT$10,'VK-Transport'!$C:$X,2+$B13,0))+IF(AT$8="X",VLOOKUP(AT$10,'VK-Elekter'!$C:$X,2+$D13,0))+IF(AT$9="X",VLOOKUP(AT$10,'VK-Biokütused'!$C:$U,2+$E13,0))+IF(AT$5="X",VLOOKUP(AT$10,'VK-Põlevkivi'!$C:$X,2+$G13,0))+IF(AT$4="X",VLOOKUP(AT$10,'VK-Võrgud'!$C:$X,2+$F13,0))</f>
        <v>12.004929222526066</v>
      </c>
      <c r="AU13" s="229">
        <f>MAX(0,(VLOOKUP("Kütuste tarbimine @ 2030 - UTTEGAAS",'VK-Hooned-Soojus'!$C:$X,2+$C13,FALSE)/0.172+VLOOKUP("Kütuste tarbimine @ 2030 - UTTEGAAS",'VK-Elekter'!$C:$X,2+$D13,FALSE)/0.172)*0.52-VLOOKUP("Kütuste tarbimine @ 2030 - PÕLEVKIVIÕLI",'VK-Hooned-Soojus'!$C:$X,2+$C13,FALSE))</f>
        <v>4.6837209302325586</v>
      </c>
      <c r="AV13" s="209">
        <f>IF(AV$7="X",VLOOKUP(AV$10,'VK-Hooned-Soojus'!$C:$X,2+$C13,FALSE),0)+IF(AV$6="X",VLOOKUP(AV$10,'VK-Transport'!$C:$X,2+$B13,0))+IF(AV$8="X",VLOOKUP(AV$10,'VK-Elekter'!$C:$X,2+$D13,0))+IF(AV$9="X",VLOOKUP(AV$10,'VK-Biokütused'!$C:$U,2+$E13,0))+IF(AV$5="X",VLOOKUP(AV$10,'VK-Põlevkivi'!$C:$X,2+$G13,0))+IF(AV$4="X",VLOOKUP(AV$10,'VK-Võrgud'!$C:$X,2+$F13,0))</f>
        <v>1.1831224847375093</v>
      </c>
      <c r="AW13" s="209">
        <f>IF(AW$7="X",VLOOKUP(AW$10,'VK-Hooned-Soojus'!$C:$X,2+$C13,FALSE),0)+IF(AW$6="X",VLOOKUP(AW$10,'VK-Transport'!$C:$X,2+$B13,0))+IF(AW$8="X",VLOOKUP(AW$10,'VK-Elekter'!$C:$X,2+$D13,0))+IF(AW$9="X",VLOOKUP(AW$10,'VK-Biokütused'!$C:$U,2+$E13,0))+IF(AW$5="X",VLOOKUP(AW$10,'VK-Põlevkivi'!$C:$X,2+$G13,0))+IF(AW$4="X",VLOOKUP(AW$10,'VK-Võrgud'!$C:$X,2+$F13,0))</f>
        <v>4.2799999999999994</v>
      </c>
      <c r="AX13" s="229">
        <f>MAX(0,AW13-AV13)</f>
        <v>3.0968775152624901</v>
      </c>
      <c r="AY13" s="229">
        <f t="shared" si="15"/>
        <v>0</v>
      </c>
      <c r="AZ13" s="230">
        <f t="shared" si="0"/>
        <v>0.58722985663449845</v>
      </c>
      <c r="BA13" s="209">
        <f>IF(BA$7="X",VLOOKUP(BA$10,'VK-Hooned-Soojus'!$C:$X,2+$C13,FALSE),0)+IF(BA$6="X",VLOOKUP(BA$10,'VK-Transport'!$C:$X,2+$B13,0))+IF(BA$8="X",VLOOKUP(BA$10,'VK-Elekter'!$C:$X,2+$D13,0))+IF(BA$9="X",VLOOKUP(BA$10,'VK-Biokütused'!$C:$U,2+$E13,0))+IF(BA$5="X",VLOOKUP(BA$10,'VK-Põlevkivi'!$C:$X,2+$G13,0))+IF(BA$4="X",VLOOKUP(BA$10,'VK-Võrgud'!$C:$X,2+$F13,0))</f>
        <v>4.25</v>
      </c>
      <c r="BB13" s="209">
        <f>IF(BB$7="X",VLOOKUP(BB$10,'VK-Hooned-Soojus'!$C:$X,2+$C13,FALSE),0)+IF(BB$6="X",VLOOKUP(BB$10,'VK-Transport'!$C:$X,2+$B13,0))+IF(BB$8="X",VLOOKUP(BB$10,'VK-Elekter'!$C:$X,2+$D13,0))+IF(BB$9="X",VLOOKUP(BB$10,'VK-Biokütused'!$C:$U,2+$E13,0))+IF(BB$5="X",VLOOKUP(BB$10,'VK-Põlevkivi'!$C:$X,2+$G13,0))+IF(BB$4="X",VLOOKUP(BB$10,'VK-Võrgud'!$C:$X,2+$F13,0))</f>
        <v>2.93</v>
      </c>
      <c r="BC13" s="209">
        <f>IF(BC$7="X",VLOOKUP(BC$10,'VK-Hooned-Soojus'!$C:$X,2+$C13,FALSE),0)+IF(BC$6="X",VLOOKUP(BC$10,'VK-Transport'!$C:$X,2+$B13,0))+IF(BC$8="X",VLOOKUP(BC$10,'VK-Elekter'!$C:$X,2+$D13,0))+IF(BC$9="X",VLOOKUP(BC$10,'VK-Biokütused'!$C:$U,2+$E13,0))+IF(BC$5="X",VLOOKUP(BC$10,'VK-Põlevkivi'!$C:$X,2+$G13,0))+IF(BC$4="X",VLOOKUP(BC$10,'VK-Võrgud'!$C:$X,2+$F13,0))</f>
        <v>8.0523611111111126</v>
      </c>
      <c r="BD13" s="209">
        <f>IF(BD$7="X",VLOOKUP(BD$10,'VK-Hooned-Soojus'!$C:$X,2+$C13,FALSE),0)+IF(BD$6="X",VLOOKUP(BD$10,'VK-Transport'!$C:$X,2+$B13,0))+IF(BD$8="X",VLOOKUP(BD$10,'VK-Elekter'!$C:$X,2+$D13,0))+IF(BD$9="X",VLOOKUP(BD$10,'VK-Biokütused'!$C:$U,2+$E13,0))+IF(BD$5="X",VLOOKUP(BD$10,'VK-Põlevkivi'!$C:$X,2+$G13,0))+IF(BD$4="X",VLOOKUP(BD$10,'VK-Võrgud'!$C:$X,2+$F13,0))</f>
        <v>10.42138888888889</v>
      </c>
      <c r="BE13" s="230"/>
      <c r="BF13" s="229">
        <f t="shared" si="16"/>
        <v>0.31068429743275605</v>
      </c>
      <c r="BG13" s="209" t="e">
        <f>(IF(BG$7="X",VLOOKUP(BG$10,'VK-Hooned-Soojus'!$C:$X,2+$C13,FALSE),0)+IF(BG$6="X",VLOOKUP(BG$10,'VK-Transport'!$C:$X,2+$B13,0))+IF(BG$8="X",VLOOKUP(BG$10,'VK-Elekter'!$C:$X,2+$D13,0))+IF(BG$9="X",VLOOKUP(BG$10,'VK-Biokütused'!$C:$U,2+$E13,0))+IF(BG$5="X",VLOOKUP(BG$10,'VK-Põlevkivi'!$C:$X,2+$G13,0))+IF(BG$4="X",VLOOKUP(BG$10,'VK-Võrgud'!$C:$X,2+$F13,0)))/20</f>
        <v>#N/A</v>
      </c>
      <c r="BH13" s="209">
        <f>(IF(BH$7="X",VLOOKUP(BH$10,'VK-Hooned-Soojus'!$C:$X,2+$C13,FALSE),0)+IF(BH$6="X",VLOOKUP(BH$10,'VK-Transport'!$C:$X,2+$B13,0))+IF(BH$8="X",VLOOKUP(BH$10,'VK-Elekter'!$C:$X,2+$D13,0))+IF(BH$9="X",VLOOKUP(BH$10,'VK-Biokütused'!$C:$U,2+$E13,0))+IF(BH$5="X",VLOOKUP(BH$10,'VK-Põlevkivi'!$C:$X,2+$G13,0))+IF(BH$4="X",VLOOKUP(BH$10,'VK-Võrgud'!$C:$X,2+$F13,0)))/20</f>
        <v>13.99</v>
      </c>
      <c r="BI13" s="209">
        <f>(IF(BI$7="X",VLOOKUP(BI$10,'VK-Hooned-Soojus'!$C:$X,2+$C13,FALSE),0)+IF(BI$6="X",VLOOKUP(BI$10,'VK-Transport'!$C:$X,2+$B13,0))+IF(BI$8="X",VLOOKUP(BI$10,'VK-Elekter'!$C:$X,2+$D13,0))+IF(BI$9="X",VLOOKUP(BI$10,'VK-Biokütused'!$C:$U,2+$E13,0))+IF(BI$5="X",VLOOKUP(BI$10,'VK-Põlevkivi'!$C:$X,2+$G13,0))+IF(BI$4="X",VLOOKUP(BI$10,'VK-Võrgud'!$C:$X,2+$F13,0)))/16</f>
        <v>17.75</v>
      </c>
      <c r="BJ13" s="209">
        <f>(IF(BJ$7="X",VLOOKUP(BJ$10,'VK-Hooned-Soojus'!$C:$X,2+$C13,FALSE),0)+IF(BJ$6="X",VLOOKUP(BJ$10,'VK-Transport'!$C:$X,2+$B13,0))+IF(BJ$8="X",VLOOKUP(BJ$10,'VK-Elekter'!$C:$X,2+$D13,0))+IF(BJ$9="X",VLOOKUP(BJ$10,'VK-Biokütused'!$C:$U,2+$E13,0))+IF(BJ$5="X",VLOOKUP(BJ$10,'VK-Põlevkivi'!$C:$X,2+$G13,0))+IF(BJ$4="X",VLOOKUP(BJ$10,'VK-Võrgud'!$C:$X,2+$F13,0)))/20</f>
        <v>1.85</v>
      </c>
      <c r="BK13" s="209"/>
      <c r="BL13" s="209"/>
      <c r="BM13" s="209"/>
      <c r="BN13" s="209" t="e">
        <f>(IF(BN$7="X",VLOOKUP(BN$10,'VK-Hooned-Soojus'!$C:$X,2+$C13,FALSE),0)+IF(BN$6="X",VLOOKUP(BN$10,'VK-Transport'!$C:$X,2+$B13,0))+IF(BN$8="X",VLOOKUP(BN$10,'VK-Elekter'!$C:$X,2+$D13,0))+IF(BN$9="X",VLOOKUP(BN$10,'VK-Biokütused'!$C:$U,2+$E13,0))+IF(BN$5="X",VLOOKUP(BN$10,'VK-Põlevkivi'!$C:$X,2+$G13,0))+IF(BN$4="X",VLOOKUP(BN$10,'VK-Võrgud'!$C:$X,2+$F13,0)))/16</f>
        <v>#N/A</v>
      </c>
      <c r="BO13" s="209">
        <f>(IF(BO$7="X",VLOOKUP(BO$10,'VK-Hooned-Soojus'!$C:$X,2+$C13,FALSE),0)+IF(BO$6="X",VLOOKUP(BO$10,'VK-Transport'!$C:$X,2+$B13,0))+IF(BO$8="X",VLOOKUP(BO$10,'VK-Elekter'!$C:$X,2+$D13,0))+IF(BO$9="X",VLOOKUP(BO$10,'VK-Biokütused'!$C:$U,2+$E13,0))+IF(BO$5="X",VLOOKUP(BO$10,'VK-Põlevkivi'!$C:$X,2+$G13,0))+IF(BO$4="X",VLOOKUP(BO$10,'VK-Võrgud'!$C:$X,2+$F13,0)))/16</f>
        <v>496.33125000000001</v>
      </c>
      <c r="BP13" s="209"/>
      <c r="BQ13" s="209">
        <f>(IF(BQ$7="X",VLOOKUP(BQ$10,'VK-Hooned-Soojus'!$C:$X,2+$C13,FALSE),0)+IF(BQ$6="X",VLOOKUP(BQ$10,'VK-Transport'!$C:$X,2+$B13,0))+IF(BQ$8="X",VLOOKUP(BQ$10,'VK-Elekter'!$C:$X,2+$D13,0))+IF(BQ$9="X",VLOOKUP(BQ$10,'VK-Biokütused'!$C:$U,2+$E13,0))+IF(BQ$5="X",VLOOKUP(BQ$10,'VK-Põlevkivi'!$C:$X,2+$G13,0))+IF(BQ$4="X",VLOOKUP(BQ$10,'VK-Võrgud'!$C:$X,2+$F13,0)))/16</f>
        <v>4.7249999999999996</v>
      </c>
      <c r="BR13" s="209">
        <f>(IF(BR$7="X",VLOOKUP(BR$10,'VK-Hooned-Soojus'!$C:$X,2+$C13,FALSE),0)+IF(BR$6="X",VLOOKUP(BR$10,'VK-Transport'!$C:$X,2+$B13,0))+IF(BR$8="X",VLOOKUP(BR$10,'VK-Elekter'!$C:$X,2+$D13,0))+IF(BR$9="X",VLOOKUP(BR$10,'VK-Biokütused'!$C:$U,2+$E13,0))+IF(BR$5="X",VLOOKUP(BR$10,'VK-Põlevkivi'!$C:$X,2+$G13,0))+IF(BR$4="X",VLOOKUP(BR$10,'VK-Võrgud'!$C:$X,2+$F13,0)))/16</f>
        <v>-74.512500000000003</v>
      </c>
      <c r="BS13" s="209">
        <f>(IF(BS$7="X",VLOOKUP(BS$10,'VK-Hooned-Soojus'!$C:$X,2+$C13,FALSE),0)+IF(BS$6="X",VLOOKUP(BS$10,'VK-Transport'!$C:$X,2+$B13,0))+IF(BS$8="X",VLOOKUP(BS$10,'VK-Elekter'!$C:$X,2+$D13,0))+IF(BS$9="X",VLOOKUP(BS$10,'VK-Biokütused'!$C:$U,2+$E13,0))+IF(BS$5="X",VLOOKUP(BS$10,'VK-Põlevkivi'!$C:$X,2+$G13,0))+IF(BS$4="X",VLOOKUP(BS$10,'VK-Võrgud'!$C:$X,2+$F13,0)))/16</f>
        <v>-100.68125000000001</v>
      </c>
      <c r="BT13" s="209"/>
      <c r="BU13" s="209"/>
      <c r="BV13" s="209">
        <f>(IF(BV$7="X",VLOOKUP(BV$10,'VK-Hooned-Soojus'!$C:$X,2+$C13,FALSE),0)+IF(BV$6="X",VLOOKUP(BV$10,'VK-Transport'!$C:$X,2+$B13,0))+IF(BV$8="X",VLOOKUP(BV$10,'VK-Elekter'!$C:$X,2+$D13,0))+IF(BV$9="X",VLOOKUP(BV$10,'VK-Biokütused'!$C:$U,2+$E13,0))+IF(BV$5="X",VLOOKUP(BV$10,'VK-Põlevkivi'!$C:$X,2+$G13,0))+IF(BV$4="X",VLOOKUP(BV$10,'VK-Võrgud'!$C:$X,2+$F13,0)))/16</f>
        <v>0</v>
      </c>
      <c r="BW13" s="209"/>
      <c r="BX13" s="209">
        <f>(IF(BX$7="X",VLOOKUP(BX$10,'VK-Hooned-Soojus'!$C:$X,2+$C13,FALSE),0)+IF(BX$6="X",VLOOKUP(BX$10,'VK-Transport'!$C:$X,2+$B13,0))+IF(BX$8="X",VLOOKUP(BX$10,'VK-Elekter'!$C:$X,2+$D13,0))+IF(BX$9="X",VLOOKUP(BX$10,'VK-Biokütused'!$C:$U,2+$E13,0))+IF(BX$5="X",VLOOKUP(BX$10,'VK-Põlevkivi'!$C:$X,2+$G13,0))+IF(BX$4="X",VLOOKUP(BX$10,'VK-Võrgud'!$C:$X,2+$F13,0)))/16</f>
        <v>-99.6875</v>
      </c>
      <c r="BY13" s="209"/>
      <c r="BZ13" s="209"/>
      <c r="CA13" s="209" t="e">
        <f>(IF(CA$7="X",VLOOKUP(CA$10,'VK-Hooned-Soojus'!$C:$X,2+$C13,FALSE),0)+IF(CA$6="X",VLOOKUP(CA$10,'VK-Transport'!$C:$X,2+$B13,0))+IF(CA$8="X",VLOOKUP(CA$10,'VK-Elekter'!$C:$X,2+$D13,0))+IF(CA$9="X",VLOOKUP(CA$10,'VK-Biokütused'!$C:$U,2+$E13,0))+IF(CA$5="X",VLOOKUP(CA$10,'VK-Põlevkivi'!$C:$X,2+$G13,0))+IF(CA$4="X",VLOOKUP(CA$10,'VK-Võrgud'!$C:$X,2+$F13,0)))/16</f>
        <v>#N/A</v>
      </c>
      <c r="CB13" s="209">
        <f>(IF(CB$7="X",VLOOKUP(CB$10,'VK-Hooned-Soojus'!$C:$X,2+$C13,FALSE),0)+IF(CB$6="X",VLOOKUP(CB$10,'VK-Transport'!$C:$X,2+$B13,0))+IF(CB$8="X",VLOOKUP(CB$10,'VK-Elekter'!$C:$X,2+$D13,0))+IF(CB$9="X",VLOOKUP(CB$10,'VK-Biokütused'!$C:$U,2+$E13,0))+IF(CB$5="X",VLOOKUP(CB$10,'VK-Põlevkivi'!$C:$X,2+$G13,0))+IF(CB$4="X",VLOOKUP(CB$10,'VK-Võrgud'!$C:$X,2+$F13,0)))/16</f>
        <v>0</v>
      </c>
      <c r="CC13" s="209">
        <f>(IF(CC$7="X",VLOOKUP(CC$10,'VK-Hooned-Soojus'!$C:$X,2+$C13,FALSE),0)+IF(CC$6="X",VLOOKUP(CC$10,'VK-Transport'!$C:$X,2+$B13,0))+IF(CC$8="X",VLOOKUP(CC$10,'VK-Elekter'!$C:$X,2+$D13,0))+IF(CC$9="X",VLOOKUP(CC$10,'VK-Biokütused'!$C:$U,2+$E13,0))+IF(CC$5="X",VLOOKUP(CC$10,'VK-Põlevkivi'!$C:$X,2+$G13,0))+IF(CC$4="X",VLOOKUP(CC$10,'VK-Võrgud'!$C:$X,2+$F13,0)))/16</f>
        <v>0</v>
      </c>
      <c r="CD13" s="209"/>
      <c r="CE13" s="209">
        <f>(IF(CE$7="X",VLOOKUP(CE$10,'VK-Hooned-Soojus'!$C:$X,2+$C13,FALSE),0)+IF(CE$6="X",VLOOKUP(CE$10,'VK-Transport'!$C:$X,2+$B13,0))+IF(CE$8="X",VLOOKUP(CE$10,'VK-Elekter'!$C:$X,2+$D13,0))+IF(CE$9="X",VLOOKUP(CE$10,'VK-Biokütused'!$C:$U,2+$E13,0))+IF(CE$5="X",VLOOKUP(CE$10,'VK-Põlevkivi'!$C:$X,2+$G13,0))+IF(CE$4="X",VLOOKUP(CE$10,'VK-Võrgud'!$C:$X,2+$F13,0)))/16</f>
        <v>24.15625</v>
      </c>
      <c r="CF13" s="209"/>
      <c r="CG13" s="209">
        <f>(IF(CG$7="X",VLOOKUP(CG$10,'VK-Hooned-Soojus'!$C:$X,2+$C13,FALSE),0)+IF(CG$6="X",VLOOKUP(CG$10,'VK-Transport'!$C:$X,2+$B13,0))+IF(CG$8="X",VLOOKUP(CG$10,'VK-Elekter'!$C:$X,2+$D13,0))+IF(CG$9="X",VLOOKUP(CG$10,'VK-Biokütused'!$C:$U,2+$E13,0))+IF(CG$5="X",VLOOKUP(CG$10,'VK-Põlevkivi'!$C:$X,2+$G13,0))+IF(CG$4="X",VLOOKUP(CG$10,'VK-Võrgud'!$C:$X,2+$F13,0)))/16</f>
        <v>0</v>
      </c>
      <c r="CH13" s="209">
        <f>(IF(CH$7="X",VLOOKUP(CH$10,'VK-Hooned-Soojus'!$C:$X,2+$C13,FALSE),0)+IF(CH$6="X",VLOOKUP(CH$10,'VK-Transport'!$C:$X,2+$B13,0))+IF(CH$8="X",VLOOKUP(CH$10,'VK-Elekter'!$C:$X,2+$D13,0))+IF(CH$9="X",VLOOKUP(CH$10,'VK-Biokütused'!$C:$U,2+$E13,0))+IF(CH$5="X",VLOOKUP(CH$10,'VK-Põlevkivi'!$C:$X,2+$G13,0))+IF(CH$4="X",VLOOKUP(CH$10,'VK-Võrgud'!$C:$X,2+$F13,0)))/20*0.21</f>
        <v>5.6122500000000004</v>
      </c>
      <c r="CI13" s="209"/>
      <c r="CJ13" s="209">
        <f>(IF(CJ$7="X",VLOOKUP(CJ$10,'VK-Hooned-Soojus'!$C:$X,2+$C13,FALSE),0)+IF(CJ$6="X",VLOOKUP(CJ$10,'VK-Transport'!$C:$X,2+$B13,0))+IF(CJ$8="X",VLOOKUP(CJ$10,'VK-Elekter'!$C:$X,2+$D13,0))+IF(CJ$9="X",VLOOKUP(CJ$10,'VK-Biokütused'!$C:$U,2+$E13,0))+IF(CJ$5="X",VLOOKUP(CJ$10,'VK-Põlevkivi'!$C:$X,2+$G13,0))+IF(CJ$4="X",VLOOKUP(CJ$10,'VK-Võrgud'!$C:$X,2+$F13,0)))/1000</f>
        <v>20.207999999999998</v>
      </c>
      <c r="CK13" s="209">
        <f>(IF(CK$7="X",VLOOKUP(CK$10,'VK-Hooned-Soojus'!$C:$X,2+$C13,FALSE),0)+IF(CK$6="X",VLOOKUP(CK$10,'VK-Transport'!$C:$X,2+$B13,0))+IF(CK$8="X",VLOOKUP(CK$10,'VK-Elekter'!$C:$X,2+$D13,0))+IF(CK$9="X",VLOOKUP(CK$10,'VK-Biokütused'!$C:$U,2+$E13,0))+IF(CK$5="X",VLOOKUP(CK$10,'VK-Põlevkivi'!$C:$X,2+$G13,0))+IF(CK$4="X",VLOOKUP(CK$10,'VK-Võrgud'!$C:$X,2+$F13,0)))/1000</f>
        <v>12.808543134371309</v>
      </c>
      <c r="CL13" s="235">
        <f>(IF(CL$7="X",VLOOKUP(CL$10,'VK-Hooned-Soojus'!$C:$X,2+$C13,FALSE),0)+IF(CL$6="X",VLOOKUP(CL$10,'VK-Transport'!$C:$X,2+$B13,0))+IF(CL$8="X",VLOOKUP(CL$10,'VK-Elekter'!$C:$X,2+$D13,0))+IF(CL$9="X",VLOOKUP(CL$10,'VK-Biokütused'!$C:$U,2+$E13,0)))/1000</f>
        <v>9.5602332703934589</v>
      </c>
      <c r="CM13" s="209">
        <f>(IF(CM$7="X",VLOOKUP(CM$10,'VK-Hooned-Soojus'!$C:$X,2+$C13,FALSE),0)+IF(CM$6="X",VLOOKUP(CM$10,'VK-Transport'!$C:$X,2+$B13,0))+IF(CM$8="X",VLOOKUP(CM$10,'VK-Elekter'!$C:$X,2+$D13,0))+IF(CM$9="X",VLOOKUP(CM$10,'VK-Biokütused'!$C:$U,2+$E13,0))+IF(CM$5="X",VLOOKUP(CM$10,'VK-Põlevkivi'!$C:$X,2+$G13,0))+IF(CM$4="X",VLOOKUP(CM$10,'VK-Võrgud'!$C:$X,2+$F13,0)))/1000</f>
        <v>8.5549999999999997</v>
      </c>
      <c r="CN13" s="209">
        <f>(IF(CN$7="X",VLOOKUP(CN$10,'VK-Hooned-Soojus'!$C:$X,2+$C13,FALSE),0)+IF(CN$6="X",VLOOKUP(CN$10,'VK-Transport'!$C:$X,2+$B13,0))+IF(CN$8="X",VLOOKUP(CN$10,'VK-Elekter'!$C:$X,2+$D13,0))+IF(CN$9="X",VLOOKUP(CN$10,'VK-Biokütused'!$C:$U,2+$E13,0))+IF(CN$5="X",VLOOKUP(CN$10,'VK-Põlevkivi'!$C:$X,2+$G13,0))+IF(CN$4="X",VLOOKUP(CN$10,'VK-Võrgud'!$C:$X,2+$F13,0)))/1000</f>
        <v>3.0259999999999998</v>
      </c>
      <c r="CO13" s="209">
        <f>(IF(CO$7="X",VLOOKUP(CO$10,'VK-Hooned-Soojus'!$C:$X,2+$C13,FALSE),0)+IF(CO$6="X",VLOOKUP(CO$10,'VK-Transport'!$C:$X,2+$B13,0))+IF(CO$8="X",VLOOKUP(CO$10,'VK-Elekter'!$C:$X,2+$D13,0))+IF(CO$9="X",VLOOKUP(CO$10,'VK-Biokütused'!$C:$U,2+$E13,0))+IF(CO$5="X",VLOOKUP(CO$10,'VK-Põlevkivi'!$C:$X,2+$G13,0))+IF(CO$4="X",VLOOKUP(CO$10,'VK-Võrgud'!$C:$X,2+$F13,0)))/1000</f>
        <v>25.663649773285456</v>
      </c>
      <c r="CP13" s="209">
        <f>(IF(CP$7="X",VLOOKUP(CP$10,'VK-Hooned-Soojus'!$C:$X,2+$C13,FALSE),0)+IF(CP$6="X",VLOOKUP(CP$10,'VK-Transport'!$C:$X,2+$B13,0))+IF(CP$8="X",VLOOKUP(CP$10,'VK-Elekter'!$C:$X,2+$D13,0))+IF(CP$9="X",VLOOKUP(CP$10,'VK-Biokütused'!$C:$U,2+$E13,0))+IF(CP$5="X",VLOOKUP(CP$10,'VK-Põlevkivi'!$C:$X,2+$G13,0))+IF(CP$4="X",VLOOKUP(CP$10,'VK-Võrgud'!$C:$X,2+$F13,0)))/1000</f>
        <v>13.825948584295613</v>
      </c>
      <c r="CQ13" s="235">
        <f>(IF(CQ$7="X",VLOOKUP(CQ$10,'VK-Hooned-Soojus'!$C:$X,2+$C13,FALSE),0)+IF(CQ$6="X",VLOOKUP(CQ$10,'VK-Transport'!$C:$X,2+$B13,0))+IF(CQ$8="X",VLOOKUP(CQ$10,'VK-Elekter'!$C:$X,2+$D13,0))+IF(CQ$9="X",VLOOKUP(CQ$10,'VK-Biokütused'!$C:$U,2+$E13,0)))/1000</f>
        <v>11.186907</v>
      </c>
      <c r="CR13" s="209">
        <f>(IF(CR$7="X",VLOOKUP(CR$10,'VK-Hooned-Soojus'!$C:$X,2+$C13,FALSE),0)+IF(CR$6="X",VLOOKUP(CR$10,'VK-Transport'!$C:$X,2+$B13,0))+IF(CR$8="X",VLOOKUP(CR$10,'VK-Elekter'!$C:$X,2+$D13,0))+IF(CR$9="X",VLOOKUP(CR$10,'VK-Biokütused'!$C:$U,2+$E13,0))+IF(CR$5="X",VLOOKUP(CR$10,'VK-Põlevkivi'!$C:$X,2+$G13,0))+IF(CR$4="X",VLOOKUP(CR$10,'VK-Võrgud'!$C:$X,2+$F13,0)))/1000</f>
        <v>8.1107533562748042</v>
      </c>
      <c r="CS13" s="209">
        <f>(IF(CS$7="X",VLOOKUP(CS$10,'VK-Hooned-Soojus'!$C:$X,2+$C13,FALSE),0)+IF(CS$6="X",VLOOKUP(CS$10,'VK-Transport'!$C:$X,2+$B13,0))+IF(CS$8="X",VLOOKUP(CS$10,'VK-Elekter'!$C:$X,2+$D13,0))+IF(CS$9="X",VLOOKUP(CS$10,'VK-Biokütused'!$C:$U,2+$E13,0))+IF(CS$5="X",VLOOKUP(CS$10,'VK-Põlevkivi'!$C:$X,2+$G13,0))+IF(CS$4="X",VLOOKUP(CS$10,'VK-Võrgud'!$C:$X,2+$F13,0)))/1000</f>
        <v>3.9861524051216151</v>
      </c>
      <c r="CT13" s="209">
        <f>IF(CT$7="X",VLOOKUP(CT$10,'VK-Hooned-Soojus'!$C:$X,2+$C13,FALSE),0)+IF(CT$6="X",VLOOKUP(CT$10,'VK-Transport'!$C:$X,2+$B13,0))+IF(CT$8="X",VLOOKUP(CT$10,'VK-Elekter'!$C:$X,2+$D13,0))+IF(CT$9="X",VLOOKUP(CT$10,'VK-Biokütused'!$C:$U,2+$E13,0))+IF(CT$5="X",VLOOKUP(CT$10,'VK-Põlevkivi'!$C:$X,2+$G13,0))+IF(CT$4="X",VLOOKUP(CT$10,'VK-Võrgud'!$C:$X,2+$F13,0))</f>
        <v>90</v>
      </c>
      <c r="CU13" s="209">
        <f>IF(CU$7="X",VLOOKUP(CU$10,'VK-Hooned-Soojus'!$C:$X,2+$C13,FALSE),0)+IF(CU$6="X",VLOOKUP(CU$10,'VK-Transport'!$C:$X,2+$B13,0))+IF(CU$8="X",VLOOKUP(CU$10,'VK-Elekter'!$C:$X,2+$D13,0))+IF(CU$9="X",VLOOKUP(CU$10,'VK-Biokütused'!$C:$U,2+$E13,0))+IF(CU$5="X",VLOOKUP(CU$10,'VK-Põlevkivi'!$C:$X,2+$G13,0))+IF(CU$4="X",VLOOKUP(CU$10,'VK-Võrgud'!$C:$X,2+$F13,0))</f>
        <v>0.72088353413654627</v>
      </c>
      <c r="CV13" s="209">
        <f t="shared" si="1"/>
        <v>0.91028830406496786</v>
      </c>
      <c r="CW13" s="209">
        <f>(IF(CW$7="X",VLOOKUP(CW$10,'VK-Hooned-Soojus'!$C:$X,2+$C13,FALSE),0)+IF(CW$6="X",VLOOKUP(CW$10,'VK-Transport'!$C:$X,2+$B13,0))+IF(CW$8="X",VLOOKUP(CW$10,'VK-Elekter'!$C:$X,2+$D13,0))+IF(CW$9="X",VLOOKUP(CW$10,'VK-Biokütused'!$C:$U,2+$E13,0))+IF(CW$5="X",VLOOKUP(CW$10,'VK-Põlevkivi'!$C:$X,2+$G13,0))+IF(CW$4="X",VLOOKUP(CW$10,'VK-Võrgud'!$C:$X,2+$F13,0)))/16</f>
        <v>126.01875</v>
      </c>
      <c r="CY13" s="209">
        <f>(IF(CY$7="X",VLOOKUP(CY$10,'VK-Hooned-Soojus'!$C:$X,2+$C13,FALSE),0)+IF(CY$6="X",VLOOKUP(CY$10,'VK-Transport'!$C:$X,2+$B13,0))+IF(CY$8="X",VLOOKUP(CY$10,'VK-Elekter'!$C:$X,2+$D13,0))+IF(CY$9="X",VLOOKUP(CY$10,'VK-Biokütused'!$C:$U,2+$E13,0))+IF(CY$5="X",VLOOKUP(CY$10,'VK-Põlevkivi'!$C:$X,2+$G13,0))+IF(CY$4="X",VLOOKUP(CY$10,'VK-Võrgud'!$C:$X,2+$F13,0)))/1000</f>
        <v>11.726000000000001</v>
      </c>
      <c r="CZ13" s="209">
        <f>(IF(CZ$7="X",VLOOKUP(CZ$10,'VK-Hooned-Soojus'!$C:$X,2+$C13,FALSE),0)+IF(CZ$6="X",VLOOKUP(CZ$10,'VK-Transport'!$C:$X,2+$B13,0))+IF(CZ$8="X",VLOOKUP(CZ$10,'VK-Elekter'!$C:$X,2+$D13,0))+IF(CZ$9="X",VLOOKUP(CZ$10,'VK-Biokütused'!$C:$U,2+$E13,0))+IF(CZ$5="X",VLOOKUP(CZ$10,'VK-Põlevkivi'!$C:$X,2+$G13,0))+IF(CZ$4="X",VLOOKUP(CZ$10,'VK-Võrgud'!$C:$X,2+$F13,0)))</f>
        <v>81</v>
      </c>
      <c r="DA13" s="209">
        <f>(IF(DA$7="X",VLOOKUP(DA$10,'VK-Hooned-Soojus'!$C:$X,2+$C13,FALSE),0)+IF(DA$6="X",VLOOKUP(DA$10,'VK-Transport'!$C:$X,2+$B13,0))+IF(DA$8="X",VLOOKUP(DA$10,'VK-Elekter'!$C:$X,2+$D13,0))+IF(DA$9="X",VLOOKUP(DA$10,'VK-Biokütused'!$C:$U,2+$E13,0))+IF(DA$5="X",VLOOKUP(DA$10,'VK-Põlevkivi'!$C:$X,2+$G13,0))+IF(DA$4="X",VLOOKUP(DA$10,'VK-Võrgud'!$C:$X,2+$F13,0)))/1000</f>
        <v>15.714</v>
      </c>
      <c r="DB13" s="209">
        <f>(IF(DB$7="X",VLOOKUP(DB$10,'VK-Hooned-Soojus'!$C:$X,2+$C13,FALSE),0)+IF(DB$6="X",VLOOKUP(DB$10,'VK-Transport'!$C:$X,2+$B13,0))+IF(DB$8="X",VLOOKUP(DB$10,'VK-Elekter'!$C:$X,2+$D13,0))+IF(DB$9="X",VLOOKUP(DB$10,'VK-Biokütused'!$C:$U,2+$E13,0))+IF(DB$5="X",VLOOKUP(DB$10,'VK-Põlevkivi'!$C:$X,2+$G13,0))+IF(DB$4="X",VLOOKUP(DB$10,'VK-Võrgud'!$C:$X,2+$F13,0)))/1000/3.6</f>
        <v>69.934444444444452</v>
      </c>
      <c r="DC13" s="209">
        <f>(IF(DC$7="X",VLOOKUP(DC$10,'VK-Hooned-Soojus'!$C:$X,2+$C13,FALSE),0)+IF(DC$6="X",VLOOKUP(DC$10,'VK-Transport'!$C:$X,2+$B13,0))+IF(DC$8="X",VLOOKUP(DC$10,'VK-Elekter'!$C:$X,2+$D13,0))+IF(DC$9="X",VLOOKUP(DC$10,'VK-Biokütused'!$C:$U,2+$E13,0))+IF(DC$5="X",VLOOKUP(DC$10,'VK-Põlevkivi'!$C:$X,2+$G13,0))+IF(DC$4="X",VLOOKUP(DC$10,'VK-Võrgud'!$C:$X,2+$F13,0)))/1000000</f>
        <v>5.6264539999999998</v>
      </c>
      <c r="DD13" s="209"/>
      <c r="DE13" s="88">
        <f>VLOOKUP(Tulemused!$BN$12,data!M$7:N$12,2,FALSE)-SUM(L13,M13)</f>
        <v>-3.4066444444444528</v>
      </c>
      <c r="DF13" s="209" t="str">
        <f>IF(AZ13&lt;=VLOOKUP(Tulemused!$BN$15,data!$E$36:$F$39,2,FALSE),"JAH","EI")</f>
        <v>JAH</v>
      </c>
      <c r="DG13" s="209"/>
      <c r="DH13" s="209">
        <f t="shared" si="2"/>
        <v>6.78</v>
      </c>
      <c r="DI13" s="231" t="str">
        <f t="shared" si="17"/>
        <v>EI</v>
      </c>
      <c r="DK13" s="232">
        <f t="shared" si="3"/>
        <v>-998.12004346000606</v>
      </c>
      <c r="DM13" s="233">
        <f t="shared" si="4"/>
        <v>10.21606847907174</v>
      </c>
      <c r="DN13" s="87">
        <f t="array" ref="DN13">INDEX($A$11:$A$145, SMALL(IF(DM13=$DK$11:$DK$145, MATCH(ROW($DK$11:$DK$145), ROW($DK$11:$DK$145))), SUM(--(DM13=$DM$11:DM13))))</f>
        <v>130</v>
      </c>
      <c r="DP13" s="87" t="e">
        <f t="shared" ca="1" si="18"/>
        <v>#N/A</v>
      </c>
      <c r="DQ13" s="87" t="e">
        <f t="shared" ca="1" si="19"/>
        <v>#N/A</v>
      </c>
      <c r="DR13" s="87">
        <f t="shared" ca="1" si="20"/>
        <v>0</v>
      </c>
      <c r="DS13" s="87" t="e">
        <f t="shared" ca="1" si="21"/>
        <v>#N/A</v>
      </c>
      <c r="DT13" s="87">
        <f t="shared" ca="1" si="22"/>
        <v>0</v>
      </c>
      <c r="DU13" s="87" t="e">
        <f t="shared" ca="1" si="23"/>
        <v>#N/A</v>
      </c>
      <c r="DV13" s="87" t="e">
        <f t="shared" ca="1" si="24"/>
        <v>#N/A</v>
      </c>
      <c r="DW13" s="87">
        <f t="shared" ca="1" si="25"/>
        <v>0</v>
      </c>
      <c r="DX13" s="87">
        <f t="shared" ca="1" si="26"/>
        <v>0</v>
      </c>
      <c r="DZ13" s="87">
        <f t="shared" ca="1" si="5"/>
        <v>0</v>
      </c>
      <c r="EB13" s="87">
        <f t="shared" ca="1" si="27"/>
        <v>0</v>
      </c>
      <c r="EC13" s="87" t="e">
        <f t="shared" ca="1" si="28"/>
        <v>#N/A</v>
      </c>
      <c r="EE13" s="228">
        <f>(IF(EE$7="X",VLOOKUP(EE$10,'VK-Hooned-Soojus'!$C:$X,2+$C13,FALSE),0)+IF(EE$6="X",VLOOKUP(EE$10,'VK-Transport'!$C:$X,2+$B13,0))+IF(EE$8="X",VLOOKUP(EE$10,'VK-Elekter'!$C:$X,2+$D13,0))+IF(EE$9="X",VLOOKUP(EE$10,'VK-Biokütused'!$C:$U,2+$E13,0))+IF(EE$5="X",VLOOKUP(EE$10,'VK-Põlevkivi'!$C:$X,2+$G13,0))+IF(EE$4="X",VLOOKUP(EE$10,'VK-Võrgud'!$C:$X,2+$F13,0)))</f>
        <v>6744.4953365906513</v>
      </c>
      <c r="EF13" s="235">
        <f>(IF(EF$7="X",VLOOKUP(EF$10,'VK-Hooned-Soojus'!$C:$X,2+$C13,FALSE),0)+IF(EF$6="X",VLOOKUP(EF$10,'VK-Transport'!$C:$X,2+$B13,0))+IF(EF$8="X",VLOOKUP(EF$10,'VK-Elekter'!$C:$X,2+$D13,0))+IF(EF$9="X",VLOOKUP(EF$10,'VK-Biokütused'!$C:$U,2+$E13,0)))/1000</f>
        <v>5.9576368215830611</v>
      </c>
      <c r="EG13" s="209">
        <f>(IF(EG$7="X",VLOOKUP(EG$10,'VK-Hooned-Soojus'!$C:$X,2+$C13,FALSE),0)+IF(EG$6="X",VLOOKUP(EG$10,'VK-Transport'!$C:$X,2+$B13,0))+IF(EG$8="X",VLOOKUP(EG$10,'VK-Elekter'!$C:$X,2+$D13,0))+IF(EG$9="X",VLOOKUP(EG$10,'VK-Biokütused'!$C:$U,2+$E13,0))+IF(EG$5="X",VLOOKUP(EG$10,'VK-Põlevkivi'!$C:$X,2+$G13,0))+IF(EG$4="X",VLOOKUP(EG$10,'VK-Võrgud'!$C:$X,2+$F13,0)))</f>
        <v>0.81</v>
      </c>
      <c r="EH13" s="209">
        <f>(IF(EH$7="X",VLOOKUP(EH$10,'VK-Hooned-Soojus'!$C:$X,2+$C13,FALSE),0)+IF(EH$6="X",VLOOKUP(EH$10,'VK-Transport'!$C:$X,2+$B13,0))+IF(EH$8="X",VLOOKUP(EH$10,'VK-Elekter'!$C:$X,2+$D13,0))+IF(EH$9="X",VLOOKUP(EH$10,'VK-Biokütused'!$C:$U,2+$E13,0)))+AR13+AS13+AU13+AX13</f>
        <v>60.545165628957577</v>
      </c>
      <c r="EI13" s="320">
        <f t="shared" si="6"/>
        <v>52.764567183462525</v>
      </c>
      <c r="EJ13" s="322">
        <f t="shared" si="7"/>
        <v>2.0156356925118721E-2</v>
      </c>
      <c r="EK13" s="323">
        <f t="shared" si="29"/>
        <v>0.36168246787532254</v>
      </c>
      <c r="EM13" s="209"/>
      <c r="EN13" s="209">
        <f t="shared" ca="1" si="8"/>
        <v>0</v>
      </c>
      <c r="EO13" s="209"/>
      <c r="EP13" s="234"/>
      <c r="EQ13" s="209">
        <f>(IF(EQ$7="X",VLOOKUP(EQ$10,'VK-Hooned-Soojus'!$C:$X,2+$C13,FALSE),0)+IF(EQ$6="X",VLOOKUP(EQ$10,'VK-Transport'!$C:$X,2+$B13,0))+IF(EQ$8="X",VLOOKUP(EQ$10,'VK-Elekter'!$C:$X,2+$D13,0))+IF(EQ$9="X",VLOOKUP(EQ$10,'VK-Biokütused'!$C:$U,2+$E13,0))+IF(EQ$5="X",VLOOKUP(EQ$10,'VK-Põlevkivi'!$C:$X,2+$G13,0))+IF(EQ$4="X",VLOOKUP(EQ$10,'VK-Võrgud'!$C:$X,2+$F13,0)))/1000</f>
        <v>0.22900000000000001</v>
      </c>
      <c r="ER13" s="209">
        <f>(IF(ER$7="X",VLOOKUP(ER$10,'VK-Hooned-Soojus'!$C:$X,2+$C13,FALSE),0)+IF(ER$6="X",VLOOKUP(ER$10,'VK-Transport'!$C:$X,2+$B13,0))+IF(ER$8="X",VLOOKUP(ER$10,'VK-Elekter'!$C:$X,2+$D13,0))+IF(ER$9="X",VLOOKUP(ER$10,'VK-Biokütused'!$C:$U,2+$E13,0))+IF(ER$5="X",VLOOKUP(ER$10,'VK-Põlevkivi'!$C:$X,2+$G13,0))+IF(ER$4="X",VLOOKUP(ER$10,'VK-Võrgud'!$C:$X,2+$F13,0)))</f>
        <v>0.82899999999999996</v>
      </c>
      <c r="ES13" s="209">
        <f>(IF(ES$7="X",VLOOKUP(ES$10,'VK-Hooned-Soojus'!$C:$X,2+$C13,FALSE),0)+IF(ES$6="X",VLOOKUP(ES$10,'VK-Transport'!$C:$X,2+$B13,0))+IF(ES$8="X",VLOOKUP(ES$10,'VK-Elekter'!$C:$X,2+$D13,0))+IF(ES$9="X",VLOOKUP(ES$10,'VK-Biokütused'!$C:$U,2+$E13,0))+IF(ES$5="X",VLOOKUP(ES$10,'VK-Põlevkivi'!$C:$X,2+$G13,0))+IF(ES$4="X",VLOOKUP(ES$10,'VK-Võrgud'!$C:$X,2+$F13,0)))</f>
        <v>6.78</v>
      </c>
      <c r="ET13" s="209"/>
      <c r="EU13" s="209"/>
      <c r="EV13" s="87">
        <f>'KSH järjestus'!AS6</f>
        <v>2349</v>
      </c>
      <c r="EX13" s="236"/>
      <c r="EY13" s="236"/>
      <c r="EZ13" s="237">
        <f t="shared" si="9"/>
        <v>0.27911646586345373</v>
      </c>
      <c r="FA13" s="209">
        <f>IF(FA$7="X",VLOOKUP(FA$10,'VK-Hooned-Soojus'!$C:$X,2+$C13,FALSE),0)+IF(FA$6="X",VLOOKUP(FA$10,'VK-Transport'!$C:$X,2+$B13,0))+IF(FA$8="X",VLOOKUP(FA$10,'VK-Elekter'!$C:$X,2+$D13,0))+IF(FA$9="X",VLOOKUP(FA$10,'VK-Biokütused'!$C:$U,2+$E13,0))+IF(FA$5="X",VLOOKUP(FA$10,'VK-Põlevkivi'!$C:$X,2+$G13,0))+IF(FA$4="X",VLOOKUP(FA$10,'VK-Võrgud'!$C:$X,2+$F13,0))</f>
        <v>3770.9070000000002</v>
      </c>
      <c r="FB13" s="279">
        <f>(IF(FB$7="X",VLOOKUP(FB$10,'VK-Hooned-Soojus'!$C:$X,2+$C13,FALSE),0)+IF(FB$6="X",VLOOKUP(FB$10,'VK-Transport'!$C:$X,2+$B13,0))+IF(FB$8="X",VLOOKUP(FB$10,'VK-Elekter'!$C:$X,2+$D13,0))+IF(FB$9="X",VLOOKUP(FB$10,'VK-Biokütused'!$C:$U,2+$E13,0))+IF(FB$5="X",VLOOKUP(FB$10,'VK-Põlevkivi'!$C:$X,2+$G13,0))+IF(FB$4="X",VLOOKUP(FB$10,'VK-Võrgud'!$C:$X,2+$F13,0)))/16</f>
        <v>313.90717479319983</v>
      </c>
      <c r="FC13" s="209">
        <f>IF(FC$7="X",VLOOKUP(FC$10,'VK-Hooned-Soojus'!$C:$X,2+$C13,FALSE),0)+IF(FC$6="X",VLOOKUP(FC$10,'VK-Transport'!$C:$X,2+$B13,0))+IF(FC$8="X",VLOOKUP(FC$10,'VK-Elekter'!$C:$X,2+$D13,0))+IF(FC$9="X",VLOOKUP(FC$10,'VK-Biokütused'!$C:$U,2+$E13,0))+IF(FC$5="X",VLOOKUP(FC$10,'VK-Põlevkivi'!$C:$X,2+$G13,0))+IF(FC$4="X",VLOOKUP(FC$10,'VK-Võrgud'!$C:$X,2+$F13,0))</f>
        <v>339.59999999999997</v>
      </c>
      <c r="FD13" s="209">
        <f>(IF(FD$7="X",VLOOKUP(FD$10,'VK-Hooned-Soojus'!$C:$X,2+$C13,FALSE),0)+IF(FD$6="X",VLOOKUP(FD$10,'VK-Transport'!$C:$X,2+$B13,0))+IF(FD$8="X",VLOOKUP(FD$10,'VK-Elekter'!$C:$X,2+$D13,0))+IF(FD$9="X",VLOOKUP(FD$10,'VK-Biokütused'!$C:$U,2+$E13,0))+IF(FD$5="X",VLOOKUP(FD$10,'VK-Põlevkivi'!$C:$X,2+$G13,0))+IF(FD$4="X",VLOOKUP(FD$10,'VK-Võrgud'!$C:$X,2+$F13,0)))/16</f>
        <v>313.90717479319983</v>
      </c>
      <c r="FE13" s="209">
        <f>(IF(FE$7="X",VLOOKUP(FE$10,'VK-Hooned-Soojus'!$C:$X,2+$C13,FALSE),0)+IF(FE$6="X",VLOOKUP(FE$10,'VK-Transport'!$C:$X,2+$B13,0))+IF(FE$8="X",VLOOKUP(FE$10,'VK-Elekter'!$C:$X,2+$D13,0))+IF(FE$9="X",VLOOKUP(FE$10,'VK-Biokütused'!$C:$U,2+$E13,0))+IF(FE$5="X",VLOOKUP(FE$10,'VK-Põlevkivi'!$C:$X,2+$G13,0))+IF(FE$4="X",VLOOKUP(FE$10,'VK-Võrgud'!$C:$X,2+$F13,0)))/16</f>
        <v>-34.340813699091036</v>
      </c>
      <c r="FF13" s="209">
        <f>(IF(FF$7="X",VLOOKUP(FF$10,'VK-Hooned-Soojus'!$C:$X,2+$C13,FALSE),0)+IF(FF$6="X",VLOOKUP(FF$10,'VK-Transport'!$C:$X,2+$B13,0))+IF(FF$8="X",VLOOKUP(FF$10,'VK-Elekter'!$C:$X,2+$D13,0))+IF(FF$9="X",VLOOKUP(FF$10,'VK-Biokütused'!$C:$U,2+$E13,0))+IF(FF$5="X",VLOOKUP(FF$10,'VK-Põlevkivi'!$C:$X,2+$G13,0))+IF(FF$4="X",VLOOKUP(FF$10,'VK-Võrgud'!$C:$X,2+$F13,0)))/16</f>
        <v>93.6084943656831</v>
      </c>
      <c r="FG13" s="88">
        <f t="shared" ca="1" si="30"/>
        <v>59.267680666592064</v>
      </c>
      <c r="FH13" s="88"/>
      <c r="FI13" s="88"/>
      <c r="FJ13" s="88">
        <f>VLOOKUP(Tulemused!$BN$12,data!M$7:N$12,2,FALSE)-SUM(L13,M13)</f>
        <v>-3.4066444444444528</v>
      </c>
      <c r="FK13" s="209" t="str">
        <f>IF(AZ13&lt;=VLOOKUP(Tulemused!$BN$15,data!$E$36:$F$39,2,FALSE),"JAH","EI")</f>
        <v>JAH</v>
      </c>
      <c r="FL13" s="235">
        <f ca="1">IF(ISNA(MATCH($A13,INDIRECT(VLOOKUP(Tulemused!$BF$11,data!$J$57:$M$71,4,FALSE)))),0,MATCH($A13,INDIRECT(VLOOKUP(Tulemused!$BF$11,data!$J$57:$M$71,4,FALSE))))</f>
        <v>0</v>
      </c>
      <c r="FM13" s="235" t="str">
        <f t="shared" ca="1" si="10"/>
        <v>JAH</v>
      </c>
      <c r="FN13" s="209">
        <f>VLOOKUP(Tulemused!$BN$13,data!$C$132:$D$137,2,FALSE)-KOMBI!R13</f>
        <v>2.35713317841694</v>
      </c>
      <c r="FO13" s="209"/>
      <c r="FP13" s="209">
        <f>VLOOKUP(Tulemused!$BN$17,NO_x,2,FALSE)-CJ13</f>
        <v>9.23</v>
      </c>
      <c r="FQ13" s="209">
        <f>VLOOKUP(Tulemused!$BN$18,SO_2,2,FALSE)-CK13</f>
        <v>39.075456865628695</v>
      </c>
      <c r="FR13" s="209">
        <f>VLOOKUP(Tulemused!$BN$19,LOU,2,FALSE)-CN13</f>
        <v>34.054000000000002</v>
      </c>
      <c r="FS13" s="209">
        <f>VLOOKUP(Tulemused!$BN$20,PM_2.5,2,FALSE)-CM13</f>
        <v>8.36</v>
      </c>
      <c r="FT13" s="209">
        <f>VLOOKUP(Tulemused!$BN$13,data!$C$132:$D$137,2,FALSE)-FA13/1000</f>
        <v>2.4750630000000005</v>
      </c>
      <c r="FU13" s="209">
        <f>VLOOKUP(Tulemused!$BN$17,NO_x,2,FALSE)-CO13</f>
        <v>3.7743502267145423</v>
      </c>
      <c r="FV13" s="209">
        <f>VLOOKUP(Tulemused!$BN$18,SO_2,2,FALSE)-CP13</f>
        <v>38.058051415704384</v>
      </c>
      <c r="FW13" s="209">
        <f>VLOOKUP(Tulemused!$BN$19,LOU,2,FALSE)-CS13</f>
        <v>33.09384759487839</v>
      </c>
      <c r="FX13" s="209">
        <f>VLOOKUP(Tulemused!$BN$20,PM_2.5,2,FALSE)-CR13</f>
        <v>8.8042466437251949</v>
      </c>
      <c r="FY13" s="209">
        <f>VLOOKUP(Tulemused!$BN$14,KHG_2050,2,FALSE)-EF13</f>
        <v>94.042363178416934</v>
      </c>
      <c r="FZ13" s="231" t="str">
        <f t="shared" ca="1" si="31"/>
        <v>EI</v>
      </c>
      <c r="GA13" s="209"/>
      <c r="GB13" s="209"/>
      <c r="GC13" s="209"/>
      <c r="GD13" s="231"/>
      <c r="GE13" s="87">
        <f t="shared" si="11"/>
        <v>2349</v>
      </c>
      <c r="GF13" s="232" t="str">
        <f t="shared" ca="1" si="32"/>
        <v/>
      </c>
      <c r="GH13" s="238">
        <f t="shared" ca="1" si="12"/>
        <v>519</v>
      </c>
      <c r="GI13" s="87">
        <f t="array" aca="1" ref="GI13" ca="1">INDEX($A$11:$A$145, SMALL(IF(GH13=$GF$11:$GF$145, MATCH(ROW($GF$11:$GF$145), ROW($GF$11:$GF$145))), SUM(--(GH13=$GH$11:GH13))))</f>
        <v>132</v>
      </c>
      <c r="GM13" s="209">
        <f>IF(GM$7="X",VLOOKUP(GM$10,'VK-Hooned-Soojus'!$C:$X,2+$C13,FALSE),0)+IF(GM$6="X",VLOOKUP(GM$10,'VK-Transport'!$C:$X,2+$B13,0))+IF(GM$8="X",VLOOKUP(GM$10,'VK-Elekter'!$C:$X,2+$D13,0))+IF(GM$9="X",VLOOKUP(GM$10,'VK-Biokütused'!$C:$U,2+$E13,0))+IF(GM$5="X",VLOOKUP(GM$10,'VK-Põlevkivi'!$C:$X,2+$G13,0))+IF(GM$4="X",VLOOKUP(GM$10,'VK-Võrgud'!$C:$X,2+$F13,0))</f>
        <v>6.012827991027228</v>
      </c>
      <c r="GN13" s="209">
        <f>IF(GN$7="X",VLOOKUP(GN$10,'VK-Hooned-Soojus'!$C:$X,2+$C13,FALSE),0)+IF(GN$6="X",VLOOKUP(GN$10,'VK-Transport'!$C:$X,2+$B13,0))+IF(GN$8="X",VLOOKUP(GN$10,'VK-Elekter'!$C:$X,2+$D13,0))+IF(GN$9="X",VLOOKUP(GN$10,'VK-Biokütused'!$C:$U,2+$E13,0))+IF(GN$5="X",VLOOKUP(GN$10,'VK-Põlevkivi'!$C:$X,2+$G13,0))+IF(GN$4="X",VLOOKUP(GN$10,'VK-Võrgud'!$C:$X,2+$F13,0))</f>
        <v>3.4467619395011728</v>
      </c>
      <c r="GO13" s="209">
        <f>IF(GO$7="X",VLOOKUP(GO$10,'VK-Hooned-Soojus'!$C:$X,2+$C13,FALSE),0)+IF(GO$6="X",VLOOKUP(GO$10,'VK-Transport'!$C:$X,2+$B13,0))+IF(GO$8="X",VLOOKUP(GO$10,'VK-Elekter'!$C:$X,2+$D13,0))+IF(GO$9="X",VLOOKUP(GO$10,'VK-Biokütused'!$C:$U,2+$E13,0))+IF(GO$5="X",VLOOKUP(GO$10,'VK-Põlevkivi'!$C:$X,2+$G13,0))+IF(GO$4="X",VLOOKUP(GO$10,'VK-Võrgud'!$C:$X,2+$F13,0))</f>
        <v>8.7471755658278116</v>
      </c>
      <c r="GP13" s="209">
        <f>IF(GP$7="X",VLOOKUP(GP$10,'VK-Hooned-Soojus'!$C:$X,2+$C13,FALSE),0)+IF(GP$6="X",VLOOKUP(GP$10,'VK-Transport'!$C:$X,2+$B13,0))+IF(GP$8="X",VLOOKUP(GP$10,'VK-Elekter'!$C:$X,2+$D13,0))+IF(GP$9="X",VLOOKUP(GP$10,'VK-Biokütused'!$C:$U,2+$E13,0))+IF(GP$5="X",VLOOKUP(GP$10,'VK-Põlevkivi'!$C:$X,2+$G13,0))+IF(GP$4="X",VLOOKUP(GP$10,'VK-Võrgud'!$C:$X,2+$F13,0))</f>
        <v>9.3279335818485372</v>
      </c>
      <c r="GQ13" s="88">
        <f>IF(GQ$7="X",VLOOKUP(GQ$10,'VK-Hooned-Soojus'!$C:$X,2+$C13,FALSE),0)+IF(GQ$6="X",VLOOKUP(GQ$10,'VK-Transport'!$C:$X,2+$B13,0))+IF(GQ$8="X",VLOOKUP(GQ$10,'VK-Elekter'!$C:$X,2+$D13,0))+IF(GQ$9="X",VLOOKUP(GQ$10,'VK-Biokütused'!$C:$U,2+$E13,0))+IF(GQ$5="X",VLOOKUP(GQ$10,'VK-Põlevkivi'!$C:$X,2+$G13,0))+IF(GQ$4="X",VLOOKUP(GQ$10,'VK-Võrgud'!$C:$X,2+$F13,0))</f>
        <v>0.9682855968523334</v>
      </c>
      <c r="GR13" s="186">
        <f t="shared" si="33"/>
        <v>0.37922714679774455</v>
      </c>
    </row>
    <row r="14" spans="1:200" x14ac:dyDescent="0.2">
      <c r="A14" s="184">
        <v>4</v>
      </c>
      <c r="B14" s="87">
        <v>1</v>
      </c>
      <c r="C14" s="87">
        <v>1</v>
      </c>
      <c r="D14" s="87">
        <v>2</v>
      </c>
      <c r="E14" s="87">
        <v>1</v>
      </c>
      <c r="F14" s="87">
        <f>VLOOKUP(Tulemused!$BF$7,data!$J$6:$K$8,2,FALSE)</f>
        <v>2</v>
      </c>
      <c r="G14" s="87">
        <f>VLOOKUP(data!$H$2,data!$J$12:$K$14,2,FALSE)</f>
        <v>2</v>
      </c>
      <c r="I14" s="209">
        <f>IF(I$7="X",VLOOKUP(I$10,'VK-Hooned-Soojus'!$C:$X,2+$C14,FALSE),0)+IF(I$6="X",VLOOKUP(I$10,'VK-Transport'!$C:$X,2+$B14,0))+IF(I$8="X",VLOOKUP(I$10,'VK-Elekter'!$C:$X,2+$D14,0))+IF(I$9="X",VLOOKUP(I$10,'VK-Biokütused'!$C:$U,2+$E14,0))+IF(I$5="X",VLOOKUP(I$10,'VK-Põlevkivi'!$C:$X,2+$G14,0))+IF(I$4="X",VLOOKUP(I$10,'VK-Võrgud'!$C:$X,2+$F14,0))</f>
        <v>26.89</v>
      </c>
      <c r="J14" s="209">
        <f>IF(J$7="X",VLOOKUP(J$10,'VK-Hooned-Soojus'!$C:$X,2+$C14,FALSE),0)+IF(J$6="X",VLOOKUP(J$10,'VK-Transport'!$C:$X,2+$B14,0))+IF(J$8="X",VLOOKUP(J$10,'VK-Elekter'!$C:$X,2+$D14,0))+IF(J$9="X",VLOOKUP(J$10,'VK-Biokütused'!$C:$U,2+$E14,0))+IF(J$5="X",VLOOKUP(J$10,'VK-Põlevkivi'!$C:$X,2+$G14,0))+IF(J$4="X",VLOOKUP(J$10,'VK-Võrgud'!$C:$X,2+$F14,0))</f>
        <v>13.295833333333334</v>
      </c>
      <c r="K14" s="209">
        <f>IF(K$7="X",VLOOKUP(K$10,'VK-Hooned-Soojus'!$C:$X,2+$C14,FALSE),0)+IF(K$6="X",VLOOKUP(K$10,'VK-Transport'!$C:$X,2+$B14,0))+IF(K$8="X",VLOOKUP(K$10,'VK-Elekter'!$C:$X,2+$D14,0))+IF(K$9="X",VLOOKUP(K$10,'VK-Biokütused'!$C:$U,2+$E14,0))+IF(K$5="X",VLOOKUP(K$10,'VK-Põlevkivi'!$C:$X,2+$G14,0))+IF(K$4="X",VLOOKUP(K$10,'VK-Võrgud'!$C:$X,2+$F14,0))</f>
        <v>16.75</v>
      </c>
      <c r="L14" s="209">
        <f>IF(L$7="X",VLOOKUP(L$10,'VK-Hooned-Soojus'!$C:$X,2+$C14,FALSE),0)+IF(L$6="X",VLOOKUP(L$10,'VK-Transport'!$C:$X,2+$B14,0))+IF(L$8="X",VLOOKUP(L$10,'VK-Elekter'!$C:$X,2+$D14,0))+IF(L$9="X",VLOOKUP(L$10,'VK-Biokütused'!$C:$U,2+$E14,0))+IF(L$5="X",VLOOKUP(L$10,'VK-Põlevkivi'!$C:$X,2+$G14,0))+IF(L$4="X",VLOOKUP(L$10,'VK-Võrgud'!$C:$X,2+$F14,0))</f>
        <v>24.95</v>
      </c>
      <c r="M14" s="209">
        <f>IF(M$7="X",VLOOKUP(M$10,'VK-Hooned-Soojus'!$C:$X,2+$C14,FALSE),0)+IF(M$6="X",VLOOKUP(M$10,'VK-Transport'!$C:$X,2+$B14,0))+IF(M$8="X",VLOOKUP(M$10,'VK-Elekter'!$C:$X,2+$D14,0))+IF(M$9="X",VLOOKUP(M$10,'VK-Biokütused'!$C:$U,2+$E14,0))+IF(M$5="X",VLOOKUP(M$10,'VK-Põlevkivi'!$C:$X,2+$G14,0))+IF(M$4="X",VLOOKUP(M$10,'VK-Võrgud'!$C:$X,2+$F14,0))</f>
        <v>11.289444444444445</v>
      </c>
      <c r="N14" s="209">
        <f>IF(N$7="X",VLOOKUP(N$10,'VK-Hooned-Soojus'!$C:$X,2+$C14,FALSE),0)+IF(N$6="X",VLOOKUP(N$10,'VK-Transport'!$C:$X,2+$B14,0))+IF(N$8="X",VLOOKUP(N$10,'VK-Elekter'!$C:$X,2+$D14,0))+IF(N$9="X",VLOOKUP(N$10,'VK-Biokütused'!$C:$U,2+$E14,0))+IF(N$5="X",VLOOKUP(N$10,'VK-Põlevkivi'!$C:$X,2+$G14,0))+IF(N$4="X",VLOOKUP(N$10,'VK-Võrgud'!$C:$X,2+$F14,0))</f>
        <v>16.75</v>
      </c>
      <c r="O14" s="209">
        <f t="shared" si="13"/>
        <v>40.185833333333335</v>
      </c>
      <c r="P14" s="209"/>
      <c r="Q14" s="209">
        <f>(IF(Q$7="X",VLOOKUP(Q$10,'VK-Hooned-Soojus'!$C:$X,2+$C14,FALSE),0)+IF(Q$6="X",VLOOKUP(Q$10,'VK-Transport'!$C:$X,2+$B14,0))+IF(Q$8="X",VLOOKUP(Q$10,'VK-Elekter'!$C:$X,2+$D14,0))+IF(Q$9="X",VLOOKUP(Q$10,'VK-Biokütused'!$C:$U,2+$E14,0))+IF(Q$5="X",VLOOKUP(Q$10,'VK-Põlevkivi'!$C:$X,2+$G14,0))+IF(Q$4="X",VLOOKUP(Q$10,'VK-Võrgud'!$C:$X,2+$F14,0)))/1000</f>
        <v>5.3630000000000004</v>
      </c>
      <c r="R14" s="209">
        <f>(IF(R$7="X",VLOOKUP(R$10,'VK-Hooned-Soojus'!$C:$X,2+$C14,FALSE),0)+IF(R$6="X",VLOOKUP(R$10,'VK-Transport'!$C:$X,2+$B14,0))+IF(R$8="X",VLOOKUP(R$10,'VK-Elekter'!$C:$X,2+$D14,0))+IF(R$9="X",VLOOKUP(R$10,'VK-Biokütused'!$C:$U,2+$E14,0))+IF(R$5="X",VLOOKUP(R$10,'VK-Põlevkivi'!$C:$X,2+$G14,0))+IF(R$4="X",VLOOKUP(R$10,'VK-Võrgud'!$C:$X,2+$F14,0)))/1000</f>
        <v>3.3026368215830604</v>
      </c>
      <c r="S14" s="226">
        <f>VLOOKUP(S$10,'VK-Hooned-Soojus'!$C:$I,2+$C14,FALSE) + VLOOKUP(S$10,'VK-Transport'!$C:$I,2+$B14,FALSE)+ VLOOKUP(S$10,'VK-Biokütused'!$C:$G,2+$E14,FALSE)+ VLOOKUP(S$10,'VK-Elekter'!$C:$I,2+$D14,FALSE)+ VLOOKUP(S$10,'VK-Põlevkivi'!$C:$I,2+$G14,FALSE)+ VLOOKUP(S$10,'VK-Võrgud'!$C:$I,2+$F14,FALSE)</f>
        <v>1.7159464163125527E-3</v>
      </c>
      <c r="T14" s="226">
        <f>VLOOKUP(T$10,'VK-Hooned-Soojus'!$C:$I,2+$C14,FALSE) + VLOOKUP(T$10,'VK-Transport'!$C:$I,2+$B14,FALSE)+ VLOOKUP(T$10,'VK-Biokütused'!$C:$G,2+$E14,FALSE)+ VLOOKUP(T$10,'VK-Elekter'!$C:$I,2+$D14,FALSE)+ VLOOKUP(T$10,'VK-Põlevkivi'!$C:$I,2+$G14,FALSE)+ VLOOKUP(T$10,'VK-Võrgud'!$C:$I,2+$F14,FALSE)</f>
        <v>-2.4780187187799789E-3</v>
      </c>
      <c r="U14" s="226">
        <f>VLOOKUP(U$10,'VK-Hooned-Soojus'!$C:$I,2+$C14,FALSE) + VLOOKUP(U$10,'VK-Transport'!$C:$I,2+$B14,FALSE)+ VLOOKUP(U$10,'VK-Biokütused'!$C:$G,2+$E14,FALSE)+ VLOOKUP(U$10,'VK-Elekter'!$C:$I,2+$D14,FALSE)+ VLOOKUP(U$10,'VK-Põlevkivi'!$C:$I,2+$G14,FALSE)+ VLOOKUP(U$10,'VK-Võrgud'!$C:$I,2+$F14,FALSE)</f>
        <v>8.2295731122755678E-5</v>
      </c>
      <c r="V14" s="226">
        <f>VLOOKUP(V$10,'VK-Hooned-Soojus'!$C:$I,2+$C14,FALSE) + VLOOKUP(V$10,'VK-Transport'!$C:$I,2+$B14,FALSE)+ VLOOKUP(V$10,'VK-Biokütused'!$C:$G,2+$E14,FALSE)+ VLOOKUP(V$10,'VK-Elekter'!$C:$I,2+$D14,FALSE)+ VLOOKUP(V$10,'VK-Põlevkivi'!$C:$I,2+$G14,FALSE)+ VLOOKUP(V$10,'VK-Võrgud'!$C:$I,2+$F14,FALSE)</f>
        <v>1.6368053121038728E-3</v>
      </c>
      <c r="W14" s="226">
        <f>VLOOKUP(W$10,'VK-Hooned-Soojus'!$C:$I,2+$C14,FALSE) + VLOOKUP(W$10,'VK-Transport'!$C:$I,2+$B14,FALSE)+ VLOOKUP(W$10,'VK-Biokütused'!$C:$G,2+$E14,FALSE)+ VLOOKUP(W$10,'VK-Elekter'!$C:$I,2+$D14,FALSE)+ VLOOKUP(W$10,'VK-Põlevkivi'!$C:$I,2+$G14,FALSE)+ VLOOKUP(W$10,'VK-Võrgud'!$C:$I,2+$F14,FALSE)</f>
        <v>1.849685073702665E-5</v>
      </c>
      <c r="X14" s="226">
        <f>VLOOKUP(X$10,'VK-Hooned-Soojus'!$C:$I,2+$C14,FALSE) + VLOOKUP(X$10,'VK-Transport'!$C:$I,2+$B14,FALSE)+ VLOOKUP(X$10,'VK-Biokütused'!$C:$G,2+$E14,FALSE)+ VLOOKUP(X$10,'VK-Elekter'!$C:$I,2+$D14,FALSE)+ VLOOKUP(X$10,'VK-Põlevkivi'!$C:$I,2+$G14,FALSE)+ VLOOKUP(X$10,'VK-Võrgud'!$C:$I,2+$F14,FALSE)</f>
        <v>2.086028511696189E-5</v>
      </c>
      <c r="Y14" s="226">
        <f>VLOOKUP(Y$10,'VK-Hooned-Soojus'!$C:$I,2+$C14,FALSE) + VLOOKUP(Y$10,'VK-Transport'!$C:$I,2+$B14,FALSE)+ VLOOKUP(Y$10,'VK-Biokütused'!$C:$G,2+$E14,FALSE)+ VLOOKUP(Y$10,'VK-Elekter'!$C:$I,2+$D14,FALSE)+ VLOOKUP(Y$10,'VK-Põlevkivi'!$C:$I,2+$G14,FALSE)+ VLOOKUP(Y$10,'VK-Võrgud'!$C:$I,2+$F14,FALSE)</f>
        <v>3.8062194737299741E-5</v>
      </c>
      <c r="Z14" s="227">
        <f>(S14*Tulemused!$Q$9*10+T14*Tulemused!$Q$10*10+KOMBI!U14*Tulemused!$Q$11*10+KOMBI!V14*Tulemused!$Q$12*10)*Tulemused!$Q$8+-(W14*Tulemused!$Q$14*10+KOMBI!X14*Tulemused!$Q$15*10+KOMBI!Y14*Tulemused!$Q$16*10)*Tulemused!$Q$13</f>
        <v>6.2365001726004024E-2</v>
      </c>
      <c r="AA14" s="228">
        <f>(IF(AA$7="X",VLOOKUP(AA$10,'VK-Hooned-Soojus'!$C:$X,2+$C14,FALSE),0)+IF(AA$6="X",VLOOKUP(AA$10,'VK-Transport'!$C:$X,2+$B14,0))+IF(AA$8="X",VLOOKUP(AA$10,'VK-Elekter'!$C:$X,2+$D14,0))+IF(AA$9="X",VLOOKUP(AA$10,'VK-Biokütused'!$C:$U,2+$E14,0))+IF(AA$5="X",VLOOKUP(AA$10,'VK-Põlevkivi'!$C:$X,2+$G14,0))+IF(AA$4="X",VLOOKUP(AA$10,'VK-Võrgud'!$C:$X,2+$F14,0)))</f>
        <v>3761</v>
      </c>
      <c r="AB14" s="228">
        <f>(IF(AB$7="X",VLOOKUP(AB$10,'VK-Hooned-Soojus'!$C:$X,2+$C14,FALSE),0)+IF(AB$6="X",VLOOKUP(AB$10,'VK-Transport'!$C:$X,2+$B14,0))+IF(AB$8="X",VLOOKUP(AB$10,'VK-Elekter'!$C:$X,2+$D14,0))+IF(AB$9="X",VLOOKUP(AB$10,'VK-Biokütused'!$C:$U,2+$E14,0))+IF(AB$5="X",VLOOKUP(AB$10,'VK-Põlevkivi'!$C:$X,2+$G14,0))+IF(AB$4="X",VLOOKUP(AB$10,'VK-Võrgud'!$C:$X,2+$F14,0)))</f>
        <v>1602</v>
      </c>
      <c r="AC14" s="228">
        <f>(IF(AC$7="X",VLOOKUP(AC$10,'VK-Hooned-Soojus'!$C:$X,2+$C14,FALSE),0)+IF(AC$6="X",VLOOKUP(AC$10,'VK-Transport'!$C:$X,2+$B14,0))+IF(AC$8="X",VLOOKUP(AC$10,'VK-Elekter'!$C:$X,2+$D14,0))+IF(AC$9="X",VLOOKUP(AC$10,'VK-Biokütused'!$C:$U,2+$E14,0))+IF(AC$5="X",VLOOKUP(AC$10,'VK-Põlevkivi'!$C:$X,2+$G14,0))+IF(AC$4="X",VLOOKUP(AC$10,'VK-Võrgud'!$C:$X,2+$F14,0)))</f>
        <v>2346</v>
      </c>
      <c r="AD14" s="228">
        <f>(IF(AD$7="X",VLOOKUP(AD$10,'VK-Hooned-Soojus'!$C:$X,2+$C14,FALSE),0)+IF(AD$6="X",VLOOKUP(AD$10,'VK-Transport'!$C:$X,2+$B14,0))+IF(AD$8="X",VLOOKUP(AD$10,'VK-Elekter'!$C:$X,2+$D14,0))+IF(AD$9="X",VLOOKUP(AD$10,'VK-Biokütused'!$C:$U,2+$E14,0))+IF(AD$5="X",VLOOKUP(AD$10,'VK-Põlevkivi'!$C:$X,2+$G14,0))+IF(AD$4="X",VLOOKUP(AD$10,'VK-Võrgud'!$C:$X,2+$F14,0)))</f>
        <v>0</v>
      </c>
      <c r="AE14" s="228">
        <f>(IF(AE$7="X",VLOOKUP(AE$10,'VK-Hooned-Soojus'!$C:$X,2+$C14,FALSE),0)+IF(AE$6="X",VLOOKUP(AE$10,'VK-Transport'!$C:$X,2+$B14,0))+IF(AE$8="X",VLOOKUP(AE$10,'VK-Elekter'!$C:$X,2+$D14,0))+IF(AE$9="X",VLOOKUP(AE$10,'VK-Biokütused'!$C:$U,2+$E14,0))+IF(AE$5="X",VLOOKUP(AE$10,'VK-Põlevkivi'!$C:$X,2+$G14,0))+IF(AE$4="X",VLOOKUP(AE$10,'VK-Võrgud'!$C:$X,2+$F14,0)))</f>
        <v>812</v>
      </c>
      <c r="AF14" s="228">
        <f>(IF(AF$7="X",VLOOKUP(AF$10,'VK-Hooned-Soojus'!$C:$X,2+$C14,FALSE),0)+IF(AF$6="X",VLOOKUP(AF$10,'VK-Transport'!$C:$X,2+$B14,0))+IF(AF$8="X",VLOOKUP(AF$10,'VK-Elekter'!$C:$X,2+$D14,0))+IF(AF$9="X",VLOOKUP(AF$10,'VK-Biokütused'!$C:$U,2+$E14,0))+IF(AF$5="X",VLOOKUP(AF$10,'VK-Põlevkivi'!$C:$X,2+$G14,0))+IF(AF$4="X",VLOOKUP(AF$10,'VK-Võrgud'!$C:$X,2+$F14,0)))</f>
        <v>2490.6368215830603</v>
      </c>
      <c r="AG14" s="209"/>
      <c r="AH14" s="209">
        <f>IF(AH$7="X",VLOOKUP(AH$10,'VK-Hooned-Soojus'!$C:$X,2+$C14,FALSE),0)+IF(AH$6="X",VLOOKUP(AH$10,'VK-Transport'!$C:$X,2+$B14,0))+IF(AH$8="X",VLOOKUP(AH$10,'VK-Elekter'!$C:$X,2+$D14,0))+IF(AH$9="X",VLOOKUP(AH$10,'VK-Biokütused'!$C:$U,2+$E14,0))+IF(AH$5="X",VLOOKUP(AH$10,'VK-Põlevkivi'!$C:$X,2+$G14,0))+IF(AH$4="X",VLOOKUP(AH$10,'VK-Võrgud'!$C:$X,2+$F14,0))</f>
        <v>11.64</v>
      </c>
      <c r="AI14" s="209">
        <f>IF(AI$7="X",VLOOKUP(AI$10,'VK-Hooned-Soojus'!$C:$X,2+$C14,FALSE),0)+IF(AI$6="X",VLOOKUP(AI$10,'VK-Transport'!$C:$X,2+$B14,0))+IF(AI$8="X",VLOOKUP(AI$10,'VK-Elekter'!$C:$X,2+$D14,0))+IF(AI$9="X",VLOOKUP(AI$10,'VK-Biokütused'!$C:$U,2+$E14,0))+IF(AI$5="X",VLOOKUP(AI$10,'VK-Põlevkivi'!$C:$X,2+$G14,0))+IF(AI$4="X",VLOOKUP(AI$10,'VK-Võrgud'!$C:$X,2+$F14,0))</f>
        <v>2.3100000000000005</v>
      </c>
      <c r="AJ14" s="209">
        <f>IF(AJ$7="X",VLOOKUP(AJ$10,'VK-Hooned-Soojus'!$C:$X,2+$C14,FALSE),0)+IF(AJ$6="X",VLOOKUP(AJ$10,'VK-Transport'!$C:$X,2+$B14,0))+IF(AJ$8="X",VLOOKUP(AJ$10,'VK-Elekter'!$C:$X,2+$D14,0))+IF(AJ$9="X",VLOOKUP(AJ$10,'VK-Biokütused'!$C:$U,2+$E14,0))+IF(AJ$5="X",VLOOKUP(AJ$10,'VK-Põlevkivi'!$C:$X,2+$G14,0))+IF(AJ$4="X",VLOOKUP(AJ$10,'VK-Võrgud'!$C:$X,2+$F14,0))</f>
        <v>9.25</v>
      </c>
      <c r="AK14" s="209">
        <f>IF(AK$7="X",VLOOKUP(AK$10,'VK-Hooned-Soojus'!$C:$X,2+$C14,FALSE),0)+IF(AK$6="X",VLOOKUP(AK$10,'VK-Transport'!$C:$X,2+$B14,0))+IF(AK$8="X",VLOOKUP(AK$10,'VK-Elekter'!$C:$X,2+$D14,0))+IF(AK$9="X",VLOOKUP(AK$10,'VK-Biokütused'!$C:$U,2+$E14,0))+IF(AK$5="X",VLOOKUP(AK$10,'VK-Põlevkivi'!$C:$X,2+$G14,0))+IF(AK$4="X",VLOOKUP(AK$10,'VK-Võrgud'!$C:$X,2+$F14,0))</f>
        <v>2.78</v>
      </c>
      <c r="AL14" s="209">
        <f>IF(AL$7="X",VLOOKUP(AL$10,'VK-Hooned-Soojus'!$C:$X,2+$C14,FALSE),0)+IF(AL$6="X",VLOOKUP(AL$10,'VK-Transport'!$C:$X,2+$B14,0))+IF(AL$8="X",VLOOKUP(AL$10,'VK-Elekter'!$C:$X,2+$D14,0))+IF(AL$9="X",VLOOKUP(AL$10,'VK-Biokütused'!$C:$U,2+$E14,0))+IF(AL$5="X",VLOOKUP(AL$10,'VK-Põlevkivi'!$C:$X,2+$G14,0))+IF(AL$4="X",VLOOKUP(AL$10,'VK-Võrgud'!$C:$X,2+$F14,0))</f>
        <v>7.1999999999999993</v>
      </c>
      <c r="AM14" s="209">
        <f>IF(AM$7="X",VLOOKUP(AM$10,'VK-Hooned-Soojus'!$C:$X,2+$C14,FALSE),0)+IF(AM$6="X",VLOOKUP(AM$10,'VK-Transport'!$C:$X,2+$B14,0))+IF(AM$8="X",VLOOKUP(AM$10,'VK-Elekter'!$C:$X,2+$D14,0))+IF(AM$9="X",VLOOKUP(AM$10,'VK-Biokütused'!$C:$U,2+$E14,0))+IF(AM$5="X",VLOOKUP(AM$10,'VK-Põlevkivi'!$C:$X,2+$G14,0))+IF(AM$4="X",VLOOKUP(AM$10,'VK-Võrgud'!$C:$X,2+$F14,0))</f>
        <v>12.9</v>
      </c>
      <c r="AN14" s="209">
        <f>IF(AN$7="X",VLOOKUP(AN$10,'VK-Hooned-Soojus'!$C:$X,2+$C14,FALSE),0)+IF(AN$6="X",VLOOKUP(AN$10,'VK-Transport'!$C:$X,2+$B14,0))+IF(AN$8="X",VLOOKUP(AN$10,'VK-Elekter'!$C:$X,2+$D14,0))+IF(AN$9="X",VLOOKUP(AN$10,'VK-Biokütused'!$C:$U,2+$E14,0))+IF(AN$5="X",VLOOKUP(AN$10,'VK-Põlevkivi'!$C:$X,2+$G14,0))+IF(AN$4="X",VLOOKUP(AN$10,'VK-Võrgud'!$C:$X,2+$F14,0))</f>
        <v>5.6999999999999993</v>
      </c>
      <c r="AO14" s="209">
        <f>IF(AO$7="X",VLOOKUP(AO$10,'VK-Hooned-Soojus'!$C:$X,2+$C14,FALSE),0)+IF(AO$6="X",VLOOKUP(AO$10,'VK-Transport'!$C:$X,2+$B14,0))+IF(AO$8="X",VLOOKUP(AO$10,'VK-Elekter'!$C:$X,2+$D14,0))+IF(AO$9="X",VLOOKUP(AO$10,'VK-Biokütused'!$C:$U,2+$E14,0))+IF(AO$5="X",VLOOKUP(AO$10,'VK-Põlevkivi'!$C:$X,2+$G14,0))+IF(AO$4="X",VLOOKUP(AO$10,'VK-Võrgud'!$C:$X,2+$F14,0))</f>
        <v>13.56</v>
      </c>
      <c r="AP14" s="209">
        <f>IF(AP$7="X",VLOOKUP(AP$10,'VK-Hooned-Soojus'!$C:$X,2+$C14,FALSE),0)+IF(AP$6="X",VLOOKUP(AP$10,'VK-Transport'!$C:$X,2+$B14,0))+IF(AP$8="X",VLOOKUP(AP$10,'VK-Elekter'!$C:$X,2+$D14,0))+IF(AP$9="X",VLOOKUP(AP$10,'VK-Biokütused'!$C:$U,2+$E14,0))+IF(AP$5="X",VLOOKUP(AP$10,'VK-Põlevkivi'!$C:$X,2+$G14,0))+IF(AP$4="X",VLOOKUP(AP$10,'VK-Võrgud'!$C:$X,2+$F14,0))</f>
        <v>6.78</v>
      </c>
      <c r="AQ14" s="320">
        <f t="shared" si="14"/>
        <v>1.2599999999999998</v>
      </c>
      <c r="AR14" s="209">
        <f>IF(AR$7="X",VLOOKUP(AR$10,'VK-Hooned-Soojus'!$C:$X,2+$C14,FALSE),0)+IF(AR$6="X",VLOOKUP(AR$10,'VK-Transport'!$C:$X,2+$B14,0))+IF(AR$8="X",VLOOKUP(AR$10,'VK-Elekter'!$C:$X,2+$D14,0))+IF(AR$9="X",VLOOKUP(AR$10,'VK-Biokütused'!$C:$U,2+$E14,0))+IF(AR$5="X",VLOOKUP(AR$10,'VK-Põlevkivi'!$C:$X,2+$G14,0))+IF(AR$4="X",VLOOKUP(AR$10,'VK-Võrgud'!$C:$X,2+$F14,0))</f>
        <v>3.4899999999999998</v>
      </c>
      <c r="AS14" s="320">
        <f>VLOOKUP("Kütuste tarbimine @ 2030 - UTTEGAAS",'VK-Hooned-Soojus'!$C:$X,2+$C14,FALSE)/0.172+VLOOKUP("Kütuste tarbimine @ 2030 - UTTEGAAS",'VK-Elekter'!$C:$X,2+$D14,FALSE)/0.172-AR14-AU14</f>
        <v>2.7565116279069759</v>
      </c>
      <c r="AT14" s="209">
        <f>IF(AT$7="X",VLOOKUP(AT$10,'VK-Hooned-Soojus'!$C:$X,2+$C14,FALSE),0)+IF(AT$6="X",VLOOKUP(AT$10,'VK-Transport'!$C:$X,2+$B14,0))+IF(AT$8="X",VLOOKUP(AT$10,'VK-Elekter'!$C:$X,2+$D14,0))+IF(AT$9="X",VLOOKUP(AT$10,'VK-Biokütused'!$C:$U,2+$E14,0))+IF(AT$5="X",VLOOKUP(AT$10,'VK-Põlevkivi'!$C:$X,2+$G14,0))+IF(AT$4="X",VLOOKUP(AT$10,'VK-Võrgud'!$C:$X,2+$F14,0))</f>
        <v>12.004929222526066</v>
      </c>
      <c r="AU14" s="229">
        <f>MAX(0,(VLOOKUP("Kütuste tarbimine @ 2030 - UTTEGAAS",'VK-Hooned-Soojus'!$C:$X,2+$C14,FALSE)/0.172+VLOOKUP("Kütuste tarbimine @ 2030 - UTTEGAAS",'VK-Elekter'!$C:$X,2+$D14,FALSE)/0.172)*0.52-VLOOKUP("Kütuste tarbimine @ 2030 - PÕLEVKIVIÕLI",'VK-Hooned-Soojus'!$C:$X,2+$C14,FALSE))</f>
        <v>4.6837209302325586</v>
      </c>
      <c r="AV14" s="209">
        <f>IF(AV$7="X",VLOOKUP(AV$10,'VK-Hooned-Soojus'!$C:$X,2+$C14,FALSE),0)+IF(AV$6="X",VLOOKUP(AV$10,'VK-Transport'!$C:$X,2+$B14,0))+IF(AV$8="X",VLOOKUP(AV$10,'VK-Elekter'!$C:$X,2+$D14,0))+IF(AV$9="X",VLOOKUP(AV$10,'VK-Biokütused'!$C:$U,2+$E14,0))+IF(AV$5="X",VLOOKUP(AV$10,'VK-Põlevkivi'!$C:$X,2+$G14,0))+IF(AV$4="X",VLOOKUP(AV$10,'VK-Võrgud'!$C:$X,2+$F14,0))</f>
        <v>1.1831224847375093</v>
      </c>
      <c r="AW14" s="209">
        <f>IF(AW$7="X",VLOOKUP(AW$10,'VK-Hooned-Soojus'!$C:$X,2+$C14,FALSE),0)+IF(AW$6="X",VLOOKUP(AW$10,'VK-Transport'!$C:$X,2+$B14,0))+IF(AW$8="X",VLOOKUP(AW$10,'VK-Elekter'!$C:$X,2+$D14,0))+IF(AW$9="X",VLOOKUP(AW$10,'VK-Biokütused'!$C:$U,2+$E14,0))+IF(AW$5="X",VLOOKUP(AW$10,'VK-Põlevkivi'!$C:$X,2+$G14,0))+IF(AW$4="X",VLOOKUP(AW$10,'VK-Võrgud'!$C:$X,2+$F14,0))</f>
        <v>0</v>
      </c>
      <c r="AX14" s="229">
        <f t="shared" ref="AX14:AX75" si="34">MAX(0,AW14-AV14)</f>
        <v>0</v>
      </c>
      <c r="AY14" s="229">
        <f t="shared" si="15"/>
        <v>1.1831224847375093</v>
      </c>
      <c r="AZ14" s="230">
        <f t="shared" si="0"/>
        <v>0.60972649184220895</v>
      </c>
      <c r="BA14" s="209">
        <f>IF(BA$7="X",VLOOKUP(BA$10,'VK-Hooned-Soojus'!$C:$X,2+$C14,FALSE),0)+IF(BA$6="X",VLOOKUP(BA$10,'VK-Transport'!$C:$X,2+$B14,0))+IF(BA$8="X",VLOOKUP(BA$10,'VK-Elekter'!$C:$X,2+$D14,0))+IF(BA$9="X",VLOOKUP(BA$10,'VK-Biokütused'!$C:$U,2+$E14,0))+IF(BA$5="X",VLOOKUP(BA$10,'VK-Põlevkivi'!$C:$X,2+$G14,0))+IF(BA$4="X",VLOOKUP(BA$10,'VK-Võrgud'!$C:$X,2+$F14,0))</f>
        <v>4.25</v>
      </c>
      <c r="BB14" s="209">
        <f>IF(BB$7="X",VLOOKUP(BB$10,'VK-Hooned-Soojus'!$C:$X,2+$C14,FALSE),0)+IF(BB$6="X",VLOOKUP(BB$10,'VK-Transport'!$C:$X,2+$B14,0))+IF(BB$8="X",VLOOKUP(BB$10,'VK-Elekter'!$C:$X,2+$D14,0))+IF(BB$9="X",VLOOKUP(BB$10,'VK-Biokütused'!$C:$U,2+$E14,0))+IF(BB$5="X",VLOOKUP(BB$10,'VK-Põlevkivi'!$C:$X,2+$G14,0))+IF(BB$4="X",VLOOKUP(BB$10,'VK-Võrgud'!$C:$X,2+$F14,0))</f>
        <v>2.93</v>
      </c>
      <c r="BC14" s="209">
        <f>IF(BC$7="X",VLOOKUP(BC$10,'VK-Hooned-Soojus'!$C:$X,2+$C14,FALSE),0)+IF(BC$6="X",VLOOKUP(BC$10,'VK-Transport'!$C:$X,2+$B14,0))+IF(BC$8="X",VLOOKUP(BC$10,'VK-Elekter'!$C:$X,2+$D14,0))+IF(BC$9="X",VLOOKUP(BC$10,'VK-Biokütused'!$C:$U,2+$E14,0))+IF(BC$5="X",VLOOKUP(BC$10,'VK-Põlevkivi'!$C:$X,2+$G14,0))+IF(BC$4="X",VLOOKUP(BC$10,'VK-Võrgud'!$C:$X,2+$F14,0))</f>
        <v>8.0523611111111126</v>
      </c>
      <c r="BD14" s="209">
        <f>IF(BD$7="X",VLOOKUP(BD$10,'VK-Hooned-Soojus'!$C:$X,2+$C14,FALSE),0)+IF(BD$6="X",VLOOKUP(BD$10,'VK-Transport'!$C:$X,2+$B14,0))+IF(BD$8="X",VLOOKUP(BD$10,'VK-Elekter'!$C:$X,2+$D14,0))+IF(BD$9="X",VLOOKUP(BD$10,'VK-Biokütused'!$C:$U,2+$E14,0))+IF(BD$5="X",VLOOKUP(BD$10,'VK-Põlevkivi'!$C:$X,2+$G14,0))+IF(BD$4="X",VLOOKUP(BD$10,'VK-Võrgud'!$C:$X,2+$F14,0))</f>
        <v>10.42138888888889</v>
      </c>
      <c r="BE14" s="230"/>
      <c r="BF14" s="229">
        <f t="shared" si="16"/>
        <v>0.31062542735309201</v>
      </c>
      <c r="BG14" s="209" t="e">
        <f>(IF(BG$7="X",VLOOKUP(BG$10,'VK-Hooned-Soojus'!$C:$X,2+$C14,FALSE),0)+IF(BG$6="X",VLOOKUP(BG$10,'VK-Transport'!$C:$X,2+$B14,0))+IF(BG$8="X",VLOOKUP(BG$10,'VK-Elekter'!$C:$X,2+$D14,0))+IF(BG$9="X",VLOOKUP(BG$10,'VK-Biokütused'!$C:$U,2+$E14,0))+IF(BG$5="X",VLOOKUP(BG$10,'VK-Põlevkivi'!$C:$X,2+$G14,0))+IF(BG$4="X",VLOOKUP(BG$10,'VK-Võrgud'!$C:$X,2+$F14,0)))/20</f>
        <v>#N/A</v>
      </c>
      <c r="BH14" s="209">
        <f>(IF(BH$7="X",VLOOKUP(BH$10,'VK-Hooned-Soojus'!$C:$X,2+$C14,FALSE),0)+IF(BH$6="X",VLOOKUP(BH$10,'VK-Transport'!$C:$X,2+$B14,0))+IF(BH$8="X",VLOOKUP(BH$10,'VK-Elekter'!$C:$X,2+$D14,0))+IF(BH$9="X",VLOOKUP(BH$10,'VK-Biokütused'!$C:$U,2+$E14,0))+IF(BH$5="X",VLOOKUP(BH$10,'VK-Põlevkivi'!$C:$X,2+$G14,0))+IF(BH$4="X",VLOOKUP(BH$10,'VK-Võrgud'!$C:$X,2+$F14,0)))/20</f>
        <v>13.99</v>
      </c>
      <c r="BI14" s="209">
        <f>(IF(BI$7="X",VLOOKUP(BI$10,'VK-Hooned-Soojus'!$C:$X,2+$C14,FALSE),0)+IF(BI$6="X",VLOOKUP(BI$10,'VK-Transport'!$C:$X,2+$B14,0))+IF(BI$8="X",VLOOKUP(BI$10,'VK-Elekter'!$C:$X,2+$D14,0))+IF(BI$9="X",VLOOKUP(BI$10,'VK-Biokütused'!$C:$U,2+$E14,0))+IF(BI$5="X",VLOOKUP(BI$10,'VK-Põlevkivi'!$C:$X,2+$G14,0))+IF(BI$4="X",VLOOKUP(BI$10,'VK-Võrgud'!$C:$X,2+$F14,0)))/16</f>
        <v>17.75</v>
      </c>
      <c r="BJ14" s="209">
        <f>(IF(BJ$7="X",VLOOKUP(BJ$10,'VK-Hooned-Soojus'!$C:$X,2+$C14,FALSE),0)+IF(BJ$6="X",VLOOKUP(BJ$10,'VK-Transport'!$C:$X,2+$B14,0))+IF(BJ$8="X",VLOOKUP(BJ$10,'VK-Elekter'!$C:$X,2+$D14,0))+IF(BJ$9="X",VLOOKUP(BJ$10,'VK-Biokütused'!$C:$U,2+$E14,0))+IF(BJ$5="X",VLOOKUP(BJ$10,'VK-Põlevkivi'!$C:$X,2+$G14,0))+IF(BJ$4="X",VLOOKUP(BJ$10,'VK-Võrgud'!$C:$X,2+$F14,0)))/20</f>
        <v>1.85</v>
      </c>
      <c r="BK14" s="209"/>
      <c r="BL14" s="209"/>
      <c r="BM14" s="209"/>
      <c r="BN14" s="209" t="e">
        <f>(IF(BN$7="X",VLOOKUP(BN$10,'VK-Hooned-Soojus'!$C:$X,2+$C14,FALSE),0)+IF(BN$6="X",VLOOKUP(BN$10,'VK-Transport'!$C:$X,2+$B14,0))+IF(BN$8="X",VLOOKUP(BN$10,'VK-Elekter'!$C:$X,2+$D14,0))+IF(BN$9="X",VLOOKUP(BN$10,'VK-Biokütused'!$C:$U,2+$E14,0))+IF(BN$5="X",VLOOKUP(BN$10,'VK-Põlevkivi'!$C:$X,2+$G14,0))+IF(BN$4="X",VLOOKUP(BN$10,'VK-Võrgud'!$C:$X,2+$F14,0)))/16</f>
        <v>#N/A</v>
      </c>
      <c r="BO14" s="209">
        <f>(IF(BO$7="X",VLOOKUP(BO$10,'VK-Hooned-Soojus'!$C:$X,2+$C14,FALSE),0)+IF(BO$6="X",VLOOKUP(BO$10,'VK-Transport'!$C:$X,2+$B14,0))+IF(BO$8="X",VLOOKUP(BO$10,'VK-Elekter'!$C:$X,2+$D14,0))+IF(BO$9="X",VLOOKUP(BO$10,'VK-Biokütused'!$C:$U,2+$E14,0))+IF(BO$5="X",VLOOKUP(BO$10,'VK-Põlevkivi'!$C:$X,2+$G14,0))+IF(BO$4="X",VLOOKUP(BO$10,'VK-Võrgud'!$C:$X,2+$F14,0)))/16</f>
        <v>496.33125000000001</v>
      </c>
      <c r="BP14" s="209"/>
      <c r="BQ14" s="209">
        <f>(IF(BQ$7="X",VLOOKUP(BQ$10,'VK-Hooned-Soojus'!$C:$X,2+$C14,FALSE),0)+IF(BQ$6="X",VLOOKUP(BQ$10,'VK-Transport'!$C:$X,2+$B14,0))+IF(BQ$8="X",VLOOKUP(BQ$10,'VK-Elekter'!$C:$X,2+$D14,0))+IF(BQ$9="X",VLOOKUP(BQ$10,'VK-Biokütused'!$C:$U,2+$E14,0))+IF(BQ$5="X",VLOOKUP(BQ$10,'VK-Põlevkivi'!$C:$X,2+$G14,0))+IF(BQ$4="X",VLOOKUP(BQ$10,'VK-Võrgud'!$C:$X,2+$F14,0)))/16</f>
        <v>4.7249999999999996</v>
      </c>
      <c r="BR14" s="209">
        <f>(IF(BR$7="X",VLOOKUP(BR$10,'VK-Hooned-Soojus'!$C:$X,2+$C14,FALSE),0)+IF(BR$6="X",VLOOKUP(BR$10,'VK-Transport'!$C:$X,2+$B14,0))+IF(BR$8="X",VLOOKUP(BR$10,'VK-Elekter'!$C:$X,2+$D14,0))+IF(BR$9="X",VLOOKUP(BR$10,'VK-Biokütused'!$C:$U,2+$E14,0))+IF(BR$5="X",VLOOKUP(BR$10,'VK-Põlevkivi'!$C:$X,2+$G14,0))+IF(BR$4="X",VLOOKUP(BR$10,'VK-Võrgud'!$C:$X,2+$F14,0)))/16</f>
        <v>-74.512500000000003</v>
      </c>
      <c r="BS14" s="209">
        <f>(IF(BS$7="X",VLOOKUP(BS$10,'VK-Hooned-Soojus'!$C:$X,2+$C14,FALSE),0)+IF(BS$6="X",VLOOKUP(BS$10,'VK-Transport'!$C:$X,2+$B14,0))+IF(BS$8="X",VLOOKUP(BS$10,'VK-Elekter'!$C:$X,2+$D14,0))+IF(BS$9="X",VLOOKUP(BS$10,'VK-Biokütused'!$C:$U,2+$E14,0))+IF(BS$5="X",VLOOKUP(BS$10,'VK-Põlevkivi'!$C:$X,2+$G14,0))+IF(BS$4="X",VLOOKUP(BS$10,'VK-Võrgud'!$C:$X,2+$F14,0)))/16</f>
        <v>-100.68125000000001</v>
      </c>
      <c r="BT14" s="209"/>
      <c r="BU14" s="209"/>
      <c r="BV14" s="209">
        <f>(IF(BV$7="X",VLOOKUP(BV$10,'VK-Hooned-Soojus'!$C:$X,2+$C14,FALSE),0)+IF(BV$6="X",VLOOKUP(BV$10,'VK-Transport'!$C:$X,2+$B14,0))+IF(BV$8="X",VLOOKUP(BV$10,'VK-Elekter'!$C:$X,2+$D14,0))+IF(BV$9="X",VLOOKUP(BV$10,'VK-Biokütused'!$C:$U,2+$E14,0))+IF(BV$5="X",VLOOKUP(BV$10,'VK-Põlevkivi'!$C:$X,2+$G14,0))+IF(BV$4="X",VLOOKUP(BV$10,'VK-Võrgud'!$C:$X,2+$F14,0)))/16</f>
        <v>0</v>
      </c>
      <c r="BW14" s="209"/>
      <c r="BX14" s="209">
        <f>(IF(BX$7="X",VLOOKUP(BX$10,'VK-Hooned-Soojus'!$C:$X,2+$C14,FALSE),0)+IF(BX$6="X",VLOOKUP(BX$10,'VK-Transport'!$C:$X,2+$B14,0))+IF(BX$8="X",VLOOKUP(BX$10,'VK-Elekter'!$C:$X,2+$D14,0))+IF(BX$9="X",VLOOKUP(BX$10,'VK-Biokütused'!$C:$U,2+$E14,0))+IF(BX$5="X",VLOOKUP(BX$10,'VK-Põlevkivi'!$C:$X,2+$G14,0))+IF(BX$4="X",VLOOKUP(BX$10,'VK-Võrgud'!$C:$X,2+$F14,0)))/16</f>
        <v>-99.75</v>
      </c>
      <c r="BY14" s="209"/>
      <c r="BZ14" s="209"/>
      <c r="CA14" s="209" t="e">
        <f>(IF(CA$7="X",VLOOKUP(CA$10,'VK-Hooned-Soojus'!$C:$X,2+$C14,FALSE),0)+IF(CA$6="X",VLOOKUP(CA$10,'VK-Transport'!$C:$X,2+$B14,0))+IF(CA$8="X",VLOOKUP(CA$10,'VK-Elekter'!$C:$X,2+$D14,0))+IF(CA$9="X",VLOOKUP(CA$10,'VK-Biokütused'!$C:$U,2+$E14,0))+IF(CA$5="X",VLOOKUP(CA$10,'VK-Põlevkivi'!$C:$X,2+$G14,0))+IF(CA$4="X",VLOOKUP(CA$10,'VK-Võrgud'!$C:$X,2+$F14,0)))/16</f>
        <v>#N/A</v>
      </c>
      <c r="CB14" s="209">
        <f>(IF(CB$7="X",VLOOKUP(CB$10,'VK-Hooned-Soojus'!$C:$X,2+$C14,FALSE),0)+IF(CB$6="X",VLOOKUP(CB$10,'VK-Transport'!$C:$X,2+$B14,0))+IF(CB$8="X",VLOOKUP(CB$10,'VK-Elekter'!$C:$X,2+$D14,0))+IF(CB$9="X",VLOOKUP(CB$10,'VK-Biokütused'!$C:$U,2+$E14,0))+IF(CB$5="X",VLOOKUP(CB$10,'VK-Põlevkivi'!$C:$X,2+$G14,0))+IF(CB$4="X",VLOOKUP(CB$10,'VK-Võrgud'!$C:$X,2+$F14,0)))/16</f>
        <v>0</v>
      </c>
      <c r="CC14" s="209">
        <f>(IF(CC$7="X",VLOOKUP(CC$10,'VK-Hooned-Soojus'!$C:$X,2+$C14,FALSE),0)+IF(CC$6="X",VLOOKUP(CC$10,'VK-Transport'!$C:$X,2+$B14,0))+IF(CC$8="X",VLOOKUP(CC$10,'VK-Elekter'!$C:$X,2+$D14,0))+IF(CC$9="X",VLOOKUP(CC$10,'VK-Biokütused'!$C:$U,2+$E14,0))+IF(CC$5="X",VLOOKUP(CC$10,'VK-Põlevkivi'!$C:$X,2+$G14,0))+IF(CC$4="X",VLOOKUP(CC$10,'VK-Võrgud'!$C:$X,2+$F14,0)))/16</f>
        <v>0</v>
      </c>
      <c r="CD14" s="209"/>
      <c r="CE14" s="209">
        <f>(IF(CE$7="X",VLOOKUP(CE$10,'VK-Hooned-Soojus'!$C:$X,2+$C14,FALSE),0)+IF(CE$6="X",VLOOKUP(CE$10,'VK-Transport'!$C:$X,2+$B14,0))+IF(CE$8="X",VLOOKUP(CE$10,'VK-Elekter'!$C:$X,2+$D14,0))+IF(CE$9="X",VLOOKUP(CE$10,'VK-Biokütused'!$C:$U,2+$E14,0))+IF(CE$5="X",VLOOKUP(CE$10,'VK-Põlevkivi'!$C:$X,2+$G14,0))+IF(CE$4="X",VLOOKUP(CE$10,'VK-Võrgud'!$C:$X,2+$F14,0)))/16</f>
        <v>24.15625</v>
      </c>
      <c r="CF14" s="209"/>
      <c r="CG14" s="209">
        <f>(IF(CG$7="X",VLOOKUP(CG$10,'VK-Hooned-Soojus'!$C:$X,2+$C14,FALSE),0)+IF(CG$6="X",VLOOKUP(CG$10,'VK-Transport'!$C:$X,2+$B14,0))+IF(CG$8="X",VLOOKUP(CG$10,'VK-Elekter'!$C:$X,2+$D14,0))+IF(CG$9="X",VLOOKUP(CG$10,'VK-Biokütused'!$C:$U,2+$E14,0))+IF(CG$5="X",VLOOKUP(CG$10,'VK-Põlevkivi'!$C:$X,2+$G14,0))+IF(CG$4="X",VLOOKUP(CG$10,'VK-Võrgud'!$C:$X,2+$F14,0)))/16</f>
        <v>0</v>
      </c>
      <c r="CH14" s="209">
        <f>(IF(CH$7="X",VLOOKUP(CH$10,'VK-Hooned-Soojus'!$C:$X,2+$C14,FALSE),0)+IF(CH$6="X",VLOOKUP(CH$10,'VK-Transport'!$C:$X,2+$B14,0))+IF(CH$8="X",VLOOKUP(CH$10,'VK-Elekter'!$C:$X,2+$D14,0))+IF(CH$9="X",VLOOKUP(CH$10,'VK-Biokütused'!$C:$U,2+$E14,0))+IF(CH$5="X",VLOOKUP(CH$10,'VK-Põlevkivi'!$C:$X,2+$G14,0))+IF(CH$4="X",VLOOKUP(CH$10,'VK-Võrgud'!$C:$X,2+$F14,0)))/20*0.21</f>
        <v>5.6122500000000004</v>
      </c>
      <c r="CI14" s="209"/>
      <c r="CJ14" s="209">
        <f>(IF(CJ$7="X",VLOOKUP(CJ$10,'VK-Hooned-Soojus'!$C:$X,2+$C14,FALSE),0)+IF(CJ$6="X",VLOOKUP(CJ$10,'VK-Transport'!$C:$X,2+$B14,0))+IF(CJ$8="X",VLOOKUP(CJ$10,'VK-Elekter'!$C:$X,2+$D14,0))+IF(CJ$9="X",VLOOKUP(CJ$10,'VK-Biokütused'!$C:$U,2+$E14,0))+IF(CJ$5="X",VLOOKUP(CJ$10,'VK-Põlevkivi'!$C:$X,2+$G14,0))+IF(CJ$4="X",VLOOKUP(CJ$10,'VK-Võrgud'!$C:$X,2+$F14,0)))/1000</f>
        <v>20.210578011574537</v>
      </c>
      <c r="CK14" s="209">
        <f>(IF(CK$7="X",VLOOKUP(CK$10,'VK-Hooned-Soojus'!$C:$X,2+$C14,FALSE),0)+IF(CK$6="X",VLOOKUP(CK$10,'VK-Transport'!$C:$X,2+$B14,0))+IF(CK$8="X",VLOOKUP(CK$10,'VK-Elekter'!$C:$X,2+$D14,0))+IF(CK$9="X",VLOOKUP(CK$10,'VK-Biokütused'!$C:$U,2+$E14,0))+IF(CK$5="X",VLOOKUP(CK$10,'VK-Põlevkivi'!$C:$X,2+$G14,0))+IF(CK$4="X",VLOOKUP(CK$10,'VK-Võrgud'!$C:$X,2+$F14,0)))/1000</f>
        <v>12.807124562278599</v>
      </c>
      <c r="CL14" s="235">
        <f>(IF(CL$7="X",VLOOKUP(CL$10,'VK-Hooned-Soojus'!$C:$X,2+$C14,FALSE),0)+IF(CL$6="X",VLOOKUP(CL$10,'VK-Transport'!$C:$X,2+$B14,0))+IF(CL$8="X",VLOOKUP(CL$10,'VK-Elekter'!$C:$X,2+$D14,0))+IF(CL$9="X",VLOOKUP(CL$10,'VK-Biokütused'!$C:$U,2+$E14,0)))/1000</f>
        <v>9.5927140697148801</v>
      </c>
      <c r="CM14" s="209">
        <f>(IF(CM$7="X",VLOOKUP(CM$10,'VK-Hooned-Soojus'!$C:$X,2+$C14,FALSE),0)+IF(CM$6="X",VLOOKUP(CM$10,'VK-Transport'!$C:$X,2+$B14,0))+IF(CM$8="X",VLOOKUP(CM$10,'VK-Elekter'!$C:$X,2+$D14,0))+IF(CM$9="X",VLOOKUP(CM$10,'VK-Biokütused'!$C:$U,2+$E14,0))+IF(CM$5="X",VLOOKUP(CM$10,'VK-Põlevkivi'!$C:$X,2+$G14,0))+IF(CM$4="X",VLOOKUP(CM$10,'VK-Võrgud'!$C:$X,2+$F14,0)))/1000</f>
        <v>8.5657605777489074</v>
      </c>
      <c r="CN14" s="209">
        <f>(IF(CN$7="X",VLOOKUP(CN$10,'VK-Hooned-Soojus'!$C:$X,2+$C14,FALSE),0)+IF(CN$6="X",VLOOKUP(CN$10,'VK-Transport'!$C:$X,2+$B14,0))+IF(CN$8="X",VLOOKUP(CN$10,'VK-Elekter'!$C:$X,2+$D14,0))+IF(CN$9="X",VLOOKUP(CN$10,'VK-Biokütused'!$C:$U,2+$E14,0))+IF(CN$5="X",VLOOKUP(CN$10,'VK-Põlevkivi'!$C:$X,2+$G14,0))+IF(CN$4="X",VLOOKUP(CN$10,'VK-Võrgud'!$C:$X,2+$F14,0)))/1000</f>
        <v>3.0259999999999998</v>
      </c>
      <c r="CO14" s="209">
        <f>(IF(CO$7="X",VLOOKUP(CO$10,'VK-Hooned-Soojus'!$C:$X,2+$C14,FALSE),0)+IF(CO$6="X",VLOOKUP(CO$10,'VK-Transport'!$C:$X,2+$B14,0))+IF(CO$8="X",VLOOKUP(CO$10,'VK-Elekter'!$C:$X,2+$D14,0))+IF(CO$9="X",VLOOKUP(CO$10,'VK-Biokütused'!$C:$U,2+$E14,0))+IF(CO$5="X",VLOOKUP(CO$10,'VK-Põlevkivi'!$C:$X,2+$G14,0))+IF(CO$4="X",VLOOKUP(CO$10,'VK-Võrgud'!$C:$X,2+$F14,0)))/1000</f>
        <v>25.663649773285456</v>
      </c>
      <c r="CP14" s="209">
        <f>(IF(CP$7="X",VLOOKUP(CP$10,'VK-Hooned-Soojus'!$C:$X,2+$C14,FALSE),0)+IF(CP$6="X",VLOOKUP(CP$10,'VK-Transport'!$C:$X,2+$B14,0))+IF(CP$8="X",VLOOKUP(CP$10,'VK-Elekter'!$C:$X,2+$D14,0))+IF(CP$9="X",VLOOKUP(CP$10,'VK-Biokütused'!$C:$U,2+$E14,0))+IF(CP$5="X",VLOOKUP(CP$10,'VK-Põlevkivi'!$C:$X,2+$G14,0))+IF(CP$4="X",VLOOKUP(CP$10,'VK-Võrgud'!$C:$X,2+$F14,0)))/1000</f>
        <v>13.825948584295613</v>
      </c>
      <c r="CQ14" s="235">
        <f>(IF(CQ$7="X",VLOOKUP(CQ$10,'VK-Hooned-Soojus'!$C:$X,2+$C14,FALSE),0)+IF(CQ$6="X",VLOOKUP(CQ$10,'VK-Transport'!$C:$X,2+$B14,0))+IF(CQ$8="X",VLOOKUP(CQ$10,'VK-Elekter'!$C:$X,2+$D14,0))+IF(CQ$9="X",VLOOKUP(CQ$10,'VK-Biokütused'!$C:$U,2+$E14,0)))/1000</f>
        <v>11.216906999999999</v>
      </c>
      <c r="CR14" s="209">
        <f>(IF(CR$7="X",VLOOKUP(CR$10,'VK-Hooned-Soojus'!$C:$X,2+$C14,FALSE),0)+IF(CR$6="X",VLOOKUP(CR$10,'VK-Transport'!$C:$X,2+$B14,0))+IF(CR$8="X",VLOOKUP(CR$10,'VK-Elekter'!$C:$X,2+$D14,0))+IF(CR$9="X",VLOOKUP(CR$10,'VK-Biokütused'!$C:$U,2+$E14,0))+IF(CR$5="X",VLOOKUP(CR$10,'VK-Põlevkivi'!$C:$X,2+$G14,0))+IF(CR$4="X",VLOOKUP(CR$10,'VK-Võrgud'!$C:$X,2+$F14,0)))/1000</f>
        <v>8.1217533562748034</v>
      </c>
      <c r="CS14" s="209">
        <f>(IF(CS$7="X",VLOOKUP(CS$10,'VK-Hooned-Soojus'!$C:$X,2+$C14,FALSE),0)+IF(CS$6="X",VLOOKUP(CS$10,'VK-Transport'!$C:$X,2+$B14,0))+IF(CS$8="X",VLOOKUP(CS$10,'VK-Elekter'!$C:$X,2+$D14,0))+IF(CS$9="X",VLOOKUP(CS$10,'VK-Biokütused'!$C:$U,2+$E14,0))+IF(CS$5="X",VLOOKUP(CS$10,'VK-Põlevkivi'!$C:$X,2+$G14,0))+IF(CS$4="X",VLOOKUP(CS$10,'VK-Võrgud'!$C:$X,2+$F14,0)))/1000</f>
        <v>3.9861524051216151</v>
      </c>
      <c r="CT14" s="209">
        <f>IF(CT$7="X",VLOOKUP(CT$10,'VK-Hooned-Soojus'!$C:$X,2+$C14,FALSE),0)+IF(CT$6="X",VLOOKUP(CT$10,'VK-Transport'!$C:$X,2+$B14,0))+IF(CT$8="X",VLOOKUP(CT$10,'VK-Elekter'!$C:$X,2+$D14,0))+IF(CT$9="X",VLOOKUP(CT$10,'VK-Biokütused'!$C:$U,2+$E14,0))+IF(CT$5="X",VLOOKUP(CT$10,'VK-Põlevkivi'!$C:$X,2+$G14,0))+IF(CT$4="X",VLOOKUP(CT$10,'VK-Võrgud'!$C:$X,2+$F14,0))</f>
        <v>90</v>
      </c>
      <c r="CU14" s="209">
        <f>IF(CU$7="X",VLOOKUP(CU$10,'VK-Hooned-Soojus'!$C:$X,2+$C14,FALSE),0)+IF(CU$6="X",VLOOKUP(CU$10,'VK-Transport'!$C:$X,2+$B14,0))+IF(CU$8="X",VLOOKUP(CU$10,'VK-Elekter'!$C:$X,2+$D14,0))+IF(CU$9="X",VLOOKUP(CU$10,'VK-Biokütused'!$C:$U,2+$E14,0))+IF(CU$5="X",VLOOKUP(CU$10,'VK-Põlevkivi'!$C:$X,2+$G14,0))+IF(CU$4="X",VLOOKUP(CU$10,'VK-Võrgud'!$C:$X,2+$F14,0))</f>
        <v>0.72088353413654627</v>
      </c>
      <c r="CV14" s="209">
        <f t="shared" si="1"/>
        <v>1</v>
      </c>
      <c r="CW14" s="209">
        <f>(IF(CW$7="X",VLOOKUP(CW$10,'VK-Hooned-Soojus'!$C:$X,2+$C14,FALSE),0)+IF(CW$6="X",VLOOKUP(CW$10,'VK-Transport'!$C:$X,2+$B14,0))+IF(CW$8="X",VLOOKUP(CW$10,'VK-Elekter'!$C:$X,2+$D14,0))+IF(CW$9="X",VLOOKUP(CW$10,'VK-Biokütused'!$C:$U,2+$E14,0))+IF(CW$5="X",VLOOKUP(CW$10,'VK-Põlevkivi'!$C:$X,2+$G14,0))+IF(CW$4="X",VLOOKUP(CW$10,'VK-Võrgud'!$C:$X,2+$F14,0)))/16</f>
        <v>0</v>
      </c>
      <c r="CY14" s="209">
        <f>(IF(CY$7="X",VLOOKUP(CY$10,'VK-Hooned-Soojus'!$C:$X,2+$C14,FALSE),0)+IF(CY$6="X",VLOOKUP(CY$10,'VK-Transport'!$C:$X,2+$B14,0))+IF(CY$8="X",VLOOKUP(CY$10,'VK-Elekter'!$C:$X,2+$D14,0))+IF(CY$9="X",VLOOKUP(CY$10,'VK-Biokütused'!$C:$U,2+$E14,0))+IF(CY$5="X",VLOOKUP(CY$10,'VK-Põlevkivi'!$C:$X,2+$G14,0))+IF(CY$4="X",VLOOKUP(CY$10,'VK-Võrgud'!$C:$X,2+$F14,0)))/1000</f>
        <v>11.411</v>
      </c>
      <c r="CZ14" s="209">
        <f>(IF(CZ$7="X",VLOOKUP(CZ$10,'VK-Hooned-Soojus'!$C:$X,2+$C14,FALSE),0)+IF(CZ$6="X",VLOOKUP(CZ$10,'VK-Transport'!$C:$X,2+$B14,0))+IF(CZ$8="X",VLOOKUP(CZ$10,'VK-Elekter'!$C:$X,2+$D14,0))+IF(CZ$9="X",VLOOKUP(CZ$10,'VK-Biokütused'!$C:$U,2+$E14,0))+IF(CZ$5="X",VLOOKUP(CZ$10,'VK-Põlevkivi'!$C:$X,2+$G14,0))+IF(CZ$4="X",VLOOKUP(CZ$10,'VK-Võrgud'!$C:$X,2+$F14,0)))</f>
        <v>79</v>
      </c>
      <c r="DA14" s="209">
        <f>(IF(DA$7="X",VLOOKUP(DA$10,'VK-Hooned-Soojus'!$C:$X,2+$C14,FALSE),0)+IF(DA$6="X",VLOOKUP(DA$10,'VK-Transport'!$C:$X,2+$B14,0))+IF(DA$8="X",VLOOKUP(DA$10,'VK-Elekter'!$C:$X,2+$D14,0))+IF(DA$9="X",VLOOKUP(DA$10,'VK-Biokütused'!$C:$U,2+$E14,0))+IF(DA$5="X",VLOOKUP(DA$10,'VK-Põlevkivi'!$C:$X,2+$G14,0))+IF(DA$4="X",VLOOKUP(DA$10,'VK-Võrgud'!$C:$X,2+$F14,0)))/1000</f>
        <v>15.375</v>
      </c>
      <c r="DB14" s="209">
        <f>(IF(DB$7="X",VLOOKUP(DB$10,'VK-Hooned-Soojus'!$C:$X,2+$C14,FALSE),0)+IF(DB$6="X",VLOOKUP(DB$10,'VK-Transport'!$C:$X,2+$B14,0))+IF(DB$8="X",VLOOKUP(DB$10,'VK-Elekter'!$C:$X,2+$D14,0))+IF(DB$9="X",VLOOKUP(DB$10,'VK-Biokütused'!$C:$U,2+$E14,0))+IF(DB$5="X",VLOOKUP(DB$10,'VK-Põlevkivi'!$C:$X,2+$G14,0))+IF(DB$4="X",VLOOKUP(DB$10,'VK-Võrgud'!$C:$X,2+$F14,0)))/1000/3.6</f>
        <v>68.69361111111111</v>
      </c>
      <c r="DC14" s="209">
        <f>(IF(DC$7="X",VLOOKUP(DC$10,'VK-Hooned-Soojus'!$C:$X,2+$C14,FALSE),0)+IF(DC$6="X",VLOOKUP(DC$10,'VK-Transport'!$C:$X,2+$B14,0))+IF(DC$8="X",VLOOKUP(DC$10,'VK-Elekter'!$C:$X,2+$D14,0))+IF(DC$9="X",VLOOKUP(DC$10,'VK-Biokütused'!$C:$U,2+$E14,0))+IF(DC$5="X",VLOOKUP(DC$10,'VK-Põlevkivi'!$C:$X,2+$G14,0))+IF(DC$4="X",VLOOKUP(DC$10,'VK-Võrgud'!$C:$X,2+$F14,0)))/1000000</f>
        <v>5.5003859999999998</v>
      </c>
      <c r="DD14" s="209"/>
      <c r="DE14" s="88">
        <f>VLOOKUP(Tulemused!$BN$12,data!M$7:N$12,2,FALSE)-SUM(L14,M14)</f>
        <v>-3.4066444444444528</v>
      </c>
      <c r="DF14" s="209" t="str">
        <f>IF(AZ14&lt;=VLOOKUP(Tulemused!$BN$15,data!$E$36:$F$39,2,FALSE),"JAH","EI")</f>
        <v>JAH</v>
      </c>
      <c r="DG14" s="209"/>
      <c r="DH14" s="209">
        <f t="shared" si="2"/>
        <v>6.78</v>
      </c>
      <c r="DI14" s="231" t="str">
        <f t="shared" si="17"/>
        <v>EI</v>
      </c>
      <c r="DK14" s="232">
        <f t="shared" si="3"/>
        <v>-999.93763499827401</v>
      </c>
      <c r="DM14" s="233">
        <f t="shared" si="4"/>
        <v>9.0457615702475991</v>
      </c>
      <c r="DN14" s="87">
        <f t="array" ref="DN14">INDEX($A$11:$A$145, SMALL(IF(DM14=$DK$11:$DK$145, MATCH(ROW($DK$11:$DK$145), ROW($DK$11:$DK$145))), SUM(--(DM14=$DM$11:DM14))))</f>
        <v>135</v>
      </c>
      <c r="DP14" s="87" t="e">
        <f t="shared" ca="1" si="18"/>
        <v>#N/A</v>
      </c>
      <c r="DQ14" s="87" t="e">
        <f t="shared" ca="1" si="19"/>
        <v>#N/A</v>
      </c>
      <c r="DR14" s="87">
        <f t="shared" ca="1" si="20"/>
        <v>0</v>
      </c>
      <c r="DS14" s="87" t="e">
        <f t="shared" ca="1" si="21"/>
        <v>#N/A</v>
      </c>
      <c r="DT14" s="87">
        <f t="shared" ca="1" si="22"/>
        <v>0</v>
      </c>
      <c r="DU14" s="87" t="e">
        <f t="shared" ca="1" si="23"/>
        <v>#N/A</v>
      </c>
      <c r="DV14" s="87" t="e">
        <f t="shared" ca="1" si="24"/>
        <v>#N/A</v>
      </c>
      <c r="DW14" s="87">
        <f t="shared" ca="1" si="25"/>
        <v>0</v>
      </c>
      <c r="DX14" s="87">
        <f t="shared" ca="1" si="26"/>
        <v>0</v>
      </c>
      <c r="DZ14" s="87">
        <f t="shared" ca="1" si="5"/>
        <v>0</v>
      </c>
      <c r="EB14" s="87">
        <f t="shared" ca="1" si="27"/>
        <v>0</v>
      </c>
      <c r="EC14" s="87" t="e">
        <f t="shared" ca="1" si="28"/>
        <v>#N/A</v>
      </c>
      <c r="EE14" s="228">
        <f>(IF(EE$7="X",VLOOKUP(EE$10,'VK-Hooned-Soojus'!$C:$X,2+$C14,FALSE),0)+IF(EE$6="X",VLOOKUP(EE$10,'VK-Transport'!$C:$X,2+$B14,0))+IF(EE$8="X",VLOOKUP(EE$10,'VK-Elekter'!$C:$X,2+$D14,0))+IF(EE$9="X",VLOOKUP(EE$10,'VK-Biokütused'!$C:$U,2+$E14,0))+IF(EE$5="X",VLOOKUP(EE$10,'VK-Põlevkivi'!$C:$X,2+$G14,0))+IF(EE$4="X",VLOOKUP(EE$10,'VK-Võrgud'!$C:$X,2+$F14,0)))</f>
        <v>561.20008946559392</v>
      </c>
      <c r="EF14" s="235">
        <f>(IF(EF$7="X",VLOOKUP(EF$10,'VK-Hooned-Soojus'!$C:$X,2+$C14,FALSE),0)+IF(EF$6="X",VLOOKUP(EF$10,'VK-Transport'!$C:$X,2+$B14,0))+IF(EF$8="X",VLOOKUP(EF$10,'VK-Elekter'!$C:$X,2+$D14,0))+IF(EF$9="X",VLOOKUP(EF$10,'VK-Biokütused'!$C:$U,2+$E14,0)))/1000</f>
        <v>6.6726368215830609</v>
      </c>
      <c r="EG14" s="209">
        <f>(IF(EG$7="X",VLOOKUP(EG$10,'VK-Hooned-Soojus'!$C:$X,2+$C14,FALSE),0)+IF(EG$6="X",VLOOKUP(EG$10,'VK-Transport'!$C:$X,2+$B14,0))+IF(EG$8="X",VLOOKUP(EG$10,'VK-Elekter'!$C:$X,2+$D14,0))+IF(EG$9="X",VLOOKUP(EG$10,'VK-Biokütused'!$C:$U,2+$E14,0))+IF(EG$5="X",VLOOKUP(EG$10,'VK-Põlevkivi'!$C:$X,2+$G14,0))+IF(EG$4="X",VLOOKUP(EG$10,'VK-Võrgud'!$C:$X,2+$F14,0)))</f>
        <v>0.81</v>
      </c>
      <c r="EH14" s="209">
        <f>(IF(EH$7="X",VLOOKUP(EH$10,'VK-Hooned-Soojus'!$C:$X,2+$C14,FALSE),0)+IF(EH$6="X",VLOOKUP(EH$10,'VK-Transport'!$C:$X,2+$B14,0))+IF(EH$8="X",VLOOKUP(EH$10,'VK-Elekter'!$C:$X,2+$D14,0))+IF(EH$9="X",VLOOKUP(EH$10,'VK-Biokütused'!$C:$U,2+$E14,0)))+AR14+AS14+AU14+AX14</f>
        <v>57.458288113695083</v>
      </c>
      <c r="EI14" s="320">
        <f t="shared" si="6"/>
        <v>52.774567183462523</v>
      </c>
      <c r="EJ14" s="322">
        <f t="shared" si="7"/>
        <v>2.0156356925118721E-2</v>
      </c>
      <c r="EK14" s="323">
        <f t="shared" si="29"/>
        <v>0.36168246787532254</v>
      </c>
      <c r="EM14" s="209"/>
      <c r="EN14" s="209">
        <f t="shared" ca="1" si="8"/>
        <v>0</v>
      </c>
      <c r="EO14" s="209"/>
      <c r="EP14" s="234"/>
      <c r="EQ14" s="209">
        <f>(IF(EQ$7="X",VLOOKUP(EQ$10,'VK-Hooned-Soojus'!$C:$X,2+$C14,FALSE),0)+IF(EQ$6="X",VLOOKUP(EQ$10,'VK-Transport'!$C:$X,2+$B14,0))+IF(EQ$8="X",VLOOKUP(EQ$10,'VK-Elekter'!$C:$X,2+$D14,0))+IF(EQ$9="X",VLOOKUP(EQ$10,'VK-Biokütused'!$C:$U,2+$E14,0))+IF(EQ$5="X",VLOOKUP(EQ$10,'VK-Põlevkivi'!$C:$X,2+$G14,0))+IF(EQ$4="X",VLOOKUP(EQ$10,'VK-Võrgud'!$C:$X,2+$F14,0)))/1000</f>
        <v>0.22900000000000001</v>
      </c>
      <c r="ER14" s="209">
        <f>(IF(ER$7="X",VLOOKUP(ER$10,'VK-Hooned-Soojus'!$C:$X,2+$C14,FALSE),0)+IF(ER$6="X",VLOOKUP(ER$10,'VK-Transport'!$C:$X,2+$B14,0))+IF(ER$8="X",VLOOKUP(ER$10,'VK-Elekter'!$C:$X,2+$D14,0))+IF(ER$9="X",VLOOKUP(ER$10,'VK-Biokütused'!$C:$U,2+$E14,0))+IF(ER$5="X",VLOOKUP(ER$10,'VK-Põlevkivi'!$C:$X,2+$G14,0))+IF(ER$4="X",VLOOKUP(ER$10,'VK-Võrgud'!$C:$X,2+$F14,0)))</f>
        <v>0.82899999999999996</v>
      </c>
      <c r="ES14" s="209">
        <f>(IF(ES$7="X",VLOOKUP(ES$10,'VK-Hooned-Soojus'!$C:$X,2+$C14,FALSE),0)+IF(ES$6="X",VLOOKUP(ES$10,'VK-Transport'!$C:$X,2+$B14,0))+IF(ES$8="X",VLOOKUP(ES$10,'VK-Elekter'!$C:$X,2+$D14,0))+IF(ES$9="X",VLOOKUP(ES$10,'VK-Biokütused'!$C:$U,2+$E14,0))+IF(ES$5="X",VLOOKUP(ES$10,'VK-Põlevkivi'!$C:$X,2+$G14,0))+IF(ES$4="X",VLOOKUP(ES$10,'VK-Võrgud'!$C:$X,2+$F14,0)))</f>
        <v>6.78</v>
      </c>
      <c r="ET14" s="209"/>
      <c r="EU14" s="209"/>
      <c r="EV14" s="87">
        <f>'KSH järjestus'!AS7</f>
        <v>2479</v>
      </c>
      <c r="EX14" s="236"/>
      <c r="EY14" s="236"/>
      <c r="EZ14" s="237">
        <f t="shared" si="9"/>
        <v>0.27911646586345373</v>
      </c>
      <c r="FA14" s="209">
        <f>IF(FA$7="X",VLOOKUP(FA$10,'VK-Hooned-Soojus'!$C:$X,2+$C14,FALSE),0)+IF(FA$6="X",VLOOKUP(FA$10,'VK-Transport'!$C:$X,2+$B14,0))+IF(FA$8="X",VLOOKUP(FA$10,'VK-Elekter'!$C:$X,2+$D14,0))+IF(FA$9="X",VLOOKUP(FA$10,'VK-Biokütused'!$C:$U,2+$E14,0))+IF(FA$5="X",VLOOKUP(FA$10,'VK-Põlevkivi'!$C:$X,2+$G14,0))+IF(FA$4="X",VLOOKUP(FA$10,'VK-Võrgud'!$C:$X,2+$F14,0))</f>
        <v>3481.9070000000002</v>
      </c>
      <c r="FB14" s="279">
        <f>(IF(FB$7="X",VLOOKUP(FB$10,'VK-Hooned-Soojus'!$C:$X,2+$C14,FALSE),0)+IF(FB$6="X",VLOOKUP(FB$10,'VK-Transport'!$C:$X,2+$B14,0))+IF(FB$8="X",VLOOKUP(FB$10,'VK-Elekter'!$C:$X,2+$D14,0))+IF(FB$9="X",VLOOKUP(FB$10,'VK-Biokütused'!$C:$U,2+$E14,0))+IF(FB$5="X",VLOOKUP(FB$10,'VK-Põlevkivi'!$C:$X,2+$G14,0))+IF(FB$4="X",VLOOKUP(FB$10,'VK-Võrgud'!$C:$X,2+$F14,0)))/16</f>
        <v>37.399970822941228</v>
      </c>
      <c r="FC14" s="209">
        <f>IF(FC$7="X",VLOOKUP(FC$10,'VK-Hooned-Soojus'!$C:$X,2+$C14,FALSE),0)+IF(FC$6="X",VLOOKUP(FC$10,'VK-Transport'!$C:$X,2+$B14,0))+IF(FC$8="X",VLOOKUP(FC$10,'VK-Elekter'!$C:$X,2+$D14,0))+IF(FC$9="X",VLOOKUP(FC$10,'VK-Biokütused'!$C:$U,2+$E14,0))+IF(FC$5="X",VLOOKUP(FC$10,'VK-Põlevkivi'!$C:$X,2+$G14,0))+IF(FC$4="X",VLOOKUP(FC$10,'VK-Võrgud'!$C:$X,2+$F14,0))</f>
        <v>339.59999999999997</v>
      </c>
      <c r="FD14" s="209">
        <f>(IF(FD$7="X",VLOOKUP(FD$10,'VK-Hooned-Soojus'!$C:$X,2+$C14,FALSE),0)+IF(FD$6="X",VLOOKUP(FD$10,'VK-Transport'!$C:$X,2+$B14,0))+IF(FD$8="X",VLOOKUP(FD$10,'VK-Elekter'!$C:$X,2+$D14,0))+IF(FD$9="X",VLOOKUP(FD$10,'VK-Biokütused'!$C:$U,2+$E14,0))+IF(FD$5="X",VLOOKUP(FD$10,'VK-Põlevkivi'!$C:$X,2+$G14,0))+IF(FD$4="X",VLOOKUP(FD$10,'VK-Võrgud'!$C:$X,2+$F14,0)))/16</f>
        <v>37.399970822941228</v>
      </c>
      <c r="FE14" s="209">
        <f>(IF(FE$7="X",VLOOKUP(FE$10,'VK-Hooned-Soojus'!$C:$X,2+$C14,FALSE),0)+IF(FE$6="X",VLOOKUP(FE$10,'VK-Transport'!$C:$X,2+$B14,0))+IF(FE$8="X",VLOOKUP(FE$10,'VK-Elekter'!$C:$X,2+$D14,0))+IF(FE$9="X",VLOOKUP(FE$10,'VK-Biokütused'!$C:$U,2+$E14,0))+IF(FE$5="X",VLOOKUP(FE$10,'VK-Põlevkivi'!$C:$X,2+$G14,0))+IF(FE$4="X",VLOOKUP(FE$10,'VK-Võrgud'!$C:$X,2+$F14,0)))/16</f>
        <v>0</v>
      </c>
      <c r="FF14" s="209">
        <f>(IF(FF$7="X",VLOOKUP(FF$10,'VK-Hooned-Soojus'!$C:$X,2+$C14,FALSE),0)+IF(FF$6="X",VLOOKUP(FF$10,'VK-Transport'!$C:$X,2+$B14,0))+IF(FF$8="X",VLOOKUP(FF$10,'VK-Elekter'!$C:$X,2+$D14,0))+IF(FF$9="X",VLOOKUP(FF$10,'VK-Biokütused'!$C:$U,2+$E14,0))+IF(FF$5="X",VLOOKUP(FF$10,'VK-Põlevkivi'!$C:$X,2+$G14,0))+IF(FF$4="X",VLOOKUP(FF$10,'VK-Võrgud'!$C:$X,2+$F14,0)))/16</f>
        <v>13.745349033645622</v>
      </c>
      <c r="FG14" s="88">
        <f t="shared" ca="1" si="30"/>
        <v>13.745349033645622</v>
      </c>
      <c r="FH14" s="88"/>
      <c r="FI14" s="88"/>
      <c r="FJ14" s="88">
        <f>VLOOKUP(Tulemused!$BN$12,data!M$7:N$12,2,FALSE)-SUM(L14,M14)</f>
        <v>-3.4066444444444528</v>
      </c>
      <c r="FK14" s="209" t="str">
        <f>IF(AZ14&lt;=VLOOKUP(Tulemused!$BN$15,data!$E$36:$F$39,2,FALSE),"JAH","EI")</f>
        <v>JAH</v>
      </c>
      <c r="FL14" s="235">
        <f ca="1">IF(ISNA(MATCH($A14,INDIRECT(VLOOKUP(Tulemused!$BF$11,data!$J$57:$M$71,4,FALSE)))),0,MATCH($A14,INDIRECT(VLOOKUP(Tulemused!$BF$11,data!$J$57:$M$71,4,FALSE))))</f>
        <v>0</v>
      </c>
      <c r="FM14" s="235" t="str">
        <f t="shared" ca="1" si="10"/>
        <v>JAH</v>
      </c>
      <c r="FN14" s="209">
        <f>VLOOKUP(Tulemused!$BN$13,data!$C$132:$D$137,2,FALSE)-KOMBI!R14</f>
        <v>2.9433331784169403</v>
      </c>
      <c r="FO14" s="209"/>
      <c r="FP14" s="209">
        <f>VLOOKUP(Tulemused!$BN$17,NO_x,2,FALSE)-CJ14</f>
        <v>9.227421988425462</v>
      </c>
      <c r="FQ14" s="209">
        <f>VLOOKUP(Tulemused!$BN$18,SO_2,2,FALSE)-CK14</f>
        <v>39.076875437721398</v>
      </c>
      <c r="FR14" s="209">
        <f>VLOOKUP(Tulemused!$BN$19,LOU,2,FALSE)-CN14</f>
        <v>34.054000000000002</v>
      </c>
      <c r="FS14" s="209">
        <f>VLOOKUP(Tulemused!$BN$20,PM_2.5,2,FALSE)-CM14</f>
        <v>8.3492394222510917</v>
      </c>
      <c r="FT14" s="209">
        <f>VLOOKUP(Tulemused!$BN$13,data!$C$132:$D$137,2,FALSE)-FA14/1000</f>
        <v>2.7640630000000006</v>
      </c>
      <c r="FU14" s="209">
        <f>VLOOKUP(Tulemused!$BN$17,NO_x,2,FALSE)-CO14</f>
        <v>3.7743502267145423</v>
      </c>
      <c r="FV14" s="209">
        <f>VLOOKUP(Tulemused!$BN$18,SO_2,2,FALSE)-CP14</f>
        <v>38.058051415704384</v>
      </c>
      <c r="FW14" s="209">
        <f>VLOOKUP(Tulemused!$BN$19,LOU,2,FALSE)-CS14</f>
        <v>33.09384759487839</v>
      </c>
      <c r="FX14" s="209">
        <f>VLOOKUP(Tulemused!$BN$20,PM_2.5,2,FALSE)-CR14</f>
        <v>8.7932466437251957</v>
      </c>
      <c r="FY14" s="209">
        <f>VLOOKUP(Tulemused!$BN$14,KHG_2050,2,FALSE)-EF14</f>
        <v>93.327363178416945</v>
      </c>
      <c r="FZ14" s="231" t="str">
        <f t="shared" ca="1" si="31"/>
        <v>EI</v>
      </c>
      <c r="GA14" s="209"/>
      <c r="GB14" s="209"/>
      <c r="GC14" s="209"/>
      <c r="GD14" s="231"/>
      <c r="GE14" s="87">
        <f t="shared" si="11"/>
        <v>2479</v>
      </c>
      <c r="GF14" s="232" t="str">
        <f t="shared" ca="1" si="32"/>
        <v/>
      </c>
      <c r="GH14" s="238">
        <f t="shared" ca="1" si="12"/>
        <v>574</v>
      </c>
      <c r="GI14" s="87">
        <f t="array" aca="1" ref="GI14" ca="1">INDEX($A$11:$A$145, SMALL(IF(GH14=$GF$11:$GF$145, MATCH(ROW($GF$11:$GF$145), ROW($GF$11:$GF$145))), SUM(--(GH14=$GH$11:GH14))))</f>
        <v>127</v>
      </c>
      <c r="GM14" s="209">
        <f>IF(GM$7="X",VLOOKUP(GM$10,'VK-Hooned-Soojus'!$C:$X,2+$C14,FALSE),0)+IF(GM$6="X",VLOOKUP(GM$10,'VK-Transport'!$C:$X,2+$B14,0))+IF(GM$8="X",VLOOKUP(GM$10,'VK-Elekter'!$C:$X,2+$D14,0))+IF(GM$9="X",VLOOKUP(GM$10,'VK-Biokütused'!$C:$U,2+$E14,0))+IF(GM$5="X",VLOOKUP(GM$10,'VK-Põlevkivi'!$C:$X,2+$G14,0))+IF(GM$4="X",VLOOKUP(GM$10,'VK-Võrgud'!$C:$X,2+$F14,0))</f>
        <v>6.0128279910272253</v>
      </c>
      <c r="GN14" s="209">
        <f>IF(GN$7="X",VLOOKUP(GN$10,'VK-Hooned-Soojus'!$C:$X,2+$C14,FALSE),0)+IF(GN$6="X",VLOOKUP(GN$10,'VK-Transport'!$C:$X,2+$B14,0))+IF(GN$8="X",VLOOKUP(GN$10,'VK-Elekter'!$C:$X,2+$D14,0))+IF(GN$9="X",VLOOKUP(GN$10,'VK-Biokütused'!$C:$U,2+$E14,0))+IF(GN$5="X",VLOOKUP(GN$10,'VK-Põlevkivi'!$C:$X,2+$G14,0))+IF(GN$4="X",VLOOKUP(GN$10,'VK-Võrgud'!$C:$X,2+$F14,0))</f>
        <v>3.4467619395011728</v>
      </c>
      <c r="GO14" s="209">
        <f>IF(GO$7="X",VLOOKUP(GO$10,'VK-Hooned-Soojus'!$C:$X,2+$C14,FALSE),0)+IF(GO$6="X",VLOOKUP(GO$10,'VK-Transport'!$C:$X,2+$B14,0))+IF(GO$8="X",VLOOKUP(GO$10,'VK-Elekter'!$C:$X,2+$D14,0))+IF(GO$9="X",VLOOKUP(GO$10,'VK-Biokütused'!$C:$U,2+$E14,0))+IF(GO$5="X",VLOOKUP(GO$10,'VK-Põlevkivi'!$C:$X,2+$G14,0))+IF(GO$4="X",VLOOKUP(GO$10,'VK-Võrgud'!$C:$X,2+$F14,0))</f>
        <v>8.7471755658278116</v>
      </c>
      <c r="GP14" s="209">
        <f>IF(GP$7="X",VLOOKUP(GP$10,'VK-Hooned-Soojus'!$C:$X,2+$C14,FALSE),0)+IF(GP$6="X",VLOOKUP(GP$10,'VK-Transport'!$C:$X,2+$B14,0))+IF(GP$8="X",VLOOKUP(GP$10,'VK-Elekter'!$C:$X,2+$D14,0))+IF(GP$9="X",VLOOKUP(GP$10,'VK-Biokütused'!$C:$U,2+$E14,0))+IF(GP$5="X",VLOOKUP(GP$10,'VK-Põlevkivi'!$C:$X,2+$G14,0))+IF(GP$4="X",VLOOKUP(GP$10,'VK-Võrgud'!$C:$X,2+$F14,0))</f>
        <v>9.3279335818485372</v>
      </c>
      <c r="GQ14" s="88">
        <f>IF(GQ$7="X",VLOOKUP(GQ$10,'VK-Hooned-Soojus'!$C:$X,2+$C14,FALSE),0)+IF(GQ$6="X",VLOOKUP(GQ$10,'VK-Transport'!$C:$X,2+$B14,0))+IF(GQ$8="X",VLOOKUP(GQ$10,'VK-Elekter'!$C:$X,2+$D14,0))+IF(GQ$9="X",VLOOKUP(GQ$10,'VK-Biokütused'!$C:$U,2+$E14,0))+IF(GQ$5="X",VLOOKUP(GQ$10,'VK-Põlevkivi'!$C:$X,2+$G14,0))+IF(GQ$4="X",VLOOKUP(GQ$10,'VK-Võrgud'!$C:$X,2+$F14,0))</f>
        <v>0.9682855968523334</v>
      </c>
      <c r="GR14" s="186">
        <f t="shared" si="33"/>
        <v>0.37922714679774455</v>
      </c>
    </row>
    <row r="15" spans="1:200" x14ac:dyDescent="0.2">
      <c r="A15" s="184">
        <v>5</v>
      </c>
      <c r="B15" s="87">
        <v>1</v>
      </c>
      <c r="C15" s="87">
        <v>1</v>
      </c>
      <c r="D15" s="87">
        <v>2</v>
      </c>
      <c r="E15" s="87">
        <v>2</v>
      </c>
      <c r="F15" s="87">
        <f>VLOOKUP(Tulemused!$BF$7,data!$J$6:$K$8,2,FALSE)</f>
        <v>2</v>
      </c>
      <c r="G15" s="87">
        <f>VLOOKUP(data!$H$2,data!$J$12:$K$14,2,FALSE)</f>
        <v>2</v>
      </c>
      <c r="I15" s="209">
        <f>IF(I$7="X",VLOOKUP(I$10,'VK-Hooned-Soojus'!$C:$X,2+$C15,FALSE),0)+IF(I$6="X",VLOOKUP(I$10,'VK-Transport'!$C:$X,2+$B15,0))+IF(I$8="X",VLOOKUP(I$10,'VK-Elekter'!$C:$X,2+$D15,0))+IF(I$9="X",VLOOKUP(I$10,'VK-Biokütused'!$C:$U,2+$E15,0))+IF(I$5="X",VLOOKUP(I$10,'VK-Põlevkivi'!$C:$X,2+$G15,0))+IF(I$4="X",VLOOKUP(I$10,'VK-Võrgud'!$C:$X,2+$F15,0))</f>
        <v>26.89</v>
      </c>
      <c r="J15" s="209">
        <f>IF(J$7="X",VLOOKUP(J$10,'VK-Hooned-Soojus'!$C:$X,2+$C15,FALSE),0)+IF(J$6="X",VLOOKUP(J$10,'VK-Transport'!$C:$X,2+$B15,0))+IF(J$8="X",VLOOKUP(J$10,'VK-Elekter'!$C:$X,2+$D15,0))+IF(J$9="X",VLOOKUP(J$10,'VK-Biokütused'!$C:$U,2+$E15,0))+IF(J$5="X",VLOOKUP(J$10,'VK-Põlevkivi'!$C:$X,2+$G15,0))+IF(J$4="X",VLOOKUP(J$10,'VK-Võrgud'!$C:$X,2+$F15,0))</f>
        <v>13.295833333333334</v>
      </c>
      <c r="K15" s="209">
        <f>IF(K$7="X",VLOOKUP(K$10,'VK-Hooned-Soojus'!$C:$X,2+$C15,FALSE),0)+IF(K$6="X",VLOOKUP(K$10,'VK-Transport'!$C:$X,2+$B15,0))+IF(K$8="X",VLOOKUP(K$10,'VK-Elekter'!$C:$X,2+$D15,0))+IF(K$9="X",VLOOKUP(K$10,'VK-Biokütused'!$C:$U,2+$E15,0))+IF(K$5="X",VLOOKUP(K$10,'VK-Põlevkivi'!$C:$X,2+$G15,0))+IF(K$4="X",VLOOKUP(K$10,'VK-Võrgud'!$C:$X,2+$F15,0))</f>
        <v>16.75</v>
      </c>
      <c r="L15" s="209">
        <f>IF(L$7="X",VLOOKUP(L$10,'VK-Hooned-Soojus'!$C:$X,2+$C15,FALSE),0)+IF(L$6="X",VLOOKUP(L$10,'VK-Transport'!$C:$X,2+$B15,0))+IF(L$8="X",VLOOKUP(L$10,'VK-Elekter'!$C:$X,2+$D15,0))+IF(L$9="X",VLOOKUP(L$10,'VK-Biokütused'!$C:$U,2+$E15,0))+IF(L$5="X",VLOOKUP(L$10,'VK-Põlevkivi'!$C:$X,2+$G15,0))+IF(L$4="X",VLOOKUP(L$10,'VK-Võrgud'!$C:$X,2+$F15,0))</f>
        <v>24.95</v>
      </c>
      <c r="M15" s="209">
        <f>IF(M$7="X",VLOOKUP(M$10,'VK-Hooned-Soojus'!$C:$X,2+$C15,FALSE),0)+IF(M$6="X",VLOOKUP(M$10,'VK-Transport'!$C:$X,2+$B15,0))+IF(M$8="X",VLOOKUP(M$10,'VK-Elekter'!$C:$X,2+$D15,0))+IF(M$9="X",VLOOKUP(M$10,'VK-Biokütused'!$C:$U,2+$E15,0))+IF(M$5="X",VLOOKUP(M$10,'VK-Põlevkivi'!$C:$X,2+$G15,0))+IF(M$4="X",VLOOKUP(M$10,'VK-Võrgud'!$C:$X,2+$F15,0))</f>
        <v>11.289444444444445</v>
      </c>
      <c r="N15" s="209">
        <f>IF(N$7="X",VLOOKUP(N$10,'VK-Hooned-Soojus'!$C:$X,2+$C15,FALSE),0)+IF(N$6="X",VLOOKUP(N$10,'VK-Transport'!$C:$X,2+$B15,0))+IF(N$8="X",VLOOKUP(N$10,'VK-Elekter'!$C:$X,2+$D15,0))+IF(N$9="X",VLOOKUP(N$10,'VK-Biokütused'!$C:$U,2+$E15,0))+IF(N$5="X",VLOOKUP(N$10,'VK-Põlevkivi'!$C:$X,2+$G15,0))+IF(N$4="X",VLOOKUP(N$10,'VK-Võrgud'!$C:$X,2+$F15,0))</f>
        <v>16.75</v>
      </c>
      <c r="O15" s="209">
        <f t="shared" si="13"/>
        <v>40.185833333333335</v>
      </c>
      <c r="P15" s="209"/>
      <c r="Q15" s="209">
        <f>(IF(Q$7="X",VLOOKUP(Q$10,'VK-Hooned-Soojus'!$C:$X,2+$C15,FALSE),0)+IF(Q$6="X",VLOOKUP(Q$10,'VK-Transport'!$C:$X,2+$B15,0))+IF(Q$8="X",VLOOKUP(Q$10,'VK-Elekter'!$C:$X,2+$D15,0))+IF(Q$9="X",VLOOKUP(Q$10,'VK-Biokütused'!$C:$U,2+$E15,0))+IF(Q$5="X",VLOOKUP(Q$10,'VK-Põlevkivi'!$C:$X,2+$G15,0))+IF(Q$4="X",VLOOKUP(Q$10,'VK-Võrgud'!$C:$X,2+$F15,0)))/1000</f>
        <v>5.3630000000000004</v>
      </c>
      <c r="R15" s="209">
        <f>(IF(R$7="X",VLOOKUP(R$10,'VK-Hooned-Soojus'!$C:$X,2+$C15,FALSE),0)+IF(R$6="X",VLOOKUP(R$10,'VK-Transport'!$C:$X,2+$B15,0))+IF(R$8="X",VLOOKUP(R$10,'VK-Elekter'!$C:$X,2+$D15,0))+IF(R$9="X",VLOOKUP(R$10,'VK-Biokütused'!$C:$U,2+$E15,0))+IF(R$5="X",VLOOKUP(R$10,'VK-Põlevkivi'!$C:$X,2+$G15,0))+IF(R$4="X",VLOOKUP(R$10,'VK-Võrgud'!$C:$X,2+$F15,0)))/1000</f>
        <v>3.6801368215830603</v>
      </c>
      <c r="S15" s="226">
        <f>VLOOKUP(S$10,'VK-Hooned-Soojus'!$C:$I,2+$C15,FALSE) + VLOOKUP(S$10,'VK-Transport'!$C:$I,2+$B15,FALSE)+ VLOOKUP(S$10,'VK-Biokütused'!$C:$G,2+$E15,FALSE)+ VLOOKUP(S$10,'VK-Elekter'!$C:$I,2+$D15,FALSE)+ VLOOKUP(S$10,'VK-Põlevkivi'!$C:$I,2+$G15,FALSE)+ VLOOKUP(S$10,'VK-Võrgud'!$C:$I,2+$F15,FALSE)</f>
        <v>7.9983395027348782E-3</v>
      </c>
      <c r="T15" s="226">
        <f>VLOOKUP(T$10,'VK-Hooned-Soojus'!$C:$I,2+$C15,FALSE) + VLOOKUP(T$10,'VK-Transport'!$C:$I,2+$B15,FALSE)+ VLOOKUP(T$10,'VK-Biokütused'!$C:$G,2+$E15,FALSE)+ VLOOKUP(T$10,'VK-Elekter'!$C:$I,2+$D15,FALSE)+ VLOOKUP(T$10,'VK-Põlevkivi'!$C:$I,2+$G15,FALSE)+ VLOOKUP(T$10,'VK-Võrgud'!$C:$I,2+$F15,FALSE)</f>
        <v>-5.1710715681955923E-3</v>
      </c>
      <c r="U15" s="226">
        <f>VLOOKUP(U$10,'VK-Hooned-Soojus'!$C:$I,2+$C15,FALSE) + VLOOKUP(U$10,'VK-Transport'!$C:$I,2+$B15,FALSE)+ VLOOKUP(U$10,'VK-Biokütused'!$C:$G,2+$E15,FALSE)+ VLOOKUP(U$10,'VK-Elekter'!$C:$I,2+$D15,FALSE)+ VLOOKUP(U$10,'VK-Põlevkivi'!$C:$I,2+$G15,FALSE)+ VLOOKUP(U$10,'VK-Võrgud'!$C:$I,2+$F15,FALSE)</f>
        <v>2.5751655924805827E-3</v>
      </c>
      <c r="V15" s="226">
        <f>VLOOKUP(V$10,'VK-Hooned-Soojus'!$C:$I,2+$C15,FALSE) + VLOOKUP(V$10,'VK-Transport'!$C:$I,2+$B15,FALSE)+ VLOOKUP(V$10,'VK-Biokütused'!$C:$G,2+$E15,FALSE)+ VLOOKUP(V$10,'VK-Elekter'!$C:$I,2+$D15,FALSE)+ VLOOKUP(V$10,'VK-Põlevkivi'!$C:$I,2+$G15,FALSE)+ VLOOKUP(V$10,'VK-Võrgud'!$C:$I,2+$F15,FALSE)</f>
        <v>5.4616918559807007E-3</v>
      </c>
      <c r="W15" s="226">
        <f>VLOOKUP(W$10,'VK-Hooned-Soojus'!$C:$I,2+$C15,FALSE) + VLOOKUP(W$10,'VK-Transport'!$C:$I,2+$B15,FALSE)+ VLOOKUP(W$10,'VK-Biokütused'!$C:$G,2+$E15,FALSE)+ VLOOKUP(W$10,'VK-Elekter'!$C:$I,2+$D15,FALSE)+ VLOOKUP(W$10,'VK-Põlevkivi'!$C:$I,2+$G15,FALSE)+ VLOOKUP(W$10,'VK-Võrgud'!$C:$I,2+$F15,FALSE)</f>
        <v>4.2522958620017483E-3</v>
      </c>
      <c r="X15" s="226">
        <f>VLOOKUP(X$10,'VK-Hooned-Soojus'!$C:$I,2+$C15,FALSE) + VLOOKUP(X$10,'VK-Transport'!$C:$I,2+$B15,FALSE)+ VLOOKUP(X$10,'VK-Biokütused'!$C:$G,2+$E15,FALSE)+ VLOOKUP(X$10,'VK-Elekter'!$C:$I,2+$D15,FALSE)+ VLOOKUP(X$10,'VK-Põlevkivi'!$C:$I,2+$G15,FALSE)+ VLOOKUP(X$10,'VK-Võrgud'!$C:$I,2+$F15,FALSE)</f>
        <v>1.354472504752523E-3</v>
      </c>
      <c r="Y15" s="226">
        <f>VLOOKUP(Y$10,'VK-Hooned-Soojus'!$C:$I,2+$C15,FALSE) + VLOOKUP(Y$10,'VK-Transport'!$C:$I,2+$B15,FALSE)+ VLOOKUP(Y$10,'VK-Biokütused'!$C:$G,2+$E15,FALSE)+ VLOOKUP(Y$10,'VK-Elekter'!$C:$I,2+$D15,FALSE)+ VLOOKUP(Y$10,'VK-Põlevkivi'!$C:$I,2+$G15,FALSE)+ VLOOKUP(Y$10,'VK-Võrgud'!$C:$I,2+$F15,FALSE)</f>
        <v>1.1370249941312579E-3</v>
      </c>
      <c r="Z15" s="227">
        <f>(S15*Tulemused!$Q$9*10+T15*Tulemused!$Q$10*10+KOMBI!U15*Tulemused!$Q$11*10+KOMBI!V15*Tulemused!$Q$12*10)*Tulemused!$Q$8+-(W15*Tulemused!$Q$14*10+KOMBI!X15*Tulemused!$Q$15*10+KOMBI!Y15*Tulemused!$Q$16*10)*Tulemused!$Q$13</f>
        <v>0.9782766503718443</v>
      </c>
      <c r="AA15" s="228">
        <f>(IF(AA$7="X",VLOOKUP(AA$10,'VK-Hooned-Soojus'!$C:$X,2+$C15,FALSE),0)+IF(AA$6="X",VLOOKUP(AA$10,'VK-Transport'!$C:$X,2+$B15,0))+IF(AA$8="X",VLOOKUP(AA$10,'VK-Elekter'!$C:$X,2+$D15,0))+IF(AA$9="X",VLOOKUP(AA$10,'VK-Biokütused'!$C:$U,2+$E15,0))+IF(AA$5="X",VLOOKUP(AA$10,'VK-Põlevkivi'!$C:$X,2+$G15,0))+IF(AA$4="X",VLOOKUP(AA$10,'VK-Võrgud'!$C:$X,2+$F15,0)))</f>
        <v>3761</v>
      </c>
      <c r="AB15" s="228">
        <f>(IF(AB$7="X",VLOOKUP(AB$10,'VK-Hooned-Soojus'!$C:$X,2+$C15,FALSE),0)+IF(AB$6="X",VLOOKUP(AB$10,'VK-Transport'!$C:$X,2+$B15,0))+IF(AB$8="X",VLOOKUP(AB$10,'VK-Elekter'!$C:$X,2+$D15,0))+IF(AB$9="X",VLOOKUP(AB$10,'VK-Biokütused'!$C:$U,2+$E15,0))+IF(AB$5="X",VLOOKUP(AB$10,'VK-Põlevkivi'!$C:$X,2+$G15,0))+IF(AB$4="X",VLOOKUP(AB$10,'VK-Võrgud'!$C:$X,2+$F15,0)))</f>
        <v>1602</v>
      </c>
      <c r="AC15" s="228">
        <f>(IF(AC$7="X",VLOOKUP(AC$10,'VK-Hooned-Soojus'!$C:$X,2+$C15,FALSE),0)+IF(AC$6="X",VLOOKUP(AC$10,'VK-Transport'!$C:$X,2+$B15,0))+IF(AC$8="X",VLOOKUP(AC$10,'VK-Elekter'!$C:$X,2+$D15,0))+IF(AC$9="X",VLOOKUP(AC$10,'VK-Biokütused'!$C:$U,2+$E15,0))+IF(AC$5="X",VLOOKUP(AC$10,'VK-Põlevkivi'!$C:$X,2+$G15,0))+IF(AC$4="X",VLOOKUP(AC$10,'VK-Võrgud'!$C:$X,2+$F15,0)))</f>
        <v>2346</v>
      </c>
      <c r="AD15" s="228">
        <f>(IF(AD$7="X",VLOOKUP(AD$10,'VK-Hooned-Soojus'!$C:$X,2+$C15,FALSE),0)+IF(AD$6="X",VLOOKUP(AD$10,'VK-Transport'!$C:$X,2+$B15,0))+IF(AD$8="X",VLOOKUP(AD$10,'VK-Elekter'!$C:$X,2+$D15,0))+IF(AD$9="X",VLOOKUP(AD$10,'VK-Biokütused'!$C:$U,2+$E15,0))+IF(AD$5="X",VLOOKUP(AD$10,'VK-Põlevkivi'!$C:$X,2+$G15,0))+IF(AD$4="X",VLOOKUP(AD$10,'VK-Võrgud'!$C:$X,2+$F15,0)))</f>
        <v>377.5</v>
      </c>
      <c r="AE15" s="228">
        <f>(IF(AE$7="X",VLOOKUP(AE$10,'VK-Hooned-Soojus'!$C:$X,2+$C15,FALSE),0)+IF(AE$6="X",VLOOKUP(AE$10,'VK-Transport'!$C:$X,2+$B15,0))+IF(AE$8="X",VLOOKUP(AE$10,'VK-Elekter'!$C:$X,2+$D15,0))+IF(AE$9="X",VLOOKUP(AE$10,'VK-Biokütused'!$C:$U,2+$E15,0))+IF(AE$5="X",VLOOKUP(AE$10,'VK-Põlevkivi'!$C:$X,2+$G15,0))+IF(AE$4="X",VLOOKUP(AE$10,'VK-Võrgud'!$C:$X,2+$F15,0)))</f>
        <v>812</v>
      </c>
      <c r="AF15" s="228">
        <f>(IF(AF$7="X",VLOOKUP(AF$10,'VK-Hooned-Soojus'!$C:$X,2+$C15,FALSE),0)+IF(AF$6="X",VLOOKUP(AF$10,'VK-Transport'!$C:$X,2+$B15,0))+IF(AF$8="X",VLOOKUP(AF$10,'VK-Elekter'!$C:$X,2+$D15,0))+IF(AF$9="X",VLOOKUP(AF$10,'VK-Biokütused'!$C:$U,2+$E15,0))+IF(AF$5="X",VLOOKUP(AF$10,'VK-Põlevkivi'!$C:$X,2+$G15,0))+IF(AF$4="X",VLOOKUP(AF$10,'VK-Võrgud'!$C:$X,2+$F15,0)))</f>
        <v>2490.6368215830603</v>
      </c>
      <c r="AG15" s="209"/>
      <c r="AH15" s="209">
        <f>IF(AH$7="X",VLOOKUP(AH$10,'VK-Hooned-Soojus'!$C:$X,2+$C15,FALSE),0)+IF(AH$6="X",VLOOKUP(AH$10,'VK-Transport'!$C:$X,2+$B15,0))+IF(AH$8="X",VLOOKUP(AH$10,'VK-Elekter'!$C:$X,2+$D15,0))+IF(AH$9="X",VLOOKUP(AH$10,'VK-Biokütused'!$C:$U,2+$E15,0))+IF(AH$5="X",VLOOKUP(AH$10,'VK-Põlevkivi'!$C:$X,2+$G15,0))+IF(AH$4="X",VLOOKUP(AH$10,'VK-Võrgud'!$C:$X,2+$F15,0))</f>
        <v>11.64</v>
      </c>
      <c r="AI15" s="209">
        <f>IF(AI$7="X",VLOOKUP(AI$10,'VK-Hooned-Soojus'!$C:$X,2+$C15,FALSE),0)+IF(AI$6="X",VLOOKUP(AI$10,'VK-Transport'!$C:$X,2+$B15,0))+IF(AI$8="X",VLOOKUP(AI$10,'VK-Elekter'!$C:$X,2+$D15,0))+IF(AI$9="X",VLOOKUP(AI$10,'VK-Biokütused'!$C:$U,2+$E15,0))+IF(AI$5="X",VLOOKUP(AI$10,'VK-Põlevkivi'!$C:$X,2+$G15,0))+IF(AI$4="X",VLOOKUP(AI$10,'VK-Võrgud'!$C:$X,2+$F15,0))</f>
        <v>2.3100000000000005</v>
      </c>
      <c r="AJ15" s="209">
        <f>IF(AJ$7="X",VLOOKUP(AJ$10,'VK-Hooned-Soojus'!$C:$X,2+$C15,FALSE),0)+IF(AJ$6="X",VLOOKUP(AJ$10,'VK-Transport'!$C:$X,2+$B15,0))+IF(AJ$8="X",VLOOKUP(AJ$10,'VK-Elekter'!$C:$X,2+$D15,0))+IF(AJ$9="X",VLOOKUP(AJ$10,'VK-Biokütused'!$C:$U,2+$E15,0))+IF(AJ$5="X",VLOOKUP(AJ$10,'VK-Põlevkivi'!$C:$X,2+$G15,0))+IF(AJ$4="X",VLOOKUP(AJ$10,'VK-Võrgud'!$C:$X,2+$F15,0))</f>
        <v>9.25</v>
      </c>
      <c r="AK15" s="209">
        <f>IF(AK$7="X",VLOOKUP(AK$10,'VK-Hooned-Soojus'!$C:$X,2+$C15,FALSE),0)+IF(AK$6="X",VLOOKUP(AK$10,'VK-Transport'!$C:$X,2+$B15,0))+IF(AK$8="X",VLOOKUP(AK$10,'VK-Elekter'!$C:$X,2+$D15,0))+IF(AK$9="X",VLOOKUP(AK$10,'VK-Biokütused'!$C:$U,2+$E15,0))+IF(AK$5="X",VLOOKUP(AK$10,'VK-Põlevkivi'!$C:$X,2+$G15,0))+IF(AK$4="X",VLOOKUP(AK$10,'VK-Võrgud'!$C:$X,2+$F15,0))</f>
        <v>2.78</v>
      </c>
      <c r="AL15" s="209">
        <f>IF(AL$7="X",VLOOKUP(AL$10,'VK-Hooned-Soojus'!$C:$X,2+$C15,FALSE),0)+IF(AL$6="X",VLOOKUP(AL$10,'VK-Transport'!$C:$X,2+$B15,0))+IF(AL$8="X",VLOOKUP(AL$10,'VK-Elekter'!$C:$X,2+$D15,0))+IF(AL$9="X",VLOOKUP(AL$10,'VK-Biokütused'!$C:$U,2+$E15,0))+IF(AL$5="X",VLOOKUP(AL$10,'VK-Põlevkivi'!$C:$X,2+$G15,0))+IF(AL$4="X",VLOOKUP(AL$10,'VK-Võrgud'!$C:$X,2+$F15,0))</f>
        <v>7.1999999999999993</v>
      </c>
      <c r="AM15" s="209">
        <f>IF(AM$7="X",VLOOKUP(AM$10,'VK-Hooned-Soojus'!$C:$X,2+$C15,FALSE),0)+IF(AM$6="X",VLOOKUP(AM$10,'VK-Transport'!$C:$X,2+$B15,0))+IF(AM$8="X",VLOOKUP(AM$10,'VK-Elekter'!$C:$X,2+$D15,0))+IF(AM$9="X",VLOOKUP(AM$10,'VK-Biokütused'!$C:$U,2+$E15,0))+IF(AM$5="X",VLOOKUP(AM$10,'VK-Põlevkivi'!$C:$X,2+$G15,0))+IF(AM$4="X",VLOOKUP(AM$10,'VK-Võrgud'!$C:$X,2+$F15,0))</f>
        <v>12.9</v>
      </c>
      <c r="AN15" s="209">
        <f>IF(AN$7="X",VLOOKUP(AN$10,'VK-Hooned-Soojus'!$C:$X,2+$C15,FALSE),0)+IF(AN$6="X",VLOOKUP(AN$10,'VK-Transport'!$C:$X,2+$B15,0))+IF(AN$8="X",VLOOKUP(AN$10,'VK-Elekter'!$C:$X,2+$D15,0))+IF(AN$9="X",VLOOKUP(AN$10,'VK-Biokütused'!$C:$U,2+$E15,0))+IF(AN$5="X",VLOOKUP(AN$10,'VK-Põlevkivi'!$C:$X,2+$G15,0))+IF(AN$4="X",VLOOKUP(AN$10,'VK-Võrgud'!$C:$X,2+$F15,0))</f>
        <v>5.6999999999999993</v>
      </c>
      <c r="AO15" s="209">
        <f>IF(AO$7="X",VLOOKUP(AO$10,'VK-Hooned-Soojus'!$C:$X,2+$C15,FALSE),0)+IF(AO$6="X",VLOOKUP(AO$10,'VK-Transport'!$C:$X,2+$B15,0))+IF(AO$8="X",VLOOKUP(AO$10,'VK-Elekter'!$C:$X,2+$D15,0))+IF(AO$9="X",VLOOKUP(AO$10,'VK-Biokütused'!$C:$U,2+$E15,0))+IF(AO$5="X",VLOOKUP(AO$10,'VK-Põlevkivi'!$C:$X,2+$G15,0))+IF(AO$4="X",VLOOKUP(AO$10,'VK-Võrgud'!$C:$X,2+$F15,0))</f>
        <v>13.56</v>
      </c>
      <c r="AP15" s="209">
        <f>IF(AP$7="X",VLOOKUP(AP$10,'VK-Hooned-Soojus'!$C:$X,2+$C15,FALSE),0)+IF(AP$6="X",VLOOKUP(AP$10,'VK-Transport'!$C:$X,2+$B15,0))+IF(AP$8="X",VLOOKUP(AP$10,'VK-Elekter'!$C:$X,2+$D15,0))+IF(AP$9="X",VLOOKUP(AP$10,'VK-Biokütused'!$C:$U,2+$E15,0))+IF(AP$5="X",VLOOKUP(AP$10,'VK-Põlevkivi'!$C:$X,2+$G15,0))+IF(AP$4="X",VLOOKUP(AP$10,'VK-Võrgud'!$C:$X,2+$F15,0))</f>
        <v>6.78</v>
      </c>
      <c r="AQ15" s="320">
        <f t="shared" si="14"/>
        <v>1.2599999999999998</v>
      </c>
      <c r="AR15" s="209">
        <f>IF(AR$7="X",VLOOKUP(AR$10,'VK-Hooned-Soojus'!$C:$X,2+$C15,FALSE),0)+IF(AR$6="X",VLOOKUP(AR$10,'VK-Transport'!$C:$X,2+$B15,0))+IF(AR$8="X",VLOOKUP(AR$10,'VK-Elekter'!$C:$X,2+$D15,0))+IF(AR$9="X",VLOOKUP(AR$10,'VK-Biokütused'!$C:$U,2+$E15,0))+IF(AR$5="X",VLOOKUP(AR$10,'VK-Põlevkivi'!$C:$X,2+$G15,0))+IF(AR$4="X",VLOOKUP(AR$10,'VK-Võrgud'!$C:$X,2+$F15,0))</f>
        <v>3.4899999999999998</v>
      </c>
      <c r="AS15" s="320">
        <f>VLOOKUP("Kütuste tarbimine @ 2030 - UTTEGAAS",'VK-Hooned-Soojus'!$C:$X,2+$C15,FALSE)/0.172+VLOOKUP("Kütuste tarbimine @ 2030 - UTTEGAAS",'VK-Elekter'!$C:$X,2+$D15,FALSE)/0.172-AR15-AU15</f>
        <v>2.7565116279069759</v>
      </c>
      <c r="AT15" s="209">
        <f>IF(AT$7="X",VLOOKUP(AT$10,'VK-Hooned-Soojus'!$C:$X,2+$C15,FALSE),0)+IF(AT$6="X",VLOOKUP(AT$10,'VK-Transport'!$C:$X,2+$B15,0))+IF(AT$8="X",VLOOKUP(AT$10,'VK-Elekter'!$C:$X,2+$D15,0))+IF(AT$9="X",VLOOKUP(AT$10,'VK-Biokütused'!$C:$U,2+$E15,0))+IF(AT$5="X",VLOOKUP(AT$10,'VK-Põlevkivi'!$C:$X,2+$G15,0))+IF(AT$4="X",VLOOKUP(AT$10,'VK-Võrgud'!$C:$X,2+$F15,0))</f>
        <v>12.004929222526066</v>
      </c>
      <c r="AU15" s="229">
        <f>MAX(0,(VLOOKUP("Kütuste tarbimine @ 2030 - UTTEGAAS",'VK-Hooned-Soojus'!$C:$X,2+$C15,FALSE)/0.172+VLOOKUP("Kütuste tarbimine @ 2030 - UTTEGAAS",'VK-Elekter'!$C:$X,2+$D15,FALSE)/0.172)*0.52-VLOOKUP("Kütuste tarbimine @ 2030 - PÕLEVKIVIÕLI",'VK-Hooned-Soojus'!$C:$X,2+$C15,FALSE))</f>
        <v>4.6837209302325586</v>
      </c>
      <c r="AV15" s="209">
        <f>IF(AV$7="X",VLOOKUP(AV$10,'VK-Hooned-Soojus'!$C:$X,2+$C15,FALSE),0)+IF(AV$6="X",VLOOKUP(AV$10,'VK-Transport'!$C:$X,2+$B15,0))+IF(AV$8="X",VLOOKUP(AV$10,'VK-Elekter'!$C:$X,2+$D15,0))+IF(AV$9="X",VLOOKUP(AV$10,'VK-Biokütused'!$C:$U,2+$E15,0))+IF(AV$5="X",VLOOKUP(AV$10,'VK-Põlevkivi'!$C:$X,2+$G15,0))+IF(AV$4="X",VLOOKUP(AV$10,'VK-Võrgud'!$C:$X,2+$F15,0))</f>
        <v>1.1831224847375093</v>
      </c>
      <c r="AW15" s="209">
        <f>IF(AW$7="X",VLOOKUP(AW$10,'VK-Hooned-Soojus'!$C:$X,2+$C15,FALSE),0)+IF(AW$6="X",VLOOKUP(AW$10,'VK-Transport'!$C:$X,2+$B15,0))+IF(AW$8="X",VLOOKUP(AW$10,'VK-Elekter'!$C:$X,2+$D15,0))+IF(AW$9="X",VLOOKUP(AW$10,'VK-Biokütused'!$C:$U,2+$E15,0))+IF(AW$5="X",VLOOKUP(AW$10,'VK-Põlevkivi'!$C:$X,2+$G15,0))+IF(AW$4="X",VLOOKUP(AW$10,'VK-Võrgud'!$C:$X,2+$F15,0))</f>
        <v>2.141</v>
      </c>
      <c r="AX15" s="229">
        <f t="shared" si="34"/>
        <v>0.95787751526249076</v>
      </c>
      <c r="AY15" s="229">
        <f t="shared" si="15"/>
        <v>0</v>
      </c>
      <c r="AZ15" s="230">
        <f t="shared" si="0"/>
        <v>0.58730807047222278</v>
      </c>
      <c r="BA15" s="209">
        <f>IF(BA$7="X",VLOOKUP(BA$10,'VK-Hooned-Soojus'!$C:$X,2+$C15,FALSE),0)+IF(BA$6="X",VLOOKUP(BA$10,'VK-Transport'!$C:$X,2+$B15,0))+IF(BA$8="X",VLOOKUP(BA$10,'VK-Elekter'!$C:$X,2+$D15,0))+IF(BA$9="X",VLOOKUP(BA$10,'VK-Biokütused'!$C:$U,2+$E15,0))+IF(BA$5="X",VLOOKUP(BA$10,'VK-Põlevkivi'!$C:$X,2+$G15,0))+IF(BA$4="X",VLOOKUP(BA$10,'VK-Võrgud'!$C:$X,2+$F15,0))</f>
        <v>4.25</v>
      </c>
      <c r="BB15" s="209">
        <f>IF(BB$7="X",VLOOKUP(BB$10,'VK-Hooned-Soojus'!$C:$X,2+$C15,FALSE),0)+IF(BB$6="X",VLOOKUP(BB$10,'VK-Transport'!$C:$X,2+$B15,0))+IF(BB$8="X",VLOOKUP(BB$10,'VK-Elekter'!$C:$X,2+$D15,0))+IF(BB$9="X",VLOOKUP(BB$10,'VK-Biokütused'!$C:$U,2+$E15,0))+IF(BB$5="X",VLOOKUP(BB$10,'VK-Põlevkivi'!$C:$X,2+$G15,0))+IF(BB$4="X",VLOOKUP(BB$10,'VK-Võrgud'!$C:$X,2+$F15,0))</f>
        <v>2.93</v>
      </c>
      <c r="BC15" s="209">
        <f>IF(BC$7="X",VLOOKUP(BC$10,'VK-Hooned-Soojus'!$C:$X,2+$C15,FALSE),0)+IF(BC$6="X",VLOOKUP(BC$10,'VK-Transport'!$C:$X,2+$B15,0))+IF(BC$8="X",VLOOKUP(BC$10,'VK-Elekter'!$C:$X,2+$D15,0))+IF(BC$9="X",VLOOKUP(BC$10,'VK-Biokütused'!$C:$U,2+$E15,0))+IF(BC$5="X",VLOOKUP(BC$10,'VK-Põlevkivi'!$C:$X,2+$G15,0))+IF(BC$4="X",VLOOKUP(BC$10,'VK-Võrgud'!$C:$X,2+$F15,0))</f>
        <v>8.0523611111111126</v>
      </c>
      <c r="BD15" s="209">
        <f>IF(BD$7="X",VLOOKUP(BD$10,'VK-Hooned-Soojus'!$C:$X,2+$C15,FALSE),0)+IF(BD$6="X",VLOOKUP(BD$10,'VK-Transport'!$C:$X,2+$B15,0))+IF(BD$8="X",VLOOKUP(BD$10,'VK-Elekter'!$C:$X,2+$D15,0))+IF(BD$9="X",VLOOKUP(BD$10,'VK-Biokütused'!$C:$U,2+$E15,0))+IF(BD$5="X",VLOOKUP(BD$10,'VK-Põlevkivi'!$C:$X,2+$G15,0))+IF(BD$4="X",VLOOKUP(BD$10,'VK-Võrgud'!$C:$X,2+$F15,0))</f>
        <v>10.42138888888889</v>
      </c>
      <c r="BE15" s="230"/>
      <c r="BF15" s="229">
        <f t="shared" si="16"/>
        <v>0.31062542735309201</v>
      </c>
      <c r="BG15" s="209" t="e">
        <f>(IF(BG$7="X",VLOOKUP(BG$10,'VK-Hooned-Soojus'!$C:$X,2+$C15,FALSE),0)+IF(BG$6="X",VLOOKUP(BG$10,'VK-Transport'!$C:$X,2+$B15,0))+IF(BG$8="X",VLOOKUP(BG$10,'VK-Elekter'!$C:$X,2+$D15,0))+IF(BG$9="X",VLOOKUP(BG$10,'VK-Biokütused'!$C:$U,2+$E15,0))+IF(BG$5="X",VLOOKUP(BG$10,'VK-Põlevkivi'!$C:$X,2+$G15,0))+IF(BG$4="X",VLOOKUP(BG$10,'VK-Võrgud'!$C:$X,2+$F15,0)))/20</f>
        <v>#N/A</v>
      </c>
      <c r="BH15" s="209">
        <f>(IF(BH$7="X",VLOOKUP(BH$10,'VK-Hooned-Soojus'!$C:$X,2+$C15,FALSE),0)+IF(BH$6="X",VLOOKUP(BH$10,'VK-Transport'!$C:$X,2+$B15,0))+IF(BH$8="X",VLOOKUP(BH$10,'VK-Elekter'!$C:$X,2+$D15,0))+IF(BH$9="X",VLOOKUP(BH$10,'VK-Biokütused'!$C:$U,2+$E15,0))+IF(BH$5="X",VLOOKUP(BH$10,'VK-Põlevkivi'!$C:$X,2+$G15,0))+IF(BH$4="X",VLOOKUP(BH$10,'VK-Võrgud'!$C:$X,2+$F15,0)))/20</f>
        <v>13.99</v>
      </c>
      <c r="BI15" s="209">
        <f>(IF(BI$7="X",VLOOKUP(BI$10,'VK-Hooned-Soojus'!$C:$X,2+$C15,FALSE),0)+IF(BI$6="X",VLOOKUP(BI$10,'VK-Transport'!$C:$X,2+$B15,0))+IF(BI$8="X",VLOOKUP(BI$10,'VK-Elekter'!$C:$X,2+$D15,0))+IF(BI$9="X",VLOOKUP(BI$10,'VK-Biokütused'!$C:$U,2+$E15,0))+IF(BI$5="X",VLOOKUP(BI$10,'VK-Põlevkivi'!$C:$X,2+$G15,0))+IF(BI$4="X",VLOOKUP(BI$10,'VK-Võrgud'!$C:$X,2+$F15,0)))/16</f>
        <v>17.75</v>
      </c>
      <c r="BJ15" s="209">
        <f>(IF(BJ$7="X",VLOOKUP(BJ$10,'VK-Hooned-Soojus'!$C:$X,2+$C15,FALSE),0)+IF(BJ$6="X",VLOOKUP(BJ$10,'VK-Transport'!$C:$X,2+$B15,0))+IF(BJ$8="X",VLOOKUP(BJ$10,'VK-Elekter'!$C:$X,2+$D15,0))+IF(BJ$9="X",VLOOKUP(BJ$10,'VK-Biokütused'!$C:$U,2+$E15,0))+IF(BJ$5="X",VLOOKUP(BJ$10,'VK-Põlevkivi'!$C:$X,2+$G15,0))+IF(BJ$4="X",VLOOKUP(BJ$10,'VK-Võrgud'!$C:$X,2+$F15,0)))/20</f>
        <v>1.85</v>
      </c>
      <c r="BK15" s="209"/>
      <c r="BL15" s="209"/>
      <c r="BM15" s="209"/>
      <c r="BN15" s="209" t="e">
        <f>(IF(BN$7="X",VLOOKUP(BN$10,'VK-Hooned-Soojus'!$C:$X,2+$C15,FALSE),0)+IF(BN$6="X",VLOOKUP(BN$10,'VK-Transport'!$C:$X,2+$B15,0))+IF(BN$8="X",VLOOKUP(BN$10,'VK-Elekter'!$C:$X,2+$D15,0))+IF(BN$9="X",VLOOKUP(BN$10,'VK-Biokütused'!$C:$U,2+$E15,0))+IF(BN$5="X",VLOOKUP(BN$10,'VK-Põlevkivi'!$C:$X,2+$G15,0))+IF(BN$4="X",VLOOKUP(BN$10,'VK-Võrgud'!$C:$X,2+$F15,0)))/16</f>
        <v>#N/A</v>
      </c>
      <c r="BO15" s="209">
        <f>(IF(BO$7="X",VLOOKUP(BO$10,'VK-Hooned-Soojus'!$C:$X,2+$C15,FALSE),0)+IF(BO$6="X",VLOOKUP(BO$10,'VK-Transport'!$C:$X,2+$B15,0))+IF(BO$8="X",VLOOKUP(BO$10,'VK-Elekter'!$C:$X,2+$D15,0))+IF(BO$9="X",VLOOKUP(BO$10,'VK-Biokütused'!$C:$U,2+$E15,0))+IF(BO$5="X",VLOOKUP(BO$10,'VK-Põlevkivi'!$C:$X,2+$G15,0))+IF(BO$4="X",VLOOKUP(BO$10,'VK-Võrgud'!$C:$X,2+$F15,0)))/16</f>
        <v>496.33125000000001</v>
      </c>
      <c r="BP15" s="209"/>
      <c r="BQ15" s="209">
        <f>(IF(BQ$7="X",VLOOKUP(BQ$10,'VK-Hooned-Soojus'!$C:$X,2+$C15,FALSE),0)+IF(BQ$6="X",VLOOKUP(BQ$10,'VK-Transport'!$C:$X,2+$B15,0))+IF(BQ$8="X",VLOOKUP(BQ$10,'VK-Elekter'!$C:$X,2+$D15,0))+IF(BQ$9="X",VLOOKUP(BQ$10,'VK-Biokütused'!$C:$U,2+$E15,0))+IF(BQ$5="X",VLOOKUP(BQ$10,'VK-Põlevkivi'!$C:$X,2+$G15,0))+IF(BQ$4="X",VLOOKUP(BQ$10,'VK-Võrgud'!$C:$X,2+$F15,0)))/16</f>
        <v>4.7249999999999996</v>
      </c>
      <c r="BR15" s="209">
        <f>(IF(BR$7="X",VLOOKUP(BR$10,'VK-Hooned-Soojus'!$C:$X,2+$C15,FALSE),0)+IF(BR$6="X",VLOOKUP(BR$10,'VK-Transport'!$C:$X,2+$B15,0))+IF(BR$8="X",VLOOKUP(BR$10,'VK-Elekter'!$C:$X,2+$D15,0))+IF(BR$9="X",VLOOKUP(BR$10,'VK-Biokütused'!$C:$U,2+$E15,0))+IF(BR$5="X",VLOOKUP(BR$10,'VK-Põlevkivi'!$C:$X,2+$G15,0))+IF(BR$4="X",VLOOKUP(BR$10,'VK-Võrgud'!$C:$X,2+$F15,0)))/16</f>
        <v>-74.512500000000003</v>
      </c>
      <c r="BS15" s="209">
        <f>(IF(BS$7="X",VLOOKUP(BS$10,'VK-Hooned-Soojus'!$C:$X,2+$C15,FALSE),0)+IF(BS$6="X",VLOOKUP(BS$10,'VK-Transport'!$C:$X,2+$B15,0))+IF(BS$8="X",VLOOKUP(BS$10,'VK-Elekter'!$C:$X,2+$D15,0))+IF(BS$9="X",VLOOKUP(BS$10,'VK-Biokütused'!$C:$U,2+$E15,0))+IF(BS$5="X",VLOOKUP(BS$10,'VK-Põlevkivi'!$C:$X,2+$G15,0))+IF(BS$4="X",VLOOKUP(BS$10,'VK-Võrgud'!$C:$X,2+$F15,0)))/16</f>
        <v>-100.68125000000001</v>
      </c>
      <c r="BT15" s="209"/>
      <c r="BU15" s="209"/>
      <c r="BV15" s="209">
        <f>(IF(BV$7="X",VLOOKUP(BV$10,'VK-Hooned-Soojus'!$C:$X,2+$C15,FALSE),0)+IF(BV$6="X",VLOOKUP(BV$10,'VK-Transport'!$C:$X,2+$B15,0))+IF(BV$8="X",VLOOKUP(BV$10,'VK-Elekter'!$C:$X,2+$D15,0))+IF(BV$9="X",VLOOKUP(BV$10,'VK-Biokütused'!$C:$U,2+$E15,0))+IF(BV$5="X",VLOOKUP(BV$10,'VK-Põlevkivi'!$C:$X,2+$G15,0))+IF(BV$4="X",VLOOKUP(BV$10,'VK-Võrgud'!$C:$X,2+$F15,0)))/16</f>
        <v>0</v>
      </c>
      <c r="BW15" s="209"/>
      <c r="BX15" s="209">
        <f>(IF(BX$7="X",VLOOKUP(BX$10,'VK-Hooned-Soojus'!$C:$X,2+$C15,FALSE),0)+IF(BX$6="X",VLOOKUP(BX$10,'VK-Transport'!$C:$X,2+$B15,0))+IF(BX$8="X",VLOOKUP(BX$10,'VK-Elekter'!$C:$X,2+$D15,0))+IF(BX$9="X",VLOOKUP(BX$10,'VK-Biokütused'!$C:$U,2+$E15,0))+IF(BX$5="X",VLOOKUP(BX$10,'VK-Põlevkivi'!$C:$X,2+$G15,0))+IF(BX$4="X",VLOOKUP(BX$10,'VK-Võrgud'!$C:$X,2+$F15,0)))/16</f>
        <v>-99.75</v>
      </c>
      <c r="BY15" s="209"/>
      <c r="BZ15" s="209"/>
      <c r="CA15" s="209" t="e">
        <f>(IF(CA$7="X",VLOOKUP(CA$10,'VK-Hooned-Soojus'!$C:$X,2+$C15,FALSE),0)+IF(CA$6="X",VLOOKUP(CA$10,'VK-Transport'!$C:$X,2+$B15,0))+IF(CA$8="X",VLOOKUP(CA$10,'VK-Elekter'!$C:$X,2+$D15,0))+IF(CA$9="X",VLOOKUP(CA$10,'VK-Biokütused'!$C:$U,2+$E15,0))+IF(CA$5="X",VLOOKUP(CA$10,'VK-Põlevkivi'!$C:$X,2+$G15,0))+IF(CA$4="X",VLOOKUP(CA$10,'VK-Võrgud'!$C:$X,2+$F15,0)))/16</f>
        <v>#N/A</v>
      </c>
      <c r="CB15" s="209">
        <f>(IF(CB$7="X",VLOOKUP(CB$10,'VK-Hooned-Soojus'!$C:$X,2+$C15,FALSE),0)+IF(CB$6="X",VLOOKUP(CB$10,'VK-Transport'!$C:$X,2+$B15,0))+IF(CB$8="X",VLOOKUP(CB$10,'VK-Elekter'!$C:$X,2+$D15,0))+IF(CB$9="X",VLOOKUP(CB$10,'VK-Biokütused'!$C:$U,2+$E15,0))+IF(CB$5="X",VLOOKUP(CB$10,'VK-Põlevkivi'!$C:$X,2+$G15,0))+IF(CB$4="X",VLOOKUP(CB$10,'VK-Võrgud'!$C:$X,2+$F15,0)))/16</f>
        <v>0</v>
      </c>
      <c r="CC15" s="209">
        <f>(IF(CC$7="X",VLOOKUP(CC$10,'VK-Hooned-Soojus'!$C:$X,2+$C15,FALSE),0)+IF(CC$6="X",VLOOKUP(CC$10,'VK-Transport'!$C:$X,2+$B15,0))+IF(CC$8="X",VLOOKUP(CC$10,'VK-Elekter'!$C:$X,2+$D15,0))+IF(CC$9="X",VLOOKUP(CC$10,'VK-Biokütused'!$C:$U,2+$E15,0))+IF(CC$5="X",VLOOKUP(CC$10,'VK-Põlevkivi'!$C:$X,2+$G15,0))+IF(CC$4="X",VLOOKUP(CC$10,'VK-Võrgud'!$C:$X,2+$F15,0)))/16</f>
        <v>0</v>
      </c>
      <c r="CD15" s="209"/>
      <c r="CE15" s="209">
        <f>(IF(CE$7="X",VLOOKUP(CE$10,'VK-Hooned-Soojus'!$C:$X,2+$C15,FALSE),0)+IF(CE$6="X",VLOOKUP(CE$10,'VK-Transport'!$C:$X,2+$B15,0))+IF(CE$8="X",VLOOKUP(CE$10,'VK-Elekter'!$C:$X,2+$D15,0))+IF(CE$9="X",VLOOKUP(CE$10,'VK-Biokütused'!$C:$U,2+$E15,0))+IF(CE$5="X",VLOOKUP(CE$10,'VK-Põlevkivi'!$C:$X,2+$G15,0))+IF(CE$4="X",VLOOKUP(CE$10,'VK-Võrgud'!$C:$X,2+$F15,0)))/16</f>
        <v>24.15625</v>
      </c>
      <c r="CF15" s="209"/>
      <c r="CG15" s="209">
        <f>(IF(CG$7="X",VLOOKUP(CG$10,'VK-Hooned-Soojus'!$C:$X,2+$C15,FALSE),0)+IF(CG$6="X",VLOOKUP(CG$10,'VK-Transport'!$C:$X,2+$B15,0))+IF(CG$8="X",VLOOKUP(CG$10,'VK-Elekter'!$C:$X,2+$D15,0))+IF(CG$9="X",VLOOKUP(CG$10,'VK-Biokütused'!$C:$U,2+$E15,0))+IF(CG$5="X",VLOOKUP(CG$10,'VK-Põlevkivi'!$C:$X,2+$G15,0))+IF(CG$4="X",VLOOKUP(CG$10,'VK-Võrgud'!$C:$X,2+$F15,0)))/16</f>
        <v>0</v>
      </c>
      <c r="CH15" s="209">
        <f>(IF(CH$7="X",VLOOKUP(CH$10,'VK-Hooned-Soojus'!$C:$X,2+$C15,FALSE),0)+IF(CH$6="X",VLOOKUP(CH$10,'VK-Transport'!$C:$X,2+$B15,0))+IF(CH$8="X",VLOOKUP(CH$10,'VK-Elekter'!$C:$X,2+$D15,0))+IF(CH$9="X",VLOOKUP(CH$10,'VK-Biokütused'!$C:$U,2+$E15,0))+IF(CH$5="X",VLOOKUP(CH$10,'VK-Põlevkivi'!$C:$X,2+$G15,0))+IF(CH$4="X",VLOOKUP(CH$10,'VK-Võrgud'!$C:$X,2+$F15,0)))/20*0.21</f>
        <v>5.6122500000000004</v>
      </c>
      <c r="CI15" s="209"/>
      <c r="CJ15" s="209">
        <f>(IF(CJ$7="X",VLOOKUP(CJ$10,'VK-Hooned-Soojus'!$C:$X,2+$C15,FALSE),0)+IF(CJ$6="X",VLOOKUP(CJ$10,'VK-Transport'!$C:$X,2+$B15,0))+IF(CJ$8="X",VLOOKUP(CJ$10,'VK-Elekter'!$C:$X,2+$D15,0))+IF(CJ$9="X",VLOOKUP(CJ$10,'VK-Biokütused'!$C:$U,2+$E15,0))+IF(CJ$5="X",VLOOKUP(CJ$10,'VK-Põlevkivi'!$C:$X,2+$G15,0))+IF(CJ$4="X",VLOOKUP(CJ$10,'VK-Võrgud'!$C:$X,2+$F15,0)))/1000</f>
        <v>20.210578011574537</v>
      </c>
      <c r="CK15" s="209">
        <f>(IF(CK$7="X",VLOOKUP(CK$10,'VK-Hooned-Soojus'!$C:$X,2+$C15,FALSE),0)+IF(CK$6="X",VLOOKUP(CK$10,'VK-Transport'!$C:$X,2+$B15,0))+IF(CK$8="X",VLOOKUP(CK$10,'VK-Elekter'!$C:$X,2+$D15,0))+IF(CK$9="X",VLOOKUP(CK$10,'VK-Biokütused'!$C:$U,2+$E15,0))+IF(CK$5="X",VLOOKUP(CK$10,'VK-Põlevkivi'!$C:$X,2+$G15,0))+IF(CK$4="X",VLOOKUP(CK$10,'VK-Võrgud'!$C:$X,2+$F15,0)))/1000</f>
        <v>12.807124562278599</v>
      </c>
      <c r="CL15" s="235">
        <f>(IF(CL$7="X",VLOOKUP(CL$10,'VK-Hooned-Soojus'!$C:$X,2+$C15,FALSE),0)+IF(CL$6="X",VLOOKUP(CL$10,'VK-Transport'!$C:$X,2+$B15,0))+IF(CL$8="X",VLOOKUP(CL$10,'VK-Elekter'!$C:$X,2+$D15,0))+IF(CL$9="X",VLOOKUP(CL$10,'VK-Biokütused'!$C:$U,2+$E15,0)))/1000</f>
        <v>9.5927140697148801</v>
      </c>
      <c r="CM15" s="209">
        <f>(IF(CM$7="X",VLOOKUP(CM$10,'VK-Hooned-Soojus'!$C:$X,2+$C15,FALSE),0)+IF(CM$6="X",VLOOKUP(CM$10,'VK-Transport'!$C:$X,2+$B15,0))+IF(CM$8="X",VLOOKUP(CM$10,'VK-Elekter'!$C:$X,2+$D15,0))+IF(CM$9="X",VLOOKUP(CM$10,'VK-Biokütused'!$C:$U,2+$E15,0))+IF(CM$5="X",VLOOKUP(CM$10,'VK-Põlevkivi'!$C:$X,2+$G15,0))+IF(CM$4="X",VLOOKUP(CM$10,'VK-Võrgud'!$C:$X,2+$F15,0)))/1000</f>
        <v>8.5657605777489074</v>
      </c>
      <c r="CN15" s="209">
        <f>(IF(CN$7="X",VLOOKUP(CN$10,'VK-Hooned-Soojus'!$C:$X,2+$C15,FALSE),0)+IF(CN$6="X",VLOOKUP(CN$10,'VK-Transport'!$C:$X,2+$B15,0))+IF(CN$8="X",VLOOKUP(CN$10,'VK-Elekter'!$C:$X,2+$D15,0))+IF(CN$9="X",VLOOKUP(CN$10,'VK-Biokütused'!$C:$U,2+$E15,0))+IF(CN$5="X",VLOOKUP(CN$10,'VK-Põlevkivi'!$C:$X,2+$G15,0))+IF(CN$4="X",VLOOKUP(CN$10,'VK-Võrgud'!$C:$X,2+$F15,0)))/1000</f>
        <v>3.0259999999999998</v>
      </c>
      <c r="CO15" s="209">
        <f>(IF(CO$7="X",VLOOKUP(CO$10,'VK-Hooned-Soojus'!$C:$X,2+$C15,FALSE),0)+IF(CO$6="X",VLOOKUP(CO$10,'VK-Transport'!$C:$X,2+$B15,0))+IF(CO$8="X",VLOOKUP(CO$10,'VK-Elekter'!$C:$X,2+$D15,0))+IF(CO$9="X",VLOOKUP(CO$10,'VK-Biokütused'!$C:$U,2+$E15,0))+IF(CO$5="X",VLOOKUP(CO$10,'VK-Põlevkivi'!$C:$X,2+$G15,0))+IF(CO$4="X",VLOOKUP(CO$10,'VK-Võrgud'!$C:$X,2+$F15,0)))/1000</f>
        <v>25.663649773285456</v>
      </c>
      <c r="CP15" s="209">
        <f>(IF(CP$7="X",VLOOKUP(CP$10,'VK-Hooned-Soojus'!$C:$X,2+$C15,FALSE),0)+IF(CP$6="X",VLOOKUP(CP$10,'VK-Transport'!$C:$X,2+$B15,0))+IF(CP$8="X",VLOOKUP(CP$10,'VK-Elekter'!$C:$X,2+$D15,0))+IF(CP$9="X",VLOOKUP(CP$10,'VK-Biokütused'!$C:$U,2+$E15,0))+IF(CP$5="X",VLOOKUP(CP$10,'VK-Põlevkivi'!$C:$X,2+$G15,0))+IF(CP$4="X",VLOOKUP(CP$10,'VK-Võrgud'!$C:$X,2+$F15,0)))/1000</f>
        <v>13.825948584295613</v>
      </c>
      <c r="CQ15" s="235">
        <f>(IF(CQ$7="X",VLOOKUP(CQ$10,'VK-Hooned-Soojus'!$C:$X,2+$C15,FALSE),0)+IF(CQ$6="X",VLOOKUP(CQ$10,'VK-Transport'!$C:$X,2+$B15,0))+IF(CQ$8="X",VLOOKUP(CQ$10,'VK-Elekter'!$C:$X,2+$D15,0))+IF(CQ$9="X",VLOOKUP(CQ$10,'VK-Biokütused'!$C:$U,2+$E15,0)))/1000</f>
        <v>11.216906999999999</v>
      </c>
      <c r="CR15" s="209">
        <f>(IF(CR$7="X",VLOOKUP(CR$10,'VK-Hooned-Soojus'!$C:$X,2+$C15,FALSE),0)+IF(CR$6="X",VLOOKUP(CR$10,'VK-Transport'!$C:$X,2+$B15,0))+IF(CR$8="X",VLOOKUP(CR$10,'VK-Elekter'!$C:$X,2+$D15,0))+IF(CR$9="X",VLOOKUP(CR$10,'VK-Biokütused'!$C:$U,2+$E15,0))+IF(CR$5="X",VLOOKUP(CR$10,'VK-Põlevkivi'!$C:$X,2+$G15,0))+IF(CR$4="X",VLOOKUP(CR$10,'VK-Võrgud'!$C:$X,2+$F15,0)))/1000</f>
        <v>8.1217533562748034</v>
      </c>
      <c r="CS15" s="209">
        <f>(IF(CS$7="X",VLOOKUP(CS$10,'VK-Hooned-Soojus'!$C:$X,2+$C15,FALSE),0)+IF(CS$6="X",VLOOKUP(CS$10,'VK-Transport'!$C:$X,2+$B15,0))+IF(CS$8="X",VLOOKUP(CS$10,'VK-Elekter'!$C:$X,2+$D15,0))+IF(CS$9="X",VLOOKUP(CS$10,'VK-Biokütused'!$C:$U,2+$E15,0))+IF(CS$5="X",VLOOKUP(CS$10,'VK-Põlevkivi'!$C:$X,2+$G15,0))+IF(CS$4="X",VLOOKUP(CS$10,'VK-Võrgud'!$C:$X,2+$F15,0)))/1000</f>
        <v>3.9861524051216151</v>
      </c>
      <c r="CT15" s="209">
        <f>IF(CT$7="X",VLOOKUP(CT$10,'VK-Hooned-Soojus'!$C:$X,2+$C15,FALSE),0)+IF(CT$6="X",VLOOKUP(CT$10,'VK-Transport'!$C:$X,2+$B15,0))+IF(CT$8="X",VLOOKUP(CT$10,'VK-Elekter'!$C:$X,2+$D15,0))+IF(CT$9="X",VLOOKUP(CT$10,'VK-Biokütused'!$C:$U,2+$E15,0))+IF(CT$5="X",VLOOKUP(CT$10,'VK-Põlevkivi'!$C:$X,2+$G15,0))+IF(CT$4="X",VLOOKUP(CT$10,'VK-Võrgud'!$C:$X,2+$F15,0))</f>
        <v>90</v>
      </c>
      <c r="CU15" s="209">
        <f>IF(CU$7="X",VLOOKUP(CU$10,'VK-Hooned-Soojus'!$C:$X,2+$C15,FALSE),0)+IF(CU$6="X",VLOOKUP(CU$10,'VK-Transport'!$C:$X,2+$B15,0))+IF(CU$8="X",VLOOKUP(CU$10,'VK-Elekter'!$C:$X,2+$D15,0))+IF(CU$9="X",VLOOKUP(CU$10,'VK-Biokütused'!$C:$U,2+$E15,0))+IF(CU$5="X",VLOOKUP(CU$10,'VK-Põlevkivi'!$C:$X,2+$G15,0))+IF(CU$4="X",VLOOKUP(CU$10,'VK-Võrgud'!$C:$X,2+$F15,0))</f>
        <v>0.72088353413654627</v>
      </c>
      <c r="CV15" s="209">
        <f t="shared" si="1"/>
        <v>0.91028830406496797</v>
      </c>
      <c r="CW15" s="209">
        <f>(IF(CW$7="X",VLOOKUP(CW$10,'VK-Hooned-Soojus'!$C:$X,2+$C15,FALSE),0)+IF(CW$6="X",VLOOKUP(CW$10,'VK-Transport'!$C:$X,2+$B15,0))+IF(CW$8="X",VLOOKUP(CW$10,'VK-Elekter'!$C:$X,2+$D15,0))+IF(CW$9="X",VLOOKUP(CW$10,'VK-Biokütused'!$C:$U,2+$E15,0))+IF(CW$5="X",VLOOKUP(CW$10,'VK-Põlevkivi'!$C:$X,2+$G15,0))+IF(CW$4="X",VLOOKUP(CW$10,'VK-Võrgud'!$C:$X,2+$F15,0)))/16</f>
        <v>59.743749999999999</v>
      </c>
      <c r="CY15" s="209">
        <f>(IF(CY$7="X",VLOOKUP(CY$10,'VK-Hooned-Soojus'!$C:$X,2+$C15,FALSE),0)+IF(CY$6="X",VLOOKUP(CY$10,'VK-Transport'!$C:$X,2+$B15,0))+IF(CY$8="X",VLOOKUP(CY$10,'VK-Elekter'!$C:$X,2+$D15,0))+IF(CY$9="X",VLOOKUP(CY$10,'VK-Biokütused'!$C:$U,2+$E15,0))+IF(CY$5="X",VLOOKUP(CY$10,'VK-Põlevkivi'!$C:$X,2+$G15,0))+IF(CY$4="X",VLOOKUP(CY$10,'VK-Võrgud'!$C:$X,2+$F15,0)))/1000</f>
        <v>11.502000000000001</v>
      </c>
      <c r="CZ15" s="209">
        <f>(IF(CZ$7="X",VLOOKUP(CZ$10,'VK-Hooned-Soojus'!$C:$X,2+$C15,FALSE),0)+IF(CZ$6="X",VLOOKUP(CZ$10,'VK-Transport'!$C:$X,2+$B15,0))+IF(CZ$8="X",VLOOKUP(CZ$10,'VK-Elekter'!$C:$X,2+$D15,0))+IF(CZ$9="X",VLOOKUP(CZ$10,'VK-Biokütused'!$C:$U,2+$E15,0))+IF(CZ$5="X",VLOOKUP(CZ$10,'VK-Põlevkivi'!$C:$X,2+$G15,0))+IF(CZ$4="X",VLOOKUP(CZ$10,'VK-Võrgud'!$C:$X,2+$F15,0)))</f>
        <v>79.400000000000006</v>
      </c>
      <c r="DA15" s="209">
        <f>(IF(DA$7="X",VLOOKUP(DA$10,'VK-Hooned-Soojus'!$C:$X,2+$C15,FALSE),0)+IF(DA$6="X",VLOOKUP(DA$10,'VK-Transport'!$C:$X,2+$B15,0))+IF(DA$8="X",VLOOKUP(DA$10,'VK-Elekter'!$C:$X,2+$D15,0))+IF(DA$9="X",VLOOKUP(DA$10,'VK-Biokütused'!$C:$U,2+$E15,0))+IF(DA$5="X",VLOOKUP(DA$10,'VK-Põlevkivi'!$C:$X,2+$G15,0))+IF(DA$4="X",VLOOKUP(DA$10,'VK-Võrgud'!$C:$X,2+$F15,0)))/1000</f>
        <v>15.464</v>
      </c>
      <c r="DB15" s="209">
        <f>(IF(DB$7="X",VLOOKUP(DB$10,'VK-Hooned-Soojus'!$C:$X,2+$C15,FALSE),0)+IF(DB$6="X",VLOOKUP(DB$10,'VK-Transport'!$C:$X,2+$B15,0))+IF(DB$8="X",VLOOKUP(DB$10,'VK-Elekter'!$C:$X,2+$D15,0))+IF(DB$9="X",VLOOKUP(DB$10,'VK-Biokütused'!$C:$U,2+$E15,0))+IF(DB$5="X",VLOOKUP(DB$10,'VK-Põlevkivi'!$C:$X,2+$G15,0))+IF(DB$4="X",VLOOKUP(DB$10,'VK-Võrgud'!$C:$X,2+$F15,0)))/1000/3.6</f>
        <v>69.033888888888882</v>
      </c>
      <c r="DC15" s="209">
        <f>(IF(DC$7="X",VLOOKUP(DC$10,'VK-Hooned-Soojus'!$C:$X,2+$C15,FALSE),0)+IF(DC$6="X",VLOOKUP(DC$10,'VK-Transport'!$C:$X,2+$B15,0))+IF(DC$8="X",VLOOKUP(DC$10,'VK-Elekter'!$C:$X,2+$D15,0))+IF(DC$9="X",VLOOKUP(DC$10,'VK-Biokütused'!$C:$U,2+$E15,0))+IF(DC$5="X",VLOOKUP(DC$10,'VK-Põlevkivi'!$C:$X,2+$G15,0))+IF(DC$4="X",VLOOKUP(DC$10,'VK-Võrgud'!$C:$X,2+$F15,0)))/1000000</f>
        <v>5.5336780000000001</v>
      </c>
      <c r="DD15" s="209"/>
      <c r="DE15" s="88">
        <f>VLOOKUP(Tulemused!$BN$12,data!M$7:N$12,2,FALSE)-SUM(L15,M15)</f>
        <v>-3.4066444444444528</v>
      </c>
      <c r="DF15" s="209" t="str">
        <f>IF(AZ15&lt;=VLOOKUP(Tulemused!$BN$15,data!$E$36:$F$39,2,FALSE),"JAH","EI")</f>
        <v>JAH</v>
      </c>
      <c r="DG15" s="209"/>
      <c r="DH15" s="209">
        <f t="shared" si="2"/>
        <v>6.78</v>
      </c>
      <c r="DI15" s="231" t="str">
        <f t="shared" si="17"/>
        <v>EI</v>
      </c>
      <c r="DK15" s="232">
        <f t="shared" si="3"/>
        <v>-999.02172334962813</v>
      </c>
      <c r="DM15" s="233">
        <f t="shared" si="4"/>
        <v>8.14237860102266</v>
      </c>
      <c r="DN15" s="87">
        <f t="array" ref="DN15">INDEX($A$11:$A$145, SMALL(IF(DM15=$DK$11:$DK$145, MATCH(ROW($DK$11:$DK$145), ROW($DK$11:$DK$145))), SUM(--(DM15=$DM$11:DM15))))</f>
        <v>129</v>
      </c>
      <c r="DP15" s="87" t="e">
        <f t="shared" ca="1" si="18"/>
        <v>#N/A</v>
      </c>
      <c r="DQ15" s="87" t="e">
        <f t="shared" ca="1" si="19"/>
        <v>#N/A</v>
      </c>
      <c r="DR15" s="87">
        <f t="shared" ca="1" si="20"/>
        <v>0</v>
      </c>
      <c r="DS15" s="87" t="e">
        <f t="shared" ca="1" si="21"/>
        <v>#N/A</v>
      </c>
      <c r="DT15" s="87">
        <f t="shared" ca="1" si="22"/>
        <v>0</v>
      </c>
      <c r="DU15" s="87" t="e">
        <f t="shared" ca="1" si="23"/>
        <v>#N/A</v>
      </c>
      <c r="DV15" s="87" t="e">
        <f t="shared" ca="1" si="24"/>
        <v>#N/A</v>
      </c>
      <c r="DW15" s="87">
        <f t="shared" ca="1" si="25"/>
        <v>0</v>
      </c>
      <c r="DX15" s="87">
        <f t="shared" ca="1" si="26"/>
        <v>0</v>
      </c>
      <c r="DZ15" s="87">
        <f t="shared" ca="1" si="5"/>
        <v>0</v>
      </c>
      <c r="EB15" s="87">
        <f t="shared" ca="1" si="27"/>
        <v>0</v>
      </c>
      <c r="EC15" s="87" t="e">
        <f t="shared" ca="1" si="28"/>
        <v>#N/A</v>
      </c>
      <c r="EE15" s="228">
        <f>(IF(EE$7="X",VLOOKUP(EE$10,'VK-Hooned-Soojus'!$C:$X,2+$C15,FALSE),0)+IF(EE$6="X",VLOOKUP(EE$10,'VK-Transport'!$C:$X,2+$B15,0))+IF(EE$8="X",VLOOKUP(EE$10,'VK-Elekter'!$C:$X,2+$D15,0))+IF(EE$9="X",VLOOKUP(EE$10,'VK-Biokütused'!$C:$U,2+$E15,0))+IF(EE$5="X",VLOOKUP(EE$10,'VK-Põlevkivi'!$C:$X,2+$G15,0))+IF(EE$4="X",VLOOKUP(EE$10,'VK-Võrgud'!$C:$X,2+$F15,0)))</f>
        <v>3674.6893352864636</v>
      </c>
      <c r="EF15" s="235">
        <f>(IF(EF$7="X",VLOOKUP(EF$10,'VK-Hooned-Soojus'!$C:$X,2+$C15,FALSE),0)+IF(EF$6="X",VLOOKUP(EF$10,'VK-Transport'!$C:$X,2+$B15,0))+IF(EF$8="X",VLOOKUP(EF$10,'VK-Elekter'!$C:$X,2+$D15,0))+IF(EF$9="X",VLOOKUP(EF$10,'VK-Biokütused'!$C:$U,2+$E15,0)))/1000</f>
        <v>6.6726368215830609</v>
      </c>
      <c r="EG15" s="209">
        <f>(IF(EG$7="X",VLOOKUP(EG$10,'VK-Hooned-Soojus'!$C:$X,2+$C15,FALSE),0)+IF(EG$6="X",VLOOKUP(EG$10,'VK-Transport'!$C:$X,2+$B15,0))+IF(EG$8="X",VLOOKUP(EG$10,'VK-Elekter'!$C:$X,2+$D15,0))+IF(EG$9="X",VLOOKUP(EG$10,'VK-Biokütused'!$C:$U,2+$E15,0))+IF(EG$5="X",VLOOKUP(EG$10,'VK-Põlevkivi'!$C:$X,2+$G15,0))+IF(EG$4="X",VLOOKUP(EG$10,'VK-Võrgud'!$C:$X,2+$F15,0)))</f>
        <v>0.81</v>
      </c>
      <c r="EH15" s="209">
        <f>(IF(EH$7="X",VLOOKUP(EH$10,'VK-Hooned-Soojus'!$C:$X,2+$C15,FALSE),0)+IF(EH$6="X",VLOOKUP(EH$10,'VK-Transport'!$C:$X,2+$B15,0))+IF(EH$8="X",VLOOKUP(EH$10,'VK-Elekter'!$C:$X,2+$D15,0))+IF(EH$9="X",VLOOKUP(EH$10,'VK-Biokütused'!$C:$U,2+$E15,0)))+AR15+AS15+AU15+AX15</f>
        <v>58.416165628957572</v>
      </c>
      <c r="EI15" s="320">
        <f t="shared" si="6"/>
        <v>52.774567183462523</v>
      </c>
      <c r="EJ15" s="322">
        <f t="shared" si="7"/>
        <v>2.0156356925118721E-2</v>
      </c>
      <c r="EK15" s="323">
        <f t="shared" si="29"/>
        <v>0.36168246787532254</v>
      </c>
      <c r="EM15" s="209"/>
      <c r="EN15" s="209">
        <f t="shared" ca="1" si="8"/>
        <v>0</v>
      </c>
      <c r="EO15" s="209"/>
      <c r="EP15" s="234"/>
      <c r="EQ15" s="209">
        <f>(IF(EQ$7="X",VLOOKUP(EQ$10,'VK-Hooned-Soojus'!$C:$X,2+$C15,FALSE),0)+IF(EQ$6="X",VLOOKUP(EQ$10,'VK-Transport'!$C:$X,2+$B15,0))+IF(EQ$8="X",VLOOKUP(EQ$10,'VK-Elekter'!$C:$X,2+$D15,0))+IF(EQ$9="X",VLOOKUP(EQ$10,'VK-Biokütused'!$C:$U,2+$E15,0))+IF(EQ$5="X",VLOOKUP(EQ$10,'VK-Põlevkivi'!$C:$X,2+$G15,0))+IF(EQ$4="X",VLOOKUP(EQ$10,'VK-Võrgud'!$C:$X,2+$F15,0)))/1000</f>
        <v>0.22900000000000001</v>
      </c>
      <c r="ER15" s="209">
        <f>(IF(ER$7="X",VLOOKUP(ER$10,'VK-Hooned-Soojus'!$C:$X,2+$C15,FALSE),0)+IF(ER$6="X",VLOOKUP(ER$10,'VK-Transport'!$C:$X,2+$B15,0))+IF(ER$8="X",VLOOKUP(ER$10,'VK-Elekter'!$C:$X,2+$D15,0))+IF(ER$9="X",VLOOKUP(ER$10,'VK-Biokütused'!$C:$U,2+$E15,0))+IF(ER$5="X",VLOOKUP(ER$10,'VK-Põlevkivi'!$C:$X,2+$G15,0))+IF(ER$4="X",VLOOKUP(ER$10,'VK-Võrgud'!$C:$X,2+$F15,0)))</f>
        <v>0.82899999999999996</v>
      </c>
      <c r="ES15" s="209">
        <f>(IF(ES$7="X",VLOOKUP(ES$10,'VK-Hooned-Soojus'!$C:$X,2+$C15,FALSE),0)+IF(ES$6="X",VLOOKUP(ES$10,'VK-Transport'!$C:$X,2+$B15,0))+IF(ES$8="X",VLOOKUP(ES$10,'VK-Elekter'!$C:$X,2+$D15,0))+IF(ES$9="X",VLOOKUP(ES$10,'VK-Biokütused'!$C:$U,2+$E15,0))+IF(ES$5="X",VLOOKUP(ES$10,'VK-Põlevkivi'!$C:$X,2+$G15,0))+IF(ES$4="X",VLOOKUP(ES$10,'VK-Võrgud'!$C:$X,2+$F15,0)))</f>
        <v>6.78</v>
      </c>
      <c r="ET15" s="209"/>
      <c r="EU15" s="209"/>
      <c r="EV15" s="87">
        <f>'KSH järjestus'!AS8</f>
        <v>2430</v>
      </c>
      <c r="EX15" s="236"/>
      <c r="EY15" s="236"/>
      <c r="EZ15" s="237">
        <f t="shared" si="9"/>
        <v>0.27911646586345373</v>
      </c>
      <c r="FA15" s="209">
        <f>IF(FA$7="X",VLOOKUP(FA$10,'VK-Hooned-Soojus'!$C:$X,2+$C15,FALSE),0)+IF(FA$6="X",VLOOKUP(FA$10,'VK-Transport'!$C:$X,2+$B15,0))+IF(FA$8="X",VLOOKUP(FA$10,'VK-Elekter'!$C:$X,2+$D15,0))+IF(FA$9="X",VLOOKUP(FA$10,'VK-Biokütused'!$C:$U,2+$E15,0))+IF(FA$5="X",VLOOKUP(FA$10,'VK-Põlevkivi'!$C:$X,2+$G15,0))+IF(FA$4="X",VLOOKUP(FA$10,'VK-Võrgud'!$C:$X,2+$F15,0))</f>
        <v>3693.9070000000002</v>
      </c>
      <c r="FB15" s="279">
        <f>(IF(FB$7="X",VLOOKUP(FB$10,'VK-Hooned-Soojus'!$C:$X,2+$C15,FALSE),0)+IF(FB$6="X",VLOOKUP(FB$10,'VK-Transport'!$C:$X,2+$B15,0))+IF(FB$8="X",VLOOKUP(FB$10,'VK-Elekter'!$C:$X,2+$D15,0))+IF(FB$9="X",VLOOKUP(FB$10,'VK-Biokütused'!$C:$U,2+$E15,0))+IF(FB$5="X",VLOOKUP(FB$10,'VK-Põlevkivi'!$C:$X,2+$G15,0))+IF(FB$4="X",VLOOKUP(FB$10,'VK-Võrgud'!$C:$X,2+$F15,0)))/16</f>
        <v>197.88000309220448</v>
      </c>
      <c r="FC15" s="209">
        <f>IF(FC$7="X",VLOOKUP(FC$10,'VK-Hooned-Soojus'!$C:$X,2+$C15,FALSE),0)+IF(FC$6="X",VLOOKUP(FC$10,'VK-Transport'!$C:$X,2+$B15,0))+IF(FC$8="X",VLOOKUP(FC$10,'VK-Elekter'!$C:$X,2+$D15,0))+IF(FC$9="X",VLOOKUP(FC$10,'VK-Biokütused'!$C:$U,2+$E15,0))+IF(FC$5="X",VLOOKUP(FC$10,'VK-Põlevkivi'!$C:$X,2+$G15,0))+IF(FC$4="X",VLOOKUP(FC$10,'VK-Võrgud'!$C:$X,2+$F15,0))</f>
        <v>339.59999999999997</v>
      </c>
      <c r="FD15" s="209">
        <f>(IF(FD$7="X",VLOOKUP(FD$10,'VK-Hooned-Soojus'!$C:$X,2+$C15,FALSE),0)+IF(FD$6="X",VLOOKUP(FD$10,'VK-Transport'!$C:$X,2+$B15,0))+IF(FD$8="X",VLOOKUP(FD$10,'VK-Elekter'!$C:$X,2+$D15,0))+IF(FD$9="X",VLOOKUP(FD$10,'VK-Biokütused'!$C:$U,2+$E15,0))+IF(FD$5="X",VLOOKUP(FD$10,'VK-Põlevkivi'!$C:$X,2+$G15,0))+IF(FD$4="X",VLOOKUP(FD$10,'VK-Võrgud'!$C:$X,2+$F15,0)))/16</f>
        <v>197.88000309220448</v>
      </c>
      <c r="FE15" s="209">
        <f>(IF(FE$7="X",VLOOKUP(FE$10,'VK-Hooned-Soojus'!$C:$X,2+$C15,FALSE),0)+IF(FE$6="X",VLOOKUP(FE$10,'VK-Transport'!$C:$X,2+$B15,0))+IF(FE$8="X",VLOOKUP(FE$10,'VK-Elekter'!$C:$X,2+$D15,0))+IF(FE$9="X",VLOOKUP(FE$10,'VK-Biokütused'!$C:$U,2+$E15,0))+IF(FE$5="X",VLOOKUP(FE$10,'VK-Põlevkivi'!$C:$X,2+$G15,0))+IF(FE$4="X",VLOOKUP(FE$10,'VK-Võrgud'!$C:$X,2+$F15,0)))/16</f>
        <v>-15.233219880632102</v>
      </c>
      <c r="FF15" s="209">
        <f>(IF(FF$7="X",VLOOKUP(FF$10,'VK-Hooned-Soojus'!$C:$X,2+$C15,FALSE),0)+IF(FF$6="X",VLOOKUP(FF$10,'VK-Transport'!$C:$X,2+$B15,0))+IF(FF$8="X",VLOOKUP(FF$10,'VK-Elekter'!$C:$X,2+$D15,0))+IF(FF$9="X",VLOOKUP(FF$10,'VK-Biokütused'!$C:$U,2+$E15,0))+IF(FF$5="X",VLOOKUP(FF$10,'VK-Põlevkivi'!$C:$X,2+$G15,0))+IF(FF$4="X",VLOOKUP(FF$10,'VK-Võrgud'!$C:$X,2+$F15,0)))/16</f>
        <v>58.143890942812817</v>
      </c>
      <c r="FG15" s="88">
        <f t="shared" ca="1" si="30"/>
        <v>42.910671062180711</v>
      </c>
      <c r="FH15" s="88"/>
      <c r="FI15" s="88"/>
      <c r="FJ15" s="88">
        <f>VLOOKUP(Tulemused!$BN$12,data!M$7:N$12,2,FALSE)-SUM(L15,M15)</f>
        <v>-3.4066444444444528</v>
      </c>
      <c r="FK15" s="209" t="str">
        <f>IF(AZ15&lt;=VLOOKUP(Tulemused!$BN$15,data!$E$36:$F$39,2,FALSE),"JAH","EI")</f>
        <v>JAH</v>
      </c>
      <c r="FL15" s="235">
        <f ca="1">IF(ISNA(MATCH($A15,INDIRECT(VLOOKUP(Tulemused!$BF$11,data!$J$57:$M$71,4,FALSE)))),0,MATCH($A15,INDIRECT(VLOOKUP(Tulemused!$BF$11,data!$J$57:$M$71,4,FALSE))))</f>
        <v>0</v>
      </c>
      <c r="FM15" s="235" t="str">
        <f t="shared" ca="1" si="10"/>
        <v>JAH</v>
      </c>
      <c r="FN15" s="209">
        <f>VLOOKUP(Tulemused!$BN$13,data!$C$132:$D$137,2,FALSE)-KOMBI!R15</f>
        <v>2.5658331784169404</v>
      </c>
      <c r="FO15" s="209"/>
      <c r="FP15" s="209">
        <f>VLOOKUP(Tulemused!$BN$17,NO_x,2,FALSE)-CJ15</f>
        <v>9.227421988425462</v>
      </c>
      <c r="FQ15" s="209">
        <f>VLOOKUP(Tulemused!$BN$18,SO_2,2,FALSE)-CK15</f>
        <v>39.076875437721398</v>
      </c>
      <c r="FR15" s="209">
        <f>VLOOKUP(Tulemused!$BN$19,LOU,2,FALSE)-CN15</f>
        <v>34.054000000000002</v>
      </c>
      <c r="FS15" s="209">
        <f>VLOOKUP(Tulemused!$BN$20,PM_2.5,2,FALSE)-CM15</f>
        <v>8.3492394222510917</v>
      </c>
      <c r="FT15" s="209">
        <f>VLOOKUP(Tulemused!$BN$13,data!$C$132:$D$137,2,FALSE)-FA15/1000</f>
        <v>2.5520630000000004</v>
      </c>
      <c r="FU15" s="209">
        <f>VLOOKUP(Tulemused!$BN$17,NO_x,2,FALSE)-CO15</f>
        <v>3.7743502267145423</v>
      </c>
      <c r="FV15" s="209">
        <f>VLOOKUP(Tulemused!$BN$18,SO_2,2,FALSE)-CP15</f>
        <v>38.058051415704384</v>
      </c>
      <c r="FW15" s="209">
        <f>VLOOKUP(Tulemused!$BN$19,LOU,2,FALSE)-CS15</f>
        <v>33.09384759487839</v>
      </c>
      <c r="FX15" s="209">
        <f>VLOOKUP(Tulemused!$BN$20,PM_2.5,2,FALSE)-CR15</f>
        <v>8.7932466437251957</v>
      </c>
      <c r="FY15" s="209">
        <f>VLOOKUP(Tulemused!$BN$14,KHG_2050,2,FALSE)-EF15</f>
        <v>93.327363178416945</v>
      </c>
      <c r="FZ15" s="231" t="str">
        <f t="shared" ca="1" si="31"/>
        <v>EI</v>
      </c>
      <c r="GA15" s="209"/>
      <c r="GB15" s="209"/>
      <c r="GC15" s="209"/>
      <c r="GD15" s="231"/>
      <c r="GE15" s="87">
        <f t="shared" si="11"/>
        <v>2430</v>
      </c>
      <c r="GF15" s="232" t="str">
        <f t="shared" ca="1" si="32"/>
        <v/>
      </c>
      <c r="GH15" s="238">
        <f t="shared" ca="1" si="12"/>
        <v>584</v>
      </c>
      <c r="GI15" s="87">
        <f t="array" aca="1" ref="GI15" ca="1">INDEX($A$11:$A$145, SMALL(IF(GH15=$GF$11:$GF$145, MATCH(ROW($GF$11:$GF$145), ROW($GF$11:$GF$145))), SUM(--(GH15=$GH$11:GH15))))</f>
        <v>131</v>
      </c>
      <c r="GM15" s="209">
        <f>IF(GM$7="X",VLOOKUP(GM$10,'VK-Hooned-Soojus'!$C:$X,2+$C15,FALSE),0)+IF(GM$6="X",VLOOKUP(GM$10,'VK-Transport'!$C:$X,2+$B15,0))+IF(GM$8="X",VLOOKUP(GM$10,'VK-Elekter'!$C:$X,2+$D15,0))+IF(GM$9="X",VLOOKUP(GM$10,'VK-Biokütused'!$C:$U,2+$E15,0))+IF(GM$5="X",VLOOKUP(GM$10,'VK-Põlevkivi'!$C:$X,2+$G15,0))+IF(GM$4="X",VLOOKUP(GM$10,'VK-Võrgud'!$C:$X,2+$F15,0))</f>
        <v>6.0128279910272253</v>
      </c>
      <c r="GN15" s="209">
        <f>IF(GN$7="X",VLOOKUP(GN$10,'VK-Hooned-Soojus'!$C:$X,2+$C15,FALSE),0)+IF(GN$6="X",VLOOKUP(GN$10,'VK-Transport'!$C:$X,2+$B15,0))+IF(GN$8="X",VLOOKUP(GN$10,'VK-Elekter'!$C:$X,2+$D15,0))+IF(GN$9="X",VLOOKUP(GN$10,'VK-Biokütused'!$C:$U,2+$E15,0))+IF(GN$5="X",VLOOKUP(GN$10,'VK-Põlevkivi'!$C:$X,2+$G15,0))+IF(GN$4="X",VLOOKUP(GN$10,'VK-Võrgud'!$C:$X,2+$F15,0))</f>
        <v>3.4467619395011728</v>
      </c>
      <c r="GO15" s="209">
        <f>IF(GO$7="X",VLOOKUP(GO$10,'VK-Hooned-Soojus'!$C:$X,2+$C15,FALSE),0)+IF(GO$6="X",VLOOKUP(GO$10,'VK-Transport'!$C:$X,2+$B15,0))+IF(GO$8="X",VLOOKUP(GO$10,'VK-Elekter'!$C:$X,2+$D15,0))+IF(GO$9="X",VLOOKUP(GO$10,'VK-Biokütused'!$C:$U,2+$E15,0))+IF(GO$5="X",VLOOKUP(GO$10,'VK-Põlevkivi'!$C:$X,2+$G15,0))+IF(GO$4="X",VLOOKUP(GO$10,'VK-Võrgud'!$C:$X,2+$F15,0))</f>
        <v>8.7471755658278116</v>
      </c>
      <c r="GP15" s="209">
        <f>IF(GP$7="X",VLOOKUP(GP$10,'VK-Hooned-Soojus'!$C:$X,2+$C15,FALSE),0)+IF(GP$6="X",VLOOKUP(GP$10,'VK-Transport'!$C:$X,2+$B15,0))+IF(GP$8="X",VLOOKUP(GP$10,'VK-Elekter'!$C:$X,2+$D15,0))+IF(GP$9="X",VLOOKUP(GP$10,'VK-Biokütused'!$C:$U,2+$E15,0))+IF(GP$5="X",VLOOKUP(GP$10,'VK-Põlevkivi'!$C:$X,2+$G15,0))+IF(GP$4="X",VLOOKUP(GP$10,'VK-Võrgud'!$C:$X,2+$F15,0))</f>
        <v>9.3279335818485372</v>
      </c>
      <c r="GQ15" s="88">
        <f>IF(GQ$7="X",VLOOKUP(GQ$10,'VK-Hooned-Soojus'!$C:$X,2+$C15,FALSE),0)+IF(GQ$6="X",VLOOKUP(GQ$10,'VK-Transport'!$C:$X,2+$B15,0))+IF(GQ$8="X",VLOOKUP(GQ$10,'VK-Elekter'!$C:$X,2+$D15,0))+IF(GQ$9="X",VLOOKUP(GQ$10,'VK-Biokütused'!$C:$U,2+$E15,0))+IF(GQ$5="X",VLOOKUP(GQ$10,'VK-Põlevkivi'!$C:$X,2+$G15,0))+IF(GQ$4="X",VLOOKUP(GQ$10,'VK-Võrgud'!$C:$X,2+$F15,0))</f>
        <v>0.9682855968523334</v>
      </c>
      <c r="GR15" s="186">
        <f t="shared" si="33"/>
        <v>0.37922714679774455</v>
      </c>
    </row>
    <row r="16" spans="1:200" x14ac:dyDescent="0.2">
      <c r="A16" s="184">
        <v>6</v>
      </c>
      <c r="B16" s="87">
        <v>1</v>
      </c>
      <c r="C16" s="87">
        <v>1</v>
      </c>
      <c r="D16" s="87">
        <v>2</v>
      </c>
      <c r="E16" s="87">
        <v>3</v>
      </c>
      <c r="F16" s="87">
        <f>VLOOKUP(Tulemused!$BF$7,data!$J$6:$K$8,2,FALSE)</f>
        <v>2</v>
      </c>
      <c r="G16" s="87">
        <f>VLOOKUP(data!$H$2,data!$J$12:$K$14,2,FALSE)</f>
        <v>2</v>
      </c>
      <c r="I16" s="209">
        <f>IF(I$7="X",VLOOKUP(I$10,'VK-Hooned-Soojus'!$C:$X,2+$C16,FALSE),0)+IF(I$6="X",VLOOKUP(I$10,'VK-Transport'!$C:$X,2+$B16,0))+IF(I$8="X",VLOOKUP(I$10,'VK-Elekter'!$C:$X,2+$D16,0))+IF(I$9="X",VLOOKUP(I$10,'VK-Biokütused'!$C:$U,2+$E16,0))+IF(I$5="X",VLOOKUP(I$10,'VK-Põlevkivi'!$C:$X,2+$G16,0))+IF(I$4="X",VLOOKUP(I$10,'VK-Võrgud'!$C:$X,2+$F16,0))</f>
        <v>26.89</v>
      </c>
      <c r="J16" s="209">
        <f>IF(J$7="X",VLOOKUP(J$10,'VK-Hooned-Soojus'!$C:$X,2+$C16,FALSE),0)+IF(J$6="X",VLOOKUP(J$10,'VK-Transport'!$C:$X,2+$B16,0))+IF(J$8="X",VLOOKUP(J$10,'VK-Elekter'!$C:$X,2+$D16,0))+IF(J$9="X",VLOOKUP(J$10,'VK-Biokütused'!$C:$U,2+$E16,0))+IF(J$5="X",VLOOKUP(J$10,'VK-Põlevkivi'!$C:$X,2+$G16,0))+IF(J$4="X",VLOOKUP(J$10,'VK-Võrgud'!$C:$X,2+$F16,0))</f>
        <v>13.295833333333334</v>
      </c>
      <c r="K16" s="209">
        <f>IF(K$7="X",VLOOKUP(K$10,'VK-Hooned-Soojus'!$C:$X,2+$C16,FALSE),0)+IF(K$6="X",VLOOKUP(K$10,'VK-Transport'!$C:$X,2+$B16,0))+IF(K$8="X",VLOOKUP(K$10,'VK-Elekter'!$C:$X,2+$D16,0))+IF(K$9="X",VLOOKUP(K$10,'VK-Biokütused'!$C:$U,2+$E16,0))+IF(K$5="X",VLOOKUP(K$10,'VK-Põlevkivi'!$C:$X,2+$G16,0))+IF(K$4="X",VLOOKUP(K$10,'VK-Võrgud'!$C:$X,2+$F16,0))</f>
        <v>16.75</v>
      </c>
      <c r="L16" s="209">
        <f>IF(L$7="X",VLOOKUP(L$10,'VK-Hooned-Soojus'!$C:$X,2+$C16,FALSE),0)+IF(L$6="X",VLOOKUP(L$10,'VK-Transport'!$C:$X,2+$B16,0))+IF(L$8="X",VLOOKUP(L$10,'VK-Elekter'!$C:$X,2+$D16,0))+IF(L$9="X",VLOOKUP(L$10,'VK-Biokütused'!$C:$U,2+$E16,0))+IF(L$5="X",VLOOKUP(L$10,'VK-Põlevkivi'!$C:$X,2+$G16,0))+IF(L$4="X",VLOOKUP(L$10,'VK-Võrgud'!$C:$X,2+$F16,0))</f>
        <v>24.95</v>
      </c>
      <c r="M16" s="209">
        <f>IF(M$7="X",VLOOKUP(M$10,'VK-Hooned-Soojus'!$C:$X,2+$C16,FALSE),0)+IF(M$6="X",VLOOKUP(M$10,'VK-Transport'!$C:$X,2+$B16,0))+IF(M$8="X",VLOOKUP(M$10,'VK-Elekter'!$C:$X,2+$D16,0))+IF(M$9="X",VLOOKUP(M$10,'VK-Biokütused'!$C:$U,2+$E16,0))+IF(M$5="X",VLOOKUP(M$10,'VK-Põlevkivi'!$C:$X,2+$G16,0))+IF(M$4="X",VLOOKUP(M$10,'VK-Võrgud'!$C:$X,2+$F16,0))</f>
        <v>11.289444444444445</v>
      </c>
      <c r="N16" s="209">
        <f>IF(N$7="X",VLOOKUP(N$10,'VK-Hooned-Soojus'!$C:$X,2+$C16,FALSE),0)+IF(N$6="X",VLOOKUP(N$10,'VK-Transport'!$C:$X,2+$B16,0))+IF(N$8="X",VLOOKUP(N$10,'VK-Elekter'!$C:$X,2+$D16,0))+IF(N$9="X",VLOOKUP(N$10,'VK-Biokütused'!$C:$U,2+$E16,0))+IF(N$5="X",VLOOKUP(N$10,'VK-Põlevkivi'!$C:$X,2+$G16,0))+IF(N$4="X",VLOOKUP(N$10,'VK-Võrgud'!$C:$X,2+$F16,0))</f>
        <v>16.75</v>
      </c>
      <c r="O16" s="209">
        <f t="shared" si="13"/>
        <v>40.185833333333335</v>
      </c>
      <c r="P16" s="209"/>
      <c r="Q16" s="209">
        <f>(IF(Q$7="X",VLOOKUP(Q$10,'VK-Hooned-Soojus'!$C:$X,2+$C16,FALSE),0)+IF(Q$6="X",VLOOKUP(Q$10,'VK-Transport'!$C:$X,2+$B16,0))+IF(Q$8="X",VLOOKUP(Q$10,'VK-Elekter'!$C:$X,2+$D16,0))+IF(Q$9="X",VLOOKUP(Q$10,'VK-Biokütused'!$C:$U,2+$E16,0))+IF(Q$5="X",VLOOKUP(Q$10,'VK-Põlevkivi'!$C:$X,2+$G16,0))+IF(Q$4="X",VLOOKUP(Q$10,'VK-Võrgud'!$C:$X,2+$F16,0)))/1000</f>
        <v>5.3630000000000004</v>
      </c>
      <c r="R16" s="209">
        <f>(IF(R$7="X",VLOOKUP(R$10,'VK-Hooned-Soojus'!$C:$X,2+$C16,FALSE),0)+IF(R$6="X",VLOOKUP(R$10,'VK-Transport'!$C:$X,2+$B16,0))+IF(R$8="X",VLOOKUP(R$10,'VK-Elekter'!$C:$X,2+$D16,0))+IF(R$9="X",VLOOKUP(R$10,'VK-Biokütused'!$C:$U,2+$E16,0))+IF(R$5="X",VLOOKUP(R$10,'VK-Põlevkivi'!$C:$X,2+$G16,0))+IF(R$4="X",VLOOKUP(R$10,'VK-Võrgud'!$C:$X,2+$F16,0)))/1000</f>
        <v>3.8888368215830607</v>
      </c>
      <c r="S16" s="226">
        <f>VLOOKUP(S$10,'VK-Hooned-Soojus'!$C:$I,2+$C16,FALSE) + VLOOKUP(S$10,'VK-Transport'!$C:$I,2+$B16,FALSE)+ VLOOKUP(S$10,'VK-Biokütused'!$C:$G,2+$E16,FALSE)+ VLOOKUP(S$10,'VK-Elekter'!$C:$I,2+$D16,FALSE)+ VLOOKUP(S$10,'VK-Põlevkivi'!$C:$I,2+$G16,FALSE)+ VLOOKUP(S$10,'VK-Võrgud'!$C:$I,2+$F16,FALSE)</f>
        <v>1.26493948809814E-2</v>
      </c>
      <c r="T16" s="226">
        <f>VLOOKUP(T$10,'VK-Hooned-Soojus'!$C:$I,2+$C16,FALSE) + VLOOKUP(T$10,'VK-Transport'!$C:$I,2+$B16,FALSE)+ VLOOKUP(T$10,'VK-Biokütused'!$C:$G,2+$E16,FALSE)+ VLOOKUP(T$10,'VK-Elekter'!$C:$I,2+$D16,FALSE)+ VLOOKUP(T$10,'VK-Põlevkivi'!$C:$I,2+$G16,FALSE)+ VLOOKUP(T$10,'VK-Võrgud'!$C:$I,2+$F16,FALSE)</f>
        <v>-5.1583058411542055E-3</v>
      </c>
      <c r="U16" s="226">
        <f>VLOOKUP(U$10,'VK-Hooned-Soojus'!$C:$I,2+$C16,FALSE) + VLOOKUP(U$10,'VK-Transport'!$C:$I,2+$B16,FALSE)+ VLOOKUP(U$10,'VK-Biokütused'!$C:$G,2+$E16,FALSE)+ VLOOKUP(U$10,'VK-Elekter'!$C:$I,2+$D16,FALSE)+ VLOOKUP(U$10,'VK-Põlevkivi'!$C:$I,2+$G16,FALSE)+ VLOOKUP(U$10,'VK-Võrgud'!$C:$I,2+$F16,FALSE)</f>
        <v>3.9059554285273135E-3</v>
      </c>
      <c r="V16" s="226">
        <f>VLOOKUP(V$10,'VK-Hooned-Soojus'!$C:$I,2+$C16,FALSE) + VLOOKUP(V$10,'VK-Transport'!$C:$I,2+$B16,FALSE)+ VLOOKUP(V$10,'VK-Biokütused'!$C:$G,2+$E16,FALSE)+ VLOOKUP(V$10,'VK-Elekter'!$C:$I,2+$D16,FALSE)+ VLOOKUP(V$10,'VK-Põlevkivi'!$C:$I,2+$G16,FALSE)+ VLOOKUP(V$10,'VK-Võrgud'!$C:$I,2+$F16,FALSE)</f>
        <v>8.8555553041455553E-3</v>
      </c>
      <c r="W16" s="226">
        <f>VLOOKUP(W$10,'VK-Hooned-Soojus'!$C:$I,2+$C16,FALSE) + VLOOKUP(W$10,'VK-Transport'!$C:$I,2+$B16,FALSE)+ VLOOKUP(W$10,'VK-Biokütused'!$C:$G,2+$E16,FALSE)+ VLOOKUP(W$10,'VK-Elekter'!$C:$I,2+$D16,FALSE)+ VLOOKUP(W$10,'VK-Põlevkivi'!$C:$I,2+$G16,FALSE)+ VLOOKUP(W$10,'VK-Võrgud'!$C:$I,2+$F16,FALSE)</f>
        <v>8.2317829924476466E-3</v>
      </c>
      <c r="X16" s="226">
        <f>VLOOKUP(X$10,'VK-Hooned-Soojus'!$C:$I,2+$C16,FALSE) + VLOOKUP(X$10,'VK-Transport'!$C:$I,2+$B16,FALSE)+ VLOOKUP(X$10,'VK-Biokütused'!$C:$G,2+$E16,FALSE)+ VLOOKUP(X$10,'VK-Elekter'!$C:$I,2+$D16,FALSE)+ VLOOKUP(X$10,'VK-Põlevkivi'!$C:$I,2+$G16,FALSE)+ VLOOKUP(X$10,'VK-Võrgud'!$C:$I,2+$F16,FALSE)</f>
        <v>2.6136324210409702E-3</v>
      </c>
      <c r="Y16" s="226">
        <f>VLOOKUP(Y$10,'VK-Hooned-Soojus'!$C:$I,2+$C16,FALSE) + VLOOKUP(Y$10,'VK-Transport'!$C:$I,2+$B16,FALSE)+ VLOOKUP(Y$10,'VK-Biokütused'!$C:$G,2+$E16,FALSE)+ VLOOKUP(Y$10,'VK-Elekter'!$C:$I,2+$D16,FALSE)+ VLOOKUP(Y$10,'VK-Põlevkivi'!$C:$I,2+$G16,FALSE)+ VLOOKUP(Y$10,'VK-Võrgud'!$C:$I,2+$F16,FALSE)</f>
        <v>2.5977439673575136E-3</v>
      </c>
      <c r="Z16" s="227">
        <f>(S16*Tulemused!$Q$9*10+T16*Tulemused!$Q$10*10+KOMBI!U16*Tulemused!$Q$11*10+KOMBI!V16*Tulemused!$Q$12*10)*Tulemused!$Q$8+-(W16*Tulemused!$Q$14*10+KOMBI!X16*Tulemused!$Q$15*10+KOMBI!Y16*Tulemused!$Q$16*10)*Tulemused!$Q$13</f>
        <v>1.8833763726133721</v>
      </c>
      <c r="AA16" s="228">
        <f>(IF(AA$7="X",VLOOKUP(AA$10,'VK-Hooned-Soojus'!$C:$X,2+$C16,FALSE),0)+IF(AA$6="X",VLOOKUP(AA$10,'VK-Transport'!$C:$X,2+$B16,0))+IF(AA$8="X",VLOOKUP(AA$10,'VK-Elekter'!$C:$X,2+$D16,0))+IF(AA$9="X",VLOOKUP(AA$10,'VK-Biokütused'!$C:$U,2+$E16,0))+IF(AA$5="X",VLOOKUP(AA$10,'VK-Põlevkivi'!$C:$X,2+$G16,0))+IF(AA$4="X",VLOOKUP(AA$10,'VK-Võrgud'!$C:$X,2+$F16,0)))</f>
        <v>3761</v>
      </c>
      <c r="AB16" s="228">
        <f>(IF(AB$7="X",VLOOKUP(AB$10,'VK-Hooned-Soojus'!$C:$X,2+$C16,FALSE),0)+IF(AB$6="X",VLOOKUP(AB$10,'VK-Transport'!$C:$X,2+$B16,0))+IF(AB$8="X",VLOOKUP(AB$10,'VK-Elekter'!$C:$X,2+$D16,0))+IF(AB$9="X",VLOOKUP(AB$10,'VK-Biokütused'!$C:$U,2+$E16,0))+IF(AB$5="X",VLOOKUP(AB$10,'VK-Põlevkivi'!$C:$X,2+$G16,0))+IF(AB$4="X",VLOOKUP(AB$10,'VK-Võrgud'!$C:$X,2+$F16,0)))</f>
        <v>1602</v>
      </c>
      <c r="AC16" s="228">
        <f>(IF(AC$7="X",VLOOKUP(AC$10,'VK-Hooned-Soojus'!$C:$X,2+$C16,FALSE),0)+IF(AC$6="X",VLOOKUP(AC$10,'VK-Transport'!$C:$X,2+$B16,0))+IF(AC$8="X",VLOOKUP(AC$10,'VK-Elekter'!$C:$X,2+$D16,0))+IF(AC$9="X",VLOOKUP(AC$10,'VK-Biokütused'!$C:$U,2+$E16,0))+IF(AC$5="X",VLOOKUP(AC$10,'VK-Põlevkivi'!$C:$X,2+$G16,0))+IF(AC$4="X",VLOOKUP(AC$10,'VK-Võrgud'!$C:$X,2+$F16,0)))</f>
        <v>2346</v>
      </c>
      <c r="AD16" s="228">
        <f>(IF(AD$7="X",VLOOKUP(AD$10,'VK-Hooned-Soojus'!$C:$X,2+$C16,FALSE),0)+IF(AD$6="X",VLOOKUP(AD$10,'VK-Transport'!$C:$X,2+$B16,0))+IF(AD$8="X",VLOOKUP(AD$10,'VK-Elekter'!$C:$X,2+$D16,0))+IF(AD$9="X",VLOOKUP(AD$10,'VK-Biokütused'!$C:$U,2+$E16,0))+IF(AD$5="X",VLOOKUP(AD$10,'VK-Põlevkivi'!$C:$X,2+$G16,0))+IF(AD$4="X",VLOOKUP(AD$10,'VK-Võrgud'!$C:$X,2+$F16,0)))</f>
        <v>586.20000000000005</v>
      </c>
      <c r="AE16" s="228">
        <f>(IF(AE$7="X",VLOOKUP(AE$10,'VK-Hooned-Soojus'!$C:$X,2+$C16,FALSE),0)+IF(AE$6="X",VLOOKUP(AE$10,'VK-Transport'!$C:$X,2+$B16,0))+IF(AE$8="X",VLOOKUP(AE$10,'VK-Elekter'!$C:$X,2+$D16,0))+IF(AE$9="X",VLOOKUP(AE$10,'VK-Biokütused'!$C:$U,2+$E16,0))+IF(AE$5="X",VLOOKUP(AE$10,'VK-Põlevkivi'!$C:$X,2+$G16,0))+IF(AE$4="X",VLOOKUP(AE$10,'VK-Võrgud'!$C:$X,2+$F16,0)))</f>
        <v>812</v>
      </c>
      <c r="AF16" s="228">
        <f>(IF(AF$7="X",VLOOKUP(AF$10,'VK-Hooned-Soojus'!$C:$X,2+$C16,FALSE),0)+IF(AF$6="X",VLOOKUP(AF$10,'VK-Transport'!$C:$X,2+$B16,0))+IF(AF$8="X",VLOOKUP(AF$10,'VK-Elekter'!$C:$X,2+$D16,0))+IF(AF$9="X",VLOOKUP(AF$10,'VK-Biokütused'!$C:$U,2+$E16,0))+IF(AF$5="X",VLOOKUP(AF$10,'VK-Põlevkivi'!$C:$X,2+$G16,0))+IF(AF$4="X",VLOOKUP(AF$10,'VK-Võrgud'!$C:$X,2+$F16,0)))</f>
        <v>2490.6368215830603</v>
      </c>
      <c r="AG16" s="209"/>
      <c r="AH16" s="209">
        <f>IF(AH$7="X",VLOOKUP(AH$10,'VK-Hooned-Soojus'!$C:$X,2+$C16,FALSE),0)+IF(AH$6="X",VLOOKUP(AH$10,'VK-Transport'!$C:$X,2+$B16,0))+IF(AH$8="X",VLOOKUP(AH$10,'VK-Elekter'!$C:$X,2+$D16,0))+IF(AH$9="X",VLOOKUP(AH$10,'VK-Biokütused'!$C:$U,2+$E16,0))+IF(AH$5="X",VLOOKUP(AH$10,'VK-Põlevkivi'!$C:$X,2+$G16,0))+IF(AH$4="X",VLOOKUP(AH$10,'VK-Võrgud'!$C:$X,2+$F16,0))</f>
        <v>11.64</v>
      </c>
      <c r="AI16" s="209">
        <f>IF(AI$7="X",VLOOKUP(AI$10,'VK-Hooned-Soojus'!$C:$X,2+$C16,FALSE),0)+IF(AI$6="X",VLOOKUP(AI$10,'VK-Transport'!$C:$X,2+$B16,0))+IF(AI$8="X",VLOOKUP(AI$10,'VK-Elekter'!$C:$X,2+$D16,0))+IF(AI$9="X",VLOOKUP(AI$10,'VK-Biokütused'!$C:$U,2+$E16,0))+IF(AI$5="X",VLOOKUP(AI$10,'VK-Põlevkivi'!$C:$X,2+$G16,0))+IF(AI$4="X",VLOOKUP(AI$10,'VK-Võrgud'!$C:$X,2+$F16,0))</f>
        <v>2.3100000000000005</v>
      </c>
      <c r="AJ16" s="209">
        <f>IF(AJ$7="X",VLOOKUP(AJ$10,'VK-Hooned-Soojus'!$C:$X,2+$C16,FALSE),0)+IF(AJ$6="X",VLOOKUP(AJ$10,'VK-Transport'!$C:$X,2+$B16,0))+IF(AJ$8="X",VLOOKUP(AJ$10,'VK-Elekter'!$C:$X,2+$D16,0))+IF(AJ$9="X",VLOOKUP(AJ$10,'VK-Biokütused'!$C:$U,2+$E16,0))+IF(AJ$5="X",VLOOKUP(AJ$10,'VK-Põlevkivi'!$C:$X,2+$G16,0))+IF(AJ$4="X",VLOOKUP(AJ$10,'VK-Võrgud'!$C:$X,2+$F16,0))</f>
        <v>9.25</v>
      </c>
      <c r="AK16" s="209">
        <f>IF(AK$7="X",VLOOKUP(AK$10,'VK-Hooned-Soojus'!$C:$X,2+$C16,FALSE),0)+IF(AK$6="X",VLOOKUP(AK$10,'VK-Transport'!$C:$X,2+$B16,0))+IF(AK$8="X",VLOOKUP(AK$10,'VK-Elekter'!$C:$X,2+$D16,0))+IF(AK$9="X",VLOOKUP(AK$10,'VK-Biokütused'!$C:$U,2+$E16,0))+IF(AK$5="X",VLOOKUP(AK$10,'VK-Põlevkivi'!$C:$X,2+$G16,0))+IF(AK$4="X",VLOOKUP(AK$10,'VK-Võrgud'!$C:$X,2+$F16,0))</f>
        <v>2.78</v>
      </c>
      <c r="AL16" s="209">
        <f>IF(AL$7="X",VLOOKUP(AL$10,'VK-Hooned-Soojus'!$C:$X,2+$C16,FALSE),0)+IF(AL$6="X",VLOOKUP(AL$10,'VK-Transport'!$C:$X,2+$B16,0))+IF(AL$8="X",VLOOKUP(AL$10,'VK-Elekter'!$C:$X,2+$D16,0))+IF(AL$9="X",VLOOKUP(AL$10,'VK-Biokütused'!$C:$U,2+$E16,0))+IF(AL$5="X",VLOOKUP(AL$10,'VK-Põlevkivi'!$C:$X,2+$G16,0))+IF(AL$4="X",VLOOKUP(AL$10,'VK-Võrgud'!$C:$X,2+$F16,0))</f>
        <v>7.1999999999999993</v>
      </c>
      <c r="AM16" s="209">
        <f>IF(AM$7="X",VLOOKUP(AM$10,'VK-Hooned-Soojus'!$C:$X,2+$C16,FALSE),0)+IF(AM$6="X",VLOOKUP(AM$10,'VK-Transport'!$C:$X,2+$B16,0))+IF(AM$8="X",VLOOKUP(AM$10,'VK-Elekter'!$C:$X,2+$D16,0))+IF(AM$9="X",VLOOKUP(AM$10,'VK-Biokütused'!$C:$U,2+$E16,0))+IF(AM$5="X",VLOOKUP(AM$10,'VK-Põlevkivi'!$C:$X,2+$G16,0))+IF(AM$4="X",VLOOKUP(AM$10,'VK-Võrgud'!$C:$X,2+$F16,0))</f>
        <v>12.9</v>
      </c>
      <c r="AN16" s="209">
        <f>IF(AN$7="X",VLOOKUP(AN$10,'VK-Hooned-Soojus'!$C:$X,2+$C16,FALSE),0)+IF(AN$6="X",VLOOKUP(AN$10,'VK-Transport'!$C:$X,2+$B16,0))+IF(AN$8="X",VLOOKUP(AN$10,'VK-Elekter'!$C:$X,2+$D16,0))+IF(AN$9="X",VLOOKUP(AN$10,'VK-Biokütused'!$C:$U,2+$E16,0))+IF(AN$5="X",VLOOKUP(AN$10,'VK-Põlevkivi'!$C:$X,2+$G16,0))+IF(AN$4="X",VLOOKUP(AN$10,'VK-Võrgud'!$C:$X,2+$F16,0))</f>
        <v>5.6999999999999993</v>
      </c>
      <c r="AO16" s="209">
        <f>IF(AO$7="X",VLOOKUP(AO$10,'VK-Hooned-Soojus'!$C:$X,2+$C16,FALSE),0)+IF(AO$6="X",VLOOKUP(AO$10,'VK-Transport'!$C:$X,2+$B16,0))+IF(AO$8="X",VLOOKUP(AO$10,'VK-Elekter'!$C:$X,2+$D16,0))+IF(AO$9="X",VLOOKUP(AO$10,'VK-Biokütused'!$C:$U,2+$E16,0))+IF(AO$5="X",VLOOKUP(AO$10,'VK-Põlevkivi'!$C:$X,2+$G16,0))+IF(AO$4="X",VLOOKUP(AO$10,'VK-Võrgud'!$C:$X,2+$F16,0))</f>
        <v>13.56</v>
      </c>
      <c r="AP16" s="209">
        <f>IF(AP$7="X",VLOOKUP(AP$10,'VK-Hooned-Soojus'!$C:$X,2+$C16,FALSE),0)+IF(AP$6="X",VLOOKUP(AP$10,'VK-Transport'!$C:$X,2+$B16,0))+IF(AP$8="X",VLOOKUP(AP$10,'VK-Elekter'!$C:$X,2+$D16,0))+IF(AP$9="X",VLOOKUP(AP$10,'VK-Biokütused'!$C:$U,2+$E16,0))+IF(AP$5="X",VLOOKUP(AP$10,'VK-Põlevkivi'!$C:$X,2+$G16,0))+IF(AP$4="X",VLOOKUP(AP$10,'VK-Võrgud'!$C:$X,2+$F16,0))</f>
        <v>6.78</v>
      </c>
      <c r="AQ16" s="320">
        <f t="shared" si="14"/>
        <v>1.2599999999999998</v>
      </c>
      <c r="AR16" s="209">
        <f>IF(AR$7="X",VLOOKUP(AR$10,'VK-Hooned-Soojus'!$C:$X,2+$C16,FALSE),0)+IF(AR$6="X",VLOOKUP(AR$10,'VK-Transport'!$C:$X,2+$B16,0))+IF(AR$8="X",VLOOKUP(AR$10,'VK-Elekter'!$C:$X,2+$D16,0))+IF(AR$9="X",VLOOKUP(AR$10,'VK-Biokütused'!$C:$U,2+$E16,0))+IF(AR$5="X",VLOOKUP(AR$10,'VK-Põlevkivi'!$C:$X,2+$G16,0))+IF(AR$4="X",VLOOKUP(AR$10,'VK-Võrgud'!$C:$X,2+$F16,0))</f>
        <v>3.4899999999999998</v>
      </c>
      <c r="AS16" s="320">
        <f>VLOOKUP("Kütuste tarbimine @ 2030 - UTTEGAAS",'VK-Hooned-Soojus'!$C:$X,2+$C16,FALSE)/0.172+VLOOKUP("Kütuste tarbimine @ 2030 - UTTEGAAS",'VK-Elekter'!$C:$X,2+$D16,FALSE)/0.172-AR16-AU16</f>
        <v>2.7565116279069759</v>
      </c>
      <c r="AT16" s="209">
        <f>IF(AT$7="X",VLOOKUP(AT$10,'VK-Hooned-Soojus'!$C:$X,2+$C16,FALSE),0)+IF(AT$6="X",VLOOKUP(AT$10,'VK-Transport'!$C:$X,2+$B16,0))+IF(AT$8="X",VLOOKUP(AT$10,'VK-Elekter'!$C:$X,2+$D16,0))+IF(AT$9="X",VLOOKUP(AT$10,'VK-Biokütused'!$C:$U,2+$E16,0))+IF(AT$5="X",VLOOKUP(AT$10,'VK-Põlevkivi'!$C:$X,2+$G16,0))+IF(AT$4="X",VLOOKUP(AT$10,'VK-Võrgud'!$C:$X,2+$F16,0))</f>
        <v>12.004929222526066</v>
      </c>
      <c r="AU16" s="229">
        <f>MAX(0,(VLOOKUP("Kütuste tarbimine @ 2030 - UTTEGAAS",'VK-Hooned-Soojus'!$C:$X,2+$C16,FALSE)/0.172+VLOOKUP("Kütuste tarbimine @ 2030 - UTTEGAAS",'VK-Elekter'!$C:$X,2+$D16,FALSE)/0.172)*0.52-VLOOKUP("Kütuste tarbimine @ 2030 - PÕLEVKIVIÕLI",'VK-Hooned-Soojus'!$C:$X,2+$C16,FALSE))</f>
        <v>4.6837209302325586</v>
      </c>
      <c r="AV16" s="209">
        <f>IF(AV$7="X",VLOOKUP(AV$10,'VK-Hooned-Soojus'!$C:$X,2+$C16,FALSE),0)+IF(AV$6="X",VLOOKUP(AV$10,'VK-Transport'!$C:$X,2+$B16,0))+IF(AV$8="X",VLOOKUP(AV$10,'VK-Elekter'!$C:$X,2+$D16,0))+IF(AV$9="X",VLOOKUP(AV$10,'VK-Biokütused'!$C:$U,2+$E16,0))+IF(AV$5="X",VLOOKUP(AV$10,'VK-Põlevkivi'!$C:$X,2+$G16,0))+IF(AV$4="X",VLOOKUP(AV$10,'VK-Võrgud'!$C:$X,2+$F16,0))</f>
        <v>1.1831224847375093</v>
      </c>
      <c r="AW16" s="209">
        <f>IF(AW$7="X",VLOOKUP(AW$10,'VK-Hooned-Soojus'!$C:$X,2+$C16,FALSE),0)+IF(AW$6="X",VLOOKUP(AW$10,'VK-Transport'!$C:$X,2+$B16,0))+IF(AW$8="X",VLOOKUP(AW$10,'VK-Elekter'!$C:$X,2+$D16,0))+IF(AW$9="X",VLOOKUP(AW$10,'VK-Biokütused'!$C:$U,2+$E16,0))+IF(AW$5="X",VLOOKUP(AW$10,'VK-Põlevkivi'!$C:$X,2+$G16,0))+IF(AW$4="X",VLOOKUP(AW$10,'VK-Võrgud'!$C:$X,2+$F16,0))</f>
        <v>4.2799999999999994</v>
      </c>
      <c r="AX16" s="229">
        <f t="shared" si="34"/>
        <v>3.0968775152624901</v>
      </c>
      <c r="AY16" s="229">
        <f t="shared" si="15"/>
        <v>0</v>
      </c>
      <c r="AZ16" s="230">
        <f t="shared" si="0"/>
        <v>0.58730807047222278</v>
      </c>
      <c r="BA16" s="209">
        <f>IF(BA$7="X",VLOOKUP(BA$10,'VK-Hooned-Soojus'!$C:$X,2+$C16,FALSE),0)+IF(BA$6="X",VLOOKUP(BA$10,'VK-Transport'!$C:$X,2+$B16,0))+IF(BA$8="X",VLOOKUP(BA$10,'VK-Elekter'!$C:$X,2+$D16,0))+IF(BA$9="X",VLOOKUP(BA$10,'VK-Biokütused'!$C:$U,2+$E16,0))+IF(BA$5="X",VLOOKUP(BA$10,'VK-Põlevkivi'!$C:$X,2+$G16,0))+IF(BA$4="X",VLOOKUP(BA$10,'VK-Võrgud'!$C:$X,2+$F16,0))</f>
        <v>4.25</v>
      </c>
      <c r="BB16" s="209">
        <f>IF(BB$7="X",VLOOKUP(BB$10,'VK-Hooned-Soojus'!$C:$X,2+$C16,FALSE),0)+IF(BB$6="X",VLOOKUP(BB$10,'VK-Transport'!$C:$X,2+$B16,0))+IF(BB$8="X",VLOOKUP(BB$10,'VK-Elekter'!$C:$X,2+$D16,0))+IF(BB$9="X",VLOOKUP(BB$10,'VK-Biokütused'!$C:$U,2+$E16,0))+IF(BB$5="X",VLOOKUP(BB$10,'VK-Põlevkivi'!$C:$X,2+$G16,0))+IF(BB$4="X",VLOOKUP(BB$10,'VK-Võrgud'!$C:$X,2+$F16,0))</f>
        <v>2.93</v>
      </c>
      <c r="BC16" s="209">
        <f>IF(BC$7="X",VLOOKUP(BC$10,'VK-Hooned-Soojus'!$C:$X,2+$C16,FALSE),0)+IF(BC$6="X",VLOOKUP(BC$10,'VK-Transport'!$C:$X,2+$B16,0))+IF(BC$8="X",VLOOKUP(BC$10,'VK-Elekter'!$C:$X,2+$D16,0))+IF(BC$9="X",VLOOKUP(BC$10,'VK-Biokütused'!$C:$U,2+$E16,0))+IF(BC$5="X",VLOOKUP(BC$10,'VK-Põlevkivi'!$C:$X,2+$G16,0))+IF(BC$4="X",VLOOKUP(BC$10,'VK-Võrgud'!$C:$X,2+$F16,0))</f>
        <v>8.0523611111111126</v>
      </c>
      <c r="BD16" s="209">
        <f>IF(BD$7="X",VLOOKUP(BD$10,'VK-Hooned-Soojus'!$C:$X,2+$C16,FALSE),0)+IF(BD$6="X",VLOOKUP(BD$10,'VK-Transport'!$C:$X,2+$B16,0))+IF(BD$8="X",VLOOKUP(BD$10,'VK-Elekter'!$C:$X,2+$D16,0))+IF(BD$9="X",VLOOKUP(BD$10,'VK-Biokütused'!$C:$U,2+$E16,0))+IF(BD$5="X",VLOOKUP(BD$10,'VK-Põlevkivi'!$C:$X,2+$G16,0))+IF(BD$4="X",VLOOKUP(BD$10,'VK-Võrgud'!$C:$X,2+$F16,0))</f>
        <v>10.42138888888889</v>
      </c>
      <c r="BE16" s="230"/>
      <c r="BF16" s="229">
        <f t="shared" si="16"/>
        <v>0.31062542735309201</v>
      </c>
      <c r="BG16" s="209" t="e">
        <f>(IF(BG$7="X",VLOOKUP(BG$10,'VK-Hooned-Soojus'!$C:$X,2+$C16,FALSE),0)+IF(BG$6="X",VLOOKUP(BG$10,'VK-Transport'!$C:$X,2+$B16,0))+IF(BG$8="X",VLOOKUP(BG$10,'VK-Elekter'!$C:$X,2+$D16,0))+IF(BG$9="X",VLOOKUP(BG$10,'VK-Biokütused'!$C:$U,2+$E16,0))+IF(BG$5="X",VLOOKUP(BG$10,'VK-Põlevkivi'!$C:$X,2+$G16,0))+IF(BG$4="X",VLOOKUP(BG$10,'VK-Võrgud'!$C:$X,2+$F16,0)))/20</f>
        <v>#N/A</v>
      </c>
      <c r="BH16" s="209">
        <f>(IF(BH$7="X",VLOOKUP(BH$10,'VK-Hooned-Soojus'!$C:$X,2+$C16,FALSE),0)+IF(BH$6="X",VLOOKUP(BH$10,'VK-Transport'!$C:$X,2+$B16,0))+IF(BH$8="X",VLOOKUP(BH$10,'VK-Elekter'!$C:$X,2+$D16,0))+IF(BH$9="X",VLOOKUP(BH$10,'VK-Biokütused'!$C:$U,2+$E16,0))+IF(BH$5="X",VLOOKUP(BH$10,'VK-Põlevkivi'!$C:$X,2+$G16,0))+IF(BH$4="X",VLOOKUP(BH$10,'VK-Võrgud'!$C:$X,2+$F16,0)))/20</f>
        <v>13.99</v>
      </c>
      <c r="BI16" s="209">
        <f>(IF(BI$7="X",VLOOKUP(BI$10,'VK-Hooned-Soojus'!$C:$X,2+$C16,FALSE),0)+IF(BI$6="X",VLOOKUP(BI$10,'VK-Transport'!$C:$X,2+$B16,0))+IF(BI$8="X",VLOOKUP(BI$10,'VK-Elekter'!$C:$X,2+$D16,0))+IF(BI$9="X",VLOOKUP(BI$10,'VK-Biokütused'!$C:$U,2+$E16,0))+IF(BI$5="X",VLOOKUP(BI$10,'VK-Põlevkivi'!$C:$X,2+$G16,0))+IF(BI$4="X",VLOOKUP(BI$10,'VK-Võrgud'!$C:$X,2+$F16,0)))/16</f>
        <v>17.75</v>
      </c>
      <c r="BJ16" s="209">
        <f>(IF(BJ$7="X",VLOOKUP(BJ$10,'VK-Hooned-Soojus'!$C:$X,2+$C16,FALSE),0)+IF(BJ$6="X",VLOOKUP(BJ$10,'VK-Transport'!$C:$X,2+$B16,0))+IF(BJ$8="X",VLOOKUP(BJ$10,'VK-Elekter'!$C:$X,2+$D16,0))+IF(BJ$9="X",VLOOKUP(BJ$10,'VK-Biokütused'!$C:$U,2+$E16,0))+IF(BJ$5="X",VLOOKUP(BJ$10,'VK-Põlevkivi'!$C:$X,2+$G16,0))+IF(BJ$4="X",VLOOKUP(BJ$10,'VK-Võrgud'!$C:$X,2+$F16,0)))/20</f>
        <v>1.85</v>
      </c>
      <c r="BK16" s="209"/>
      <c r="BL16" s="209"/>
      <c r="BM16" s="209"/>
      <c r="BN16" s="209" t="e">
        <f>(IF(BN$7="X",VLOOKUP(BN$10,'VK-Hooned-Soojus'!$C:$X,2+$C16,FALSE),0)+IF(BN$6="X",VLOOKUP(BN$10,'VK-Transport'!$C:$X,2+$B16,0))+IF(BN$8="X",VLOOKUP(BN$10,'VK-Elekter'!$C:$X,2+$D16,0))+IF(BN$9="X",VLOOKUP(BN$10,'VK-Biokütused'!$C:$U,2+$E16,0))+IF(BN$5="X",VLOOKUP(BN$10,'VK-Põlevkivi'!$C:$X,2+$G16,0))+IF(BN$4="X",VLOOKUP(BN$10,'VK-Võrgud'!$C:$X,2+$F16,0)))/16</f>
        <v>#N/A</v>
      </c>
      <c r="BO16" s="209">
        <f>(IF(BO$7="X",VLOOKUP(BO$10,'VK-Hooned-Soojus'!$C:$X,2+$C16,FALSE),0)+IF(BO$6="X",VLOOKUP(BO$10,'VK-Transport'!$C:$X,2+$B16,0))+IF(BO$8="X",VLOOKUP(BO$10,'VK-Elekter'!$C:$X,2+$D16,0))+IF(BO$9="X",VLOOKUP(BO$10,'VK-Biokütused'!$C:$U,2+$E16,0))+IF(BO$5="X",VLOOKUP(BO$10,'VK-Põlevkivi'!$C:$X,2+$G16,0))+IF(BO$4="X",VLOOKUP(BO$10,'VK-Võrgud'!$C:$X,2+$F16,0)))/16</f>
        <v>496.33125000000001</v>
      </c>
      <c r="BP16" s="209"/>
      <c r="BQ16" s="209">
        <f>(IF(BQ$7="X",VLOOKUP(BQ$10,'VK-Hooned-Soojus'!$C:$X,2+$C16,FALSE),0)+IF(BQ$6="X",VLOOKUP(BQ$10,'VK-Transport'!$C:$X,2+$B16,0))+IF(BQ$8="X",VLOOKUP(BQ$10,'VK-Elekter'!$C:$X,2+$D16,0))+IF(BQ$9="X",VLOOKUP(BQ$10,'VK-Biokütused'!$C:$U,2+$E16,0))+IF(BQ$5="X",VLOOKUP(BQ$10,'VK-Põlevkivi'!$C:$X,2+$G16,0))+IF(BQ$4="X",VLOOKUP(BQ$10,'VK-Võrgud'!$C:$X,2+$F16,0)))/16</f>
        <v>4.7249999999999996</v>
      </c>
      <c r="BR16" s="209">
        <f>(IF(BR$7="X",VLOOKUP(BR$10,'VK-Hooned-Soojus'!$C:$X,2+$C16,FALSE),0)+IF(BR$6="X",VLOOKUP(BR$10,'VK-Transport'!$C:$X,2+$B16,0))+IF(BR$8="X",VLOOKUP(BR$10,'VK-Elekter'!$C:$X,2+$D16,0))+IF(BR$9="X",VLOOKUP(BR$10,'VK-Biokütused'!$C:$U,2+$E16,0))+IF(BR$5="X",VLOOKUP(BR$10,'VK-Põlevkivi'!$C:$X,2+$G16,0))+IF(BR$4="X",VLOOKUP(BR$10,'VK-Võrgud'!$C:$X,2+$F16,0)))/16</f>
        <v>-74.512500000000003</v>
      </c>
      <c r="BS16" s="209">
        <f>(IF(BS$7="X",VLOOKUP(BS$10,'VK-Hooned-Soojus'!$C:$X,2+$C16,FALSE),0)+IF(BS$6="X",VLOOKUP(BS$10,'VK-Transport'!$C:$X,2+$B16,0))+IF(BS$8="X",VLOOKUP(BS$10,'VK-Elekter'!$C:$X,2+$D16,0))+IF(BS$9="X",VLOOKUP(BS$10,'VK-Biokütused'!$C:$U,2+$E16,0))+IF(BS$5="X",VLOOKUP(BS$10,'VK-Põlevkivi'!$C:$X,2+$G16,0))+IF(BS$4="X",VLOOKUP(BS$10,'VK-Võrgud'!$C:$X,2+$F16,0)))/16</f>
        <v>-100.68125000000001</v>
      </c>
      <c r="BT16" s="209"/>
      <c r="BU16" s="209"/>
      <c r="BV16" s="209">
        <f>(IF(BV$7="X",VLOOKUP(BV$10,'VK-Hooned-Soojus'!$C:$X,2+$C16,FALSE),0)+IF(BV$6="X",VLOOKUP(BV$10,'VK-Transport'!$C:$X,2+$B16,0))+IF(BV$8="X",VLOOKUP(BV$10,'VK-Elekter'!$C:$X,2+$D16,0))+IF(BV$9="X",VLOOKUP(BV$10,'VK-Biokütused'!$C:$U,2+$E16,0))+IF(BV$5="X",VLOOKUP(BV$10,'VK-Põlevkivi'!$C:$X,2+$G16,0))+IF(BV$4="X",VLOOKUP(BV$10,'VK-Võrgud'!$C:$X,2+$F16,0)))/16</f>
        <v>0</v>
      </c>
      <c r="BW16" s="209"/>
      <c r="BX16" s="209">
        <f>(IF(BX$7="X",VLOOKUP(BX$10,'VK-Hooned-Soojus'!$C:$X,2+$C16,FALSE),0)+IF(BX$6="X",VLOOKUP(BX$10,'VK-Transport'!$C:$X,2+$B16,0))+IF(BX$8="X",VLOOKUP(BX$10,'VK-Elekter'!$C:$X,2+$D16,0))+IF(BX$9="X",VLOOKUP(BX$10,'VK-Biokütused'!$C:$U,2+$E16,0))+IF(BX$5="X",VLOOKUP(BX$10,'VK-Põlevkivi'!$C:$X,2+$G16,0))+IF(BX$4="X",VLOOKUP(BX$10,'VK-Võrgud'!$C:$X,2+$F16,0)))/16</f>
        <v>-99.75</v>
      </c>
      <c r="BY16" s="209"/>
      <c r="BZ16" s="209"/>
      <c r="CA16" s="209" t="e">
        <f>(IF(CA$7="X",VLOOKUP(CA$10,'VK-Hooned-Soojus'!$C:$X,2+$C16,FALSE),0)+IF(CA$6="X",VLOOKUP(CA$10,'VK-Transport'!$C:$X,2+$B16,0))+IF(CA$8="X",VLOOKUP(CA$10,'VK-Elekter'!$C:$X,2+$D16,0))+IF(CA$9="X",VLOOKUP(CA$10,'VK-Biokütused'!$C:$U,2+$E16,0))+IF(CA$5="X",VLOOKUP(CA$10,'VK-Põlevkivi'!$C:$X,2+$G16,0))+IF(CA$4="X",VLOOKUP(CA$10,'VK-Võrgud'!$C:$X,2+$F16,0)))/16</f>
        <v>#N/A</v>
      </c>
      <c r="CB16" s="209">
        <f>(IF(CB$7="X",VLOOKUP(CB$10,'VK-Hooned-Soojus'!$C:$X,2+$C16,FALSE),0)+IF(CB$6="X",VLOOKUP(CB$10,'VK-Transport'!$C:$X,2+$B16,0))+IF(CB$8="X",VLOOKUP(CB$10,'VK-Elekter'!$C:$X,2+$D16,0))+IF(CB$9="X",VLOOKUP(CB$10,'VK-Biokütused'!$C:$U,2+$E16,0))+IF(CB$5="X",VLOOKUP(CB$10,'VK-Põlevkivi'!$C:$X,2+$G16,0))+IF(CB$4="X",VLOOKUP(CB$10,'VK-Võrgud'!$C:$X,2+$F16,0)))/16</f>
        <v>0</v>
      </c>
      <c r="CC16" s="209">
        <f>(IF(CC$7="X",VLOOKUP(CC$10,'VK-Hooned-Soojus'!$C:$X,2+$C16,FALSE),0)+IF(CC$6="X",VLOOKUP(CC$10,'VK-Transport'!$C:$X,2+$B16,0))+IF(CC$8="X",VLOOKUP(CC$10,'VK-Elekter'!$C:$X,2+$D16,0))+IF(CC$9="X",VLOOKUP(CC$10,'VK-Biokütused'!$C:$U,2+$E16,0))+IF(CC$5="X",VLOOKUP(CC$10,'VK-Põlevkivi'!$C:$X,2+$G16,0))+IF(CC$4="X",VLOOKUP(CC$10,'VK-Võrgud'!$C:$X,2+$F16,0)))/16</f>
        <v>0</v>
      </c>
      <c r="CD16" s="209"/>
      <c r="CE16" s="209">
        <f>(IF(CE$7="X",VLOOKUP(CE$10,'VK-Hooned-Soojus'!$C:$X,2+$C16,FALSE),0)+IF(CE$6="X",VLOOKUP(CE$10,'VK-Transport'!$C:$X,2+$B16,0))+IF(CE$8="X",VLOOKUP(CE$10,'VK-Elekter'!$C:$X,2+$D16,0))+IF(CE$9="X",VLOOKUP(CE$10,'VK-Biokütused'!$C:$U,2+$E16,0))+IF(CE$5="X",VLOOKUP(CE$10,'VK-Põlevkivi'!$C:$X,2+$G16,0))+IF(CE$4="X",VLOOKUP(CE$10,'VK-Võrgud'!$C:$X,2+$F16,0)))/16</f>
        <v>24.15625</v>
      </c>
      <c r="CF16" s="209"/>
      <c r="CG16" s="209">
        <f>(IF(CG$7="X",VLOOKUP(CG$10,'VK-Hooned-Soojus'!$C:$X,2+$C16,FALSE),0)+IF(CG$6="X",VLOOKUP(CG$10,'VK-Transport'!$C:$X,2+$B16,0))+IF(CG$8="X",VLOOKUP(CG$10,'VK-Elekter'!$C:$X,2+$D16,0))+IF(CG$9="X",VLOOKUP(CG$10,'VK-Biokütused'!$C:$U,2+$E16,0))+IF(CG$5="X",VLOOKUP(CG$10,'VK-Põlevkivi'!$C:$X,2+$G16,0))+IF(CG$4="X",VLOOKUP(CG$10,'VK-Võrgud'!$C:$X,2+$F16,0)))/16</f>
        <v>0</v>
      </c>
      <c r="CH16" s="209">
        <f>(IF(CH$7="X",VLOOKUP(CH$10,'VK-Hooned-Soojus'!$C:$X,2+$C16,FALSE),0)+IF(CH$6="X",VLOOKUP(CH$10,'VK-Transport'!$C:$X,2+$B16,0))+IF(CH$8="X",VLOOKUP(CH$10,'VK-Elekter'!$C:$X,2+$D16,0))+IF(CH$9="X",VLOOKUP(CH$10,'VK-Biokütused'!$C:$U,2+$E16,0))+IF(CH$5="X",VLOOKUP(CH$10,'VK-Põlevkivi'!$C:$X,2+$G16,0))+IF(CH$4="X",VLOOKUP(CH$10,'VK-Võrgud'!$C:$X,2+$F16,0)))/20*0.21</f>
        <v>5.6122500000000004</v>
      </c>
      <c r="CI16" s="209"/>
      <c r="CJ16" s="209">
        <f>(IF(CJ$7="X",VLOOKUP(CJ$10,'VK-Hooned-Soojus'!$C:$X,2+$C16,FALSE),0)+IF(CJ$6="X",VLOOKUP(CJ$10,'VK-Transport'!$C:$X,2+$B16,0))+IF(CJ$8="X",VLOOKUP(CJ$10,'VK-Elekter'!$C:$X,2+$D16,0))+IF(CJ$9="X",VLOOKUP(CJ$10,'VK-Biokütused'!$C:$U,2+$E16,0))+IF(CJ$5="X",VLOOKUP(CJ$10,'VK-Põlevkivi'!$C:$X,2+$G16,0))+IF(CJ$4="X",VLOOKUP(CJ$10,'VK-Võrgud'!$C:$X,2+$F16,0)))/1000</f>
        <v>20.210578011574537</v>
      </c>
      <c r="CK16" s="209">
        <f>(IF(CK$7="X",VLOOKUP(CK$10,'VK-Hooned-Soojus'!$C:$X,2+$C16,FALSE),0)+IF(CK$6="X",VLOOKUP(CK$10,'VK-Transport'!$C:$X,2+$B16,0))+IF(CK$8="X",VLOOKUP(CK$10,'VK-Elekter'!$C:$X,2+$D16,0))+IF(CK$9="X",VLOOKUP(CK$10,'VK-Biokütused'!$C:$U,2+$E16,0))+IF(CK$5="X",VLOOKUP(CK$10,'VK-Põlevkivi'!$C:$X,2+$G16,0))+IF(CK$4="X",VLOOKUP(CK$10,'VK-Võrgud'!$C:$X,2+$F16,0)))/1000</f>
        <v>12.807124562278599</v>
      </c>
      <c r="CL16" s="235">
        <f>(IF(CL$7="X",VLOOKUP(CL$10,'VK-Hooned-Soojus'!$C:$X,2+$C16,FALSE),0)+IF(CL$6="X",VLOOKUP(CL$10,'VK-Transport'!$C:$X,2+$B16,0))+IF(CL$8="X",VLOOKUP(CL$10,'VK-Elekter'!$C:$X,2+$D16,0))+IF(CL$9="X",VLOOKUP(CL$10,'VK-Biokütused'!$C:$U,2+$E16,0)))/1000</f>
        <v>9.5927140697148801</v>
      </c>
      <c r="CM16" s="209">
        <f>(IF(CM$7="X",VLOOKUP(CM$10,'VK-Hooned-Soojus'!$C:$X,2+$C16,FALSE),0)+IF(CM$6="X",VLOOKUP(CM$10,'VK-Transport'!$C:$X,2+$B16,0))+IF(CM$8="X",VLOOKUP(CM$10,'VK-Elekter'!$C:$X,2+$D16,0))+IF(CM$9="X",VLOOKUP(CM$10,'VK-Biokütused'!$C:$U,2+$E16,0))+IF(CM$5="X",VLOOKUP(CM$10,'VK-Põlevkivi'!$C:$X,2+$G16,0))+IF(CM$4="X",VLOOKUP(CM$10,'VK-Võrgud'!$C:$X,2+$F16,0)))/1000</f>
        <v>8.5657605777489074</v>
      </c>
      <c r="CN16" s="209">
        <f>(IF(CN$7="X",VLOOKUP(CN$10,'VK-Hooned-Soojus'!$C:$X,2+$C16,FALSE),0)+IF(CN$6="X",VLOOKUP(CN$10,'VK-Transport'!$C:$X,2+$B16,0))+IF(CN$8="X",VLOOKUP(CN$10,'VK-Elekter'!$C:$X,2+$D16,0))+IF(CN$9="X",VLOOKUP(CN$10,'VK-Biokütused'!$C:$U,2+$E16,0))+IF(CN$5="X",VLOOKUP(CN$10,'VK-Põlevkivi'!$C:$X,2+$G16,0))+IF(CN$4="X",VLOOKUP(CN$10,'VK-Võrgud'!$C:$X,2+$F16,0)))/1000</f>
        <v>3.0259999999999998</v>
      </c>
      <c r="CO16" s="209">
        <f>(IF(CO$7="X",VLOOKUP(CO$10,'VK-Hooned-Soojus'!$C:$X,2+$C16,FALSE),0)+IF(CO$6="X",VLOOKUP(CO$10,'VK-Transport'!$C:$X,2+$B16,0))+IF(CO$8="X",VLOOKUP(CO$10,'VK-Elekter'!$C:$X,2+$D16,0))+IF(CO$9="X",VLOOKUP(CO$10,'VK-Biokütused'!$C:$U,2+$E16,0))+IF(CO$5="X",VLOOKUP(CO$10,'VK-Põlevkivi'!$C:$X,2+$G16,0))+IF(CO$4="X",VLOOKUP(CO$10,'VK-Võrgud'!$C:$X,2+$F16,0)))/1000</f>
        <v>25.663649773285456</v>
      </c>
      <c r="CP16" s="209">
        <f>(IF(CP$7="X",VLOOKUP(CP$10,'VK-Hooned-Soojus'!$C:$X,2+$C16,FALSE),0)+IF(CP$6="X",VLOOKUP(CP$10,'VK-Transport'!$C:$X,2+$B16,0))+IF(CP$8="X",VLOOKUP(CP$10,'VK-Elekter'!$C:$X,2+$D16,0))+IF(CP$9="X",VLOOKUP(CP$10,'VK-Biokütused'!$C:$U,2+$E16,0))+IF(CP$5="X",VLOOKUP(CP$10,'VK-Põlevkivi'!$C:$X,2+$G16,0))+IF(CP$4="X",VLOOKUP(CP$10,'VK-Võrgud'!$C:$X,2+$F16,0)))/1000</f>
        <v>13.825948584295613</v>
      </c>
      <c r="CQ16" s="235">
        <f>(IF(CQ$7="X",VLOOKUP(CQ$10,'VK-Hooned-Soojus'!$C:$X,2+$C16,FALSE),0)+IF(CQ$6="X",VLOOKUP(CQ$10,'VK-Transport'!$C:$X,2+$B16,0))+IF(CQ$8="X",VLOOKUP(CQ$10,'VK-Elekter'!$C:$X,2+$D16,0))+IF(CQ$9="X",VLOOKUP(CQ$10,'VK-Biokütused'!$C:$U,2+$E16,0)))/1000</f>
        <v>11.216906999999999</v>
      </c>
      <c r="CR16" s="209">
        <f>(IF(CR$7="X",VLOOKUP(CR$10,'VK-Hooned-Soojus'!$C:$X,2+$C16,FALSE),0)+IF(CR$6="X",VLOOKUP(CR$10,'VK-Transport'!$C:$X,2+$B16,0))+IF(CR$8="X",VLOOKUP(CR$10,'VK-Elekter'!$C:$X,2+$D16,0))+IF(CR$9="X",VLOOKUP(CR$10,'VK-Biokütused'!$C:$U,2+$E16,0))+IF(CR$5="X",VLOOKUP(CR$10,'VK-Põlevkivi'!$C:$X,2+$G16,0))+IF(CR$4="X",VLOOKUP(CR$10,'VK-Võrgud'!$C:$X,2+$F16,0)))/1000</f>
        <v>8.1217533562748034</v>
      </c>
      <c r="CS16" s="209">
        <f>(IF(CS$7="X",VLOOKUP(CS$10,'VK-Hooned-Soojus'!$C:$X,2+$C16,FALSE),0)+IF(CS$6="X",VLOOKUP(CS$10,'VK-Transport'!$C:$X,2+$B16,0))+IF(CS$8="X",VLOOKUP(CS$10,'VK-Elekter'!$C:$X,2+$D16,0))+IF(CS$9="X",VLOOKUP(CS$10,'VK-Biokütused'!$C:$U,2+$E16,0))+IF(CS$5="X",VLOOKUP(CS$10,'VK-Põlevkivi'!$C:$X,2+$G16,0))+IF(CS$4="X",VLOOKUP(CS$10,'VK-Võrgud'!$C:$X,2+$F16,0)))/1000</f>
        <v>3.9861524051216151</v>
      </c>
      <c r="CT16" s="209">
        <f>IF(CT$7="X",VLOOKUP(CT$10,'VK-Hooned-Soojus'!$C:$X,2+$C16,FALSE),0)+IF(CT$6="X",VLOOKUP(CT$10,'VK-Transport'!$C:$X,2+$B16,0))+IF(CT$8="X",VLOOKUP(CT$10,'VK-Elekter'!$C:$X,2+$D16,0))+IF(CT$9="X",VLOOKUP(CT$10,'VK-Biokütused'!$C:$U,2+$E16,0))+IF(CT$5="X",VLOOKUP(CT$10,'VK-Põlevkivi'!$C:$X,2+$G16,0))+IF(CT$4="X",VLOOKUP(CT$10,'VK-Võrgud'!$C:$X,2+$F16,0))</f>
        <v>90</v>
      </c>
      <c r="CU16" s="209">
        <f>IF(CU$7="X",VLOOKUP(CU$10,'VK-Hooned-Soojus'!$C:$X,2+$C16,FALSE),0)+IF(CU$6="X",VLOOKUP(CU$10,'VK-Transport'!$C:$X,2+$B16,0))+IF(CU$8="X",VLOOKUP(CU$10,'VK-Elekter'!$C:$X,2+$D16,0))+IF(CU$9="X",VLOOKUP(CU$10,'VK-Biokütused'!$C:$U,2+$E16,0))+IF(CU$5="X",VLOOKUP(CU$10,'VK-Põlevkivi'!$C:$X,2+$G16,0))+IF(CU$4="X",VLOOKUP(CU$10,'VK-Võrgud'!$C:$X,2+$F16,0))</f>
        <v>0.72088353413654627</v>
      </c>
      <c r="CV16" s="209">
        <f t="shared" si="1"/>
        <v>0.91028830406496786</v>
      </c>
      <c r="CW16" s="209">
        <f>(IF(CW$7="X",VLOOKUP(CW$10,'VK-Hooned-Soojus'!$C:$X,2+$C16,FALSE),0)+IF(CW$6="X",VLOOKUP(CW$10,'VK-Transport'!$C:$X,2+$B16,0))+IF(CW$8="X",VLOOKUP(CW$10,'VK-Elekter'!$C:$X,2+$D16,0))+IF(CW$9="X",VLOOKUP(CW$10,'VK-Biokütused'!$C:$U,2+$E16,0))+IF(CW$5="X",VLOOKUP(CW$10,'VK-Põlevkivi'!$C:$X,2+$G16,0))+IF(CW$4="X",VLOOKUP(CW$10,'VK-Võrgud'!$C:$X,2+$F16,0)))/16</f>
        <v>126.01875</v>
      </c>
      <c r="CY16" s="209">
        <f>(IF(CY$7="X",VLOOKUP(CY$10,'VK-Hooned-Soojus'!$C:$X,2+$C16,FALSE),0)+IF(CY$6="X",VLOOKUP(CY$10,'VK-Transport'!$C:$X,2+$B16,0))+IF(CY$8="X",VLOOKUP(CY$10,'VK-Elekter'!$C:$X,2+$D16,0))+IF(CY$9="X",VLOOKUP(CY$10,'VK-Biokütused'!$C:$U,2+$E16,0))+IF(CY$5="X",VLOOKUP(CY$10,'VK-Põlevkivi'!$C:$X,2+$G16,0))+IF(CY$4="X",VLOOKUP(CY$10,'VK-Võrgud'!$C:$X,2+$F16,0)))/1000</f>
        <v>11.726000000000001</v>
      </c>
      <c r="CZ16" s="209">
        <f>(IF(CZ$7="X",VLOOKUP(CZ$10,'VK-Hooned-Soojus'!$C:$X,2+$C16,FALSE),0)+IF(CZ$6="X",VLOOKUP(CZ$10,'VK-Transport'!$C:$X,2+$B16,0))+IF(CZ$8="X",VLOOKUP(CZ$10,'VK-Elekter'!$C:$X,2+$D16,0))+IF(CZ$9="X",VLOOKUP(CZ$10,'VK-Biokütused'!$C:$U,2+$E16,0))+IF(CZ$5="X",VLOOKUP(CZ$10,'VK-Põlevkivi'!$C:$X,2+$G16,0))+IF(CZ$4="X",VLOOKUP(CZ$10,'VK-Võrgud'!$C:$X,2+$F16,0)))</f>
        <v>81</v>
      </c>
      <c r="DA16" s="209">
        <f>(IF(DA$7="X",VLOOKUP(DA$10,'VK-Hooned-Soojus'!$C:$X,2+$C16,FALSE),0)+IF(DA$6="X",VLOOKUP(DA$10,'VK-Transport'!$C:$X,2+$B16,0))+IF(DA$8="X",VLOOKUP(DA$10,'VK-Elekter'!$C:$X,2+$D16,0))+IF(DA$9="X",VLOOKUP(DA$10,'VK-Biokütused'!$C:$U,2+$E16,0))+IF(DA$5="X",VLOOKUP(DA$10,'VK-Põlevkivi'!$C:$X,2+$G16,0))+IF(DA$4="X",VLOOKUP(DA$10,'VK-Võrgud'!$C:$X,2+$F16,0)))/1000</f>
        <v>15.715999999999999</v>
      </c>
      <c r="DB16" s="209">
        <f>(IF(DB$7="X",VLOOKUP(DB$10,'VK-Hooned-Soojus'!$C:$X,2+$C16,FALSE),0)+IF(DB$6="X",VLOOKUP(DB$10,'VK-Transport'!$C:$X,2+$B16,0))+IF(DB$8="X",VLOOKUP(DB$10,'VK-Elekter'!$C:$X,2+$D16,0))+IF(DB$9="X",VLOOKUP(DB$10,'VK-Biokütused'!$C:$U,2+$E16,0))+IF(DB$5="X",VLOOKUP(DB$10,'VK-Põlevkivi'!$C:$X,2+$G16,0))+IF(DB$4="X",VLOOKUP(DB$10,'VK-Võrgud'!$C:$X,2+$F16,0)))/1000/3.6</f>
        <v>69.941944444444445</v>
      </c>
      <c r="DC16" s="209">
        <f>(IF(DC$7="X",VLOOKUP(DC$10,'VK-Hooned-Soojus'!$C:$X,2+$C16,FALSE),0)+IF(DC$6="X",VLOOKUP(DC$10,'VK-Transport'!$C:$X,2+$B16,0))+IF(DC$8="X",VLOOKUP(DC$10,'VK-Elekter'!$C:$X,2+$D16,0))+IF(DC$9="X",VLOOKUP(DC$10,'VK-Biokütused'!$C:$U,2+$E16,0))+IF(DC$5="X",VLOOKUP(DC$10,'VK-Põlevkivi'!$C:$X,2+$G16,0))+IF(DC$4="X",VLOOKUP(DC$10,'VK-Võrgud'!$C:$X,2+$F16,0)))/1000000</f>
        <v>5.6270230000000003</v>
      </c>
      <c r="DD16" s="209"/>
      <c r="DE16" s="88">
        <f>VLOOKUP(Tulemused!$BN$12,data!M$7:N$12,2,FALSE)-SUM(L16,M16)</f>
        <v>-3.4066444444444528</v>
      </c>
      <c r="DF16" s="209" t="str">
        <f>IF(AZ16&lt;=VLOOKUP(Tulemused!$BN$15,data!$E$36:$F$39,2,FALSE),"JAH","EI")</f>
        <v>JAH</v>
      </c>
      <c r="DG16" s="209"/>
      <c r="DH16" s="209">
        <f t="shared" si="2"/>
        <v>6.78</v>
      </c>
      <c r="DI16" s="231" t="str">
        <f t="shared" si="17"/>
        <v>EI</v>
      </c>
      <c r="DK16" s="232">
        <f t="shared" si="3"/>
        <v>-998.11662362738662</v>
      </c>
      <c r="DM16" s="233">
        <f t="shared" si="4"/>
        <v>8.1406618480060722</v>
      </c>
      <c r="DN16" s="87">
        <f t="array" ref="DN16">INDEX($A$11:$A$145, SMALL(IF(DM16=$DK$11:$DK$145, MATCH(ROW($DK$11:$DK$145), ROW($DK$11:$DK$145))), SUM(--(DM16=$DM$11:DM16))))</f>
        <v>134</v>
      </c>
      <c r="DP16" s="87" t="e">
        <f t="shared" ca="1" si="18"/>
        <v>#N/A</v>
      </c>
      <c r="DQ16" s="87" t="e">
        <f t="shared" ca="1" si="19"/>
        <v>#N/A</v>
      </c>
      <c r="DR16" s="87">
        <f t="shared" ca="1" si="20"/>
        <v>0</v>
      </c>
      <c r="DS16" s="87" t="e">
        <f t="shared" ca="1" si="21"/>
        <v>#N/A</v>
      </c>
      <c r="DT16" s="87">
        <f t="shared" ca="1" si="22"/>
        <v>0</v>
      </c>
      <c r="DU16" s="87" t="e">
        <f t="shared" ca="1" si="23"/>
        <v>#N/A</v>
      </c>
      <c r="DV16" s="87" t="e">
        <f t="shared" ca="1" si="24"/>
        <v>#N/A</v>
      </c>
      <c r="DW16" s="87">
        <f t="shared" ca="1" si="25"/>
        <v>0</v>
      </c>
      <c r="DX16" s="87">
        <f t="shared" ca="1" si="26"/>
        <v>0</v>
      </c>
      <c r="DZ16" s="87">
        <f t="shared" ca="1" si="5"/>
        <v>0</v>
      </c>
      <c r="EB16" s="87">
        <f t="shared" ca="1" si="27"/>
        <v>0</v>
      </c>
      <c r="EC16" s="87" t="e">
        <f t="shared" ca="1" si="28"/>
        <v>#N/A</v>
      </c>
      <c r="EE16" s="228">
        <f>(IF(EE$7="X",VLOOKUP(EE$10,'VK-Hooned-Soojus'!$C:$X,2+$C16,FALSE),0)+IF(EE$6="X",VLOOKUP(EE$10,'VK-Transport'!$C:$X,2+$B16,0))+IF(EE$8="X",VLOOKUP(EE$10,'VK-Elekter'!$C:$X,2+$D16,0))+IF(EE$9="X",VLOOKUP(EE$10,'VK-Biokütused'!$C:$U,2+$E16,0))+IF(EE$5="X",VLOOKUP(EE$10,'VK-Põlevkivi'!$C:$X,2+$G16,0))+IF(EE$4="X",VLOOKUP(EE$10,'VK-Võrgud'!$C:$X,2+$F16,0)))</f>
        <v>6746.2792764853129</v>
      </c>
      <c r="EF16" s="235">
        <f>(IF(EF$7="X",VLOOKUP(EF$10,'VK-Hooned-Soojus'!$C:$X,2+$C16,FALSE),0)+IF(EF$6="X",VLOOKUP(EF$10,'VK-Transport'!$C:$X,2+$B16,0))+IF(EF$8="X",VLOOKUP(EF$10,'VK-Elekter'!$C:$X,2+$D16,0))+IF(EF$9="X",VLOOKUP(EF$10,'VK-Biokütused'!$C:$U,2+$E16,0)))/1000</f>
        <v>6.6726368215830609</v>
      </c>
      <c r="EG16" s="209">
        <f>(IF(EG$7="X",VLOOKUP(EG$10,'VK-Hooned-Soojus'!$C:$X,2+$C16,FALSE),0)+IF(EG$6="X",VLOOKUP(EG$10,'VK-Transport'!$C:$X,2+$B16,0))+IF(EG$8="X",VLOOKUP(EG$10,'VK-Elekter'!$C:$X,2+$D16,0))+IF(EG$9="X",VLOOKUP(EG$10,'VK-Biokütused'!$C:$U,2+$E16,0))+IF(EG$5="X",VLOOKUP(EG$10,'VK-Põlevkivi'!$C:$X,2+$G16,0))+IF(EG$4="X",VLOOKUP(EG$10,'VK-Võrgud'!$C:$X,2+$F16,0)))</f>
        <v>0.81</v>
      </c>
      <c r="EH16" s="209">
        <f>(IF(EH$7="X",VLOOKUP(EH$10,'VK-Hooned-Soojus'!$C:$X,2+$C16,FALSE),0)+IF(EH$6="X",VLOOKUP(EH$10,'VK-Transport'!$C:$X,2+$B16,0))+IF(EH$8="X",VLOOKUP(EH$10,'VK-Elekter'!$C:$X,2+$D16,0))+IF(EH$9="X",VLOOKUP(EH$10,'VK-Biokütused'!$C:$U,2+$E16,0)))+AR16+AS16+AU16+AX16</f>
        <v>60.555165628957575</v>
      </c>
      <c r="EI16" s="320">
        <f t="shared" si="6"/>
        <v>52.774567183462523</v>
      </c>
      <c r="EJ16" s="322">
        <f t="shared" si="7"/>
        <v>2.0156356925118721E-2</v>
      </c>
      <c r="EK16" s="323">
        <f t="shared" si="29"/>
        <v>0.36168246787532254</v>
      </c>
      <c r="EM16" s="209"/>
      <c r="EN16" s="209">
        <f t="shared" ca="1" si="8"/>
        <v>0</v>
      </c>
      <c r="EO16" s="209"/>
      <c r="EP16" s="234"/>
      <c r="EQ16" s="209">
        <f>(IF(EQ$7="X",VLOOKUP(EQ$10,'VK-Hooned-Soojus'!$C:$X,2+$C16,FALSE),0)+IF(EQ$6="X",VLOOKUP(EQ$10,'VK-Transport'!$C:$X,2+$B16,0))+IF(EQ$8="X",VLOOKUP(EQ$10,'VK-Elekter'!$C:$X,2+$D16,0))+IF(EQ$9="X",VLOOKUP(EQ$10,'VK-Biokütused'!$C:$U,2+$E16,0))+IF(EQ$5="X",VLOOKUP(EQ$10,'VK-Põlevkivi'!$C:$X,2+$G16,0))+IF(EQ$4="X",VLOOKUP(EQ$10,'VK-Võrgud'!$C:$X,2+$F16,0)))/1000</f>
        <v>0.22900000000000001</v>
      </c>
      <c r="ER16" s="209">
        <f>(IF(ER$7="X",VLOOKUP(ER$10,'VK-Hooned-Soojus'!$C:$X,2+$C16,FALSE),0)+IF(ER$6="X",VLOOKUP(ER$10,'VK-Transport'!$C:$X,2+$B16,0))+IF(ER$8="X",VLOOKUP(ER$10,'VK-Elekter'!$C:$X,2+$D16,0))+IF(ER$9="X",VLOOKUP(ER$10,'VK-Biokütused'!$C:$U,2+$E16,0))+IF(ER$5="X",VLOOKUP(ER$10,'VK-Põlevkivi'!$C:$X,2+$G16,0))+IF(ER$4="X",VLOOKUP(ER$10,'VK-Võrgud'!$C:$X,2+$F16,0)))</f>
        <v>0.82899999999999996</v>
      </c>
      <c r="ES16" s="209">
        <f>(IF(ES$7="X",VLOOKUP(ES$10,'VK-Hooned-Soojus'!$C:$X,2+$C16,FALSE),0)+IF(ES$6="X",VLOOKUP(ES$10,'VK-Transport'!$C:$X,2+$B16,0))+IF(ES$8="X",VLOOKUP(ES$10,'VK-Elekter'!$C:$X,2+$D16,0))+IF(ES$9="X",VLOOKUP(ES$10,'VK-Biokütused'!$C:$U,2+$E16,0))+IF(ES$5="X",VLOOKUP(ES$10,'VK-Põlevkivi'!$C:$X,2+$G16,0))+IF(ES$4="X",VLOOKUP(ES$10,'VK-Võrgud'!$C:$X,2+$F16,0)))</f>
        <v>6.78</v>
      </c>
      <c r="ET16" s="209"/>
      <c r="EU16" s="209"/>
      <c r="EV16" s="87">
        <f>'KSH järjestus'!AS9</f>
        <v>2355</v>
      </c>
      <c r="EX16" s="236"/>
      <c r="EY16" s="236"/>
      <c r="EZ16" s="237">
        <f t="shared" si="9"/>
        <v>0.27911646586345373</v>
      </c>
      <c r="FA16" s="209">
        <f>IF(FA$7="X",VLOOKUP(FA$10,'VK-Hooned-Soojus'!$C:$X,2+$C16,FALSE),0)+IF(FA$6="X",VLOOKUP(FA$10,'VK-Transport'!$C:$X,2+$B16,0))+IF(FA$8="X",VLOOKUP(FA$10,'VK-Elekter'!$C:$X,2+$D16,0))+IF(FA$9="X",VLOOKUP(FA$10,'VK-Biokütused'!$C:$U,2+$E16,0))+IF(FA$5="X",VLOOKUP(FA$10,'VK-Põlevkivi'!$C:$X,2+$G16,0))+IF(FA$4="X",VLOOKUP(FA$10,'VK-Võrgud'!$C:$X,2+$F16,0))</f>
        <v>3770.9070000000002</v>
      </c>
      <c r="FB16" s="279">
        <f>(IF(FB$7="X",VLOOKUP(FB$10,'VK-Hooned-Soojus'!$C:$X,2+$C16,FALSE),0)+IF(FB$6="X",VLOOKUP(FB$10,'VK-Transport'!$C:$X,2+$B16,0))+IF(FB$8="X",VLOOKUP(FB$10,'VK-Elekter'!$C:$X,2+$D16,0))+IF(FB$9="X",VLOOKUP(FB$10,'VK-Biokütused'!$C:$U,2+$E16,0))+IF(FB$5="X",VLOOKUP(FB$10,'VK-Põlevkivi'!$C:$X,2+$G16,0))+IF(FB$4="X",VLOOKUP(FB$10,'VK-Võrgud'!$C:$X,2+$F16,0)))/16</f>
        <v>314.49079410968375</v>
      </c>
      <c r="FC16" s="209">
        <f>IF(FC$7="X",VLOOKUP(FC$10,'VK-Hooned-Soojus'!$C:$X,2+$C16,FALSE),0)+IF(FC$6="X",VLOOKUP(FC$10,'VK-Transport'!$C:$X,2+$B16,0))+IF(FC$8="X",VLOOKUP(FC$10,'VK-Elekter'!$C:$X,2+$D16,0))+IF(FC$9="X",VLOOKUP(FC$10,'VK-Biokütused'!$C:$U,2+$E16,0))+IF(FC$5="X",VLOOKUP(FC$10,'VK-Põlevkivi'!$C:$X,2+$G16,0))+IF(FC$4="X",VLOOKUP(FC$10,'VK-Võrgud'!$C:$X,2+$F16,0))</f>
        <v>339.59999999999997</v>
      </c>
      <c r="FD16" s="209">
        <f>(IF(FD$7="X",VLOOKUP(FD$10,'VK-Hooned-Soojus'!$C:$X,2+$C16,FALSE),0)+IF(FD$6="X",VLOOKUP(FD$10,'VK-Transport'!$C:$X,2+$B16,0))+IF(FD$8="X",VLOOKUP(FD$10,'VK-Elekter'!$C:$X,2+$D16,0))+IF(FD$9="X",VLOOKUP(FD$10,'VK-Biokütused'!$C:$U,2+$E16,0))+IF(FD$5="X",VLOOKUP(FD$10,'VK-Põlevkivi'!$C:$X,2+$G16,0))+IF(FD$4="X",VLOOKUP(FD$10,'VK-Võrgud'!$C:$X,2+$F16,0)))/16</f>
        <v>314.49079410968375</v>
      </c>
      <c r="FE16" s="209">
        <f>(IF(FE$7="X",VLOOKUP(FE$10,'VK-Hooned-Soojus'!$C:$X,2+$C16,FALSE),0)+IF(FE$6="X",VLOOKUP(FE$10,'VK-Transport'!$C:$X,2+$B16,0))+IF(FE$8="X",VLOOKUP(FE$10,'VK-Elekter'!$C:$X,2+$D16,0))+IF(FE$9="X",VLOOKUP(FE$10,'VK-Biokütused'!$C:$U,2+$E16,0))+IF(FE$5="X",VLOOKUP(FE$10,'VK-Põlevkivi'!$C:$X,2+$G16,0))+IF(FE$4="X",VLOOKUP(FE$10,'VK-Võrgud'!$C:$X,2+$F16,0)))/16</f>
        <v>-34.340813699091036</v>
      </c>
      <c r="FF16" s="209">
        <f>(IF(FF$7="X",VLOOKUP(FF$10,'VK-Hooned-Soojus'!$C:$X,2+$C16,FALSE),0)+IF(FF$6="X",VLOOKUP(FF$10,'VK-Transport'!$C:$X,2+$B16,0))+IF(FF$8="X",VLOOKUP(FF$10,'VK-Elekter'!$C:$X,2+$D16,0))+IF(FF$9="X",VLOOKUP(FF$10,'VK-Biokütused'!$C:$U,2+$E16,0))+IF(FF$5="X",VLOOKUP(FF$10,'VK-Põlevkivi'!$C:$X,2+$G16,0))+IF(FF$4="X",VLOOKUP(FF$10,'VK-Võrgud'!$C:$X,2+$F16,0)))/16</f>
        <v>93.805899120356685</v>
      </c>
      <c r="FG16" s="88">
        <f t="shared" ca="1" si="30"/>
        <v>59.465085421265648</v>
      </c>
      <c r="FH16" s="88"/>
      <c r="FI16" s="88"/>
      <c r="FJ16" s="88">
        <f>VLOOKUP(Tulemused!$BN$12,data!M$7:N$12,2,FALSE)-SUM(L16,M16)</f>
        <v>-3.4066444444444528</v>
      </c>
      <c r="FK16" s="209" t="str">
        <f>IF(AZ16&lt;=VLOOKUP(Tulemused!$BN$15,data!$E$36:$F$39,2,FALSE),"JAH","EI")</f>
        <v>JAH</v>
      </c>
      <c r="FL16" s="235">
        <f ca="1">IF(ISNA(MATCH($A16,INDIRECT(VLOOKUP(Tulemused!$BF$11,data!$J$57:$M$71,4,FALSE)))),0,MATCH($A16,INDIRECT(VLOOKUP(Tulemused!$BF$11,data!$J$57:$M$71,4,FALSE))))</f>
        <v>0</v>
      </c>
      <c r="FM16" s="235" t="str">
        <f t="shared" ca="1" si="10"/>
        <v>JAH</v>
      </c>
      <c r="FN16" s="209">
        <f>VLOOKUP(Tulemused!$BN$13,data!$C$132:$D$137,2,FALSE)-KOMBI!R16</f>
        <v>2.35713317841694</v>
      </c>
      <c r="FO16" s="209"/>
      <c r="FP16" s="209">
        <f>VLOOKUP(Tulemused!$BN$17,NO_x,2,FALSE)-CJ16</f>
        <v>9.227421988425462</v>
      </c>
      <c r="FQ16" s="209">
        <f>VLOOKUP(Tulemused!$BN$18,SO_2,2,FALSE)-CK16</f>
        <v>39.076875437721398</v>
      </c>
      <c r="FR16" s="209">
        <f>VLOOKUP(Tulemused!$BN$19,LOU,2,FALSE)-CN16</f>
        <v>34.054000000000002</v>
      </c>
      <c r="FS16" s="209">
        <f>VLOOKUP(Tulemused!$BN$20,PM_2.5,2,FALSE)-CM16</f>
        <v>8.3492394222510917</v>
      </c>
      <c r="FT16" s="209">
        <f>VLOOKUP(Tulemused!$BN$13,data!$C$132:$D$137,2,FALSE)-FA16/1000</f>
        <v>2.4750630000000005</v>
      </c>
      <c r="FU16" s="209">
        <f>VLOOKUP(Tulemused!$BN$17,NO_x,2,FALSE)-CO16</f>
        <v>3.7743502267145423</v>
      </c>
      <c r="FV16" s="209">
        <f>VLOOKUP(Tulemused!$BN$18,SO_2,2,FALSE)-CP16</f>
        <v>38.058051415704384</v>
      </c>
      <c r="FW16" s="209">
        <f>VLOOKUP(Tulemused!$BN$19,LOU,2,FALSE)-CS16</f>
        <v>33.09384759487839</v>
      </c>
      <c r="FX16" s="209">
        <f>VLOOKUP(Tulemused!$BN$20,PM_2.5,2,FALSE)-CR16</f>
        <v>8.7932466437251957</v>
      </c>
      <c r="FY16" s="209">
        <f>VLOOKUP(Tulemused!$BN$14,KHG_2050,2,FALSE)-EF16</f>
        <v>93.327363178416945</v>
      </c>
      <c r="FZ16" s="231" t="str">
        <f t="shared" ca="1" si="31"/>
        <v>EI</v>
      </c>
      <c r="GA16" s="209"/>
      <c r="GB16" s="209"/>
      <c r="GC16" s="209"/>
      <c r="GD16" s="231"/>
      <c r="GE16" s="87">
        <f t="shared" si="11"/>
        <v>2355</v>
      </c>
      <c r="GF16" s="232" t="str">
        <f t="shared" ca="1" si="32"/>
        <v/>
      </c>
      <c r="GH16" s="238">
        <f t="shared" ca="1" si="12"/>
        <v>598</v>
      </c>
      <c r="GI16" s="87">
        <f t="array" aca="1" ref="GI16" ca="1">INDEX($A$11:$A$145, SMALL(IF(GH16=$GF$11:$GF$145, MATCH(ROW($GF$11:$GF$145), ROW($GF$11:$GF$145))), SUM(--(GH16=$GH$11:GH16))))</f>
        <v>123</v>
      </c>
      <c r="GM16" s="209">
        <f>IF(GM$7="X",VLOOKUP(GM$10,'VK-Hooned-Soojus'!$C:$X,2+$C16,FALSE),0)+IF(GM$6="X",VLOOKUP(GM$10,'VK-Transport'!$C:$X,2+$B16,0))+IF(GM$8="X",VLOOKUP(GM$10,'VK-Elekter'!$C:$X,2+$D16,0))+IF(GM$9="X",VLOOKUP(GM$10,'VK-Biokütused'!$C:$U,2+$E16,0))+IF(GM$5="X",VLOOKUP(GM$10,'VK-Põlevkivi'!$C:$X,2+$G16,0))+IF(GM$4="X",VLOOKUP(GM$10,'VK-Võrgud'!$C:$X,2+$F16,0))</f>
        <v>6.0128279910272253</v>
      </c>
      <c r="GN16" s="209">
        <f>IF(GN$7="X",VLOOKUP(GN$10,'VK-Hooned-Soojus'!$C:$X,2+$C16,FALSE),0)+IF(GN$6="X",VLOOKUP(GN$10,'VK-Transport'!$C:$X,2+$B16,0))+IF(GN$8="X",VLOOKUP(GN$10,'VK-Elekter'!$C:$X,2+$D16,0))+IF(GN$9="X",VLOOKUP(GN$10,'VK-Biokütused'!$C:$U,2+$E16,0))+IF(GN$5="X",VLOOKUP(GN$10,'VK-Põlevkivi'!$C:$X,2+$G16,0))+IF(GN$4="X",VLOOKUP(GN$10,'VK-Võrgud'!$C:$X,2+$F16,0))</f>
        <v>3.4467619395011728</v>
      </c>
      <c r="GO16" s="209">
        <f>IF(GO$7="X",VLOOKUP(GO$10,'VK-Hooned-Soojus'!$C:$X,2+$C16,FALSE),0)+IF(GO$6="X",VLOOKUP(GO$10,'VK-Transport'!$C:$X,2+$B16,0))+IF(GO$8="X",VLOOKUP(GO$10,'VK-Elekter'!$C:$X,2+$D16,0))+IF(GO$9="X",VLOOKUP(GO$10,'VK-Biokütused'!$C:$U,2+$E16,0))+IF(GO$5="X",VLOOKUP(GO$10,'VK-Põlevkivi'!$C:$X,2+$G16,0))+IF(GO$4="X",VLOOKUP(GO$10,'VK-Võrgud'!$C:$X,2+$F16,0))</f>
        <v>8.7471755658278116</v>
      </c>
      <c r="GP16" s="209">
        <f>IF(GP$7="X",VLOOKUP(GP$10,'VK-Hooned-Soojus'!$C:$X,2+$C16,FALSE),0)+IF(GP$6="X",VLOOKUP(GP$10,'VK-Transport'!$C:$X,2+$B16,0))+IF(GP$8="X",VLOOKUP(GP$10,'VK-Elekter'!$C:$X,2+$D16,0))+IF(GP$9="X",VLOOKUP(GP$10,'VK-Biokütused'!$C:$U,2+$E16,0))+IF(GP$5="X",VLOOKUP(GP$10,'VK-Põlevkivi'!$C:$X,2+$G16,0))+IF(GP$4="X",VLOOKUP(GP$10,'VK-Võrgud'!$C:$X,2+$F16,0))</f>
        <v>9.3279335818485372</v>
      </c>
      <c r="GQ16" s="88">
        <f>IF(GQ$7="X",VLOOKUP(GQ$10,'VK-Hooned-Soojus'!$C:$X,2+$C16,FALSE),0)+IF(GQ$6="X",VLOOKUP(GQ$10,'VK-Transport'!$C:$X,2+$B16,0))+IF(GQ$8="X",VLOOKUP(GQ$10,'VK-Elekter'!$C:$X,2+$D16,0))+IF(GQ$9="X",VLOOKUP(GQ$10,'VK-Biokütused'!$C:$U,2+$E16,0))+IF(GQ$5="X",VLOOKUP(GQ$10,'VK-Põlevkivi'!$C:$X,2+$G16,0))+IF(GQ$4="X",VLOOKUP(GQ$10,'VK-Võrgud'!$C:$X,2+$F16,0))</f>
        <v>0.9682855968523334</v>
      </c>
      <c r="GR16" s="186">
        <f t="shared" si="33"/>
        <v>0.37922714679774455</v>
      </c>
    </row>
    <row r="17" spans="1:200" x14ac:dyDescent="0.2">
      <c r="A17" s="184">
        <v>7</v>
      </c>
      <c r="B17" s="87">
        <v>1</v>
      </c>
      <c r="C17" s="87">
        <v>1</v>
      </c>
      <c r="D17" s="87">
        <v>3</v>
      </c>
      <c r="E17" s="87">
        <v>1</v>
      </c>
      <c r="F17" s="87">
        <f>VLOOKUP(Tulemused!$BF$7,data!$J$6:$K$8,2,FALSE)</f>
        <v>2</v>
      </c>
      <c r="G17" s="87">
        <f>VLOOKUP(data!$H$2,data!$J$12:$K$14,2,FALSE)</f>
        <v>2</v>
      </c>
      <c r="I17" s="209">
        <f>IF(I$7="X",VLOOKUP(I$10,'VK-Hooned-Soojus'!$C:$X,2+$C17,FALSE),0)+IF(I$6="X",VLOOKUP(I$10,'VK-Transport'!$C:$X,2+$B17,0))+IF(I$8="X",VLOOKUP(I$10,'VK-Elekter'!$C:$X,2+$D17,0))+IF(I$9="X",VLOOKUP(I$10,'VK-Biokütused'!$C:$U,2+$E17,0))+IF(I$5="X",VLOOKUP(I$10,'VK-Põlevkivi'!$C:$X,2+$G17,0))+IF(I$4="X",VLOOKUP(I$10,'VK-Võrgud'!$C:$X,2+$F17,0))</f>
        <v>26.89</v>
      </c>
      <c r="J17" s="209">
        <f>IF(J$7="X",VLOOKUP(J$10,'VK-Hooned-Soojus'!$C:$X,2+$C17,FALSE),0)+IF(J$6="X",VLOOKUP(J$10,'VK-Transport'!$C:$X,2+$B17,0))+IF(J$8="X",VLOOKUP(J$10,'VK-Elekter'!$C:$X,2+$D17,0))+IF(J$9="X",VLOOKUP(J$10,'VK-Biokütused'!$C:$U,2+$E17,0))+IF(J$5="X",VLOOKUP(J$10,'VK-Põlevkivi'!$C:$X,2+$G17,0))+IF(J$4="X",VLOOKUP(J$10,'VK-Võrgud'!$C:$X,2+$F17,0))</f>
        <v>13.295833333333334</v>
      </c>
      <c r="K17" s="209">
        <f>IF(K$7="X",VLOOKUP(K$10,'VK-Hooned-Soojus'!$C:$X,2+$C17,FALSE),0)+IF(K$6="X",VLOOKUP(K$10,'VK-Transport'!$C:$X,2+$B17,0))+IF(K$8="X",VLOOKUP(K$10,'VK-Elekter'!$C:$X,2+$D17,0))+IF(K$9="X",VLOOKUP(K$10,'VK-Biokütused'!$C:$U,2+$E17,0))+IF(K$5="X",VLOOKUP(K$10,'VK-Põlevkivi'!$C:$X,2+$G17,0))+IF(K$4="X",VLOOKUP(K$10,'VK-Võrgud'!$C:$X,2+$F17,0))</f>
        <v>16.75</v>
      </c>
      <c r="L17" s="209">
        <f>IF(L$7="X",VLOOKUP(L$10,'VK-Hooned-Soojus'!$C:$X,2+$C17,FALSE),0)+IF(L$6="X",VLOOKUP(L$10,'VK-Transport'!$C:$X,2+$B17,0))+IF(L$8="X",VLOOKUP(L$10,'VK-Elekter'!$C:$X,2+$D17,0))+IF(L$9="X",VLOOKUP(L$10,'VK-Biokütused'!$C:$U,2+$E17,0))+IF(L$5="X",VLOOKUP(L$10,'VK-Põlevkivi'!$C:$X,2+$G17,0))+IF(L$4="X",VLOOKUP(L$10,'VK-Võrgud'!$C:$X,2+$F17,0))</f>
        <v>24.95</v>
      </c>
      <c r="M17" s="209">
        <f>IF(M$7="X",VLOOKUP(M$10,'VK-Hooned-Soojus'!$C:$X,2+$C17,FALSE),0)+IF(M$6="X",VLOOKUP(M$10,'VK-Transport'!$C:$X,2+$B17,0))+IF(M$8="X",VLOOKUP(M$10,'VK-Elekter'!$C:$X,2+$D17,0))+IF(M$9="X",VLOOKUP(M$10,'VK-Biokütused'!$C:$U,2+$E17,0))+IF(M$5="X",VLOOKUP(M$10,'VK-Põlevkivi'!$C:$X,2+$G17,0))+IF(M$4="X",VLOOKUP(M$10,'VK-Võrgud'!$C:$X,2+$F17,0))</f>
        <v>11.289444444444445</v>
      </c>
      <c r="N17" s="209">
        <f>IF(N$7="X",VLOOKUP(N$10,'VK-Hooned-Soojus'!$C:$X,2+$C17,FALSE),0)+IF(N$6="X",VLOOKUP(N$10,'VK-Transport'!$C:$X,2+$B17,0))+IF(N$8="X",VLOOKUP(N$10,'VK-Elekter'!$C:$X,2+$D17,0))+IF(N$9="X",VLOOKUP(N$10,'VK-Biokütused'!$C:$U,2+$E17,0))+IF(N$5="X",VLOOKUP(N$10,'VK-Põlevkivi'!$C:$X,2+$G17,0))+IF(N$4="X",VLOOKUP(N$10,'VK-Võrgud'!$C:$X,2+$F17,0))</f>
        <v>16.75</v>
      </c>
      <c r="O17" s="209">
        <f t="shared" si="13"/>
        <v>40.185833333333335</v>
      </c>
      <c r="P17" s="209"/>
      <c r="Q17" s="209">
        <f>(IF(Q$7="X",VLOOKUP(Q$10,'VK-Hooned-Soojus'!$C:$X,2+$C17,FALSE),0)+IF(Q$6="X",VLOOKUP(Q$10,'VK-Transport'!$C:$X,2+$B17,0))+IF(Q$8="X",VLOOKUP(Q$10,'VK-Elekter'!$C:$X,2+$D17,0))+IF(Q$9="X",VLOOKUP(Q$10,'VK-Biokütused'!$C:$U,2+$E17,0))+IF(Q$5="X",VLOOKUP(Q$10,'VK-Põlevkivi'!$C:$X,2+$G17,0))+IF(Q$4="X",VLOOKUP(Q$10,'VK-Võrgud'!$C:$X,2+$F17,0)))/1000</f>
        <v>5.33</v>
      </c>
      <c r="R17" s="209">
        <f>(IF(R$7="X",VLOOKUP(R$10,'VK-Hooned-Soojus'!$C:$X,2+$C17,FALSE),0)+IF(R$6="X",VLOOKUP(R$10,'VK-Transport'!$C:$X,2+$B17,0))+IF(R$8="X",VLOOKUP(R$10,'VK-Elekter'!$C:$X,2+$D17,0))+IF(R$9="X",VLOOKUP(R$10,'VK-Biokütused'!$C:$U,2+$E17,0))+IF(R$5="X",VLOOKUP(R$10,'VK-Põlevkivi'!$C:$X,2+$G17,0))+IF(R$4="X",VLOOKUP(R$10,'VK-Võrgud'!$C:$X,2+$F17,0)))/1000</f>
        <v>3.3026368215830604</v>
      </c>
      <c r="S17" s="226">
        <f>VLOOKUP(S$10,'VK-Hooned-Soojus'!$C:$I,2+$C17,FALSE) + VLOOKUP(S$10,'VK-Transport'!$C:$I,2+$B17,FALSE)+ VLOOKUP(S$10,'VK-Biokütused'!$C:$G,2+$E17,FALSE)+ VLOOKUP(S$10,'VK-Elekter'!$C:$I,2+$D17,FALSE)+ VLOOKUP(S$10,'VK-Põlevkivi'!$C:$I,2+$G17,FALSE)+ VLOOKUP(S$10,'VK-Võrgud'!$C:$I,2+$F17,FALSE)</f>
        <v>5.3265926313092911E-3</v>
      </c>
      <c r="T17" s="226">
        <f>VLOOKUP(T$10,'VK-Hooned-Soojus'!$C:$I,2+$C17,FALSE) + VLOOKUP(T$10,'VK-Transport'!$C:$I,2+$B17,FALSE)+ VLOOKUP(T$10,'VK-Biokütused'!$C:$G,2+$E17,FALSE)+ VLOOKUP(T$10,'VK-Elekter'!$C:$I,2+$D17,FALSE)+ VLOOKUP(T$10,'VK-Põlevkivi'!$C:$I,2+$G17,FALSE)+ VLOOKUP(T$10,'VK-Võrgud'!$C:$I,2+$F17,FALSE)</f>
        <v>-3.267230674372418E-3</v>
      </c>
      <c r="U17" s="226">
        <f>VLOOKUP(U$10,'VK-Hooned-Soojus'!$C:$I,2+$C17,FALSE) + VLOOKUP(U$10,'VK-Transport'!$C:$I,2+$B17,FALSE)+ VLOOKUP(U$10,'VK-Biokütused'!$C:$G,2+$E17,FALSE)+ VLOOKUP(U$10,'VK-Elekter'!$C:$I,2+$D17,FALSE)+ VLOOKUP(U$10,'VK-Põlevkivi'!$C:$I,2+$G17,FALSE)+ VLOOKUP(U$10,'VK-Võrgud'!$C:$I,2+$F17,FALSE)</f>
        <v>1.7191801605088985E-3</v>
      </c>
      <c r="V17" s="226">
        <f>VLOOKUP(V$10,'VK-Hooned-Soojus'!$C:$I,2+$C17,FALSE) + VLOOKUP(V$10,'VK-Transport'!$C:$I,2+$B17,FALSE)+ VLOOKUP(V$10,'VK-Biokütused'!$C:$G,2+$E17,FALSE)+ VLOOKUP(V$10,'VK-Elekter'!$C:$I,2+$D17,FALSE)+ VLOOKUP(V$10,'VK-Põlevkivi'!$C:$I,2+$G17,FALSE)+ VLOOKUP(V$10,'VK-Võrgud'!$C:$I,2+$F17,FALSE)</f>
        <v>3.6379398343971484E-3</v>
      </c>
      <c r="W17" s="226">
        <f>VLOOKUP(W$10,'VK-Hooned-Soojus'!$C:$I,2+$C17,FALSE) + VLOOKUP(W$10,'VK-Transport'!$C:$I,2+$B17,FALSE)+ VLOOKUP(W$10,'VK-Biokütused'!$C:$G,2+$E17,FALSE)+ VLOOKUP(W$10,'VK-Elekter'!$C:$I,2+$D17,FALSE)+ VLOOKUP(W$10,'VK-Põlevkivi'!$C:$I,2+$G17,FALSE)+ VLOOKUP(W$10,'VK-Võrgud'!$C:$I,2+$F17,FALSE)</f>
        <v>3.5150727338995226E-5</v>
      </c>
      <c r="X17" s="226">
        <f>VLOOKUP(X$10,'VK-Hooned-Soojus'!$C:$I,2+$C17,FALSE) + VLOOKUP(X$10,'VK-Transport'!$C:$I,2+$B17,FALSE)+ VLOOKUP(X$10,'VK-Biokütused'!$C:$G,2+$E17,FALSE)+ VLOOKUP(X$10,'VK-Elekter'!$C:$I,2+$D17,FALSE)+ VLOOKUP(X$10,'VK-Põlevkivi'!$C:$I,2+$G17,FALSE)+ VLOOKUP(X$10,'VK-Võrgud'!$C:$I,2+$F17,FALSE)</f>
        <v>-3.1158306941380526E-4</v>
      </c>
      <c r="Y17" s="226">
        <f>VLOOKUP(Y$10,'VK-Hooned-Soojus'!$C:$I,2+$C17,FALSE) + VLOOKUP(Y$10,'VK-Transport'!$C:$I,2+$B17,FALSE)+ VLOOKUP(Y$10,'VK-Biokütused'!$C:$G,2+$E17,FALSE)+ VLOOKUP(Y$10,'VK-Elekter'!$C:$I,2+$D17,FALSE)+ VLOOKUP(Y$10,'VK-Põlevkivi'!$C:$I,2+$G17,FALSE)+ VLOOKUP(Y$10,'VK-Võrgud'!$C:$I,2+$F17,FALSE)</f>
        <v>3.1057256013390471E-4</v>
      </c>
      <c r="Z17" s="227">
        <f>(S17*Tulemused!$Q$9*10+T17*Tulemused!$Q$10*10+KOMBI!U17*Tulemused!$Q$11*10+KOMBI!V17*Tulemused!$Q$12*10)*Tulemused!$Q$8+-(W17*Tulemused!$Q$14*10+KOMBI!X17*Tulemused!$Q$15*10+KOMBI!Y17*Tulemused!$Q$16*10)*Tulemused!$Q$13</f>
        <v>0.73734439827509057</v>
      </c>
      <c r="AA17" s="228">
        <f>(IF(AA$7="X",VLOOKUP(AA$10,'VK-Hooned-Soojus'!$C:$X,2+$C17,FALSE),0)+IF(AA$6="X",VLOOKUP(AA$10,'VK-Transport'!$C:$X,2+$B17,0))+IF(AA$8="X",VLOOKUP(AA$10,'VK-Elekter'!$C:$X,2+$D17,0))+IF(AA$9="X",VLOOKUP(AA$10,'VK-Biokütused'!$C:$U,2+$E17,0))+IF(AA$5="X",VLOOKUP(AA$10,'VK-Põlevkivi'!$C:$X,2+$G17,0))+IF(AA$4="X",VLOOKUP(AA$10,'VK-Võrgud'!$C:$X,2+$F17,0)))</f>
        <v>3728</v>
      </c>
      <c r="AB17" s="228">
        <f>(IF(AB$7="X",VLOOKUP(AB$10,'VK-Hooned-Soojus'!$C:$X,2+$C17,FALSE),0)+IF(AB$6="X",VLOOKUP(AB$10,'VK-Transport'!$C:$X,2+$B17,0))+IF(AB$8="X",VLOOKUP(AB$10,'VK-Elekter'!$C:$X,2+$D17,0))+IF(AB$9="X",VLOOKUP(AB$10,'VK-Biokütused'!$C:$U,2+$E17,0))+IF(AB$5="X",VLOOKUP(AB$10,'VK-Põlevkivi'!$C:$X,2+$G17,0))+IF(AB$4="X",VLOOKUP(AB$10,'VK-Võrgud'!$C:$X,2+$F17,0)))</f>
        <v>1602</v>
      </c>
      <c r="AC17" s="228">
        <f>(IF(AC$7="X",VLOOKUP(AC$10,'VK-Hooned-Soojus'!$C:$X,2+$C17,FALSE),0)+IF(AC$6="X",VLOOKUP(AC$10,'VK-Transport'!$C:$X,2+$B17,0))+IF(AC$8="X",VLOOKUP(AC$10,'VK-Elekter'!$C:$X,2+$D17,0))+IF(AC$9="X",VLOOKUP(AC$10,'VK-Biokütused'!$C:$U,2+$E17,0))+IF(AC$5="X",VLOOKUP(AC$10,'VK-Põlevkivi'!$C:$X,2+$G17,0))+IF(AC$4="X",VLOOKUP(AC$10,'VK-Võrgud'!$C:$X,2+$F17,0)))</f>
        <v>2346</v>
      </c>
      <c r="AD17" s="228">
        <f>(IF(AD$7="X",VLOOKUP(AD$10,'VK-Hooned-Soojus'!$C:$X,2+$C17,FALSE),0)+IF(AD$6="X",VLOOKUP(AD$10,'VK-Transport'!$C:$X,2+$B17,0))+IF(AD$8="X",VLOOKUP(AD$10,'VK-Elekter'!$C:$X,2+$D17,0))+IF(AD$9="X",VLOOKUP(AD$10,'VK-Biokütused'!$C:$U,2+$E17,0))+IF(AD$5="X",VLOOKUP(AD$10,'VK-Põlevkivi'!$C:$X,2+$G17,0))+IF(AD$4="X",VLOOKUP(AD$10,'VK-Võrgud'!$C:$X,2+$F17,0)))</f>
        <v>0</v>
      </c>
      <c r="AE17" s="228">
        <f>(IF(AE$7="X",VLOOKUP(AE$10,'VK-Hooned-Soojus'!$C:$X,2+$C17,FALSE),0)+IF(AE$6="X",VLOOKUP(AE$10,'VK-Transport'!$C:$X,2+$B17,0))+IF(AE$8="X",VLOOKUP(AE$10,'VK-Elekter'!$C:$X,2+$D17,0))+IF(AE$9="X",VLOOKUP(AE$10,'VK-Biokütused'!$C:$U,2+$E17,0))+IF(AE$5="X",VLOOKUP(AE$10,'VK-Põlevkivi'!$C:$X,2+$G17,0))+IF(AE$4="X",VLOOKUP(AE$10,'VK-Võrgud'!$C:$X,2+$F17,0)))</f>
        <v>812</v>
      </c>
      <c r="AF17" s="228">
        <f>(IF(AF$7="X",VLOOKUP(AF$10,'VK-Hooned-Soojus'!$C:$X,2+$C17,FALSE),0)+IF(AF$6="X",VLOOKUP(AF$10,'VK-Transport'!$C:$X,2+$B17,0))+IF(AF$8="X",VLOOKUP(AF$10,'VK-Elekter'!$C:$X,2+$D17,0))+IF(AF$9="X",VLOOKUP(AF$10,'VK-Biokütused'!$C:$U,2+$E17,0))+IF(AF$5="X",VLOOKUP(AF$10,'VK-Põlevkivi'!$C:$X,2+$G17,0))+IF(AF$4="X",VLOOKUP(AF$10,'VK-Võrgud'!$C:$X,2+$F17,0)))</f>
        <v>2490.6368215830603</v>
      </c>
      <c r="AG17" s="209"/>
      <c r="AH17" s="209">
        <f>IF(AH$7="X",VLOOKUP(AH$10,'VK-Hooned-Soojus'!$C:$X,2+$C17,FALSE),0)+IF(AH$6="X",VLOOKUP(AH$10,'VK-Transport'!$C:$X,2+$B17,0))+IF(AH$8="X",VLOOKUP(AH$10,'VK-Elekter'!$C:$X,2+$D17,0))+IF(AH$9="X",VLOOKUP(AH$10,'VK-Biokütused'!$C:$U,2+$E17,0))+IF(AH$5="X",VLOOKUP(AH$10,'VK-Põlevkivi'!$C:$X,2+$G17,0))+IF(AH$4="X",VLOOKUP(AH$10,'VK-Võrgud'!$C:$X,2+$F17,0))</f>
        <v>11.579999999999998</v>
      </c>
      <c r="AI17" s="209">
        <f>IF(AI$7="X",VLOOKUP(AI$10,'VK-Hooned-Soojus'!$C:$X,2+$C17,FALSE),0)+IF(AI$6="X",VLOOKUP(AI$10,'VK-Transport'!$C:$X,2+$B17,0))+IF(AI$8="X",VLOOKUP(AI$10,'VK-Elekter'!$C:$X,2+$D17,0))+IF(AI$9="X",VLOOKUP(AI$10,'VK-Biokütused'!$C:$U,2+$E17,0))+IF(AI$5="X",VLOOKUP(AI$10,'VK-Põlevkivi'!$C:$X,2+$G17,0))+IF(AI$4="X",VLOOKUP(AI$10,'VK-Võrgud'!$C:$X,2+$F17,0))</f>
        <v>4.45</v>
      </c>
      <c r="AJ17" s="209">
        <f>IF(AJ$7="X",VLOOKUP(AJ$10,'VK-Hooned-Soojus'!$C:$X,2+$C17,FALSE),0)+IF(AJ$6="X",VLOOKUP(AJ$10,'VK-Transport'!$C:$X,2+$B17,0))+IF(AJ$8="X",VLOOKUP(AJ$10,'VK-Elekter'!$C:$X,2+$D17,0))+IF(AJ$9="X",VLOOKUP(AJ$10,'VK-Biokütused'!$C:$U,2+$E17,0))+IF(AJ$5="X",VLOOKUP(AJ$10,'VK-Põlevkivi'!$C:$X,2+$G17,0))+IF(AJ$4="X",VLOOKUP(AJ$10,'VK-Võrgud'!$C:$X,2+$F17,0))</f>
        <v>9.19</v>
      </c>
      <c r="AK17" s="209">
        <f>IF(AK$7="X",VLOOKUP(AK$10,'VK-Hooned-Soojus'!$C:$X,2+$C17,FALSE),0)+IF(AK$6="X",VLOOKUP(AK$10,'VK-Transport'!$C:$X,2+$B17,0))+IF(AK$8="X",VLOOKUP(AK$10,'VK-Elekter'!$C:$X,2+$D17,0))+IF(AK$9="X",VLOOKUP(AK$10,'VK-Biokütused'!$C:$U,2+$E17,0))+IF(AK$5="X",VLOOKUP(AK$10,'VK-Põlevkivi'!$C:$X,2+$G17,0))+IF(AK$4="X",VLOOKUP(AK$10,'VK-Võrgud'!$C:$X,2+$F17,0))</f>
        <v>0.66</v>
      </c>
      <c r="AL17" s="209">
        <f>IF(AL$7="X",VLOOKUP(AL$10,'VK-Hooned-Soojus'!$C:$X,2+$C17,FALSE),0)+IF(AL$6="X",VLOOKUP(AL$10,'VK-Transport'!$C:$X,2+$B17,0))+IF(AL$8="X",VLOOKUP(AL$10,'VK-Elekter'!$C:$X,2+$D17,0))+IF(AL$9="X",VLOOKUP(AL$10,'VK-Biokütused'!$C:$U,2+$E17,0))+IF(AL$5="X",VLOOKUP(AL$10,'VK-Põlevkivi'!$C:$X,2+$G17,0))+IF(AL$4="X",VLOOKUP(AL$10,'VK-Võrgud'!$C:$X,2+$F17,0))</f>
        <v>7.1999999999999993</v>
      </c>
      <c r="AM17" s="209">
        <f>IF(AM$7="X",VLOOKUP(AM$10,'VK-Hooned-Soojus'!$C:$X,2+$C17,FALSE),0)+IF(AM$6="X",VLOOKUP(AM$10,'VK-Transport'!$C:$X,2+$B17,0))+IF(AM$8="X",VLOOKUP(AM$10,'VK-Elekter'!$C:$X,2+$D17,0))+IF(AM$9="X",VLOOKUP(AM$10,'VK-Biokütused'!$C:$U,2+$E17,0))+IF(AM$5="X",VLOOKUP(AM$10,'VK-Põlevkivi'!$C:$X,2+$G17,0))+IF(AM$4="X",VLOOKUP(AM$10,'VK-Võrgud'!$C:$X,2+$F17,0))</f>
        <v>12.9</v>
      </c>
      <c r="AN17" s="209">
        <f>IF(AN$7="X",VLOOKUP(AN$10,'VK-Hooned-Soojus'!$C:$X,2+$C17,FALSE),0)+IF(AN$6="X",VLOOKUP(AN$10,'VK-Transport'!$C:$X,2+$B17,0))+IF(AN$8="X",VLOOKUP(AN$10,'VK-Elekter'!$C:$X,2+$D17,0))+IF(AN$9="X",VLOOKUP(AN$10,'VK-Biokütused'!$C:$U,2+$E17,0))+IF(AN$5="X",VLOOKUP(AN$10,'VK-Põlevkivi'!$C:$X,2+$G17,0))+IF(AN$4="X",VLOOKUP(AN$10,'VK-Võrgud'!$C:$X,2+$F17,0))</f>
        <v>5.6999999999999993</v>
      </c>
      <c r="AO17" s="209">
        <f>IF(AO$7="X",VLOOKUP(AO$10,'VK-Hooned-Soojus'!$C:$X,2+$C17,FALSE),0)+IF(AO$6="X",VLOOKUP(AO$10,'VK-Transport'!$C:$X,2+$B17,0))+IF(AO$8="X",VLOOKUP(AO$10,'VK-Elekter'!$C:$X,2+$D17,0))+IF(AO$9="X",VLOOKUP(AO$10,'VK-Biokütused'!$C:$U,2+$E17,0))+IF(AO$5="X",VLOOKUP(AO$10,'VK-Põlevkivi'!$C:$X,2+$G17,0))+IF(AO$4="X",VLOOKUP(AO$10,'VK-Võrgud'!$C:$X,2+$F17,0))</f>
        <v>13.56</v>
      </c>
      <c r="AP17" s="209">
        <f>IF(AP$7="X",VLOOKUP(AP$10,'VK-Hooned-Soojus'!$C:$X,2+$C17,FALSE),0)+IF(AP$6="X",VLOOKUP(AP$10,'VK-Transport'!$C:$X,2+$B17,0))+IF(AP$8="X",VLOOKUP(AP$10,'VK-Elekter'!$C:$X,2+$D17,0))+IF(AP$9="X",VLOOKUP(AP$10,'VK-Biokütused'!$C:$U,2+$E17,0))+IF(AP$5="X",VLOOKUP(AP$10,'VK-Põlevkivi'!$C:$X,2+$G17,0))+IF(AP$4="X",VLOOKUP(AP$10,'VK-Võrgud'!$C:$X,2+$F17,0))</f>
        <v>6.78</v>
      </c>
      <c r="AQ17" s="320">
        <f t="shared" si="14"/>
        <v>1.2599999999999998</v>
      </c>
      <c r="AR17" s="209">
        <f>IF(AR$7="X",VLOOKUP(AR$10,'VK-Hooned-Soojus'!$C:$X,2+$C17,FALSE),0)+IF(AR$6="X",VLOOKUP(AR$10,'VK-Transport'!$C:$X,2+$B17,0))+IF(AR$8="X",VLOOKUP(AR$10,'VK-Elekter'!$C:$X,2+$D17,0))+IF(AR$9="X",VLOOKUP(AR$10,'VK-Biokütused'!$C:$U,2+$E17,0))+IF(AR$5="X",VLOOKUP(AR$10,'VK-Põlevkivi'!$C:$X,2+$G17,0))+IF(AR$4="X",VLOOKUP(AR$10,'VK-Võrgud'!$C:$X,2+$F17,0))</f>
        <v>3.4899999999999998</v>
      </c>
      <c r="AS17" s="320">
        <f>VLOOKUP("Kütuste tarbimine @ 2030 - UTTEGAAS",'VK-Hooned-Soojus'!$C:$X,2+$C17,FALSE)/0.172+VLOOKUP("Kütuste tarbimine @ 2030 - UTTEGAAS",'VK-Elekter'!$C:$X,2+$D17,FALSE)/0.172-AR17-AU17</f>
        <v>2.7565116279069759</v>
      </c>
      <c r="AT17" s="209">
        <f>IF(AT$7="X",VLOOKUP(AT$10,'VK-Hooned-Soojus'!$C:$X,2+$C17,FALSE),0)+IF(AT$6="X",VLOOKUP(AT$10,'VK-Transport'!$C:$X,2+$B17,0))+IF(AT$8="X",VLOOKUP(AT$10,'VK-Elekter'!$C:$X,2+$D17,0))+IF(AT$9="X",VLOOKUP(AT$10,'VK-Biokütused'!$C:$U,2+$E17,0))+IF(AT$5="X",VLOOKUP(AT$10,'VK-Põlevkivi'!$C:$X,2+$G17,0))+IF(AT$4="X",VLOOKUP(AT$10,'VK-Võrgud'!$C:$X,2+$F17,0))</f>
        <v>12.004929222526066</v>
      </c>
      <c r="AU17" s="229">
        <f>MAX(0,(VLOOKUP("Kütuste tarbimine @ 2030 - UTTEGAAS",'VK-Hooned-Soojus'!$C:$X,2+$C17,FALSE)/0.172+VLOOKUP("Kütuste tarbimine @ 2030 - UTTEGAAS",'VK-Elekter'!$C:$X,2+$D17,FALSE)/0.172)*0.52-VLOOKUP("Kütuste tarbimine @ 2030 - PÕLEVKIVIÕLI",'VK-Hooned-Soojus'!$C:$X,2+$C17,FALSE))</f>
        <v>4.6837209302325586</v>
      </c>
      <c r="AV17" s="209">
        <f>IF(AV$7="X",VLOOKUP(AV$10,'VK-Hooned-Soojus'!$C:$X,2+$C17,FALSE),0)+IF(AV$6="X",VLOOKUP(AV$10,'VK-Transport'!$C:$X,2+$B17,0))+IF(AV$8="X",VLOOKUP(AV$10,'VK-Elekter'!$C:$X,2+$D17,0))+IF(AV$9="X",VLOOKUP(AV$10,'VK-Biokütused'!$C:$U,2+$E17,0))+IF(AV$5="X",VLOOKUP(AV$10,'VK-Põlevkivi'!$C:$X,2+$G17,0))+IF(AV$4="X",VLOOKUP(AV$10,'VK-Võrgud'!$C:$X,2+$F17,0))</f>
        <v>1.1831224847375093</v>
      </c>
      <c r="AW17" s="209">
        <f>IF(AW$7="X",VLOOKUP(AW$10,'VK-Hooned-Soojus'!$C:$X,2+$C17,FALSE),0)+IF(AW$6="X",VLOOKUP(AW$10,'VK-Transport'!$C:$X,2+$B17,0))+IF(AW$8="X",VLOOKUP(AW$10,'VK-Elekter'!$C:$X,2+$D17,0))+IF(AW$9="X",VLOOKUP(AW$10,'VK-Biokütused'!$C:$U,2+$E17,0))+IF(AW$5="X",VLOOKUP(AW$10,'VK-Põlevkivi'!$C:$X,2+$G17,0))+IF(AW$4="X",VLOOKUP(AW$10,'VK-Võrgud'!$C:$X,2+$F17,0))</f>
        <v>0</v>
      </c>
      <c r="AX17" s="229">
        <f t="shared" si="34"/>
        <v>0</v>
      </c>
      <c r="AY17" s="229">
        <f t="shared" si="15"/>
        <v>1.1831224847375093</v>
      </c>
      <c r="AZ17" s="230">
        <f t="shared" si="0"/>
        <v>0.56884987038768975</v>
      </c>
      <c r="BA17" s="209">
        <f>IF(BA$7="X",VLOOKUP(BA$10,'VK-Hooned-Soojus'!$C:$X,2+$C17,FALSE),0)+IF(BA$6="X",VLOOKUP(BA$10,'VK-Transport'!$C:$X,2+$B17,0))+IF(BA$8="X",VLOOKUP(BA$10,'VK-Elekter'!$C:$X,2+$D17,0))+IF(BA$9="X",VLOOKUP(BA$10,'VK-Biokütused'!$C:$U,2+$E17,0))+IF(BA$5="X",VLOOKUP(BA$10,'VK-Põlevkivi'!$C:$X,2+$G17,0))+IF(BA$4="X",VLOOKUP(BA$10,'VK-Võrgud'!$C:$X,2+$F17,0))</f>
        <v>4.2</v>
      </c>
      <c r="BB17" s="209">
        <f>IF(BB$7="X",VLOOKUP(BB$10,'VK-Hooned-Soojus'!$C:$X,2+$C17,FALSE),0)+IF(BB$6="X",VLOOKUP(BB$10,'VK-Transport'!$C:$X,2+$B17,0))+IF(BB$8="X",VLOOKUP(BB$10,'VK-Elekter'!$C:$X,2+$D17,0))+IF(BB$9="X",VLOOKUP(BB$10,'VK-Biokütused'!$C:$U,2+$E17,0))+IF(BB$5="X",VLOOKUP(BB$10,'VK-Põlevkivi'!$C:$X,2+$G17,0))+IF(BB$4="X",VLOOKUP(BB$10,'VK-Võrgud'!$C:$X,2+$F17,0))</f>
        <v>5.1000000000000005</v>
      </c>
      <c r="BC17" s="209">
        <f>IF(BC$7="X",VLOOKUP(BC$10,'VK-Hooned-Soojus'!$C:$X,2+$C17,FALSE),0)+IF(BC$6="X",VLOOKUP(BC$10,'VK-Transport'!$C:$X,2+$B17,0))+IF(BC$8="X",VLOOKUP(BC$10,'VK-Elekter'!$C:$X,2+$D17,0))+IF(BC$9="X",VLOOKUP(BC$10,'VK-Biokütused'!$C:$U,2+$E17,0))+IF(BC$5="X",VLOOKUP(BC$10,'VK-Põlevkivi'!$C:$X,2+$G17,0))+IF(BC$4="X",VLOOKUP(BC$10,'VK-Võrgud'!$C:$X,2+$F17,0))</f>
        <v>8.0523611111111126</v>
      </c>
      <c r="BD17" s="209">
        <f>IF(BD$7="X",VLOOKUP(BD$10,'VK-Hooned-Soojus'!$C:$X,2+$C17,FALSE),0)+IF(BD$6="X",VLOOKUP(BD$10,'VK-Transport'!$C:$X,2+$B17,0))+IF(BD$8="X",VLOOKUP(BD$10,'VK-Elekter'!$C:$X,2+$D17,0))+IF(BD$9="X",VLOOKUP(BD$10,'VK-Biokütused'!$C:$U,2+$E17,0))+IF(BD$5="X",VLOOKUP(BD$10,'VK-Põlevkivi'!$C:$X,2+$G17,0))+IF(BD$4="X",VLOOKUP(BD$10,'VK-Võrgud'!$C:$X,2+$F17,0))</f>
        <v>10.42138888888889</v>
      </c>
      <c r="BE17" s="230"/>
      <c r="BF17" s="229">
        <f t="shared" si="16"/>
        <v>0.35144163448352844</v>
      </c>
      <c r="BG17" s="209" t="e">
        <f>(IF(BG$7="X",VLOOKUP(BG$10,'VK-Hooned-Soojus'!$C:$X,2+$C17,FALSE),0)+IF(BG$6="X",VLOOKUP(BG$10,'VK-Transport'!$C:$X,2+$B17,0))+IF(BG$8="X",VLOOKUP(BG$10,'VK-Elekter'!$C:$X,2+$D17,0))+IF(BG$9="X",VLOOKUP(BG$10,'VK-Biokütused'!$C:$U,2+$E17,0))+IF(BG$5="X",VLOOKUP(BG$10,'VK-Põlevkivi'!$C:$X,2+$G17,0))+IF(BG$4="X",VLOOKUP(BG$10,'VK-Võrgud'!$C:$X,2+$F17,0)))/20</f>
        <v>#N/A</v>
      </c>
      <c r="BH17" s="209">
        <f>(IF(BH$7="X",VLOOKUP(BH$10,'VK-Hooned-Soojus'!$C:$X,2+$C17,FALSE),0)+IF(BH$6="X",VLOOKUP(BH$10,'VK-Transport'!$C:$X,2+$B17,0))+IF(BH$8="X",VLOOKUP(BH$10,'VK-Elekter'!$C:$X,2+$D17,0))+IF(BH$9="X",VLOOKUP(BH$10,'VK-Biokütused'!$C:$U,2+$E17,0))+IF(BH$5="X",VLOOKUP(BH$10,'VK-Põlevkivi'!$C:$X,2+$G17,0))+IF(BH$4="X",VLOOKUP(BH$10,'VK-Võrgud'!$C:$X,2+$F17,0)))/20</f>
        <v>13.99</v>
      </c>
      <c r="BI17" s="209">
        <f>(IF(BI$7="X",VLOOKUP(BI$10,'VK-Hooned-Soojus'!$C:$X,2+$C17,FALSE),0)+IF(BI$6="X",VLOOKUP(BI$10,'VK-Transport'!$C:$X,2+$B17,0))+IF(BI$8="X",VLOOKUP(BI$10,'VK-Elekter'!$C:$X,2+$D17,0))+IF(BI$9="X",VLOOKUP(BI$10,'VK-Biokütused'!$C:$U,2+$E17,0))+IF(BI$5="X",VLOOKUP(BI$10,'VK-Põlevkivi'!$C:$X,2+$G17,0))+IF(BI$4="X",VLOOKUP(BI$10,'VK-Võrgud'!$C:$X,2+$F17,0)))/16</f>
        <v>17.75</v>
      </c>
      <c r="BJ17" s="209">
        <f>(IF(BJ$7="X",VLOOKUP(BJ$10,'VK-Hooned-Soojus'!$C:$X,2+$C17,FALSE),0)+IF(BJ$6="X",VLOOKUP(BJ$10,'VK-Transport'!$C:$X,2+$B17,0))+IF(BJ$8="X",VLOOKUP(BJ$10,'VK-Elekter'!$C:$X,2+$D17,0))+IF(BJ$9="X",VLOOKUP(BJ$10,'VK-Biokütused'!$C:$U,2+$E17,0))+IF(BJ$5="X",VLOOKUP(BJ$10,'VK-Põlevkivi'!$C:$X,2+$G17,0))+IF(BJ$4="X",VLOOKUP(BJ$10,'VK-Võrgud'!$C:$X,2+$F17,0)))/20</f>
        <v>1.85</v>
      </c>
      <c r="BK17" s="209"/>
      <c r="BL17" s="209"/>
      <c r="BM17" s="209"/>
      <c r="BN17" s="209" t="e">
        <f>(IF(BN$7="X",VLOOKUP(BN$10,'VK-Hooned-Soojus'!$C:$X,2+$C17,FALSE),0)+IF(BN$6="X",VLOOKUP(BN$10,'VK-Transport'!$C:$X,2+$B17,0))+IF(BN$8="X",VLOOKUP(BN$10,'VK-Elekter'!$C:$X,2+$D17,0))+IF(BN$9="X",VLOOKUP(BN$10,'VK-Biokütused'!$C:$U,2+$E17,0))+IF(BN$5="X",VLOOKUP(BN$10,'VK-Põlevkivi'!$C:$X,2+$G17,0))+IF(BN$4="X",VLOOKUP(BN$10,'VK-Võrgud'!$C:$X,2+$F17,0)))/16</f>
        <v>#N/A</v>
      </c>
      <c r="BO17" s="209">
        <f>(IF(BO$7="X",VLOOKUP(BO$10,'VK-Hooned-Soojus'!$C:$X,2+$C17,FALSE),0)+IF(BO$6="X",VLOOKUP(BO$10,'VK-Transport'!$C:$X,2+$B17,0))+IF(BO$8="X",VLOOKUP(BO$10,'VK-Elekter'!$C:$X,2+$D17,0))+IF(BO$9="X",VLOOKUP(BO$10,'VK-Biokütused'!$C:$U,2+$E17,0))+IF(BO$5="X",VLOOKUP(BO$10,'VK-Põlevkivi'!$C:$X,2+$G17,0))+IF(BO$4="X",VLOOKUP(BO$10,'VK-Võrgud'!$C:$X,2+$F17,0)))/16</f>
        <v>496.33125000000001</v>
      </c>
      <c r="BP17" s="209"/>
      <c r="BQ17" s="209">
        <f>(IF(BQ$7="X",VLOOKUP(BQ$10,'VK-Hooned-Soojus'!$C:$X,2+$C17,FALSE),0)+IF(BQ$6="X",VLOOKUP(BQ$10,'VK-Transport'!$C:$X,2+$B17,0))+IF(BQ$8="X",VLOOKUP(BQ$10,'VK-Elekter'!$C:$X,2+$D17,0))+IF(BQ$9="X",VLOOKUP(BQ$10,'VK-Biokütused'!$C:$U,2+$E17,0))+IF(BQ$5="X",VLOOKUP(BQ$10,'VK-Põlevkivi'!$C:$X,2+$G17,0))+IF(BQ$4="X",VLOOKUP(BQ$10,'VK-Võrgud'!$C:$X,2+$F17,0)))/16</f>
        <v>4.7249999999999996</v>
      </c>
      <c r="BR17" s="209">
        <f>(IF(BR$7="X",VLOOKUP(BR$10,'VK-Hooned-Soojus'!$C:$X,2+$C17,FALSE),0)+IF(BR$6="X",VLOOKUP(BR$10,'VK-Transport'!$C:$X,2+$B17,0))+IF(BR$8="X",VLOOKUP(BR$10,'VK-Elekter'!$C:$X,2+$D17,0))+IF(BR$9="X",VLOOKUP(BR$10,'VK-Biokütused'!$C:$U,2+$E17,0))+IF(BR$5="X",VLOOKUP(BR$10,'VK-Põlevkivi'!$C:$X,2+$G17,0))+IF(BR$4="X",VLOOKUP(BR$10,'VK-Võrgud'!$C:$X,2+$F17,0)))/16</f>
        <v>-74.512500000000003</v>
      </c>
      <c r="BS17" s="209">
        <f>(IF(BS$7="X",VLOOKUP(BS$10,'VK-Hooned-Soojus'!$C:$X,2+$C17,FALSE),0)+IF(BS$6="X",VLOOKUP(BS$10,'VK-Transport'!$C:$X,2+$B17,0))+IF(BS$8="X",VLOOKUP(BS$10,'VK-Elekter'!$C:$X,2+$D17,0))+IF(BS$9="X",VLOOKUP(BS$10,'VK-Biokütused'!$C:$U,2+$E17,0))+IF(BS$5="X",VLOOKUP(BS$10,'VK-Põlevkivi'!$C:$X,2+$G17,0))+IF(BS$4="X",VLOOKUP(BS$10,'VK-Võrgud'!$C:$X,2+$F17,0)))/16</f>
        <v>-100.68125000000001</v>
      </c>
      <c r="BT17" s="209"/>
      <c r="BU17" s="209"/>
      <c r="BV17" s="209">
        <f>(IF(BV$7="X",VLOOKUP(BV$10,'VK-Hooned-Soojus'!$C:$X,2+$C17,FALSE),0)+IF(BV$6="X",VLOOKUP(BV$10,'VK-Transport'!$C:$X,2+$B17,0))+IF(BV$8="X",VLOOKUP(BV$10,'VK-Elekter'!$C:$X,2+$D17,0))+IF(BV$9="X",VLOOKUP(BV$10,'VK-Biokütused'!$C:$U,2+$E17,0))+IF(BV$5="X",VLOOKUP(BV$10,'VK-Põlevkivi'!$C:$X,2+$G17,0))+IF(BV$4="X",VLOOKUP(BV$10,'VK-Võrgud'!$C:$X,2+$F17,0)))/16</f>
        <v>0</v>
      </c>
      <c r="BW17" s="209"/>
      <c r="BX17" s="209">
        <f>(IF(BX$7="X",VLOOKUP(BX$10,'VK-Hooned-Soojus'!$C:$X,2+$C17,FALSE),0)+IF(BX$6="X",VLOOKUP(BX$10,'VK-Transport'!$C:$X,2+$B17,0))+IF(BX$8="X",VLOOKUP(BX$10,'VK-Elekter'!$C:$X,2+$D17,0))+IF(BX$9="X",VLOOKUP(BX$10,'VK-Biokütused'!$C:$U,2+$E17,0))+IF(BX$5="X",VLOOKUP(BX$10,'VK-Põlevkivi'!$C:$X,2+$G17,0))+IF(BX$4="X",VLOOKUP(BX$10,'VK-Võrgud'!$C:$X,2+$F17,0)))/16</f>
        <v>-99.4375</v>
      </c>
      <c r="BY17" s="209"/>
      <c r="BZ17" s="209"/>
      <c r="CA17" s="209" t="e">
        <f>(IF(CA$7="X",VLOOKUP(CA$10,'VK-Hooned-Soojus'!$C:$X,2+$C17,FALSE),0)+IF(CA$6="X",VLOOKUP(CA$10,'VK-Transport'!$C:$X,2+$B17,0))+IF(CA$8="X",VLOOKUP(CA$10,'VK-Elekter'!$C:$X,2+$D17,0))+IF(CA$9="X",VLOOKUP(CA$10,'VK-Biokütused'!$C:$U,2+$E17,0))+IF(CA$5="X",VLOOKUP(CA$10,'VK-Põlevkivi'!$C:$X,2+$G17,0))+IF(CA$4="X",VLOOKUP(CA$10,'VK-Võrgud'!$C:$X,2+$F17,0)))/16</f>
        <v>#N/A</v>
      </c>
      <c r="CB17" s="209">
        <f>(IF(CB$7="X",VLOOKUP(CB$10,'VK-Hooned-Soojus'!$C:$X,2+$C17,FALSE),0)+IF(CB$6="X",VLOOKUP(CB$10,'VK-Transport'!$C:$X,2+$B17,0))+IF(CB$8="X",VLOOKUP(CB$10,'VK-Elekter'!$C:$X,2+$D17,0))+IF(CB$9="X",VLOOKUP(CB$10,'VK-Biokütused'!$C:$U,2+$E17,0))+IF(CB$5="X",VLOOKUP(CB$10,'VK-Põlevkivi'!$C:$X,2+$G17,0))+IF(CB$4="X",VLOOKUP(CB$10,'VK-Võrgud'!$C:$X,2+$F17,0)))/16</f>
        <v>0</v>
      </c>
      <c r="CC17" s="209">
        <f>(IF(CC$7="X",VLOOKUP(CC$10,'VK-Hooned-Soojus'!$C:$X,2+$C17,FALSE),0)+IF(CC$6="X",VLOOKUP(CC$10,'VK-Transport'!$C:$X,2+$B17,0))+IF(CC$8="X",VLOOKUP(CC$10,'VK-Elekter'!$C:$X,2+$D17,0))+IF(CC$9="X",VLOOKUP(CC$10,'VK-Biokütused'!$C:$U,2+$E17,0))+IF(CC$5="X",VLOOKUP(CC$10,'VK-Põlevkivi'!$C:$X,2+$G17,0))+IF(CC$4="X",VLOOKUP(CC$10,'VK-Võrgud'!$C:$X,2+$F17,0)))/16</f>
        <v>0</v>
      </c>
      <c r="CD17" s="209"/>
      <c r="CE17" s="209">
        <f>(IF(CE$7="X",VLOOKUP(CE$10,'VK-Hooned-Soojus'!$C:$X,2+$C17,FALSE),0)+IF(CE$6="X",VLOOKUP(CE$10,'VK-Transport'!$C:$X,2+$B17,0))+IF(CE$8="X",VLOOKUP(CE$10,'VK-Elekter'!$C:$X,2+$D17,0))+IF(CE$9="X",VLOOKUP(CE$10,'VK-Biokütused'!$C:$U,2+$E17,0))+IF(CE$5="X",VLOOKUP(CE$10,'VK-Põlevkivi'!$C:$X,2+$G17,0))+IF(CE$4="X",VLOOKUP(CE$10,'VK-Võrgud'!$C:$X,2+$F17,0)))/16</f>
        <v>24.15625</v>
      </c>
      <c r="CF17" s="209"/>
      <c r="CG17" s="209">
        <f>(IF(CG$7="X",VLOOKUP(CG$10,'VK-Hooned-Soojus'!$C:$X,2+$C17,FALSE),0)+IF(CG$6="X",VLOOKUP(CG$10,'VK-Transport'!$C:$X,2+$B17,0))+IF(CG$8="X",VLOOKUP(CG$10,'VK-Elekter'!$C:$X,2+$D17,0))+IF(CG$9="X",VLOOKUP(CG$10,'VK-Biokütused'!$C:$U,2+$E17,0))+IF(CG$5="X",VLOOKUP(CG$10,'VK-Põlevkivi'!$C:$X,2+$G17,0))+IF(CG$4="X",VLOOKUP(CG$10,'VK-Võrgud'!$C:$X,2+$F17,0)))/16</f>
        <v>0</v>
      </c>
      <c r="CH17" s="209">
        <f>(IF(CH$7="X",VLOOKUP(CH$10,'VK-Hooned-Soojus'!$C:$X,2+$C17,FALSE),0)+IF(CH$6="X",VLOOKUP(CH$10,'VK-Transport'!$C:$X,2+$B17,0))+IF(CH$8="X",VLOOKUP(CH$10,'VK-Elekter'!$C:$X,2+$D17,0))+IF(CH$9="X",VLOOKUP(CH$10,'VK-Biokütused'!$C:$U,2+$E17,0))+IF(CH$5="X",VLOOKUP(CH$10,'VK-Põlevkivi'!$C:$X,2+$G17,0))+IF(CH$4="X",VLOOKUP(CH$10,'VK-Võrgud'!$C:$X,2+$F17,0)))/20*0.21</f>
        <v>5.6122500000000004</v>
      </c>
      <c r="CI17" s="209"/>
      <c r="CJ17" s="209">
        <f>(IF(CJ$7="X",VLOOKUP(CJ$10,'VK-Hooned-Soojus'!$C:$X,2+$C17,FALSE),0)+IF(CJ$6="X",VLOOKUP(CJ$10,'VK-Transport'!$C:$X,2+$B17,0))+IF(CJ$8="X",VLOOKUP(CJ$10,'VK-Elekter'!$C:$X,2+$D17,0))+IF(CJ$9="X",VLOOKUP(CJ$10,'VK-Biokütused'!$C:$U,2+$E17,0))+IF(CJ$5="X",VLOOKUP(CJ$10,'VK-Põlevkivi'!$C:$X,2+$G17,0))+IF(CJ$4="X",VLOOKUP(CJ$10,'VK-Võrgud'!$C:$X,2+$F17,0)))/1000</f>
        <v>20.213861099430584</v>
      </c>
      <c r="CK17" s="209">
        <f>(IF(CK$7="X",VLOOKUP(CK$10,'VK-Hooned-Soojus'!$C:$X,2+$C17,FALSE),0)+IF(CK$6="X",VLOOKUP(CK$10,'VK-Transport'!$C:$X,2+$B17,0))+IF(CK$8="X",VLOOKUP(CK$10,'VK-Elekter'!$C:$X,2+$D17,0))+IF(CK$9="X",VLOOKUP(CK$10,'VK-Biokütused'!$C:$U,2+$E17,0))+IF(CK$5="X",VLOOKUP(CK$10,'VK-Põlevkivi'!$C:$X,2+$G17,0))+IF(CK$4="X",VLOOKUP(CK$10,'VK-Võrgud'!$C:$X,2+$F17,0)))/1000</f>
        <v>12.807124562278599</v>
      </c>
      <c r="CL17" s="235">
        <f>(IF(CL$7="X",VLOOKUP(CL$10,'VK-Hooned-Soojus'!$C:$X,2+$C17,FALSE),0)+IF(CL$6="X",VLOOKUP(CL$10,'VK-Transport'!$C:$X,2+$B17,0))+IF(CL$8="X",VLOOKUP(CL$10,'VK-Elekter'!$C:$X,2+$D17,0))+IF(CL$9="X",VLOOKUP(CL$10,'VK-Biokütused'!$C:$U,2+$E17,0)))/1000</f>
        <v>9.5598856510938077</v>
      </c>
      <c r="CM17" s="209">
        <f>(IF(CM$7="X",VLOOKUP(CM$10,'VK-Hooned-Soojus'!$C:$X,2+$C17,FALSE),0)+IF(CM$6="X",VLOOKUP(CM$10,'VK-Transport'!$C:$X,2+$B17,0))+IF(CM$8="X",VLOOKUP(CM$10,'VK-Elekter'!$C:$X,2+$D17,0))+IF(CM$9="X",VLOOKUP(CM$10,'VK-Biokütused'!$C:$U,2+$E17,0))+IF(CM$5="X",VLOOKUP(CM$10,'VK-Põlevkivi'!$C:$X,2+$G17,0))+IF(CM$4="X",VLOOKUP(CM$10,'VK-Võrgud'!$C:$X,2+$F17,0)))/1000</f>
        <v>8.5683156794471032</v>
      </c>
      <c r="CN17" s="209">
        <f>(IF(CN$7="X",VLOOKUP(CN$10,'VK-Hooned-Soojus'!$C:$X,2+$C17,FALSE),0)+IF(CN$6="X",VLOOKUP(CN$10,'VK-Transport'!$C:$X,2+$B17,0))+IF(CN$8="X",VLOOKUP(CN$10,'VK-Elekter'!$C:$X,2+$D17,0))+IF(CN$9="X",VLOOKUP(CN$10,'VK-Biokütused'!$C:$U,2+$E17,0))+IF(CN$5="X",VLOOKUP(CN$10,'VK-Põlevkivi'!$C:$X,2+$G17,0))+IF(CN$4="X",VLOOKUP(CN$10,'VK-Võrgud'!$C:$X,2+$F17,0)))/1000</f>
        <v>3.0259999999999998</v>
      </c>
      <c r="CO17" s="209">
        <f>(IF(CO$7="X",VLOOKUP(CO$10,'VK-Hooned-Soojus'!$C:$X,2+$C17,FALSE),0)+IF(CO$6="X",VLOOKUP(CO$10,'VK-Transport'!$C:$X,2+$B17,0))+IF(CO$8="X",VLOOKUP(CO$10,'VK-Elekter'!$C:$X,2+$D17,0))+IF(CO$9="X",VLOOKUP(CO$10,'VK-Biokütused'!$C:$U,2+$E17,0))+IF(CO$5="X",VLOOKUP(CO$10,'VK-Põlevkivi'!$C:$X,2+$G17,0))+IF(CO$4="X",VLOOKUP(CO$10,'VK-Võrgud'!$C:$X,2+$F17,0)))/1000</f>
        <v>25.671649773285456</v>
      </c>
      <c r="CP17" s="209">
        <f>(IF(CP$7="X",VLOOKUP(CP$10,'VK-Hooned-Soojus'!$C:$X,2+$C17,FALSE),0)+IF(CP$6="X",VLOOKUP(CP$10,'VK-Transport'!$C:$X,2+$B17,0))+IF(CP$8="X",VLOOKUP(CP$10,'VK-Elekter'!$C:$X,2+$D17,0))+IF(CP$9="X",VLOOKUP(CP$10,'VK-Biokütused'!$C:$U,2+$E17,0))+IF(CP$5="X",VLOOKUP(CP$10,'VK-Põlevkivi'!$C:$X,2+$G17,0))+IF(CP$4="X",VLOOKUP(CP$10,'VK-Võrgud'!$C:$X,2+$F17,0)))/1000</f>
        <v>13.825948584295613</v>
      </c>
      <c r="CQ17" s="235">
        <f>(IF(CQ$7="X",VLOOKUP(CQ$10,'VK-Hooned-Soojus'!$C:$X,2+$C17,FALSE),0)+IF(CQ$6="X",VLOOKUP(CQ$10,'VK-Transport'!$C:$X,2+$B17,0))+IF(CQ$8="X",VLOOKUP(CQ$10,'VK-Elekter'!$C:$X,2+$D17,0))+IF(CQ$9="X",VLOOKUP(CQ$10,'VK-Biokütused'!$C:$U,2+$E17,0)))/1000</f>
        <v>11.215907</v>
      </c>
      <c r="CR17" s="209">
        <f>(IF(CR$7="X",VLOOKUP(CR$10,'VK-Hooned-Soojus'!$C:$X,2+$C17,FALSE),0)+IF(CR$6="X",VLOOKUP(CR$10,'VK-Transport'!$C:$X,2+$B17,0))+IF(CR$8="X",VLOOKUP(CR$10,'VK-Elekter'!$C:$X,2+$D17,0))+IF(CR$9="X",VLOOKUP(CR$10,'VK-Biokütused'!$C:$U,2+$E17,0))+IF(CR$5="X",VLOOKUP(CR$10,'VK-Põlevkivi'!$C:$X,2+$G17,0))+IF(CR$4="X",VLOOKUP(CR$10,'VK-Võrgud'!$C:$X,2+$F17,0)))/1000</f>
        <v>8.1227533562748047</v>
      </c>
      <c r="CS17" s="209">
        <f>(IF(CS$7="X",VLOOKUP(CS$10,'VK-Hooned-Soojus'!$C:$X,2+$C17,FALSE),0)+IF(CS$6="X",VLOOKUP(CS$10,'VK-Transport'!$C:$X,2+$B17,0))+IF(CS$8="X",VLOOKUP(CS$10,'VK-Elekter'!$C:$X,2+$D17,0))+IF(CS$9="X",VLOOKUP(CS$10,'VK-Biokütused'!$C:$U,2+$E17,0))+IF(CS$5="X",VLOOKUP(CS$10,'VK-Põlevkivi'!$C:$X,2+$G17,0))+IF(CS$4="X",VLOOKUP(CS$10,'VK-Võrgud'!$C:$X,2+$F17,0)))/1000</f>
        <v>3.9861524051216151</v>
      </c>
      <c r="CT17" s="209">
        <f>IF(CT$7="X",VLOOKUP(CT$10,'VK-Hooned-Soojus'!$C:$X,2+$C17,FALSE),0)+IF(CT$6="X",VLOOKUP(CT$10,'VK-Transport'!$C:$X,2+$B17,0))+IF(CT$8="X",VLOOKUP(CT$10,'VK-Elekter'!$C:$X,2+$D17,0))+IF(CT$9="X",VLOOKUP(CT$10,'VK-Biokütused'!$C:$U,2+$E17,0))+IF(CT$5="X",VLOOKUP(CT$10,'VK-Põlevkivi'!$C:$X,2+$G17,0))+IF(CT$4="X",VLOOKUP(CT$10,'VK-Võrgud'!$C:$X,2+$F17,0))</f>
        <v>90</v>
      </c>
      <c r="CU17" s="209">
        <f>IF(CU$7="X",VLOOKUP(CU$10,'VK-Hooned-Soojus'!$C:$X,2+$C17,FALSE),0)+IF(CU$6="X",VLOOKUP(CU$10,'VK-Transport'!$C:$X,2+$B17,0))+IF(CU$8="X",VLOOKUP(CU$10,'VK-Elekter'!$C:$X,2+$D17,0))+IF(CU$9="X",VLOOKUP(CU$10,'VK-Biokütused'!$C:$U,2+$E17,0))+IF(CU$5="X",VLOOKUP(CU$10,'VK-Põlevkivi'!$C:$X,2+$G17,0))+IF(CU$4="X",VLOOKUP(CU$10,'VK-Võrgud'!$C:$X,2+$F17,0))</f>
        <v>0.9337349397590361</v>
      </c>
      <c r="CV17" s="209">
        <f t="shared" si="1"/>
        <v>1</v>
      </c>
      <c r="CW17" s="209">
        <f>(IF(CW$7="X",VLOOKUP(CW$10,'VK-Hooned-Soojus'!$C:$X,2+$C17,FALSE),0)+IF(CW$6="X",VLOOKUP(CW$10,'VK-Transport'!$C:$X,2+$B17,0))+IF(CW$8="X",VLOOKUP(CW$10,'VK-Elekter'!$C:$X,2+$D17,0))+IF(CW$9="X",VLOOKUP(CW$10,'VK-Biokütused'!$C:$U,2+$E17,0))+IF(CW$5="X",VLOOKUP(CW$10,'VK-Põlevkivi'!$C:$X,2+$G17,0))+IF(CW$4="X",VLOOKUP(CW$10,'VK-Võrgud'!$C:$X,2+$F17,0)))/16</f>
        <v>0</v>
      </c>
      <c r="CY17" s="209">
        <f>(IF(CY$7="X",VLOOKUP(CY$10,'VK-Hooned-Soojus'!$C:$X,2+$C17,FALSE),0)+IF(CY$6="X",VLOOKUP(CY$10,'VK-Transport'!$C:$X,2+$B17,0))+IF(CY$8="X",VLOOKUP(CY$10,'VK-Elekter'!$C:$X,2+$D17,0))+IF(CY$9="X",VLOOKUP(CY$10,'VK-Biokütused'!$C:$U,2+$E17,0))+IF(CY$5="X",VLOOKUP(CY$10,'VK-Põlevkivi'!$C:$X,2+$G17,0))+IF(CY$4="X",VLOOKUP(CY$10,'VK-Võrgud'!$C:$X,2+$F17,0)))/1000</f>
        <v>11.494</v>
      </c>
      <c r="CZ17" s="209">
        <f>(IF(CZ$7="X",VLOOKUP(CZ$10,'VK-Hooned-Soojus'!$C:$X,2+$C17,FALSE),0)+IF(CZ$6="X",VLOOKUP(CZ$10,'VK-Transport'!$C:$X,2+$B17,0))+IF(CZ$8="X",VLOOKUP(CZ$10,'VK-Elekter'!$C:$X,2+$D17,0))+IF(CZ$9="X",VLOOKUP(CZ$10,'VK-Biokütused'!$C:$U,2+$E17,0))+IF(CZ$5="X",VLOOKUP(CZ$10,'VK-Põlevkivi'!$C:$X,2+$G17,0))+IF(CZ$4="X",VLOOKUP(CZ$10,'VK-Võrgud'!$C:$X,2+$F17,0)))</f>
        <v>80</v>
      </c>
      <c r="DA17" s="209">
        <f>(IF(DA$7="X",VLOOKUP(DA$10,'VK-Hooned-Soojus'!$C:$X,2+$C17,FALSE),0)+IF(DA$6="X",VLOOKUP(DA$10,'VK-Transport'!$C:$X,2+$B17,0))+IF(DA$8="X",VLOOKUP(DA$10,'VK-Elekter'!$C:$X,2+$D17,0))+IF(DA$9="X",VLOOKUP(DA$10,'VK-Biokütused'!$C:$U,2+$E17,0))+IF(DA$5="X",VLOOKUP(DA$10,'VK-Põlevkivi'!$C:$X,2+$G17,0))+IF(DA$4="X",VLOOKUP(DA$10,'VK-Võrgud'!$C:$X,2+$F17,0)))/1000</f>
        <v>15.39</v>
      </c>
      <c r="DB17" s="209">
        <f>(IF(DB$7="X",VLOOKUP(DB$10,'VK-Hooned-Soojus'!$C:$X,2+$C17,FALSE),0)+IF(DB$6="X",VLOOKUP(DB$10,'VK-Transport'!$C:$X,2+$B17,0))+IF(DB$8="X",VLOOKUP(DB$10,'VK-Elekter'!$C:$X,2+$D17,0))+IF(DB$9="X",VLOOKUP(DB$10,'VK-Biokütused'!$C:$U,2+$E17,0))+IF(DB$5="X",VLOOKUP(DB$10,'VK-Põlevkivi'!$C:$X,2+$G17,0))+IF(DB$4="X",VLOOKUP(DB$10,'VK-Võrgud'!$C:$X,2+$F17,0)))/1000/3.6</f>
        <v>68.699444444444453</v>
      </c>
      <c r="DC17" s="209">
        <f>(IF(DC$7="X",VLOOKUP(DC$10,'VK-Hooned-Soojus'!$C:$X,2+$C17,FALSE),0)+IF(DC$6="X",VLOOKUP(DC$10,'VK-Transport'!$C:$X,2+$B17,0))+IF(DC$8="X",VLOOKUP(DC$10,'VK-Elekter'!$C:$X,2+$D17,0))+IF(DC$9="X",VLOOKUP(DC$10,'VK-Biokütused'!$C:$U,2+$E17,0))+IF(DC$5="X",VLOOKUP(DC$10,'VK-Põlevkivi'!$C:$X,2+$G17,0))+IF(DC$4="X",VLOOKUP(DC$10,'VK-Võrgud'!$C:$X,2+$F17,0)))/1000000</f>
        <v>5.5214049999999997</v>
      </c>
      <c r="DD17" s="209"/>
      <c r="DE17" s="88">
        <f>VLOOKUP(Tulemused!$BN$12,data!M$7:N$12,2,FALSE)-SUM(L17,M17)</f>
        <v>-3.4066444444444528</v>
      </c>
      <c r="DF17" s="209" t="str">
        <f>IF(AZ17&lt;=VLOOKUP(Tulemused!$BN$15,data!$E$36:$F$39,2,FALSE),"JAH","EI")</f>
        <v>JAH</v>
      </c>
      <c r="DG17" s="209"/>
      <c r="DH17" s="209">
        <f t="shared" si="2"/>
        <v>6.78</v>
      </c>
      <c r="DI17" s="231" t="str">
        <f t="shared" si="17"/>
        <v>EI</v>
      </c>
      <c r="DK17" s="232">
        <f t="shared" si="3"/>
        <v>-999.26265560172487</v>
      </c>
      <c r="DM17" s="233">
        <f t="shared" si="4"/>
        <v>7.4673992044735735</v>
      </c>
      <c r="DN17" s="87">
        <f t="array" ref="DN17">INDEX($A$11:$A$145, SMALL(IF(DM17=$DK$11:$DK$145, MATCH(ROW($DK$11:$DK$145), ROW($DK$11:$DK$145))), SUM(--(DM17=$DM$11:DM17))))</f>
        <v>126</v>
      </c>
      <c r="DP17" s="87" t="e">
        <f t="shared" ca="1" si="18"/>
        <v>#N/A</v>
      </c>
      <c r="DQ17" s="87" t="e">
        <f t="shared" ca="1" si="19"/>
        <v>#N/A</v>
      </c>
      <c r="DR17" s="87">
        <f t="shared" ca="1" si="20"/>
        <v>0</v>
      </c>
      <c r="DS17" s="87" t="e">
        <f t="shared" ca="1" si="21"/>
        <v>#N/A</v>
      </c>
      <c r="DT17" s="87">
        <f t="shared" ca="1" si="22"/>
        <v>0</v>
      </c>
      <c r="DU17" s="87" t="e">
        <f t="shared" ca="1" si="23"/>
        <v>#N/A</v>
      </c>
      <c r="DV17" s="87" t="e">
        <f t="shared" ca="1" si="24"/>
        <v>#N/A</v>
      </c>
      <c r="DW17" s="87">
        <f t="shared" ca="1" si="25"/>
        <v>0</v>
      </c>
      <c r="DX17" s="87">
        <f t="shared" ca="1" si="26"/>
        <v>0</v>
      </c>
      <c r="DZ17" s="87">
        <f t="shared" ca="1" si="5"/>
        <v>0</v>
      </c>
      <c r="EB17" s="87">
        <f t="shared" ca="1" si="27"/>
        <v>0</v>
      </c>
      <c r="EC17" s="87" t="e">
        <f t="shared" ca="1" si="28"/>
        <v>#N/A</v>
      </c>
      <c r="EE17" s="228">
        <f>(IF(EE$7="X",VLOOKUP(EE$10,'VK-Hooned-Soojus'!$C:$X,2+$C17,FALSE),0)+IF(EE$6="X",VLOOKUP(EE$10,'VK-Transport'!$C:$X,2+$B17,0))+IF(EE$8="X",VLOOKUP(EE$10,'VK-Elekter'!$C:$X,2+$D17,0))+IF(EE$9="X",VLOOKUP(EE$10,'VK-Biokütused'!$C:$U,2+$E17,0))+IF(EE$5="X",VLOOKUP(EE$10,'VK-Põlevkivi'!$C:$X,2+$G17,0))+IF(EE$4="X",VLOOKUP(EE$10,'VK-Võrgud'!$C:$X,2+$F17,0)))</f>
        <v>4469.7386662138497</v>
      </c>
      <c r="EF17" s="235">
        <f>(IF(EF$7="X",VLOOKUP(EF$10,'VK-Hooned-Soojus'!$C:$X,2+$C17,FALSE),0)+IF(EF$6="X",VLOOKUP(EF$10,'VK-Transport'!$C:$X,2+$B17,0))+IF(EF$8="X",VLOOKUP(EF$10,'VK-Elekter'!$C:$X,2+$D17,0))+IF(EF$9="X",VLOOKUP(EF$10,'VK-Biokütused'!$C:$U,2+$E17,0)))/1000</f>
        <v>5.9806368215830608</v>
      </c>
      <c r="EG17" s="209">
        <f>(IF(EG$7="X",VLOOKUP(EG$10,'VK-Hooned-Soojus'!$C:$X,2+$C17,FALSE),0)+IF(EG$6="X",VLOOKUP(EG$10,'VK-Transport'!$C:$X,2+$B17,0))+IF(EG$8="X",VLOOKUP(EG$10,'VK-Elekter'!$C:$X,2+$D17,0))+IF(EG$9="X",VLOOKUP(EG$10,'VK-Biokütused'!$C:$U,2+$E17,0))+IF(EG$5="X",VLOOKUP(EG$10,'VK-Põlevkivi'!$C:$X,2+$G17,0))+IF(EG$4="X",VLOOKUP(EG$10,'VK-Võrgud'!$C:$X,2+$F17,0)))</f>
        <v>2.95</v>
      </c>
      <c r="EH17" s="209">
        <f>(IF(EH$7="X",VLOOKUP(EH$10,'VK-Hooned-Soojus'!$C:$X,2+$C17,FALSE),0)+IF(EH$6="X",VLOOKUP(EH$10,'VK-Transport'!$C:$X,2+$B17,0))+IF(EH$8="X",VLOOKUP(EH$10,'VK-Elekter'!$C:$X,2+$D17,0))+IF(EH$9="X",VLOOKUP(EH$10,'VK-Biokütused'!$C:$U,2+$E17,0)))+AR17+AS17+AU17+AX17</f>
        <v>57.418288113695084</v>
      </c>
      <c r="EI17" s="320">
        <f t="shared" si="6"/>
        <v>52.734567183462524</v>
      </c>
      <c r="EJ17" s="322">
        <f t="shared" si="7"/>
        <v>7.3408954233457072E-2</v>
      </c>
      <c r="EK17" s="323">
        <f t="shared" si="29"/>
        <v>0.41568159692162826</v>
      </c>
      <c r="EM17" s="209"/>
      <c r="EN17" s="209">
        <f t="shared" ca="1" si="8"/>
        <v>0</v>
      </c>
      <c r="EO17" s="209"/>
      <c r="EP17" s="234"/>
      <c r="EQ17" s="209">
        <f>(IF(EQ$7="X",VLOOKUP(EQ$10,'VK-Hooned-Soojus'!$C:$X,2+$C17,FALSE),0)+IF(EQ$6="X",VLOOKUP(EQ$10,'VK-Transport'!$C:$X,2+$B17,0))+IF(EQ$8="X",VLOOKUP(EQ$10,'VK-Elekter'!$C:$X,2+$D17,0))+IF(EQ$9="X",VLOOKUP(EQ$10,'VK-Biokütused'!$C:$U,2+$E17,0))+IF(EQ$5="X",VLOOKUP(EQ$10,'VK-Põlevkivi'!$C:$X,2+$G17,0))+IF(EQ$4="X",VLOOKUP(EQ$10,'VK-Võrgud'!$C:$X,2+$F17,0)))/1000</f>
        <v>0.22900000000000001</v>
      </c>
      <c r="ER17" s="209">
        <f>(IF(ER$7="X",VLOOKUP(ER$10,'VK-Hooned-Soojus'!$C:$X,2+$C17,FALSE),0)+IF(ER$6="X",VLOOKUP(ER$10,'VK-Transport'!$C:$X,2+$B17,0))+IF(ER$8="X",VLOOKUP(ER$10,'VK-Elekter'!$C:$X,2+$D17,0))+IF(ER$9="X",VLOOKUP(ER$10,'VK-Biokütused'!$C:$U,2+$E17,0))+IF(ER$5="X",VLOOKUP(ER$10,'VK-Põlevkivi'!$C:$X,2+$G17,0))+IF(ER$4="X",VLOOKUP(ER$10,'VK-Võrgud'!$C:$X,2+$F17,0)))</f>
        <v>0.82899999999999996</v>
      </c>
      <c r="ES17" s="209">
        <f>(IF(ES$7="X",VLOOKUP(ES$10,'VK-Hooned-Soojus'!$C:$X,2+$C17,FALSE),0)+IF(ES$6="X",VLOOKUP(ES$10,'VK-Transport'!$C:$X,2+$B17,0))+IF(ES$8="X",VLOOKUP(ES$10,'VK-Elekter'!$C:$X,2+$D17,0))+IF(ES$9="X",VLOOKUP(ES$10,'VK-Biokütused'!$C:$U,2+$E17,0))+IF(ES$5="X",VLOOKUP(ES$10,'VK-Põlevkivi'!$C:$X,2+$G17,0))+IF(ES$4="X",VLOOKUP(ES$10,'VK-Võrgud'!$C:$X,2+$F17,0)))</f>
        <v>6.78</v>
      </c>
      <c r="ET17" s="209"/>
      <c r="EU17" s="209"/>
      <c r="EV17" s="87">
        <f>'KSH järjestus'!AS10</f>
        <v>2240</v>
      </c>
      <c r="EX17" s="236"/>
      <c r="EY17" s="236"/>
      <c r="EZ17" s="237">
        <f t="shared" si="9"/>
        <v>6.6265060240963902E-2</v>
      </c>
      <c r="FA17" s="209">
        <f>IF(FA$7="X",VLOOKUP(FA$10,'VK-Hooned-Soojus'!$C:$X,2+$C17,FALSE),0)+IF(FA$6="X",VLOOKUP(FA$10,'VK-Transport'!$C:$X,2+$B17,0))+IF(FA$8="X",VLOOKUP(FA$10,'VK-Elekter'!$C:$X,2+$D17,0))+IF(FA$9="X",VLOOKUP(FA$10,'VK-Biokütused'!$C:$U,2+$E17,0))+IF(FA$5="X",VLOOKUP(FA$10,'VK-Põlevkivi'!$C:$X,2+$G17,0))+IF(FA$4="X",VLOOKUP(FA$10,'VK-Võrgud'!$C:$X,2+$F17,0))</f>
        <v>3481.9070000000002</v>
      </c>
      <c r="FB17" s="279">
        <f>(IF(FB$7="X",VLOOKUP(FB$10,'VK-Hooned-Soojus'!$C:$X,2+$C17,FALSE),0)+IF(FB$6="X",VLOOKUP(FB$10,'VK-Transport'!$C:$X,2+$B17,0))+IF(FB$8="X",VLOOKUP(FB$10,'VK-Elekter'!$C:$X,2+$D17,0))+IF(FB$9="X",VLOOKUP(FB$10,'VK-Biokütused'!$C:$U,2+$E17,0))+IF(FB$5="X",VLOOKUP(FB$10,'VK-Põlevkivi'!$C:$X,2+$G17,0))+IF(FB$4="X",VLOOKUP(FB$10,'VK-Võrgud'!$C:$X,2+$F17,0)))/16</f>
        <v>123.40502640747329</v>
      </c>
      <c r="FC17" s="209">
        <f>IF(FC$7="X",VLOOKUP(FC$10,'VK-Hooned-Soojus'!$C:$X,2+$C17,FALSE),0)+IF(FC$6="X",VLOOKUP(FC$10,'VK-Transport'!$C:$X,2+$B17,0))+IF(FC$8="X",VLOOKUP(FC$10,'VK-Elekter'!$C:$X,2+$D17,0))+IF(FC$9="X",VLOOKUP(FC$10,'VK-Biokütused'!$C:$U,2+$E17,0))+IF(FC$5="X",VLOOKUP(FC$10,'VK-Põlevkivi'!$C:$X,2+$G17,0))+IF(FC$4="X",VLOOKUP(FC$10,'VK-Võrgud'!$C:$X,2+$F17,0))</f>
        <v>339.59999999999997</v>
      </c>
      <c r="FD17" s="209">
        <f>(IF(FD$7="X",VLOOKUP(FD$10,'VK-Hooned-Soojus'!$C:$X,2+$C17,FALSE),0)+IF(FD$6="X",VLOOKUP(FD$10,'VK-Transport'!$C:$X,2+$B17,0))+IF(FD$8="X",VLOOKUP(FD$10,'VK-Elekter'!$C:$X,2+$D17,0))+IF(FD$9="X",VLOOKUP(FD$10,'VK-Biokütused'!$C:$U,2+$E17,0))+IF(FD$5="X",VLOOKUP(FD$10,'VK-Põlevkivi'!$C:$X,2+$G17,0))+IF(FD$4="X",VLOOKUP(FD$10,'VK-Võrgud'!$C:$X,2+$F17,0)))/16</f>
        <v>123.40502640747329</v>
      </c>
      <c r="FE17" s="209">
        <f>(IF(FE$7="X",VLOOKUP(FE$10,'VK-Hooned-Soojus'!$C:$X,2+$C17,FALSE),0)+IF(FE$6="X",VLOOKUP(FE$10,'VK-Transport'!$C:$X,2+$B17,0))+IF(FE$8="X",VLOOKUP(FE$10,'VK-Elekter'!$C:$X,2+$D17,0))+IF(FE$9="X",VLOOKUP(FE$10,'VK-Biokütused'!$C:$U,2+$E17,0))+IF(FE$5="X",VLOOKUP(FE$10,'VK-Põlevkivi'!$C:$X,2+$G17,0))+IF(FE$4="X",VLOOKUP(FE$10,'VK-Võrgud'!$C:$X,2+$F17,0)))/16</f>
        <v>0</v>
      </c>
      <c r="FF17" s="209">
        <f>(IF(FF$7="X",VLOOKUP(FF$10,'VK-Hooned-Soojus'!$C:$X,2+$C17,FALSE),0)+IF(FF$6="X",VLOOKUP(FF$10,'VK-Transport'!$C:$X,2+$B17,0))+IF(FF$8="X",VLOOKUP(FF$10,'VK-Elekter'!$C:$X,2+$D17,0))+IF(FF$9="X",VLOOKUP(FF$10,'VK-Biokütused'!$C:$U,2+$E17,0))+IF(FF$5="X",VLOOKUP(FF$10,'VK-Põlevkivi'!$C:$X,2+$G17,0))+IF(FF$4="X",VLOOKUP(FF$10,'VK-Võrgud'!$C:$X,2+$F17,0)))/16</f>
        <v>36.567205017198681</v>
      </c>
      <c r="FG17" s="88">
        <f t="shared" ca="1" si="30"/>
        <v>36.567205017198681</v>
      </c>
      <c r="FH17" s="88"/>
      <c r="FI17" s="88"/>
      <c r="FJ17" s="88">
        <f>VLOOKUP(Tulemused!$BN$12,data!M$7:N$12,2,FALSE)-SUM(L17,M17)</f>
        <v>-3.4066444444444528</v>
      </c>
      <c r="FK17" s="209" t="str">
        <f>IF(AZ17&lt;=VLOOKUP(Tulemused!$BN$15,data!$E$36:$F$39,2,FALSE),"JAH","EI")</f>
        <v>JAH</v>
      </c>
      <c r="FL17" s="235">
        <f ca="1">IF(ISNA(MATCH($A17,INDIRECT(VLOOKUP(Tulemused!$BF$11,data!$J$57:$M$71,4,FALSE)))),0,MATCH($A17,INDIRECT(VLOOKUP(Tulemused!$BF$11,data!$J$57:$M$71,4,FALSE))))</f>
        <v>0</v>
      </c>
      <c r="FM17" s="235" t="str">
        <f t="shared" ca="1" si="10"/>
        <v>JAH</v>
      </c>
      <c r="FN17" s="209">
        <f>VLOOKUP(Tulemused!$BN$13,data!$C$132:$D$137,2,FALSE)-KOMBI!R17</f>
        <v>2.9433331784169403</v>
      </c>
      <c r="FO17" s="209"/>
      <c r="FP17" s="209">
        <f>VLOOKUP(Tulemused!$BN$17,NO_x,2,FALSE)-CJ17</f>
        <v>9.2241389005694145</v>
      </c>
      <c r="FQ17" s="209">
        <f>VLOOKUP(Tulemused!$BN$18,SO_2,2,FALSE)-CK17</f>
        <v>39.076875437721398</v>
      </c>
      <c r="FR17" s="209">
        <f>VLOOKUP(Tulemused!$BN$19,LOU,2,FALSE)-CN17</f>
        <v>34.054000000000002</v>
      </c>
      <c r="FS17" s="209">
        <f>VLOOKUP(Tulemused!$BN$20,PM_2.5,2,FALSE)-CM17</f>
        <v>8.346684320552896</v>
      </c>
      <c r="FT17" s="209">
        <f>VLOOKUP(Tulemused!$BN$13,data!$C$132:$D$137,2,FALSE)-FA17/1000</f>
        <v>2.7640630000000006</v>
      </c>
      <c r="FU17" s="209">
        <f>VLOOKUP(Tulemused!$BN$17,NO_x,2,FALSE)-CO17</f>
        <v>3.7663502267145432</v>
      </c>
      <c r="FV17" s="209">
        <f>VLOOKUP(Tulemused!$BN$18,SO_2,2,FALSE)-CP17</f>
        <v>38.058051415704384</v>
      </c>
      <c r="FW17" s="209">
        <f>VLOOKUP(Tulemused!$BN$19,LOU,2,FALSE)-CS17</f>
        <v>33.09384759487839</v>
      </c>
      <c r="FX17" s="209">
        <f>VLOOKUP(Tulemused!$BN$20,PM_2.5,2,FALSE)-CR17</f>
        <v>8.7922466437251945</v>
      </c>
      <c r="FY17" s="209">
        <f>VLOOKUP(Tulemused!$BN$14,KHG_2050,2,FALSE)-EF17</f>
        <v>94.019363178416938</v>
      </c>
      <c r="FZ17" s="231" t="str">
        <f t="shared" ca="1" si="31"/>
        <v>EI</v>
      </c>
      <c r="GA17" s="209"/>
      <c r="GB17" s="209"/>
      <c r="GC17" s="209"/>
      <c r="GD17" s="231"/>
      <c r="GE17" s="87">
        <f t="shared" si="11"/>
        <v>2240</v>
      </c>
      <c r="GF17" s="232" t="str">
        <f t="shared" ca="1" si="32"/>
        <v/>
      </c>
      <c r="GH17" s="238">
        <f t="shared" ca="1" si="12"/>
        <v>603</v>
      </c>
      <c r="GI17" s="87">
        <f t="array" aca="1" ref="GI17" ca="1">INDEX($A$11:$A$145, SMALL(IF(GH17=$GF$11:$GF$145, MATCH(ROW($GF$11:$GF$145), ROW($GF$11:$GF$145))), SUM(--(GH17=$GH$11:GH17))))</f>
        <v>126</v>
      </c>
      <c r="GM17" s="209">
        <f>IF(GM$7="X",VLOOKUP(GM$10,'VK-Hooned-Soojus'!$C:$X,2+$C17,FALSE),0)+IF(GM$6="X",VLOOKUP(GM$10,'VK-Transport'!$C:$X,2+$B17,0))+IF(GM$8="X",VLOOKUP(GM$10,'VK-Elekter'!$C:$X,2+$D17,0))+IF(GM$9="X",VLOOKUP(GM$10,'VK-Biokütused'!$C:$U,2+$E17,0))+IF(GM$5="X",VLOOKUP(GM$10,'VK-Põlevkivi'!$C:$X,2+$G17,0))+IF(GM$4="X",VLOOKUP(GM$10,'VK-Võrgud'!$C:$X,2+$F17,0))</f>
        <v>6.011750640646909</v>
      </c>
      <c r="GN17" s="209">
        <f>IF(GN$7="X",VLOOKUP(GN$10,'VK-Hooned-Soojus'!$C:$X,2+$C17,FALSE),0)+IF(GN$6="X",VLOOKUP(GN$10,'VK-Transport'!$C:$X,2+$B17,0))+IF(GN$8="X",VLOOKUP(GN$10,'VK-Elekter'!$C:$X,2+$D17,0))+IF(GN$9="X",VLOOKUP(GN$10,'VK-Biokütused'!$C:$U,2+$E17,0))+IF(GN$5="X",VLOOKUP(GN$10,'VK-Põlevkivi'!$C:$X,2+$G17,0))+IF(GN$4="X",VLOOKUP(GN$10,'VK-Võrgud'!$C:$X,2+$F17,0))</f>
        <v>3.4528686473995491</v>
      </c>
      <c r="GO17" s="209">
        <f>IF(GO$7="X",VLOOKUP(GO$10,'VK-Hooned-Soojus'!$C:$X,2+$C17,FALSE),0)+IF(GO$6="X",VLOOKUP(GO$10,'VK-Transport'!$C:$X,2+$B17,0))+IF(GO$8="X",VLOOKUP(GO$10,'VK-Elekter'!$C:$X,2+$D17,0))+IF(GO$9="X",VLOOKUP(GO$10,'VK-Biokütused'!$C:$U,2+$E17,0))+IF(GO$5="X",VLOOKUP(GO$10,'VK-Põlevkivi'!$C:$X,2+$G17,0))+IF(GO$4="X",VLOOKUP(GO$10,'VK-Võrgud'!$C:$X,2+$F17,0))</f>
        <v>8.7471755658278116</v>
      </c>
      <c r="GP17" s="209">
        <f>IF(GP$7="X",VLOOKUP(GP$10,'VK-Hooned-Soojus'!$C:$X,2+$C17,FALSE),0)+IF(GP$6="X",VLOOKUP(GP$10,'VK-Transport'!$C:$X,2+$B17,0))+IF(GP$8="X",VLOOKUP(GP$10,'VK-Elekter'!$C:$X,2+$D17,0))+IF(GP$9="X",VLOOKUP(GP$10,'VK-Biokütused'!$C:$U,2+$E17,0))+IF(GP$5="X",VLOOKUP(GP$10,'VK-Põlevkivi'!$C:$X,2+$G17,0))+IF(GP$4="X",VLOOKUP(GP$10,'VK-Võrgud'!$C:$X,2+$F17,0))</f>
        <v>9.3279335818485372</v>
      </c>
      <c r="GQ17" s="88">
        <f>IF(GQ$7="X",VLOOKUP(GQ$10,'VK-Hooned-Soojus'!$C:$X,2+$C17,FALSE),0)+IF(GQ$6="X",VLOOKUP(GQ$10,'VK-Transport'!$C:$X,2+$B17,0))+IF(GQ$8="X",VLOOKUP(GQ$10,'VK-Elekter'!$C:$X,2+$D17,0))+IF(GQ$9="X",VLOOKUP(GQ$10,'VK-Biokütused'!$C:$U,2+$E17,0))+IF(GQ$5="X",VLOOKUP(GQ$10,'VK-Põlevkivi'!$C:$X,2+$G17,0))+IF(GQ$4="X",VLOOKUP(GQ$10,'VK-Võrgud'!$C:$X,2+$F17,0))</f>
        <v>0.9682855968523334</v>
      </c>
      <c r="GR17" s="186">
        <f t="shared" si="33"/>
        <v>0.37939565677332487</v>
      </c>
    </row>
    <row r="18" spans="1:200" x14ac:dyDescent="0.2">
      <c r="A18" s="184">
        <v>8</v>
      </c>
      <c r="B18" s="87">
        <v>1</v>
      </c>
      <c r="C18" s="87">
        <v>1</v>
      </c>
      <c r="D18" s="87">
        <v>3</v>
      </c>
      <c r="E18" s="87">
        <v>2</v>
      </c>
      <c r="F18" s="87">
        <f>VLOOKUP(Tulemused!$BF$7,data!$J$6:$K$8,2,FALSE)</f>
        <v>2</v>
      </c>
      <c r="G18" s="87">
        <f>VLOOKUP(data!$H$2,data!$J$12:$K$14,2,FALSE)</f>
        <v>2</v>
      </c>
      <c r="I18" s="209">
        <f>IF(I$7="X",VLOOKUP(I$10,'VK-Hooned-Soojus'!$C:$X,2+$C18,FALSE),0)+IF(I$6="X",VLOOKUP(I$10,'VK-Transport'!$C:$X,2+$B18,0))+IF(I$8="X",VLOOKUP(I$10,'VK-Elekter'!$C:$X,2+$D18,0))+IF(I$9="X",VLOOKUP(I$10,'VK-Biokütused'!$C:$U,2+$E18,0))+IF(I$5="X",VLOOKUP(I$10,'VK-Põlevkivi'!$C:$X,2+$G18,0))+IF(I$4="X",VLOOKUP(I$10,'VK-Võrgud'!$C:$X,2+$F18,0))</f>
        <v>26.89</v>
      </c>
      <c r="J18" s="209">
        <f>IF(J$7="X",VLOOKUP(J$10,'VK-Hooned-Soojus'!$C:$X,2+$C18,FALSE),0)+IF(J$6="X",VLOOKUP(J$10,'VK-Transport'!$C:$X,2+$B18,0))+IF(J$8="X",VLOOKUP(J$10,'VK-Elekter'!$C:$X,2+$D18,0))+IF(J$9="X",VLOOKUP(J$10,'VK-Biokütused'!$C:$U,2+$E18,0))+IF(J$5="X",VLOOKUP(J$10,'VK-Põlevkivi'!$C:$X,2+$G18,0))+IF(J$4="X",VLOOKUP(J$10,'VK-Võrgud'!$C:$X,2+$F18,0))</f>
        <v>13.295833333333334</v>
      </c>
      <c r="K18" s="209">
        <f>IF(K$7="X",VLOOKUP(K$10,'VK-Hooned-Soojus'!$C:$X,2+$C18,FALSE),0)+IF(K$6="X",VLOOKUP(K$10,'VK-Transport'!$C:$X,2+$B18,0))+IF(K$8="X",VLOOKUP(K$10,'VK-Elekter'!$C:$X,2+$D18,0))+IF(K$9="X",VLOOKUP(K$10,'VK-Biokütused'!$C:$U,2+$E18,0))+IF(K$5="X",VLOOKUP(K$10,'VK-Põlevkivi'!$C:$X,2+$G18,0))+IF(K$4="X",VLOOKUP(K$10,'VK-Võrgud'!$C:$X,2+$F18,0))</f>
        <v>16.75</v>
      </c>
      <c r="L18" s="209">
        <f>IF(L$7="X",VLOOKUP(L$10,'VK-Hooned-Soojus'!$C:$X,2+$C18,FALSE),0)+IF(L$6="X",VLOOKUP(L$10,'VK-Transport'!$C:$X,2+$B18,0))+IF(L$8="X",VLOOKUP(L$10,'VK-Elekter'!$C:$X,2+$D18,0))+IF(L$9="X",VLOOKUP(L$10,'VK-Biokütused'!$C:$U,2+$E18,0))+IF(L$5="X",VLOOKUP(L$10,'VK-Põlevkivi'!$C:$X,2+$G18,0))+IF(L$4="X",VLOOKUP(L$10,'VK-Võrgud'!$C:$X,2+$F18,0))</f>
        <v>24.95</v>
      </c>
      <c r="M18" s="209">
        <f>IF(M$7="X",VLOOKUP(M$10,'VK-Hooned-Soojus'!$C:$X,2+$C18,FALSE),0)+IF(M$6="X",VLOOKUP(M$10,'VK-Transport'!$C:$X,2+$B18,0))+IF(M$8="X",VLOOKUP(M$10,'VK-Elekter'!$C:$X,2+$D18,0))+IF(M$9="X",VLOOKUP(M$10,'VK-Biokütused'!$C:$U,2+$E18,0))+IF(M$5="X",VLOOKUP(M$10,'VK-Põlevkivi'!$C:$X,2+$G18,0))+IF(M$4="X",VLOOKUP(M$10,'VK-Võrgud'!$C:$X,2+$F18,0))</f>
        <v>11.289444444444445</v>
      </c>
      <c r="N18" s="209">
        <f>IF(N$7="X",VLOOKUP(N$10,'VK-Hooned-Soojus'!$C:$X,2+$C18,FALSE),0)+IF(N$6="X",VLOOKUP(N$10,'VK-Transport'!$C:$X,2+$B18,0))+IF(N$8="X",VLOOKUP(N$10,'VK-Elekter'!$C:$X,2+$D18,0))+IF(N$9="X",VLOOKUP(N$10,'VK-Biokütused'!$C:$U,2+$E18,0))+IF(N$5="X",VLOOKUP(N$10,'VK-Põlevkivi'!$C:$X,2+$G18,0))+IF(N$4="X",VLOOKUP(N$10,'VK-Võrgud'!$C:$X,2+$F18,0))</f>
        <v>16.75</v>
      </c>
      <c r="O18" s="209">
        <f t="shared" si="13"/>
        <v>40.185833333333335</v>
      </c>
      <c r="P18" s="209"/>
      <c r="Q18" s="209">
        <f>(IF(Q$7="X",VLOOKUP(Q$10,'VK-Hooned-Soojus'!$C:$X,2+$C18,FALSE),0)+IF(Q$6="X",VLOOKUP(Q$10,'VK-Transport'!$C:$X,2+$B18,0))+IF(Q$8="X",VLOOKUP(Q$10,'VK-Elekter'!$C:$X,2+$D18,0))+IF(Q$9="X",VLOOKUP(Q$10,'VK-Biokütused'!$C:$U,2+$E18,0))+IF(Q$5="X",VLOOKUP(Q$10,'VK-Põlevkivi'!$C:$X,2+$G18,0))+IF(Q$4="X",VLOOKUP(Q$10,'VK-Võrgud'!$C:$X,2+$F18,0)))/1000</f>
        <v>5.33</v>
      </c>
      <c r="R18" s="209">
        <f>(IF(R$7="X",VLOOKUP(R$10,'VK-Hooned-Soojus'!$C:$X,2+$C18,FALSE),0)+IF(R$6="X",VLOOKUP(R$10,'VK-Transport'!$C:$X,2+$B18,0))+IF(R$8="X",VLOOKUP(R$10,'VK-Elekter'!$C:$X,2+$D18,0))+IF(R$9="X",VLOOKUP(R$10,'VK-Biokütused'!$C:$U,2+$E18,0))+IF(R$5="X",VLOOKUP(R$10,'VK-Põlevkivi'!$C:$X,2+$G18,0))+IF(R$4="X",VLOOKUP(R$10,'VK-Võrgud'!$C:$X,2+$F18,0)))/1000</f>
        <v>3.6801368215830603</v>
      </c>
      <c r="S18" s="226">
        <f>VLOOKUP(S$10,'VK-Hooned-Soojus'!$C:$I,2+$C18,FALSE) + VLOOKUP(S$10,'VK-Transport'!$C:$I,2+$B18,FALSE)+ VLOOKUP(S$10,'VK-Biokütused'!$C:$G,2+$E18,FALSE)+ VLOOKUP(S$10,'VK-Elekter'!$C:$I,2+$D18,FALSE)+ VLOOKUP(S$10,'VK-Põlevkivi'!$C:$I,2+$G18,FALSE)+ VLOOKUP(S$10,'VK-Võrgud'!$C:$I,2+$F18,FALSE)</f>
        <v>1.1608985717731619E-2</v>
      </c>
      <c r="T18" s="226">
        <f>VLOOKUP(T$10,'VK-Hooned-Soojus'!$C:$I,2+$C18,FALSE) + VLOOKUP(T$10,'VK-Transport'!$C:$I,2+$B18,FALSE)+ VLOOKUP(T$10,'VK-Biokütused'!$C:$G,2+$E18,FALSE)+ VLOOKUP(T$10,'VK-Elekter'!$C:$I,2+$D18,FALSE)+ VLOOKUP(T$10,'VK-Põlevkivi'!$C:$I,2+$G18,FALSE)+ VLOOKUP(T$10,'VK-Võrgud'!$C:$I,2+$F18,FALSE)</f>
        <v>-5.9602835237880314E-3</v>
      </c>
      <c r="U18" s="226">
        <f>VLOOKUP(U$10,'VK-Hooned-Soojus'!$C:$I,2+$C18,FALSE) + VLOOKUP(U$10,'VK-Transport'!$C:$I,2+$B18,FALSE)+ VLOOKUP(U$10,'VK-Biokütused'!$C:$G,2+$E18,FALSE)+ VLOOKUP(U$10,'VK-Elekter'!$C:$I,2+$D18,FALSE)+ VLOOKUP(U$10,'VK-Põlevkivi'!$C:$I,2+$G18,FALSE)+ VLOOKUP(U$10,'VK-Võrgud'!$C:$I,2+$F18,FALSE)</f>
        <v>4.2120500218667256E-3</v>
      </c>
      <c r="V18" s="226">
        <f>VLOOKUP(V$10,'VK-Hooned-Soojus'!$C:$I,2+$C18,FALSE) + VLOOKUP(V$10,'VK-Transport'!$C:$I,2+$B18,FALSE)+ VLOOKUP(V$10,'VK-Biokütused'!$C:$G,2+$E18,FALSE)+ VLOOKUP(V$10,'VK-Elekter'!$C:$I,2+$D18,FALSE)+ VLOOKUP(V$10,'VK-Põlevkivi'!$C:$I,2+$G18,FALSE)+ VLOOKUP(V$10,'VK-Võrgud'!$C:$I,2+$F18,FALSE)</f>
        <v>7.462826378273976E-3</v>
      </c>
      <c r="W18" s="226">
        <f>VLOOKUP(W$10,'VK-Hooned-Soojus'!$C:$I,2+$C18,FALSE) + VLOOKUP(W$10,'VK-Transport'!$C:$I,2+$B18,FALSE)+ VLOOKUP(W$10,'VK-Biokütused'!$C:$G,2+$E18,FALSE)+ VLOOKUP(W$10,'VK-Elekter'!$C:$I,2+$D18,FALSE)+ VLOOKUP(W$10,'VK-Põlevkivi'!$C:$I,2+$G18,FALSE)+ VLOOKUP(W$10,'VK-Võrgud'!$C:$I,2+$F18,FALSE)</f>
        <v>4.2689497386037166E-3</v>
      </c>
      <c r="X18" s="226">
        <f>VLOOKUP(X$10,'VK-Hooned-Soojus'!$C:$I,2+$C18,FALSE) + VLOOKUP(X$10,'VK-Transport'!$C:$I,2+$B18,FALSE)+ VLOOKUP(X$10,'VK-Biokütused'!$C:$G,2+$E18,FALSE)+ VLOOKUP(X$10,'VK-Elekter'!$C:$I,2+$D18,FALSE)+ VLOOKUP(X$10,'VK-Põlevkivi'!$C:$I,2+$G18,FALSE)+ VLOOKUP(X$10,'VK-Võrgud'!$C:$I,2+$F18,FALSE)</f>
        <v>1.0220291502217559E-3</v>
      </c>
      <c r="Y18" s="226">
        <f>VLOOKUP(Y$10,'VK-Hooned-Soojus'!$C:$I,2+$C18,FALSE) + VLOOKUP(Y$10,'VK-Transport'!$C:$I,2+$B18,FALSE)+ VLOOKUP(Y$10,'VK-Biokütused'!$C:$G,2+$E18,FALSE)+ VLOOKUP(Y$10,'VK-Elekter'!$C:$I,2+$D18,FALSE)+ VLOOKUP(Y$10,'VK-Põlevkivi'!$C:$I,2+$G18,FALSE)+ VLOOKUP(Y$10,'VK-Võrgud'!$C:$I,2+$F18,FALSE)</f>
        <v>1.4095353595278627E-3</v>
      </c>
      <c r="Z18" s="227">
        <f>(S18*Tulemused!$Q$9*10+T18*Tulemused!$Q$10*10+KOMBI!U18*Tulemused!$Q$11*10+KOMBI!V18*Tulemused!$Q$12*10)*Tulemused!$Q$8+-(W18*Tulemused!$Q$14*10+KOMBI!X18*Tulemused!$Q$15*10+KOMBI!Y18*Tulemused!$Q$16*10)*Tulemused!$Q$13</f>
        <v>1.6532560469209312</v>
      </c>
      <c r="AA18" s="228">
        <f>(IF(AA$7="X",VLOOKUP(AA$10,'VK-Hooned-Soojus'!$C:$X,2+$C18,FALSE),0)+IF(AA$6="X",VLOOKUP(AA$10,'VK-Transport'!$C:$X,2+$B18,0))+IF(AA$8="X",VLOOKUP(AA$10,'VK-Elekter'!$C:$X,2+$D18,0))+IF(AA$9="X",VLOOKUP(AA$10,'VK-Biokütused'!$C:$U,2+$E18,0))+IF(AA$5="X",VLOOKUP(AA$10,'VK-Põlevkivi'!$C:$X,2+$G18,0))+IF(AA$4="X",VLOOKUP(AA$10,'VK-Võrgud'!$C:$X,2+$F18,0)))</f>
        <v>3728</v>
      </c>
      <c r="AB18" s="228">
        <f>(IF(AB$7="X",VLOOKUP(AB$10,'VK-Hooned-Soojus'!$C:$X,2+$C18,FALSE),0)+IF(AB$6="X",VLOOKUP(AB$10,'VK-Transport'!$C:$X,2+$B18,0))+IF(AB$8="X",VLOOKUP(AB$10,'VK-Elekter'!$C:$X,2+$D18,0))+IF(AB$9="X",VLOOKUP(AB$10,'VK-Biokütused'!$C:$U,2+$E18,0))+IF(AB$5="X",VLOOKUP(AB$10,'VK-Põlevkivi'!$C:$X,2+$G18,0))+IF(AB$4="X",VLOOKUP(AB$10,'VK-Võrgud'!$C:$X,2+$F18,0)))</f>
        <v>1602</v>
      </c>
      <c r="AC18" s="228">
        <f>(IF(AC$7="X",VLOOKUP(AC$10,'VK-Hooned-Soojus'!$C:$X,2+$C18,FALSE),0)+IF(AC$6="X",VLOOKUP(AC$10,'VK-Transport'!$C:$X,2+$B18,0))+IF(AC$8="X",VLOOKUP(AC$10,'VK-Elekter'!$C:$X,2+$D18,0))+IF(AC$9="X",VLOOKUP(AC$10,'VK-Biokütused'!$C:$U,2+$E18,0))+IF(AC$5="X",VLOOKUP(AC$10,'VK-Põlevkivi'!$C:$X,2+$G18,0))+IF(AC$4="X",VLOOKUP(AC$10,'VK-Võrgud'!$C:$X,2+$F18,0)))</f>
        <v>2346</v>
      </c>
      <c r="AD18" s="228">
        <f>(IF(AD$7="X",VLOOKUP(AD$10,'VK-Hooned-Soojus'!$C:$X,2+$C18,FALSE),0)+IF(AD$6="X",VLOOKUP(AD$10,'VK-Transport'!$C:$X,2+$B18,0))+IF(AD$8="X",VLOOKUP(AD$10,'VK-Elekter'!$C:$X,2+$D18,0))+IF(AD$9="X",VLOOKUP(AD$10,'VK-Biokütused'!$C:$U,2+$E18,0))+IF(AD$5="X",VLOOKUP(AD$10,'VK-Põlevkivi'!$C:$X,2+$G18,0))+IF(AD$4="X",VLOOKUP(AD$10,'VK-Võrgud'!$C:$X,2+$F18,0)))</f>
        <v>377.5</v>
      </c>
      <c r="AE18" s="228">
        <f>(IF(AE$7="X",VLOOKUP(AE$10,'VK-Hooned-Soojus'!$C:$X,2+$C18,FALSE),0)+IF(AE$6="X",VLOOKUP(AE$10,'VK-Transport'!$C:$X,2+$B18,0))+IF(AE$8="X",VLOOKUP(AE$10,'VK-Elekter'!$C:$X,2+$D18,0))+IF(AE$9="X",VLOOKUP(AE$10,'VK-Biokütused'!$C:$U,2+$E18,0))+IF(AE$5="X",VLOOKUP(AE$10,'VK-Põlevkivi'!$C:$X,2+$G18,0))+IF(AE$4="X",VLOOKUP(AE$10,'VK-Võrgud'!$C:$X,2+$F18,0)))</f>
        <v>812</v>
      </c>
      <c r="AF18" s="228">
        <f>(IF(AF$7="X",VLOOKUP(AF$10,'VK-Hooned-Soojus'!$C:$X,2+$C18,FALSE),0)+IF(AF$6="X",VLOOKUP(AF$10,'VK-Transport'!$C:$X,2+$B18,0))+IF(AF$8="X",VLOOKUP(AF$10,'VK-Elekter'!$C:$X,2+$D18,0))+IF(AF$9="X",VLOOKUP(AF$10,'VK-Biokütused'!$C:$U,2+$E18,0))+IF(AF$5="X",VLOOKUP(AF$10,'VK-Põlevkivi'!$C:$X,2+$G18,0))+IF(AF$4="X",VLOOKUP(AF$10,'VK-Võrgud'!$C:$X,2+$F18,0)))</f>
        <v>2490.6368215830603</v>
      </c>
      <c r="AG18" s="209"/>
      <c r="AH18" s="209">
        <f>IF(AH$7="X",VLOOKUP(AH$10,'VK-Hooned-Soojus'!$C:$X,2+$C18,FALSE),0)+IF(AH$6="X",VLOOKUP(AH$10,'VK-Transport'!$C:$X,2+$B18,0))+IF(AH$8="X",VLOOKUP(AH$10,'VK-Elekter'!$C:$X,2+$D18,0))+IF(AH$9="X",VLOOKUP(AH$10,'VK-Biokütused'!$C:$U,2+$E18,0))+IF(AH$5="X",VLOOKUP(AH$10,'VK-Põlevkivi'!$C:$X,2+$G18,0))+IF(AH$4="X",VLOOKUP(AH$10,'VK-Võrgud'!$C:$X,2+$F18,0))</f>
        <v>11.579999999999998</v>
      </c>
      <c r="AI18" s="209">
        <f>IF(AI$7="X",VLOOKUP(AI$10,'VK-Hooned-Soojus'!$C:$X,2+$C18,FALSE),0)+IF(AI$6="X",VLOOKUP(AI$10,'VK-Transport'!$C:$X,2+$B18,0))+IF(AI$8="X",VLOOKUP(AI$10,'VK-Elekter'!$C:$X,2+$D18,0))+IF(AI$9="X",VLOOKUP(AI$10,'VK-Biokütused'!$C:$U,2+$E18,0))+IF(AI$5="X",VLOOKUP(AI$10,'VK-Põlevkivi'!$C:$X,2+$G18,0))+IF(AI$4="X",VLOOKUP(AI$10,'VK-Võrgud'!$C:$X,2+$F18,0))</f>
        <v>4.45</v>
      </c>
      <c r="AJ18" s="209">
        <f>IF(AJ$7="X",VLOOKUP(AJ$10,'VK-Hooned-Soojus'!$C:$X,2+$C18,FALSE),0)+IF(AJ$6="X",VLOOKUP(AJ$10,'VK-Transport'!$C:$X,2+$B18,0))+IF(AJ$8="X",VLOOKUP(AJ$10,'VK-Elekter'!$C:$X,2+$D18,0))+IF(AJ$9="X",VLOOKUP(AJ$10,'VK-Biokütused'!$C:$U,2+$E18,0))+IF(AJ$5="X",VLOOKUP(AJ$10,'VK-Põlevkivi'!$C:$X,2+$G18,0))+IF(AJ$4="X",VLOOKUP(AJ$10,'VK-Võrgud'!$C:$X,2+$F18,0))</f>
        <v>9.19</v>
      </c>
      <c r="AK18" s="209">
        <f>IF(AK$7="X",VLOOKUP(AK$10,'VK-Hooned-Soojus'!$C:$X,2+$C18,FALSE),0)+IF(AK$6="X",VLOOKUP(AK$10,'VK-Transport'!$C:$X,2+$B18,0))+IF(AK$8="X",VLOOKUP(AK$10,'VK-Elekter'!$C:$X,2+$D18,0))+IF(AK$9="X",VLOOKUP(AK$10,'VK-Biokütused'!$C:$U,2+$E18,0))+IF(AK$5="X",VLOOKUP(AK$10,'VK-Põlevkivi'!$C:$X,2+$G18,0))+IF(AK$4="X",VLOOKUP(AK$10,'VK-Võrgud'!$C:$X,2+$F18,0))</f>
        <v>0.66</v>
      </c>
      <c r="AL18" s="209">
        <f>IF(AL$7="X",VLOOKUP(AL$10,'VK-Hooned-Soojus'!$C:$X,2+$C18,FALSE),0)+IF(AL$6="X",VLOOKUP(AL$10,'VK-Transport'!$C:$X,2+$B18,0))+IF(AL$8="X",VLOOKUP(AL$10,'VK-Elekter'!$C:$X,2+$D18,0))+IF(AL$9="X",VLOOKUP(AL$10,'VK-Biokütused'!$C:$U,2+$E18,0))+IF(AL$5="X",VLOOKUP(AL$10,'VK-Põlevkivi'!$C:$X,2+$G18,0))+IF(AL$4="X",VLOOKUP(AL$10,'VK-Võrgud'!$C:$X,2+$F18,0))</f>
        <v>7.1999999999999993</v>
      </c>
      <c r="AM18" s="209">
        <f>IF(AM$7="X",VLOOKUP(AM$10,'VK-Hooned-Soojus'!$C:$X,2+$C18,FALSE),0)+IF(AM$6="X",VLOOKUP(AM$10,'VK-Transport'!$C:$X,2+$B18,0))+IF(AM$8="X",VLOOKUP(AM$10,'VK-Elekter'!$C:$X,2+$D18,0))+IF(AM$9="X",VLOOKUP(AM$10,'VK-Biokütused'!$C:$U,2+$E18,0))+IF(AM$5="X",VLOOKUP(AM$10,'VK-Põlevkivi'!$C:$X,2+$G18,0))+IF(AM$4="X",VLOOKUP(AM$10,'VK-Võrgud'!$C:$X,2+$F18,0))</f>
        <v>12.9</v>
      </c>
      <c r="AN18" s="209">
        <f>IF(AN$7="X",VLOOKUP(AN$10,'VK-Hooned-Soojus'!$C:$X,2+$C18,FALSE),0)+IF(AN$6="X",VLOOKUP(AN$10,'VK-Transport'!$C:$X,2+$B18,0))+IF(AN$8="X",VLOOKUP(AN$10,'VK-Elekter'!$C:$X,2+$D18,0))+IF(AN$9="X",VLOOKUP(AN$10,'VK-Biokütused'!$C:$U,2+$E18,0))+IF(AN$5="X",VLOOKUP(AN$10,'VK-Põlevkivi'!$C:$X,2+$G18,0))+IF(AN$4="X",VLOOKUP(AN$10,'VK-Võrgud'!$C:$X,2+$F18,0))</f>
        <v>5.6999999999999993</v>
      </c>
      <c r="AO18" s="209">
        <f>IF(AO$7="X",VLOOKUP(AO$10,'VK-Hooned-Soojus'!$C:$X,2+$C18,FALSE),0)+IF(AO$6="X",VLOOKUP(AO$10,'VK-Transport'!$C:$X,2+$B18,0))+IF(AO$8="X",VLOOKUP(AO$10,'VK-Elekter'!$C:$X,2+$D18,0))+IF(AO$9="X",VLOOKUP(AO$10,'VK-Biokütused'!$C:$U,2+$E18,0))+IF(AO$5="X",VLOOKUP(AO$10,'VK-Põlevkivi'!$C:$X,2+$G18,0))+IF(AO$4="X",VLOOKUP(AO$10,'VK-Võrgud'!$C:$X,2+$F18,0))</f>
        <v>13.56</v>
      </c>
      <c r="AP18" s="209">
        <f>IF(AP$7="X",VLOOKUP(AP$10,'VK-Hooned-Soojus'!$C:$X,2+$C18,FALSE),0)+IF(AP$6="X",VLOOKUP(AP$10,'VK-Transport'!$C:$X,2+$B18,0))+IF(AP$8="X",VLOOKUP(AP$10,'VK-Elekter'!$C:$X,2+$D18,0))+IF(AP$9="X",VLOOKUP(AP$10,'VK-Biokütused'!$C:$U,2+$E18,0))+IF(AP$5="X",VLOOKUP(AP$10,'VK-Põlevkivi'!$C:$X,2+$G18,0))+IF(AP$4="X",VLOOKUP(AP$10,'VK-Võrgud'!$C:$X,2+$F18,0))</f>
        <v>6.78</v>
      </c>
      <c r="AQ18" s="320">
        <f t="shared" si="14"/>
        <v>1.2599999999999998</v>
      </c>
      <c r="AR18" s="209">
        <f>IF(AR$7="X",VLOOKUP(AR$10,'VK-Hooned-Soojus'!$C:$X,2+$C18,FALSE),0)+IF(AR$6="X",VLOOKUP(AR$10,'VK-Transport'!$C:$X,2+$B18,0))+IF(AR$8="X",VLOOKUP(AR$10,'VK-Elekter'!$C:$X,2+$D18,0))+IF(AR$9="X",VLOOKUP(AR$10,'VK-Biokütused'!$C:$U,2+$E18,0))+IF(AR$5="X",VLOOKUP(AR$10,'VK-Põlevkivi'!$C:$X,2+$G18,0))+IF(AR$4="X",VLOOKUP(AR$10,'VK-Võrgud'!$C:$X,2+$F18,0))</f>
        <v>3.4899999999999998</v>
      </c>
      <c r="AS18" s="320">
        <f>VLOOKUP("Kütuste tarbimine @ 2030 - UTTEGAAS",'VK-Hooned-Soojus'!$C:$X,2+$C18,FALSE)/0.172+VLOOKUP("Kütuste tarbimine @ 2030 - UTTEGAAS",'VK-Elekter'!$C:$X,2+$D18,FALSE)/0.172-AR18-AU18</f>
        <v>2.7565116279069759</v>
      </c>
      <c r="AT18" s="209">
        <f>IF(AT$7="X",VLOOKUP(AT$10,'VK-Hooned-Soojus'!$C:$X,2+$C18,FALSE),0)+IF(AT$6="X",VLOOKUP(AT$10,'VK-Transport'!$C:$X,2+$B18,0))+IF(AT$8="X",VLOOKUP(AT$10,'VK-Elekter'!$C:$X,2+$D18,0))+IF(AT$9="X",VLOOKUP(AT$10,'VK-Biokütused'!$C:$U,2+$E18,0))+IF(AT$5="X",VLOOKUP(AT$10,'VK-Põlevkivi'!$C:$X,2+$G18,0))+IF(AT$4="X",VLOOKUP(AT$10,'VK-Võrgud'!$C:$X,2+$F18,0))</f>
        <v>12.004929222526066</v>
      </c>
      <c r="AU18" s="229">
        <f>MAX(0,(VLOOKUP("Kütuste tarbimine @ 2030 - UTTEGAAS",'VK-Hooned-Soojus'!$C:$X,2+$C18,FALSE)/0.172+VLOOKUP("Kütuste tarbimine @ 2030 - UTTEGAAS",'VK-Elekter'!$C:$X,2+$D18,FALSE)/0.172)*0.52-VLOOKUP("Kütuste tarbimine @ 2030 - PÕLEVKIVIÕLI",'VK-Hooned-Soojus'!$C:$X,2+$C18,FALSE))</f>
        <v>4.6837209302325586</v>
      </c>
      <c r="AV18" s="209">
        <f>IF(AV$7="X",VLOOKUP(AV$10,'VK-Hooned-Soojus'!$C:$X,2+$C18,FALSE),0)+IF(AV$6="X",VLOOKUP(AV$10,'VK-Transport'!$C:$X,2+$B18,0))+IF(AV$8="X",VLOOKUP(AV$10,'VK-Elekter'!$C:$X,2+$D18,0))+IF(AV$9="X",VLOOKUP(AV$10,'VK-Biokütused'!$C:$U,2+$E18,0))+IF(AV$5="X",VLOOKUP(AV$10,'VK-Põlevkivi'!$C:$X,2+$G18,0))+IF(AV$4="X",VLOOKUP(AV$10,'VK-Võrgud'!$C:$X,2+$F18,0))</f>
        <v>1.1831224847375093</v>
      </c>
      <c r="AW18" s="209">
        <f>IF(AW$7="X",VLOOKUP(AW$10,'VK-Hooned-Soojus'!$C:$X,2+$C18,FALSE),0)+IF(AW$6="X",VLOOKUP(AW$10,'VK-Transport'!$C:$X,2+$B18,0))+IF(AW$8="X",VLOOKUP(AW$10,'VK-Elekter'!$C:$X,2+$D18,0))+IF(AW$9="X",VLOOKUP(AW$10,'VK-Biokütused'!$C:$U,2+$E18,0))+IF(AW$5="X",VLOOKUP(AW$10,'VK-Põlevkivi'!$C:$X,2+$G18,0))+IF(AW$4="X",VLOOKUP(AW$10,'VK-Võrgud'!$C:$X,2+$F18,0))</f>
        <v>2.141</v>
      </c>
      <c r="AX18" s="229">
        <f t="shared" si="34"/>
        <v>0.95787751526249076</v>
      </c>
      <c r="AY18" s="229">
        <f t="shared" si="15"/>
        <v>0</v>
      </c>
      <c r="AZ18" s="230">
        <f t="shared" si="0"/>
        <v>0.54641444429190988</v>
      </c>
      <c r="BA18" s="209">
        <f>IF(BA$7="X",VLOOKUP(BA$10,'VK-Hooned-Soojus'!$C:$X,2+$C18,FALSE),0)+IF(BA$6="X",VLOOKUP(BA$10,'VK-Transport'!$C:$X,2+$B18,0))+IF(BA$8="X",VLOOKUP(BA$10,'VK-Elekter'!$C:$X,2+$D18,0))+IF(BA$9="X",VLOOKUP(BA$10,'VK-Biokütused'!$C:$U,2+$E18,0))+IF(BA$5="X",VLOOKUP(BA$10,'VK-Põlevkivi'!$C:$X,2+$G18,0))+IF(BA$4="X",VLOOKUP(BA$10,'VK-Võrgud'!$C:$X,2+$F18,0))</f>
        <v>4.2</v>
      </c>
      <c r="BB18" s="209">
        <f>IF(BB$7="X",VLOOKUP(BB$10,'VK-Hooned-Soojus'!$C:$X,2+$C18,FALSE),0)+IF(BB$6="X",VLOOKUP(BB$10,'VK-Transport'!$C:$X,2+$B18,0))+IF(BB$8="X",VLOOKUP(BB$10,'VK-Elekter'!$C:$X,2+$D18,0))+IF(BB$9="X",VLOOKUP(BB$10,'VK-Biokütused'!$C:$U,2+$E18,0))+IF(BB$5="X",VLOOKUP(BB$10,'VK-Põlevkivi'!$C:$X,2+$G18,0))+IF(BB$4="X",VLOOKUP(BB$10,'VK-Võrgud'!$C:$X,2+$F18,0))</f>
        <v>5.1000000000000005</v>
      </c>
      <c r="BC18" s="209">
        <f>IF(BC$7="X",VLOOKUP(BC$10,'VK-Hooned-Soojus'!$C:$X,2+$C18,FALSE),0)+IF(BC$6="X",VLOOKUP(BC$10,'VK-Transport'!$C:$X,2+$B18,0))+IF(BC$8="X",VLOOKUP(BC$10,'VK-Elekter'!$C:$X,2+$D18,0))+IF(BC$9="X",VLOOKUP(BC$10,'VK-Biokütused'!$C:$U,2+$E18,0))+IF(BC$5="X",VLOOKUP(BC$10,'VK-Põlevkivi'!$C:$X,2+$G18,0))+IF(BC$4="X",VLOOKUP(BC$10,'VK-Võrgud'!$C:$X,2+$F18,0))</f>
        <v>8.0523611111111126</v>
      </c>
      <c r="BD18" s="209">
        <f>IF(BD$7="X",VLOOKUP(BD$10,'VK-Hooned-Soojus'!$C:$X,2+$C18,FALSE),0)+IF(BD$6="X",VLOOKUP(BD$10,'VK-Transport'!$C:$X,2+$B18,0))+IF(BD$8="X",VLOOKUP(BD$10,'VK-Elekter'!$C:$X,2+$D18,0))+IF(BD$9="X",VLOOKUP(BD$10,'VK-Biokütused'!$C:$U,2+$E18,0))+IF(BD$5="X",VLOOKUP(BD$10,'VK-Põlevkivi'!$C:$X,2+$G18,0))+IF(BD$4="X",VLOOKUP(BD$10,'VK-Võrgud'!$C:$X,2+$F18,0))</f>
        <v>10.42138888888889</v>
      </c>
      <c r="BE18" s="230"/>
      <c r="BF18" s="229">
        <f t="shared" si="16"/>
        <v>0.35144163448352844</v>
      </c>
      <c r="BG18" s="209" t="e">
        <f>(IF(BG$7="X",VLOOKUP(BG$10,'VK-Hooned-Soojus'!$C:$X,2+$C18,FALSE),0)+IF(BG$6="X",VLOOKUP(BG$10,'VK-Transport'!$C:$X,2+$B18,0))+IF(BG$8="X",VLOOKUP(BG$10,'VK-Elekter'!$C:$X,2+$D18,0))+IF(BG$9="X",VLOOKUP(BG$10,'VK-Biokütused'!$C:$U,2+$E18,0))+IF(BG$5="X",VLOOKUP(BG$10,'VK-Põlevkivi'!$C:$X,2+$G18,0))+IF(BG$4="X",VLOOKUP(BG$10,'VK-Võrgud'!$C:$X,2+$F18,0)))/20</f>
        <v>#N/A</v>
      </c>
      <c r="BH18" s="209">
        <f>(IF(BH$7="X",VLOOKUP(BH$10,'VK-Hooned-Soojus'!$C:$X,2+$C18,FALSE),0)+IF(BH$6="X",VLOOKUP(BH$10,'VK-Transport'!$C:$X,2+$B18,0))+IF(BH$8="X",VLOOKUP(BH$10,'VK-Elekter'!$C:$X,2+$D18,0))+IF(BH$9="X",VLOOKUP(BH$10,'VK-Biokütused'!$C:$U,2+$E18,0))+IF(BH$5="X",VLOOKUP(BH$10,'VK-Põlevkivi'!$C:$X,2+$G18,0))+IF(BH$4="X",VLOOKUP(BH$10,'VK-Võrgud'!$C:$X,2+$F18,0)))/20</f>
        <v>13.99</v>
      </c>
      <c r="BI18" s="209">
        <f>(IF(BI$7="X",VLOOKUP(BI$10,'VK-Hooned-Soojus'!$C:$X,2+$C18,FALSE),0)+IF(BI$6="X",VLOOKUP(BI$10,'VK-Transport'!$C:$X,2+$B18,0))+IF(BI$8="X",VLOOKUP(BI$10,'VK-Elekter'!$C:$X,2+$D18,0))+IF(BI$9="X",VLOOKUP(BI$10,'VK-Biokütused'!$C:$U,2+$E18,0))+IF(BI$5="X",VLOOKUP(BI$10,'VK-Põlevkivi'!$C:$X,2+$G18,0))+IF(BI$4="X",VLOOKUP(BI$10,'VK-Võrgud'!$C:$X,2+$F18,0)))/16</f>
        <v>17.75</v>
      </c>
      <c r="BJ18" s="209">
        <f>(IF(BJ$7="X",VLOOKUP(BJ$10,'VK-Hooned-Soojus'!$C:$X,2+$C18,FALSE),0)+IF(BJ$6="X",VLOOKUP(BJ$10,'VK-Transport'!$C:$X,2+$B18,0))+IF(BJ$8="X",VLOOKUP(BJ$10,'VK-Elekter'!$C:$X,2+$D18,0))+IF(BJ$9="X",VLOOKUP(BJ$10,'VK-Biokütused'!$C:$U,2+$E18,0))+IF(BJ$5="X",VLOOKUP(BJ$10,'VK-Põlevkivi'!$C:$X,2+$G18,0))+IF(BJ$4="X",VLOOKUP(BJ$10,'VK-Võrgud'!$C:$X,2+$F18,0)))/20</f>
        <v>1.85</v>
      </c>
      <c r="BK18" s="209"/>
      <c r="BL18" s="209"/>
      <c r="BM18" s="209"/>
      <c r="BN18" s="209" t="e">
        <f>(IF(BN$7="X",VLOOKUP(BN$10,'VK-Hooned-Soojus'!$C:$X,2+$C18,FALSE),0)+IF(BN$6="X",VLOOKUP(BN$10,'VK-Transport'!$C:$X,2+$B18,0))+IF(BN$8="X",VLOOKUP(BN$10,'VK-Elekter'!$C:$X,2+$D18,0))+IF(BN$9="X",VLOOKUP(BN$10,'VK-Biokütused'!$C:$U,2+$E18,0))+IF(BN$5="X",VLOOKUP(BN$10,'VK-Põlevkivi'!$C:$X,2+$G18,0))+IF(BN$4="X",VLOOKUP(BN$10,'VK-Võrgud'!$C:$X,2+$F18,0)))/16</f>
        <v>#N/A</v>
      </c>
      <c r="BO18" s="209">
        <f>(IF(BO$7="X",VLOOKUP(BO$10,'VK-Hooned-Soojus'!$C:$X,2+$C18,FALSE),0)+IF(BO$6="X",VLOOKUP(BO$10,'VK-Transport'!$C:$X,2+$B18,0))+IF(BO$8="X",VLOOKUP(BO$10,'VK-Elekter'!$C:$X,2+$D18,0))+IF(BO$9="X",VLOOKUP(BO$10,'VK-Biokütused'!$C:$U,2+$E18,0))+IF(BO$5="X",VLOOKUP(BO$10,'VK-Põlevkivi'!$C:$X,2+$G18,0))+IF(BO$4="X",VLOOKUP(BO$10,'VK-Võrgud'!$C:$X,2+$F18,0)))/16</f>
        <v>496.33125000000001</v>
      </c>
      <c r="BP18" s="209"/>
      <c r="BQ18" s="209">
        <f>(IF(BQ$7="X",VLOOKUP(BQ$10,'VK-Hooned-Soojus'!$C:$X,2+$C18,FALSE),0)+IF(BQ$6="X",VLOOKUP(BQ$10,'VK-Transport'!$C:$X,2+$B18,0))+IF(BQ$8="X",VLOOKUP(BQ$10,'VK-Elekter'!$C:$X,2+$D18,0))+IF(BQ$9="X",VLOOKUP(BQ$10,'VK-Biokütused'!$C:$U,2+$E18,0))+IF(BQ$5="X",VLOOKUP(BQ$10,'VK-Põlevkivi'!$C:$X,2+$G18,0))+IF(BQ$4="X",VLOOKUP(BQ$10,'VK-Võrgud'!$C:$X,2+$F18,0)))/16</f>
        <v>4.7249999999999996</v>
      </c>
      <c r="BR18" s="209">
        <f>(IF(BR$7="X",VLOOKUP(BR$10,'VK-Hooned-Soojus'!$C:$X,2+$C18,FALSE),0)+IF(BR$6="X",VLOOKUP(BR$10,'VK-Transport'!$C:$X,2+$B18,0))+IF(BR$8="X",VLOOKUP(BR$10,'VK-Elekter'!$C:$X,2+$D18,0))+IF(BR$9="X",VLOOKUP(BR$10,'VK-Biokütused'!$C:$U,2+$E18,0))+IF(BR$5="X",VLOOKUP(BR$10,'VK-Põlevkivi'!$C:$X,2+$G18,0))+IF(BR$4="X",VLOOKUP(BR$10,'VK-Võrgud'!$C:$X,2+$F18,0)))/16</f>
        <v>-74.512500000000003</v>
      </c>
      <c r="BS18" s="209">
        <f>(IF(BS$7="X",VLOOKUP(BS$10,'VK-Hooned-Soojus'!$C:$X,2+$C18,FALSE),0)+IF(BS$6="X",VLOOKUP(BS$10,'VK-Transport'!$C:$X,2+$B18,0))+IF(BS$8="X",VLOOKUP(BS$10,'VK-Elekter'!$C:$X,2+$D18,0))+IF(BS$9="X",VLOOKUP(BS$10,'VK-Biokütused'!$C:$U,2+$E18,0))+IF(BS$5="X",VLOOKUP(BS$10,'VK-Põlevkivi'!$C:$X,2+$G18,0))+IF(BS$4="X",VLOOKUP(BS$10,'VK-Võrgud'!$C:$X,2+$F18,0)))/16</f>
        <v>-100.68125000000001</v>
      </c>
      <c r="BT18" s="209"/>
      <c r="BU18" s="209"/>
      <c r="BV18" s="209">
        <f>(IF(BV$7="X",VLOOKUP(BV$10,'VK-Hooned-Soojus'!$C:$X,2+$C18,FALSE),0)+IF(BV$6="X",VLOOKUP(BV$10,'VK-Transport'!$C:$X,2+$B18,0))+IF(BV$8="X",VLOOKUP(BV$10,'VK-Elekter'!$C:$X,2+$D18,0))+IF(BV$9="X",VLOOKUP(BV$10,'VK-Biokütused'!$C:$U,2+$E18,0))+IF(BV$5="X",VLOOKUP(BV$10,'VK-Põlevkivi'!$C:$X,2+$G18,0))+IF(BV$4="X",VLOOKUP(BV$10,'VK-Võrgud'!$C:$X,2+$F18,0)))/16</f>
        <v>0</v>
      </c>
      <c r="BW18" s="209"/>
      <c r="BX18" s="209">
        <f>(IF(BX$7="X",VLOOKUP(BX$10,'VK-Hooned-Soojus'!$C:$X,2+$C18,FALSE),0)+IF(BX$6="X",VLOOKUP(BX$10,'VK-Transport'!$C:$X,2+$B18,0))+IF(BX$8="X",VLOOKUP(BX$10,'VK-Elekter'!$C:$X,2+$D18,0))+IF(BX$9="X",VLOOKUP(BX$10,'VK-Biokütused'!$C:$U,2+$E18,0))+IF(BX$5="X",VLOOKUP(BX$10,'VK-Põlevkivi'!$C:$X,2+$G18,0))+IF(BX$4="X",VLOOKUP(BX$10,'VK-Võrgud'!$C:$X,2+$F18,0)))/16</f>
        <v>-99.4375</v>
      </c>
      <c r="BY18" s="209"/>
      <c r="BZ18" s="209"/>
      <c r="CA18" s="209" t="e">
        <f>(IF(CA$7="X",VLOOKUP(CA$10,'VK-Hooned-Soojus'!$C:$X,2+$C18,FALSE),0)+IF(CA$6="X",VLOOKUP(CA$10,'VK-Transport'!$C:$X,2+$B18,0))+IF(CA$8="X",VLOOKUP(CA$10,'VK-Elekter'!$C:$X,2+$D18,0))+IF(CA$9="X",VLOOKUP(CA$10,'VK-Biokütused'!$C:$U,2+$E18,0))+IF(CA$5="X",VLOOKUP(CA$10,'VK-Põlevkivi'!$C:$X,2+$G18,0))+IF(CA$4="X",VLOOKUP(CA$10,'VK-Võrgud'!$C:$X,2+$F18,0)))/16</f>
        <v>#N/A</v>
      </c>
      <c r="CB18" s="209">
        <f>(IF(CB$7="X",VLOOKUP(CB$10,'VK-Hooned-Soojus'!$C:$X,2+$C18,FALSE),0)+IF(CB$6="X",VLOOKUP(CB$10,'VK-Transport'!$C:$X,2+$B18,0))+IF(CB$8="X",VLOOKUP(CB$10,'VK-Elekter'!$C:$X,2+$D18,0))+IF(CB$9="X",VLOOKUP(CB$10,'VK-Biokütused'!$C:$U,2+$E18,0))+IF(CB$5="X",VLOOKUP(CB$10,'VK-Põlevkivi'!$C:$X,2+$G18,0))+IF(CB$4="X",VLOOKUP(CB$10,'VK-Võrgud'!$C:$X,2+$F18,0)))/16</f>
        <v>0</v>
      </c>
      <c r="CC18" s="209">
        <f>(IF(CC$7="X",VLOOKUP(CC$10,'VK-Hooned-Soojus'!$C:$X,2+$C18,FALSE),0)+IF(CC$6="X",VLOOKUP(CC$10,'VK-Transport'!$C:$X,2+$B18,0))+IF(CC$8="X",VLOOKUP(CC$10,'VK-Elekter'!$C:$X,2+$D18,0))+IF(CC$9="X",VLOOKUP(CC$10,'VK-Biokütused'!$C:$U,2+$E18,0))+IF(CC$5="X",VLOOKUP(CC$10,'VK-Põlevkivi'!$C:$X,2+$G18,0))+IF(CC$4="X",VLOOKUP(CC$10,'VK-Võrgud'!$C:$X,2+$F18,0)))/16</f>
        <v>0</v>
      </c>
      <c r="CD18" s="209"/>
      <c r="CE18" s="209">
        <f>(IF(CE$7="X",VLOOKUP(CE$10,'VK-Hooned-Soojus'!$C:$X,2+$C18,FALSE),0)+IF(CE$6="X",VLOOKUP(CE$10,'VK-Transport'!$C:$X,2+$B18,0))+IF(CE$8="X",VLOOKUP(CE$10,'VK-Elekter'!$C:$X,2+$D18,0))+IF(CE$9="X",VLOOKUP(CE$10,'VK-Biokütused'!$C:$U,2+$E18,0))+IF(CE$5="X",VLOOKUP(CE$10,'VK-Põlevkivi'!$C:$X,2+$G18,0))+IF(CE$4="X",VLOOKUP(CE$10,'VK-Võrgud'!$C:$X,2+$F18,0)))/16</f>
        <v>24.15625</v>
      </c>
      <c r="CF18" s="209"/>
      <c r="CG18" s="209">
        <f>(IF(CG$7="X",VLOOKUP(CG$10,'VK-Hooned-Soojus'!$C:$X,2+$C18,FALSE),0)+IF(CG$6="X",VLOOKUP(CG$10,'VK-Transport'!$C:$X,2+$B18,0))+IF(CG$8="X",VLOOKUP(CG$10,'VK-Elekter'!$C:$X,2+$D18,0))+IF(CG$9="X",VLOOKUP(CG$10,'VK-Biokütused'!$C:$U,2+$E18,0))+IF(CG$5="X",VLOOKUP(CG$10,'VK-Põlevkivi'!$C:$X,2+$G18,0))+IF(CG$4="X",VLOOKUP(CG$10,'VK-Võrgud'!$C:$X,2+$F18,0)))/16</f>
        <v>0</v>
      </c>
      <c r="CH18" s="209">
        <f>(IF(CH$7="X",VLOOKUP(CH$10,'VK-Hooned-Soojus'!$C:$X,2+$C18,FALSE),0)+IF(CH$6="X",VLOOKUP(CH$10,'VK-Transport'!$C:$X,2+$B18,0))+IF(CH$8="X",VLOOKUP(CH$10,'VK-Elekter'!$C:$X,2+$D18,0))+IF(CH$9="X",VLOOKUP(CH$10,'VK-Biokütused'!$C:$U,2+$E18,0))+IF(CH$5="X",VLOOKUP(CH$10,'VK-Põlevkivi'!$C:$X,2+$G18,0))+IF(CH$4="X",VLOOKUP(CH$10,'VK-Võrgud'!$C:$X,2+$F18,0)))/20*0.21</f>
        <v>5.6122500000000004</v>
      </c>
      <c r="CI18" s="209"/>
      <c r="CJ18" s="209">
        <f>(IF(CJ$7="X",VLOOKUP(CJ$10,'VK-Hooned-Soojus'!$C:$X,2+$C18,FALSE),0)+IF(CJ$6="X",VLOOKUP(CJ$10,'VK-Transport'!$C:$X,2+$B18,0))+IF(CJ$8="X",VLOOKUP(CJ$10,'VK-Elekter'!$C:$X,2+$D18,0))+IF(CJ$9="X",VLOOKUP(CJ$10,'VK-Biokütused'!$C:$U,2+$E18,0))+IF(CJ$5="X",VLOOKUP(CJ$10,'VK-Põlevkivi'!$C:$X,2+$G18,0))+IF(CJ$4="X",VLOOKUP(CJ$10,'VK-Võrgud'!$C:$X,2+$F18,0)))/1000</f>
        <v>20.213861099430584</v>
      </c>
      <c r="CK18" s="209">
        <f>(IF(CK$7="X",VLOOKUP(CK$10,'VK-Hooned-Soojus'!$C:$X,2+$C18,FALSE),0)+IF(CK$6="X",VLOOKUP(CK$10,'VK-Transport'!$C:$X,2+$B18,0))+IF(CK$8="X",VLOOKUP(CK$10,'VK-Elekter'!$C:$X,2+$D18,0))+IF(CK$9="X",VLOOKUP(CK$10,'VK-Biokütused'!$C:$U,2+$E18,0))+IF(CK$5="X",VLOOKUP(CK$10,'VK-Põlevkivi'!$C:$X,2+$G18,0))+IF(CK$4="X",VLOOKUP(CK$10,'VK-Võrgud'!$C:$X,2+$F18,0)))/1000</f>
        <v>12.807124562278599</v>
      </c>
      <c r="CL18" s="235">
        <f>(IF(CL$7="X",VLOOKUP(CL$10,'VK-Hooned-Soojus'!$C:$X,2+$C18,FALSE),0)+IF(CL$6="X",VLOOKUP(CL$10,'VK-Transport'!$C:$X,2+$B18,0))+IF(CL$8="X",VLOOKUP(CL$10,'VK-Elekter'!$C:$X,2+$D18,0))+IF(CL$9="X",VLOOKUP(CL$10,'VK-Biokütused'!$C:$U,2+$E18,0)))/1000</f>
        <v>9.5598856510938077</v>
      </c>
      <c r="CM18" s="209">
        <f>(IF(CM$7="X",VLOOKUP(CM$10,'VK-Hooned-Soojus'!$C:$X,2+$C18,FALSE),0)+IF(CM$6="X",VLOOKUP(CM$10,'VK-Transport'!$C:$X,2+$B18,0))+IF(CM$8="X",VLOOKUP(CM$10,'VK-Elekter'!$C:$X,2+$D18,0))+IF(CM$9="X",VLOOKUP(CM$10,'VK-Biokütused'!$C:$U,2+$E18,0))+IF(CM$5="X",VLOOKUP(CM$10,'VK-Põlevkivi'!$C:$X,2+$G18,0))+IF(CM$4="X",VLOOKUP(CM$10,'VK-Võrgud'!$C:$X,2+$F18,0)))/1000</f>
        <v>8.5683156794471032</v>
      </c>
      <c r="CN18" s="209">
        <f>(IF(CN$7="X",VLOOKUP(CN$10,'VK-Hooned-Soojus'!$C:$X,2+$C18,FALSE),0)+IF(CN$6="X",VLOOKUP(CN$10,'VK-Transport'!$C:$X,2+$B18,0))+IF(CN$8="X",VLOOKUP(CN$10,'VK-Elekter'!$C:$X,2+$D18,0))+IF(CN$9="X",VLOOKUP(CN$10,'VK-Biokütused'!$C:$U,2+$E18,0))+IF(CN$5="X",VLOOKUP(CN$10,'VK-Põlevkivi'!$C:$X,2+$G18,0))+IF(CN$4="X",VLOOKUP(CN$10,'VK-Võrgud'!$C:$X,2+$F18,0)))/1000</f>
        <v>3.0259999999999998</v>
      </c>
      <c r="CO18" s="209">
        <f>(IF(CO$7="X",VLOOKUP(CO$10,'VK-Hooned-Soojus'!$C:$X,2+$C18,FALSE),0)+IF(CO$6="X",VLOOKUP(CO$10,'VK-Transport'!$C:$X,2+$B18,0))+IF(CO$8="X",VLOOKUP(CO$10,'VK-Elekter'!$C:$X,2+$D18,0))+IF(CO$9="X",VLOOKUP(CO$10,'VK-Biokütused'!$C:$U,2+$E18,0))+IF(CO$5="X",VLOOKUP(CO$10,'VK-Põlevkivi'!$C:$X,2+$G18,0))+IF(CO$4="X",VLOOKUP(CO$10,'VK-Võrgud'!$C:$X,2+$F18,0)))/1000</f>
        <v>25.671649773285456</v>
      </c>
      <c r="CP18" s="209">
        <f>(IF(CP$7="X",VLOOKUP(CP$10,'VK-Hooned-Soojus'!$C:$X,2+$C18,FALSE),0)+IF(CP$6="X",VLOOKUP(CP$10,'VK-Transport'!$C:$X,2+$B18,0))+IF(CP$8="X",VLOOKUP(CP$10,'VK-Elekter'!$C:$X,2+$D18,0))+IF(CP$9="X",VLOOKUP(CP$10,'VK-Biokütused'!$C:$U,2+$E18,0))+IF(CP$5="X",VLOOKUP(CP$10,'VK-Põlevkivi'!$C:$X,2+$G18,0))+IF(CP$4="X",VLOOKUP(CP$10,'VK-Võrgud'!$C:$X,2+$F18,0)))/1000</f>
        <v>13.825948584295613</v>
      </c>
      <c r="CQ18" s="235">
        <f>(IF(CQ$7="X",VLOOKUP(CQ$10,'VK-Hooned-Soojus'!$C:$X,2+$C18,FALSE),0)+IF(CQ$6="X",VLOOKUP(CQ$10,'VK-Transport'!$C:$X,2+$B18,0))+IF(CQ$8="X",VLOOKUP(CQ$10,'VK-Elekter'!$C:$X,2+$D18,0))+IF(CQ$9="X",VLOOKUP(CQ$10,'VK-Biokütused'!$C:$U,2+$E18,0)))/1000</f>
        <v>11.215907</v>
      </c>
      <c r="CR18" s="209">
        <f>(IF(CR$7="X",VLOOKUP(CR$10,'VK-Hooned-Soojus'!$C:$X,2+$C18,FALSE),0)+IF(CR$6="X",VLOOKUP(CR$10,'VK-Transport'!$C:$X,2+$B18,0))+IF(CR$8="X",VLOOKUP(CR$10,'VK-Elekter'!$C:$X,2+$D18,0))+IF(CR$9="X",VLOOKUP(CR$10,'VK-Biokütused'!$C:$U,2+$E18,0))+IF(CR$5="X",VLOOKUP(CR$10,'VK-Põlevkivi'!$C:$X,2+$G18,0))+IF(CR$4="X",VLOOKUP(CR$10,'VK-Võrgud'!$C:$X,2+$F18,0)))/1000</f>
        <v>8.1227533562748047</v>
      </c>
      <c r="CS18" s="209">
        <f>(IF(CS$7="X",VLOOKUP(CS$10,'VK-Hooned-Soojus'!$C:$X,2+$C18,FALSE),0)+IF(CS$6="X",VLOOKUP(CS$10,'VK-Transport'!$C:$X,2+$B18,0))+IF(CS$8="X",VLOOKUP(CS$10,'VK-Elekter'!$C:$X,2+$D18,0))+IF(CS$9="X",VLOOKUP(CS$10,'VK-Biokütused'!$C:$U,2+$E18,0))+IF(CS$5="X",VLOOKUP(CS$10,'VK-Põlevkivi'!$C:$X,2+$G18,0))+IF(CS$4="X",VLOOKUP(CS$10,'VK-Võrgud'!$C:$X,2+$F18,0)))/1000</f>
        <v>3.9861524051216151</v>
      </c>
      <c r="CT18" s="209">
        <f>IF(CT$7="X",VLOOKUP(CT$10,'VK-Hooned-Soojus'!$C:$X,2+$C18,FALSE),0)+IF(CT$6="X",VLOOKUP(CT$10,'VK-Transport'!$C:$X,2+$B18,0))+IF(CT$8="X",VLOOKUP(CT$10,'VK-Elekter'!$C:$X,2+$D18,0))+IF(CT$9="X",VLOOKUP(CT$10,'VK-Biokütused'!$C:$U,2+$E18,0))+IF(CT$5="X",VLOOKUP(CT$10,'VK-Põlevkivi'!$C:$X,2+$G18,0))+IF(CT$4="X",VLOOKUP(CT$10,'VK-Võrgud'!$C:$X,2+$F18,0))</f>
        <v>90</v>
      </c>
      <c r="CU18" s="209">
        <f>IF(CU$7="X",VLOOKUP(CU$10,'VK-Hooned-Soojus'!$C:$X,2+$C18,FALSE),0)+IF(CU$6="X",VLOOKUP(CU$10,'VK-Transport'!$C:$X,2+$B18,0))+IF(CU$8="X",VLOOKUP(CU$10,'VK-Elekter'!$C:$X,2+$D18,0))+IF(CU$9="X",VLOOKUP(CU$10,'VK-Biokütused'!$C:$U,2+$E18,0))+IF(CU$5="X",VLOOKUP(CU$10,'VK-Põlevkivi'!$C:$X,2+$G18,0))+IF(CU$4="X",VLOOKUP(CU$10,'VK-Võrgud'!$C:$X,2+$F18,0))</f>
        <v>0.9337349397590361</v>
      </c>
      <c r="CV18" s="209">
        <f t="shared" si="1"/>
        <v>0.91028830406496797</v>
      </c>
      <c r="CW18" s="209">
        <f>(IF(CW$7="X",VLOOKUP(CW$10,'VK-Hooned-Soojus'!$C:$X,2+$C18,FALSE),0)+IF(CW$6="X",VLOOKUP(CW$10,'VK-Transport'!$C:$X,2+$B18,0))+IF(CW$8="X",VLOOKUP(CW$10,'VK-Elekter'!$C:$X,2+$D18,0))+IF(CW$9="X",VLOOKUP(CW$10,'VK-Biokütused'!$C:$U,2+$E18,0))+IF(CW$5="X",VLOOKUP(CW$10,'VK-Põlevkivi'!$C:$X,2+$G18,0))+IF(CW$4="X",VLOOKUP(CW$10,'VK-Võrgud'!$C:$X,2+$F18,0)))/16</f>
        <v>59.743749999999999</v>
      </c>
      <c r="CY18" s="209">
        <f>(IF(CY$7="X",VLOOKUP(CY$10,'VK-Hooned-Soojus'!$C:$X,2+$C18,FALSE),0)+IF(CY$6="X",VLOOKUP(CY$10,'VK-Transport'!$C:$X,2+$B18,0))+IF(CY$8="X",VLOOKUP(CY$10,'VK-Elekter'!$C:$X,2+$D18,0))+IF(CY$9="X",VLOOKUP(CY$10,'VK-Biokütused'!$C:$U,2+$E18,0))+IF(CY$5="X",VLOOKUP(CY$10,'VK-Põlevkivi'!$C:$X,2+$G18,0))+IF(CY$4="X",VLOOKUP(CY$10,'VK-Võrgud'!$C:$X,2+$F18,0)))/1000</f>
        <v>11.585000000000001</v>
      </c>
      <c r="CZ18" s="209">
        <f>(IF(CZ$7="X",VLOOKUP(CZ$10,'VK-Hooned-Soojus'!$C:$X,2+$C18,FALSE),0)+IF(CZ$6="X",VLOOKUP(CZ$10,'VK-Transport'!$C:$X,2+$B18,0))+IF(CZ$8="X",VLOOKUP(CZ$10,'VK-Elekter'!$C:$X,2+$D18,0))+IF(CZ$9="X",VLOOKUP(CZ$10,'VK-Biokütused'!$C:$U,2+$E18,0))+IF(CZ$5="X",VLOOKUP(CZ$10,'VK-Põlevkivi'!$C:$X,2+$G18,0))+IF(CZ$4="X",VLOOKUP(CZ$10,'VK-Võrgud'!$C:$X,2+$F18,0)))</f>
        <v>80.400000000000006</v>
      </c>
      <c r="DA18" s="209">
        <f>(IF(DA$7="X",VLOOKUP(DA$10,'VK-Hooned-Soojus'!$C:$X,2+$C18,FALSE),0)+IF(DA$6="X",VLOOKUP(DA$10,'VK-Transport'!$C:$X,2+$B18,0))+IF(DA$8="X",VLOOKUP(DA$10,'VK-Elekter'!$C:$X,2+$D18,0))+IF(DA$9="X",VLOOKUP(DA$10,'VK-Biokütused'!$C:$U,2+$E18,0))+IF(DA$5="X",VLOOKUP(DA$10,'VK-Põlevkivi'!$C:$X,2+$G18,0))+IF(DA$4="X",VLOOKUP(DA$10,'VK-Võrgud'!$C:$X,2+$F18,0)))/1000</f>
        <v>15.478999999999999</v>
      </c>
      <c r="DB18" s="209">
        <f>(IF(DB$7="X",VLOOKUP(DB$10,'VK-Hooned-Soojus'!$C:$X,2+$C18,FALSE),0)+IF(DB$6="X",VLOOKUP(DB$10,'VK-Transport'!$C:$X,2+$B18,0))+IF(DB$8="X",VLOOKUP(DB$10,'VK-Elekter'!$C:$X,2+$D18,0))+IF(DB$9="X",VLOOKUP(DB$10,'VK-Biokütused'!$C:$U,2+$E18,0))+IF(DB$5="X",VLOOKUP(DB$10,'VK-Põlevkivi'!$C:$X,2+$G18,0))+IF(DB$4="X",VLOOKUP(DB$10,'VK-Võrgud'!$C:$X,2+$F18,0)))/1000/3.6</f>
        <v>69.039722222222224</v>
      </c>
      <c r="DC18" s="209">
        <f>(IF(DC$7="X",VLOOKUP(DC$10,'VK-Hooned-Soojus'!$C:$X,2+$C18,FALSE),0)+IF(DC$6="X",VLOOKUP(DC$10,'VK-Transport'!$C:$X,2+$B18,0))+IF(DC$8="X",VLOOKUP(DC$10,'VK-Elekter'!$C:$X,2+$D18,0))+IF(DC$9="X",VLOOKUP(DC$10,'VK-Biokütused'!$C:$U,2+$E18,0))+IF(DC$5="X",VLOOKUP(DC$10,'VK-Põlevkivi'!$C:$X,2+$G18,0))+IF(DC$4="X",VLOOKUP(DC$10,'VK-Võrgud'!$C:$X,2+$F18,0)))/1000000</f>
        <v>5.554697</v>
      </c>
      <c r="DD18" s="209"/>
      <c r="DE18" s="88">
        <f>VLOOKUP(Tulemused!$BN$12,data!M$7:N$12,2,FALSE)-SUM(L18,M18)</f>
        <v>-3.4066444444444528</v>
      </c>
      <c r="DF18" s="209" t="str">
        <f>IF(AZ18&lt;=VLOOKUP(Tulemused!$BN$15,data!$E$36:$F$39,2,FALSE),"JAH","EI")</f>
        <v>JAH</v>
      </c>
      <c r="DG18" s="209"/>
      <c r="DH18" s="209">
        <f t="shared" si="2"/>
        <v>6.78</v>
      </c>
      <c r="DI18" s="231" t="str">
        <f t="shared" si="17"/>
        <v>EI</v>
      </c>
      <c r="DK18" s="232">
        <f t="shared" si="3"/>
        <v>-998.34674395307911</v>
      </c>
      <c r="DM18" s="233">
        <f t="shared" si="4"/>
        <v>7.4639793718541156</v>
      </c>
      <c r="DN18" s="87">
        <f t="array" ref="DN18">INDEX($A$11:$A$145, SMALL(IF(DM18=$DK$11:$DK$145, MATCH(ROW($DK$11:$DK$145), ROW($DK$11:$DK$145))), SUM(--(DM18=$DM$11:DM18))))</f>
        <v>123</v>
      </c>
      <c r="DP18" s="87" t="e">
        <f t="shared" ca="1" si="18"/>
        <v>#N/A</v>
      </c>
      <c r="DQ18" s="87" t="e">
        <f t="shared" ca="1" si="19"/>
        <v>#N/A</v>
      </c>
      <c r="DR18" s="87">
        <f t="shared" ca="1" si="20"/>
        <v>0</v>
      </c>
      <c r="DS18" s="87" t="e">
        <f t="shared" ca="1" si="21"/>
        <v>#N/A</v>
      </c>
      <c r="DT18" s="87">
        <f t="shared" ca="1" si="22"/>
        <v>0</v>
      </c>
      <c r="DU18" s="87" t="e">
        <f t="shared" ca="1" si="23"/>
        <v>#N/A</v>
      </c>
      <c r="DV18" s="87" t="e">
        <f t="shared" ca="1" si="24"/>
        <v>#N/A</v>
      </c>
      <c r="DW18" s="87">
        <f t="shared" ca="1" si="25"/>
        <v>0</v>
      </c>
      <c r="DX18" s="87">
        <f t="shared" ca="1" si="26"/>
        <v>0</v>
      </c>
      <c r="DZ18" s="87">
        <f t="shared" ca="1" si="5"/>
        <v>0</v>
      </c>
      <c r="EB18" s="87">
        <f t="shared" ca="1" si="27"/>
        <v>0</v>
      </c>
      <c r="EC18" s="87" t="e">
        <f t="shared" ca="1" si="28"/>
        <v>#N/A</v>
      </c>
      <c r="EE18" s="228">
        <f>(IF(EE$7="X",VLOOKUP(EE$10,'VK-Hooned-Soojus'!$C:$X,2+$C18,FALSE),0)+IF(EE$6="X",VLOOKUP(EE$10,'VK-Transport'!$C:$X,2+$B18,0))+IF(EE$8="X",VLOOKUP(EE$10,'VK-Elekter'!$C:$X,2+$D18,0))+IF(EE$9="X",VLOOKUP(EE$10,'VK-Biokütused'!$C:$U,2+$E18,0))+IF(EE$5="X",VLOOKUP(EE$10,'VK-Põlevkivi'!$C:$X,2+$G18,0))+IF(EE$4="X",VLOOKUP(EE$10,'VK-Võrgud'!$C:$X,2+$F18,0)))</f>
        <v>7583.2279120347193</v>
      </c>
      <c r="EF18" s="235">
        <f>(IF(EF$7="X",VLOOKUP(EF$10,'VK-Hooned-Soojus'!$C:$X,2+$C18,FALSE),0)+IF(EF$6="X",VLOOKUP(EF$10,'VK-Transport'!$C:$X,2+$B18,0))+IF(EF$8="X",VLOOKUP(EF$10,'VK-Elekter'!$C:$X,2+$D18,0))+IF(EF$9="X",VLOOKUP(EF$10,'VK-Biokütused'!$C:$U,2+$E18,0)))/1000</f>
        <v>5.9806368215830608</v>
      </c>
      <c r="EG18" s="209">
        <f>(IF(EG$7="X",VLOOKUP(EG$10,'VK-Hooned-Soojus'!$C:$X,2+$C18,FALSE),0)+IF(EG$6="X",VLOOKUP(EG$10,'VK-Transport'!$C:$X,2+$B18,0))+IF(EG$8="X",VLOOKUP(EG$10,'VK-Elekter'!$C:$X,2+$D18,0))+IF(EG$9="X",VLOOKUP(EG$10,'VK-Biokütused'!$C:$U,2+$E18,0))+IF(EG$5="X",VLOOKUP(EG$10,'VK-Põlevkivi'!$C:$X,2+$G18,0))+IF(EG$4="X",VLOOKUP(EG$10,'VK-Võrgud'!$C:$X,2+$F18,0)))</f>
        <v>2.95</v>
      </c>
      <c r="EH18" s="209">
        <f>(IF(EH$7="X",VLOOKUP(EH$10,'VK-Hooned-Soojus'!$C:$X,2+$C18,FALSE),0)+IF(EH$6="X",VLOOKUP(EH$10,'VK-Transport'!$C:$X,2+$B18,0))+IF(EH$8="X",VLOOKUP(EH$10,'VK-Elekter'!$C:$X,2+$D18,0))+IF(EH$9="X",VLOOKUP(EH$10,'VK-Biokütused'!$C:$U,2+$E18,0)))+AR18+AS18+AU18+AX18</f>
        <v>58.376165628957573</v>
      </c>
      <c r="EI18" s="320">
        <f t="shared" si="6"/>
        <v>52.734567183462524</v>
      </c>
      <c r="EJ18" s="322">
        <f t="shared" si="7"/>
        <v>7.3408954233457072E-2</v>
      </c>
      <c r="EK18" s="323">
        <f t="shared" si="29"/>
        <v>0.41568159692162826</v>
      </c>
      <c r="EM18" s="209"/>
      <c r="EN18" s="209">
        <f t="shared" ca="1" si="8"/>
        <v>0</v>
      </c>
      <c r="EO18" s="209"/>
      <c r="EP18" s="234"/>
      <c r="EQ18" s="209">
        <f>(IF(EQ$7="X",VLOOKUP(EQ$10,'VK-Hooned-Soojus'!$C:$X,2+$C18,FALSE),0)+IF(EQ$6="X",VLOOKUP(EQ$10,'VK-Transport'!$C:$X,2+$B18,0))+IF(EQ$8="X",VLOOKUP(EQ$10,'VK-Elekter'!$C:$X,2+$D18,0))+IF(EQ$9="X",VLOOKUP(EQ$10,'VK-Biokütused'!$C:$U,2+$E18,0))+IF(EQ$5="X",VLOOKUP(EQ$10,'VK-Põlevkivi'!$C:$X,2+$G18,0))+IF(EQ$4="X",VLOOKUP(EQ$10,'VK-Võrgud'!$C:$X,2+$F18,0)))/1000</f>
        <v>0.22900000000000001</v>
      </c>
      <c r="ER18" s="209">
        <f>(IF(ER$7="X",VLOOKUP(ER$10,'VK-Hooned-Soojus'!$C:$X,2+$C18,FALSE),0)+IF(ER$6="X",VLOOKUP(ER$10,'VK-Transport'!$C:$X,2+$B18,0))+IF(ER$8="X",VLOOKUP(ER$10,'VK-Elekter'!$C:$X,2+$D18,0))+IF(ER$9="X",VLOOKUP(ER$10,'VK-Biokütused'!$C:$U,2+$E18,0))+IF(ER$5="X",VLOOKUP(ER$10,'VK-Põlevkivi'!$C:$X,2+$G18,0))+IF(ER$4="X",VLOOKUP(ER$10,'VK-Võrgud'!$C:$X,2+$F18,0)))</f>
        <v>0.82899999999999996</v>
      </c>
      <c r="ES18" s="209">
        <f>(IF(ES$7="X",VLOOKUP(ES$10,'VK-Hooned-Soojus'!$C:$X,2+$C18,FALSE),0)+IF(ES$6="X",VLOOKUP(ES$10,'VK-Transport'!$C:$X,2+$B18,0))+IF(ES$8="X",VLOOKUP(ES$10,'VK-Elekter'!$C:$X,2+$D18,0))+IF(ES$9="X",VLOOKUP(ES$10,'VK-Biokütused'!$C:$U,2+$E18,0))+IF(ES$5="X",VLOOKUP(ES$10,'VK-Põlevkivi'!$C:$X,2+$G18,0))+IF(ES$4="X",VLOOKUP(ES$10,'VK-Võrgud'!$C:$X,2+$F18,0)))</f>
        <v>6.78</v>
      </c>
      <c r="ET18" s="209"/>
      <c r="EU18" s="209"/>
      <c r="EV18" s="87">
        <f>'KSH järjestus'!AS11</f>
        <v>2150</v>
      </c>
      <c r="EX18" s="236"/>
      <c r="EY18" s="236"/>
      <c r="EZ18" s="237">
        <f t="shared" si="9"/>
        <v>6.6265060240963902E-2</v>
      </c>
      <c r="FA18" s="209">
        <f>IF(FA$7="X",VLOOKUP(FA$10,'VK-Hooned-Soojus'!$C:$X,2+$C18,FALSE),0)+IF(FA$6="X",VLOOKUP(FA$10,'VK-Transport'!$C:$X,2+$B18,0))+IF(FA$8="X",VLOOKUP(FA$10,'VK-Elekter'!$C:$X,2+$D18,0))+IF(FA$9="X",VLOOKUP(FA$10,'VK-Biokütused'!$C:$U,2+$E18,0))+IF(FA$5="X",VLOOKUP(FA$10,'VK-Põlevkivi'!$C:$X,2+$G18,0))+IF(FA$4="X",VLOOKUP(FA$10,'VK-Võrgud'!$C:$X,2+$F18,0))</f>
        <v>3693.9070000000002</v>
      </c>
      <c r="FB18" s="279">
        <f>(IF(FB$7="X",VLOOKUP(FB$10,'VK-Hooned-Soojus'!$C:$X,2+$C18,FALSE),0)+IF(FB$6="X",VLOOKUP(FB$10,'VK-Transport'!$C:$X,2+$B18,0))+IF(FB$8="X",VLOOKUP(FB$10,'VK-Elekter'!$C:$X,2+$D18,0))+IF(FB$9="X",VLOOKUP(FB$10,'VK-Biokütused'!$C:$U,2+$E18,0))+IF(FB$5="X",VLOOKUP(FB$10,'VK-Põlevkivi'!$C:$X,2+$G18,0))+IF(FB$4="X",VLOOKUP(FB$10,'VK-Võrgud'!$C:$X,2+$F18,0)))/16</f>
        <v>283.88505867673649</v>
      </c>
      <c r="FC18" s="209">
        <f>IF(FC$7="X",VLOOKUP(FC$10,'VK-Hooned-Soojus'!$C:$X,2+$C18,FALSE),0)+IF(FC$6="X",VLOOKUP(FC$10,'VK-Transport'!$C:$X,2+$B18,0))+IF(FC$8="X",VLOOKUP(FC$10,'VK-Elekter'!$C:$X,2+$D18,0))+IF(FC$9="X",VLOOKUP(FC$10,'VK-Biokütused'!$C:$U,2+$E18,0))+IF(FC$5="X",VLOOKUP(FC$10,'VK-Põlevkivi'!$C:$X,2+$G18,0))+IF(FC$4="X",VLOOKUP(FC$10,'VK-Võrgud'!$C:$X,2+$F18,0))</f>
        <v>339.59999999999997</v>
      </c>
      <c r="FD18" s="209">
        <f>(IF(FD$7="X",VLOOKUP(FD$10,'VK-Hooned-Soojus'!$C:$X,2+$C18,FALSE),0)+IF(FD$6="X",VLOOKUP(FD$10,'VK-Transport'!$C:$X,2+$B18,0))+IF(FD$8="X",VLOOKUP(FD$10,'VK-Elekter'!$C:$X,2+$D18,0))+IF(FD$9="X",VLOOKUP(FD$10,'VK-Biokütused'!$C:$U,2+$E18,0))+IF(FD$5="X",VLOOKUP(FD$10,'VK-Põlevkivi'!$C:$X,2+$G18,0))+IF(FD$4="X",VLOOKUP(FD$10,'VK-Võrgud'!$C:$X,2+$F18,0)))/16</f>
        <v>283.88505867673649</v>
      </c>
      <c r="FE18" s="209">
        <f>(IF(FE$7="X",VLOOKUP(FE$10,'VK-Hooned-Soojus'!$C:$X,2+$C18,FALSE),0)+IF(FE$6="X",VLOOKUP(FE$10,'VK-Transport'!$C:$X,2+$B18,0))+IF(FE$8="X",VLOOKUP(FE$10,'VK-Elekter'!$C:$X,2+$D18,0))+IF(FE$9="X",VLOOKUP(FE$10,'VK-Biokütused'!$C:$U,2+$E18,0))+IF(FE$5="X",VLOOKUP(FE$10,'VK-Põlevkivi'!$C:$X,2+$G18,0))+IF(FE$4="X",VLOOKUP(FE$10,'VK-Võrgud'!$C:$X,2+$F18,0)))/16</f>
        <v>-15.233219880632102</v>
      </c>
      <c r="FF18" s="209">
        <f>(IF(FF$7="X",VLOOKUP(FF$10,'VK-Hooned-Soojus'!$C:$X,2+$C18,FALSE),0)+IF(FF$6="X",VLOOKUP(FF$10,'VK-Transport'!$C:$X,2+$B18,0))+IF(FF$8="X",VLOOKUP(FF$10,'VK-Elekter'!$C:$X,2+$D18,0))+IF(FF$9="X",VLOOKUP(FF$10,'VK-Biokütused'!$C:$U,2+$E18,0))+IF(FF$5="X",VLOOKUP(FF$10,'VK-Põlevkivi'!$C:$X,2+$G18,0))+IF(FF$4="X",VLOOKUP(FF$10,'VK-Võrgud'!$C:$X,2+$F18,0)))/16</f>
        <v>80.965746926365881</v>
      </c>
      <c r="FG18" s="88">
        <f t="shared" ca="1" si="30"/>
        <v>65.732527045733775</v>
      </c>
      <c r="FH18" s="88"/>
      <c r="FI18" s="88"/>
      <c r="FJ18" s="88">
        <f>VLOOKUP(Tulemused!$BN$12,data!M$7:N$12,2,FALSE)-SUM(L18,M18)</f>
        <v>-3.4066444444444528</v>
      </c>
      <c r="FK18" s="209" t="str">
        <f>IF(AZ18&lt;=VLOOKUP(Tulemused!$BN$15,data!$E$36:$F$39,2,FALSE),"JAH","EI")</f>
        <v>JAH</v>
      </c>
      <c r="FL18" s="235">
        <f ca="1">IF(ISNA(MATCH($A18,INDIRECT(VLOOKUP(Tulemused!$BF$11,data!$J$57:$M$71,4,FALSE)))),0,MATCH($A18,INDIRECT(VLOOKUP(Tulemused!$BF$11,data!$J$57:$M$71,4,FALSE))))</f>
        <v>0</v>
      </c>
      <c r="FM18" s="235" t="str">
        <f t="shared" ca="1" si="10"/>
        <v>JAH</v>
      </c>
      <c r="FN18" s="209">
        <f>VLOOKUP(Tulemused!$BN$13,data!$C$132:$D$137,2,FALSE)-KOMBI!R18</f>
        <v>2.5658331784169404</v>
      </c>
      <c r="FO18" s="209"/>
      <c r="FP18" s="209">
        <f>VLOOKUP(Tulemused!$BN$17,NO_x,2,FALSE)-CJ18</f>
        <v>9.2241389005694145</v>
      </c>
      <c r="FQ18" s="209">
        <f>VLOOKUP(Tulemused!$BN$18,SO_2,2,FALSE)-CK18</f>
        <v>39.076875437721398</v>
      </c>
      <c r="FR18" s="209">
        <f>VLOOKUP(Tulemused!$BN$19,LOU,2,FALSE)-CN18</f>
        <v>34.054000000000002</v>
      </c>
      <c r="FS18" s="209">
        <f>VLOOKUP(Tulemused!$BN$20,PM_2.5,2,FALSE)-CM18</f>
        <v>8.346684320552896</v>
      </c>
      <c r="FT18" s="209">
        <f>VLOOKUP(Tulemused!$BN$13,data!$C$132:$D$137,2,FALSE)-FA18/1000</f>
        <v>2.5520630000000004</v>
      </c>
      <c r="FU18" s="209">
        <f>VLOOKUP(Tulemused!$BN$17,NO_x,2,FALSE)-CO18</f>
        <v>3.7663502267145432</v>
      </c>
      <c r="FV18" s="209">
        <f>VLOOKUP(Tulemused!$BN$18,SO_2,2,FALSE)-CP18</f>
        <v>38.058051415704384</v>
      </c>
      <c r="FW18" s="209">
        <f>VLOOKUP(Tulemused!$BN$19,LOU,2,FALSE)-CS18</f>
        <v>33.09384759487839</v>
      </c>
      <c r="FX18" s="209">
        <f>VLOOKUP(Tulemused!$BN$20,PM_2.5,2,FALSE)-CR18</f>
        <v>8.7922466437251945</v>
      </c>
      <c r="FY18" s="209">
        <f>VLOOKUP(Tulemused!$BN$14,KHG_2050,2,FALSE)-EF18</f>
        <v>94.019363178416938</v>
      </c>
      <c r="FZ18" s="231" t="str">
        <f t="shared" ca="1" si="31"/>
        <v>EI</v>
      </c>
      <c r="GA18" s="209"/>
      <c r="GB18" s="209"/>
      <c r="GC18" s="209"/>
      <c r="GD18" s="231"/>
      <c r="GE18" s="87">
        <f t="shared" si="11"/>
        <v>2150</v>
      </c>
      <c r="GF18" s="232" t="str">
        <f t="shared" ca="1" si="32"/>
        <v/>
      </c>
      <c r="GH18" s="238">
        <f t="shared" ca="1" si="12"/>
        <v>652</v>
      </c>
      <c r="GI18" s="87">
        <f t="array" aca="1" ref="GI18" ca="1">INDEX($A$11:$A$145, SMALL(IF(GH18=$GF$11:$GF$145, MATCH(ROW($GF$11:$GF$145), ROW($GF$11:$GF$145))), SUM(--(GH18=$GH$11:GH18))))</f>
        <v>122</v>
      </c>
      <c r="GM18" s="209">
        <f>IF(GM$7="X",VLOOKUP(GM$10,'VK-Hooned-Soojus'!$C:$X,2+$C18,FALSE),0)+IF(GM$6="X",VLOOKUP(GM$10,'VK-Transport'!$C:$X,2+$B18,0))+IF(GM$8="X",VLOOKUP(GM$10,'VK-Elekter'!$C:$X,2+$D18,0))+IF(GM$9="X",VLOOKUP(GM$10,'VK-Biokütused'!$C:$U,2+$E18,0))+IF(GM$5="X",VLOOKUP(GM$10,'VK-Põlevkivi'!$C:$X,2+$G18,0))+IF(GM$4="X",VLOOKUP(GM$10,'VK-Võrgud'!$C:$X,2+$F18,0))</f>
        <v>6.011750640646909</v>
      </c>
      <c r="GN18" s="209">
        <f>IF(GN$7="X",VLOOKUP(GN$10,'VK-Hooned-Soojus'!$C:$X,2+$C18,FALSE),0)+IF(GN$6="X",VLOOKUP(GN$10,'VK-Transport'!$C:$X,2+$B18,0))+IF(GN$8="X",VLOOKUP(GN$10,'VK-Elekter'!$C:$X,2+$D18,0))+IF(GN$9="X",VLOOKUP(GN$10,'VK-Biokütused'!$C:$U,2+$E18,0))+IF(GN$5="X",VLOOKUP(GN$10,'VK-Põlevkivi'!$C:$X,2+$G18,0))+IF(GN$4="X",VLOOKUP(GN$10,'VK-Võrgud'!$C:$X,2+$F18,0))</f>
        <v>3.4528686473995491</v>
      </c>
      <c r="GO18" s="209">
        <f>IF(GO$7="X",VLOOKUP(GO$10,'VK-Hooned-Soojus'!$C:$X,2+$C18,FALSE),0)+IF(GO$6="X",VLOOKUP(GO$10,'VK-Transport'!$C:$X,2+$B18,0))+IF(GO$8="X",VLOOKUP(GO$10,'VK-Elekter'!$C:$X,2+$D18,0))+IF(GO$9="X",VLOOKUP(GO$10,'VK-Biokütused'!$C:$U,2+$E18,0))+IF(GO$5="X",VLOOKUP(GO$10,'VK-Põlevkivi'!$C:$X,2+$G18,0))+IF(GO$4="X",VLOOKUP(GO$10,'VK-Võrgud'!$C:$X,2+$F18,0))</f>
        <v>8.7471755658278116</v>
      </c>
      <c r="GP18" s="209">
        <f>IF(GP$7="X",VLOOKUP(GP$10,'VK-Hooned-Soojus'!$C:$X,2+$C18,FALSE),0)+IF(GP$6="X",VLOOKUP(GP$10,'VK-Transport'!$C:$X,2+$B18,0))+IF(GP$8="X",VLOOKUP(GP$10,'VK-Elekter'!$C:$X,2+$D18,0))+IF(GP$9="X",VLOOKUP(GP$10,'VK-Biokütused'!$C:$U,2+$E18,0))+IF(GP$5="X",VLOOKUP(GP$10,'VK-Põlevkivi'!$C:$X,2+$G18,0))+IF(GP$4="X",VLOOKUP(GP$10,'VK-Võrgud'!$C:$X,2+$F18,0))</f>
        <v>9.3279335818485372</v>
      </c>
      <c r="GQ18" s="88">
        <f>IF(GQ$7="X",VLOOKUP(GQ$10,'VK-Hooned-Soojus'!$C:$X,2+$C18,FALSE),0)+IF(GQ$6="X",VLOOKUP(GQ$10,'VK-Transport'!$C:$X,2+$B18,0))+IF(GQ$8="X",VLOOKUP(GQ$10,'VK-Elekter'!$C:$X,2+$D18,0))+IF(GQ$9="X",VLOOKUP(GQ$10,'VK-Biokütused'!$C:$U,2+$E18,0))+IF(GQ$5="X",VLOOKUP(GQ$10,'VK-Põlevkivi'!$C:$X,2+$G18,0))+IF(GQ$4="X",VLOOKUP(GQ$10,'VK-Võrgud'!$C:$X,2+$F18,0))</f>
        <v>0.9682855968523334</v>
      </c>
      <c r="GR18" s="186">
        <f t="shared" si="33"/>
        <v>0.37939565677332487</v>
      </c>
    </row>
    <row r="19" spans="1:200" x14ac:dyDescent="0.2">
      <c r="A19" s="184">
        <v>9</v>
      </c>
      <c r="B19" s="87">
        <v>1</v>
      </c>
      <c r="C19" s="87">
        <v>1</v>
      </c>
      <c r="D19" s="87">
        <v>3</v>
      </c>
      <c r="E19" s="87">
        <v>3</v>
      </c>
      <c r="F19" s="87">
        <f>VLOOKUP(Tulemused!$BF$7,data!$J$6:$K$8,2,FALSE)</f>
        <v>2</v>
      </c>
      <c r="G19" s="87">
        <f>VLOOKUP(data!$H$2,data!$J$12:$K$14,2,FALSE)</f>
        <v>2</v>
      </c>
      <c r="I19" s="209">
        <f>IF(I$7="X",VLOOKUP(I$10,'VK-Hooned-Soojus'!$C:$X,2+$C19,FALSE),0)+IF(I$6="X",VLOOKUP(I$10,'VK-Transport'!$C:$X,2+$B19,0))+IF(I$8="X",VLOOKUP(I$10,'VK-Elekter'!$C:$X,2+$D19,0))+IF(I$9="X",VLOOKUP(I$10,'VK-Biokütused'!$C:$U,2+$E19,0))+IF(I$5="X",VLOOKUP(I$10,'VK-Põlevkivi'!$C:$X,2+$G19,0))+IF(I$4="X",VLOOKUP(I$10,'VK-Võrgud'!$C:$X,2+$F19,0))</f>
        <v>26.89</v>
      </c>
      <c r="J19" s="209">
        <f>IF(J$7="X",VLOOKUP(J$10,'VK-Hooned-Soojus'!$C:$X,2+$C19,FALSE),0)+IF(J$6="X",VLOOKUP(J$10,'VK-Transport'!$C:$X,2+$B19,0))+IF(J$8="X",VLOOKUP(J$10,'VK-Elekter'!$C:$X,2+$D19,0))+IF(J$9="X",VLOOKUP(J$10,'VK-Biokütused'!$C:$U,2+$E19,0))+IF(J$5="X",VLOOKUP(J$10,'VK-Põlevkivi'!$C:$X,2+$G19,0))+IF(J$4="X",VLOOKUP(J$10,'VK-Võrgud'!$C:$X,2+$F19,0))</f>
        <v>13.295833333333334</v>
      </c>
      <c r="K19" s="209">
        <f>IF(K$7="X",VLOOKUP(K$10,'VK-Hooned-Soojus'!$C:$X,2+$C19,FALSE),0)+IF(K$6="X",VLOOKUP(K$10,'VK-Transport'!$C:$X,2+$B19,0))+IF(K$8="X",VLOOKUP(K$10,'VK-Elekter'!$C:$X,2+$D19,0))+IF(K$9="X",VLOOKUP(K$10,'VK-Biokütused'!$C:$U,2+$E19,0))+IF(K$5="X",VLOOKUP(K$10,'VK-Põlevkivi'!$C:$X,2+$G19,0))+IF(K$4="X",VLOOKUP(K$10,'VK-Võrgud'!$C:$X,2+$F19,0))</f>
        <v>16.75</v>
      </c>
      <c r="L19" s="209">
        <f>IF(L$7="X",VLOOKUP(L$10,'VK-Hooned-Soojus'!$C:$X,2+$C19,FALSE),0)+IF(L$6="X",VLOOKUP(L$10,'VK-Transport'!$C:$X,2+$B19,0))+IF(L$8="X",VLOOKUP(L$10,'VK-Elekter'!$C:$X,2+$D19,0))+IF(L$9="X",VLOOKUP(L$10,'VK-Biokütused'!$C:$U,2+$E19,0))+IF(L$5="X",VLOOKUP(L$10,'VK-Põlevkivi'!$C:$X,2+$G19,0))+IF(L$4="X",VLOOKUP(L$10,'VK-Võrgud'!$C:$X,2+$F19,0))</f>
        <v>24.95</v>
      </c>
      <c r="M19" s="209">
        <f>IF(M$7="X",VLOOKUP(M$10,'VK-Hooned-Soojus'!$C:$X,2+$C19,FALSE),0)+IF(M$6="X",VLOOKUP(M$10,'VK-Transport'!$C:$X,2+$B19,0))+IF(M$8="X",VLOOKUP(M$10,'VK-Elekter'!$C:$X,2+$D19,0))+IF(M$9="X",VLOOKUP(M$10,'VK-Biokütused'!$C:$U,2+$E19,0))+IF(M$5="X",VLOOKUP(M$10,'VK-Põlevkivi'!$C:$X,2+$G19,0))+IF(M$4="X",VLOOKUP(M$10,'VK-Võrgud'!$C:$X,2+$F19,0))</f>
        <v>11.289444444444445</v>
      </c>
      <c r="N19" s="209">
        <f>IF(N$7="X",VLOOKUP(N$10,'VK-Hooned-Soojus'!$C:$X,2+$C19,FALSE),0)+IF(N$6="X",VLOOKUP(N$10,'VK-Transport'!$C:$X,2+$B19,0))+IF(N$8="X",VLOOKUP(N$10,'VK-Elekter'!$C:$X,2+$D19,0))+IF(N$9="X",VLOOKUP(N$10,'VK-Biokütused'!$C:$U,2+$E19,0))+IF(N$5="X",VLOOKUP(N$10,'VK-Põlevkivi'!$C:$X,2+$G19,0))+IF(N$4="X",VLOOKUP(N$10,'VK-Võrgud'!$C:$X,2+$F19,0))</f>
        <v>16.75</v>
      </c>
      <c r="O19" s="209">
        <f t="shared" si="13"/>
        <v>40.185833333333335</v>
      </c>
      <c r="P19" s="209"/>
      <c r="Q19" s="209">
        <f>(IF(Q$7="X",VLOOKUP(Q$10,'VK-Hooned-Soojus'!$C:$X,2+$C19,FALSE),0)+IF(Q$6="X",VLOOKUP(Q$10,'VK-Transport'!$C:$X,2+$B19,0))+IF(Q$8="X",VLOOKUP(Q$10,'VK-Elekter'!$C:$X,2+$D19,0))+IF(Q$9="X",VLOOKUP(Q$10,'VK-Biokütused'!$C:$U,2+$E19,0))+IF(Q$5="X",VLOOKUP(Q$10,'VK-Põlevkivi'!$C:$X,2+$G19,0))+IF(Q$4="X",VLOOKUP(Q$10,'VK-Võrgud'!$C:$X,2+$F19,0)))/1000</f>
        <v>5.33</v>
      </c>
      <c r="R19" s="209">
        <f>(IF(R$7="X",VLOOKUP(R$10,'VK-Hooned-Soojus'!$C:$X,2+$C19,FALSE),0)+IF(R$6="X",VLOOKUP(R$10,'VK-Transport'!$C:$X,2+$B19,0))+IF(R$8="X",VLOOKUP(R$10,'VK-Elekter'!$C:$X,2+$D19,0))+IF(R$9="X",VLOOKUP(R$10,'VK-Biokütused'!$C:$U,2+$E19,0))+IF(R$5="X",VLOOKUP(R$10,'VK-Põlevkivi'!$C:$X,2+$G19,0))+IF(R$4="X",VLOOKUP(R$10,'VK-Võrgud'!$C:$X,2+$F19,0)))/1000</f>
        <v>3.8888368215830607</v>
      </c>
      <c r="S19" s="226">
        <f>VLOOKUP(S$10,'VK-Hooned-Soojus'!$C:$I,2+$C19,FALSE) + VLOOKUP(S$10,'VK-Transport'!$C:$I,2+$B19,FALSE)+ VLOOKUP(S$10,'VK-Biokütused'!$C:$G,2+$E19,FALSE)+ VLOOKUP(S$10,'VK-Elekter'!$C:$I,2+$D19,FALSE)+ VLOOKUP(S$10,'VK-Põlevkivi'!$C:$I,2+$G19,FALSE)+ VLOOKUP(S$10,'VK-Võrgud'!$C:$I,2+$F19,FALSE)</f>
        <v>1.6260041095978138E-2</v>
      </c>
      <c r="T19" s="226">
        <f>VLOOKUP(T$10,'VK-Hooned-Soojus'!$C:$I,2+$C19,FALSE) + VLOOKUP(T$10,'VK-Transport'!$C:$I,2+$B19,FALSE)+ VLOOKUP(T$10,'VK-Biokütused'!$C:$G,2+$E19,FALSE)+ VLOOKUP(T$10,'VK-Elekter'!$C:$I,2+$D19,FALSE)+ VLOOKUP(T$10,'VK-Põlevkivi'!$C:$I,2+$G19,FALSE)+ VLOOKUP(T$10,'VK-Võrgud'!$C:$I,2+$F19,FALSE)</f>
        <v>-5.9475177967466455E-3</v>
      </c>
      <c r="U19" s="226">
        <f>VLOOKUP(U$10,'VK-Hooned-Soojus'!$C:$I,2+$C19,FALSE) + VLOOKUP(U$10,'VK-Transport'!$C:$I,2+$B19,FALSE)+ VLOOKUP(U$10,'VK-Biokütused'!$C:$G,2+$E19,FALSE)+ VLOOKUP(U$10,'VK-Elekter'!$C:$I,2+$D19,FALSE)+ VLOOKUP(U$10,'VK-Põlevkivi'!$C:$I,2+$G19,FALSE)+ VLOOKUP(U$10,'VK-Võrgud'!$C:$I,2+$F19,FALSE)</f>
        <v>5.5428398579134563E-3</v>
      </c>
      <c r="V19" s="226">
        <f>VLOOKUP(V$10,'VK-Hooned-Soojus'!$C:$I,2+$C19,FALSE) + VLOOKUP(V$10,'VK-Transport'!$C:$I,2+$B19,FALSE)+ VLOOKUP(V$10,'VK-Biokütused'!$C:$G,2+$E19,FALSE)+ VLOOKUP(V$10,'VK-Elekter'!$C:$I,2+$D19,FALSE)+ VLOOKUP(V$10,'VK-Põlevkivi'!$C:$I,2+$G19,FALSE)+ VLOOKUP(V$10,'VK-Võrgud'!$C:$I,2+$F19,FALSE)</f>
        <v>1.0856689826438832E-2</v>
      </c>
      <c r="W19" s="226">
        <f>VLOOKUP(W$10,'VK-Hooned-Soojus'!$C:$I,2+$C19,FALSE) + VLOOKUP(W$10,'VK-Transport'!$C:$I,2+$B19,FALSE)+ VLOOKUP(W$10,'VK-Biokütused'!$C:$G,2+$E19,FALSE)+ VLOOKUP(W$10,'VK-Elekter'!$C:$I,2+$D19,FALSE)+ VLOOKUP(W$10,'VK-Põlevkivi'!$C:$I,2+$G19,FALSE)+ VLOOKUP(W$10,'VK-Võrgud'!$C:$I,2+$F19,FALSE)</f>
        <v>8.2484368690496149E-3</v>
      </c>
      <c r="X19" s="226">
        <f>VLOOKUP(X$10,'VK-Hooned-Soojus'!$C:$I,2+$C19,FALSE) + VLOOKUP(X$10,'VK-Transport'!$C:$I,2+$B19,FALSE)+ VLOOKUP(X$10,'VK-Biokütused'!$C:$G,2+$E19,FALSE)+ VLOOKUP(X$10,'VK-Elekter'!$C:$I,2+$D19,FALSE)+ VLOOKUP(X$10,'VK-Põlevkivi'!$C:$I,2+$G19,FALSE)+ VLOOKUP(X$10,'VK-Võrgud'!$C:$I,2+$F19,FALSE)</f>
        <v>2.281189066510203E-3</v>
      </c>
      <c r="Y19" s="226">
        <f>VLOOKUP(Y$10,'VK-Hooned-Soojus'!$C:$I,2+$C19,FALSE) + VLOOKUP(Y$10,'VK-Transport'!$C:$I,2+$B19,FALSE)+ VLOOKUP(Y$10,'VK-Biokütused'!$C:$G,2+$E19,FALSE)+ VLOOKUP(Y$10,'VK-Elekter'!$C:$I,2+$D19,FALSE)+ VLOOKUP(Y$10,'VK-Põlevkivi'!$C:$I,2+$G19,FALSE)+ VLOOKUP(Y$10,'VK-Võrgud'!$C:$I,2+$F19,FALSE)</f>
        <v>2.8702543327541186E-3</v>
      </c>
      <c r="Z19" s="227">
        <f>(S19*Tulemused!$Q$9*10+T19*Tulemused!$Q$10*10+KOMBI!U19*Tulemused!$Q$11*10+KOMBI!V19*Tulemused!$Q$12*10)*Tulemused!$Q$8+-(W19*Tulemused!$Q$14*10+KOMBI!X19*Tulemused!$Q$15*10+KOMBI!Y19*Tulemused!$Q$16*10)*Tulemused!$Q$13</f>
        <v>2.5583557691624588</v>
      </c>
      <c r="AA19" s="228">
        <f>(IF(AA$7="X",VLOOKUP(AA$10,'VK-Hooned-Soojus'!$C:$X,2+$C19,FALSE),0)+IF(AA$6="X",VLOOKUP(AA$10,'VK-Transport'!$C:$X,2+$B19,0))+IF(AA$8="X",VLOOKUP(AA$10,'VK-Elekter'!$C:$X,2+$D19,0))+IF(AA$9="X",VLOOKUP(AA$10,'VK-Biokütused'!$C:$U,2+$E19,0))+IF(AA$5="X",VLOOKUP(AA$10,'VK-Põlevkivi'!$C:$X,2+$G19,0))+IF(AA$4="X",VLOOKUP(AA$10,'VK-Võrgud'!$C:$X,2+$F19,0)))</f>
        <v>3728</v>
      </c>
      <c r="AB19" s="228">
        <f>(IF(AB$7="X",VLOOKUP(AB$10,'VK-Hooned-Soojus'!$C:$X,2+$C19,FALSE),0)+IF(AB$6="X",VLOOKUP(AB$10,'VK-Transport'!$C:$X,2+$B19,0))+IF(AB$8="X",VLOOKUP(AB$10,'VK-Elekter'!$C:$X,2+$D19,0))+IF(AB$9="X",VLOOKUP(AB$10,'VK-Biokütused'!$C:$U,2+$E19,0))+IF(AB$5="X",VLOOKUP(AB$10,'VK-Põlevkivi'!$C:$X,2+$G19,0))+IF(AB$4="X",VLOOKUP(AB$10,'VK-Võrgud'!$C:$X,2+$F19,0)))</f>
        <v>1602</v>
      </c>
      <c r="AC19" s="228">
        <f>(IF(AC$7="X",VLOOKUP(AC$10,'VK-Hooned-Soojus'!$C:$X,2+$C19,FALSE),0)+IF(AC$6="X",VLOOKUP(AC$10,'VK-Transport'!$C:$X,2+$B19,0))+IF(AC$8="X",VLOOKUP(AC$10,'VK-Elekter'!$C:$X,2+$D19,0))+IF(AC$9="X",VLOOKUP(AC$10,'VK-Biokütused'!$C:$U,2+$E19,0))+IF(AC$5="X",VLOOKUP(AC$10,'VK-Põlevkivi'!$C:$X,2+$G19,0))+IF(AC$4="X",VLOOKUP(AC$10,'VK-Võrgud'!$C:$X,2+$F19,0)))</f>
        <v>2346</v>
      </c>
      <c r="AD19" s="228">
        <f>(IF(AD$7="X",VLOOKUP(AD$10,'VK-Hooned-Soojus'!$C:$X,2+$C19,FALSE),0)+IF(AD$6="X",VLOOKUP(AD$10,'VK-Transport'!$C:$X,2+$B19,0))+IF(AD$8="X",VLOOKUP(AD$10,'VK-Elekter'!$C:$X,2+$D19,0))+IF(AD$9="X",VLOOKUP(AD$10,'VK-Biokütused'!$C:$U,2+$E19,0))+IF(AD$5="X",VLOOKUP(AD$10,'VK-Põlevkivi'!$C:$X,2+$G19,0))+IF(AD$4="X",VLOOKUP(AD$10,'VK-Võrgud'!$C:$X,2+$F19,0)))</f>
        <v>586.20000000000005</v>
      </c>
      <c r="AE19" s="228">
        <f>(IF(AE$7="X",VLOOKUP(AE$10,'VK-Hooned-Soojus'!$C:$X,2+$C19,FALSE),0)+IF(AE$6="X",VLOOKUP(AE$10,'VK-Transport'!$C:$X,2+$B19,0))+IF(AE$8="X",VLOOKUP(AE$10,'VK-Elekter'!$C:$X,2+$D19,0))+IF(AE$9="X",VLOOKUP(AE$10,'VK-Biokütused'!$C:$U,2+$E19,0))+IF(AE$5="X",VLOOKUP(AE$10,'VK-Põlevkivi'!$C:$X,2+$G19,0))+IF(AE$4="X",VLOOKUP(AE$10,'VK-Võrgud'!$C:$X,2+$F19,0)))</f>
        <v>812</v>
      </c>
      <c r="AF19" s="228">
        <f>(IF(AF$7="X",VLOOKUP(AF$10,'VK-Hooned-Soojus'!$C:$X,2+$C19,FALSE),0)+IF(AF$6="X",VLOOKUP(AF$10,'VK-Transport'!$C:$X,2+$B19,0))+IF(AF$8="X",VLOOKUP(AF$10,'VK-Elekter'!$C:$X,2+$D19,0))+IF(AF$9="X",VLOOKUP(AF$10,'VK-Biokütused'!$C:$U,2+$E19,0))+IF(AF$5="X",VLOOKUP(AF$10,'VK-Põlevkivi'!$C:$X,2+$G19,0))+IF(AF$4="X",VLOOKUP(AF$10,'VK-Võrgud'!$C:$X,2+$F19,0)))</f>
        <v>2490.6368215830603</v>
      </c>
      <c r="AG19" s="209"/>
      <c r="AH19" s="209">
        <f>IF(AH$7="X",VLOOKUP(AH$10,'VK-Hooned-Soojus'!$C:$X,2+$C19,FALSE),0)+IF(AH$6="X",VLOOKUP(AH$10,'VK-Transport'!$C:$X,2+$B19,0))+IF(AH$8="X",VLOOKUP(AH$10,'VK-Elekter'!$C:$X,2+$D19,0))+IF(AH$9="X",VLOOKUP(AH$10,'VK-Biokütused'!$C:$U,2+$E19,0))+IF(AH$5="X",VLOOKUP(AH$10,'VK-Põlevkivi'!$C:$X,2+$G19,0))+IF(AH$4="X",VLOOKUP(AH$10,'VK-Võrgud'!$C:$X,2+$F19,0))</f>
        <v>11.579999999999998</v>
      </c>
      <c r="AI19" s="209">
        <f>IF(AI$7="X",VLOOKUP(AI$10,'VK-Hooned-Soojus'!$C:$X,2+$C19,FALSE),0)+IF(AI$6="X",VLOOKUP(AI$10,'VK-Transport'!$C:$X,2+$B19,0))+IF(AI$8="X",VLOOKUP(AI$10,'VK-Elekter'!$C:$X,2+$D19,0))+IF(AI$9="X",VLOOKUP(AI$10,'VK-Biokütused'!$C:$U,2+$E19,0))+IF(AI$5="X",VLOOKUP(AI$10,'VK-Põlevkivi'!$C:$X,2+$G19,0))+IF(AI$4="X",VLOOKUP(AI$10,'VK-Võrgud'!$C:$X,2+$F19,0))</f>
        <v>4.45</v>
      </c>
      <c r="AJ19" s="209">
        <f>IF(AJ$7="X",VLOOKUP(AJ$10,'VK-Hooned-Soojus'!$C:$X,2+$C19,FALSE),0)+IF(AJ$6="X",VLOOKUP(AJ$10,'VK-Transport'!$C:$X,2+$B19,0))+IF(AJ$8="X",VLOOKUP(AJ$10,'VK-Elekter'!$C:$X,2+$D19,0))+IF(AJ$9="X",VLOOKUP(AJ$10,'VK-Biokütused'!$C:$U,2+$E19,0))+IF(AJ$5="X",VLOOKUP(AJ$10,'VK-Põlevkivi'!$C:$X,2+$G19,0))+IF(AJ$4="X",VLOOKUP(AJ$10,'VK-Võrgud'!$C:$X,2+$F19,0))</f>
        <v>9.19</v>
      </c>
      <c r="AK19" s="209">
        <f>IF(AK$7="X",VLOOKUP(AK$10,'VK-Hooned-Soojus'!$C:$X,2+$C19,FALSE),0)+IF(AK$6="X",VLOOKUP(AK$10,'VK-Transport'!$C:$X,2+$B19,0))+IF(AK$8="X",VLOOKUP(AK$10,'VK-Elekter'!$C:$X,2+$D19,0))+IF(AK$9="X",VLOOKUP(AK$10,'VK-Biokütused'!$C:$U,2+$E19,0))+IF(AK$5="X",VLOOKUP(AK$10,'VK-Põlevkivi'!$C:$X,2+$G19,0))+IF(AK$4="X",VLOOKUP(AK$10,'VK-Võrgud'!$C:$X,2+$F19,0))</f>
        <v>0.66</v>
      </c>
      <c r="AL19" s="209">
        <f>IF(AL$7="X",VLOOKUP(AL$10,'VK-Hooned-Soojus'!$C:$X,2+$C19,FALSE),0)+IF(AL$6="X",VLOOKUP(AL$10,'VK-Transport'!$C:$X,2+$B19,0))+IF(AL$8="X",VLOOKUP(AL$10,'VK-Elekter'!$C:$X,2+$D19,0))+IF(AL$9="X",VLOOKUP(AL$10,'VK-Biokütused'!$C:$U,2+$E19,0))+IF(AL$5="X",VLOOKUP(AL$10,'VK-Põlevkivi'!$C:$X,2+$G19,0))+IF(AL$4="X",VLOOKUP(AL$10,'VK-Võrgud'!$C:$X,2+$F19,0))</f>
        <v>7.1999999999999993</v>
      </c>
      <c r="AM19" s="209">
        <f>IF(AM$7="X",VLOOKUP(AM$10,'VK-Hooned-Soojus'!$C:$X,2+$C19,FALSE),0)+IF(AM$6="X",VLOOKUP(AM$10,'VK-Transport'!$C:$X,2+$B19,0))+IF(AM$8="X",VLOOKUP(AM$10,'VK-Elekter'!$C:$X,2+$D19,0))+IF(AM$9="X",VLOOKUP(AM$10,'VK-Biokütused'!$C:$U,2+$E19,0))+IF(AM$5="X",VLOOKUP(AM$10,'VK-Põlevkivi'!$C:$X,2+$G19,0))+IF(AM$4="X",VLOOKUP(AM$10,'VK-Võrgud'!$C:$X,2+$F19,0))</f>
        <v>12.9</v>
      </c>
      <c r="AN19" s="209">
        <f>IF(AN$7="X",VLOOKUP(AN$10,'VK-Hooned-Soojus'!$C:$X,2+$C19,FALSE),0)+IF(AN$6="X",VLOOKUP(AN$10,'VK-Transport'!$C:$X,2+$B19,0))+IF(AN$8="X",VLOOKUP(AN$10,'VK-Elekter'!$C:$X,2+$D19,0))+IF(AN$9="X",VLOOKUP(AN$10,'VK-Biokütused'!$C:$U,2+$E19,0))+IF(AN$5="X",VLOOKUP(AN$10,'VK-Põlevkivi'!$C:$X,2+$G19,0))+IF(AN$4="X",VLOOKUP(AN$10,'VK-Võrgud'!$C:$X,2+$F19,0))</f>
        <v>5.6999999999999993</v>
      </c>
      <c r="AO19" s="209">
        <f>IF(AO$7="X",VLOOKUP(AO$10,'VK-Hooned-Soojus'!$C:$X,2+$C19,FALSE),0)+IF(AO$6="X",VLOOKUP(AO$10,'VK-Transport'!$C:$X,2+$B19,0))+IF(AO$8="X",VLOOKUP(AO$10,'VK-Elekter'!$C:$X,2+$D19,0))+IF(AO$9="X",VLOOKUP(AO$10,'VK-Biokütused'!$C:$U,2+$E19,0))+IF(AO$5="X",VLOOKUP(AO$10,'VK-Põlevkivi'!$C:$X,2+$G19,0))+IF(AO$4="X",VLOOKUP(AO$10,'VK-Võrgud'!$C:$X,2+$F19,0))</f>
        <v>13.56</v>
      </c>
      <c r="AP19" s="209">
        <f>IF(AP$7="X",VLOOKUP(AP$10,'VK-Hooned-Soojus'!$C:$X,2+$C19,FALSE),0)+IF(AP$6="X",VLOOKUP(AP$10,'VK-Transport'!$C:$X,2+$B19,0))+IF(AP$8="X",VLOOKUP(AP$10,'VK-Elekter'!$C:$X,2+$D19,0))+IF(AP$9="X",VLOOKUP(AP$10,'VK-Biokütused'!$C:$U,2+$E19,0))+IF(AP$5="X",VLOOKUP(AP$10,'VK-Põlevkivi'!$C:$X,2+$G19,0))+IF(AP$4="X",VLOOKUP(AP$10,'VK-Võrgud'!$C:$X,2+$F19,0))</f>
        <v>6.78</v>
      </c>
      <c r="AQ19" s="320">
        <f t="shared" si="14"/>
        <v>1.2599999999999998</v>
      </c>
      <c r="AR19" s="209">
        <f>IF(AR$7="X",VLOOKUP(AR$10,'VK-Hooned-Soojus'!$C:$X,2+$C19,FALSE),0)+IF(AR$6="X",VLOOKUP(AR$10,'VK-Transport'!$C:$X,2+$B19,0))+IF(AR$8="X",VLOOKUP(AR$10,'VK-Elekter'!$C:$X,2+$D19,0))+IF(AR$9="X",VLOOKUP(AR$10,'VK-Biokütused'!$C:$U,2+$E19,0))+IF(AR$5="X",VLOOKUP(AR$10,'VK-Põlevkivi'!$C:$X,2+$G19,0))+IF(AR$4="X",VLOOKUP(AR$10,'VK-Võrgud'!$C:$X,2+$F19,0))</f>
        <v>3.4899999999999998</v>
      </c>
      <c r="AS19" s="320">
        <f>VLOOKUP("Kütuste tarbimine @ 2030 - UTTEGAAS",'VK-Hooned-Soojus'!$C:$X,2+$C19,FALSE)/0.172+VLOOKUP("Kütuste tarbimine @ 2030 - UTTEGAAS",'VK-Elekter'!$C:$X,2+$D19,FALSE)/0.172-AR19-AU19</f>
        <v>2.7565116279069759</v>
      </c>
      <c r="AT19" s="209">
        <f>IF(AT$7="X",VLOOKUP(AT$10,'VK-Hooned-Soojus'!$C:$X,2+$C19,FALSE),0)+IF(AT$6="X",VLOOKUP(AT$10,'VK-Transport'!$C:$X,2+$B19,0))+IF(AT$8="X",VLOOKUP(AT$10,'VK-Elekter'!$C:$X,2+$D19,0))+IF(AT$9="X",VLOOKUP(AT$10,'VK-Biokütused'!$C:$U,2+$E19,0))+IF(AT$5="X",VLOOKUP(AT$10,'VK-Põlevkivi'!$C:$X,2+$G19,0))+IF(AT$4="X",VLOOKUP(AT$10,'VK-Võrgud'!$C:$X,2+$F19,0))</f>
        <v>12.004929222526066</v>
      </c>
      <c r="AU19" s="229">
        <f>MAX(0,(VLOOKUP("Kütuste tarbimine @ 2030 - UTTEGAAS",'VK-Hooned-Soojus'!$C:$X,2+$C19,FALSE)/0.172+VLOOKUP("Kütuste tarbimine @ 2030 - UTTEGAAS",'VK-Elekter'!$C:$X,2+$D19,FALSE)/0.172)*0.52-VLOOKUP("Kütuste tarbimine @ 2030 - PÕLEVKIVIÕLI",'VK-Hooned-Soojus'!$C:$X,2+$C19,FALSE))</f>
        <v>4.6837209302325586</v>
      </c>
      <c r="AV19" s="209">
        <f>IF(AV$7="X",VLOOKUP(AV$10,'VK-Hooned-Soojus'!$C:$X,2+$C19,FALSE),0)+IF(AV$6="X",VLOOKUP(AV$10,'VK-Transport'!$C:$X,2+$B19,0))+IF(AV$8="X",VLOOKUP(AV$10,'VK-Elekter'!$C:$X,2+$D19,0))+IF(AV$9="X",VLOOKUP(AV$10,'VK-Biokütused'!$C:$U,2+$E19,0))+IF(AV$5="X",VLOOKUP(AV$10,'VK-Põlevkivi'!$C:$X,2+$G19,0))+IF(AV$4="X",VLOOKUP(AV$10,'VK-Võrgud'!$C:$X,2+$F19,0))</f>
        <v>1.1831224847375093</v>
      </c>
      <c r="AW19" s="209">
        <f>IF(AW$7="X",VLOOKUP(AW$10,'VK-Hooned-Soojus'!$C:$X,2+$C19,FALSE),0)+IF(AW$6="X",VLOOKUP(AW$10,'VK-Transport'!$C:$X,2+$B19,0))+IF(AW$8="X",VLOOKUP(AW$10,'VK-Elekter'!$C:$X,2+$D19,0))+IF(AW$9="X",VLOOKUP(AW$10,'VK-Biokütused'!$C:$U,2+$E19,0))+IF(AW$5="X",VLOOKUP(AW$10,'VK-Põlevkivi'!$C:$X,2+$G19,0))+IF(AW$4="X",VLOOKUP(AW$10,'VK-Võrgud'!$C:$X,2+$F19,0))</f>
        <v>4.2799999999999994</v>
      </c>
      <c r="AX19" s="229">
        <f t="shared" si="34"/>
        <v>3.0968775152624901</v>
      </c>
      <c r="AY19" s="229">
        <f t="shared" si="15"/>
        <v>0</v>
      </c>
      <c r="AZ19" s="230">
        <f t="shared" si="0"/>
        <v>0.54641444429190988</v>
      </c>
      <c r="BA19" s="209">
        <f>IF(BA$7="X",VLOOKUP(BA$10,'VK-Hooned-Soojus'!$C:$X,2+$C19,FALSE),0)+IF(BA$6="X",VLOOKUP(BA$10,'VK-Transport'!$C:$X,2+$B19,0))+IF(BA$8="X",VLOOKUP(BA$10,'VK-Elekter'!$C:$X,2+$D19,0))+IF(BA$9="X",VLOOKUP(BA$10,'VK-Biokütused'!$C:$U,2+$E19,0))+IF(BA$5="X",VLOOKUP(BA$10,'VK-Põlevkivi'!$C:$X,2+$G19,0))+IF(BA$4="X",VLOOKUP(BA$10,'VK-Võrgud'!$C:$X,2+$F19,0))</f>
        <v>4.2</v>
      </c>
      <c r="BB19" s="209">
        <f>IF(BB$7="X",VLOOKUP(BB$10,'VK-Hooned-Soojus'!$C:$X,2+$C19,FALSE),0)+IF(BB$6="X",VLOOKUP(BB$10,'VK-Transport'!$C:$X,2+$B19,0))+IF(BB$8="X",VLOOKUP(BB$10,'VK-Elekter'!$C:$X,2+$D19,0))+IF(BB$9="X",VLOOKUP(BB$10,'VK-Biokütused'!$C:$U,2+$E19,0))+IF(BB$5="X",VLOOKUP(BB$10,'VK-Põlevkivi'!$C:$X,2+$G19,0))+IF(BB$4="X",VLOOKUP(BB$10,'VK-Võrgud'!$C:$X,2+$F19,0))</f>
        <v>5.1000000000000005</v>
      </c>
      <c r="BC19" s="209">
        <f>IF(BC$7="X",VLOOKUP(BC$10,'VK-Hooned-Soojus'!$C:$X,2+$C19,FALSE),0)+IF(BC$6="X",VLOOKUP(BC$10,'VK-Transport'!$C:$X,2+$B19,0))+IF(BC$8="X",VLOOKUP(BC$10,'VK-Elekter'!$C:$X,2+$D19,0))+IF(BC$9="X",VLOOKUP(BC$10,'VK-Biokütused'!$C:$U,2+$E19,0))+IF(BC$5="X",VLOOKUP(BC$10,'VK-Põlevkivi'!$C:$X,2+$G19,0))+IF(BC$4="X",VLOOKUP(BC$10,'VK-Võrgud'!$C:$X,2+$F19,0))</f>
        <v>8.0523611111111126</v>
      </c>
      <c r="BD19" s="209">
        <f>IF(BD$7="X",VLOOKUP(BD$10,'VK-Hooned-Soojus'!$C:$X,2+$C19,FALSE),0)+IF(BD$6="X",VLOOKUP(BD$10,'VK-Transport'!$C:$X,2+$B19,0))+IF(BD$8="X",VLOOKUP(BD$10,'VK-Elekter'!$C:$X,2+$D19,0))+IF(BD$9="X",VLOOKUP(BD$10,'VK-Biokütused'!$C:$U,2+$E19,0))+IF(BD$5="X",VLOOKUP(BD$10,'VK-Põlevkivi'!$C:$X,2+$G19,0))+IF(BD$4="X",VLOOKUP(BD$10,'VK-Võrgud'!$C:$X,2+$F19,0))</f>
        <v>10.42138888888889</v>
      </c>
      <c r="BE19" s="230"/>
      <c r="BF19" s="229">
        <f t="shared" si="16"/>
        <v>0.35144163448352844</v>
      </c>
      <c r="BG19" s="209" t="e">
        <f>(IF(BG$7="X",VLOOKUP(BG$10,'VK-Hooned-Soojus'!$C:$X,2+$C19,FALSE),0)+IF(BG$6="X",VLOOKUP(BG$10,'VK-Transport'!$C:$X,2+$B19,0))+IF(BG$8="X",VLOOKUP(BG$10,'VK-Elekter'!$C:$X,2+$D19,0))+IF(BG$9="X",VLOOKUP(BG$10,'VK-Biokütused'!$C:$U,2+$E19,0))+IF(BG$5="X",VLOOKUP(BG$10,'VK-Põlevkivi'!$C:$X,2+$G19,0))+IF(BG$4="X",VLOOKUP(BG$10,'VK-Võrgud'!$C:$X,2+$F19,0)))/20</f>
        <v>#N/A</v>
      </c>
      <c r="BH19" s="209">
        <f>(IF(BH$7="X",VLOOKUP(BH$10,'VK-Hooned-Soojus'!$C:$X,2+$C19,FALSE),0)+IF(BH$6="X",VLOOKUP(BH$10,'VK-Transport'!$C:$X,2+$B19,0))+IF(BH$8="X",VLOOKUP(BH$10,'VK-Elekter'!$C:$X,2+$D19,0))+IF(BH$9="X",VLOOKUP(BH$10,'VK-Biokütused'!$C:$U,2+$E19,0))+IF(BH$5="X",VLOOKUP(BH$10,'VK-Põlevkivi'!$C:$X,2+$G19,0))+IF(BH$4="X",VLOOKUP(BH$10,'VK-Võrgud'!$C:$X,2+$F19,0)))/20</f>
        <v>13.99</v>
      </c>
      <c r="BI19" s="209">
        <f>(IF(BI$7="X",VLOOKUP(BI$10,'VK-Hooned-Soojus'!$C:$X,2+$C19,FALSE),0)+IF(BI$6="X",VLOOKUP(BI$10,'VK-Transport'!$C:$X,2+$B19,0))+IF(BI$8="X",VLOOKUP(BI$10,'VK-Elekter'!$C:$X,2+$D19,0))+IF(BI$9="X",VLOOKUP(BI$10,'VK-Biokütused'!$C:$U,2+$E19,0))+IF(BI$5="X",VLOOKUP(BI$10,'VK-Põlevkivi'!$C:$X,2+$G19,0))+IF(BI$4="X",VLOOKUP(BI$10,'VK-Võrgud'!$C:$X,2+$F19,0)))/16</f>
        <v>17.75</v>
      </c>
      <c r="BJ19" s="209">
        <f>(IF(BJ$7="X",VLOOKUP(BJ$10,'VK-Hooned-Soojus'!$C:$X,2+$C19,FALSE),0)+IF(BJ$6="X",VLOOKUP(BJ$10,'VK-Transport'!$C:$X,2+$B19,0))+IF(BJ$8="X",VLOOKUP(BJ$10,'VK-Elekter'!$C:$X,2+$D19,0))+IF(BJ$9="X",VLOOKUP(BJ$10,'VK-Biokütused'!$C:$U,2+$E19,0))+IF(BJ$5="X",VLOOKUP(BJ$10,'VK-Põlevkivi'!$C:$X,2+$G19,0))+IF(BJ$4="X",VLOOKUP(BJ$10,'VK-Võrgud'!$C:$X,2+$F19,0)))/20</f>
        <v>1.85</v>
      </c>
      <c r="BK19" s="209"/>
      <c r="BL19" s="209"/>
      <c r="BM19" s="209"/>
      <c r="BN19" s="209" t="e">
        <f>(IF(BN$7="X",VLOOKUP(BN$10,'VK-Hooned-Soojus'!$C:$X,2+$C19,FALSE),0)+IF(BN$6="X",VLOOKUP(BN$10,'VK-Transport'!$C:$X,2+$B19,0))+IF(BN$8="X",VLOOKUP(BN$10,'VK-Elekter'!$C:$X,2+$D19,0))+IF(BN$9="X",VLOOKUP(BN$10,'VK-Biokütused'!$C:$U,2+$E19,0))+IF(BN$5="X",VLOOKUP(BN$10,'VK-Põlevkivi'!$C:$X,2+$G19,0))+IF(BN$4="X",VLOOKUP(BN$10,'VK-Võrgud'!$C:$X,2+$F19,0)))/16</f>
        <v>#N/A</v>
      </c>
      <c r="BO19" s="209">
        <f>(IF(BO$7="X",VLOOKUP(BO$10,'VK-Hooned-Soojus'!$C:$X,2+$C19,FALSE),0)+IF(BO$6="X",VLOOKUP(BO$10,'VK-Transport'!$C:$X,2+$B19,0))+IF(BO$8="X",VLOOKUP(BO$10,'VK-Elekter'!$C:$X,2+$D19,0))+IF(BO$9="X",VLOOKUP(BO$10,'VK-Biokütused'!$C:$U,2+$E19,0))+IF(BO$5="X",VLOOKUP(BO$10,'VK-Põlevkivi'!$C:$X,2+$G19,0))+IF(BO$4="X",VLOOKUP(BO$10,'VK-Võrgud'!$C:$X,2+$F19,0)))/16</f>
        <v>496.33125000000001</v>
      </c>
      <c r="BP19" s="209"/>
      <c r="BQ19" s="209">
        <f>(IF(BQ$7="X",VLOOKUP(BQ$10,'VK-Hooned-Soojus'!$C:$X,2+$C19,FALSE),0)+IF(BQ$6="X",VLOOKUP(BQ$10,'VK-Transport'!$C:$X,2+$B19,0))+IF(BQ$8="X",VLOOKUP(BQ$10,'VK-Elekter'!$C:$X,2+$D19,0))+IF(BQ$9="X",VLOOKUP(BQ$10,'VK-Biokütused'!$C:$U,2+$E19,0))+IF(BQ$5="X",VLOOKUP(BQ$10,'VK-Põlevkivi'!$C:$X,2+$G19,0))+IF(BQ$4="X",VLOOKUP(BQ$10,'VK-Võrgud'!$C:$X,2+$F19,0)))/16</f>
        <v>4.7249999999999996</v>
      </c>
      <c r="BR19" s="209">
        <f>(IF(BR$7="X",VLOOKUP(BR$10,'VK-Hooned-Soojus'!$C:$X,2+$C19,FALSE),0)+IF(BR$6="X",VLOOKUP(BR$10,'VK-Transport'!$C:$X,2+$B19,0))+IF(BR$8="X",VLOOKUP(BR$10,'VK-Elekter'!$C:$X,2+$D19,0))+IF(BR$9="X",VLOOKUP(BR$10,'VK-Biokütused'!$C:$U,2+$E19,0))+IF(BR$5="X",VLOOKUP(BR$10,'VK-Põlevkivi'!$C:$X,2+$G19,0))+IF(BR$4="X",VLOOKUP(BR$10,'VK-Võrgud'!$C:$X,2+$F19,0)))/16</f>
        <v>-74.512500000000003</v>
      </c>
      <c r="BS19" s="209">
        <f>(IF(BS$7="X",VLOOKUP(BS$10,'VK-Hooned-Soojus'!$C:$X,2+$C19,FALSE),0)+IF(BS$6="X",VLOOKUP(BS$10,'VK-Transport'!$C:$X,2+$B19,0))+IF(BS$8="X",VLOOKUP(BS$10,'VK-Elekter'!$C:$X,2+$D19,0))+IF(BS$9="X",VLOOKUP(BS$10,'VK-Biokütused'!$C:$U,2+$E19,0))+IF(BS$5="X",VLOOKUP(BS$10,'VK-Põlevkivi'!$C:$X,2+$G19,0))+IF(BS$4="X",VLOOKUP(BS$10,'VK-Võrgud'!$C:$X,2+$F19,0)))/16</f>
        <v>-100.68125000000001</v>
      </c>
      <c r="BT19" s="209"/>
      <c r="BU19" s="209"/>
      <c r="BV19" s="209">
        <f>(IF(BV$7="X",VLOOKUP(BV$10,'VK-Hooned-Soojus'!$C:$X,2+$C19,FALSE),0)+IF(BV$6="X",VLOOKUP(BV$10,'VK-Transport'!$C:$X,2+$B19,0))+IF(BV$8="X",VLOOKUP(BV$10,'VK-Elekter'!$C:$X,2+$D19,0))+IF(BV$9="X",VLOOKUP(BV$10,'VK-Biokütused'!$C:$U,2+$E19,0))+IF(BV$5="X",VLOOKUP(BV$10,'VK-Põlevkivi'!$C:$X,2+$G19,0))+IF(BV$4="X",VLOOKUP(BV$10,'VK-Võrgud'!$C:$X,2+$F19,0)))/16</f>
        <v>0</v>
      </c>
      <c r="BW19" s="209"/>
      <c r="BX19" s="209">
        <f>(IF(BX$7="X",VLOOKUP(BX$10,'VK-Hooned-Soojus'!$C:$X,2+$C19,FALSE),0)+IF(BX$6="X",VLOOKUP(BX$10,'VK-Transport'!$C:$X,2+$B19,0))+IF(BX$8="X",VLOOKUP(BX$10,'VK-Elekter'!$C:$X,2+$D19,0))+IF(BX$9="X",VLOOKUP(BX$10,'VK-Biokütused'!$C:$U,2+$E19,0))+IF(BX$5="X",VLOOKUP(BX$10,'VK-Põlevkivi'!$C:$X,2+$G19,0))+IF(BX$4="X",VLOOKUP(BX$10,'VK-Võrgud'!$C:$X,2+$F19,0)))/16</f>
        <v>-99.4375</v>
      </c>
      <c r="BY19" s="209"/>
      <c r="BZ19" s="209"/>
      <c r="CA19" s="209" t="e">
        <f>(IF(CA$7="X",VLOOKUP(CA$10,'VK-Hooned-Soojus'!$C:$X,2+$C19,FALSE),0)+IF(CA$6="X",VLOOKUP(CA$10,'VK-Transport'!$C:$X,2+$B19,0))+IF(CA$8="X",VLOOKUP(CA$10,'VK-Elekter'!$C:$X,2+$D19,0))+IF(CA$9="X",VLOOKUP(CA$10,'VK-Biokütused'!$C:$U,2+$E19,0))+IF(CA$5="X",VLOOKUP(CA$10,'VK-Põlevkivi'!$C:$X,2+$G19,0))+IF(CA$4="X",VLOOKUP(CA$10,'VK-Võrgud'!$C:$X,2+$F19,0)))/16</f>
        <v>#N/A</v>
      </c>
      <c r="CB19" s="209">
        <f>(IF(CB$7="X",VLOOKUP(CB$10,'VK-Hooned-Soojus'!$C:$X,2+$C19,FALSE),0)+IF(CB$6="X",VLOOKUP(CB$10,'VK-Transport'!$C:$X,2+$B19,0))+IF(CB$8="X",VLOOKUP(CB$10,'VK-Elekter'!$C:$X,2+$D19,0))+IF(CB$9="X",VLOOKUP(CB$10,'VK-Biokütused'!$C:$U,2+$E19,0))+IF(CB$5="X",VLOOKUP(CB$10,'VK-Põlevkivi'!$C:$X,2+$G19,0))+IF(CB$4="X",VLOOKUP(CB$10,'VK-Võrgud'!$C:$X,2+$F19,0)))/16</f>
        <v>0</v>
      </c>
      <c r="CC19" s="209">
        <f>(IF(CC$7="X",VLOOKUP(CC$10,'VK-Hooned-Soojus'!$C:$X,2+$C19,FALSE),0)+IF(CC$6="X",VLOOKUP(CC$10,'VK-Transport'!$C:$X,2+$B19,0))+IF(CC$8="X",VLOOKUP(CC$10,'VK-Elekter'!$C:$X,2+$D19,0))+IF(CC$9="X",VLOOKUP(CC$10,'VK-Biokütused'!$C:$U,2+$E19,0))+IF(CC$5="X",VLOOKUP(CC$10,'VK-Põlevkivi'!$C:$X,2+$G19,0))+IF(CC$4="X",VLOOKUP(CC$10,'VK-Võrgud'!$C:$X,2+$F19,0)))/16</f>
        <v>0</v>
      </c>
      <c r="CD19" s="209"/>
      <c r="CE19" s="209">
        <f>(IF(CE$7="X",VLOOKUP(CE$10,'VK-Hooned-Soojus'!$C:$X,2+$C19,FALSE),0)+IF(CE$6="X",VLOOKUP(CE$10,'VK-Transport'!$C:$X,2+$B19,0))+IF(CE$8="X",VLOOKUP(CE$10,'VK-Elekter'!$C:$X,2+$D19,0))+IF(CE$9="X",VLOOKUP(CE$10,'VK-Biokütused'!$C:$U,2+$E19,0))+IF(CE$5="X",VLOOKUP(CE$10,'VK-Põlevkivi'!$C:$X,2+$G19,0))+IF(CE$4="X",VLOOKUP(CE$10,'VK-Võrgud'!$C:$X,2+$F19,0)))/16</f>
        <v>24.15625</v>
      </c>
      <c r="CF19" s="209"/>
      <c r="CG19" s="209">
        <f>(IF(CG$7="X",VLOOKUP(CG$10,'VK-Hooned-Soojus'!$C:$X,2+$C19,FALSE),0)+IF(CG$6="X",VLOOKUP(CG$10,'VK-Transport'!$C:$X,2+$B19,0))+IF(CG$8="X",VLOOKUP(CG$10,'VK-Elekter'!$C:$X,2+$D19,0))+IF(CG$9="X",VLOOKUP(CG$10,'VK-Biokütused'!$C:$U,2+$E19,0))+IF(CG$5="X",VLOOKUP(CG$10,'VK-Põlevkivi'!$C:$X,2+$G19,0))+IF(CG$4="X",VLOOKUP(CG$10,'VK-Võrgud'!$C:$X,2+$F19,0)))/16</f>
        <v>0</v>
      </c>
      <c r="CH19" s="209">
        <f>(IF(CH$7="X",VLOOKUP(CH$10,'VK-Hooned-Soojus'!$C:$X,2+$C19,FALSE),0)+IF(CH$6="X",VLOOKUP(CH$10,'VK-Transport'!$C:$X,2+$B19,0))+IF(CH$8="X",VLOOKUP(CH$10,'VK-Elekter'!$C:$X,2+$D19,0))+IF(CH$9="X",VLOOKUP(CH$10,'VK-Biokütused'!$C:$U,2+$E19,0))+IF(CH$5="X",VLOOKUP(CH$10,'VK-Põlevkivi'!$C:$X,2+$G19,0))+IF(CH$4="X",VLOOKUP(CH$10,'VK-Võrgud'!$C:$X,2+$F19,0)))/20*0.21</f>
        <v>5.6122500000000004</v>
      </c>
      <c r="CI19" s="209"/>
      <c r="CJ19" s="209">
        <f>(IF(CJ$7="X",VLOOKUP(CJ$10,'VK-Hooned-Soojus'!$C:$X,2+$C19,FALSE),0)+IF(CJ$6="X",VLOOKUP(CJ$10,'VK-Transport'!$C:$X,2+$B19,0))+IF(CJ$8="X",VLOOKUP(CJ$10,'VK-Elekter'!$C:$X,2+$D19,0))+IF(CJ$9="X",VLOOKUP(CJ$10,'VK-Biokütused'!$C:$U,2+$E19,0))+IF(CJ$5="X",VLOOKUP(CJ$10,'VK-Põlevkivi'!$C:$X,2+$G19,0))+IF(CJ$4="X",VLOOKUP(CJ$10,'VK-Võrgud'!$C:$X,2+$F19,0)))/1000</f>
        <v>20.213861099430584</v>
      </c>
      <c r="CK19" s="209">
        <f>(IF(CK$7="X",VLOOKUP(CK$10,'VK-Hooned-Soojus'!$C:$X,2+$C19,FALSE),0)+IF(CK$6="X",VLOOKUP(CK$10,'VK-Transport'!$C:$X,2+$B19,0))+IF(CK$8="X",VLOOKUP(CK$10,'VK-Elekter'!$C:$X,2+$D19,0))+IF(CK$9="X",VLOOKUP(CK$10,'VK-Biokütused'!$C:$U,2+$E19,0))+IF(CK$5="X",VLOOKUP(CK$10,'VK-Põlevkivi'!$C:$X,2+$G19,0))+IF(CK$4="X",VLOOKUP(CK$10,'VK-Võrgud'!$C:$X,2+$F19,0)))/1000</f>
        <v>12.807124562278599</v>
      </c>
      <c r="CL19" s="235">
        <f>(IF(CL$7="X",VLOOKUP(CL$10,'VK-Hooned-Soojus'!$C:$X,2+$C19,FALSE),0)+IF(CL$6="X",VLOOKUP(CL$10,'VK-Transport'!$C:$X,2+$B19,0))+IF(CL$8="X",VLOOKUP(CL$10,'VK-Elekter'!$C:$X,2+$D19,0))+IF(CL$9="X",VLOOKUP(CL$10,'VK-Biokütused'!$C:$U,2+$E19,0)))/1000</f>
        <v>9.5598856510938077</v>
      </c>
      <c r="CM19" s="209">
        <f>(IF(CM$7="X",VLOOKUP(CM$10,'VK-Hooned-Soojus'!$C:$X,2+$C19,FALSE),0)+IF(CM$6="X",VLOOKUP(CM$10,'VK-Transport'!$C:$X,2+$B19,0))+IF(CM$8="X",VLOOKUP(CM$10,'VK-Elekter'!$C:$X,2+$D19,0))+IF(CM$9="X",VLOOKUP(CM$10,'VK-Biokütused'!$C:$U,2+$E19,0))+IF(CM$5="X",VLOOKUP(CM$10,'VK-Põlevkivi'!$C:$X,2+$G19,0))+IF(CM$4="X",VLOOKUP(CM$10,'VK-Võrgud'!$C:$X,2+$F19,0)))/1000</f>
        <v>8.5683156794471032</v>
      </c>
      <c r="CN19" s="209">
        <f>(IF(CN$7="X",VLOOKUP(CN$10,'VK-Hooned-Soojus'!$C:$X,2+$C19,FALSE),0)+IF(CN$6="X",VLOOKUP(CN$10,'VK-Transport'!$C:$X,2+$B19,0))+IF(CN$8="X",VLOOKUP(CN$10,'VK-Elekter'!$C:$X,2+$D19,0))+IF(CN$9="X",VLOOKUP(CN$10,'VK-Biokütused'!$C:$U,2+$E19,0))+IF(CN$5="X",VLOOKUP(CN$10,'VK-Põlevkivi'!$C:$X,2+$G19,0))+IF(CN$4="X",VLOOKUP(CN$10,'VK-Võrgud'!$C:$X,2+$F19,0)))/1000</f>
        <v>3.0259999999999998</v>
      </c>
      <c r="CO19" s="209">
        <f>(IF(CO$7="X",VLOOKUP(CO$10,'VK-Hooned-Soojus'!$C:$X,2+$C19,FALSE),0)+IF(CO$6="X",VLOOKUP(CO$10,'VK-Transport'!$C:$X,2+$B19,0))+IF(CO$8="X",VLOOKUP(CO$10,'VK-Elekter'!$C:$X,2+$D19,0))+IF(CO$9="X",VLOOKUP(CO$10,'VK-Biokütused'!$C:$U,2+$E19,0))+IF(CO$5="X",VLOOKUP(CO$10,'VK-Põlevkivi'!$C:$X,2+$G19,0))+IF(CO$4="X",VLOOKUP(CO$10,'VK-Võrgud'!$C:$X,2+$F19,0)))/1000</f>
        <v>25.671649773285456</v>
      </c>
      <c r="CP19" s="209">
        <f>(IF(CP$7="X",VLOOKUP(CP$10,'VK-Hooned-Soojus'!$C:$X,2+$C19,FALSE),0)+IF(CP$6="X",VLOOKUP(CP$10,'VK-Transport'!$C:$X,2+$B19,0))+IF(CP$8="X",VLOOKUP(CP$10,'VK-Elekter'!$C:$X,2+$D19,0))+IF(CP$9="X",VLOOKUP(CP$10,'VK-Biokütused'!$C:$U,2+$E19,0))+IF(CP$5="X",VLOOKUP(CP$10,'VK-Põlevkivi'!$C:$X,2+$G19,0))+IF(CP$4="X",VLOOKUP(CP$10,'VK-Võrgud'!$C:$X,2+$F19,0)))/1000</f>
        <v>13.825948584295613</v>
      </c>
      <c r="CQ19" s="235">
        <f>(IF(CQ$7="X",VLOOKUP(CQ$10,'VK-Hooned-Soojus'!$C:$X,2+$C19,FALSE),0)+IF(CQ$6="X",VLOOKUP(CQ$10,'VK-Transport'!$C:$X,2+$B19,0))+IF(CQ$8="X",VLOOKUP(CQ$10,'VK-Elekter'!$C:$X,2+$D19,0))+IF(CQ$9="X",VLOOKUP(CQ$10,'VK-Biokütused'!$C:$U,2+$E19,0)))/1000</f>
        <v>11.215907</v>
      </c>
      <c r="CR19" s="209">
        <f>(IF(CR$7="X",VLOOKUP(CR$10,'VK-Hooned-Soojus'!$C:$X,2+$C19,FALSE),0)+IF(CR$6="X",VLOOKUP(CR$10,'VK-Transport'!$C:$X,2+$B19,0))+IF(CR$8="X",VLOOKUP(CR$10,'VK-Elekter'!$C:$X,2+$D19,0))+IF(CR$9="X",VLOOKUP(CR$10,'VK-Biokütused'!$C:$U,2+$E19,0))+IF(CR$5="X",VLOOKUP(CR$10,'VK-Põlevkivi'!$C:$X,2+$G19,0))+IF(CR$4="X",VLOOKUP(CR$10,'VK-Võrgud'!$C:$X,2+$F19,0)))/1000</f>
        <v>8.1227533562748047</v>
      </c>
      <c r="CS19" s="209">
        <f>(IF(CS$7="X",VLOOKUP(CS$10,'VK-Hooned-Soojus'!$C:$X,2+$C19,FALSE),0)+IF(CS$6="X",VLOOKUP(CS$10,'VK-Transport'!$C:$X,2+$B19,0))+IF(CS$8="X",VLOOKUP(CS$10,'VK-Elekter'!$C:$X,2+$D19,0))+IF(CS$9="X",VLOOKUP(CS$10,'VK-Biokütused'!$C:$U,2+$E19,0))+IF(CS$5="X",VLOOKUP(CS$10,'VK-Põlevkivi'!$C:$X,2+$G19,0))+IF(CS$4="X",VLOOKUP(CS$10,'VK-Võrgud'!$C:$X,2+$F19,0)))/1000</f>
        <v>3.9861524051216151</v>
      </c>
      <c r="CT19" s="209">
        <f>IF(CT$7="X",VLOOKUP(CT$10,'VK-Hooned-Soojus'!$C:$X,2+$C19,FALSE),0)+IF(CT$6="X",VLOOKUP(CT$10,'VK-Transport'!$C:$X,2+$B19,0))+IF(CT$8="X",VLOOKUP(CT$10,'VK-Elekter'!$C:$X,2+$D19,0))+IF(CT$9="X",VLOOKUP(CT$10,'VK-Biokütused'!$C:$U,2+$E19,0))+IF(CT$5="X",VLOOKUP(CT$10,'VK-Põlevkivi'!$C:$X,2+$G19,0))+IF(CT$4="X",VLOOKUP(CT$10,'VK-Võrgud'!$C:$X,2+$F19,0))</f>
        <v>90</v>
      </c>
      <c r="CU19" s="209">
        <f>IF(CU$7="X",VLOOKUP(CU$10,'VK-Hooned-Soojus'!$C:$X,2+$C19,FALSE),0)+IF(CU$6="X",VLOOKUP(CU$10,'VK-Transport'!$C:$X,2+$B19,0))+IF(CU$8="X",VLOOKUP(CU$10,'VK-Elekter'!$C:$X,2+$D19,0))+IF(CU$9="X",VLOOKUP(CU$10,'VK-Biokütused'!$C:$U,2+$E19,0))+IF(CU$5="X",VLOOKUP(CU$10,'VK-Põlevkivi'!$C:$X,2+$G19,0))+IF(CU$4="X",VLOOKUP(CU$10,'VK-Võrgud'!$C:$X,2+$F19,0))</f>
        <v>0.9337349397590361</v>
      </c>
      <c r="CV19" s="209">
        <f t="shared" si="1"/>
        <v>0.91028830406496786</v>
      </c>
      <c r="CW19" s="209">
        <f>(IF(CW$7="X",VLOOKUP(CW$10,'VK-Hooned-Soojus'!$C:$X,2+$C19,FALSE),0)+IF(CW$6="X",VLOOKUP(CW$10,'VK-Transport'!$C:$X,2+$B19,0))+IF(CW$8="X",VLOOKUP(CW$10,'VK-Elekter'!$C:$X,2+$D19,0))+IF(CW$9="X",VLOOKUP(CW$10,'VK-Biokütused'!$C:$U,2+$E19,0))+IF(CW$5="X",VLOOKUP(CW$10,'VK-Põlevkivi'!$C:$X,2+$G19,0))+IF(CW$4="X",VLOOKUP(CW$10,'VK-Võrgud'!$C:$X,2+$F19,0)))/16</f>
        <v>126.01875</v>
      </c>
      <c r="CY19" s="209">
        <f>(IF(CY$7="X",VLOOKUP(CY$10,'VK-Hooned-Soojus'!$C:$X,2+$C19,FALSE),0)+IF(CY$6="X",VLOOKUP(CY$10,'VK-Transport'!$C:$X,2+$B19,0))+IF(CY$8="X",VLOOKUP(CY$10,'VK-Elekter'!$C:$X,2+$D19,0))+IF(CY$9="X",VLOOKUP(CY$10,'VK-Biokütused'!$C:$U,2+$E19,0))+IF(CY$5="X",VLOOKUP(CY$10,'VK-Põlevkivi'!$C:$X,2+$G19,0))+IF(CY$4="X",VLOOKUP(CY$10,'VK-Võrgud'!$C:$X,2+$F19,0)))/1000</f>
        <v>11.808999999999999</v>
      </c>
      <c r="CZ19" s="209">
        <f>(IF(CZ$7="X",VLOOKUP(CZ$10,'VK-Hooned-Soojus'!$C:$X,2+$C19,FALSE),0)+IF(CZ$6="X",VLOOKUP(CZ$10,'VK-Transport'!$C:$X,2+$B19,0))+IF(CZ$8="X",VLOOKUP(CZ$10,'VK-Elekter'!$C:$X,2+$D19,0))+IF(CZ$9="X",VLOOKUP(CZ$10,'VK-Biokütused'!$C:$U,2+$E19,0))+IF(CZ$5="X",VLOOKUP(CZ$10,'VK-Põlevkivi'!$C:$X,2+$G19,0))+IF(CZ$4="X",VLOOKUP(CZ$10,'VK-Võrgud'!$C:$X,2+$F19,0)))</f>
        <v>82</v>
      </c>
      <c r="DA19" s="209">
        <f>(IF(DA$7="X",VLOOKUP(DA$10,'VK-Hooned-Soojus'!$C:$X,2+$C19,FALSE),0)+IF(DA$6="X",VLOOKUP(DA$10,'VK-Transport'!$C:$X,2+$B19,0))+IF(DA$8="X",VLOOKUP(DA$10,'VK-Elekter'!$C:$X,2+$D19,0))+IF(DA$9="X",VLOOKUP(DA$10,'VK-Biokütused'!$C:$U,2+$E19,0))+IF(DA$5="X",VLOOKUP(DA$10,'VK-Põlevkivi'!$C:$X,2+$G19,0))+IF(DA$4="X",VLOOKUP(DA$10,'VK-Võrgud'!$C:$X,2+$F19,0)))/1000</f>
        <v>15.731</v>
      </c>
      <c r="DB19" s="209">
        <f>(IF(DB$7="X",VLOOKUP(DB$10,'VK-Hooned-Soojus'!$C:$X,2+$C19,FALSE),0)+IF(DB$6="X",VLOOKUP(DB$10,'VK-Transport'!$C:$X,2+$B19,0))+IF(DB$8="X",VLOOKUP(DB$10,'VK-Elekter'!$C:$X,2+$D19,0))+IF(DB$9="X",VLOOKUP(DB$10,'VK-Biokütused'!$C:$U,2+$E19,0))+IF(DB$5="X",VLOOKUP(DB$10,'VK-Põlevkivi'!$C:$X,2+$G19,0))+IF(DB$4="X",VLOOKUP(DB$10,'VK-Võrgud'!$C:$X,2+$F19,0)))/1000/3.6</f>
        <v>69.947777777777773</v>
      </c>
      <c r="DC19" s="209">
        <f>(IF(DC$7="X",VLOOKUP(DC$10,'VK-Hooned-Soojus'!$C:$X,2+$C19,FALSE),0)+IF(DC$6="X",VLOOKUP(DC$10,'VK-Transport'!$C:$X,2+$B19,0))+IF(DC$8="X",VLOOKUP(DC$10,'VK-Elekter'!$C:$X,2+$D19,0))+IF(DC$9="X",VLOOKUP(DC$10,'VK-Biokütused'!$C:$U,2+$E19,0))+IF(DC$5="X",VLOOKUP(DC$10,'VK-Põlevkivi'!$C:$X,2+$G19,0))+IF(DC$4="X",VLOOKUP(DC$10,'VK-Võrgud'!$C:$X,2+$F19,0)))/1000000</f>
        <v>5.6480420000000002</v>
      </c>
      <c r="DD19" s="209"/>
      <c r="DE19" s="88">
        <f>VLOOKUP(Tulemused!$BN$12,data!M$7:N$12,2,FALSE)-SUM(L19,M19)</f>
        <v>-3.4066444444444528</v>
      </c>
      <c r="DF19" s="209" t="str">
        <f>IF(AZ19&lt;=VLOOKUP(Tulemused!$BN$15,data!$E$36:$F$39,2,FALSE),"JAH","EI")</f>
        <v>JAH</v>
      </c>
      <c r="DG19" s="209"/>
      <c r="DH19" s="209">
        <f t="shared" si="2"/>
        <v>6.78</v>
      </c>
      <c r="DI19" s="231" t="str">
        <f t="shared" si="17"/>
        <v>EI</v>
      </c>
      <c r="DK19" s="232">
        <f t="shared" si="3"/>
        <v>-997.4416442308376</v>
      </c>
      <c r="DM19" s="233">
        <f t="shared" si="4"/>
        <v>7.2372788787811331</v>
      </c>
      <c r="DN19" s="87">
        <f t="array" ref="DN19">INDEX($A$11:$A$145, SMALL(IF(DM19=$DK$11:$DK$145, MATCH(ROW($DK$11:$DK$145), ROW($DK$11:$DK$145))), SUM(--(DM19=$DM$11:DM19))))</f>
        <v>128</v>
      </c>
      <c r="DP19" s="87" t="e">
        <f t="shared" ca="1" si="18"/>
        <v>#N/A</v>
      </c>
      <c r="DQ19" s="87" t="e">
        <f t="shared" ca="1" si="19"/>
        <v>#N/A</v>
      </c>
      <c r="DR19" s="87">
        <f t="shared" ca="1" si="20"/>
        <v>0</v>
      </c>
      <c r="DS19" s="87" t="e">
        <f t="shared" ca="1" si="21"/>
        <v>#N/A</v>
      </c>
      <c r="DT19" s="87">
        <f t="shared" ca="1" si="22"/>
        <v>0</v>
      </c>
      <c r="DU19" s="87" t="e">
        <f t="shared" ca="1" si="23"/>
        <v>#N/A</v>
      </c>
      <c r="DV19" s="87" t="e">
        <f t="shared" ca="1" si="24"/>
        <v>#N/A</v>
      </c>
      <c r="DW19" s="87">
        <f t="shared" ca="1" si="25"/>
        <v>0</v>
      </c>
      <c r="DX19" s="87">
        <f t="shared" ca="1" si="26"/>
        <v>0</v>
      </c>
      <c r="DZ19" s="87">
        <f t="shared" ca="1" si="5"/>
        <v>0</v>
      </c>
      <c r="EB19" s="87">
        <f t="shared" ca="1" si="27"/>
        <v>0</v>
      </c>
      <c r="EC19" s="87" t="e">
        <f t="shared" ca="1" si="28"/>
        <v>#N/A</v>
      </c>
      <c r="EE19" s="228">
        <f>(IF(EE$7="X",VLOOKUP(EE$10,'VK-Hooned-Soojus'!$C:$X,2+$C19,FALSE),0)+IF(EE$6="X",VLOOKUP(EE$10,'VK-Transport'!$C:$X,2+$B19,0))+IF(EE$8="X",VLOOKUP(EE$10,'VK-Elekter'!$C:$X,2+$D19,0))+IF(EE$9="X",VLOOKUP(EE$10,'VK-Biokütused'!$C:$U,2+$E19,0))+IF(EE$5="X",VLOOKUP(EE$10,'VK-Põlevkivi'!$C:$X,2+$G19,0))+IF(EE$4="X",VLOOKUP(EE$10,'VK-Võrgud'!$C:$X,2+$F19,0)))</f>
        <v>10654.817853233568</v>
      </c>
      <c r="EF19" s="235">
        <f>(IF(EF$7="X",VLOOKUP(EF$10,'VK-Hooned-Soojus'!$C:$X,2+$C19,FALSE),0)+IF(EF$6="X",VLOOKUP(EF$10,'VK-Transport'!$C:$X,2+$B19,0))+IF(EF$8="X",VLOOKUP(EF$10,'VK-Elekter'!$C:$X,2+$D19,0))+IF(EF$9="X",VLOOKUP(EF$10,'VK-Biokütused'!$C:$U,2+$E19,0)))/1000</f>
        <v>5.9806368215830608</v>
      </c>
      <c r="EG19" s="209">
        <f>(IF(EG$7="X",VLOOKUP(EG$10,'VK-Hooned-Soojus'!$C:$X,2+$C19,FALSE),0)+IF(EG$6="X",VLOOKUP(EG$10,'VK-Transport'!$C:$X,2+$B19,0))+IF(EG$8="X",VLOOKUP(EG$10,'VK-Elekter'!$C:$X,2+$D19,0))+IF(EG$9="X",VLOOKUP(EG$10,'VK-Biokütused'!$C:$U,2+$E19,0))+IF(EG$5="X",VLOOKUP(EG$10,'VK-Põlevkivi'!$C:$X,2+$G19,0))+IF(EG$4="X",VLOOKUP(EG$10,'VK-Võrgud'!$C:$X,2+$F19,0)))</f>
        <v>2.95</v>
      </c>
      <c r="EH19" s="209">
        <f>(IF(EH$7="X",VLOOKUP(EH$10,'VK-Hooned-Soojus'!$C:$X,2+$C19,FALSE),0)+IF(EH$6="X",VLOOKUP(EH$10,'VK-Transport'!$C:$X,2+$B19,0))+IF(EH$8="X",VLOOKUP(EH$10,'VK-Elekter'!$C:$X,2+$D19,0))+IF(EH$9="X",VLOOKUP(EH$10,'VK-Biokütused'!$C:$U,2+$E19,0)))+AR19+AS19+AU19+AX19</f>
        <v>60.515165628957575</v>
      </c>
      <c r="EI19" s="320">
        <f t="shared" si="6"/>
        <v>52.734567183462524</v>
      </c>
      <c r="EJ19" s="322">
        <f t="shared" si="7"/>
        <v>7.3408954233457072E-2</v>
      </c>
      <c r="EK19" s="323">
        <f t="shared" si="29"/>
        <v>0.41568159692162826</v>
      </c>
      <c r="EM19" s="209"/>
      <c r="EN19" s="209">
        <f t="shared" ca="1" si="8"/>
        <v>0</v>
      </c>
      <c r="EO19" s="209"/>
      <c r="EP19" s="234"/>
      <c r="EQ19" s="209">
        <f>(IF(EQ$7="X",VLOOKUP(EQ$10,'VK-Hooned-Soojus'!$C:$X,2+$C19,FALSE),0)+IF(EQ$6="X",VLOOKUP(EQ$10,'VK-Transport'!$C:$X,2+$B19,0))+IF(EQ$8="X",VLOOKUP(EQ$10,'VK-Elekter'!$C:$X,2+$D19,0))+IF(EQ$9="X",VLOOKUP(EQ$10,'VK-Biokütused'!$C:$U,2+$E19,0))+IF(EQ$5="X",VLOOKUP(EQ$10,'VK-Põlevkivi'!$C:$X,2+$G19,0))+IF(EQ$4="X",VLOOKUP(EQ$10,'VK-Võrgud'!$C:$X,2+$F19,0)))/1000</f>
        <v>0.22900000000000001</v>
      </c>
      <c r="ER19" s="209">
        <f>(IF(ER$7="X",VLOOKUP(ER$10,'VK-Hooned-Soojus'!$C:$X,2+$C19,FALSE),0)+IF(ER$6="X",VLOOKUP(ER$10,'VK-Transport'!$C:$X,2+$B19,0))+IF(ER$8="X",VLOOKUP(ER$10,'VK-Elekter'!$C:$X,2+$D19,0))+IF(ER$9="X",VLOOKUP(ER$10,'VK-Biokütused'!$C:$U,2+$E19,0))+IF(ER$5="X",VLOOKUP(ER$10,'VK-Põlevkivi'!$C:$X,2+$G19,0))+IF(ER$4="X",VLOOKUP(ER$10,'VK-Võrgud'!$C:$X,2+$F19,0)))</f>
        <v>0.82899999999999996</v>
      </c>
      <c r="ES19" s="209">
        <f>(IF(ES$7="X",VLOOKUP(ES$10,'VK-Hooned-Soojus'!$C:$X,2+$C19,FALSE),0)+IF(ES$6="X",VLOOKUP(ES$10,'VK-Transport'!$C:$X,2+$B19,0))+IF(ES$8="X",VLOOKUP(ES$10,'VK-Elekter'!$C:$X,2+$D19,0))+IF(ES$9="X",VLOOKUP(ES$10,'VK-Biokütused'!$C:$U,2+$E19,0))+IF(ES$5="X",VLOOKUP(ES$10,'VK-Põlevkivi'!$C:$X,2+$G19,0))+IF(ES$4="X",VLOOKUP(ES$10,'VK-Võrgud'!$C:$X,2+$F19,0)))</f>
        <v>6.78</v>
      </c>
      <c r="ET19" s="209"/>
      <c r="EU19" s="209"/>
      <c r="EV19" s="87">
        <f>'KSH järjestus'!AS12</f>
        <v>2064</v>
      </c>
      <c r="EX19" s="236"/>
      <c r="EY19" s="236"/>
      <c r="EZ19" s="237">
        <f t="shared" si="9"/>
        <v>6.6265060240963902E-2</v>
      </c>
      <c r="FA19" s="209">
        <f>IF(FA$7="X",VLOOKUP(FA$10,'VK-Hooned-Soojus'!$C:$X,2+$C19,FALSE),0)+IF(FA$6="X",VLOOKUP(FA$10,'VK-Transport'!$C:$X,2+$B19,0))+IF(FA$8="X",VLOOKUP(FA$10,'VK-Elekter'!$C:$X,2+$D19,0))+IF(FA$9="X",VLOOKUP(FA$10,'VK-Biokütused'!$C:$U,2+$E19,0))+IF(FA$5="X",VLOOKUP(FA$10,'VK-Põlevkivi'!$C:$X,2+$G19,0))+IF(FA$4="X",VLOOKUP(FA$10,'VK-Võrgud'!$C:$X,2+$F19,0))</f>
        <v>3770.9070000000002</v>
      </c>
      <c r="FB19" s="279">
        <f>(IF(FB$7="X",VLOOKUP(FB$10,'VK-Hooned-Soojus'!$C:$X,2+$C19,FALSE),0)+IF(FB$6="X",VLOOKUP(FB$10,'VK-Transport'!$C:$X,2+$B19,0))+IF(FB$8="X",VLOOKUP(FB$10,'VK-Elekter'!$C:$X,2+$D19,0))+IF(FB$9="X",VLOOKUP(FB$10,'VK-Biokütused'!$C:$U,2+$E19,0))+IF(FB$5="X",VLOOKUP(FB$10,'VK-Põlevkivi'!$C:$X,2+$G19,0))+IF(FB$4="X",VLOOKUP(FB$10,'VK-Võrgud'!$C:$X,2+$F19,0)))/16</f>
        <v>400.49584969421585</v>
      </c>
      <c r="FC19" s="209">
        <f>IF(FC$7="X",VLOOKUP(FC$10,'VK-Hooned-Soojus'!$C:$X,2+$C19,FALSE),0)+IF(FC$6="X",VLOOKUP(FC$10,'VK-Transport'!$C:$X,2+$B19,0))+IF(FC$8="X",VLOOKUP(FC$10,'VK-Elekter'!$C:$X,2+$D19,0))+IF(FC$9="X",VLOOKUP(FC$10,'VK-Biokütused'!$C:$U,2+$E19,0))+IF(FC$5="X",VLOOKUP(FC$10,'VK-Põlevkivi'!$C:$X,2+$G19,0))+IF(FC$4="X",VLOOKUP(FC$10,'VK-Võrgud'!$C:$X,2+$F19,0))</f>
        <v>339.59999999999997</v>
      </c>
      <c r="FD19" s="209">
        <f>(IF(FD$7="X",VLOOKUP(FD$10,'VK-Hooned-Soojus'!$C:$X,2+$C19,FALSE),0)+IF(FD$6="X",VLOOKUP(FD$10,'VK-Transport'!$C:$X,2+$B19,0))+IF(FD$8="X",VLOOKUP(FD$10,'VK-Elekter'!$C:$X,2+$D19,0))+IF(FD$9="X",VLOOKUP(FD$10,'VK-Biokütused'!$C:$U,2+$E19,0))+IF(FD$5="X",VLOOKUP(FD$10,'VK-Põlevkivi'!$C:$X,2+$G19,0))+IF(FD$4="X",VLOOKUP(FD$10,'VK-Võrgud'!$C:$X,2+$F19,0)))/16</f>
        <v>400.49584969421585</v>
      </c>
      <c r="FE19" s="209">
        <f>(IF(FE$7="X",VLOOKUP(FE$10,'VK-Hooned-Soojus'!$C:$X,2+$C19,FALSE),0)+IF(FE$6="X",VLOOKUP(FE$10,'VK-Transport'!$C:$X,2+$B19,0))+IF(FE$8="X",VLOOKUP(FE$10,'VK-Elekter'!$C:$X,2+$D19,0))+IF(FE$9="X",VLOOKUP(FE$10,'VK-Biokütused'!$C:$U,2+$E19,0))+IF(FE$5="X",VLOOKUP(FE$10,'VK-Põlevkivi'!$C:$X,2+$G19,0))+IF(FE$4="X",VLOOKUP(FE$10,'VK-Võrgud'!$C:$X,2+$F19,0)))/16</f>
        <v>-34.340813699091036</v>
      </c>
      <c r="FF19" s="209">
        <f>(IF(FF$7="X",VLOOKUP(FF$10,'VK-Hooned-Soojus'!$C:$X,2+$C19,FALSE),0)+IF(FF$6="X",VLOOKUP(FF$10,'VK-Transport'!$C:$X,2+$B19,0))+IF(FF$8="X",VLOOKUP(FF$10,'VK-Elekter'!$C:$X,2+$D19,0))+IF(FF$9="X",VLOOKUP(FF$10,'VK-Biokütused'!$C:$U,2+$E19,0))+IF(FF$5="X",VLOOKUP(FF$10,'VK-Põlevkivi'!$C:$X,2+$G19,0))+IF(FF$4="X",VLOOKUP(FF$10,'VK-Võrgud'!$C:$X,2+$F19,0)))/16</f>
        <v>116.62775510390975</v>
      </c>
      <c r="FG19" s="88">
        <f t="shared" ca="1" si="30"/>
        <v>82.28694140481872</v>
      </c>
      <c r="FH19" s="88"/>
      <c r="FI19" s="88"/>
      <c r="FJ19" s="88">
        <f>VLOOKUP(Tulemused!$BN$12,data!M$7:N$12,2,FALSE)-SUM(L19,M19)</f>
        <v>-3.4066444444444528</v>
      </c>
      <c r="FK19" s="209" t="str">
        <f>IF(AZ19&lt;=VLOOKUP(Tulemused!$BN$15,data!$E$36:$F$39,2,FALSE),"JAH","EI")</f>
        <v>JAH</v>
      </c>
      <c r="FL19" s="235">
        <f ca="1">IF(ISNA(MATCH($A19,INDIRECT(VLOOKUP(Tulemused!$BF$11,data!$J$57:$M$71,4,FALSE)))),0,MATCH($A19,INDIRECT(VLOOKUP(Tulemused!$BF$11,data!$J$57:$M$71,4,FALSE))))</f>
        <v>0</v>
      </c>
      <c r="FM19" s="235" t="str">
        <f t="shared" ca="1" si="10"/>
        <v>JAH</v>
      </c>
      <c r="FN19" s="209">
        <f>VLOOKUP(Tulemused!$BN$13,data!$C$132:$D$137,2,FALSE)-KOMBI!R19</f>
        <v>2.35713317841694</v>
      </c>
      <c r="FO19" s="209"/>
      <c r="FP19" s="209">
        <f>VLOOKUP(Tulemused!$BN$17,NO_x,2,FALSE)-CJ19</f>
        <v>9.2241389005694145</v>
      </c>
      <c r="FQ19" s="209">
        <f>VLOOKUP(Tulemused!$BN$18,SO_2,2,FALSE)-CK19</f>
        <v>39.076875437721398</v>
      </c>
      <c r="FR19" s="209">
        <f>VLOOKUP(Tulemused!$BN$19,LOU,2,FALSE)-CN19</f>
        <v>34.054000000000002</v>
      </c>
      <c r="FS19" s="209">
        <f>VLOOKUP(Tulemused!$BN$20,PM_2.5,2,FALSE)-CM19</f>
        <v>8.346684320552896</v>
      </c>
      <c r="FT19" s="209">
        <f>VLOOKUP(Tulemused!$BN$13,data!$C$132:$D$137,2,FALSE)-FA19/1000</f>
        <v>2.4750630000000005</v>
      </c>
      <c r="FU19" s="209">
        <f>VLOOKUP(Tulemused!$BN$17,NO_x,2,FALSE)-CO19</f>
        <v>3.7663502267145432</v>
      </c>
      <c r="FV19" s="209">
        <f>VLOOKUP(Tulemused!$BN$18,SO_2,2,FALSE)-CP19</f>
        <v>38.058051415704384</v>
      </c>
      <c r="FW19" s="209">
        <f>VLOOKUP(Tulemused!$BN$19,LOU,2,FALSE)-CS19</f>
        <v>33.09384759487839</v>
      </c>
      <c r="FX19" s="209">
        <f>VLOOKUP(Tulemused!$BN$20,PM_2.5,2,FALSE)-CR19</f>
        <v>8.7922466437251945</v>
      </c>
      <c r="FY19" s="209">
        <f>VLOOKUP(Tulemused!$BN$14,KHG_2050,2,FALSE)-EF19</f>
        <v>94.019363178416938</v>
      </c>
      <c r="FZ19" s="231" t="str">
        <f t="shared" ca="1" si="31"/>
        <v>EI</v>
      </c>
      <c r="GA19" s="209"/>
      <c r="GB19" s="209"/>
      <c r="GC19" s="209"/>
      <c r="GD19" s="231"/>
      <c r="GE19" s="87">
        <f t="shared" si="11"/>
        <v>2064</v>
      </c>
      <c r="GF19" s="232" t="str">
        <f t="shared" ca="1" si="32"/>
        <v/>
      </c>
      <c r="GH19" s="238">
        <f t="shared" ca="1" si="12"/>
        <v>655</v>
      </c>
      <c r="GI19" s="87">
        <f t="array" aca="1" ref="GI19" ca="1">INDEX($A$11:$A$145, SMALL(IF(GH19=$GF$11:$GF$145, MATCH(ROW($GF$11:$GF$145), ROW($GF$11:$GF$145))), SUM(--(GH19=$GH$11:GH19))))</f>
        <v>125</v>
      </c>
      <c r="GM19" s="209">
        <f>IF(GM$7="X",VLOOKUP(GM$10,'VK-Hooned-Soojus'!$C:$X,2+$C19,FALSE),0)+IF(GM$6="X",VLOOKUP(GM$10,'VK-Transport'!$C:$X,2+$B19,0))+IF(GM$8="X",VLOOKUP(GM$10,'VK-Elekter'!$C:$X,2+$D19,0))+IF(GM$9="X",VLOOKUP(GM$10,'VK-Biokütused'!$C:$U,2+$E19,0))+IF(GM$5="X",VLOOKUP(GM$10,'VK-Põlevkivi'!$C:$X,2+$G19,0))+IF(GM$4="X",VLOOKUP(GM$10,'VK-Võrgud'!$C:$X,2+$F19,0))</f>
        <v>6.011750640646909</v>
      </c>
      <c r="GN19" s="209">
        <f>IF(GN$7="X",VLOOKUP(GN$10,'VK-Hooned-Soojus'!$C:$X,2+$C19,FALSE),0)+IF(GN$6="X",VLOOKUP(GN$10,'VK-Transport'!$C:$X,2+$B19,0))+IF(GN$8="X",VLOOKUP(GN$10,'VK-Elekter'!$C:$X,2+$D19,0))+IF(GN$9="X",VLOOKUP(GN$10,'VK-Biokütused'!$C:$U,2+$E19,0))+IF(GN$5="X",VLOOKUP(GN$10,'VK-Põlevkivi'!$C:$X,2+$G19,0))+IF(GN$4="X",VLOOKUP(GN$10,'VK-Võrgud'!$C:$X,2+$F19,0))</f>
        <v>3.4528686473995491</v>
      </c>
      <c r="GO19" s="209">
        <f>IF(GO$7="X",VLOOKUP(GO$10,'VK-Hooned-Soojus'!$C:$X,2+$C19,FALSE),0)+IF(GO$6="X",VLOOKUP(GO$10,'VK-Transport'!$C:$X,2+$B19,0))+IF(GO$8="X",VLOOKUP(GO$10,'VK-Elekter'!$C:$X,2+$D19,0))+IF(GO$9="X",VLOOKUP(GO$10,'VK-Biokütused'!$C:$U,2+$E19,0))+IF(GO$5="X",VLOOKUP(GO$10,'VK-Põlevkivi'!$C:$X,2+$G19,0))+IF(GO$4="X",VLOOKUP(GO$10,'VK-Võrgud'!$C:$X,2+$F19,0))</f>
        <v>8.7471755658278116</v>
      </c>
      <c r="GP19" s="209">
        <f>IF(GP$7="X",VLOOKUP(GP$10,'VK-Hooned-Soojus'!$C:$X,2+$C19,FALSE),0)+IF(GP$6="X",VLOOKUP(GP$10,'VK-Transport'!$C:$X,2+$B19,0))+IF(GP$8="X",VLOOKUP(GP$10,'VK-Elekter'!$C:$X,2+$D19,0))+IF(GP$9="X",VLOOKUP(GP$10,'VK-Biokütused'!$C:$U,2+$E19,0))+IF(GP$5="X",VLOOKUP(GP$10,'VK-Põlevkivi'!$C:$X,2+$G19,0))+IF(GP$4="X",VLOOKUP(GP$10,'VK-Võrgud'!$C:$X,2+$F19,0))</f>
        <v>9.3279335818485372</v>
      </c>
      <c r="GQ19" s="88">
        <f>IF(GQ$7="X",VLOOKUP(GQ$10,'VK-Hooned-Soojus'!$C:$X,2+$C19,FALSE),0)+IF(GQ$6="X",VLOOKUP(GQ$10,'VK-Transport'!$C:$X,2+$B19,0))+IF(GQ$8="X",VLOOKUP(GQ$10,'VK-Elekter'!$C:$X,2+$D19,0))+IF(GQ$9="X",VLOOKUP(GQ$10,'VK-Biokütused'!$C:$U,2+$E19,0))+IF(GQ$5="X",VLOOKUP(GQ$10,'VK-Põlevkivi'!$C:$X,2+$G19,0))+IF(GQ$4="X",VLOOKUP(GQ$10,'VK-Võrgud'!$C:$X,2+$F19,0))</f>
        <v>0.9682855968523334</v>
      </c>
      <c r="GR19" s="186">
        <f t="shared" si="33"/>
        <v>0.37939565677332487</v>
      </c>
    </row>
    <row r="20" spans="1:200" x14ac:dyDescent="0.2">
      <c r="A20" s="184">
        <v>10</v>
      </c>
      <c r="B20" s="87">
        <v>1</v>
      </c>
      <c r="C20" s="87">
        <v>1</v>
      </c>
      <c r="D20" s="87">
        <v>4</v>
      </c>
      <c r="E20" s="87">
        <v>1</v>
      </c>
      <c r="F20" s="87">
        <f>VLOOKUP(Tulemused!$BF$7,data!$J$6:$K$8,2,FALSE)</f>
        <v>2</v>
      </c>
      <c r="G20" s="87">
        <f>VLOOKUP(data!$H$2,data!$J$12:$K$14,2,FALSE)</f>
        <v>2</v>
      </c>
      <c r="I20" s="209">
        <f>IF(I$7="X",VLOOKUP(I$10,'VK-Hooned-Soojus'!$C:$X,2+$C20,FALSE),0)+IF(I$6="X",VLOOKUP(I$10,'VK-Transport'!$C:$X,2+$B20,0))+IF(I$8="X",VLOOKUP(I$10,'VK-Elekter'!$C:$X,2+$D20,0))+IF(I$9="X",VLOOKUP(I$10,'VK-Biokütused'!$C:$U,2+$E20,0))+IF(I$5="X",VLOOKUP(I$10,'VK-Põlevkivi'!$C:$X,2+$G20,0))+IF(I$4="X",VLOOKUP(I$10,'VK-Võrgud'!$C:$X,2+$F20,0))</f>
        <v>26.89</v>
      </c>
      <c r="J20" s="209">
        <f>IF(J$7="X",VLOOKUP(J$10,'VK-Hooned-Soojus'!$C:$X,2+$C20,FALSE),0)+IF(J$6="X",VLOOKUP(J$10,'VK-Transport'!$C:$X,2+$B20,0))+IF(J$8="X",VLOOKUP(J$10,'VK-Elekter'!$C:$X,2+$D20,0))+IF(J$9="X",VLOOKUP(J$10,'VK-Biokütused'!$C:$U,2+$E20,0))+IF(J$5="X",VLOOKUP(J$10,'VK-Põlevkivi'!$C:$X,2+$G20,0))+IF(J$4="X",VLOOKUP(J$10,'VK-Võrgud'!$C:$X,2+$F20,0))</f>
        <v>13.295833333333334</v>
      </c>
      <c r="K20" s="209">
        <f>IF(K$7="X",VLOOKUP(K$10,'VK-Hooned-Soojus'!$C:$X,2+$C20,FALSE),0)+IF(K$6="X",VLOOKUP(K$10,'VK-Transport'!$C:$X,2+$B20,0))+IF(K$8="X",VLOOKUP(K$10,'VK-Elekter'!$C:$X,2+$D20,0))+IF(K$9="X",VLOOKUP(K$10,'VK-Biokütused'!$C:$U,2+$E20,0))+IF(K$5="X",VLOOKUP(K$10,'VK-Põlevkivi'!$C:$X,2+$G20,0))+IF(K$4="X",VLOOKUP(K$10,'VK-Võrgud'!$C:$X,2+$F20,0))</f>
        <v>16.75</v>
      </c>
      <c r="L20" s="209">
        <f>IF(L$7="X",VLOOKUP(L$10,'VK-Hooned-Soojus'!$C:$X,2+$C20,FALSE),0)+IF(L$6="X",VLOOKUP(L$10,'VK-Transport'!$C:$X,2+$B20,0))+IF(L$8="X",VLOOKUP(L$10,'VK-Elekter'!$C:$X,2+$D20,0))+IF(L$9="X",VLOOKUP(L$10,'VK-Biokütused'!$C:$U,2+$E20,0))+IF(L$5="X",VLOOKUP(L$10,'VK-Põlevkivi'!$C:$X,2+$G20,0))+IF(L$4="X",VLOOKUP(L$10,'VK-Võrgud'!$C:$X,2+$F20,0))</f>
        <v>24.95</v>
      </c>
      <c r="M20" s="209">
        <f>IF(M$7="X",VLOOKUP(M$10,'VK-Hooned-Soojus'!$C:$X,2+$C20,FALSE),0)+IF(M$6="X",VLOOKUP(M$10,'VK-Transport'!$C:$X,2+$B20,0))+IF(M$8="X",VLOOKUP(M$10,'VK-Elekter'!$C:$X,2+$D20,0))+IF(M$9="X",VLOOKUP(M$10,'VK-Biokütused'!$C:$U,2+$E20,0))+IF(M$5="X",VLOOKUP(M$10,'VK-Põlevkivi'!$C:$X,2+$G20,0))+IF(M$4="X",VLOOKUP(M$10,'VK-Võrgud'!$C:$X,2+$F20,0))</f>
        <v>11.289444444444445</v>
      </c>
      <c r="N20" s="209">
        <f>IF(N$7="X",VLOOKUP(N$10,'VK-Hooned-Soojus'!$C:$X,2+$C20,FALSE),0)+IF(N$6="X",VLOOKUP(N$10,'VK-Transport'!$C:$X,2+$B20,0))+IF(N$8="X",VLOOKUP(N$10,'VK-Elekter'!$C:$X,2+$D20,0))+IF(N$9="X",VLOOKUP(N$10,'VK-Biokütused'!$C:$U,2+$E20,0))+IF(N$5="X",VLOOKUP(N$10,'VK-Põlevkivi'!$C:$X,2+$G20,0))+IF(N$4="X",VLOOKUP(N$10,'VK-Võrgud'!$C:$X,2+$F20,0))</f>
        <v>16.75</v>
      </c>
      <c r="O20" s="209">
        <f t="shared" si="13"/>
        <v>40.185833333333335</v>
      </c>
      <c r="P20" s="209"/>
      <c r="Q20" s="209">
        <f>(IF(Q$7="X",VLOOKUP(Q$10,'VK-Hooned-Soojus'!$C:$X,2+$C20,FALSE),0)+IF(Q$6="X",VLOOKUP(Q$10,'VK-Transport'!$C:$X,2+$B20,0))+IF(Q$8="X",VLOOKUP(Q$10,'VK-Elekter'!$C:$X,2+$D20,0))+IF(Q$9="X",VLOOKUP(Q$10,'VK-Biokütused'!$C:$U,2+$E20,0))+IF(Q$5="X",VLOOKUP(Q$10,'VK-Põlevkivi'!$C:$X,2+$G20,0))+IF(Q$4="X",VLOOKUP(Q$10,'VK-Võrgud'!$C:$X,2+$F20,0)))/1000</f>
        <v>1.6020000000000001</v>
      </c>
      <c r="R20" s="209">
        <f>(IF(R$7="X",VLOOKUP(R$10,'VK-Hooned-Soojus'!$C:$X,2+$C20,FALSE),0)+IF(R$6="X",VLOOKUP(R$10,'VK-Transport'!$C:$X,2+$B20,0))+IF(R$8="X",VLOOKUP(R$10,'VK-Elekter'!$C:$X,2+$D20,0))+IF(R$9="X",VLOOKUP(R$10,'VK-Biokütused'!$C:$U,2+$E20,0))+IF(R$5="X",VLOOKUP(R$10,'VK-Põlevkivi'!$C:$X,2+$G20,0))+IF(R$4="X",VLOOKUP(R$10,'VK-Võrgud'!$C:$X,2+$F20,0)))/1000</f>
        <v>3.3026368215830604</v>
      </c>
      <c r="S20" s="226">
        <f>VLOOKUP(S$10,'VK-Hooned-Soojus'!$C:$I,2+$C20,FALSE) + VLOOKUP(S$10,'VK-Transport'!$C:$I,2+$B20,FALSE)+ VLOOKUP(S$10,'VK-Biokütused'!$C:$G,2+$E20,FALSE)+ VLOOKUP(S$10,'VK-Elekter'!$C:$I,2+$D20,FALSE)+ VLOOKUP(S$10,'VK-Põlevkivi'!$C:$I,2+$G20,FALSE)+ VLOOKUP(S$10,'VK-Võrgud'!$C:$I,2+$F20,FALSE)</f>
        <v>2.8630561745928164E-3</v>
      </c>
      <c r="T20" s="226">
        <f>VLOOKUP(T$10,'VK-Hooned-Soojus'!$C:$I,2+$C20,FALSE) + VLOOKUP(T$10,'VK-Transport'!$C:$I,2+$B20,FALSE)+ VLOOKUP(T$10,'VK-Biokütused'!$C:$G,2+$E20,FALSE)+ VLOOKUP(T$10,'VK-Elekter'!$C:$I,2+$D20,FALSE)+ VLOOKUP(T$10,'VK-Põlevkivi'!$C:$I,2+$G20,FALSE)+ VLOOKUP(T$10,'VK-Võrgud'!$C:$I,2+$F20,FALSE)</f>
        <v>-3.1634636185096242E-3</v>
      </c>
      <c r="U20" s="226">
        <f>VLOOKUP(U$10,'VK-Hooned-Soojus'!$C:$I,2+$C20,FALSE) + VLOOKUP(U$10,'VK-Transport'!$C:$I,2+$B20,FALSE)+ VLOOKUP(U$10,'VK-Biokütused'!$C:$G,2+$E20,FALSE)+ VLOOKUP(U$10,'VK-Elekter'!$C:$I,2+$D20,FALSE)+ VLOOKUP(U$10,'VK-Põlevkivi'!$C:$I,2+$G20,FALSE)+ VLOOKUP(U$10,'VK-Võrgud'!$C:$I,2+$F20,FALSE)</f>
        <v>-2.2056458928035316E-4</v>
      </c>
      <c r="V20" s="226">
        <f>VLOOKUP(V$10,'VK-Hooned-Soojus'!$C:$I,2+$C20,FALSE) + VLOOKUP(V$10,'VK-Transport'!$C:$I,2+$B20,FALSE)+ VLOOKUP(V$10,'VK-Biokütused'!$C:$G,2+$E20,FALSE)+ VLOOKUP(V$10,'VK-Elekter'!$C:$I,2+$D20,FALSE)+ VLOOKUP(V$10,'VK-Põlevkivi'!$C:$I,2+$G20,FALSE)+ VLOOKUP(V$10,'VK-Võrgud'!$C:$I,2+$F20,FALSE)</f>
        <v>3.0900747649084842E-3</v>
      </c>
      <c r="W20" s="226">
        <f>VLOOKUP(W$10,'VK-Hooned-Soojus'!$C:$I,2+$C20,FALSE) + VLOOKUP(W$10,'VK-Transport'!$C:$I,2+$B20,FALSE)+ VLOOKUP(W$10,'VK-Biokütused'!$C:$G,2+$E20,FALSE)+ VLOOKUP(W$10,'VK-Elekter'!$C:$I,2+$D20,FALSE)+ VLOOKUP(W$10,'VK-Põlevkivi'!$C:$I,2+$G20,FALSE)+ VLOOKUP(W$10,'VK-Võrgud'!$C:$I,2+$F20,FALSE)</f>
        <v>-2.0444720242954191E-2</v>
      </c>
      <c r="X20" s="226">
        <f>VLOOKUP(X$10,'VK-Hooned-Soojus'!$C:$I,2+$C20,FALSE) + VLOOKUP(X$10,'VK-Transport'!$C:$I,2+$B20,FALSE)+ VLOOKUP(X$10,'VK-Biokütused'!$C:$G,2+$E20,FALSE)+ VLOOKUP(X$10,'VK-Elekter'!$C:$I,2+$D20,FALSE)+ VLOOKUP(X$10,'VK-Põlevkivi'!$C:$I,2+$G20,FALSE)+ VLOOKUP(X$10,'VK-Võrgud'!$C:$I,2+$F20,FALSE)</f>
        <v>-0.14018616807588472</v>
      </c>
      <c r="Y20" s="226">
        <f>VLOOKUP(Y$10,'VK-Hooned-Soojus'!$C:$I,2+$C20,FALSE) + VLOOKUP(Y$10,'VK-Transport'!$C:$I,2+$B20,FALSE)+ VLOOKUP(Y$10,'VK-Biokütused'!$C:$G,2+$E20,FALSE)+ VLOOKUP(Y$10,'VK-Elekter'!$C:$I,2+$D20,FALSE)+ VLOOKUP(Y$10,'VK-Põlevkivi'!$C:$I,2+$G20,FALSE)+ VLOOKUP(Y$10,'VK-Võrgud'!$C:$I,2+$F20,FALSE)</f>
        <v>-4.8984251623603543E-2</v>
      </c>
      <c r="Z20" s="227">
        <f>(S20*Tulemused!$Q$9*10+T20*Tulemused!$Q$10*10+KOMBI!U20*Tulemused!$Q$11*10+KOMBI!V20*Tulemused!$Q$12*10)*Tulemused!$Q$8+-(W20*Tulemused!$Q$14*10+KOMBI!X20*Tulemused!$Q$15*10+KOMBI!Y20*Tulemused!$Q$16*10)*Tulemused!$Q$13</f>
        <v>4.6320456472115383</v>
      </c>
      <c r="AA20" s="228">
        <f>(IF(AA$7="X",VLOOKUP(AA$10,'VK-Hooned-Soojus'!$C:$X,2+$C20,FALSE),0)+IF(AA$6="X",VLOOKUP(AA$10,'VK-Transport'!$C:$X,2+$B20,0))+IF(AA$8="X",VLOOKUP(AA$10,'VK-Elekter'!$C:$X,2+$D20,0))+IF(AA$9="X",VLOOKUP(AA$10,'VK-Biokütused'!$C:$U,2+$E20,0))+IF(AA$5="X",VLOOKUP(AA$10,'VK-Põlevkivi'!$C:$X,2+$G20,0))+IF(AA$4="X",VLOOKUP(AA$10,'VK-Võrgud'!$C:$X,2+$F20,0)))</f>
        <v>0</v>
      </c>
      <c r="AB20" s="228">
        <f>(IF(AB$7="X",VLOOKUP(AB$10,'VK-Hooned-Soojus'!$C:$X,2+$C20,FALSE),0)+IF(AB$6="X",VLOOKUP(AB$10,'VK-Transport'!$C:$X,2+$B20,0))+IF(AB$8="X",VLOOKUP(AB$10,'VK-Elekter'!$C:$X,2+$D20,0))+IF(AB$9="X",VLOOKUP(AB$10,'VK-Biokütused'!$C:$U,2+$E20,0))+IF(AB$5="X",VLOOKUP(AB$10,'VK-Põlevkivi'!$C:$X,2+$G20,0))+IF(AB$4="X",VLOOKUP(AB$10,'VK-Võrgud'!$C:$X,2+$F20,0)))</f>
        <v>1602</v>
      </c>
      <c r="AC20" s="228">
        <f>(IF(AC$7="X",VLOOKUP(AC$10,'VK-Hooned-Soojus'!$C:$X,2+$C20,FALSE),0)+IF(AC$6="X",VLOOKUP(AC$10,'VK-Transport'!$C:$X,2+$B20,0))+IF(AC$8="X",VLOOKUP(AC$10,'VK-Elekter'!$C:$X,2+$D20,0))+IF(AC$9="X",VLOOKUP(AC$10,'VK-Biokütused'!$C:$U,2+$E20,0))+IF(AC$5="X",VLOOKUP(AC$10,'VK-Põlevkivi'!$C:$X,2+$G20,0))+IF(AC$4="X",VLOOKUP(AC$10,'VK-Võrgud'!$C:$X,2+$F20,0)))</f>
        <v>2346</v>
      </c>
      <c r="AD20" s="228">
        <f>(IF(AD$7="X",VLOOKUP(AD$10,'VK-Hooned-Soojus'!$C:$X,2+$C20,FALSE),0)+IF(AD$6="X",VLOOKUP(AD$10,'VK-Transport'!$C:$X,2+$B20,0))+IF(AD$8="X",VLOOKUP(AD$10,'VK-Elekter'!$C:$X,2+$D20,0))+IF(AD$9="X",VLOOKUP(AD$10,'VK-Biokütused'!$C:$U,2+$E20,0))+IF(AD$5="X",VLOOKUP(AD$10,'VK-Põlevkivi'!$C:$X,2+$G20,0))+IF(AD$4="X",VLOOKUP(AD$10,'VK-Võrgud'!$C:$X,2+$F20,0)))</f>
        <v>0</v>
      </c>
      <c r="AE20" s="228">
        <f>(IF(AE$7="X",VLOOKUP(AE$10,'VK-Hooned-Soojus'!$C:$X,2+$C20,FALSE),0)+IF(AE$6="X",VLOOKUP(AE$10,'VK-Transport'!$C:$X,2+$B20,0))+IF(AE$8="X",VLOOKUP(AE$10,'VK-Elekter'!$C:$X,2+$D20,0))+IF(AE$9="X",VLOOKUP(AE$10,'VK-Biokütused'!$C:$U,2+$E20,0))+IF(AE$5="X",VLOOKUP(AE$10,'VK-Põlevkivi'!$C:$X,2+$G20,0))+IF(AE$4="X",VLOOKUP(AE$10,'VK-Võrgud'!$C:$X,2+$F20,0)))</f>
        <v>812</v>
      </c>
      <c r="AF20" s="228">
        <f>(IF(AF$7="X",VLOOKUP(AF$10,'VK-Hooned-Soojus'!$C:$X,2+$C20,FALSE),0)+IF(AF$6="X",VLOOKUP(AF$10,'VK-Transport'!$C:$X,2+$B20,0))+IF(AF$8="X",VLOOKUP(AF$10,'VK-Elekter'!$C:$X,2+$D20,0))+IF(AF$9="X",VLOOKUP(AF$10,'VK-Biokütused'!$C:$U,2+$E20,0))+IF(AF$5="X",VLOOKUP(AF$10,'VK-Põlevkivi'!$C:$X,2+$G20,0))+IF(AF$4="X",VLOOKUP(AF$10,'VK-Võrgud'!$C:$X,2+$F20,0)))</f>
        <v>2490.6368215830603</v>
      </c>
      <c r="AG20" s="209"/>
      <c r="AH20" s="209">
        <f>IF(AH$7="X",VLOOKUP(AH$10,'VK-Hooned-Soojus'!$C:$X,2+$C20,FALSE),0)+IF(AH$6="X",VLOOKUP(AH$10,'VK-Transport'!$C:$X,2+$B20,0))+IF(AH$8="X",VLOOKUP(AH$10,'VK-Elekter'!$C:$X,2+$D20,0))+IF(AH$9="X",VLOOKUP(AH$10,'VK-Biokütused'!$C:$U,2+$E20,0))+IF(AH$5="X",VLOOKUP(AH$10,'VK-Põlevkivi'!$C:$X,2+$G20,0))+IF(AH$4="X",VLOOKUP(AH$10,'VK-Võrgud'!$C:$X,2+$F20,0))</f>
        <v>0</v>
      </c>
      <c r="AI20" s="209">
        <f>IF(AI$7="X",VLOOKUP(AI$10,'VK-Hooned-Soojus'!$C:$X,2+$C20,FALSE),0)+IF(AI$6="X",VLOOKUP(AI$10,'VK-Transport'!$C:$X,2+$B20,0))+IF(AI$8="X",VLOOKUP(AI$10,'VK-Elekter'!$C:$X,2+$D20,0))+IF(AI$9="X",VLOOKUP(AI$10,'VK-Biokütused'!$C:$U,2+$E20,0))+IF(AI$5="X",VLOOKUP(AI$10,'VK-Põlevkivi'!$C:$X,2+$G20,0))+IF(AI$4="X",VLOOKUP(AI$10,'VK-Võrgud'!$C:$X,2+$F20,0))</f>
        <v>11.489999999999998</v>
      </c>
      <c r="AJ20" s="209">
        <f>IF(AJ$7="X",VLOOKUP(AJ$10,'VK-Hooned-Soojus'!$C:$X,2+$C20,FALSE),0)+IF(AJ$6="X",VLOOKUP(AJ$10,'VK-Transport'!$C:$X,2+$B20,0))+IF(AJ$8="X",VLOOKUP(AJ$10,'VK-Elekter'!$C:$X,2+$D20,0))+IF(AJ$9="X",VLOOKUP(AJ$10,'VK-Biokütused'!$C:$U,2+$E20,0))+IF(AJ$5="X",VLOOKUP(AJ$10,'VK-Põlevkivi'!$C:$X,2+$G20,0))+IF(AJ$4="X",VLOOKUP(AJ$10,'VK-Võrgud'!$C:$X,2+$F20,0))</f>
        <v>0</v>
      </c>
      <c r="AK20" s="209">
        <f>IF(AK$7="X",VLOOKUP(AK$10,'VK-Hooned-Soojus'!$C:$X,2+$C20,FALSE),0)+IF(AK$6="X",VLOOKUP(AK$10,'VK-Transport'!$C:$X,2+$B20,0))+IF(AK$8="X",VLOOKUP(AK$10,'VK-Elekter'!$C:$X,2+$D20,0))+IF(AK$9="X",VLOOKUP(AK$10,'VK-Biokütused'!$C:$U,2+$E20,0))+IF(AK$5="X",VLOOKUP(AK$10,'VK-Põlevkivi'!$C:$X,2+$G20,0))+IF(AK$4="X",VLOOKUP(AK$10,'VK-Võrgud'!$C:$X,2+$F20,0))</f>
        <v>3.65</v>
      </c>
      <c r="AL20" s="209">
        <f>IF(AL$7="X",VLOOKUP(AL$10,'VK-Hooned-Soojus'!$C:$X,2+$C20,FALSE),0)+IF(AL$6="X",VLOOKUP(AL$10,'VK-Transport'!$C:$X,2+$B20,0))+IF(AL$8="X",VLOOKUP(AL$10,'VK-Elekter'!$C:$X,2+$D20,0))+IF(AL$9="X",VLOOKUP(AL$10,'VK-Biokütused'!$C:$U,2+$E20,0))+IF(AL$5="X",VLOOKUP(AL$10,'VK-Põlevkivi'!$C:$X,2+$G20,0))+IF(AL$4="X",VLOOKUP(AL$10,'VK-Võrgud'!$C:$X,2+$F20,0))</f>
        <v>7.1999999999999993</v>
      </c>
      <c r="AM20" s="209">
        <f>IF(AM$7="X",VLOOKUP(AM$10,'VK-Hooned-Soojus'!$C:$X,2+$C20,FALSE),0)+IF(AM$6="X",VLOOKUP(AM$10,'VK-Transport'!$C:$X,2+$B20,0))+IF(AM$8="X",VLOOKUP(AM$10,'VK-Elekter'!$C:$X,2+$D20,0))+IF(AM$9="X",VLOOKUP(AM$10,'VK-Biokütused'!$C:$U,2+$E20,0))+IF(AM$5="X",VLOOKUP(AM$10,'VK-Põlevkivi'!$C:$X,2+$G20,0))+IF(AM$4="X",VLOOKUP(AM$10,'VK-Võrgud'!$C:$X,2+$F20,0))</f>
        <v>12.9</v>
      </c>
      <c r="AN20" s="209">
        <f>IF(AN$7="X",VLOOKUP(AN$10,'VK-Hooned-Soojus'!$C:$X,2+$C20,FALSE),0)+IF(AN$6="X",VLOOKUP(AN$10,'VK-Transport'!$C:$X,2+$B20,0))+IF(AN$8="X",VLOOKUP(AN$10,'VK-Elekter'!$C:$X,2+$D20,0))+IF(AN$9="X",VLOOKUP(AN$10,'VK-Biokütused'!$C:$U,2+$E20,0))+IF(AN$5="X",VLOOKUP(AN$10,'VK-Põlevkivi'!$C:$X,2+$G20,0))+IF(AN$4="X",VLOOKUP(AN$10,'VK-Võrgud'!$C:$X,2+$F20,0))</f>
        <v>5.6999999999999993</v>
      </c>
      <c r="AO20" s="209">
        <f>IF(AO$7="X",VLOOKUP(AO$10,'VK-Hooned-Soojus'!$C:$X,2+$C20,FALSE),0)+IF(AO$6="X",VLOOKUP(AO$10,'VK-Transport'!$C:$X,2+$B20,0))+IF(AO$8="X",VLOOKUP(AO$10,'VK-Elekter'!$C:$X,2+$D20,0))+IF(AO$9="X",VLOOKUP(AO$10,'VK-Biokütused'!$C:$U,2+$E20,0))+IF(AO$5="X",VLOOKUP(AO$10,'VK-Põlevkivi'!$C:$X,2+$G20,0))+IF(AO$4="X",VLOOKUP(AO$10,'VK-Võrgud'!$C:$X,2+$F20,0))</f>
        <v>22.740000000000002</v>
      </c>
      <c r="AP20" s="209">
        <f>IF(AP$7="X",VLOOKUP(AP$10,'VK-Hooned-Soojus'!$C:$X,2+$C20,FALSE),0)+IF(AP$6="X",VLOOKUP(AP$10,'VK-Transport'!$C:$X,2+$B20,0))+IF(AP$8="X",VLOOKUP(AP$10,'VK-Elekter'!$C:$X,2+$D20,0))+IF(AP$9="X",VLOOKUP(AP$10,'VK-Biokütused'!$C:$U,2+$E20,0))+IF(AP$5="X",VLOOKUP(AP$10,'VK-Põlevkivi'!$C:$X,2+$G20,0))+IF(AP$4="X",VLOOKUP(AP$10,'VK-Võrgud'!$C:$X,2+$F20,0))</f>
        <v>11.370000000000001</v>
      </c>
      <c r="AQ20" s="320">
        <f t="shared" si="14"/>
        <v>10.440000000000001</v>
      </c>
      <c r="AR20" s="209">
        <f>IF(AR$7="X",VLOOKUP(AR$10,'VK-Hooned-Soojus'!$C:$X,2+$C20,FALSE),0)+IF(AR$6="X",VLOOKUP(AR$10,'VK-Transport'!$C:$X,2+$B20,0))+IF(AR$8="X",VLOOKUP(AR$10,'VK-Elekter'!$C:$X,2+$D20,0))+IF(AR$9="X",VLOOKUP(AR$10,'VK-Biokütused'!$C:$U,2+$E20,0))+IF(AR$5="X",VLOOKUP(AR$10,'VK-Põlevkivi'!$C:$X,2+$G20,0))+IF(AR$4="X",VLOOKUP(AR$10,'VK-Võrgud'!$C:$X,2+$F20,0))</f>
        <v>1.1000000000000001</v>
      </c>
      <c r="AS20" s="320">
        <f>VLOOKUP("Kütuste tarbimine @ 2030 - UTTEGAAS",'VK-Hooned-Soojus'!$C:$X,2+$C20,FALSE)/0.172+VLOOKUP("Kütuste tarbimine @ 2030 - UTTEGAAS",'VK-Elekter'!$C:$X,2+$D20,FALSE)/0.172-AR20-AU20</f>
        <v>-1.1000000000000001</v>
      </c>
      <c r="AT20" s="209">
        <f>IF(AT$7="X",VLOOKUP(AT$10,'VK-Hooned-Soojus'!$C:$X,2+$C20,FALSE),0)+IF(AT$6="X",VLOOKUP(AT$10,'VK-Transport'!$C:$X,2+$B20,0))+IF(AT$8="X",VLOOKUP(AT$10,'VK-Elekter'!$C:$X,2+$D20,0))+IF(AT$9="X",VLOOKUP(AT$10,'VK-Biokütused'!$C:$U,2+$E20,0))+IF(AT$5="X",VLOOKUP(AT$10,'VK-Põlevkivi'!$C:$X,2+$G20,0))+IF(AT$4="X",VLOOKUP(AT$10,'VK-Võrgud'!$C:$X,2+$F20,0))</f>
        <v>12.004929222526066</v>
      </c>
      <c r="AU20" s="229">
        <f>MAX(0,(VLOOKUP("Kütuste tarbimine @ 2030 - UTTEGAAS",'VK-Hooned-Soojus'!$C:$X,2+$C20,FALSE)/0.172+VLOOKUP("Kütuste tarbimine @ 2030 - UTTEGAAS",'VK-Elekter'!$C:$X,2+$D20,FALSE)/0.172)*0.52-VLOOKUP("Kütuste tarbimine @ 2030 - PÕLEVKIVIÕLI",'VK-Hooned-Soojus'!$C:$X,2+$C20,FALSE))</f>
        <v>0</v>
      </c>
      <c r="AV20" s="209">
        <f>IF(AV$7="X",VLOOKUP(AV$10,'VK-Hooned-Soojus'!$C:$X,2+$C20,FALSE),0)+IF(AV$6="X",VLOOKUP(AV$10,'VK-Transport'!$C:$X,2+$B20,0))+IF(AV$8="X",VLOOKUP(AV$10,'VK-Elekter'!$C:$X,2+$D20,0))+IF(AV$9="X",VLOOKUP(AV$10,'VK-Biokütused'!$C:$U,2+$E20,0))+IF(AV$5="X",VLOOKUP(AV$10,'VK-Põlevkivi'!$C:$X,2+$G20,0))+IF(AV$4="X",VLOOKUP(AV$10,'VK-Võrgud'!$C:$X,2+$F20,0))</f>
        <v>1.1831224847375093</v>
      </c>
      <c r="AW20" s="209">
        <f>IF(AW$7="X",VLOOKUP(AW$10,'VK-Hooned-Soojus'!$C:$X,2+$C20,FALSE),0)+IF(AW$6="X",VLOOKUP(AW$10,'VK-Transport'!$C:$X,2+$B20,0))+IF(AW$8="X",VLOOKUP(AW$10,'VK-Elekter'!$C:$X,2+$D20,0))+IF(AW$9="X",VLOOKUP(AW$10,'VK-Biokütused'!$C:$U,2+$E20,0))+IF(AW$5="X",VLOOKUP(AW$10,'VK-Põlevkivi'!$C:$X,2+$G20,0))+IF(AW$4="X",VLOOKUP(AW$10,'VK-Võrgud'!$C:$X,2+$F20,0))</f>
        <v>0</v>
      </c>
      <c r="AX20" s="229">
        <f t="shared" si="34"/>
        <v>0</v>
      </c>
      <c r="AY20" s="229">
        <f t="shared" si="15"/>
        <v>1.1831224847375093</v>
      </c>
      <c r="AZ20" s="230">
        <f t="shared" si="0"/>
        <v>0.69679709677809665</v>
      </c>
      <c r="BA20" s="209">
        <f>IF(BA$7="X",VLOOKUP(BA$10,'VK-Hooned-Soojus'!$C:$X,2+$C20,FALSE),0)+IF(BA$6="X",VLOOKUP(BA$10,'VK-Transport'!$C:$X,2+$B20,0))+IF(BA$8="X",VLOOKUP(BA$10,'VK-Elekter'!$C:$X,2+$D20,0))+IF(BA$9="X",VLOOKUP(BA$10,'VK-Biokütused'!$C:$U,2+$E20,0))+IF(BA$5="X",VLOOKUP(BA$10,'VK-Põlevkivi'!$C:$X,2+$G20,0))+IF(BA$4="X",VLOOKUP(BA$10,'VK-Võrgud'!$C:$X,2+$F20,0))</f>
        <v>0</v>
      </c>
      <c r="BB20" s="209">
        <f>IF(BB$7="X",VLOOKUP(BB$10,'VK-Hooned-Soojus'!$C:$X,2+$C20,FALSE),0)+IF(BB$6="X",VLOOKUP(BB$10,'VK-Transport'!$C:$X,2+$B20,0))+IF(BB$8="X",VLOOKUP(BB$10,'VK-Elekter'!$C:$X,2+$D20,0))+IF(BB$9="X",VLOOKUP(BB$10,'VK-Biokütused'!$C:$U,2+$E20,0))+IF(BB$5="X",VLOOKUP(BB$10,'VK-Põlevkivi'!$C:$X,2+$G20,0))+IF(BB$4="X",VLOOKUP(BB$10,'VK-Võrgud'!$C:$X,2+$F20,0))</f>
        <v>6.32</v>
      </c>
      <c r="BC20" s="209">
        <f>IF(BC$7="X",VLOOKUP(BC$10,'VK-Hooned-Soojus'!$C:$X,2+$C20,FALSE),0)+IF(BC$6="X",VLOOKUP(BC$10,'VK-Transport'!$C:$X,2+$B20,0))+IF(BC$8="X",VLOOKUP(BC$10,'VK-Elekter'!$C:$X,2+$D20,0))+IF(BC$9="X",VLOOKUP(BC$10,'VK-Biokütused'!$C:$U,2+$E20,0))+IF(BC$5="X",VLOOKUP(BC$10,'VK-Põlevkivi'!$C:$X,2+$G20,0))+IF(BC$4="X",VLOOKUP(BC$10,'VK-Võrgud'!$C:$X,2+$F20,0))</f>
        <v>8.0523611111111126</v>
      </c>
      <c r="BD20" s="209">
        <f>IF(BD$7="X",VLOOKUP(BD$10,'VK-Hooned-Soojus'!$C:$X,2+$C20,FALSE),0)+IF(BD$6="X",VLOOKUP(BD$10,'VK-Transport'!$C:$X,2+$B20,0))+IF(BD$8="X",VLOOKUP(BD$10,'VK-Elekter'!$C:$X,2+$D20,0))+IF(BD$9="X",VLOOKUP(BD$10,'VK-Biokütused'!$C:$U,2+$E20,0))+IF(BD$5="X",VLOOKUP(BD$10,'VK-Põlevkivi'!$C:$X,2+$G20,0))+IF(BD$4="X",VLOOKUP(BD$10,'VK-Võrgud'!$C:$X,2+$F20,0))</f>
        <v>10.42138888888889</v>
      </c>
      <c r="BE20" s="230"/>
      <c r="BF20" s="229">
        <f t="shared" si="16"/>
        <v>0.54033748449096464</v>
      </c>
      <c r="BG20" s="209" t="e">
        <f>(IF(BG$7="X",VLOOKUP(BG$10,'VK-Hooned-Soojus'!$C:$X,2+$C20,FALSE),0)+IF(BG$6="X",VLOOKUP(BG$10,'VK-Transport'!$C:$X,2+$B20,0))+IF(BG$8="X",VLOOKUP(BG$10,'VK-Elekter'!$C:$X,2+$D20,0))+IF(BG$9="X",VLOOKUP(BG$10,'VK-Biokütused'!$C:$U,2+$E20,0))+IF(BG$5="X",VLOOKUP(BG$10,'VK-Põlevkivi'!$C:$X,2+$G20,0))+IF(BG$4="X",VLOOKUP(BG$10,'VK-Võrgud'!$C:$X,2+$F20,0)))/20</f>
        <v>#N/A</v>
      </c>
      <c r="BH20" s="209">
        <f>(IF(BH$7="X",VLOOKUP(BH$10,'VK-Hooned-Soojus'!$C:$X,2+$C20,FALSE),0)+IF(BH$6="X",VLOOKUP(BH$10,'VK-Transport'!$C:$X,2+$B20,0))+IF(BH$8="X",VLOOKUP(BH$10,'VK-Elekter'!$C:$X,2+$D20,0))+IF(BH$9="X",VLOOKUP(BH$10,'VK-Biokütused'!$C:$U,2+$E20,0))+IF(BH$5="X",VLOOKUP(BH$10,'VK-Põlevkivi'!$C:$X,2+$G20,0))+IF(BH$4="X",VLOOKUP(BH$10,'VK-Võrgud'!$C:$X,2+$F20,0)))/20</f>
        <v>13.99</v>
      </c>
      <c r="BI20" s="209">
        <f>(IF(BI$7="X",VLOOKUP(BI$10,'VK-Hooned-Soojus'!$C:$X,2+$C20,FALSE),0)+IF(BI$6="X",VLOOKUP(BI$10,'VK-Transport'!$C:$X,2+$B20,0))+IF(BI$8="X",VLOOKUP(BI$10,'VK-Elekter'!$C:$X,2+$D20,0))+IF(BI$9="X",VLOOKUP(BI$10,'VK-Biokütused'!$C:$U,2+$E20,0))+IF(BI$5="X",VLOOKUP(BI$10,'VK-Põlevkivi'!$C:$X,2+$G20,0))+IF(BI$4="X",VLOOKUP(BI$10,'VK-Võrgud'!$C:$X,2+$F20,0)))/16</f>
        <v>17.75</v>
      </c>
      <c r="BJ20" s="209">
        <f>(IF(BJ$7="X",VLOOKUP(BJ$10,'VK-Hooned-Soojus'!$C:$X,2+$C20,FALSE),0)+IF(BJ$6="X",VLOOKUP(BJ$10,'VK-Transport'!$C:$X,2+$B20,0))+IF(BJ$8="X",VLOOKUP(BJ$10,'VK-Elekter'!$C:$X,2+$D20,0))+IF(BJ$9="X",VLOOKUP(BJ$10,'VK-Biokütused'!$C:$U,2+$E20,0))+IF(BJ$5="X",VLOOKUP(BJ$10,'VK-Põlevkivi'!$C:$X,2+$G20,0))+IF(BJ$4="X",VLOOKUP(BJ$10,'VK-Võrgud'!$C:$X,2+$F20,0)))/20</f>
        <v>1.85</v>
      </c>
      <c r="BK20" s="209"/>
      <c r="BL20" s="209"/>
      <c r="BM20" s="209"/>
      <c r="BN20" s="209" t="e">
        <f>(IF(BN$7="X",VLOOKUP(BN$10,'VK-Hooned-Soojus'!$C:$X,2+$C20,FALSE),0)+IF(BN$6="X",VLOOKUP(BN$10,'VK-Transport'!$C:$X,2+$B20,0))+IF(BN$8="X",VLOOKUP(BN$10,'VK-Elekter'!$C:$X,2+$D20,0))+IF(BN$9="X",VLOOKUP(BN$10,'VK-Biokütused'!$C:$U,2+$E20,0))+IF(BN$5="X",VLOOKUP(BN$10,'VK-Põlevkivi'!$C:$X,2+$G20,0))+IF(BN$4="X",VLOOKUP(BN$10,'VK-Võrgud'!$C:$X,2+$F20,0)))/16</f>
        <v>#N/A</v>
      </c>
      <c r="BO20" s="209">
        <f>(IF(BO$7="X",VLOOKUP(BO$10,'VK-Hooned-Soojus'!$C:$X,2+$C20,FALSE),0)+IF(BO$6="X",VLOOKUP(BO$10,'VK-Transport'!$C:$X,2+$B20,0))+IF(BO$8="X",VLOOKUP(BO$10,'VK-Elekter'!$C:$X,2+$D20,0))+IF(BO$9="X",VLOOKUP(BO$10,'VK-Biokütused'!$C:$U,2+$E20,0))+IF(BO$5="X",VLOOKUP(BO$10,'VK-Põlevkivi'!$C:$X,2+$G20,0))+IF(BO$4="X",VLOOKUP(BO$10,'VK-Võrgud'!$C:$X,2+$F20,0)))/16</f>
        <v>496.33125000000001</v>
      </c>
      <c r="BP20" s="209"/>
      <c r="BQ20" s="209">
        <f>(IF(BQ$7="X",VLOOKUP(BQ$10,'VK-Hooned-Soojus'!$C:$X,2+$C20,FALSE),0)+IF(BQ$6="X",VLOOKUP(BQ$10,'VK-Transport'!$C:$X,2+$B20,0))+IF(BQ$8="X",VLOOKUP(BQ$10,'VK-Elekter'!$C:$X,2+$D20,0))+IF(BQ$9="X",VLOOKUP(BQ$10,'VK-Biokütused'!$C:$U,2+$E20,0))+IF(BQ$5="X",VLOOKUP(BQ$10,'VK-Põlevkivi'!$C:$X,2+$G20,0))+IF(BQ$4="X",VLOOKUP(BQ$10,'VK-Võrgud'!$C:$X,2+$F20,0)))/16</f>
        <v>4.7249999999999996</v>
      </c>
      <c r="BR20" s="209">
        <f>(IF(BR$7="X",VLOOKUP(BR$10,'VK-Hooned-Soojus'!$C:$X,2+$C20,FALSE),0)+IF(BR$6="X",VLOOKUP(BR$10,'VK-Transport'!$C:$X,2+$B20,0))+IF(BR$8="X",VLOOKUP(BR$10,'VK-Elekter'!$C:$X,2+$D20,0))+IF(BR$9="X",VLOOKUP(BR$10,'VK-Biokütused'!$C:$U,2+$E20,0))+IF(BR$5="X",VLOOKUP(BR$10,'VK-Põlevkivi'!$C:$X,2+$G20,0))+IF(BR$4="X",VLOOKUP(BR$10,'VK-Võrgud'!$C:$X,2+$F20,0)))/16</f>
        <v>-74.512500000000003</v>
      </c>
      <c r="BS20" s="209">
        <f>(IF(BS$7="X",VLOOKUP(BS$10,'VK-Hooned-Soojus'!$C:$X,2+$C20,FALSE),0)+IF(BS$6="X",VLOOKUP(BS$10,'VK-Transport'!$C:$X,2+$B20,0))+IF(BS$8="X",VLOOKUP(BS$10,'VK-Elekter'!$C:$X,2+$D20,0))+IF(BS$9="X",VLOOKUP(BS$10,'VK-Biokütused'!$C:$U,2+$E20,0))+IF(BS$5="X",VLOOKUP(BS$10,'VK-Põlevkivi'!$C:$X,2+$G20,0))+IF(BS$4="X",VLOOKUP(BS$10,'VK-Võrgud'!$C:$X,2+$F20,0)))/16</f>
        <v>-100.68125000000001</v>
      </c>
      <c r="BT20" s="209"/>
      <c r="BU20" s="209"/>
      <c r="BV20" s="209">
        <f>(IF(BV$7="X",VLOOKUP(BV$10,'VK-Hooned-Soojus'!$C:$X,2+$C20,FALSE),0)+IF(BV$6="X",VLOOKUP(BV$10,'VK-Transport'!$C:$X,2+$B20,0))+IF(BV$8="X",VLOOKUP(BV$10,'VK-Elekter'!$C:$X,2+$D20,0))+IF(BV$9="X",VLOOKUP(BV$10,'VK-Biokütused'!$C:$U,2+$E20,0))+IF(BV$5="X",VLOOKUP(BV$10,'VK-Põlevkivi'!$C:$X,2+$G20,0))+IF(BV$4="X",VLOOKUP(BV$10,'VK-Võrgud'!$C:$X,2+$F20,0)))/16</f>
        <v>0</v>
      </c>
      <c r="BW20" s="209"/>
      <c r="BX20" s="209">
        <f>(IF(BX$7="X",VLOOKUP(BX$10,'VK-Hooned-Soojus'!$C:$X,2+$C20,FALSE),0)+IF(BX$6="X",VLOOKUP(BX$10,'VK-Transport'!$C:$X,2+$B20,0))+IF(BX$8="X",VLOOKUP(BX$10,'VK-Elekter'!$C:$X,2+$D20,0))+IF(BX$9="X",VLOOKUP(BX$10,'VK-Biokütused'!$C:$U,2+$E20,0))+IF(BX$5="X",VLOOKUP(BX$10,'VK-Põlevkivi'!$C:$X,2+$G20,0))+IF(BX$4="X",VLOOKUP(BX$10,'VK-Võrgud'!$C:$X,2+$F20,0)))/16</f>
        <v>-19.25</v>
      </c>
      <c r="BY20" s="209"/>
      <c r="BZ20" s="209"/>
      <c r="CA20" s="209" t="e">
        <f>(IF(CA$7="X",VLOOKUP(CA$10,'VK-Hooned-Soojus'!$C:$X,2+$C20,FALSE),0)+IF(CA$6="X",VLOOKUP(CA$10,'VK-Transport'!$C:$X,2+$B20,0))+IF(CA$8="X",VLOOKUP(CA$10,'VK-Elekter'!$C:$X,2+$D20,0))+IF(CA$9="X",VLOOKUP(CA$10,'VK-Biokütused'!$C:$U,2+$E20,0))+IF(CA$5="X",VLOOKUP(CA$10,'VK-Põlevkivi'!$C:$X,2+$G20,0))+IF(CA$4="X",VLOOKUP(CA$10,'VK-Võrgud'!$C:$X,2+$F20,0)))/16</f>
        <v>#N/A</v>
      </c>
      <c r="CB20" s="209">
        <f>(IF(CB$7="X",VLOOKUP(CB$10,'VK-Hooned-Soojus'!$C:$X,2+$C20,FALSE),0)+IF(CB$6="X",VLOOKUP(CB$10,'VK-Transport'!$C:$X,2+$B20,0))+IF(CB$8="X",VLOOKUP(CB$10,'VK-Elekter'!$C:$X,2+$D20,0))+IF(CB$9="X",VLOOKUP(CB$10,'VK-Biokütused'!$C:$U,2+$E20,0))+IF(CB$5="X",VLOOKUP(CB$10,'VK-Põlevkivi'!$C:$X,2+$G20,0))+IF(CB$4="X",VLOOKUP(CB$10,'VK-Võrgud'!$C:$X,2+$F20,0)))/16</f>
        <v>0</v>
      </c>
      <c r="CC20" s="209">
        <f>(IF(CC$7="X",VLOOKUP(CC$10,'VK-Hooned-Soojus'!$C:$X,2+$C20,FALSE),0)+IF(CC$6="X",VLOOKUP(CC$10,'VK-Transport'!$C:$X,2+$B20,0))+IF(CC$8="X",VLOOKUP(CC$10,'VK-Elekter'!$C:$X,2+$D20,0))+IF(CC$9="X",VLOOKUP(CC$10,'VK-Biokütused'!$C:$U,2+$E20,0))+IF(CC$5="X",VLOOKUP(CC$10,'VK-Põlevkivi'!$C:$X,2+$G20,0))+IF(CC$4="X",VLOOKUP(CC$10,'VK-Võrgud'!$C:$X,2+$F20,0)))/16</f>
        <v>0</v>
      </c>
      <c r="CD20" s="209"/>
      <c r="CE20" s="209">
        <f>(IF(CE$7="X",VLOOKUP(CE$10,'VK-Hooned-Soojus'!$C:$X,2+$C20,FALSE),0)+IF(CE$6="X",VLOOKUP(CE$10,'VK-Transport'!$C:$X,2+$B20,0))+IF(CE$8="X",VLOOKUP(CE$10,'VK-Elekter'!$C:$X,2+$D20,0))+IF(CE$9="X",VLOOKUP(CE$10,'VK-Biokütused'!$C:$U,2+$E20,0))+IF(CE$5="X",VLOOKUP(CE$10,'VK-Põlevkivi'!$C:$X,2+$G20,0))+IF(CE$4="X",VLOOKUP(CE$10,'VK-Võrgud'!$C:$X,2+$F20,0)))/16</f>
        <v>24.15625</v>
      </c>
      <c r="CF20" s="209"/>
      <c r="CG20" s="209">
        <f>(IF(CG$7="X",VLOOKUP(CG$10,'VK-Hooned-Soojus'!$C:$X,2+$C20,FALSE),0)+IF(CG$6="X",VLOOKUP(CG$10,'VK-Transport'!$C:$X,2+$B20,0))+IF(CG$8="X",VLOOKUP(CG$10,'VK-Elekter'!$C:$X,2+$D20,0))+IF(CG$9="X",VLOOKUP(CG$10,'VK-Biokütused'!$C:$U,2+$E20,0))+IF(CG$5="X",VLOOKUP(CG$10,'VK-Põlevkivi'!$C:$X,2+$G20,0))+IF(CG$4="X",VLOOKUP(CG$10,'VK-Võrgud'!$C:$X,2+$F20,0)))/16</f>
        <v>0</v>
      </c>
      <c r="CH20" s="209">
        <f>(IF(CH$7="X",VLOOKUP(CH$10,'VK-Hooned-Soojus'!$C:$X,2+$C20,FALSE),0)+IF(CH$6="X",VLOOKUP(CH$10,'VK-Transport'!$C:$X,2+$B20,0))+IF(CH$8="X",VLOOKUP(CH$10,'VK-Elekter'!$C:$X,2+$D20,0))+IF(CH$9="X",VLOOKUP(CH$10,'VK-Biokütused'!$C:$U,2+$E20,0))+IF(CH$5="X",VLOOKUP(CH$10,'VK-Põlevkivi'!$C:$X,2+$G20,0))+IF(CH$4="X",VLOOKUP(CH$10,'VK-Võrgud'!$C:$X,2+$F20,0)))/20*0.21</f>
        <v>5.6122500000000004</v>
      </c>
      <c r="CI20" s="209"/>
      <c r="CJ20" s="209">
        <f>(IF(CJ$7="X",VLOOKUP(CJ$10,'VK-Hooned-Soojus'!$C:$X,2+$C20,FALSE),0)+IF(CJ$6="X",VLOOKUP(CJ$10,'VK-Transport'!$C:$X,2+$B20,0))+IF(CJ$8="X",VLOOKUP(CJ$10,'VK-Elekter'!$C:$X,2+$D20,0))+IF(CJ$9="X",VLOOKUP(CJ$10,'VK-Biokütused'!$C:$U,2+$E20,0))+IF(CJ$5="X",VLOOKUP(CJ$10,'VK-Põlevkivi'!$C:$X,2+$G20,0))+IF(CJ$4="X",VLOOKUP(CJ$10,'VK-Võrgud'!$C:$X,2+$F20,0)))/1000</f>
        <v>19.777721793242819</v>
      </c>
      <c r="CK20" s="209">
        <f>(IF(CK$7="X",VLOOKUP(CK$10,'VK-Hooned-Soojus'!$C:$X,2+$C20,FALSE),0)+IF(CK$6="X",VLOOKUP(CK$10,'VK-Transport'!$C:$X,2+$B20,0))+IF(CK$8="X",VLOOKUP(CK$10,'VK-Elekter'!$C:$X,2+$D20,0))+IF(CK$9="X",VLOOKUP(CK$10,'VK-Biokütused'!$C:$U,2+$E20,0))+IF(CK$5="X",VLOOKUP(CK$10,'VK-Põlevkivi'!$C:$X,2+$G20,0))+IF(CK$4="X",VLOOKUP(CK$10,'VK-Võrgud'!$C:$X,2+$F20,0)))/1000</f>
        <v>7.5937453871512233</v>
      </c>
      <c r="CL20" s="235">
        <f>(IF(CL$7="X",VLOOKUP(CL$10,'VK-Hooned-Soojus'!$C:$X,2+$C20,FALSE),0)+IF(CL$6="X",VLOOKUP(CL$10,'VK-Transport'!$C:$X,2+$B20,0))+IF(CL$8="X",VLOOKUP(CL$10,'VK-Elekter'!$C:$X,2+$D20,0))+IF(CL$9="X",VLOOKUP(CL$10,'VK-Biokütused'!$C:$U,2+$E20,0)))/1000</f>
        <v>5.889000509401181</v>
      </c>
      <c r="CM20" s="209">
        <f>(IF(CM$7="X",VLOOKUP(CM$10,'VK-Hooned-Soojus'!$C:$X,2+$C20,FALSE),0)+IF(CM$6="X",VLOOKUP(CM$10,'VK-Transport'!$C:$X,2+$B20,0))+IF(CM$8="X",VLOOKUP(CM$10,'VK-Elekter'!$C:$X,2+$D20,0))+IF(CM$9="X",VLOOKUP(CM$10,'VK-Biokütused'!$C:$U,2+$E20,0))+IF(CM$5="X",VLOOKUP(CM$10,'VK-Põlevkivi'!$C:$X,2+$G20,0))+IF(CM$4="X",VLOOKUP(CM$10,'VK-Võrgud'!$C:$X,2+$F20,0)))/1000</f>
        <v>8.5978313570900955</v>
      </c>
      <c r="CN20" s="209">
        <f>(IF(CN$7="X",VLOOKUP(CN$10,'VK-Hooned-Soojus'!$C:$X,2+$C20,FALSE),0)+IF(CN$6="X",VLOOKUP(CN$10,'VK-Transport'!$C:$X,2+$B20,0))+IF(CN$8="X",VLOOKUP(CN$10,'VK-Elekter'!$C:$X,2+$D20,0))+IF(CN$9="X",VLOOKUP(CN$10,'VK-Biokütused'!$C:$U,2+$E20,0))+IF(CN$5="X",VLOOKUP(CN$10,'VK-Põlevkivi'!$C:$X,2+$G20,0))+IF(CN$4="X",VLOOKUP(CN$10,'VK-Võrgud'!$C:$X,2+$F20,0)))/1000</f>
        <v>3.0259999999999998</v>
      </c>
      <c r="CO20" s="209">
        <f>(IF(CO$7="X",VLOOKUP(CO$10,'VK-Hooned-Soojus'!$C:$X,2+$C20,FALSE),0)+IF(CO$6="X",VLOOKUP(CO$10,'VK-Transport'!$C:$X,2+$B20,0))+IF(CO$8="X",VLOOKUP(CO$10,'VK-Elekter'!$C:$X,2+$D20,0))+IF(CO$9="X",VLOOKUP(CO$10,'VK-Biokütused'!$C:$U,2+$E20,0))+IF(CO$5="X",VLOOKUP(CO$10,'VK-Põlevkivi'!$C:$X,2+$G20,0))+IF(CO$4="X",VLOOKUP(CO$10,'VK-Võrgud'!$C:$X,2+$F20,0)))/1000</f>
        <v>24.441649773285455</v>
      </c>
      <c r="CP20" s="209">
        <f>(IF(CP$7="X",VLOOKUP(CP$10,'VK-Hooned-Soojus'!$C:$X,2+$C20,FALSE),0)+IF(CP$6="X",VLOOKUP(CP$10,'VK-Transport'!$C:$X,2+$B20,0))+IF(CP$8="X",VLOOKUP(CP$10,'VK-Elekter'!$C:$X,2+$D20,0))+IF(CP$9="X",VLOOKUP(CP$10,'VK-Biokütused'!$C:$U,2+$E20,0))+IF(CP$5="X",VLOOKUP(CP$10,'VK-Põlevkivi'!$C:$X,2+$G20,0))+IF(CP$4="X",VLOOKUP(CP$10,'VK-Võrgud'!$C:$X,2+$F20,0)))/1000</f>
        <v>7.0419485842956133</v>
      </c>
      <c r="CQ20" s="235">
        <f>(IF(CQ$7="X",VLOOKUP(CQ$10,'VK-Hooned-Soojus'!$C:$X,2+$C20,FALSE),0)+IF(CQ$6="X",VLOOKUP(CQ$10,'VK-Transport'!$C:$X,2+$B20,0))+IF(CQ$8="X",VLOOKUP(CQ$10,'VK-Elekter'!$C:$X,2+$D20,0))+IF(CQ$9="X",VLOOKUP(CQ$10,'VK-Biokütused'!$C:$U,2+$E20,0)))/1000</f>
        <v>5.6139070000000002</v>
      </c>
      <c r="CR20" s="209">
        <f>(IF(CR$7="X",VLOOKUP(CR$10,'VK-Hooned-Soojus'!$C:$X,2+$C20,FALSE),0)+IF(CR$6="X",VLOOKUP(CR$10,'VK-Transport'!$C:$X,2+$B20,0))+IF(CR$8="X",VLOOKUP(CR$10,'VK-Elekter'!$C:$X,2+$D20,0))+IF(CR$9="X",VLOOKUP(CR$10,'VK-Biokütused'!$C:$U,2+$E20,0))+IF(CR$5="X",VLOOKUP(CR$10,'VK-Põlevkivi'!$C:$X,2+$G20,0))+IF(CR$4="X",VLOOKUP(CR$10,'VK-Võrgud'!$C:$X,2+$F20,0)))/1000</f>
        <v>8.1057533562748034</v>
      </c>
      <c r="CS20" s="209">
        <f>(IF(CS$7="X",VLOOKUP(CS$10,'VK-Hooned-Soojus'!$C:$X,2+$C20,FALSE),0)+IF(CS$6="X",VLOOKUP(CS$10,'VK-Transport'!$C:$X,2+$B20,0))+IF(CS$8="X",VLOOKUP(CS$10,'VK-Elekter'!$C:$X,2+$D20,0))+IF(CS$9="X",VLOOKUP(CS$10,'VK-Biokütused'!$C:$U,2+$E20,0))+IF(CS$5="X",VLOOKUP(CS$10,'VK-Põlevkivi'!$C:$X,2+$G20,0))+IF(CS$4="X",VLOOKUP(CS$10,'VK-Võrgud'!$C:$X,2+$F20,0)))/1000</f>
        <v>3.9861524051216151</v>
      </c>
      <c r="CT20" s="209">
        <f>IF(CT$7="X",VLOOKUP(CT$10,'VK-Hooned-Soojus'!$C:$X,2+$C20,FALSE),0)+IF(CT$6="X",VLOOKUP(CT$10,'VK-Transport'!$C:$X,2+$B20,0))+IF(CT$8="X",VLOOKUP(CT$10,'VK-Elekter'!$C:$X,2+$D20,0))+IF(CT$9="X",VLOOKUP(CT$10,'VK-Biokütused'!$C:$U,2+$E20,0))+IF(CT$5="X",VLOOKUP(CT$10,'VK-Põlevkivi'!$C:$X,2+$G20,0))+IF(CT$4="X",VLOOKUP(CT$10,'VK-Võrgud'!$C:$X,2+$F20,0))</f>
        <v>90</v>
      </c>
      <c r="CU20" s="209">
        <f>IF(CU$7="X",VLOOKUP(CU$10,'VK-Hooned-Soojus'!$C:$X,2+$C20,FALSE),0)+IF(CU$6="X",VLOOKUP(CU$10,'VK-Transport'!$C:$X,2+$B20,0))+IF(CU$8="X",VLOOKUP(CU$10,'VK-Elekter'!$C:$X,2+$D20,0))+IF(CU$9="X",VLOOKUP(CU$10,'VK-Biokütused'!$C:$U,2+$E20,0))+IF(CU$5="X",VLOOKUP(CU$10,'VK-Põlevkivi'!$C:$X,2+$G20,0))+IF(CU$4="X",VLOOKUP(CU$10,'VK-Võrgud'!$C:$X,2+$F20,0))</f>
        <v>0.63390170511534605</v>
      </c>
      <c r="CV20" s="209">
        <f t="shared" si="1"/>
        <v>1</v>
      </c>
      <c r="CW20" s="209">
        <f>(IF(CW$7="X",VLOOKUP(CW$10,'VK-Hooned-Soojus'!$C:$X,2+$C20,FALSE),0)+IF(CW$6="X",VLOOKUP(CW$10,'VK-Transport'!$C:$X,2+$B20,0))+IF(CW$8="X",VLOOKUP(CW$10,'VK-Elekter'!$C:$X,2+$D20,0))+IF(CW$9="X",VLOOKUP(CW$10,'VK-Biokütused'!$C:$U,2+$E20,0))+IF(CW$5="X",VLOOKUP(CW$10,'VK-Põlevkivi'!$C:$X,2+$G20,0))+IF(CW$4="X",VLOOKUP(CW$10,'VK-Võrgud'!$C:$X,2+$F20,0)))/16</f>
        <v>0</v>
      </c>
      <c r="CY20" s="209">
        <f>(IF(CY$7="X",VLOOKUP(CY$10,'VK-Hooned-Soojus'!$C:$X,2+$C20,FALSE),0)+IF(CY$6="X",VLOOKUP(CY$10,'VK-Transport'!$C:$X,2+$B20,0))+IF(CY$8="X",VLOOKUP(CY$10,'VK-Elekter'!$C:$X,2+$D20,0))+IF(CY$9="X",VLOOKUP(CY$10,'VK-Biokütused'!$C:$U,2+$E20,0))+IF(CY$5="X",VLOOKUP(CY$10,'VK-Põlevkivi'!$C:$X,2+$G20,0))+IF(CY$4="X",VLOOKUP(CY$10,'VK-Võrgud'!$C:$X,2+$F20,0)))/1000</f>
        <v>10.948</v>
      </c>
      <c r="CZ20" s="209">
        <f>(IF(CZ$7="X",VLOOKUP(CZ$10,'VK-Hooned-Soojus'!$C:$X,2+$C20,FALSE),0)+IF(CZ$6="X",VLOOKUP(CZ$10,'VK-Transport'!$C:$X,2+$B20,0))+IF(CZ$8="X",VLOOKUP(CZ$10,'VK-Elekter'!$C:$X,2+$D20,0))+IF(CZ$9="X",VLOOKUP(CZ$10,'VK-Biokütused'!$C:$U,2+$E20,0))+IF(CZ$5="X",VLOOKUP(CZ$10,'VK-Põlevkivi'!$C:$X,2+$G20,0))+IF(CZ$4="X",VLOOKUP(CZ$10,'VK-Võrgud'!$C:$X,2+$F20,0)))</f>
        <v>87</v>
      </c>
      <c r="DA20" s="209">
        <f>(IF(DA$7="X",VLOOKUP(DA$10,'VK-Hooned-Soojus'!$C:$X,2+$C20,FALSE),0)+IF(DA$6="X",VLOOKUP(DA$10,'VK-Transport'!$C:$X,2+$B20,0))+IF(DA$8="X",VLOOKUP(DA$10,'VK-Elekter'!$C:$X,2+$D20,0))+IF(DA$9="X",VLOOKUP(DA$10,'VK-Biokütused'!$C:$U,2+$E20,0))+IF(DA$5="X",VLOOKUP(DA$10,'VK-Põlevkivi'!$C:$X,2+$G20,0))+IF(DA$4="X",VLOOKUP(DA$10,'VK-Võrgud'!$C:$X,2+$F20,0)))/1000</f>
        <v>11.27</v>
      </c>
      <c r="DB20" s="209">
        <f>(IF(DB$7="X",VLOOKUP(DB$10,'VK-Hooned-Soojus'!$C:$X,2+$C20,FALSE),0)+IF(DB$6="X",VLOOKUP(DB$10,'VK-Transport'!$C:$X,2+$B20,0))+IF(DB$8="X",VLOOKUP(DB$10,'VK-Elekter'!$C:$X,2+$D20,0))+IF(DB$9="X",VLOOKUP(DB$10,'VK-Biokütused'!$C:$U,2+$E20,0))+IF(DB$5="X",VLOOKUP(DB$10,'VK-Põlevkivi'!$C:$X,2+$G20,0))+IF(DB$4="X",VLOOKUP(DB$10,'VK-Võrgud'!$C:$X,2+$F20,0)))/1000/3.6</f>
        <v>45.660833333333329</v>
      </c>
      <c r="DC20" s="209">
        <f>(IF(DC$7="X",VLOOKUP(DC$10,'VK-Hooned-Soojus'!$C:$X,2+$C20,FALSE),0)+IF(DC$6="X",VLOOKUP(DC$10,'VK-Transport'!$C:$X,2+$B20,0))+IF(DC$8="X",VLOOKUP(DC$10,'VK-Elekter'!$C:$X,2+$D20,0))+IF(DC$9="X",VLOOKUP(DC$10,'VK-Biokütused'!$C:$U,2+$E20,0))+IF(DC$5="X",VLOOKUP(DC$10,'VK-Põlevkivi'!$C:$X,2+$G20,0))+IF(DC$4="X",VLOOKUP(DC$10,'VK-Võrgud'!$C:$X,2+$F20,0)))/1000000</f>
        <v>4.5513789999999998</v>
      </c>
      <c r="DD20" s="209"/>
      <c r="DE20" s="88">
        <f>VLOOKUP(Tulemused!$BN$12,data!M$7:N$12,2,FALSE)-SUM(L20,M20)</f>
        <v>-3.4066444444444528</v>
      </c>
      <c r="DF20" s="209" t="str">
        <f>IF(AZ20&lt;=VLOOKUP(Tulemused!$BN$15,data!$E$36:$F$39,2,FALSE),"JAH","EI")</f>
        <v>JAH</v>
      </c>
      <c r="DG20" s="209"/>
      <c r="DH20" s="209">
        <f t="shared" si="2"/>
        <v>11.370000000000001</v>
      </c>
      <c r="DI20" s="231" t="str">
        <f t="shared" si="17"/>
        <v>EI</v>
      </c>
      <c r="DK20" s="232">
        <f t="shared" si="3"/>
        <v>-995.3679543527885</v>
      </c>
      <c r="DM20" s="233">
        <f t="shared" si="4"/>
        <v>7.2247501993602317</v>
      </c>
      <c r="DN20" s="87">
        <f t="array" ref="DN20">INDEX($A$11:$A$145, SMALL(IF(DM20=$DK$11:$DK$145, MATCH(ROW($DK$11:$DK$145), ROW($DK$11:$DK$145))), SUM(--(DM20=$DM$11:DM20))))</f>
        <v>133</v>
      </c>
      <c r="DP20" s="87" t="e">
        <f t="shared" ca="1" si="18"/>
        <v>#N/A</v>
      </c>
      <c r="DQ20" s="87" t="e">
        <f t="shared" ca="1" si="19"/>
        <v>#N/A</v>
      </c>
      <c r="DR20" s="87">
        <f t="shared" ca="1" si="20"/>
        <v>0</v>
      </c>
      <c r="DS20" s="87" t="e">
        <f t="shared" ca="1" si="21"/>
        <v>#N/A</v>
      </c>
      <c r="DT20" s="87">
        <f t="shared" ca="1" si="22"/>
        <v>0</v>
      </c>
      <c r="DU20" s="87" t="e">
        <f t="shared" ca="1" si="23"/>
        <v>#N/A</v>
      </c>
      <c r="DV20" s="87" t="e">
        <f t="shared" ca="1" si="24"/>
        <v>#N/A</v>
      </c>
      <c r="DW20" s="87">
        <f t="shared" ca="1" si="25"/>
        <v>0</v>
      </c>
      <c r="DX20" s="87">
        <f t="shared" ca="1" si="26"/>
        <v>0</v>
      </c>
      <c r="DZ20" s="87">
        <f t="shared" ca="1" si="5"/>
        <v>0</v>
      </c>
      <c r="EB20" s="87">
        <f t="shared" ca="1" si="27"/>
        <v>0</v>
      </c>
      <c r="EC20" s="87" t="e">
        <f t="shared" ca="1" si="28"/>
        <v>#N/A</v>
      </c>
      <c r="EE20" s="228">
        <f>(IF(EE$7="X",VLOOKUP(EE$10,'VK-Hooned-Soojus'!$C:$X,2+$C20,FALSE),0)+IF(EE$6="X",VLOOKUP(EE$10,'VK-Transport'!$C:$X,2+$B20,0))+IF(EE$8="X",VLOOKUP(EE$10,'VK-Elekter'!$C:$X,2+$D20,0))+IF(EE$9="X",VLOOKUP(EE$10,'VK-Biokütused'!$C:$U,2+$E20,0))+IF(EE$5="X",VLOOKUP(EE$10,'VK-Põlevkivi'!$C:$X,2+$G20,0))+IF(EE$4="X",VLOOKUP(EE$10,'VK-Võrgud'!$C:$X,2+$F20,0)))</f>
        <v>1504.4877493814997</v>
      </c>
      <c r="EF20" s="235">
        <f>(IF(EF$7="X",VLOOKUP(EF$10,'VK-Hooned-Soojus'!$C:$X,2+$C20,FALSE),0)+IF(EF$6="X",VLOOKUP(EF$10,'VK-Transport'!$C:$X,2+$B20,0))+IF(EF$8="X",VLOOKUP(EF$10,'VK-Elekter'!$C:$X,2+$D20,0))+IF(EF$9="X",VLOOKUP(EF$10,'VK-Biokütused'!$C:$U,2+$E20,0)))/1000</f>
        <v>4.9526368215830612</v>
      </c>
      <c r="EG20" s="209">
        <f>(IF(EG$7="X",VLOOKUP(EG$10,'VK-Hooned-Soojus'!$C:$X,2+$C20,FALSE),0)+IF(EG$6="X",VLOOKUP(EG$10,'VK-Transport'!$C:$X,2+$B20,0))+IF(EG$8="X",VLOOKUP(EG$10,'VK-Elekter'!$C:$X,2+$D20,0))+IF(EG$9="X",VLOOKUP(EG$10,'VK-Biokütused'!$C:$U,2+$E20,0))+IF(EG$5="X",VLOOKUP(EG$10,'VK-Põlevkivi'!$C:$X,2+$G20,0))+IF(EG$4="X",VLOOKUP(EG$10,'VK-Võrgud'!$C:$X,2+$F20,0)))</f>
        <v>0.81</v>
      </c>
      <c r="EH20" s="209">
        <f>(IF(EH$7="X",VLOOKUP(EH$10,'VK-Hooned-Soojus'!$C:$X,2+$C20,FALSE),0)+IF(EH$6="X",VLOOKUP(EH$10,'VK-Transport'!$C:$X,2+$B20,0))+IF(EH$8="X",VLOOKUP(EH$10,'VK-Elekter'!$C:$X,2+$D20,0))+IF(EH$9="X",VLOOKUP(EH$10,'VK-Biokütused'!$C:$U,2+$E20,0)))+AR20+AS20+AU20+AX20</f>
        <v>47.328055555555551</v>
      </c>
      <c r="EI20" s="320">
        <f t="shared" si="6"/>
        <v>47.328055555555551</v>
      </c>
      <c r="EJ20" s="322">
        <f t="shared" si="7"/>
        <v>2.0156356925118721E-2</v>
      </c>
      <c r="EK20" s="323">
        <f t="shared" si="29"/>
        <v>0.44604055426563427</v>
      </c>
      <c r="EM20" s="209"/>
      <c r="EN20" s="209">
        <f t="shared" ca="1" si="8"/>
        <v>0</v>
      </c>
      <c r="EO20" s="209"/>
      <c r="EP20" s="234"/>
      <c r="EQ20" s="209">
        <f>(IF(EQ$7="X",VLOOKUP(EQ$10,'VK-Hooned-Soojus'!$C:$X,2+$C20,FALSE),0)+IF(EQ$6="X",VLOOKUP(EQ$10,'VK-Transport'!$C:$X,2+$B20,0))+IF(EQ$8="X",VLOOKUP(EQ$10,'VK-Elekter'!$C:$X,2+$D20,0))+IF(EQ$9="X",VLOOKUP(EQ$10,'VK-Biokütused'!$C:$U,2+$E20,0))+IF(EQ$5="X",VLOOKUP(EQ$10,'VK-Põlevkivi'!$C:$X,2+$G20,0))+IF(EQ$4="X",VLOOKUP(EQ$10,'VK-Võrgud'!$C:$X,2+$F20,0)))/1000</f>
        <v>0.22900000000000001</v>
      </c>
      <c r="ER20" s="209">
        <f>(IF(ER$7="X",VLOOKUP(ER$10,'VK-Hooned-Soojus'!$C:$X,2+$C20,FALSE),0)+IF(ER$6="X",VLOOKUP(ER$10,'VK-Transport'!$C:$X,2+$B20,0))+IF(ER$8="X",VLOOKUP(ER$10,'VK-Elekter'!$C:$X,2+$D20,0))+IF(ER$9="X",VLOOKUP(ER$10,'VK-Biokütused'!$C:$U,2+$E20,0))+IF(ER$5="X",VLOOKUP(ER$10,'VK-Põlevkivi'!$C:$X,2+$G20,0))+IF(ER$4="X",VLOOKUP(ER$10,'VK-Võrgud'!$C:$X,2+$F20,0)))</f>
        <v>0.82899999999999996</v>
      </c>
      <c r="ES20" s="209">
        <f>(IF(ES$7="X",VLOOKUP(ES$10,'VK-Hooned-Soojus'!$C:$X,2+$C20,FALSE),0)+IF(ES$6="X",VLOOKUP(ES$10,'VK-Transport'!$C:$X,2+$B20,0))+IF(ES$8="X",VLOOKUP(ES$10,'VK-Elekter'!$C:$X,2+$D20,0))+IF(ES$9="X",VLOOKUP(ES$10,'VK-Biokütused'!$C:$U,2+$E20,0))+IF(ES$5="X",VLOOKUP(ES$10,'VK-Põlevkivi'!$C:$X,2+$G20,0))+IF(ES$4="X",VLOOKUP(ES$10,'VK-Võrgud'!$C:$X,2+$F20,0)))</f>
        <v>11.370000000000001</v>
      </c>
      <c r="ET20" s="209"/>
      <c r="EU20" s="209"/>
      <c r="EV20" s="87">
        <f>'KSH järjestus'!AS13</f>
        <v>2093</v>
      </c>
      <c r="EX20" s="236"/>
      <c r="EY20" s="236"/>
      <c r="EZ20" s="237">
        <f t="shared" si="9"/>
        <v>0.36609829488465395</v>
      </c>
      <c r="FA20" s="209">
        <f>IF(FA$7="X",VLOOKUP(FA$10,'VK-Hooned-Soojus'!$C:$X,2+$C20,FALSE),0)+IF(FA$6="X",VLOOKUP(FA$10,'VK-Transport'!$C:$X,2+$B20,0))+IF(FA$8="X",VLOOKUP(FA$10,'VK-Elekter'!$C:$X,2+$D20,0))+IF(FA$9="X",VLOOKUP(FA$10,'VK-Biokütused'!$C:$U,2+$E20,0))+IF(FA$5="X",VLOOKUP(FA$10,'VK-Põlevkivi'!$C:$X,2+$G20,0))+IF(FA$4="X",VLOOKUP(FA$10,'VK-Võrgud'!$C:$X,2+$F20,0))</f>
        <v>3481.9070000000002</v>
      </c>
      <c r="FB20" s="279">
        <f>(IF(FB$7="X",VLOOKUP(FB$10,'VK-Hooned-Soojus'!$C:$X,2+$C20,FALSE),0)+IF(FB$6="X",VLOOKUP(FB$10,'VK-Transport'!$C:$X,2+$B20,0))+IF(FB$8="X",VLOOKUP(FB$10,'VK-Elekter'!$C:$X,2+$D20,0))+IF(FB$9="X",VLOOKUP(FB$10,'VK-Biokütused'!$C:$U,2+$E20,0))+IF(FB$5="X",VLOOKUP(FB$10,'VK-Põlevkivi'!$C:$X,2+$G20,0))+IF(FB$4="X",VLOOKUP(FB$10,'VK-Võrgud'!$C:$X,2+$F20,0)))/16</f>
        <v>65.994663566135756</v>
      </c>
      <c r="FC20" s="209">
        <f>IF(FC$7="X",VLOOKUP(FC$10,'VK-Hooned-Soojus'!$C:$X,2+$C20,FALSE),0)+IF(FC$6="X",VLOOKUP(FC$10,'VK-Transport'!$C:$X,2+$B20,0))+IF(FC$8="X",VLOOKUP(FC$10,'VK-Elekter'!$C:$X,2+$D20,0))+IF(FC$9="X",VLOOKUP(FC$10,'VK-Biokütused'!$C:$U,2+$E20,0))+IF(FC$5="X",VLOOKUP(FC$10,'VK-Põlevkivi'!$C:$X,2+$G20,0))+IF(FC$4="X",VLOOKUP(FC$10,'VK-Võrgud'!$C:$X,2+$F20,0))</f>
        <v>339.7</v>
      </c>
      <c r="FD20" s="209">
        <f>(IF(FD$7="X",VLOOKUP(FD$10,'VK-Hooned-Soojus'!$C:$X,2+$C20,FALSE),0)+IF(FD$6="X",VLOOKUP(FD$10,'VK-Transport'!$C:$X,2+$B20,0))+IF(FD$8="X",VLOOKUP(FD$10,'VK-Elekter'!$C:$X,2+$D20,0))+IF(FD$9="X",VLOOKUP(FD$10,'VK-Biokütused'!$C:$U,2+$E20,0))+IF(FD$5="X",VLOOKUP(FD$10,'VK-Põlevkivi'!$C:$X,2+$G20,0))+IF(FD$4="X",VLOOKUP(FD$10,'VK-Võrgud'!$C:$X,2+$F20,0)))/16</f>
        <v>65.994663566135756</v>
      </c>
      <c r="FE20" s="209">
        <f>(IF(FE$7="X",VLOOKUP(FE$10,'VK-Hooned-Soojus'!$C:$X,2+$C20,FALSE),0)+IF(FE$6="X",VLOOKUP(FE$10,'VK-Transport'!$C:$X,2+$B20,0))+IF(FE$8="X",VLOOKUP(FE$10,'VK-Elekter'!$C:$X,2+$D20,0))+IF(FE$9="X",VLOOKUP(FE$10,'VK-Biokütused'!$C:$U,2+$E20,0))+IF(FE$5="X",VLOOKUP(FE$10,'VK-Põlevkivi'!$C:$X,2+$G20,0))+IF(FE$4="X",VLOOKUP(FE$10,'VK-Võrgud'!$C:$X,2+$F20,0)))/16</f>
        <v>0</v>
      </c>
      <c r="FF20" s="209">
        <f>(IF(FF$7="X",VLOOKUP(FF$10,'VK-Hooned-Soojus'!$C:$X,2+$C20,FALSE),0)+IF(FF$6="X",VLOOKUP(FF$10,'VK-Transport'!$C:$X,2+$B20,0))+IF(FF$8="X",VLOOKUP(FF$10,'VK-Elekter'!$C:$X,2+$D20,0))+IF(FF$9="X",VLOOKUP(FF$10,'VK-Biokütused'!$C:$U,2+$E20,0))+IF(FF$5="X",VLOOKUP(FF$10,'VK-Põlevkivi'!$C:$X,2+$G20,0))+IF(FF$4="X",VLOOKUP(FF$10,'VK-Võrgud'!$C:$X,2+$F20,0)))/16</f>
        <v>26.940405179899347</v>
      </c>
      <c r="FG20" s="88">
        <f t="shared" ca="1" si="30"/>
        <v>26.940405179899347</v>
      </c>
      <c r="FH20" s="88"/>
      <c r="FI20" s="88"/>
      <c r="FJ20" s="88">
        <f>VLOOKUP(Tulemused!$BN$12,data!M$7:N$12,2,FALSE)-SUM(L20,M20)</f>
        <v>-3.4066444444444528</v>
      </c>
      <c r="FK20" s="209" t="str">
        <f>IF(AZ20&lt;=VLOOKUP(Tulemused!$BN$15,data!$E$36:$F$39,2,FALSE),"JAH","EI")</f>
        <v>JAH</v>
      </c>
      <c r="FL20" s="235">
        <f ca="1">IF(ISNA(MATCH($A20,INDIRECT(VLOOKUP(Tulemused!$BF$11,data!$J$57:$M$71,4,FALSE)))),0,MATCH($A20,INDIRECT(VLOOKUP(Tulemused!$BF$11,data!$J$57:$M$71,4,FALSE))))</f>
        <v>0</v>
      </c>
      <c r="FM20" s="235" t="str">
        <f t="shared" ca="1" si="10"/>
        <v>JAH</v>
      </c>
      <c r="FN20" s="209">
        <f>VLOOKUP(Tulemused!$BN$13,data!$C$132:$D$137,2,FALSE)-KOMBI!R20</f>
        <v>2.9433331784169403</v>
      </c>
      <c r="FO20" s="209"/>
      <c r="FP20" s="209">
        <f>VLOOKUP(Tulemused!$BN$17,NO_x,2,FALSE)-CJ20</f>
        <v>9.6602782067571802</v>
      </c>
      <c r="FQ20" s="209">
        <f>VLOOKUP(Tulemused!$BN$18,SO_2,2,FALSE)-CK20</f>
        <v>44.290254612848777</v>
      </c>
      <c r="FR20" s="209">
        <f>VLOOKUP(Tulemused!$BN$19,LOU,2,FALSE)-CN20</f>
        <v>34.054000000000002</v>
      </c>
      <c r="FS20" s="209">
        <f>VLOOKUP(Tulemused!$BN$20,PM_2.5,2,FALSE)-CM20</f>
        <v>8.3171686429099037</v>
      </c>
      <c r="FT20" s="209">
        <f>VLOOKUP(Tulemused!$BN$13,data!$C$132:$D$137,2,FALSE)-FA20/1000</f>
        <v>2.7640630000000006</v>
      </c>
      <c r="FU20" s="209">
        <f>VLOOKUP(Tulemused!$BN$17,NO_x,2,FALSE)-CO20</f>
        <v>4.9963502267145437</v>
      </c>
      <c r="FV20" s="209">
        <f>VLOOKUP(Tulemused!$BN$18,SO_2,2,FALSE)-CP20</f>
        <v>44.84205141570439</v>
      </c>
      <c r="FW20" s="209">
        <f>VLOOKUP(Tulemused!$BN$19,LOU,2,FALSE)-CS20</f>
        <v>33.09384759487839</v>
      </c>
      <c r="FX20" s="209">
        <f>VLOOKUP(Tulemused!$BN$20,PM_2.5,2,FALSE)-CR20</f>
        <v>8.8092466437251957</v>
      </c>
      <c r="FY20" s="209">
        <f>VLOOKUP(Tulemused!$BN$14,KHG_2050,2,FALSE)-EF20</f>
        <v>95.047363178416944</v>
      </c>
      <c r="FZ20" s="231" t="str">
        <f t="shared" ca="1" si="31"/>
        <v>EI</v>
      </c>
      <c r="GA20" s="209"/>
      <c r="GB20" s="209"/>
      <c r="GC20" s="209"/>
      <c r="GD20" s="231"/>
      <c r="GE20" s="87">
        <f t="shared" si="11"/>
        <v>2093</v>
      </c>
      <c r="GF20" s="232" t="str">
        <f t="shared" ca="1" si="32"/>
        <v/>
      </c>
      <c r="GH20" s="238">
        <f t="shared" ca="1" si="12"/>
        <v>714</v>
      </c>
      <c r="GI20" s="87">
        <f t="array" aca="1" ref="GI20" ca="1">INDEX($A$11:$A$145, SMALL(IF(GH20=$GF$11:$GF$145, MATCH(ROW($GF$11:$GF$145), ROW($GF$11:$GF$145))), SUM(--(GH20=$GH$11:GH20))))</f>
        <v>130</v>
      </c>
      <c r="GM20" s="209">
        <f>IF(GM$7="X",VLOOKUP(GM$10,'VK-Hooned-Soojus'!$C:$X,2+$C20,FALSE),0)+IF(GM$6="X",VLOOKUP(GM$10,'VK-Transport'!$C:$X,2+$B20,0))+IF(GM$8="X",VLOOKUP(GM$10,'VK-Elekter'!$C:$X,2+$D20,0))+IF(GM$9="X",VLOOKUP(GM$10,'VK-Biokütused'!$C:$U,2+$E20,0))+IF(GM$5="X",VLOOKUP(GM$10,'VK-Põlevkivi'!$C:$X,2+$G20,0))+IF(GM$4="X",VLOOKUP(GM$10,'VK-Võrgud'!$C:$X,2+$F20,0))</f>
        <v>0</v>
      </c>
      <c r="GN20" s="209">
        <f>IF(GN$7="X",VLOOKUP(GN$10,'VK-Hooned-Soojus'!$C:$X,2+$C20,FALSE),0)+IF(GN$6="X",VLOOKUP(GN$10,'VK-Transport'!$C:$X,2+$B20,0))+IF(GN$8="X",VLOOKUP(GN$10,'VK-Elekter'!$C:$X,2+$D20,0))+IF(GN$9="X",VLOOKUP(GN$10,'VK-Biokütused'!$C:$U,2+$E20,0))+IF(GN$5="X",VLOOKUP(GN$10,'VK-Põlevkivi'!$C:$X,2+$G20,0))+IF(GN$4="X",VLOOKUP(GN$10,'VK-Võrgud'!$C:$X,2+$F20,0))</f>
        <v>7.5434676424145266</v>
      </c>
      <c r="GO20" s="209">
        <f>IF(GO$7="X",VLOOKUP(GO$10,'VK-Hooned-Soojus'!$C:$X,2+$C20,FALSE),0)+IF(GO$6="X",VLOOKUP(GO$10,'VK-Transport'!$C:$X,2+$B20,0))+IF(GO$8="X",VLOOKUP(GO$10,'VK-Elekter'!$C:$X,2+$D20,0))+IF(GO$9="X",VLOOKUP(GO$10,'VK-Biokütused'!$C:$U,2+$E20,0))+IF(GO$5="X",VLOOKUP(GO$10,'VK-Põlevkivi'!$C:$X,2+$G20,0))+IF(GO$4="X",VLOOKUP(GO$10,'VK-Võrgud'!$C:$X,2+$F20,0))</f>
        <v>8.7471755658278116</v>
      </c>
      <c r="GP20" s="209">
        <f>IF(GP$7="X",VLOOKUP(GP$10,'VK-Hooned-Soojus'!$C:$X,2+$C20,FALSE),0)+IF(GP$6="X",VLOOKUP(GP$10,'VK-Transport'!$C:$X,2+$B20,0))+IF(GP$8="X",VLOOKUP(GP$10,'VK-Elekter'!$C:$X,2+$D20,0))+IF(GP$9="X",VLOOKUP(GP$10,'VK-Biokütused'!$C:$U,2+$E20,0))+IF(GP$5="X",VLOOKUP(GP$10,'VK-Põlevkivi'!$C:$X,2+$G20,0))+IF(GP$4="X",VLOOKUP(GP$10,'VK-Võrgud'!$C:$X,2+$F20,0))</f>
        <v>9.3279335818485372</v>
      </c>
      <c r="GQ20" s="88">
        <f>IF(GQ$7="X",VLOOKUP(GQ$10,'VK-Hooned-Soojus'!$C:$X,2+$C20,FALSE),0)+IF(GQ$6="X",VLOOKUP(GQ$10,'VK-Transport'!$C:$X,2+$B20,0))+IF(GQ$8="X",VLOOKUP(GQ$10,'VK-Elekter'!$C:$X,2+$D20,0))+IF(GQ$9="X",VLOOKUP(GQ$10,'VK-Biokütused'!$C:$U,2+$E20,0))+IF(GQ$5="X",VLOOKUP(GQ$10,'VK-Põlevkivi'!$C:$X,2+$G20,0))+IF(GQ$4="X",VLOOKUP(GQ$10,'VK-Võrgud'!$C:$X,2+$F20,0))</f>
        <v>0.9682855968523334</v>
      </c>
      <c r="GR20" s="186">
        <f t="shared" si="33"/>
        <v>0.49227263537287047</v>
      </c>
    </row>
    <row r="21" spans="1:200" x14ac:dyDescent="0.2">
      <c r="A21" s="184">
        <v>11</v>
      </c>
      <c r="B21" s="87">
        <v>1</v>
      </c>
      <c r="C21" s="87">
        <v>1</v>
      </c>
      <c r="D21" s="87">
        <v>4</v>
      </c>
      <c r="E21" s="87">
        <v>2</v>
      </c>
      <c r="F21" s="87">
        <f>VLOOKUP(Tulemused!$BF$7,data!$J$6:$K$8,2,FALSE)</f>
        <v>2</v>
      </c>
      <c r="G21" s="87">
        <f>VLOOKUP(data!$H$2,data!$J$12:$K$14,2,FALSE)</f>
        <v>2</v>
      </c>
      <c r="I21" s="209">
        <f>IF(I$7="X",VLOOKUP(I$10,'VK-Hooned-Soojus'!$C:$X,2+$C21,FALSE),0)+IF(I$6="X",VLOOKUP(I$10,'VK-Transport'!$C:$X,2+$B21,0))+IF(I$8="X",VLOOKUP(I$10,'VK-Elekter'!$C:$X,2+$D21,0))+IF(I$9="X",VLOOKUP(I$10,'VK-Biokütused'!$C:$U,2+$E21,0))+IF(I$5="X",VLOOKUP(I$10,'VK-Põlevkivi'!$C:$X,2+$G21,0))+IF(I$4="X",VLOOKUP(I$10,'VK-Võrgud'!$C:$X,2+$F21,0))</f>
        <v>26.89</v>
      </c>
      <c r="J21" s="209">
        <f>IF(J$7="X",VLOOKUP(J$10,'VK-Hooned-Soojus'!$C:$X,2+$C21,FALSE),0)+IF(J$6="X",VLOOKUP(J$10,'VK-Transport'!$C:$X,2+$B21,0))+IF(J$8="X",VLOOKUP(J$10,'VK-Elekter'!$C:$X,2+$D21,0))+IF(J$9="X",VLOOKUP(J$10,'VK-Biokütused'!$C:$U,2+$E21,0))+IF(J$5="X",VLOOKUP(J$10,'VK-Põlevkivi'!$C:$X,2+$G21,0))+IF(J$4="X",VLOOKUP(J$10,'VK-Võrgud'!$C:$X,2+$F21,0))</f>
        <v>13.295833333333334</v>
      </c>
      <c r="K21" s="209">
        <f>IF(K$7="X",VLOOKUP(K$10,'VK-Hooned-Soojus'!$C:$X,2+$C21,FALSE),0)+IF(K$6="X",VLOOKUP(K$10,'VK-Transport'!$C:$X,2+$B21,0))+IF(K$8="X",VLOOKUP(K$10,'VK-Elekter'!$C:$X,2+$D21,0))+IF(K$9="X",VLOOKUP(K$10,'VK-Biokütused'!$C:$U,2+$E21,0))+IF(K$5="X",VLOOKUP(K$10,'VK-Põlevkivi'!$C:$X,2+$G21,0))+IF(K$4="X",VLOOKUP(K$10,'VK-Võrgud'!$C:$X,2+$F21,0))</f>
        <v>16.75</v>
      </c>
      <c r="L21" s="209">
        <f>IF(L$7="X",VLOOKUP(L$10,'VK-Hooned-Soojus'!$C:$X,2+$C21,FALSE),0)+IF(L$6="X",VLOOKUP(L$10,'VK-Transport'!$C:$X,2+$B21,0))+IF(L$8="X",VLOOKUP(L$10,'VK-Elekter'!$C:$X,2+$D21,0))+IF(L$9="X",VLOOKUP(L$10,'VK-Biokütused'!$C:$U,2+$E21,0))+IF(L$5="X",VLOOKUP(L$10,'VK-Põlevkivi'!$C:$X,2+$G21,0))+IF(L$4="X",VLOOKUP(L$10,'VK-Võrgud'!$C:$X,2+$F21,0))</f>
        <v>24.95</v>
      </c>
      <c r="M21" s="209">
        <f>IF(M$7="X",VLOOKUP(M$10,'VK-Hooned-Soojus'!$C:$X,2+$C21,FALSE),0)+IF(M$6="X",VLOOKUP(M$10,'VK-Transport'!$C:$X,2+$B21,0))+IF(M$8="X",VLOOKUP(M$10,'VK-Elekter'!$C:$X,2+$D21,0))+IF(M$9="X",VLOOKUP(M$10,'VK-Biokütused'!$C:$U,2+$E21,0))+IF(M$5="X",VLOOKUP(M$10,'VK-Põlevkivi'!$C:$X,2+$G21,0))+IF(M$4="X",VLOOKUP(M$10,'VK-Võrgud'!$C:$X,2+$F21,0))</f>
        <v>11.289444444444445</v>
      </c>
      <c r="N21" s="209">
        <f>IF(N$7="X",VLOOKUP(N$10,'VK-Hooned-Soojus'!$C:$X,2+$C21,FALSE),0)+IF(N$6="X",VLOOKUP(N$10,'VK-Transport'!$C:$X,2+$B21,0))+IF(N$8="X",VLOOKUP(N$10,'VK-Elekter'!$C:$X,2+$D21,0))+IF(N$9="X",VLOOKUP(N$10,'VK-Biokütused'!$C:$U,2+$E21,0))+IF(N$5="X",VLOOKUP(N$10,'VK-Põlevkivi'!$C:$X,2+$G21,0))+IF(N$4="X",VLOOKUP(N$10,'VK-Võrgud'!$C:$X,2+$F21,0))</f>
        <v>16.75</v>
      </c>
      <c r="O21" s="209">
        <f t="shared" si="13"/>
        <v>40.185833333333335</v>
      </c>
      <c r="P21" s="209"/>
      <c r="Q21" s="209">
        <f>(IF(Q$7="X",VLOOKUP(Q$10,'VK-Hooned-Soojus'!$C:$X,2+$C21,FALSE),0)+IF(Q$6="X",VLOOKUP(Q$10,'VK-Transport'!$C:$X,2+$B21,0))+IF(Q$8="X",VLOOKUP(Q$10,'VK-Elekter'!$C:$X,2+$D21,0))+IF(Q$9="X",VLOOKUP(Q$10,'VK-Biokütused'!$C:$U,2+$E21,0))+IF(Q$5="X",VLOOKUP(Q$10,'VK-Põlevkivi'!$C:$X,2+$G21,0))+IF(Q$4="X",VLOOKUP(Q$10,'VK-Võrgud'!$C:$X,2+$F21,0)))/1000</f>
        <v>1.6020000000000001</v>
      </c>
      <c r="R21" s="209">
        <f>(IF(R$7="X",VLOOKUP(R$10,'VK-Hooned-Soojus'!$C:$X,2+$C21,FALSE),0)+IF(R$6="X",VLOOKUP(R$10,'VK-Transport'!$C:$X,2+$B21,0))+IF(R$8="X",VLOOKUP(R$10,'VK-Elekter'!$C:$X,2+$D21,0))+IF(R$9="X",VLOOKUP(R$10,'VK-Biokütused'!$C:$U,2+$E21,0))+IF(R$5="X",VLOOKUP(R$10,'VK-Põlevkivi'!$C:$X,2+$G21,0))+IF(R$4="X",VLOOKUP(R$10,'VK-Võrgud'!$C:$X,2+$F21,0)))/1000</f>
        <v>3.6801368215830603</v>
      </c>
      <c r="S21" s="226">
        <f>VLOOKUP(S$10,'VK-Hooned-Soojus'!$C:$I,2+$C21,FALSE) + VLOOKUP(S$10,'VK-Transport'!$C:$I,2+$B21,FALSE)+ VLOOKUP(S$10,'VK-Biokütused'!$C:$G,2+$E21,FALSE)+ VLOOKUP(S$10,'VK-Elekter'!$C:$I,2+$D21,FALSE)+ VLOOKUP(S$10,'VK-Põlevkivi'!$C:$I,2+$G21,FALSE)+ VLOOKUP(S$10,'VK-Võrgud'!$C:$I,2+$F21,FALSE)</f>
        <v>9.1454492610151435E-3</v>
      </c>
      <c r="T21" s="226">
        <f>VLOOKUP(T$10,'VK-Hooned-Soojus'!$C:$I,2+$C21,FALSE) + VLOOKUP(T$10,'VK-Transport'!$C:$I,2+$B21,FALSE)+ VLOOKUP(T$10,'VK-Biokütused'!$C:$G,2+$E21,FALSE)+ VLOOKUP(T$10,'VK-Elekter'!$C:$I,2+$D21,FALSE)+ VLOOKUP(T$10,'VK-Põlevkivi'!$C:$I,2+$G21,FALSE)+ VLOOKUP(T$10,'VK-Võrgud'!$C:$I,2+$F21,FALSE)</f>
        <v>-5.8565164679252376E-3</v>
      </c>
      <c r="U21" s="226">
        <f>VLOOKUP(U$10,'VK-Hooned-Soojus'!$C:$I,2+$C21,FALSE) + VLOOKUP(U$10,'VK-Transport'!$C:$I,2+$B21,FALSE)+ VLOOKUP(U$10,'VK-Biokütused'!$C:$G,2+$E21,FALSE)+ VLOOKUP(U$10,'VK-Elekter'!$C:$I,2+$D21,FALSE)+ VLOOKUP(U$10,'VK-Põlevkivi'!$C:$I,2+$G21,FALSE)+ VLOOKUP(U$10,'VK-Võrgud'!$C:$I,2+$F21,FALSE)</f>
        <v>2.2723052720774739E-3</v>
      </c>
      <c r="V21" s="226">
        <f>VLOOKUP(V$10,'VK-Hooned-Soojus'!$C:$I,2+$C21,FALSE) + VLOOKUP(V$10,'VK-Transport'!$C:$I,2+$B21,FALSE)+ VLOOKUP(V$10,'VK-Biokütused'!$C:$G,2+$E21,FALSE)+ VLOOKUP(V$10,'VK-Elekter'!$C:$I,2+$D21,FALSE)+ VLOOKUP(V$10,'VK-Põlevkivi'!$C:$I,2+$G21,FALSE)+ VLOOKUP(V$10,'VK-Võrgud'!$C:$I,2+$F21,FALSE)</f>
        <v>6.9149613087853123E-3</v>
      </c>
      <c r="W21" s="226">
        <f>VLOOKUP(W$10,'VK-Hooned-Soojus'!$C:$I,2+$C21,FALSE) + VLOOKUP(W$10,'VK-Transport'!$C:$I,2+$B21,FALSE)+ VLOOKUP(W$10,'VK-Biokütused'!$C:$G,2+$E21,FALSE)+ VLOOKUP(W$10,'VK-Elekter'!$C:$I,2+$D21,FALSE)+ VLOOKUP(W$10,'VK-Põlevkivi'!$C:$I,2+$G21,FALSE)+ VLOOKUP(W$10,'VK-Võrgud'!$C:$I,2+$F21,FALSE)</f>
        <v>-1.6210921231689469E-2</v>
      </c>
      <c r="X21" s="226">
        <f>VLOOKUP(X$10,'VK-Hooned-Soojus'!$C:$I,2+$C21,FALSE) + VLOOKUP(X$10,'VK-Transport'!$C:$I,2+$B21,FALSE)+ VLOOKUP(X$10,'VK-Biokütused'!$C:$G,2+$E21,FALSE)+ VLOOKUP(X$10,'VK-Elekter'!$C:$I,2+$D21,FALSE)+ VLOOKUP(X$10,'VK-Põlevkivi'!$C:$I,2+$G21,FALSE)+ VLOOKUP(X$10,'VK-Võrgud'!$C:$I,2+$F21,FALSE)</f>
        <v>-0.13885255585624914</v>
      </c>
      <c r="Y21" s="226">
        <f>VLOOKUP(Y$10,'VK-Hooned-Soojus'!$C:$I,2+$C21,FALSE) + VLOOKUP(Y$10,'VK-Transport'!$C:$I,2+$B21,FALSE)+ VLOOKUP(Y$10,'VK-Biokütused'!$C:$G,2+$E21,FALSE)+ VLOOKUP(Y$10,'VK-Elekter'!$C:$I,2+$D21,FALSE)+ VLOOKUP(Y$10,'VK-Põlevkivi'!$C:$I,2+$G21,FALSE)+ VLOOKUP(Y$10,'VK-Võrgud'!$C:$I,2+$F21,FALSE)</f>
        <v>-4.7885288824209588E-2</v>
      </c>
      <c r="Z21" s="227">
        <f>(S21*Tulemused!$Q$9*10+T21*Tulemused!$Q$10*10+KOMBI!U21*Tulemused!$Q$11*10+KOMBI!V21*Tulemused!$Q$12*10)*Tulemused!$Q$8+-(W21*Tulemused!$Q$14*10+KOMBI!X21*Tulemused!$Q$15*10+KOMBI!Y21*Tulemused!$Q$16*10)*Tulemused!$Q$13</f>
        <v>5.5479572958573797</v>
      </c>
      <c r="AA21" s="228">
        <f>(IF(AA$7="X",VLOOKUP(AA$10,'VK-Hooned-Soojus'!$C:$X,2+$C21,FALSE),0)+IF(AA$6="X",VLOOKUP(AA$10,'VK-Transport'!$C:$X,2+$B21,0))+IF(AA$8="X",VLOOKUP(AA$10,'VK-Elekter'!$C:$X,2+$D21,0))+IF(AA$9="X",VLOOKUP(AA$10,'VK-Biokütused'!$C:$U,2+$E21,0))+IF(AA$5="X",VLOOKUP(AA$10,'VK-Põlevkivi'!$C:$X,2+$G21,0))+IF(AA$4="X",VLOOKUP(AA$10,'VK-Võrgud'!$C:$X,2+$F21,0)))</f>
        <v>0</v>
      </c>
      <c r="AB21" s="228">
        <f>(IF(AB$7="X",VLOOKUP(AB$10,'VK-Hooned-Soojus'!$C:$X,2+$C21,FALSE),0)+IF(AB$6="X",VLOOKUP(AB$10,'VK-Transport'!$C:$X,2+$B21,0))+IF(AB$8="X",VLOOKUP(AB$10,'VK-Elekter'!$C:$X,2+$D21,0))+IF(AB$9="X",VLOOKUP(AB$10,'VK-Biokütused'!$C:$U,2+$E21,0))+IF(AB$5="X",VLOOKUP(AB$10,'VK-Põlevkivi'!$C:$X,2+$G21,0))+IF(AB$4="X",VLOOKUP(AB$10,'VK-Võrgud'!$C:$X,2+$F21,0)))</f>
        <v>1602</v>
      </c>
      <c r="AC21" s="228">
        <f>(IF(AC$7="X",VLOOKUP(AC$10,'VK-Hooned-Soojus'!$C:$X,2+$C21,FALSE),0)+IF(AC$6="X",VLOOKUP(AC$10,'VK-Transport'!$C:$X,2+$B21,0))+IF(AC$8="X",VLOOKUP(AC$10,'VK-Elekter'!$C:$X,2+$D21,0))+IF(AC$9="X",VLOOKUP(AC$10,'VK-Biokütused'!$C:$U,2+$E21,0))+IF(AC$5="X",VLOOKUP(AC$10,'VK-Põlevkivi'!$C:$X,2+$G21,0))+IF(AC$4="X",VLOOKUP(AC$10,'VK-Võrgud'!$C:$X,2+$F21,0)))</f>
        <v>2346</v>
      </c>
      <c r="AD21" s="228">
        <f>(IF(AD$7="X",VLOOKUP(AD$10,'VK-Hooned-Soojus'!$C:$X,2+$C21,FALSE),0)+IF(AD$6="X",VLOOKUP(AD$10,'VK-Transport'!$C:$X,2+$B21,0))+IF(AD$8="X",VLOOKUP(AD$10,'VK-Elekter'!$C:$X,2+$D21,0))+IF(AD$9="X",VLOOKUP(AD$10,'VK-Biokütused'!$C:$U,2+$E21,0))+IF(AD$5="X",VLOOKUP(AD$10,'VK-Põlevkivi'!$C:$X,2+$G21,0))+IF(AD$4="X",VLOOKUP(AD$10,'VK-Võrgud'!$C:$X,2+$F21,0)))</f>
        <v>377.5</v>
      </c>
      <c r="AE21" s="228">
        <f>(IF(AE$7="X",VLOOKUP(AE$10,'VK-Hooned-Soojus'!$C:$X,2+$C21,FALSE),0)+IF(AE$6="X",VLOOKUP(AE$10,'VK-Transport'!$C:$X,2+$B21,0))+IF(AE$8="X",VLOOKUP(AE$10,'VK-Elekter'!$C:$X,2+$D21,0))+IF(AE$9="X",VLOOKUP(AE$10,'VK-Biokütused'!$C:$U,2+$E21,0))+IF(AE$5="X",VLOOKUP(AE$10,'VK-Põlevkivi'!$C:$X,2+$G21,0))+IF(AE$4="X",VLOOKUP(AE$10,'VK-Võrgud'!$C:$X,2+$F21,0)))</f>
        <v>812</v>
      </c>
      <c r="AF21" s="228">
        <f>(IF(AF$7="X",VLOOKUP(AF$10,'VK-Hooned-Soojus'!$C:$X,2+$C21,FALSE),0)+IF(AF$6="X",VLOOKUP(AF$10,'VK-Transport'!$C:$X,2+$B21,0))+IF(AF$8="X",VLOOKUP(AF$10,'VK-Elekter'!$C:$X,2+$D21,0))+IF(AF$9="X",VLOOKUP(AF$10,'VK-Biokütused'!$C:$U,2+$E21,0))+IF(AF$5="X",VLOOKUP(AF$10,'VK-Põlevkivi'!$C:$X,2+$G21,0))+IF(AF$4="X",VLOOKUP(AF$10,'VK-Võrgud'!$C:$X,2+$F21,0)))</f>
        <v>2490.6368215830603</v>
      </c>
      <c r="AG21" s="209"/>
      <c r="AH21" s="209">
        <f>IF(AH$7="X",VLOOKUP(AH$10,'VK-Hooned-Soojus'!$C:$X,2+$C21,FALSE),0)+IF(AH$6="X",VLOOKUP(AH$10,'VK-Transport'!$C:$X,2+$B21,0))+IF(AH$8="X",VLOOKUP(AH$10,'VK-Elekter'!$C:$X,2+$D21,0))+IF(AH$9="X",VLOOKUP(AH$10,'VK-Biokütused'!$C:$U,2+$E21,0))+IF(AH$5="X",VLOOKUP(AH$10,'VK-Põlevkivi'!$C:$X,2+$G21,0))+IF(AH$4="X",VLOOKUP(AH$10,'VK-Võrgud'!$C:$X,2+$F21,0))</f>
        <v>0</v>
      </c>
      <c r="AI21" s="209">
        <f>IF(AI$7="X",VLOOKUP(AI$10,'VK-Hooned-Soojus'!$C:$X,2+$C21,FALSE),0)+IF(AI$6="X",VLOOKUP(AI$10,'VK-Transport'!$C:$X,2+$B21,0))+IF(AI$8="X",VLOOKUP(AI$10,'VK-Elekter'!$C:$X,2+$D21,0))+IF(AI$9="X",VLOOKUP(AI$10,'VK-Biokütused'!$C:$U,2+$E21,0))+IF(AI$5="X",VLOOKUP(AI$10,'VK-Põlevkivi'!$C:$X,2+$G21,0))+IF(AI$4="X",VLOOKUP(AI$10,'VK-Võrgud'!$C:$X,2+$F21,0))</f>
        <v>11.489999999999998</v>
      </c>
      <c r="AJ21" s="209">
        <f>IF(AJ$7="X",VLOOKUP(AJ$10,'VK-Hooned-Soojus'!$C:$X,2+$C21,FALSE),0)+IF(AJ$6="X",VLOOKUP(AJ$10,'VK-Transport'!$C:$X,2+$B21,0))+IF(AJ$8="X",VLOOKUP(AJ$10,'VK-Elekter'!$C:$X,2+$D21,0))+IF(AJ$9="X",VLOOKUP(AJ$10,'VK-Biokütused'!$C:$U,2+$E21,0))+IF(AJ$5="X",VLOOKUP(AJ$10,'VK-Põlevkivi'!$C:$X,2+$G21,0))+IF(AJ$4="X",VLOOKUP(AJ$10,'VK-Võrgud'!$C:$X,2+$F21,0))</f>
        <v>0</v>
      </c>
      <c r="AK21" s="209">
        <f>IF(AK$7="X",VLOOKUP(AK$10,'VK-Hooned-Soojus'!$C:$X,2+$C21,FALSE),0)+IF(AK$6="X",VLOOKUP(AK$10,'VK-Transport'!$C:$X,2+$B21,0))+IF(AK$8="X",VLOOKUP(AK$10,'VK-Elekter'!$C:$X,2+$D21,0))+IF(AK$9="X",VLOOKUP(AK$10,'VK-Biokütused'!$C:$U,2+$E21,0))+IF(AK$5="X",VLOOKUP(AK$10,'VK-Põlevkivi'!$C:$X,2+$G21,0))+IF(AK$4="X",VLOOKUP(AK$10,'VK-Võrgud'!$C:$X,2+$F21,0))</f>
        <v>3.65</v>
      </c>
      <c r="AL21" s="209">
        <f>IF(AL$7="X",VLOOKUP(AL$10,'VK-Hooned-Soojus'!$C:$X,2+$C21,FALSE),0)+IF(AL$6="X",VLOOKUP(AL$10,'VK-Transport'!$C:$X,2+$B21,0))+IF(AL$8="X",VLOOKUP(AL$10,'VK-Elekter'!$C:$X,2+$D21,0))+IF(AL$9="X",VLOOKUP(AL$10,'VK-Biokütused'!$C:$U,2+$E21,0))+IF(AL$5="X",VLOOKUP(AL$10,'VK-Põlevkivi'!$C:$X,2+$G21,0))+IF(AL$4="X",VLOOKUP(AL$10,'VK-Võrgud'!$C:$X,2+$F21,0))</f>
        <v>7.1999999999999993</v>
      </c>
      <c r="AM21" s="209">
        <f>IF(AM$7="X",VLOOKUP(AM$10,'VK-Hooned-Soojus'!$C:$X,2+$C21,FALSE),0)+IF(AM$6="X",VLOOKUP(AM$10,'VK-Transport'!$C:$X,2+$B21,0))+IF(AM$8="X",VLOOKUP(AM$10,'VK-Elekter'!$C:$X,2+$D21,0))+IF(AM$9="X",VLOOKUP(AM$10,'VK-Biokütused'!$C:$U,2+$E21,0))+IF(AM$5="X",VLOOKUP(AM$10,'VK-Põlevkivi'!$C:$X,2+$G21,0))+IF(AM$4="X",VLOOKUP(AM$10,'VK-Võrgud'!$C:$X,2+$F21,0))</f>
        <v>12.9</v>
      </c>
      <c r="AN21" s="209">
        <f>IF(AN$7="X",VLOOKUP(AN$10,'VK-Hooned-Soojus'!$C:$X,2+$C21,FALSE),0)+IF(AN$6="X",VLOOKUP(AN$10,'VK-Transport'!$C:$X,2+$B21,0))+IF(AN$8="X",VLOOKUP(AN$10,'VK-Elekter'!$C:$X,2+$D21,0))+IF(AN$9="X",VLOOKUP(AN$10,'VK-Biokütused'!$C:$U,2+$E21,0))+IF(AN$5="X",VLOOKUP(AN$10,'VK-Põlevkivi'!$C:$X,2+$G21,0))+IF(AN$4="X",VLOOKUP(AN$10,'VK-Võrgud'!$C:$X,2+$F21,0))</f>
        <v>5.6999999999999993</v>
      </c>
      <c r="AO21" s="209">
        <f>IF(AO$7="X",VLOOKUP(AO$10,'VK-Hooned-Soojus'!$C:$X,2+$C21,FALSE),0)+IF(AO$6="X",VLOOKUP(AO$10,'VK-Transport'!$C:$X,2+$B21,0))+IF(AO$8="X",VLOOKUP(AO$10,'VK-Elekter'!$C:$X,2+$D21,0))+IF(AO$9="X",VLOOKUP(AO$10,'VK-Biokütused'!$C:$U,2+$E21,0))+IF(AO$5="X",VLOOKUP(AO$10,'VK-Põlevkivi'!$C:$X,2+$G21,0))+IF(AO$4="X",VLOOKUP(AO$10,'VK-Võrgud'!$C:$X,2+$F21,0))</f>
        <v>22.740000000000002</v>
      </c>
      <c r="AP21" s="209">
        <f>IF(AP$7="X",VLOOKUP(AP$10,'VK-Hooned-Soojus'!$C:$X,2+$C21,FALSE),0)+IF(AP$6="X",VLOOKUP(AP$10,'VK-Transport'!$C:$X,2+$B21,0))+IF(AP$8="X",VLOOKUP(AP$10,'VK-Elekter'!$C:$X,2+$D21,0))+IF(AP$9="X",VLOOKUP(AP$10,'VK-Biokütused'!$C:$U,2+$E21,0))+IF(AP$5="X",VLOOKUP(AP$10,'VK-Põlevkivi'!$C:$X,2+$G21,0))+IF(AP$4="X",VLOOKUP(AP$10,'VK-Võrgud'!$C:$X,2+$F21,0))</f>
        <v>11.370000000000001</v>
      </c>
      <c r="AQ21" s="320">
        <f t="shared" si="14"/>
        <v>10.440000000000001</v>
      </c>
      <c r="AR21" s="209">
        <f>IF(AR$7="X",VLOOKUP(AR$10,'VK-Hooned-Soojus'!$C:$X,2+$C21,FALSE),0)+IF(AR$6="X",VLOOKUP(AR$10,'VK-Transport'!$C:$X,2+$B21,0))+IF(AR$8="X",VLOOKUP(AR$10,'VK-Elekter'!$C:$X,2+$D21,0))+IF(AR$9="X",VLOOKUP(AR$10,'VK-Biokütused'!$C:$U,2+$E21,0))+IF(AR$5="X",VLOOKUP(AR$10,'VK-Põlevkivi'!$C:$X,2+$G21,0))+IF(AR$4="X",VLOOKUP(AR$10,'VK-Võrgud'!$C:$X,2+$F21,0))</f>
        <v>1.1000000000000001</v>
      </c>
      <c r="AS21" s="320">
        <f>VLOOKUP("Kütuste tarbimine @ 2030 - UTTEGAAS",'VK-Hooned-Soojus'!$C:$X,2+$C21,FALSE)/0.172+VLOOKUP("Kütuste tarbimine @ 2030 - UTTEGAAS",'VK-Elekter'!$C:$X,2+$D21,FALSE)/0.172-AR21-AU21</f>
        <v>-1.1000000000000001</v>
      </c>
      <c r="AT21" s="209">
        <f>IF(AT$7="X",VLOOKUP(AT$10,'VK-Hooned-Soojus'!$C:$X,2+$C21,FALSE),0)+IF(AT$6="X",VLOOKUP(AT$10,'VK-Transport'!$C:$X,2+$B21,0))+IF(AT$8="X",VLOOKUP(AT$10,'VK-Elekter'!$C:$X,2+$D21,0))+IF(AT$9="X",VLOOKUP(AT$10,'VK-Biokütused'!$C:$U,2+$E21,0))+IF(AT$5="X",VLOOKUP(AT$10,'VK-Põlevkivi'!$C:$X,2+$G21,0))+IF(AT$4="X",VLOOKUP(AT$10,'VK-Võrgud'!$C:$X,2+$F21,0))</f>
        <v>12.004929222526066</v>
      </c>
      <c r="AU21" s="229">
        <f>MAX(0,(VLOOKUP("Kütuste tarbimine @ 2030 - UTTEGAAS",'VK-Hooned-Soojus'!$C:$X,2+$C21,FALSE)/0.172+VLOOKUP("Kütuste tarbimine @ 2030 - UTTEGAAS",'VK-Elekter'!$C:$X,2+$D21,FALSE)/0.172)*0.52-VLOOKUP("Kütuste tarbimine @ 2030 - PÕLEVKIVIÕLI",'VK-Hooned-Soojus'!$C:$X,2+$C21,FALSE))</f>
        <v>0</v>
      </c>
      <c r="AV21" s="209">
        <f>IF(AV$7="X",VLOOKUP(AV$10,'VK-Hooned-Soojus'!$C:$X,2+$C21,FALSE),0)+IF(AV$6="X",VLOOKUP(AV$10,'VK-Transport'!$C:$X,2+$B21,0))+IF(AV$8="X",VLOOKUP(AV$10,'VK-Elekter'!$C:$X,2+$D21,0))+IF(AV$9="X",VLOOKUP(AV$10,'VK-Biokütused'!$C:$U,2+$E21,0))+IF(AV$5="X",VLOOKUP(AV$10,'VK-Põlevkivi'!$C:$X,2+$G21,0))+IF(AV$4="X",VLOOKUP(AV$10,'VK-Võrgud'!$C:$X,2+$F21,0))</f>
        <v>1.1831224847375093</v>
      </c>
      <c r="AW21" s="209">
        <f>IF(AW$7="X",VLOOKUP(AW$10,'VK-Hooned-Soojus'!$C:$X,2+$C21,FALSE),0)+IF(AW$6="X",VLOOKUP(AW$10,'VK-Transport'!$C:$X,2+$B21,0))+IF(AW$8="X",VLOOKUP(AW$10,'VK-Elekter'!$C:$X,2+$D21,0))+IF(AW$9="X",VLOOKUP(AW$10,'VK-Biokütused'!$C:$U,2+$E21,0))+IF(AW$5="X",VLOOKUP(AW$10,'VK-Põlevkivi'!$C:$X,2+$G21,0))+IF(AW$4="X",VLOOKUP(AW$10,'VK-Võrgud'!$C:$X,2+$F21,0))</f>
        <v>2.141</v>
      </c>
      <c r="AX21" s="229">
        <f t="shared" si="34"/>
        <v>0.95787751526249076</v>
      </c>
      <c r="AY21" s="229">
        <f t="shared" si="15"/>
        <v>0</v>
      </c>
      <c r="AZ21" s="230">
        <f t="shared" si="0"/>
        <v>0.67179876395310423</v>
      </c>
      <c r="BA21" s="209">
        <f>IF(BA$7="X",VLOOKUP(BA$10,'VK-Hooned-Soojus'!$C:$X,2+$C21,FALSE),0)+IF(BA$6="X",VLOOKUP(BA$10,'VK-Transport'!$C:$X,2+$B21,0))+IF(BA$8="X",VLOOKUP(BA$10,'VK-Elekter'!$C:$X,2+$D21,0))+IF(BA$9="X",VLOOKUP(BA$10,'VK-Biokütused'!$C:$U,2+$E21,0))+IF(BA$5="X",VLOOKUP(BA$10,'VK-Põlevkivi'!$C:$X,2+$G21,0))+IF(BA$4="X",VLOOKUP(BA$10,'VK-Võrgud'!$C:$X,2+$F21,0))</f>
        <v>0</v>
      </c>
      <c r="BB21" s="209">
        <f>IF(BB$7="X",VLOOKUP(BB$10,'VK-Hooned-Soojus'!$C:$X,2+$C21,FALSE),0)+IF(BB$6="X",VLOOKUP(BB$10,'VK-Transport'!$C:$X,2+$B21,0))+IF(BB$8="X",VLOOKUP(BB$10,'VK-Elekter'!$C:$X,2+$D21,0))+IF(BB$9="X",VLOOKUP(BB$10,'VK-Biokütused'!$C:$U,2+$E21,0))+IF(BB$5="X",VLOOKUP(BB$10,'VK-Põlevkivi'!$C:$X,2+$G21,0))+IF(BB$4="X",VLOOKUP(BB$10,'VK-Võrgud'!$C:$X,2+$F21,0))</f>
        <v>6.32</v>
      </c>
      <c r="BC21" s="209">
        <f>IF(BC$7="X",VLOOKUP(BC$10,'VK-Hooned-Soojus'!$C:$X,2+$C21,FALSE),0)+IF(BC$6="X",VLOOKUP(BC$10,'VK-Transport'!$C:$X,2+$B21,0))+IF(BC$8="X",VLOOKUP(BC$10,'VK-Elekter'!$C:$X,2+$D21,0))+IF(BC$9="X",VLOOKUP(BC$10,'VK-Biokütused'!$C:$U,2+$E21,0))+IF(BC$5="X",VLOOKUP(BC$10,'VK-Põlevkivi'!$C:$X,2+$G21,0))+IF(BC$4="X",VLOOKUP(BC$10,'VK-Võrgud'!$C:$X,2+$F21,0))</f>
        <v>8.0523611111111126</v>
      </c>
      <c r="BD21" s="209">
        <f>IF(BD$7="X",VLOOKUP(BD$10,'VK-Hooned-Soojus'!$C:$X,2+$C21,FALSE),0)+IF(BD$6="X",VLOOKUP(BD$10,'VK-Transport'!$C:$X,2+$B21,0))+IF(BD$8="X",VLOOKUP(BD$10,'VK-Elekter'!$C:$X,2+$D21,0))+IF(BD$9="X",VLOOKUP(BD$10,'VK-Biokütused'!$C:$U,2+$E21,0))+IF(BD$5="X",VLOOKUP(BD$10,'VK-Põlevkivi'!$C:$X,2+$G21,0))+IF(BD$4="X",VLOOKUP(BD$10,'VK-Võrgud'!$C:$X,2+$F21,0))</f>
        <v>10.42138888888889</v>
      </c>
      <c r="BE21" s="230"/>
      <c r="BF21" s="229">
        <f t="shared" si="16"/>
        <v>0.54033748449096464</v>
      </c>
      <c r="BG21" s="209" t="e">
        <f>(IF(BG$7="X",VLOOKUP(BG$10,'VK-Hooned-Soojus'!$C:$X,2+$C21,FALSE),0)+IF(BG$6="X",VLOOKUP(BG$10,'VK-Transport'!$C:$X,2+$B21,0))+IF(BG$8="X",VLOOKUP(BG$10,'VK-Elekter'!$C:$X,2+$D21,0))+IF(BG$9="X",VLOOKUP(BG$10,'VK-Biokütused'!$C:$U,2+$E21,0))+IF(BG$5="X",VLOOKUP(BG$10,'VK-Põlevkivi'!$C:$X,2+$G21,0))+IF(BG$4="X",VLOOKUP(BG$10,'VK-Võrgud'!$C:$X,2+$F21,0)))/20</f>
        <v>#N/A</v>
      </c>
      <c r="BH21" s="209">
        <f>(IF(BH$7="X",VLOOKUP(BH$10,'VK-Hooned-Soojus'!$C:$X,2+$C21,FALSE),0)+IF(BH$6="X",VLOOKUP(BH$10,'VK-Transport'!$C:$X,2+$B21,0))+IF(BH$8="X",VLOOKUP(BH$10,'VK-Elekter'!$C:$X,2+$D21,0))+IF(BH$9="X",VLOOKUP(BH$10,'VK-Biokütused'!$C:$U,2+$E21,0))+IF(BH$5="X",VLOOKUP(BH$10,'VK-Põlevkivi'!$C:$X,2+$G21,0))+IF(BH$4="X",VLOOKUP(BH$10,'VK-Võrgud'!$C:$X,2+$F21,0)))/20</f>
        <v>13.99</v>
      </c>
      <c r="BI21" s="209">
        <f>(IF(BI$7="X",VLOOKUP(BI$10,'VK-Hooned-Soojus'!$C:$X,2+$C21,FALSE),0)+IF(BI$6="X",VLOOKUP(BI$10,'VK-Transport'!$C:$X,2+$B21,0))+IF(BI$8="X",VLOOKUP(BI$10,'VK-Elekter'!$C:$X,2+$D21,0))+IF(BI$9="X",VLOOKUP(BI$10,'VK-Biokütused'!$C:$U,2+$E21,0))+IF(BI$5="X",VLOOKUP(BI$10,'VK-Põlevkivi'!$C:$X,2+$G21,0))+IF(BI$4="X",VLOOKUP(BI$10,'VK-Võrgud'!$C:$X,2+$F21,0)))/16</f>
        <v>17.75</v>
      </c>
      <c r="BJ21" s="209">
        <f>(IF(BJ$7="X",VLOOKUP(BJ$10,'VK-Hooned-Soojus'!$C:$X,2+$C21,FALSE),0)+IF(BJ$6="X",VLOOKUP(BJ$10,'VK-Transport'!$C:$X,2+$B21,0))+IF(BJ$8="X",VLOOKUP(BJ$10,'VK-Elekter'!$C:$X,2+$D21,0))+IF(BJ$9="X",VLOOKUP(BJ$10,'VK-Biokütused'!$C:$U,2+$E21,0))+IF(BJ$5="X",VLOOKUP(BJ$10,'VK-Põlevkivi'!$C:$X,2+$G21,0))+IF(BJ$4="X",VLOOKUP(BJ$10,'VK-Võrgud'!$C:$X,2+$F21,0)))/20</f>
        <v>1.85</v>
      </c>
      <c r="BK21" s="209"/>
      <c r="BL21" s="209"/>
      <c r="BM21" s="209"/>
      <c r="BN21" s="209" t="e">
        <f>(IF(BN$7="X",VLOOKUP(BN$10,'VK-Hooned-Soojus'!$C:$X,2+$C21,FALSE),0)+IF(BN$6="X",VLOOKUP(BN$10,'VK-Transport'!$C:$X,2+$B21,0))+IF(BN$8="X",VLOOKUP(BN$10,'VK-Elekter'!$C:$X,2+$D21,0))+IF(BN$9="X",VLOOKUP(BN$10,'VK-Biokütused'!$C:$U,2+$E21,0))+IF(BN$5="X",VLOOKUP(BN$10,'VK-Põlevkivi'!$C:$X,2+$G21,0))+IF(BN$4="X",VLOOKUP(BN$10,'VK-Võrgud'!$C:$X,2+$F21,0)))/16</f>
        <v>#N/A</v>
      </c>
      <c r="BO21" s="209">
        <f>(IF(BO$7="X",VLOOKUP(BO$10,'VK-Hooned-Soojus'!$C:$X,2+$C21,FALSE),0)+IF(BO$6="X",VLOOKUP(BO$10,'VK-Transport'!$C:$X,2+$B21,0))+IF(BO$8="X",VLOOKUP(BO$10,'VK-Elekter'!$C:$X,2+$D21,0))+IF(BO$9="X",VLOOKUP(BO$10,'VK-Biokütused'!$C:$U,2+$E21,0))+IF(BO$5="X",VLOOKUP(BO$10,'VK-Põlevkivi'!$C:$X,2+$G21,0))+IF(BO$4="X",VLOOKUP(BO$10,'VK-Võrgud'!$C:$X,2+$F21,0)))/16</f>
        <v>496.33125000000001</v>
      </c>
      <c r="BP21" s="209"/>
      <c r="BQ21" s="209">
        <f>(IF(BQ$7="X",VLOOKUP(BQ$10,'VK-Hooned-Soojus'!$C:$X,2+$C21,FALSE),0)+IF(BQ$6="X",VLOOKUP(BQ$10,'VK-Transport'!$C:$X,2+$B21,0))+IF(BQ$8="X",VLOOKUP(BQ$10,'VK-Elekter'!$C:$X,2+$D21,0))+IF(BQ$9="X",VLOOKUP(BQ$10,'VK-Biokütused'!$C:$U,2+$E21,0))+IF(BQ$5="X",VLOOKUP(BQ$10,'VK-Põlevkivi'!$C:$X,2+$G21,0))+IF(BQ$4="X",VLOOKUP(BQ$10,'VK-Võrgud'!$C:$X,2+$F21,0)))/16</f>
        <v>4.7249999999999996</v>
      </c>
      <c r="BR21" s="209">
        <f>(IF(BR$7="X",VLOOKUP(BR$10,'VK-Hooned-Soojus'!$C:$X,2+$C21,FALSE),0)+IF(BR$6="X",VLOOKUP(BR$10,'VK-Transport'!$C:$X,2+$B21,0))+IF(BR$8="X",VLOOKUP(BR$10,'VK-Elekter'!$C:$X,2+$D21,0))+IF(BR$9="X",VLOOKUP(BR$10,'VK-Biokütused'!$C:$U,2+$E21,0))+IF(BR$5="X",VLOOKUP(BR$10,'VK-Põlevkivi'!$C:$X,2+$G21,0))+IF(BR$4="X",VLOOKUP(BR$10,'VK-Võrgud'!$C:$X,2+$F21,0)))/16</f>
        <v>-74.512500000000003</v>
      </c>
      <c r="BS21" s="209">
        <f>(IF(BS$7="X",VLOOKUP(BS$10,'VK-Hooned-Soojus'!$C:$X,2+$C21,FALSE),0)+IF(BS$6="X",VLOOKUP(BS$10,'VK-Transport'!$C:$X,2+$B21,0))+IF(BS$8="X",VLOOKUP(BS$10,'VK-Elekter'!$C:$X,2+$D21,0))+IF(BS$9="X",VLOOKUP(BS$10,'VK-Biokütused'!$C:$U,2+$E21,0))+IF(BS$5="X",VLOOKUP(BS$10,'VK-Põlevkivi'!$C:$X,2+$G21,0))+IF(BS$4="X",VLOOKUP(BS$10,'VK-Võrgud'!$C:$X,2+$F21,0)))/16</f>
        <v>-100.68125000000001</v>
      </c>
      <c r="BT21" s="209"/>
      <c r="BU21" s="209"/>
      <c r="BV21" s="209">
        <f>(IF(BV$7="X",VLOOKUP(BV$10,'VK-Hooned-Soojus'!$C:$X,2+$C21,FALSE),0)+IF(BV$6="X",VLOOKUP(BV$10,'VK-Transport'!$C:$X,2+$B21,0))+IF(BV$8="X",VLOOKUP(BV$10,'VK-Elekter'!$C:$X,2+$D21,0))+IF(BV$9="X",VLOOKUP(BV$10,'VK-Biokütused'!$C:$U,2+$E21,0))+IF(BV$5="X",VLOOKUP(BV$10,'VK-Põlevkivi'!$C:$X,2+$G21,0))+IF(BV$4="X",VLOOKUP(BV$10,'VK-Võrgud'!$C:$X,2+$F21,0)))/16</f>
        <v>0</v>
      </c>
      <c r="BW21" s="209"/>
      <c r="BX21" s="209">
        <f>(IF(BX$7="X",VLOOKUP(BX$10,'VK-Hooned-Soojus'!$C:$X,2+$C21,FALSE),0)+IF(BX$6="X",VLOOKUP(BX$10,'VK-Transport'!$C:$X,2+$B21,0))+IF(BX$8="X",VLOOKUP(BX$10,'VK-Elekter'!$C:$X,2+$D21,0))+IF(BX$9="X",VLOOKUP(BX$10,'VK-Biokütused'!$C:$U,2+$E21,0))+IF(BX$5="X",VLOOKUP(BX$10,'VK-Põlevkivi'!$C:$X,2+$G21,0))+IF(BX$4="X",VLOOKUP(BX$10,'VK-Võrgud'!$C:$X,2+$F21,0)))/16</f>
        <v>-19.25</v>
      </c>
      <c r="BY21" s="209"/>
      <c r="BZ21" s="209"/>
      <c r="CA21" s="209" t="e">
        <f>(IF(CA$7="X",VLOOKUP(CA$10,'VK-Hooned-Soojus'!$C:$X,2+$C21,FALSE),0)+IF(CA$6="X",VLOOKUP(CA$10,'VK-Transport'!$C:$X,2+$B21,0))+IF(CA$8="X",VLOOKUP(CA$10,'VK-Elekter'!$C:$X,2+$D21,0))+IF(CA$9="X",VLOOKUP(CA$10,'VK-Biokütused'!$C:$U,2+$E21,0))+IF(CA$5="X",VLOOKUP(CA$10,'VK-Põlevkivi'!$C:$X,2+$G21,0))+IF(CA$4="X",VLOOKUP(CA$10,'VK-Võrgud'!$C:$X,2+$F21,0)))/16</f>
        <v>#N/A</v>
      </c>
      <c r="CB21" s="209">
        <f>(IF(CB$7="X",VLOOKUP(CB$10,'VK-Hooned-Soojus'!$C:$X,2+$C21,FALSE),0)+IF(CB$6="X",VLOOKUP(CB$10,'VK-Transport'!$C:$X,2+$B21,0))+IF(CB$8="X",VLOOKUP(CB$10,'VK-Elekter'!$C:$X,2+$D21,0))+IF(CB$9="X",VLOOKUP(CB$10,'VK-Biokütused'!$C:$U,2+$E21,0))+IF(CB$5="X",VLOOKUP(CB$10,'VK-Põlevkivi'!$C:$X,2+$G21,0))+IF(CB$4="X",VLOOKUP(CB$10,'VK-Võrgud'!$C:$X,2+$F21,0)))/16</f>
        <v>0</v>
      </c>
      <c r="CC21" s="209">
        <f>(IF(CC$7="X",VLOOKUP(CC$10,'VK-Hooned-Soojus'!$C:$X,2+$C21,FALSE),0)+IF(CC$6="X",VLOOKUP(CC$10,'VK-Transport'!$C:$X,2+$B21,0))+IF(CC$8="X",VLOOKUP(CC$10,'VK-Elekter'!$C:$X,2+$D21,0))+IF(CC$9="X",VLOOKUP(CC$10,'VK-Biokütused'!$C:$U,2+$E21,0))+IF(CC$5="X",VLOOKUP(CC$10,'VK-Põlevkivi'!$C:$X,2+$G21,0))+IF(CC$4="X",VLOOKUP(CC$10,'VK-Võrgud'!$C:$X,2+$F21,0)))/16</f>
        <v>0</v>
      </c>
      <c r="CD21" s="209"/>
      <c r="CE21" s="209">
        <f>(IF(CE$7="X",VLOOKUP(CE$10,'VK-Hooned-Soojus'!$C:$X,2+$C21,FALSE),0)+IF(CE$6="X",VLOOKUP(CE$10,'VK-Transport'!$C:$X,2+$B21,0))+IF(CE$8="X",VLOOKUP(CE$10,'VK-Elekter'!$C:$X,2+$D21,0))+IF(CE$9="X",VLOOKUP(CE$10,'VK-Biokütused'!$C:$U,2+$E21,0))+IF(CE$5="X",VLOOKUP(CE$10,'VK-Põlevkivi'!$C:$X,2+$G21,0))+IF(CE$4="X",VLOOKUP(CE$10,'VK-Võrgud'!$C:$X,2+$F21,0)))/16</f>
        <v>24.15625</v>
      </c>
      <c r="CF21" s="209"/>
      <c r="CG21" s="209">
        <f>(IF(CG$7="X",VLOOKUP(CG$10,'VK-Hooned-Soojus'!$C:$X,2+$C21,FALSE),0)+IF(CG$6="X",VLOOKUP(CG$10,'VK-Transport'!$C:$X,2+$B21,0))+IF(CG$8="X",VLOOKUP(CG$10,'VK-Elekter'!$C:$X,2+$D21,0))+IF(CG$9="X",VLOOKUP(CG$10,'VK-Biokütused'!$C:$U,2+$E21,0))+IF(CG$5="X",VLOOKUP(CG$10,'VK-Põlevkivi'!$C:$X,2+$G21,0))+IF(CG$4="X",VLOOKUP(CG$10,'VK-Võrgud'!$C:$X,2+$F21,0)))/16</f>
        <v>0</v>
      </c>
      <c r="CH21" s="209">
        <f>(IF(CH$7="X",VLOOKUP(CH$10,'VK-Hooned-Soojus'!$C:$X,2+$C21,FALSE),0)+IF(CH$6="X",VLOOKUP(CH$10,'VK-Transport'!$C:$X,2+$B21,0))+IF(CH$8="X",VLOOKUP(CH$10,'VK-Elekter'!$C:$X,2+$D21,0))+IF(CH$9="X",VLOOKUP(CH$10,'VK-Biokütused'!$C:$U,2+$E21,0))+IF(CH$5="X",VLOOKUP(CH$10,'VK-Põlevkivi'!$C:$X,2+$G21,0))+IF(CH$4="X",VLOOKUP(CH$10,'VK-Võrgud'!$C:$X,2+$F21,0)))/20*0.21</f>
        <v>5.6122500000000004</v>
      </c>
      <c r="CI21" s="209"/>
      <c r="CJ21" s="209">
        <f>(IF(CJ$7="X",VLOOKUP(CJ$10,'VK-Hooned-Soojus'!$C:$X,2+$C21,FALSE),0)+IF(CJ$6="X",VLOOKUP(CJ$10,'VK-Transport'!$C:$X,2+$B21,0))+IF(CJ$8="X",VLOOKUP(CJ$10,'VK-Elekter'!$C:$X,2+$D21,0))+IF(CJ$9="X",VLOOKUP(CJ$10,'VK-Biokütused'!$C:$U,2+$E21,0))+IF(CJ$5="X",VLOOKUP(CJ$10,'VK-Põlevkivi'!$C:$X,2+$G21,0))+IF(CJ$4="X",VLOOKUP(CJ$10,'VK-Võrgud'!$C:$X,2+$F21,0)))/1000</f>
        <v>19.777721793242819</v>
      </c>
      <c r="CK21" s="209">
        <f>(IF(CK$7="X",VLOOKUP(CK$10,'VK-Hooned-Soojus'!$C:$X,2+$C21,FALSE),0)+IF(CK$6="X",VLOOKUP(CK$10,'VK-Transport'!$C:$X,2+$B21,0))+IF(CK$8="X",VLOOKUP(CK$10,'VK-Elekter'!$C:$X,2+$D21,0))+IF(CK$9="X",VLOOKUP(CK$10,'VK-Biokütused'!$C:$U,2+$E21,0))+IF(CK$5="X",VLOOKUP(CK$10,'VK-Põlevkivi'!$C:$X,2+$G21,0))+IF(CK$4="X",VLOOKUP(CK$10,'VK-Võrgud'!$C:$X,2+$F21,0)))/1000</f>
        <v>7.5937453871512233</v>
      </c>
      <c r="CL21" s="235">
        <f>(IF(CL$7="X",VLOOKUP(CL$10,'VK-Hooned-Soojus'!$C:$X,2+$C21,FALSE),0)+IF(CL$6="X",VLOOKUP(CL$10,'VK-Transport'!$C:$X,2+$B21,0))+IF(CL$8="X",VLOOKUP(CL$10,'VK-Elekter'!$C:$X,2+$D21,0))+IF(CL$9="X",VLOOKUP(CL$10,'VK-Biokütused'!$C:$U,2+$E21,0)))/1000</f>
        <v>5.889000509401181</v>
      </c>
      <c r="CM21" s="209">
        <f>(IF(CM$7="X",VLOOKUP(CM$10,'VK-Hooned-Soojus'!$C:$X,2+$C21,FALSE),0)+IF(CM$6="X",VLOOKUP(CM$10,'VK-Transport'!$C:$X,2+$B21,0))+IF(CM$8="X",VLOOKUP(CM$10,'VK-Elekter'!$C:$X,2+$D21,0))+IF(CM$9="X",VLOOKUP(CM$10,'VK-Biokütused'!$C:$U,2+$E21,0))+IF(CM$5="X",VLOOKUP(CM$10,'VK-Põlevkivi'!$C:$X,2+$G21,0))+IF(CM$4="X",VLOOKUP(CM$10,'VK-Võrgud'!$C:$X,2+$F21,0)))/1000</f>
        <v>8.5978313570900955</v>
      </c>
      <c r="CN21" s="209">
        <f>(IF(CN$7="X",VLOOKUP(CN$10,'VK-Hooned-Soojus'!$C:$X,2+$C21,FALSE),0)+IF(CN$6="X",VLOOKUP(CN$10,'VK-Transport'!$C:$X,2+$B21,0))+IF(CN$8="X",VLOOKUP(CN$10,'VK-Elekter'!$C:$X,2+$D21,0))+IF(CN$9="X",VLOOKUP(CN$10,'VK-Biokütused'!$C:$U,2+$E21,0))+IF(CN$5="X",VLOOKUP(CN$10,'VK-Põlevkivi'!$C:$X,2+$G21,0))+IF(CN$4="X",VLOOKUP(CN$10,'VK-Võrgud'!$C:$X,2+$F21,0)))/1000</f>
        <v>3.0259999999999998</v>
      </c>
      <c r="CO21" s="209">
        <f>(IF(CO$7="X",VLOOKUP(CO$10,'VK-Hooned-Soojus'!$C:$X,2+$C21,FALSE),0)+IF(CO$6="X",VLOOKUP(CO$10,'VK-Transport'!$C:$X,2+$B21,0))+IF(CO$8="X",VLOOKUP(CO$10,'VK-Elekter'!$C:$X,2+$D21,0))+IF(CO$9="X",VLOOKUP(CO$10,'VK-Biokütused'!$C:$U,2+$E21,0))+IF(CO$5="X",VLOOKUP(CO$10,'VK-Põlevkivi'!$C:$X,2+$G21,0))+IF(CO$4="X",VLOOKUP(CO$10,'VK-Võrgud'!$C:$X,2+$F21,0)))/1000</f>
        <v>24.441649773285455</v>
      </c>
      <c r="CP21" s="209">
        <f>(IF(CP$7="X",VLOOKUP(CP$10,'VK-Hooned-Soojus'!$C:$X,2+$C21,FALSE),0)+IF(CP$6="X",VLOOKUP(CP$10,'VK-Transport'!$C:$X,2+$B21,0))+IF(CP$8="X",VLOOKUP(CP$10,'VK-Elekter'!$C:$X,2+$D21,0))+IF(CP$9="X",VLOOKUP(CP$10,'VK-Biokütused'!$C:$U,2+$E21,0))+IF(CP$5="X",VLOOKUP(CP$10,'VK-Põlevkivi'!$C:$X,2+$G21,0))+IF(CP$4="X",VLOOKUP(CP$10,'VK-Võrgud'!$C:$X,2+$F21,0)))/1000</f>
        <v>7.0419485842956133</v>
      </c>
      <c r="CQ21" s="235">
        <f>(IF(CQ$7="X",VLOOKUP(CQ$10,'VK-Hooned-Soojus'!$C:$X,2+$C21,FALSE),0)+IF(CQ$6="X",VLOOKUP(CQ$10,'VK-Transport'!$C:$X,2+$B21,0))+IF(CQ$8="X",VLOOKUP(CQ$10,'VK-Elekter'!$C:$X,2+$D21,0))+IF(CQ$9="X",VLOOKUP(CQ$10,'VK-Biokütused'!$C:$U,2+$E21,0)))/1000</f>
        <v>5.6139070000000002</v>
      </c>
      <c r="CR21" s="209">
        <f>(IF(CR$7="X",VLOOKUP(CR$10,'VK-Hooned-Soojus'!$C:$X,2+$C21,FALSE),0)+IF(CR$6="X",VLOOKUP(CR$10,'VK-Transport'!$C:$X,2+$B21,0))+IF(CR$8="X",VLOOKUP(CR$10,'VK-Elekter'!$C:$X,2+$D21,0))+IF(CR$9="X",VLOOKUP(CR$10,'VK-Biokütused'!$C:$U,2+$E21,0))+IF(CR$5="X",VLOOKUP(CR$10,'VK-Põlevkivi'!$C:$X,2+$G21,0))+IF(CR$4="X",VLOOKUP(CR$10,'VK-Võrgud'!$C:$X,2+$F21,0)))/1000</f>
        <v>8.1057533562748034</v>
      </c>
      <c r="CS21" s="209">
        <f>(IF(CS$7="X",VLOOKUP(CS$10,'VK-Hooned-Soojus'!$C:$X,2+$C21,FALSE),0)+IF(CS$6="X",VLOOKUP(CS$10,'VK-Transport'!$C:$X,2+$B21,0))+IF(CS$8="X",VLOOKUP(CS$10,'VK-Elekter'!$C:$X,2+$D21,0))+IF(CS$9="X",VLOOKUP(CS$10,'VK-Biokütused'!$C:$U,2+$E21,0))+IF(CS$5="X",VLOOKUP(CS$10,'VK-Põlevkivi'!$C:$X,2+$G21,0))+IF(CS$4="X",VLOOKUP(CS$10,'VK-Võrgud'!$C:$X,2+$F21,0)))/1000</f>
        <v>3.9861524051216151</v>
      </c>
      <c r="CT21" s="209">
        <f>IF(CT$7="X",VLOOKUP(CT$10,'VK-Hooned-Soojus'!$C:$X,2+$C21,FALSE),0)+IF(CT$6="X",VLOOKUP(CT$10,'VK-Transport'!$C:$X,2+$B21,0))+IF(CT$8="X",VLOOKUP(CT$10,'VK-Elekter'!$C:$X,2+$D21,0))+IF(CT$9="X",VLOOKUP(CT$10,'VK-Biokütused'!$C:$U,2+$E21,0))+IF(CT$5="X",VLOOKUP(CT$10,'VK-Põlevkivi'!$C:$X,2+$G21,0))+IF(CT$4="X",VLOOKUP(CT$10,'VK-Võrgud'!$C:$X,2+$F21,0))</f>
        <v>90</v>
      </c>
      <c r="CU21" s="209">
        <f>IF(CU$7="X",VLOOKUP(CU$10,'VK-Hooned-Soojus'!$C:$X,2+$C21,FALSE),0)+IF(CU$6="X",VLOOKUP(CU$10,'VK-Transport'!$C:$X,2+$B21,0))+IF(CU$8="X",VLOOKUP(CU$10,'VK-Elekter'!$C:$X,2+$D21,0))+IF(CU$9="X",VLOOKUP(CU$10,'VK-Biokütused'!$C:$U,2+$E21,0))+IF(CU$5="X",VLOOKUP(CU$10,'VK-Põlevkivi'!$C:$X,2+$G21,0))+IF(CU$4="X",VLOOKUP(CU$10,'VK-Võrgud'!$C:$X,2+$F21,0))</f>
        <v>0.63390170511534605</v>
      </c>
      <c r="CV21" s="209">
        <f t="shared" si="1"/>
        <v>0.91028830406496797</v>
      </c>
      <c r="CW21" s="209">
        <f>(IF(CW$7="X",VLOOKUP(CW$10,'VK-Hooned-Soojus'!$C:$X,2+$C21,FALSE),0)+IF(CW$6="X",VLOOKUP(CW$10,'VK-Transport'!$C:$X,2+$B21,0))+IF(CW$8="X",VLOOKUP(CW$10,'VK-Elekter'!$C:$X,2+$D21,0))+IF(CW$9="X",VLOOKUP(CW$10,'VK-Biokütused'!$C:$U,2+$E21,0))+IF(CW$5="X",VLOOKUP(CW$10,'VK-Põlevkivi'!$C:$X,2+$G21,0))+IF(CW$4="X",VLOOKUP(CW$10,'VK-Võrgud'!$C:$X,2+$F21,0)))/16</f>
        <v>59.743749999999999</v>
      </c>
      <c r="CY21" s="209">
        <f>(IF(CY$7="X",VLOOKUP(CY$10,'VK-Hooned-Soojus'!$C:$X,2+$C21,FALSE),0)+IF(CY$6="X",VLOOKUP(CY$10,'VK-Transport'!$C:$X,2+$B21,0))+IF(CY$8="X",VLOOKUP(CY$10,'VK-Elekter'!$C:$X,2+$D21,0))+IF(CY$9="X",VLOOKUP(CY$10,'VK-Biokütused'!$C:$U,2+$E21,0))+IF(CY$5="X",VLOOKUP(CY$10,'VK-Põlevkivi'!$C:$X,2+$G21,0))+IF(CY$4="X",VLOOKUP(CY$10,'VK-Võrgud'!$C:$X,2+$F21,0)))/1000</f>
        <v>11.039</v>
      </c>
      <c r="CZ21" s="209">
        <f>(IF(CZ$7="X",VLOOKUP(CZ$10,'VK-Hooned-Soojus'!$C:$X,2+$C21,FALSE),0)+IF(CZ$6="X",VLOOKUP(CZ$10,'VK-Transport'!$C:$X,2+$B21,0))+IF(CZ$8="X",VLOOKUP(CZ$10,'VK-Elekter'!$C:$X,2+$D21,0))+IF(CZ$9="X",VLOOKUP(CZ$10,'VK-Biokütused'!$C:$U,2+$E21,0))+IF(CZ$5="X",VLOOKUP(CZ$10,'VK-Põlevkivi'!$C:$X,2+$G21,0))+IF(CZ$4="X",VLOOKUP(CZ$10,'VK-Võrgud'!$C:$X,2+$F21,0)))</f>
        <v>87.4</v>
      </c>
      <c r="DA21" s="209">
        <f>(IF(DA$7="X",VLOOKUP(DA$10,'VK-Hooned-Soojus'!$C:$X,2+$C21,FALSE),0)+IF(DA$6="X",VLOOKUP(DA$10,'VK-Transport'!$C:$X,2+$B21,0))+IF(DA$8="X",VLOOKUP(DA$10,'VK-Elekter'!$C:$X,2+$D21,0))+IF(DA$9="X",VLOOKUP(DA$10,'VK-Biokütused'!$C:$U,2+$E21,0))+IF(DA$5="X",VLOOKUP(DA$10,'VK-Põlevkivi'!$C:$X,2+$G21,0))+IF(DA$4="X",VLOOKUP(DA$10,'VK-Võrgud'!$C:$X,2+$F21,0)))/1000</f>
        <v>11.359</v>
      </c>
      <c r="DB21" s="209">
        <f>(IF(DB$7="X",VLOOKUP(DB$10,'VK-Hooned-Soojus'!$C:$X,2+$C21,FALSE),0)+IF(DB$6="X",VLOOKUP(DB$10,'VK-Transport'!$C:$X,2+$B21,0))+IF(DB$8="X",VLOOKUP(DB$10,'VK-Elekter'!$C:$X,2+$D21,0))+IF(DB$9="X",VLOOKUP(DB$10,'VK-Biokütused'!$C:$U,2+$E21,0))+IF(DB$5="X",VLOOKUP(DB$10,'VK-Põlevkivi'!$C:$X,2+$G21,0))+IF(DB$4="X",VLOOKUP(DB$10,'VK-Võrgud'!$C:$X,2+$F21,0)))/1000/3.6</f>
        <v>46.001111111111115</v>
      </c>
      <c r="DC21" s="209">
        <f>(IF(DC$7="X",VLOOKUP(DC$10,'VK-Hooned-Soojus'!$C:$X,2+$C21,FALSE),0)+IF(DC$6="X",VLOOKUP(DC$10,'VK-Transport'!$C:$X,2+$B21,0))+IF(DC$8="X",VLOOKUP(DC$10,'VK-Elekter'!$C:$X,2+$D21,0))+IF(DC$9="X",VLOOKUP(DC$10,'VK-Biokütused'!$C:$U,2+$E21,0))+IF(DC$5="X",VLOOKUP(DC$10,'VK-Põlevkivi'!$C:$X,2+$G21,0))+IF(DC$4="X",VLOOKUP(DC$10,'VK-Võrgud'!$C:$X,2+$F21,0)))/1000000</f>
        <v>4.5846710000000002</v>
      </c>
      <c r="DD21" s="209"/>
      <c r="DE21" s="88">
        <f>VLOOKUP(Tulemused!$BN$12,data!M$7:N$12,2,FALSE)-SUM(L21,M21)</f>
        <v>-3.4066444444444528</v>
      </c>
      <c r="DF21" s="209" t="str">
        <f>IF(AZ21&lt;=VLOOKUP(Tulemused!$BN$15,data!$E$36:$F$39,2,FALSE),"JAH","EI")</f>
        <v>JAH</v>
      </c>
      <c r="DG21" s="209"/>
      <c r="DH21" s="209">
        <f t="shared" si="2"/>
        <v>11.370000000000001</v>
      </c>
      <c r="DI21" s="231" t="str">
        <f t="shared" si="17"/>
        <v>EI</v>
      </c>
      <c r="DK21" s="232">
        <f t="shared" si="3"/>
        <v>-994.45204270414263</v>
      </c>
      <c r="DM21" s="233">
        <f t="shared" si="4"/>
        <v>6.5622994822320475</v>
      </c>
      <c r="DN21" s="87">
        <f t="array" ref="DN21">INDEX($A$11:$A$145, SMALL(IF(DM21=$DK$11:$DK$145, MATCH(ROW($DK$11:$DK$145), ROW($DK$11:$DK$145))), SUM(--(DM21=$DM$11:DM21))))</f>
        <v>125</v>
      </c>
      <c r="DP21" s="87" t="e">
        <f t="shared" ca="1" si="18"/>
        <v>#N/A</v>
      </c>
      <c r="DQ21" s="87" t="e">
        <f t="shared" ca="1" si="19"/>
        <v>#N/A</v>
      </c>
      <c r="DR21" s="87">
        <f t="shared" ca="1" si="20"/>
        <v>0</v>
      </c>
      <c r="DS21" s="87" t="e">
        <f t="shared" ca="1" si="21"/>
        <v>#N/A</v>
      </c>
      <c r="DT21" s="87">
        <f t="shared" ca="1" si="22"/>
        <v>0</v>
      </c>
      <c r="DU21" s="87" t="e">
        <f t="shared" ca="1" si="23"/>
        <v>#N/A</v>
      </c>
      <c r="DV21" s="87" t="e">
        <f t="shared" ca="1" si="24"/>
        <v>#N/A</v>
      </c>
      <c r="DW21" s="87">
        <f t="shared" ca="1" si="25"/>
        <v>0</v>
      </c>
      <c r="DX21" s="87">
        <f t="shared" ca="1" si="26"/>
        <v>0</v>
      </c>
      <c r="DZ21" s="87">
        <f t="shared" ca="1" si="5"/>
        <v>0</v>
      </c>
      <c r="EB21" s="87">
        <f t="shared" ca="1" si="27"/>
        <v>0</v>
      </c>
      <c r="EC21" s="87" t="e">
        <f t="shared" ca="1" si="28"/>
        <v>#N/A</v>
      </c>
      <c r="EE21" s="228">
        <f>(IF(EE$7="X",VLOOKUP(EE$10,'VK-Hooned-Soojus'!$C:$X,2+$C21,FALSE),0)+IF(EE$6="X",VLOOKUP(EE$10,'VK-Transport'!$C:$X,2+$B21,0))+IF(EE$8="X",VLOOKUP(EE$10,'VK-Elekter'!$C:$X,2+$D21,0))+IF(EE$9="X",VLOOKUP(EE$10,'VK-Biokütused'!$C:$U,2+$E21,0))+IF(EE$5="X",VLOOKUP(EE$10,'VK-Põlevkivi'!$C:$X,2+$G21,0))+IF(EE$4="X",VLOOKUP(EE$10,'VK-Võrgud'!$C:$X,2+$F21,0)))</f>
        <v>4617.9769952023698</v>
      </c>
      <c r="EF21" s="235">
        <f>(IF(EF$7="X",VLOOKUP(EF$10,'VK-Hooned-Soojus'!$C:$X,2+$C21,FALSE),0)+IF(EF$6="X",VLOOKUP(EF$10,'VK-Transport'!$C:$X,2+$B21,0))+IF(EF$8="X",VLOOKUP(EF$10,'VK-Elekter'!$C:$X,2+$D21,0))+IF(EF$9="X",VLOOKUP(EF$10,'VK-Biokütused'!$C:$U,2+$E21,0)))/1000</f>
        <v>4.9526368215830612</v>
      </c>
      <c r="EG21" s="209">
        <f>(IF(EG$7="X",VLOOKUP(EG$10,'VK-Hooned-Soojus'!$C:$X,2+$C21,FALSE),0)+IF(EG$6="X",VLOOKUP(EG$10,'VK-Transport'!$C:$X,2+$B21,0))+IF(EG$8="X",VLOOKUP(EG$10,'VK-Elekter'!$C:$X,2+$D21,0))+IF(EG$9="X",VLOOKUP(EG$10,'VK-Biokütused'!$C:$U,2+$E21,0))+IF(EG$5="X",VLOOKUP(EG$10,'VK-Põlevkivi'!$C:$X,2+$G21,0))+IF(EG$4="X",VLOOKUP(EG$10,'VK-Võrgud'!$C:$X,2+$F21,0)))</f>
        <v>0.81</v>
      </c>
      <c r="EH21" s="209">
        <f>(IF(EH$7="X",VLOOKUP(EH$10,'VK-Hooned-Soojus'!$C:$X,2+$C21,FALSE),0)+IF(EH$6="X",VLOOKUP(EH$10,'VK-Transport'!$C:$X,2+$B21,0))+IF(EH$8="X",VLOOKUP(EH$10,'VK-Elekter'!$C:$X,2+$D21,0))+IF(EH$9="X",VLOOKUP(EH$10,'VK-Biokütused'!$C:$U,2+$E21,0)))+AR21+AS21+AU21+AX21</f>
        <v>48.285933070818039</v>
      </c>
      <c r="EI21" s="320">
        <f t="shared" si="6"/>
        <v>47.328055555555551</v>
      </c>
      <c r="EJ21" s="322">
        <f t="shared" si="7"/>
        <v>2.0156356925118721E-2</v>
      </c>
      <c r="EK21" s="323">
        <f t="shared" si="29"/>
        <v>0.44604055426563427</v>
      </c>
      <c r="EM21" s="209"/>
      <c r="EN21" s="209">
        <f t="shared" ca="1" si="8"/>
        <v>0</v>
      </c>
      <c r="EO21" s="209"/>
      <c r="EP21" s="234"/>
      <c r="EQ21" s="209">
        <f>(IF(EQ$7="X",VLOOKUP(EQ$10,'VK-Hooned-Soojus'!$C:$X,2+$C21,FALSE),0)+IF(EQ$6="X",VLOOKUP(EQ$10,'VK-Transport'!$C:$X,2+$B21,0))+IF(EQ$8="X",VLOOKUP(EQ$10,'VK-Elekter'!$C:$X,2+$D21,0))+IF(EQ$9="X",VLOOKUP(EQ$10,'VK-Biokütused'!$C:$U,2+$E21,0))+IF(EQ$5="X",VLOOKUP(EQ$10,'VK-Põlevkivi'!$C:$X,2+$G21,0))+IF(EQ$4="X",VLOOKUP(EQ$10,'VK-Võrgud'!$C:$X,2+$F21,0)))/1000</f>
        <v>0.22900000000000001</v>
      </c>
      <c r="ER21" s="209">
        <f>(IF(ER$7="X",VLOOKUP(ER$10,'VK-Hooned-Soojus'!$C:$X,2+$C21,FALSE),0)+IF(ER$6="X",VLOOKUP(ER$10,'VK-Transport'!$C:$X,2+$B21,0))+IF(ER$8="X",VLOOKUP(ER$10,'VK-Elekter'!$C:$X,2+$D21,0))+IF(ER$9="X",VLOOKUP(ER$10,'VK-Biokütused'!$C:$U,2+$E21,0))+IF(ER$5="X",VLOOKUP(ER$10,'VK-Põlevkivi'!$C:$X,2+$G21,0))+IF(ER$4="X",VLOOKUP(ER$10,'VK-Võrgud'!$C:$X,2+$F21,0)))</f>
        <v>0.82899999999999996</v>
      </c>
      <c r="ES21" s="209">
        <f>(IF(ES$7="X",VLOOKUP(ES$10,'VK-Hooned-Soojus'!$C:$X,2+$C21,FALSE),0)+IF(ES$6="X",VLOOKUP(ES$10,'VK-Transport'!$C:$X,2+$B21,0))+IF(ES$8="X",VLOOKUP(ES$10,'VK-Elekter'!$C:$X,2+$D21,0))+IF(ES$9="X",VLOOKUP(ES$10,'VK-Biokütused'!$C:$U,2+$E21,0))+IF(ES$5="X",VLOOKUP(ES$10,'VK-Põlevkivi'!$C:$X,2+$G21,0))+IF(ES$4="X",VLOOKUP(ES$10,'VK-Võrgud'!$C:$X,2+$F21,0)))</f>
        <v>11.370000000000001</v>
      </c>
      <c r="ET21" s="209"/>
      <c r="EU21" s="209"/>
      <c r="EV21" s="87">
        <f>'KSH järjestus'!AS14</f>
        <v>2041</v>
      </c>
      <c r="EX21" s="236"/>
      <c r="EY21" s="236"/>
      <c r="EZ21" s="237">
        <f t="shared" si="9"/>
        <v>0.36609829488465395</v>
      </c>
      <c r="FA21" s="209">
        <f>IF(FA$7="X",VLOOKUP(FA$10,'VK-Hooned-Soojus'!$C:$X,2+$C21,FALSE),0)+IF(FA$6="X",VLOOKUP(FA$10,'VK-Transport'!$C:$X,2+$B21,0))+IF(FA$8="X",VLOOKUP(FA$10,'VK-Elekter'!$C:$X,2+$D21,0))+IF(FA$9="X",VLOOKUP(FA$10,'VK-Biokütused'!$C:$U,2+$E21,0))+IF(FA$5="X",VLOOKUP(FA$10,'VK-Põlevkivi'!$C:$X,2+$G21,0))+IF(FA$4="X",VLOOKUP(FA$10,'VK-Võrgud'!$C:$X,2+$F21,0))</f>
        <v>3693.9070000000002</v>
      </c>
      <c r="FB21" s="279">
        <f>(IF(FB$7="X",VLOOKUP(FB$10,'VK-Hooned-Soojus'!$C:$X,2+$C21,FALSE),0)+IF(FB$6="X",VLOOKUP(FB$10,'VK-Transport'!$C:$X,2+$B21,0))+IF(FB$8="X",VLOOKUP(FB$10,'VK-Elekter'!$C:$X,2+$D21,0))+IF(FB$9="X",VLOOKUP(FB$10,'VK-Biokütused'!$C:$U,2+$E21,0))+IF(FB$5="X",VLOOKUP(FB$10,'VK-Põlevkivi'!$C:$X,2+$G21,0))+IF(FB$4="X",VLOOKUP(FB$10,'VK-Võrgud'!$C:$X,2+$F21,0)))/16</f>
        <v>226.47469583539902</v>
      </c>
      <c r="FC21" s="209">
        <f>IF(FC$7="X",VLOOKUP(FC$10,'VK-Hooned-Soojus'!$C:$X,2+$C21,FALSE),0)+IF(FC$6="X",VLOOKUP(FC$10,'VK-Transport'!$C:$X,2+$B21,0))+IF(FC$8="X",VLOOKUP(FC$10,'VK-Elekter'!$C:$X,2+$D21,0))+IF(FC$9="X",VLOOKUP(FC$10,'VK-Biokütused'!$C:$U,2+$E21,0))+IF(FC$5="X",VLOOKUP(FC$10,'VK-Põlevkivi'!$C:$X,2+$G21,0))+IF(FC$4="X",VLOOKUP(FC$10,'VK-Võrgud'!$C:$X,2+$F21,0))</f>
        <v>339.7</v>
      </c>
      <c r="FD21" s="209">
        <f>(IF(FD$7="X",VLOOKUP(FD$10,'VK-Hooned-Soojus'!$C:$X,2+$C21,FALSE),0)+IF(FD$6="X",VLOOKUP(FD$10,'VK-Transport'!$C:$X,2+$B21,0))+IF(FD$8="X",VLOOKUP(FD$10,'VK-Elekter'!$C:$X,2+$D21,0))+IF(FD$9="X",VLOOKUP(FD$10,'VK-Biokütused'!$C:$U,2+$E21,0))+IF(FD$5="X",VLOOKUP(FD$10,'VK-Põlevkivi'!$C:$X,2+$G21,0))+IF(FD$4="X",VLOOKUP(FD$10,'VK-Võrgud'!$C:$X,2+$F21,0)))/16</f>
        <v>226.47469583539902</v>
      </c>
      <c r="FE21" s="209">
        <f>(IF(FE$7="X",VLOOKUP(FE$10,'VK-Hooned-Soojus'!$C:$X,2+$C21,FALSE),0)+IF(FE$6="X",VLOOKUP(FE$10,'VK-Transport'!$C:$X,2+$B21,0))+IF(FE$8="X",VLOOKUP(FE$10,'VK-Elekter'!$C:$X,2+$D21,0))+IF(FE$9="X",VLOOKUP(FE$10,'VK-Biokütused'!$C:$U,2+$E21,0))+IF(FE$5="X",VLOOKUP(FE$10,'VK-Põlevkivi'!$C:$X,2+$G21,0))+IF(FE$4="X",VLOOKUP(FE$10,'VK-Võrgud'!$C:$X,2+$F21,0)))/16</f>
        <v>-15.233219880632102</v>
      </c>
      <c r="FF21" s="209">
        <f>(IF(FF$7="X",VLOOKUP(FF$10,'VK-Hooned-Soojus'!$C:$X,2+$C21,FALSE),0)+IF(FF$6="X",VLOOKUP(FF$10,'VK-Transport'!$C:$X,2+$B21,0))+IF(FF$8="X",VLOOKUP(FF$10,'VK-Elekter'!$C:$X,2+$D21,0))+IF(FF$9="X",VLOOKUP(FF$10,'VK-Biokütused'!$C:$U,2+$E21,0))+IF(FF$5="X",VLOOKUP(FF$10,'VK-Põlevkivi'!$C:$X,2+$G21,0))+IF(FF$4="X",VLOOKUP(FF$10,'VK-Võrgud'!$C:$X,2+$F21,0)))/16</f>
        <v>71.338947089066551</v>
      </c>
      <c r="FG21" s="88">
        <f t="shared" ca="1" si="30"/>
        <v>56.105727208434445</v>
      </c>
      <c r="FH21" s="88"/>
      <c r="FI21" s="88"/>
      <c r="FJ21" s="88">
        <f>VLOOKUP(Tulemused!$BN$12,data!M$7:N$12,2,FALSE)-SUM(L21,M21)</f>
        <v>-3.4066444444444528</v>
      </c>
      <c r="FK21" s="209" t="str">
        <f>IF(AZ21&lt;=VLOOKUP(Tulemused!$BN$15,data!$E$36:$F$39,2,FALSE),"JAH","EI")</f>
        <v>JAH</v>
      </c>
      <c r="FL21" s="235">
        <f ca="1">IF(ISNA(MATCH($A21,INDIRECT(VLOOKUP(Tulemused!$BF$11,data!$J$57:$M$71,4,FALSE)))),0,MATCH($A21,INDIRECT(VLOOKUP(Tulemused!$BF$11,data!$J$57:$M$71,4,FALSE))))</f>
        <v>0</v>
      </c>
      <c r="FM21" s="235" t="str">
        <f t="shared" ca="1" si="10"/>
        <v>JAH</v>
      </c>
      <c r="FN21" s="209">
        <f>VLOOKUP(Tulemused!$BN$13,data!$C$132:$D$137,2,FALSE)-KOMBI!R21</f>
        <v>2.5658331784169404</v>
      </c>
      <c r="FO21" s="209"/>
      <c r="FP21" s="209">
        <f>VLOOKUP(Tulemused!$BN$17,NO_x,2,FALSE)-CJ21</f>
        <v>9.6602782067571802</v>
      </c>
      <c r="FQ21" s="209">
        <f>VLOOKUP(Tulemused!$BN$18,SO_2,2,FALSE)-CK21</f>
        <v>44.290254612848777</v>
      </c>
      <c r="FR21" s="209">
        <f>VLOOKUP(Tulemused!$BN$19,LOU,2,FALSE)-CN21</f>
        <v>34.054000000000002</v>
      </c>
      <c r="FS21" s="209">
        <f>VLOOKUP(Tulemused!$BN$20,PM_2.5,2,FALSE)-CM21</f>
        <v>8.3171686429099037</v>
      </c>
      <c r="FT21" s="209">
        <f>VLOOKUP(Tulemused!$BN$13,data!$C$132:$D$137,2,FALSE)-FA21/1000</f>
        <v>2.5520630000000004</v>
      </c>
      <c r="FU21" s="209">
        <f>VLOOKUP(Tulemused!$BN$17,NO_x,2,FALSE)-CO21</f>
        <v>4.9963502267145437</v>
      </c>
      <c r="FV21" s="209">
        <f>VLOOKUP(Tulemused!$BN$18,SO_2,2,FALSE)-CP21</f>
        <v>44.84205141570439</v>
      </c>
      <c r="FW21" s="209">
        <f>VLOOKUP(Tulemused!$BN$19,LOU,2,FALSE)-CS21</f>
        <v>33.09384759487839</v>
      </c>
      <c r="FX21" s="209">
        <f>VLOOKUP(Tulemused!$BN$20,PM_2.5,2,FALSE)-CR21</f>
        <v>8.8092466437251957</v>
      </c>
      <c r="FY21" s="209">
        <f>VLOOKUP(Tulemused!$BN$14,KHG_2050,2,FALSE)-EF21</f>
        <v>95.047363178416944</v>
      </c>
      <c r="FZ21" s="231" t="str">
        <f t="shared" ca="1" si="31"/>
        <v>EI</v>
      </c>
      <c r="GA21" s="209"/>
      <c r="GB21" s="209"/>
      <c r="GC21" s="209"/>
      <c r="GD21" s="231"/>
      <c r="GE21" s="87">
        <f t="shared" si="11"/>
        <v>2041</v>
      </c>
      <c r="GF21" s="232" t="str">
        <f t="shared" ca="1" si="32"/>
        <v/>
      </c>
      <c r="GH21" s="238">
        <f t="shared" ca="1" si="12"/>
        <v>781</v>
      </c>
      <c r="GI21" s="87">
        <f t="array" aca="1" ref="GI21" ca="1">INDEX($A$11:$A$145, SMALL(IF(GH21=$GF$11:$GF$145, MATCH(ROW($GF$11:$GF$145), ROW($GF$11:$GF$145))), SUM(--(GH21=$GH$11:GH21))))</f>
        <v>121</v>
      </c>
      <c r="GM21" s="209">
        <f>IF(GM$7="X",VLOOKUP(GM$10,'VK-Hooned-Soojus'!$C:$X,2+$C21,FALSE),0)+IF(GM$6="X",VLOOKUP(GM$10,'VK-Transport'!$C:$X,2+$B21,0))+IF(GM$8="X",VLOOKUP(GM$10,'VK-Elekter'!$C:$X,2+$D21,0))+IF(GM$9="X",VLOOKUP(GM$10,'VK-Biokütused'!$C:$U,2+$E21,0))+IF(GM$5="X",VLOOKUP(GM$10,'VK-Põlevkivi'!$C:$X,2+$G21,0))+IF(GM$4="X",VLOOKUP(GM$10,'VK-Võrgud'!$C:$X,2+$F21,0))</f>
        <v>0</v>
      </c>
      <c r="GN21" s="209">
        <f>IF(GN$7="X",VLOOKUP(GN$10,'VK-Hooned-Soojus'!$C:$X,2+$C21,FALSE),0)+IF(GN$6="X",VLOOKUP(GN$10,'VK-Transport'!$C:$X,2+$B21,0))+IF(GN$8="X",VLOOKUP(GN$10,'VK-Elekter'!$C:$X,2+$D21,0))+IF(GN$9="X",VLOOKUP(GN$10,'VK-Biokütused'!$C:$U,2+$E21,0))+IF(GN$5="X",VLOOKUP(GN$10,'VK-Põlevkivi'!$C:$X,2+$G21,0))+IF(GN$4="X",VLOOKUP(GN$10,'VK-Võrgud'!$C:$X,2+$F21,0))</f>
        <v>7.5434676424145266</v>
      </c>
      <c r="GO21" s="209">
        <f>IF(GO$7="X",VLOOKUP(GO$10,'VK-Hooned-Soojus'!$C:$X,2+$C21,FALSE),0)+IF(GO$6="X",VLOOKUP(GO$10,'VK-Transport'!$C:$X,2+$B21,0))+IF(GO$8="X",VLOOKUP(GO$10,'VK-Elekter'!$C:$X,2+$D21,0))+IF(GO$9="X",VLOOKUP(GO$10,'VK-Biokütused'!$C:$U,2+$E21,0))+IF(GO$5="X",VLOOKUP(GO$10,'VK-Põlevkivi'!$C:$X,2+$G21,0))+IF(GO$4="X",VLOOKUP(GO$10,'VK-Võrgud'!$C:$X,2+$F21,0))</f>
        <v>8.7471755658278116</v>
      </c>
      <c r="GP21" s="209">
        <f>IF(GP$7="X",VLOOKUP(GP$10,'VK-Hooned-Soojus'!$C:$X,2+$C21,FALSE),0)+IF(GP$6="X",VLOOKUP(GP$10,'VK-Transport'!$C:$X,2+$B21,0))+IF(GP$8="X",VLOOKUP(GP$10,'VK-Elekter'!$C:$X,2+$D21,0))+IF(GP$9="X",VLOOKUP(GP$10,'VK-Biokütused'!$C:$U,2+$E21,0))+IF(GP$5="X",VLOOKUP(GP$10,'VK-Põlevkivi'!$C:$X,2+$G21,0))+IF(GP$4="X",VLOOKUP(GP$10,'VK-Võrgud'!$C:$X,2+$F21,0))</f>
        <v>9.3279335818485372</v>
      </c>
      <c r="GQ21" s="88">
        <f>IF(GQ$7="X",VLOOKUP(GQ$10,'VK-Hooned-Soojus'!$C:$X,2+$C21,FALSE),0)+IF(GQ$6="X",VLOOKUP(GQ$10,'VK-Transport'!$C:$X,2+$B21,0))+IF(GQ$8="X",VLOOKUP(GQ$10,'VK-Elekter'!$C:$X,2+$D21,0))+IF(GQ$9="X",VLOOKUP(GQ$10,'VK-Biokütused'!$C:$U,2+$E21,0))+IF(GQ$5="X",VLOOKUP(GQ$10,'VK-Põlevkivi'!$C:$X,2+$G21,0))+IF(GQ$4="X",VLOOKUP(GQ$10,'VK-Võrgud'!$C:$X,2+$F21,0))</f>
        <v>0.9682855968523334</v>
      </c>
      <c r="GR21" s="186">
        <f t="shared" si="33"/>
        <v>0.49227263537287047</v>
      </c>
    </row>
    <row r="22" spans="1:200" x14ac:dyDescent="0.2">
      <c r="A22" s="184">
        <v>12</v>
      </c>
      <c r="B22" s="87">
        <v>1</v>
      </c>
      <c r="C22" s="87">
        <v>1</v>
      </c>
      <c r="D22" s="87">
        <v>4</v>
      </c>
      <c r="E22" s="87">
        <v>3</v>
      </c>
      <c r="F22" s="87">
        <f>VLOOKUP(Tulemused!$BF$7,data!$J$6:$K$8,2,FALSE)</f>
        <v>2</v>
      </c>
      <c r="G22" s="87">
        <f>VLOOKUP(data!$H$2,data!$J$12:$K$14,2,FALSE)</f>
        <v>2</v>
      </c>
      <c r="I22" s="209">
        <f>IF(I$7="X",VLOOKUP(I$10,'VK-Hooned-Soojus'!$C:$X,2+$C22,FALSE),0)+IF(I$6="X",VLOOKUP(I$10,'VK-Transport'!$C:$X,2+$B22,0))+IF(I$8="X",VLOOKUP(I$10,'VK-Elekter'!$C:$X,2+$D22,0))+IF(I$9="X",VLOOKUP(I$10,'VK-Biokütused'!$C:$U,2+$E22,0))+IF(I$5="X",VLOOKUP(I$10,'VK-Põlevkivi'!$C:$X,2+$G22,0))+IF(I$4="X",VLOOKUP(I$10,'VK-Võrgud'!$C:$X,2+$F22,0))</f>
        <v>26.89</v>
      </c>
      <c r="J22" s="209">
        <f>IF(J$7="X",VLOOKUP(J$10,'VK-Hooned-Soojus'!$C:$X,2+$C22,FALSE),0)+IF(J$6="X",VLOOKUP(J$10,'VK-Transport'!$C:$X,2+$B22,0))+IF(J$8="X",VLOOKUP(J$10,'VK-Elekter'!$C:$X,2+$D22,0))+IF(J$9="X",VLOOKUP(J$10,'VK-Biokütused'!$C:$U,2+$E22,0))+IF(J$5="X",VLOOKUP(J$10,'VK-Põlevkivi'!$C:$X,2+$G22,0))+IF(J$4="X",VLOOKUP(J$10,'VK-Võrgud'!$C:$X,2+$F22,0))</f>
        <v>13.295833333333334</v>
      </c>
      <c r="K22" s="209">
        <f>IF(K$7="X",VLOOKUP(K$10,'VK-Hooned-Soojus'!$C:$X,2+$C22,FALSE),0)+IF(K$6="X",VLOOKUP(K$10,'VK-Transport'!$C:$X,2+$B22,0))+IF(K$8="X",VLOOKUP(K$10,'VK-Elekter'!$C:$X,2+$D22,0))+IF(K$9="X",VLOOKUP(K$10,'VK-Biokütused'!$C:$U,2+$E22,0))+IF(K$5="X",VLOOKUP(K$10,'VK-Põlevkivi'!$C:$X,2+$G22,0))+IF(K$4="X",VLOOKUP(K$10,'VK-Võrgud'!$C:$X,2+$F22,0))</f>
        <v>16.75</v>
      </c>
      <c r="L22" s="209">
        <f>IF(L$7="X",VLOOKUP(L$10,'VK-Hooned-Soojus'!$C:$X,2+$C22,FALSE),0)+IF(L$6="X",VLOOKUP(L$10,'VK-Transport'!$C:$X,2+$B22,0))+IF(L$8="X",VLOOKUP(L$10,'VK-Elekter'!$C:$X,2+$D22,0))+IF(L$9="X",VLOOKUP(L$10,'VK-Biokütused'!$C:$U,2+$E22,0))+IF(L$5="X",VLOOKUP(L$10,'VK-Põlevkivi'!$C:$X,2+$G22,0))+IF(L$4="X",VLOOKUP(L$10,'VK-Võrgud'!$C:$X,2+$F22,0))</f>
        <v>24.95</v>
      </c>
      <c r="M22" s="209">
        <f>IF(M$7="X",VLOOKUP(M$10,'VK-Hooned-Soojus'!$C:$X,2+$C22,FALSE),0)+IF(M$6="X",VLOOKUP(M$10,'VK-Transport'!$C:$X,2+$B22,0))+IF(M$8="X",VLOOKUP(M$10,'VK-Elekter'!$C:$X,2+$D22,0))+IF(M$9="X",VLOOKUP(M$10,'VK-Biokütused'!$C:$U,2+$E22,0))+IF(M$5="X",VLOOKUP(M$10,'VK-Põlevkivi'!$C:$X,2+$G22,0))+IF(M$4="X",VLOOKUP(M$10,'VK-Võrgud'!$C:$X,2+$F22,0))</f>
        <v>11.289444444444445</v>
      </c>
      <c r="N22" s="209">
        <f>IF(N$7="X",VLOOKUP(N$10,'VK-Hooned-Soojus'!$C:$X,2+$C22,FALSE),0)+IF(N$6="X",VLOOKUP(N$10,'VK-Transport'!$C:$X,2+$B22,0))+IF(N$8="X",VLOOKUP(N$10,'VK-Elekter'!$C:$X,2+$D22,0))+IF(N$9="X",VLOOKUP(N$10,'VK-Biokütused'!$C:$U,2+$E22,0))+IF(N$5="X",VLOOKUP(N$10,'VK-Põlevkivi'!$C:$X,2+$G22,0))+IF(N$4="X",VLOOKUP(N$10,'VK-Võrgud'!$C:$X,2+$F22,0))</f>
        <v>16.75</v>
      </c>
      <c r="O22" s="209">
        <f t="shared" si="13"/>
        <v>40.185833333333335</v>
      </c>
      <c r="P22" s="209"/>
      <c r="Q22" s="209">
        <f>(IF(Q$7="X",VLOOKUP(Q$10,'VK-Hooned-Soojus'!$C:$X,2+$C22,FALSE),0)+IF(Q$6="X",VLOOKUP(Q$10,'VK-Transport'!$C:$X,2+$B22,0))+IF(Q$8="X",VLOOKUP(Q$10,'VK-Elekter'!$C:$X,2+$D22,0))+IF(Q$9="X",VLOOKUP(Q$10,'VK-Biokütused'!$C:$U,2+$E22,0))+IF(Q$5="X",VLOOKUP(Q$10,'VK-Põlevkivi'!$C:$X,2+$G22,0))+IF(Q$4="X",VLOOKUP(Q$10,'VK-Võrgud'!$C:$X,2+$F22,0)))/1000</f>
        <v>1.6020000000000001</v>
      </c>
      <c r="R22" s="209">
        <f>(IF(R$7="X",VLOOKUP(R$10,'VK-Hooned-Soojus'!$C:$X,2+$C22,FALSE),0)+IF(R$6="X",VLOOKUP(R$10,'VK-Transport'!$C:$X,2+$B22,0))+IF(R$8="X",VLOOKUP(R$10,'VK-Elekter'!$C:$X,2+$D22,0))+IF(R$9="X",VLOOKUP(R$10,'VK-Biokütused'!$C:$U,2+$E22,0))+IF(R$5="X",VLOOKUP(R$10,'VK-Põlevkivi'!$C:$X,2+$G22,0))+IF(R$4="X",VLOOKUP(R$10,'VK-Võrgud'!$C:$X,2+$F22,0)))/1000</f>
        <v>3.8888368215830607</v>
      </c>
      <c r="S22" s="226">
        <f>VLOOKUP(S$10,'VK-Hooned-Soojus'!$C:$I,2+$C22,FALSE) + VLOOKUP(S$10,'VK-Transport'!$C:$I,2+$B22,FALSE)+ VLOOKUP(S$10,'VK-Biokütused'!$C:$G,2+$E22,FALSE)+ VLOOKUP(S$10,'VK-Elekter'!$C:$I,2+$D22,FALSE)+ VLOOKUP(S$10,'VK-Põlevkivi'!$C:$I,2+$G22,FALSE)+ VLOOKUP(S$10,'VK-Võrgud'!$C:$I,2+$F22,FALSE)</f>
        <v>1.3796504639261662E-2</v>
      </c>
      <c r="T22" s="226">
        <f>VLOOKUP(T$10,'VK-Hooned-Soojus'!$C:$I,2+$C22,FALSE) + VLOOKUP(T$10,'VK-Transport'!$C:$I,2+$B22,FALSE)+ VLOOKUP(T$10,'VK-Biokütused'!$C:$G,2+$E22,FALSE)+ VLOOKUP(T$10,'VK-Elekter'!$C:$I,2+$D22,FALSE)+ VLOOKUP(T$10,'VK-Põlevkivi'!$C:$I,2+$G22,FALSE)+ VLOOKUP(T$10,'VK-Võrgud'!$C:$I,2+$F22,FALSE)</f>
        <v>-5.8437507408838508E-3</v>
      </c>
      <c r="U22" s="226">
        <f>VLOOKUP(U$10,'VK-Hooned-Soojus'!$C:$I,2+$C22,FALSE) + VLOOKUP(U$10,'VK-Transport'!$C:$I,2+$B22,FALSE)+ VLOOKUP(U$10,'VK-Biokütused'!$C:$G,2+$E22,FALSE)+ VLOOKUP(U$10,'VK-Elekter'!$C:$I,2+$D22,FALSE)+ VLOOKUP(U$10,'VK-Põlevkivi'!$C:$I,2+$G22,FALSE)+ VLOOKUP(U$10,'VK-Võrgud'!$C:$I,2+$F22,FALSE)</f>
        <v>3.6030951081242046E-3</v>
      </c>
      <c r="V22" s="226">
        <f>VLOOKUP(V$10,'VK-Hooned-Soojus'!$C:$I,2+$C22,FALSE) + VLOOKUP(V$10,'VK-Transport'!$C:$I,2+$B22,FALSE)+ VLOOKUP(V$10,'VK-Biokütused'!$C:$G,2+$E22,FALSE)+ VLOOKUP(V$10,'VK-Elekter'!$C:$I,2+$D22,FALSE)+ VLOOKUP(V$10,'VK-Põlevkivi'!$C:$I,2+$G22,FALSE)+ VLOOKUP(V$10,'VK-Võrgud'!$C:$I,2+$F22,FALSE)</f>
        <v>1.0308824756950167E-2</v>
      </c>
      <c r="W22" s="226">
        <f>VLOOKUP(W$10,'VK-Hooned-Soojus'!$C:$I,2+$C22,FALSE) + VLOOKUP(W$10,'VK-Transport'!$C:$I,2+$B22,FALSE)+ VLOOKUP(W$10,'VK-Biokütused'!$C:$G,2+$E22,FALSE)+ VLOOKUP(W$10,'VK-Elekter'!$C:$I,2+$D22,FALSE)+ VLOOKUP(W$10,'VK-Põlevkivi'!$C:$I,2+$G22,FALSE)+ VLOOKUP(W$10,'VK-Võrgud'!$C:$I,2+$F22,FALSE)</f>
        <v>-1.2231434101243572E-2</v>
      </c>
      <c r="X22" s="226">
        <f>VLOOKUP(X$10,'VK-Hooned-Soojus'!$C:$I,2+$C22,FALSE) + VLOOKUP(X$10,'VK-Transport'!$C:$I,2+$B22,FALSE)+ VLOOKUP(X$10,'VK-Biokütused'!$C:$G,2+$E22,FALSE)+ VLOOKUP(X$10,'VK-Elekter'!$C:$I,2+$D22,FALSE)+ VLOOKUP(X$10,'VK-Põlevkivi'!$C:$I,2+$G22,FALSE)+ VLOOKUP(X$10,'VK-Võrgud'!$C:$I,2+$F22,FALSE)</f>
        <v>-0.1375933959399607</v>
      </c>
      <c r="Y22" s="226">
        <f>VLOOKUP(Y$10,'VK-Hooned-Soojus'!$C:$I,2+$C22,FALSE) + VLOOKUP(Y$10,'VK-Transport'!$C:$I,2+$B22,FALSE)+ VLOOKUP(Y$10,'VK-Biokütused'!$C:$G,2+$E22,FALSE)+ VLOOKUP(Y$10,'VK-Elekter'!$C:$I,2+$D22,FALSE)+ VLOOKUP(Y$10,'VK-Põlevkivi'!$C:$I,2+$G22,FALSE)+ VLOOKUP(Y$10,'VK-Võrgud'!$C:$I,2+$F22,FALSE)</f>
        <v>-4.6424569850983331E-2</v>
      </c>
      <c r="Z22" s="227">
        <f>(S22*Tulemused!$Q$9*10+T22*Tulemused!$Q$10*10+KOMBI!U22*Tulemused!$Q$11*10+KOMBI!V22*Tulemused!$Q$12*10)*Tulemused!$Q$8+-(W22*Tulemused!$Q$14*10+KOMBI!X22*Tulemused!$Q$15*10+KOMBI!Y22*Tulemused!$Q$16*10)*Tulemused!$Q$13</f>
        <v>6.4530570180989058</v>
      </c>
      <c r="AA22" s="228">
        <f>(IF(AA$7="X",VLOOKUP(AA$10,'VK-Hooned-Soojus'!$C:$X,2+$C22,FALSE),0)+IF(AA$6="X",VLOOKUP(AA$10,'VK-Transport'!$C:$X,2+$B22,0))+IF(AA$8="X",VLOOKUP(AA$10,'VK-Elekter'!$C:$X,2+$D22,0))+IF(AA$9="X",VLOOKUP(AA$10,'VK-Biokütused'!$C:$U,2+$E22,0))+IF(AA$5="X",VLOOKUP(AA$10,'VK-Põlevkivi'!$C:$X,2+$G22,0))+IF(AA$4="X",VLOOKUP(AA$10,'VK-Võrgud'!$C:$X,2+$F22,0)))</f>
        <v>0</v>
      </c>
      <c r="AB22" s="228">
        <f>(IF(AB$7="X",VLOOKUP(AB$10,'VK-Hooned-Soojus'!$C:$X,2+$C22,FALSE),0)+IF(AB$6="X",VLOOKUP(AB$10,'VK-Transport'!$C:$X,2+$B22,0))+IF(AB$8="X",VLOOKUP(AB$10,'VK-Elekter'!$C:$X,2+$D22,0))+IF(AB$9="X",VLOOKUP(AB$10,'VK-Biokütused'!$C:$U,2+$E22,0))+IF(AB$5="X",VLOOKUP(AB$10,'VK-Põlevkivi'!$C:$X,2+$G22,0))+IF(AB$4="X",VLOOKUP(AB$10,'VK-Võrgud'!$C:$X,2+$F22,0)))</f>
        <v>1602</v>
      </c>
      <c r="AC22" s="228">
        <f>(IF(AC$7="X",VLOOKUP(AC$10,'VK-Hooned-Soojus'!$C:$X,2+$C22,FALSE),0)+IF(AC$6="X",VLOOKUP(AC$10,'VK-Transport'!$C:$X,2+$B22,0))+IF(AC$8="X",VLOOKUP(AC$10,'VK-Elekter'!$C:$X,2+$D22,0))+IF(AC$9="X",VLOOKUP(AC$10,'VK-Biokütused'!$C:$U,2+$E22,0))+IF(AC$5="X",VLOOKUP(AC$10,'VK-Põlevkivi'!$C:$X,2+$G22,0))+IF(AC$4="X",VLOOKUP(AC$10,'VK-Võrgud'!$C:$X,2+$F22,0)))</f>
        <v>2346</v>
      </c>
      <c r="AD22" s="228">
        <f>(IF(AD$7="X",VLOOKUP(AD$10,'VK-Hooned-Soojus'!$C:$X,2+$C22,FALSE),0)+IF(AD$6="X",VLOOKUP(AD$10,'VK-Transport'!$C:$X,2+$B22,0))+IF(AD$8="X",VLOOKUP(AD$10,'VK-Elekter'!$C:$X,2+$D22,0))+IF(AD$9="X",VLOOKUP(AD$10,'VK-Biokütused'!$C:$U,2+$E22,0))+IF(AD$5="X",VLOOKUP(AD$10,'VK-Põlevkivi'!$C:$X,2+$G22,0))+IF(AD$4="X",VLOOKUP(AD$10,'VK-Võrgud'!$C:$X,2+$F22,0)))</f>
        <v>586.20000000000005</v>
      </c>
      <c r="AE22" s="228">
        <f>(IF(AE$7="X",VLOOKUP(AE$10,'VK-Hooned-Soojus'!$C:$X,2+$C22,FALSE),0)+IF(AE$6="X",VLOOKUP(AE$10,'VK-Transport'!$C:$X,2+$B22,0))+IF(AE$8="X",VLOOKUP(AE$10,'VK-Elekter'!$C:$X,2+$D22,0))+IF(AE$9="X",VLOOKUP(AE$10,'VK-Biokütused'!$C:$U,2+$E22,0))+IF(AE$5="X",VLOOKUP(AE$10,'VK-Põlevkivi'!$C:$X,2+$G22,0))+IF(AE$4="X",VLOOKUP(AE$10,'VK-Võrgud'!$C:$X,2+$F22,0)))</f>
        <v>812</v>
      </c>
      <c r="AF22" s="228">
        <f>(IF(AF$7="X",VLOOKUP(AF$10,'VK-Hooned-Soojus'!$C:$X,2+$C22,FALSE),0)+IF(AF$6="X",VLOOKUP(AF$10,'VK-Transport'!$C:$X,2+$B22,0))+IF(AF$8="X",VLOOKUP(AF$10,'VK-Elekter'!$C:$X,2+$D22,0))+IF(AF$9="X",VLOOKUP(AF$10,'VK-Biokütused'!$C:$U,2+$E22,0))+IF(AF$5="X",VLOOKUP(AF$10,'VK-Põlevkivi'!$C:$X,2+$G22,0))+IF(AF$4="X",VLOOKUP(AF$10,'VK-Võrgud'!$C:$X,2+$F22,0)))</f>
        <v>2490.6368215830603</v>
      </c>
      <c r="AG22" s="209"/>
      <c r="AH22" s="209">
        <f>IF(AH$7="X",VLOOKUP(AH$10,'VK-Hooned-Soojus'!$C:$X,2+$C22,FALSE),0)+IF(AH$6="X",VLOOKUP(AH$10,'VK-Transport'!$C:$X,2+$B22,0))+IF(AH$8="X",VLOOKUP(AH$10,'VK-Elekter'!$C:$X,2+$D22,0))+IF(AH$9="X",VLOOKUP(AH$10,'VK-Biokütused'!$C:$U,2+$E22,0))+IF(AH$5="X",VLOOKUP(AH$10,'VK-Põlevkivi'!$C:$X,2+$G22,0))+IF(AH$4="X",VLOOKUP(AH$10,'VK-Võrgud'!$C:$X,2+$F22,0))</f>
        <v>0</v>
      </c>
      <c r="AI22" s="209">
        <f>IF(AI$7="X",VLOOKUP(AI$10,'VK-Hooned-Soojus'!$C:$X,2+$C22,FALSE),0)+IF(AI$6="X",VLOOKUP(AI$10,'VK-Transport'!$C:$X,2+$B22,0))+IF(AI$8="X",VLOOKUP(AI$10,'VK-Elekter'!$C:$X,2+$D22,0))+IF(AI$9="X",VLOOKUP(AI$10,'VK-Biokütused'!$C:$U,2+$E22,0))+IF(AI$5="X",VLOOKUP(AI$10,'VK-Põlevkivi'!$C:$X,2+$G22,0))+IF(AI$4="X",VLOOKUP(AI$10,'VK-Võrgud'!$C:$X,2+$F22,0))</f>
        <v>11.489999999999998</v>
      </c>
      <c r="AJ22" s="209">
        <f>IF(AJ$7="X",VLOOKUP(AJ$10,'VK-Hooned-Soojus'!$C:$X,2+$C22,FALSE),0)+IF(AJ$6="X",VLOOKUP(AJ$10,'VK-Transport'!$C:$X,2+$B22,0))+IF(AJ$8="X",VLOOKUP(AJ$10,'VK-Elekter'!$C:$X,2+$D22,0))+IF(AJ$9="X",VLOOKUP(AJ$10,'VK-Biokütused'!$C:$U,2+$E22,0))+IF(AJ$5="X",VLOOKUP(AJ$10,'VK-Põlevkivi'!$C:$X,2+$G22,0))+IF(AJ$4="X",VLOOKUP(AJ$10,'VK-Võrgud'!$C:$X,2+$F22,0))</f>
        <v>0</v>
      </c>
      <c r="AK22" s="209">
        <f>IF(AK$7="X",VLOOKUP(AK$10,'VK-Hooned-Soojus'!$C:$X,2+$C22,FALSE),0)+IF(AK$6="X",VLOOKUP(AK$10,'VK-Transport'!$C:$X,2+$B22,0))+IF(AK$8="X",VLOOKUP(AK$10,'VK-Elekter'!$C:$X,2+$D22,0))+IF(AK$9="X",VLOOKUP(AK$10,'VK-Biokütused'!$C:$U,2+$E22,0))+IF(AK$5="X",VLOOKUP(AK$10,'VK-Põlevkivi'!$C:$X,2+$G22,0))+IF(AK$4="X",VLOOKUP(AK$10,'VK-Võrgud'!$C:$X,2+$F22,0))</f>
        <v>3.65</v>
      </c>
      <c r="AL22" s="209">
        <f>IF(AL$7="X",VLOOKUP(AL$10,'VK-Hooned-Soojus'!$C:$X,2+$C22,FALSE),0)+IF(AL$6="X",VLOOKUP(AL$10,'VK-Transport'!$C:$X,2+$B22,0))+IF(AL$8="X",VLOOKUP(AL$10,'VK-Elekter'!$C:$X,2+$D22,0))+IF(AL$9="X",VLOOKUP(AL$10,'VK-Biokütused'!$C:$U,2+$E22,0))+IF(AL$5="X",VLOOKUP(AL$10,'VK-Põlevkivi'!$C:$X,2+$G22,0))+IF(AL$4="X",VLOOKUP(AL$10,'VK-Võrgud'!$C:$X,2+$F22,0))</f>
        <v>7.1999999999999993</v>
      </c>
      <c r="AM22" s="209">
        <f>IF(AM$7="X",VLOOKUP(AM$10,'VK-Hooned-Soojus'!$C:$X,2+$C22,FALSE),0)+IF(AM$6="X",VLOOKUP(AM$10,'VK-Transport'!$C:$X,2+$B22,0))+IF(AM$8="X",VLOOKUP(AM$10,'VK-Elekter'!$C:$X,2+$D22,0))+IF(AM$9="X",VLOOKUP(AM$10,'VK-Biokütused'!$C:$U,2+$E22,0))+IF(AM$5="X",VLOOKUP(AM$10,'VK-Põlevkivi'!$C:$X,2+$G22,0))+IF(AM$4="X",VLOOKUP(AM$10,'VK-Võrgud'!$C:$X,2+$F22,0))</f>
        <v>12.9</v>
      </c>
      <c r="AN22" s="209">
        <f>IF(AN$7="X",VLOOKUP(AN$10,'VK-Hooned-Soojus'!$C:$X,2+$C22,FALSE),0)+IF(AN$6="X",VLOOKUP(AN$10,'VK-Transport'!$C:$X,2+$B22,0))+IF(AN$8="X",VLOOKUP(AN$10,'VK-Elekter'!$C:$X,2+$D22,0))+IF(AN$9="X",VLOOKUP(AN$10,'VK-Biokütused'!$C:$U,2+$E22,0))+IF(AN$5="X",VLOOKUP(AN$10,'VK-Põlevkivi'!$C:$X,2+$G22,0))+IF(AN$4="X",VLOOKUP(AN$10,'VK-Võrgud'!$C:$X,2+$F22,0))</f>
        <v>5.6999999999999993</v>
      </c>
      <c r="AO22" s="209">
        <f>IF(AO$7="X",VLOOKUP(AO$10,'VK-Hooned-Soojus'!$C:$X,2+$C22,FALSE),0)+IF(AO$6="X",VLOOKUP(AO$10,'VK-Transport'!$C:$X,2+$B22,0))+IF(AO$8="X",VLOOKUP(AO$10,'VK-Elekter'!$C:$X,2+$D22,0))+IF(AO$9="X",VLOOKUP(AO$10,'VK-Biokütused'!$C:$U,2+$E22,0))+IF(AO$5="X",VLOOKUP(AO$10,'VK-Põlevkivi'!$C:$X,2+$G22,0))+IF(AO$4="X",VLOOKUP(AO$10,'VK-Võrgud'!$C:$X,2+$F22,0))</f>
        <v>22.740000000000002</v>
      </c>
      <c r="AP22" s="209">
        <f>IF(AP$7="X",VLOOKUP(AP$10,'VK-Hooned-Soojus'!$C:$X,2+$C22,FALSE),0)+IF(AP$6="X",VLOOKUP(AP$10,'VK-Transport'!$C:$X,2+$B22,0))+IF(AP$8="X",VLOOKUP(AP$10,'VK-Elekter'!$C:$X,2+$D22,0))+IF(AP$9="X",VLOOKUP(AP$10,'VK-Biokütused'!$C:$U,2+$E22,0))+IF(AP$5="X",VLOOKUP(AP$10,'VK-Põlevkivi'!$C:$X,2+$G22,0))+IF(AP$4="X",VLOOKUP(AP$10,'VK-Võrgud'!$C:$X,2+$F22,0))</f>
        <v>11.370000000000001</v>
      </c>
      <c r="AQ22" s="320">
        <f t="shared" si="14"/>
        <v>10.440000000000001</v>
      </c>
      <c r="AR22" s="209">
        <f>IF(AR$7="X",VLOOKUP(AR$10,'VK-Hooned-Soojus'!$C:$X,2+$C22,FALSE),0)+IF(AR$6="X",VLOOKUP(AR$10,'VK-Transport'!$C:$X,2+$B22,0))+IF(AR$8="X",VLOOKUP(AR$10,'VK-Elekter'!$C:$X,2+$D22,0))+IF(AR$9="X",VLOOKUP(AR$10,'VK-Biokütused'!$C:$U,2+$E22,0))+IF(AR$5="X",VLOOKUP(AR$10,'VK-Põlevkivi'!$C:$X,2+$G22,0))+IF(AR$4="X",VLOOKUP(AR$10,'VK-Võrgud'!$C:$X,2+$F22,0))</f>
        <v>1.1000000000000001</v>
      </c>
      <c r="AS22" s="320">
        <f>VLOOKUP("Kütuste tarbimine @ 2030 - UTTEGAAS",'VK-Hooned-Soojus'!$C:$X,2+$C22,FALSE)/0.172+VLOOKUP("Kütuste tarbimine @ 2030 - UTTEGAAS",'VK-Elekter'!$C:$X,2+$D22,FALSE)/0.172-AR22-AU22</f>
        <v>-1.1000000000000001</v>
      </c>
      <c r="AT22" s="209">
        <f>IF(AT$7="X",VLOOKUP(AT$10,'VK-Hooned-Soojus'!$C:$X,2+$C22,FALSE),0)+IF(AT$6="X",VLOOKUP(AT$10,'VK-Transport'!$C:$X,2+$B22,0))+IF(AT$8="X",VLOOKUP(AT$10,'VK-Elekter'!$C:$X,2+$D22,0))+IF(AT$9="X",VLOOKUP(AT$10,'VK-Biokütused'!$C:$U,2+$E22,0))+IF(AT$5="X",VLOOKUP(AT$10,'VK-Põlevkivi'!$C:$X,2+$G22,0))+IF(AT$4="X",VLOOKUP(AT$10,'VK-Võrgud'!$C:$X,2+$F22,0))</f>
        <v>12.004929222526066</v>
      </c>
      <c r="AU22" s="229">
        <f>MAX(0,(VLOOKUP("Kütuste tarbimine @ 2030 - UTTEGAAS",'VK-Hooned-Soojus'!$C:$X,2+$C22,FALSE)/0.172+VLOOKUP("Kütuste tarbimine @ 2030 - UTTEGAAS",'VK-Elekter'!$C:$X,2+$D22,FALSE)/0.172)*0.52-VLOOKUP("Kütuste tarbimine @ 2030 - PÕLEVKIVIÕLI",'VK-Hooned-Soojus'!$C:$X,2+$C22,FALSE))</f>
        <v>0</v>
      </c>
      <c r="AV22" s="209">
        <f>IF(AV$7="X",VLOOKUP(AV$10,'VK-Hooned-Soojus'!$C:$X,2+$C22,FALSE),0)+IF(AV$6="X",VLOOKUP(AV$10,'VK-Transport'!$C:$X,2+$B22,0))+IF(AV$8="X",VLOOKUP(AV$10,'VK-Elekter'!$C:$X,2+$D22,0))+IF(AV$9="X",VLOOKUP(AV$10,'VK-Biokütused'!$C:$U,2+$E22,0))+IF(AV$5="X",VLOOKUP(AV$10,'VK-Põlevkivi'!$C:$X,2+$G22,0))+IF(AV$4="X",VLOOKUP(AV$10,'VK-Võrgud'!$C:$X,2+$F22,0))</f>
        <v>1.1831224847375093</v>
      </c>
      <c r="AW22" s="209">
        <f>IF(AW$7="X",VLOOKUP(AW$10,'VK-Hooned-Soojus'!$C:$X,2+$C22,FALSE),0)+IF(AW$6="X",VLOOKUP(AW$10,'VK-Transport'!$C:$X,2+$B22,0))+IF(AW$8="X",VLOOKUP(AW$10,'VK-Elekter'!$C:$X,2+$D22,0))+IF(AW$9="X",VLOOKUP(AW$10,'VK-Biokütused'!$C:$U,2+$E22,0))+IF(AW$5="X",VLOOKUP(AW$10,'VK-Põlevkivi'!$C:$X,2+$G22,0))+IF(AW$4="X",VLOOKUP(AW$10,'VK-Võrgud'!$C:$X,2+$F22,0))</f>
        <v>4.2799999999999994</v>
      </c>
      <c r="AX22" s="229">
        <f t="shared" si="34"/>
        <v>3.0968775152624901</v>
      </c>
      <c r="AY22" s="229">
        <f t="shared" si="15"/>
        <v>0</v>
      </c>
      <c r="AZ22" s="230">
        <f t="shared" si="0"/>
        <v>0.67179876395310423</v>
      </c>
      <c r="BA22" s="209">
        <f>IF(BA$7="X",VLOOKUP(BA$10,'VK-Hooned-Soojus'!$C:$X,2+$C22,FALSE),0)+IF(BA$6="X",VLOOKUP(BA$10,'VK-Transport'!$C:$X,2+$B22,0))+IF(BA$8="X",VLOOKUP(BA$10,'VK-Elekter'!$C:$X,2+$D22,0))+IF(BA$9="X",VLOOKUP(BA$10,'VK-Biokütused'!$C:$U,2+$E22,0))+IF(BA$5="X",VLOOKUP(BA$10,'VK-Põlevkivi'!$C:$X,2+$G22,0))+IF(BA$4="X",VLOOKUP(BA$10,'VK-Võrgud'!$C:$X,2+$F22,0))</f>
        <v>0</v>
      </c>
      <c r="BB22" s="209">
        <f>IF(BB$7="X",VLOOKUP(BB$10,'VK-Hooned-Soojus'!$C:$X,2+$C22,FALSE),0)+IF(BB$6="X",VLOOKUP(BB$10,'VK-Transport'!$C:$X,2+$B22,0))+IF(BB$8="X",VLOOKUP(BB$10,'VK-Elekter'!$C:$X,2+$D22,0))+IF(BB$9="X",VLOOKUP(BB$10,'VK-Biokütused'!$C:$U,2+$E22,0))+IF(BB$5="X",VLOOKUP(BB$10,'VK-Põlevkivi'!$C:$X,2+$G22,0))+IF(BB$4="X",VLOOKUP(BB$10,'VK-Võrgud'!$C:$X,2+$F22,0))</f>
        <v>6.32</v>
      </c>
      <c r="BC22" s="209">
        <f>IF(BC$7="X",VLOOKUP(BC$10,'VK-Hooned-Soojus'!$C:$X,2+$C22,FALSE),0)+IF(BC$6="X",VLOOKUP(BC$10,'VK-Transport'!$C:$X,2+$B22,0))+IF(BC$8="X",VLOOKUP(BC$10,'VK-Elekter'!$C:$X,2+$D22,0))+IF(BC$9="X",VLOOKUP(BC$10,'VK-Biokütused'!$C:$U,2+$E22,0))+IF(BC$5="X",VLOOKUP(BC$10,'VK-Põlevkivi'!$C:$X,2+$G22,0))+IF(BC$4="X",VLOOKUP(BC$10,'VK-Võrgud'!$C:$X,2+$F22,0))</f>
        <v>8.0523611111111126</v>
      </c>
      <c r="BD22" s="209">
        <f>IF(BD$7="X",VLOOKUP(BD$10,'VK-Hooned-Soojus'!$C:$X,2+$C22,FALSE),0)+IF(BD$6="X",VLOOKUP(BD$10,'VK-Transport'!$C:$X,2+$B22,0))+IF(BD$8="X",VLOOKUP(BD$10,'VK-Elekter'!$C:$X,2+$D22,0))+IF(BD$9="X",VLOOKUP(BD$10,'VK-Biokütused'!$C:$U,2+$E22,0))+IF(BD$5="X",VLOOKUP(BD$10,'VK-Põlevkivi'!$C:$X,2+$G22,0))+IF(BD$4="X",VLOOKUP(BD$10,'VK-Võrgud'!$C:$X,2+$F22,0))</f>
        <v>10.42138888888889</v>
      </c>
      <c r="BE22" s="230"/>
      <c r="BF22" s="229">
        <f t="shared" si="16"/>
        <v>0.54033748449096464</v>
      </c>
      <c r="BG22" s="209" t="e">
        <f>(IF(BG$7="X",VLOOKUP(BG$10,'VK-Hooned-Soojus'!$C:$X,2+$C22,FALSE),0)+IF(BG$6="X",VLOOKUP(BG$10,'VK-Transport'!$C:$X,2+$B22,0))+IF(BG$8="X",VLOOKUP(BG$10,'VK-Elekter'!$C:$X,2+$D22,0))+IF(BG$9="X",VLOOKUP(BG$10,'VK-Biokütused'!$C:$U,2+$E22,0))+IF(BG$5="X",VLOOKUP(BG$10,'VK-Põlevkivi'!$C:$X,2+$G22,0))+IF(BG$4="X",VLOOKUP(BG$10,'VK-Võrgud'!$C:$X,2+$F22,0)))/20</f>
        <v>#N/A</v>
      </c>
      <c r="BH22" s="209">
        <f>(IF(BH$7="X",VLOOKUP(BH$10,'VK-Hooned-Soojus'!$C:$X,2+$C22,FALSE),0)+IF(BH$6="X",VLOOKUP(BH$10,'VK-Transport'!$C:$X,2+$B22,0))+IF(BH$8="X",VLOOKUP(BH$10,'VK-Elekter'!$C:$X,2+$D22,0))+IF(BH$9="X",VLOOKUP(BH$10,'VK-Biokütused'!$C:$U,2+$E22,0))+IF(BH$5="X",VLOOKUP(BH$10,'VK-Põlevkivi'!$C:$X,2+$G22,0))+IF(BH$4="X",VLOOKUP(BH$10,'VK-Võrgud'!$C:$X,2+$F22,0)))/20</f>
        <v>13.99</v>
      </c>
      <c r="BI22" s="209">
        <f>(IF(BI$7="X",VLOOKUP(BI$10,'VK-Hooned-Soojus'!$C:$X,2+$C22,FALSE),0)+IF(BI$6="X",VLOOKUP(BI$10,'VK-Transport'!$C:$X,2+$B22,0))+IF(BI$8="X",VLOOKUP(BI$10,'VK-Elekter'!$C:$X,2+$D22,0))+IF(BI$9="X",VLOOKUP(BI$10,'VK-Biokütused'!$C:$U,2+$E22,0))+IF(BI$5="X",VLOOKUP(BI$10,'VK-Põlevkivi'!$C:$X,2+$G22,0))+IF(BI$4="X",VLOOKUP(BI$10,'VK-Võrgud'!$C:$X,2+$F22,0)))/16</f>
        <v>17.75</v>
      </c>
      <c r="BJ22" s="209">
        <f>(IF(BJ$7="X",VLOOKUP(BJ$10,'VK-Hooned-Soojus'!$C:$X,2+$C22,FALSE),0)+IF(BJ$6="X",VLOOKUP(BJ$10,'VK-Transport'!$C:$X,2+$B22,0))+IF(BJ$8="X",VLOOKUP(BJ$10,'VK-Elekter'!$C:$X,2+$D22,0))+IF(BJ$9="X",VLOOKUP(BJ$10,'VK-Biokütused'!$C:$U,2+$E22,0))+IF(BJ$5="X",VLOOKUP(BJ$10,'VK-Põlevkivi'!$C:$X,2+$G22,0))+IF(BJ$4="X",VLOOKUP(BJ$10,'VK-Võrgud'!$C:$X,2+$F22,0)))/20</f>
        <v>1.85</v>
      </c>
      <c r="BK22" s="209"/>
      <c r="BL22" s="209"/>
      <c r="BM22" s="209"/>
      <c r="BN22" s="209" t="e">
        <f>(IF(BN$7="X",VLOOKUP(BN$10,'VK-Hooned-Soojus'!$C:$X,2+$C22,FALSE),0)+IF(BN$6="X",VLOOKUP(BN$10,'VK-Transport'!$C:$X,2+$B22,0))+IF(BN$8="X",VLOOKUP(BN$10,'VK-Elekter'!$C:$X,2+$D22,0))+IF(BN$9="X",VLOOKUP(BN$10,'VK-Biokütused'!$C:$U,2+$E22,0))+IF(BN$5="X",VLOOKUP(BN$10,'VK-Põlevkivi'!$C:$X,2+$G22,0))+IF(BN$4="X",VLOOKUP(BN$10,'VK-Võrgud'!$C:$X,2+$F22,0)))/16</f>
        <v>#N/A</v>
      </c>
      <c r="BO22" s="209">
        <f>(IF(BO$7="X",VLOOKUP(BO$10,'VK-Hooned-Soojus'!$C:$X,2+$C22,FALSE),0)+IF(BO$6="X",VLOOKUP(BO$10,'VK-Transport'!$C:$X,2+$B22,0))+IF(BO$8="X",VLOOKUP(BO$10,'VK-Elekter'!$C:$X,2+$D22,0))+IF(BO$9="X",VLOOKUP(BO$10,'VK-Biokütused'!$C:$U,2+$E22,0))+IF(BO$5="X",VLOOKUP(BO$10,'VK-Põlevkivi'!$C:$X,2+$G22,0))+IF(BO$4="X",VLOOKUP(BO$10,'VK-Võrgud'!$C:$X,2+$F22,0)))/16</f>
        <v>496.33125000000001</v>
      </c>
      <c r="BP22" s="209"/>
      <c r="BQ22" s="209">
        <f>(IF(BQ$7="X",VLOOKUP(BQ$10,'VK-Hooned-Soojus'!$C:$X,2+$C22,FALSE),0)+IF(BQ$6="X",VLOOKUP(BQ$10,'VK-Transport'!$C:$X,2+$B22,0))+IF(BQ$8="X",VLOOKUP(BQ$10,'VK-Elekter'!$C:$X,2+$D22,0))+IF(BQ$9="X",VLOOKUP(BQ$10,'VK-Biokütused'!$C:$U,2+$E22,0))+IF(BQ$5="X",VLOOKUP(BQ$10,'VK-Põlevkivi'!$C:$X,2+$G22,0))+IF(BQ$4="X",VLOOKUP(BQ$10,'VK-Võrgud'!$C:$X,2+$F22,0)))/16</f>
        <v>4.7249999999999996</v>
      </c>
      <c r="BR22" s="209">
        <f>(IF(BR$7="X",VLOOKUP(BR$10,'VK-Hooned-Soojus'!$C:$X,2+$C22,FALSE),0)+IF(BR$6="X",VLOOKUP(BR$10,'VK-Transport'!$C:$X,2+$B22,0))+IF(BR$8="X",VLOOKUP(BR$10,'VK-Elekter'!$C:$X,2+$D22,0))+IF(BR$9="X",VLOOKUP(BR$10,'VK-Biokütused'!$C:$U,2+$E22,0))+IF(BR$5="X",VLOOKUP(BR$10,'VK-Põlevkivi'!$C:$X,2+$G22,0))+IF(BR$4="X",VLOOKUP(BR$10,'VK-Võrgud'!$C:$X,2+$F22,0)))/16</f>
        <v>-74.512500000000003</v>
      </c>
      <c r="BS22" s="209">
        <f>(IF(BS$7="X",VLOOKUP(BS$10,'VK-Hooned-Soojus'!$C:$X,2+$C22,FALSE),0)+IF(BS$6="X",VLOOKUP(BS$10,'VK-Transport'!$C:$X,2+$B22,0))+IF(BS$8="X",VLOOKUP(BS$10,'VK-Elekter'!$C:$X,2+$D22,0))+IF(BS$9="X",VLOOKUP(BS$10,'VK-Biokütused'!$C:$U,2+$E22,0))+IF(BS$5="X",VLOOKUP(BS$10,'VK-Põlevkivi'!$C:$X,2+$G22,0))+IF(BS$4="X",VLOOKUP(BS$10,'VK-Võrgud'!$C:$X,2+$F22,0)))/16</f>
        <v>-100.68125000000001</v>
      </c>
      <c r="BT22" s="209"/>
      <c r="BU22" s="209"/>
      <c r="BV22" s="209">
        <f>(IF(BV$7="X",VLOOKUP(BV$10,'VK-Hooned-Soojus'!$C:$X,2+$C22,FALSE),0)+IF(BV$6="X",VLOOKUP(BV$10,'VK-Transport'!$C:$X,2+$B22,0))+IF(BV$8="X",VLOOKUP(BV$10,'VK-Elekter'!$C:$X,2+$D22,0))+IF(BV$9="X",VLOOKUP(BV$10,'VK-Biokütused'!$C:$U,2+$E22,0))+IF(BV$5="X",VLOOKUP(BV$10,'VK-Põlevkivi'!$C:$X,2+$G22,0))+IF(BV$4="X",VLOOKUP(BV$10,'VK-Võrgud'!$C:$X,2+$F22,0)))/16</f>
        <v>0</v>
      </c>
      <c r="BW22" s="209"/>
      <c r="BX22" s="209">
        <f>(IF(BX$7="X",VLOOKUP(BX$10,'VK-Hooned-Soojus'!$C:$X,2+$C22,FALSE),0)+IF(BX$6="X",VLOOKUP(BX$10,'VK-Transport'!$C:$X,2+$B22,0))+IF(BX$8="X",VLOOKUP(BX$10,'VK-Elekter'!$C:$X,2+$D22,0))+IF(BX$9="X",VLOOKUP(BX$10,'VK-Biokütused'!$C:$U,2+$E22,0))+IF(BX$5="X",VLOOKUP(BX$10,'VK-Põlevkivi'!$C:$X,2+$G22,0))+IF(BX$4="X",VLOOKUP(BX$10,'VK-Võrgud'!$C:$X,2+$F22,0)))/16</f>
        <v>-19.25</v>
      </c>
      <c r="BY22" s="209"/>
      <c r="BZ22" s="209"/>
      <c r="CA22" s="209" t="e">
        <f>(IF(CA$7="X",VLOOKUP(CA$10,'VK-Hooned-Soojus'!$C:$X,2+$C22,FALSE),0)+IF(CA$6="X",VLOOKUP(CA$10,'VK-Transport'!$C:$X,2+$B22,0))+IF(CA$8="X",VLOOKUP(CA$10,'VK-Elekter'!$C:$X,2+$D22,0))+IF(CA$9="X",VLOOKUP(CA$10,'VK-Biokütused'!$C:$U,2+$E22,0))+IF(CA$5="X",VLOOKUP(CA$10,'VK-Põlevkivi'!$C:$X,2+$G22,0))+IF(CA$4="X",VLOOKUP(CA$10,'VK-Võrgud'!$C:$X,2+$F22,0)))/16</f>
        <v>#N/A</v>
      </c>
      <c r="CB22" s="209">
        <f>(IF(CB$7="X",VLOOKUP(CB$10,'VK-Hooned-Soojus'!$C:$X,2+$C22,FALSE),0)+IF(CB$6="X",VLOOKUP(CB$10,'VK-Transport'!$C:$X,2+$B22,0))+IF(CB$8="X",VLOOKUP(CB$10,'VK-Elekter'!$C:$X,2+$D22,0))+IF(CB$9="X",VLOOKUP(CB$10,'VK-Biokütused'!$C:$U,2+$E22,0))+IF(CB$5="X",VLOOKUP(CB$10,'VK-Põlevkivi'!$C:$X,2+$G22,0))+IF(CB$4="X",VLOOKUP(CB$10,'VK-Võrgud'!$C:$X,2+$F22,0)))/16</f>
        <v>0</v>
      </c>
      <c r="CC22" s="209">
        <f>(IF(CC$7="X",VLOOKUP(CC$10,'VK-Hooned-Soojus'!$C:$X,2+$C22,FALSE),0)+IF(CC$6="X",VLOOKUP(CC$10,'VK-Transport'!$C:$X,2+$B22,0))+IF(CC$8="X",VLOOKUP(CC$10,'VK-Elekter'!$C:$X,2+$D22,0))+IF(CC$9="X",VLOOKUP(CC$10,'VK-Biokütused'!$C:$U,2+$E22,0))+IF(CC$5="X",VLOOKUP(CC$10,'VK-Põlevkivi'!$C:$X,2+$G22,0))+IF(CC$4="X",VLOOKUP(CC$10,'VK-Võrgud'!$C:$X,2+$F22,0)))/16</f>
        <v>0</v>
      </c>
      <c r="CD22" s="209"/>
      <c r="CE22" s="209">
        <f>(IF(CE$7="X",VLOOKUP(CE$10,'VK-Hooned-Soojus'!$C:$X,2+$C22,FALSE),0)+IF(CE$6="X",VLOOKUP(CE$10,'VK-Transport'!$C:$X,2+$B22,0))+IF(CE$8="X",VLOOKUP(CE$10,'VK-Elekter'!$C:$X,2+$D22,0))+IF(CE$9="X",VLOOKUP(CE$10,'VK-Biokütused'!$C:$U,2+$E22,0))+IF(CE$5="X",VLOOKUP(CE$10,'VK-Põlevkivi'!$C:$X,2+$G22,0))+IF(CE$4="X",VLOOKUP(CE$10,'VK-Võrgud'!$C:$X,2+$F22,0)))/16</f>
        <v>24.15625</v>
      </c>
      <c r="CF22" s="209"/>
      <c r="CG22" s="209">
        <f>(IF(CG$7="X",VLOOKUP(CG$10,'VK-Hooned-Soojus'!$C:$X,2+$C22,FALSE),0)+IF(CG$6="X",VLOOKUP(CG$10,'VK-Transport'!$C:$X,2+$B22,0))+IF(CG$8="X",VLOOKUP(CG$10,'VK-Elekter'!$C:$X,2+$D22,0))+IF(CG$9="X",VLOOKUP(CG$10,'VK-Biokütused'!$C:$U,2+$E22,0))+IF(CG$5="X",VLOOKUP(CG$10,'VK-Põlevkivi'!$C:$X,2+$G22,0))+IF(CG$4="X",VLOOKUP(CG$10,'VK-Võrgud'!$C:$X,2+$F22,0)))/16</f>
        <v>0</v>
      </c>
      <c r="CH22" s="209">
        <f>(IF(CH$7="X",VLOOKUP(CH$10,'VK-Hooned-Soojus'!$C:$X,2+$C22,FALSE),0)+IF(CH$6="X",VLOOKUP(CH$10,'VK-Transport'!$C:$X,2+$B22,0))+IF(CH$8="X",VLOOKUP(CH$10,'VK-Elekter'!$C:$X,2+$D22,0))+IF(CH$9="X",VLOOKUP(CH$10,'VK-Biokütused'!$C:$U,2+$E22,0))+IF(CH$5="X",VLOOKUP(CH$10,'VK-Põlevkivi'!$C:$X,2+$G22,0))+IF(CH$4="X",VLOOKUP(CH$10,'VK-Võrgud'!$C:$X,2+$F22,0)))/20*0.21</f>
        <v>5.6122500000000004</v>
      </c>
      <c r="CI22" s="209"/>
      <c r="CJ22" s="209">
        <f>(IF(CJ$7="X",VLOOKUP(CJ$10,'VK-Hooned-Soojus'!$C:$X,2+$C22,FALSE),0)+IF(CJ$6="X",VLOOKUP(CJ$10,'VK-Transport'!$C:$X,2+$B22,0))+IF(CJ$8="X",VLOOKUP(CJ$10,'VK-Elekter'!$C:$X,2+$D22,0))+IF(CJ$9="X",VLOOKUP(CJ$10,'VK-Biokütused'!$C:$U,2+$E22,0))+IF(CJ$5="X",VLOOKUP(CJ$10,'VK-Põlevkivi'!$C:$X,2+$G22,0))+IF(CJ$4="X",VLOOKUP(CJ$10,'VK-Võrgud'!$C:$X,2+$F22,0)))/1000</f>
        <v>19.777721793242819</v>
      </c>
      <c r="CK22" s="209">
        <f>(IF(CK$7="X",VLOOKUP(CK$10,'VK-Hooned-Soojus'!$C:$X,2+$C22,FALSE),0)+IF(CK$6="X",VLOOKUP(CK$10,'VK-Transport'!$C:$X,2+$B22,0))+IF(CK$8="X",VLOOKUP(CK$10,'VK-Elekter'!$C:$X,2+$D22,0))+IF(CK$9="X",VLOOKUP(CK$10,'VK-Biokütused'!$C:$U,2+$E22,0))+IF(CK$5="X",VLOOKUP(CK$10,'VK-Põlevkivi'!$C:$X,2+$G22,0))+IF(CK$4="X",VLOOKUP(CK$10,'VK-Võrgud'!$C:$X,2+$F22,0)))/1000</f>
        <v>7.5937453871512233</v>
      </c>
      <c r="CL22" s="235">
        <f>(IF(CL$7="X",VLOOKUP(CL$10,'VK-Hooned-Soojus'!$C:$X,2+$C22,FALSE),0)+IF(CL$6="X",VLOOKUP(CL$10,'VK-Transport'!$C:$X,2+$B22,0))+IF(CL$8="X",VLOOKUP(CL$10,'VK-Elekter'!$C:$X,2+$D22,0))+IF(CL$9="X",VLOOKUP(CL$10,'VK-Biokütused'!$C:$U,2+$E22,0)))/1000</f>
        <v>5.889000509401181</v>
      </c>
      <c r="CM22" s="209">
        <f>(IF(CM$7="X",VLOOKUP(CM$10,'VK-Hooned-Soojus'!$C:$X,2+$C22,FALSE),0)+IF(CM$6="X",VLOOKUP(CM$10,'VK-Transport'!$C:$X,2+$B22,0))+IF(CM$8="X",VLOOKUP(CM$10,'VK-Elekter'!$C:$X,2+$D22,0))+IF(CM$9="X",VLOOKUP(CM$10,'VK-Biokütused'!$C:$U,2+$E22,0))+IF(CM$5="X",VLOOKUP(CM$10,'VK-Põlevkivi'!$C:$X,2+$G22,0))+IF(CM$4="X",VLOOKUP(CM$10,'VK-Võrgud'!$C:$X,2+$F22,0)))/1000</f>
        <v>8.5978313570900955</v>
      </c>
      <c r="CN22" s="209">
        <f>(IF(CN$7="X",VLOOKUP(CN$10,'VK-Hooned-Soojus'!$C:$X,2+$C22,FALSE),0)+IF(CN$6="X",VLOOKUP(CN$10,'VK-Transport'!$C:$X,2+$B22,0))+IF(CN$8="X",VLOOKUP(CN$10,'VK-Elekter'!$C:$X,2+$D22,0))+IF(CN$9="X",VLOOKUP(CN$10,'VK-Biokütused'!$C:$U,2+$E22,0))+IF(CN$5="X",VLOOKUP(CN$10,'VK-Põlevkivi'!$C:$X,2+$G22,0))+IF(CN$4="X",VLOOKUP(CN$10,'VK-Võrgud'!$C:$X,2+$F22,0)))/1000</f>
        <v>3.0259999999999998</v>
      </c>
      <c r="CO22" s="209">
        <f>(IF(CO$7="X",VLOOKUP(CO$10,'VK-Hooned-Soojus'!$C:$X,2+$C22,FALSE),0)+IF(CO$6="X",VLOOKUP(CO$10,'VK-Transport'!$C:$X,2+$B22,0))+IF(CO$8="X",VLOOKUP(CO$10,'VK-Elekter'!$C:$X,2+$D22,0))+IF(CO$9="X",VLOOKUP(CO$10,'VK-Biokütused'!$C:$U,2+$E22,0))+IF(CO$5="X",VLOOKUP(CO$10,'VK-Põlevkivi'!$C:$X,2+$G22,0))+IF(CO$4="X",VLOOKUP(CO$10,'VK-Võrgud'!$C:$X,2+$F22,0)))/1000</f>
        <v>24.441649773285455</v>
      </c>
      <c r="CP22" s="209">
        <f>(IF(CP$7="X",VLOOKUP(CP$10,'VK-Hooned-Soojus'!$C:$X,2+$C22,FALSE),0)+IF(CP$6="X",VLOOKUP(CP$10,'VK-Transport'!$C:$X,2+$B22,0))+IF(CP$8="X",VLOOKUP(CP$10,'VK-Elekter'!$C:$X,2+$D22,0))+IF(CP$9="X",VLOOKUP(CP$10,'VK-Biokütused'!$C:$U,2+$E22,0))+IF(CP$5="X",VLOOKUP(CP$10,'VK-Põlevkivi'!$C:$X,2+$G22,0))+IF(CP$4="X",VLOOKUP(CP$10,'VK-Võrgud'!$C:$X,2+$F22,0)))/1000</f>
        <v>7.0419485842956133</v>
      </c>
      <c r="CQ22" s="235">
        <f>(IF(CQ$7="X",VLOOKUP(CQ$10,'VK-Hooned-Soojus'!$C:$X,2+$C22,FALSE),0)+IF(CQ$6="X",VLOOKUP(CQ$10,'VK-Transport'!$C:$X,2+$B22,0))+IF(CQ$8="X",VLOOKUP(CQ$10,'VK-Elekter'!$C:$X,2+$D22,0))+IF(CQ$9="X",VLOOKUP(CQ$10,'VK-Biokütused'!$C:$U,2+$E22,0)))/1000</f>
        <v>5.6139070000000002</v>
      </c>
      <c r="CR22" s="209">
        <f>(IF(CR$7="X",VLOOKUP(CR$10,'VK-Hooned-Soojus'!$C:$X,2+$C22,FALSE),0)+IF(CR$6="X",VLOOKUP(CR$10,'VK-Transport'!$C:$X,2+$B22,0))+IF(CR$8="X",VLOOKUP(CR$10,'VK-Elekter'!$C:$X,2+$D22,0))+IF(CR$9="X",VLOOKUP(CR$10,'VK-Biokütused'!$C:$U,2+$E22,0))+IF(CR$5="X",VLOOKUP(CR$10,'VK-Põlevkivi'!$C:$X,2+$G22,0))+IF(CR$4="X",VLOOKUP(CR$10,'VK-Võrgud'!$C:$X,2+$F22,0)))/1000</f>
        <v>8.1057533562748034</v>
      </c>
      <c r="CS22" s="209">
        <f>(IF(CS$7="X",VLOOKUP(CS$10,'VK-Hooned-Soojus'!$C:$X,2+$C22,FALSE),0)+IF(CS$6="X",VLOOKUP(CS$10,'VK-Transport'!$C:$X,2+$B22,0))+IF(CS$8="X",VLOOKUP(CS$10,'VK-Elekter'!$C:$X,2+$D22,0))+IF(CS$9="X",VLOOKUP(CS$10,'VK-Biokütused'!$C:$U,2+$E22,0))+IF(CS$5="X",VLOOKUP(CS$10,'VK-Põlevkivi'!$C:$X,2+$G22,0))+IF(CS$4="X",VLOOKUP(CS$10,'VK-Võrgud'!$C:$X,2+$F22,0)))/1000</f>
        <v>3.9861524051216151</v>
      </c>
      <c r="CT22" s="209">
        <f>IF(CT$7="X",VLOOKUP(CT$10,'VK-Hooned-Soojus'!$C:$X,2+$C22,FALSE),0)+IF(CT$6="X",VLOOKUP(CT$10,'VK-Transport'!$C:$X,2+$B22,0))+IF(CT$8="X",VLOOKUP(CT$10,'VK-Elekter'!$C:$X,2+$D22,0))+IF(CT$9="X",VLOOKUP(CT$10,'VK-Biokütused'!$C:$U,2+$E22,0))+IF(CT$5="X",VLOOKUP(CT$10,'VK-Põlevkivi'!$C:$X,2+$G22,0))+IF(CT$4="X",VLOOKUP(CT$10,'VK-Võrgud'!$C:$X,2+$F22,0))</f>
        <v>90</v>
      </c>
      <c r="CU22" s="209">
        <f>IF(CU$7="X",VLOOKUP(CU$10,'VK-Hooned-Soojus'!$C:$X,2+$C22,FALSE),0)+IF(CU$6="X",VLOOKUP(CU$10,'VK-Transport'!$C:$X,2+$B22,0))+IF(CU$8="X",VLOOKUP(CU$10,'VK-Elekter'!$C:$X,2+$D22,0))+IF(CU$9="X",VLOOKUP(CU$10,'VK-Biokütused'!$C:$U,2+$E22,0))+IF(CU$5="X",VLOOKUP(CU$10,'VK-Põlevkivi'!$C:$X,2+$G22,0))+IF(CU$4="X",VLOOKUP(CU$10,'VK-Võrgud'!$C:$X,2+$F22,0))</f>
        <v>0.63390170511534605</v>
      </c>
      <c r="CV22" s="209">
        <f t="shared" si="1"/>
        <v>0.91028830406496786</v>
      </c>
      <c r="CW22" s="209">
        <f>(IF(CW$7="X",VLOOKUP(CW$10,'VK-Hooned-Soojus'!$C:$X,2+$C22,FALSE),0)+IF(CW$6="X",VLOOKUP(CW$10,'VK-Transport'!$C:$X,2+$B22,0))+IF(CW$8="X",VLOOKUP(CW$10,'VK-Elekter'!$C:$X,2+$D22,0))+IF(CW$9="X",VLOOKUP(CW$10,'VK-Biokütused'!$C:$U,2+$E22,0))+IF(CW$5="X",VLOOKUP(CW$10,'VK-Põlevkivi'!$C:$X,2+$G22,0))+IF(CW$4="X",VLOOKUP(CW$10,'VK-Võrgud'!$C:$X,2+$F22,0)))/16</f>
        <v>126.01875</v>
      </c>
      <c r="CY22" s="209">
        <f>(IF(CY$7="X",VLOOKUP(CY$10,'VK-Hooned-Soojus'!$C:$X,2+$C22,FALSE),0)+IF(CY$6="X",VLOOKUP(CY$10,'VK-Transport'!$C:$X,2+$B22,0))+IF(CY$8="X",VLOOKUP(CY$10,'VK-Elekter'!$C:$X,2+$D22,0))+IF(CY$9="X",VLOOKUP(CY$10,'VK-Biokütused'!$C:$U,2+$E22,0))+IF(CY$5="X",VLOOKUP(CY$10,'VK-Põlevkivi'!$C:$X,2+$G22,0))+IF(CY$4="X",VLOOKUP(CY$10,'VK-Võrgud'!$C:$X,2+$F22,0)))/1000</f>
        <v>11.263</v>
      </c>
      <c r="CZ22" s="209">
        <f>(IF(CZ$7="X",VLOOKUP(CZ$10,'VK-Hooned-Soojus'!$C:$X,2+$C22,FALSE),0)+IF(CZ$6="X",VLOOKUP(CZ$10,'VK-Transport'!$C:$X,2+$B22,0))+IF(CZ$8="X",VLOOKUP(CZ$10,'VK-Elekter'!$C:$X,2+$D22,0))+IF(CZ$9="X",VLOOKUP(CZ$10,'VK-Biokütused'!$C:$U,2+$E22,0))+IF(CZ$5="X",VLOOKUP(CZ$10,'VK-Põlevkivi'!$C:$X,2+$G22,0))+IF(CZ$4="X",VLOOKUP(CZ$10,'VK-Võrgud'!$C:$X,2+$F22,0)))</f>
        <v>89</v>
      </c>
      <c r="DA22" s="209">
        <f>(IF(DA$7="X",VLOOKUP(DA$10,'VK-Hooned-Soojus'!$C:$X,2+$C22,FALSE),0)+IF(DA$6="X",VLOOKUP(DA$10,'VK-Transport'!$C:$X,2+$B22,0))+IF(DA$8="X",VLOOKUP(DA$10,'VK-Elekter'!$C:$X,2+$D22,0))+IF(DA$9="X",VLOOKUP(DA$10,'VK-Biokütused'!$C:$U,2+$E22,0))+IF(DA$5="X",VLOOKUP(DA$10,'VK-Põlevkivi'!$C:$X,2+$G22,0))+IF(DA$4="X",VLOOKUP(DA$10,'VK-Võrgud'!$C:$X,2+$F22,0)))/1000</f>
        <v>11.611000000000001</v>
      </c>
      <c r="DB22" s="209">
        <f>(IF(DB$7="X",VLOOKUP(DB$10,'VK-Hooned-Soojus'!$C:$X,2+$C22,FALSE),0)+IF(DB$6="X",VLOOKUP(DB$10,'VK-Transport'!$C:$X,2+$B22,0))+IF(DB$8="X",VLOOKUP(DB$10,'VK-Elekter'!$C:$X,2+$D22,0))+IF(DB$9="X",VLOOKUP(DB$10,'VK-Biokütused'!$C:$U,2+$E22,0))+IF(DB$5="X",VLOOKUP(DB$10,'VK-Põlevkivi'!$C:$X,2+$G22,0))+IF(DB$4="X",VLOOKUP(DB$10,'VK-Võrgud'!$C:$X,2+$F22,0)))/1000/3.6</f>
        <v>46.909166666666664</v>
      </c>
      <c r="DC22" s="209">
        <f>(IF(DC$7="X",VLOOKUP(DC$10,'VK-Hooned-Soojus'!$C:$X,2+$C22,FALSE),0)+IF(DC$6="X",VLOOKUP(DC$10,'VK-Transport'!$C:$X,2+$B22,0))+IF(DC$8="X",VLOOKUP(DC$10,'VK-Elekter'!$C:$X,2+$D22,0))+IF(DC$9="X",VLOOKUP(DC$10,'VK-Biokütused'!$C:$U,2+$E22,0))+IF(DC$5="X",VLOOKUP(DC$10,'VK-Põlevkivi'!$C:$X,2+$G22,0))+IF(DC$4="X",VLOOKUP(DC$10,'VK-Võrgud'!$C:$X,2+$F22,0)))/1000000</f>
        <v>4.6780160000000004</v>
      </c>
      <c r="DD22" s="209"/>
      <c r="DE22" s="88">
        <f>VLOOKUP(Tulemused!$BN$12,data!M$7:N$12,2,FALSE)-SUM(L22,M22)</f>
        <v>-3.4066444444444528</v>
      </c>
      <c r="DF22" s="209" t="str">
        <f>IF(AZ22&lt;=VLOOKUP(Tulemused!$BN$15,data!$E$36:$F$39,2,FALSE),"JAH","EI")</f>
        <v>JAH</v>
      </c>
      <c r="DG22" s="209"/>
      <c r="DH22" s="209">
        <f t="shared" si="2"/>
        <v>11.370000000000001</v>
      </c>
      <c r="DI22" s="231" t="str">
        <f t="shared" si="17"/>
        <v>EI</v>
      </c>
      <c r="DK22" s="232">
        <f t="shared" si="3"/>
        <v>-993.54694298190111</v>
      </c>
      <c r="DM22" s="233">
        <f t="shared" si="4"/>
        <v>6.5588796496125887</v>
      </c>
      <c r="DN22" s="87">
        <f t="array" ref="DN22">INDEX($A$11:$A$145, SMALL(IF(DM22=$DK$11:$DK$145, MATCH(ROW($DK$11:$DK$145), ROW($DK$11:$DK$145))), SUM(--(DM22=$DM$11:DM22))))</f>
        <v>122</v>
      </c>
      <c r="DP22" s="87" t="e">
        <f t="shared" ca="1" si="18"/>
        <v>#N/A</v>
      </c>
      <c r="DQ22" s="87" t="e">
        <f t="shared" ca="1" si="19"/>
        <v>#N/A</v>
      </c>
      <c r="DR22" s="87">
        <f t="shared" ca="1" si="20"/>
        <v>0</v>
      </c>
      <c r="DS22" s="87" t="e">
        <f t="shared" ca="1" si="21"/>
        <v>#N/A</v>
      </c>
      <c r="DT22" s="87">
        <f t="shared" ca="1" si="22"/>
        <v>0</v>
      </c>
      <c r="DU22" s="87" t="e">
        <f t="shared" ca="1" si="23"/>
        <v>#N/A</v>
      </c>
      <c r="DV22" s="87" t="e">
        <f t="shared" ca="1" si="24"/>
        <v>#N/A</v>
      </c>
      <c r="DW22" s="87">
        <f t="shared" ca="1" si="25"/>
        <v>0</v>
      </c>
      <c r="DX22" s="87">
        <f t="shared" ca="1" si="26"/>
        <v>0</v>
      </c>
      <c r="DZ22" s="87">
        <f t="shared" ca="1" si="5"/>
        <v>0</v>
      </c>
      <c r="EB22" s="87">
        <f t="shared" ca="1" si="27"/>
        <v>0</v>
      </c>
      <c r="EC22" s="87" t="e">
        <f t="shared" ca="1" si="28"/>
        <v>#N/A</v>
      </c>
      <c r="EE22" s="228">
        <f>(IF(EE$7="X",VLOOKUP(EE$10,'VK-Hooned-Soojus'!$C:$X,2+$C22,FALSE),0)+IF(EE$6="X",VLOOKUP(EE$10,'VK-Transport'!$C:$X,2+$B22,0))+IF(EE$8="X",VLOOKUP(EE$10,'VK-Elekter'!$C:$X,2+$D22,0))+IF(EE$9="X",VLOOKUP(EE$10,'VK-Biokütused'!$C:$U,2+$E22,0))+IF(EE$5="X",VLOOKUP(EE$10,'VK-Põlevkivi'!$C:$X,2+$G22,0))+IF(EE$4="X",VLOOKUP(EE$10,'VK-Võrgud'!$C:$X,2+$F22,0)))</f>
        <v>7689.5669364012183</v>
      </c>
      <c r="EF22" s="235">
        <f>(IF(EF$7="X",VLOOKUP(EF$10,'VK-Hooned-Soojus'!$C:$X,2+$C22,FALSE),0)+IF(EF$6="X",VLOOKUP(EF$10,'VK-Transport'!$C:$X,2+$B22,0))+IF(EF$8="X",VLOOKUP(EF$10,'VK-Elekter'!$C:$X,2+$D22,0))+IF(EF$9="X",VLOOKUP(EF$10,'VK-Biokütused'!$C:$U,2+$E22,0)))/1000</f>
        <v>4.9526368215830612</v>
      </c>
      <c r="EG22" s="209">
        <f>(IF(EG$7="X",VLOOKUP(EG$10,'VK-Hooned-Soojus'!$C:$X,2+$C22,FALSE),0)+IF(EG$6="X",VLOOKUP(EG$10,'VK-Transport'!$C:$X,2+$B22,0))+IF(EG$8="X",VLOOKUP(EG$10,'VK-Elekter'!$C:$X,2+$D22,0))+IF(EG$9="X",VLOOKUP(EG$10,'VK-Biokütused'!$C:$U,2+$E22,0))+IF(EG$5="X",VLOOKUP(EG$10,'VK-Põlevkivi'!$C:$X,2+$G22,0))+IF(EG$4="X",VLOOKUP(EG$10,'VK-Võrgud'!$C:$X,2+$F22,0)))</f>
        <v>0.81</v>
      </c>
      <c r="EH22" s="209">
        <f>(IF(EH$7="X",VLOOKUP(EH$10,'VK-Hooned-Soojus'!$C:$X,2+$C22,FALSE),0)+IF(EH$6="X",VLOOKUP(EH$10,'VK-Transport'!$C:$X,2+$B22,0))+IF(EH$8="X",VLOOKUP(EH$10,'VK-Elekter'!$C:$X,2+$D22,0))+IF(EH$9="X",VLOOKUP(EH$10,'VK-Biokütused'!$C:$U,2+$E22,0)))+AR22+AS22+AU22+AX22</f>
        <v>50.424933070818042</v>
      </c>
      <c r="EI22" s="320">
        <f t="shared" si="6"/>
        <v>47.328055555555551</v>
      </c>
      <c r="EJ22" s="322">
        <f t="shared" si="7"/>
        <v>2.0156356925118721E-2</v>
      </c>
      <c r="EK22" s="323">
        <f t="shared" si="29"/>
        <v>0.44604055426563427</v>
      </c>
      <c r="EM22" s="209"/>
      <c r="EN22" s="209">
        <f t="shared" ca="1" si="8"/>
        <v>0</v>
      </c>
      <c r="EO22" s="209"/>
      <c r="EP22" s="234"/>
      <c r="EQ22" s="209">
        <f>(IF(EQ$7="X",VLOOKUP(EQ$10,'VK-Hooned-Soojus'!$C:$X,2+$C22,FALSE),0)+IF(EQ$6="X",VLOOKUP(EQ$10,'VK-Transport'!$C:$X,2+$B22,0))+IF(EQ$8="X",VLOOKUP(EQ$10,'VK-Elekter'!$C:$X,2+$D22,0))+IF(EQ$9="X",VLOOKUP(EQ$10,'VK-Biokütused'!$C:$U,2+$E22,0))+IF(EQ$5="X",VLOOKUP(EQ$10,'VK-Põlevkivi'!$C:$X,2+$G22,0))+IF(EQ$4="X",VLOOKUP(EQ$10,'VK-Võrgud'!$C:$X,2+$F22,0)))/1000</f>
        <v>0.22900000000000001</v>
      </c>
      <c r="ER22" s="209">
        <f>(IF(ER$7="X",VLOOKUP(ER$10,'VK-Hooned-Soojus'!$C:$X,2+$C22,FALSE),0)+IF(ER$6="X",VLOOKUP(ER$10,'VK-Transport'!$C:$X,2+$B22,0))+IF(ER$8="X",VLOOKUP(ER$10,'VK-Elekter'!$C:$X,2+$D22,0))+IF(ER$9="X",VLOOKUP(ER$10,'VK-Biokütused'!$C:$U,2+$E22,0))+IF(ER$5="X",VLOOKUP(ER$10,'VK-Põlevkivi'!$C:$X,2+$G22,0))+IF(ER$4="X",VLOOKUP(ER$10,'VK-Võrgud'!$C:$X,2+$F22,0)))</f>
        <v>0.82899999999999996</v>
      </c>
      <c r="ES22" s="209">
        <f>(IF(ES$7="X",VLOOKUP(ES$10,'VK-Hooned-Soojus'!$C:$X,2+$C22,FALSE),0)+IF(ES$6="X",VLOOKUP(ES$10,'VK-Transport'!$C:$X,2+$B22,0))+IF(ES$8="X",VLOOKUP(ES$10,'VK-Elekter'!$C:$X,2+$D22,0))+IF(ES$9="X",VLOOKUP(ES$10,'VK-Biokütused'!$C:$U,2+$E22,0))+IF(ES$5="X",VLOOKUP(ES$10,'VK-Põlevkivi'!$C:$X,2+$G22,0))+IF(ES$4="X",VLOOKUP(ES$10,'VK-Võrgud'!$C:$X,2+$F22,0)))</f>
        <v>11.370000000000001</v>
      </c>
      <c r="ET22" s="209"/>
      <c r="EU22" s="209"/>
      <c r="EV22" s="87">
        <f>'KSH järjestus'!AS15</f>
        <v>1961</v>
      </c>
      <c r="EX22" s="236"/>
      <c r="EY22" s="236"/>
      <c r="EZ22" s="237">
        <f t="shared" si="9"/>
        <v>0.36609829488465395</v>
      </c>
      <c r="FA22" s="209">
        <f>IF(FA$7="X",VLOOKUP(FA$10,'VK-Hooned-Soojus'!$C:$X,2+$C22,FALSE),0)+IF(FA$6="X",VLOOKUP(FA$10,'VK-Transport'!$C:$X,2+$B22,0))+IF(FA$8="X",VLOOKUP(FA$10,'VK-Elekter'!$C:$X,2+$D22,0))+IF(FA$9="X",VLOOKUP(FA$10,'VK-Biokütused'!$C:$U,2+$E22,0))+IF(FA$5="X",VLOOKUP(FA$10,'VK-Põlevkivi'!$C:$X,2+$G22,0))+IF(FA$4="X",VLOOKUP(FA$10,'VK-Võrgud'!$C:$X,2+$F22,0))</f>
        <v>3770.9070000000002</v>
      </c>
      <c r="FB22" s="279">
        <f>(IF(FB$7="X",VLOOKUP(FB$10,'VK-Hooned-Soojus'!$C:$X,2+$C22,FALSE),0)+IF(FB$6="X",VLOOKUP(FB$10,'VK-Transport'!$C:$X,2+$B22,0))+IF(FB$8="X",VLOOKUP(FB$10,'VK-Elekter'!$C:$X,2+$D22,0))+IF(FB$9="X",VLOOKUP(FB$10,'VK-Biokütused'!$C:$U,2+$E22,0))+IF(FB$5="X",VLOOKUP(FB$10,'VK-Põlevkivi'!$C:$X,2+$G22,0))+IF(FB$4="X",VLOOKUP(FB$10,'VK-Võrgud'!$C:$X,2+$F22,0)))/16</f>
        <v>343.08548685287832</v>
      </c>
      <c r="FC22" s="209">
        <f>IF(FC$7="X",VLOOKUP(FC$10,'VK-Hooned-Soojus'!$C:$X,2+$C22,FALSE),0)+IF(FC$6="X",VLOOKUP(FC$10,'VK-Transport'!$C:$X,2+$B22,0))+IF(FC$8="X",VLOOKUP(FC$10,'VK-Elekter'!$C:$X,2+$D22,0))+IF(FC$9="X",VLOOKUP(FC$10,'VK-Biokütused'!$C:$U,2+$E22,0))+IF(FC$5="X",VLOOKUP(FC$10,'VK-Põlevkivi'!$C:$X,2+$G22,0))+IF(FC$4="X",VLOOKUP(FC$10,'VK-Võrgud'!$C:$X,2+$F22,0))</f>
        <v>339.7</v>
      </c>
      <c r="FD22" s="209">
        <f>(IF(FD$7="X",VLOOKUP(FD$10,'VK-Hooned-Soojus'!$C:$X,2+$C22,FALSE),0)+IF(FD$6="X",VLOOKUP(FD$10,'VK-Transport'!$C:$X,2+$B22,0))+IF(FD$8="X",VLOOKUP(FD$10,'VK-Elekter'!$C:$X,2+$D22,0))+IF(FD$9="X",VLOOKUP(FD$10,'VK-Biokütused'!$C:$U,2+$E22,0))+IF(FD$5="X",VLOOKUP(FD$10,'VK-Põlevkivi'!$C:$X,2+$G22,0))+IF(FD$4="X",VLOOKUP(FD$10,'VK-Võrgud'!$C:$X,2+$F22,0)))/16</f>
        <v>343.08548685287832</v>
      </c>
      <c r="FE22" s="209">
        <f>(IF(FE$7="X",VLOOKUP(FE$10,'VK-Hooned-Soojus'!$C:$X,2+$C22,FALSE),0)+IF(FE$6="X",VLOOKUP(FE$10,'VK-Transport'!$C:$X,2+$B22,0))+IF(FE$8="X",VLOOKUP(FE$10,'VK-Elekter'!$C:$X,2+$D22,0))+IF(FE$9="X",VLOOKUP(FE$10,'VK-Biokütused'!$C:$U,2+$E22,0))+IF(FE$5="X",VLOOKUP(FE$10,'VK-Põlevkivi'!$C:$X,2+$G22,0))+IF(FE$4="X",VLOOKUP(FE$10,'VK-Võrgud'!$C:$X,2+$F22,0)))/16</f>
        <v>-34.340813699091036</v>
      </c>
      <c r="FF22" s="209">
        <f>(IF(FF$7="X",VLOOKUP(FF$10,'VK-Hooned-Soojus'!$C:$X,2+$C22,FALSE),0)+IF(FF$6="X",VLOOKUP(FF$10,'VK-Transport'!$C:$X,2+$B22,0))+IF(FF$8="X",VLOOKUP(FF$10,'VK-Elekter'!$C:$X,2+$D22,0))+IF(FF$9="X",VLOOKUP(FF$10,'VK-Biokütused'!$C:$U,2+$E22,0))+IF(FF$5="X",VLOOKUP(FF$10,'VK-Põlevkivi'!$C:$X,2+$G22,0))+IF(FF$4="X",VLOOKUP(FF$10,'VK-Võrgud'!$C:$X,2+$F22,0)))/16</f>
        <v>107.00095526661042</v>
      </c>
      <c r="FG22" s="88">
        <f t="shared" ca="1" si="30"/>
        <v>72.660141567519389</v>
      </c>
      <c r="FH22" s="88"/>
      <c r="FI22" s="88"/>
      <c r="FJ22" s="88">
        <f>VLOOKUP(Tulemused!$BN$12,data!M$7:N$12,2,FALSE)-SUM(L22,M22)</f>
        <v>-3.4066444444444528</v>
      </c>
      <c r="FK22" s="209" t="str">
        <f>IF(AZ22&lt;=VLOOKUP(Tulemused!$BN$15,data!$E$36:$F$39,2,FALSE),"JAH","EI")</f>
        <v>JAH</v>
      </c>
      <c r="FL22" s="235">
        <f ca="1">IF(ISNA(MATCH($A22,INDIRECT(VLOOKUP(Tulemused!$BF$11,data!$J$57:$M$71,4,FALSE)))),0,MATCH($A22,INDIRECT(VLOOKUP(Tulemused!$BF$11,data!$J$57:$M$71,4,FALSE))))</f>
        <v>0</v>
      </c>
      <c r="FM22" s="235" t="str">
        <f t="shared" ca="1" si="10"/>
        <v>JAH</v>
      </c>
      <c r="FN22" s="209">
        <f>VLOOKUP(Tulemused!$BN$13,data!$C$132:$D$137,2,FALSE)-KOMBI!R22</f>
        <v>2.35713317841694</v>
      </c>
      <c r="FO22" s="209"/>
      <c r="FP22" s="209">
        <f>VLOOKUP(Tulemused!$BN$17,NO_x,2,FALSE)-CJ22</f>
        <v>9.6602782067571802</v>
      </c>
      <c r="FQ22" s="209">
        <f>VLOOKUP(Tulemused!$BN$18,SO_2,2,FALSE)-CK22</f>
        <v>44.290254612848777</v>
      </c>
      <c r="FR22" s="209">
        <f>VLOOKUP(Tulemused!$BN$19,LOU,2,FALSE)-CN22</f>
        <v>34.054000000000002</v>
      </c>
      <c r="FS22" s="209">
        <f>VLOOKUP(Tulemused!$BN$20,PM_2.5,2,FALSE)-CM22</f>
        <v>8.3171686429099037</v>
      </c>
      <c r="FT22" s="209">
        <f>VLOOKUP(Tulemused!$BN$13,data!$C$132:$D$137,2,FALSE)-FA22/1000</f>
        <v>2.4750630000000005</v>
      </c>
      <c r="FU22" s="209">
        <f>VLOOKUP(Tulemused!$BN$17,NO_x,2,FALSE)-CO22</f>
        <v>4.9963502267145437</v>
      </c>
      <c r="FV22" s="209">
        <f>VLOOKUP(Tulemused!$BN$18,SO_2,2,FALSE)-CP22</f>
        <v>44.84205141570439</v>
      </c>
      <c r="FW22" s="209">
        <f>VLOOKUP(Tulemused!$BN$19,LOU,2,FALSE)-CS22</f>
        <v>33.09384759487839</v>
      </c>
      <c r="FX22" s="209">
        <f>VLOOKUP(Tulemused!$BN$20,PM_2.5,2,FALSE)-CR22</f>
        <v>8.8092466437251957</v>
      </c>
      <c r="FY22" s="209">
        <f>VLOOKUP(Tulemused!$BN$14,KHG_2050,2,FALSE)-EF22</f>
        <v>95.047363178416944</v>
      </c>
      <c r="FZ22" s="231" t="str">
        <f t="shared" ca="1" si="31"/>
        <v>EI</v>
      </c>
      <c r="GA22" s="209"/>
      <c r="GB22" s="209"/>
      <c r="GC22" s="209"/>
      <c r="GD22" s="231"/>
      <c r="GE22" s="87">
        <f t="shared" si="11"/>
        <v>1961</v>
      </c>
      <c r="GF22" s="232" t="str">
        <f t="shared" ca="1" si="32"/>
        <v/>
      </c>
      <c r="GH22" s="238">
        <f t="shared" ca="1" si="12"/>
        <v>784</v>
      </c>
      <c r="GI22" s="87">
        <f t="array" aca="1" ref="GI22" ca="1">INDEX($A$11:$A$145, SMALL(IF(GH22=$GF$11:$GF$145, MATCH(ROW($GF$11:$GF$145), ROW($GF$11:$GF$145))), SUM(--(GH22=$GH$11:GH22))))</f>
        <v>124</v>
      </c>
      <c r="GM22" s="209">
        <f>IF(GM$7="X",VLOOKUP(GM$10,'VK-Hooned-Soojus'!$C:$X,2+$C22,FALSE),0)+IF(GM$6="X",VLOOKUP(GM$10,'VK-Transport'!$C:$X,2+$B22,0))+IF(GM$8="X",VLOOKUP(GM$10,'VK-Elekter'!$C:$X,2+$D22,0))+IF(GM$9="X",VLOOKUP(GM$10,'VK-Biokütused'!$C:$U,2+$E22,0))+IF(GM$5="X",VLOOKUP(GM$10,'VK-Põlevkivi'!$C:$X,2+$G22,0))+IF(GM$4="X",VLOOKUP(GM$10,'VK-Võrgud'!$C:$X,2+$F22,0))</f>
        <v>0</v>
      </c>
      <c r="GN22" s="209">
        <f>IF(GN$7="X",VLOOKUP(GN$10,'VK-Hooned-Soojus'!$C:$X,2+$C22,FALSE),0)+IF(GN$6="X",VLOOKUP(GN$10,'VK-Transport'!$C:$X,2+$B22,0))+IF(GN$8="X",VLOOKUP(GN$10,'VK-Elekter'!$C:$X,2+$D22,0))+IF(GN$9="X",VLOOKUP(GN$10,'VK-Biokütused'!$C:$U,2+$E22,0))+IF(GN$5="X",VLOOKUP(GN$10,'VK-Põlevkivi'!$C:$X,2+$G22,0))+IF(GN$4="X",VLOOKUP(GN$10,'VK-Võrgud'!$C:$X,2+$F22,0))</f>
        <v>7.5434676424145266</v>
      </c>
      <c r="GO22" s="209">
        <f>IF(GO$7="X",VLOOKUP(GO$10,'VK-Hooned-Soojus'!$C:$X,2+$C22,FALSE),0)+IF(GO$6="X",VLOOKUP(GO$10,'VK-Transport'!$C:$X,2+$B22,0))+IF(GO$8="X",VLOOKUP(GO$10,'VK-Elekter'!$C:$X,2+$D22,0))+IF(GO$9="X",VLOOKUP(GO$10,'VK-Biokütused'!$C:$U,2+$E22,0))+IF(GO$5="X",VLOOKUP(GO$10,'VK-Põlevkivi'!$C:$X,2+$G22,0))+IF(GO$4="X",VLOOKUP(GO$10,'VK-Võrgud'!$C:$X,2+$F22,0))</f>
        <v>8.7471755658278116</v>
      </c>
      <c r="GP22" s="209">
        <f>IF(GP$7="X",VLOOKUP(GP$10,'VK-Hooned-Soojus'!$C:$X,2+$C22,FALSE),0)+IF(GP$6="X",VLOOKUP(GP$10,'VK-Transport'!$C:$X,2+$B22,0))+IF(GP$8="X",VLOOKUP(GP$10,'VK-Elekter'!$C:$X,2+$D22,0))+IF(GP$9="X",VLOOKUP(GP$10,'VK-Biokütused'!$C:$U,2+$E22,0))+IF(GP$5="X",VLOOKUP(GP$10,'VK-Põlevkivi'!$C:$X,2+$G22,0))+IF(GP$4="X",VLOOKUP(GP$10,'VK-Võrgud'!$C:$X,2+$F22,0))</f>
        <v>9.3279335818485372</v>
      </c>
      <c r="GQ22" s="88">
        <f>IF(GQ$7="X",VLOOKUP(GQ$10,'VK-Hooned-Soojus'!$C:$X,2+$C22,FALSE),0)+IF(GQ$6="X",VLOOKUP(GQ$10,'VK-Transport'!$C:$X,2+$B22,0))+IF(GQ$8="X",VLOOKUP(GQ$10,'VK-Elekter'!$C:$X,2+$D22,0))+IF(GQ$9="X",VLOOKUP(GQ$10,'VK-Biokütused'!$C:$U,2+$E22,0))+IF(GQ$5="X",VLOOKUP(GQ$10,'VK-Põlevkivi'!$C:$X,2+$G22,0))+IF(GQ$4="X",VLOOKUP(GQ$10,'VK-Võrgud'!$C:$X,2+$F22,0))</f>
        <v>0.9682855968523334</v>
      </c>
      <c r="GR22" s="186">
        <f t="shared" si="33"/>
        <v>0.49227263537287047</v>
      </c>
    </row>
    <row r="23" spans="1:200" x14ac:dyDescent="0.2">
      <c r="A23" s="184">
        <v>13</v>
      </c>
      <c r="B23" s="87">
        <v>1</v>
      </c>
      <c r="C23" s="87">
        <v>1</v>
      </c>
      <c r="D23" s="87">
        <v>5</v>
      </c>
      <c r="E23" s="87">
        <v>1</v>
      </c>
      <c r="F23" s="87">
        <f>VLOOKUP(Tulemused!$BF$7,data!$J$6:$K$8,2,FALSE)</f>
        <v>2</v>
      </c>
      <c r="G23" s="87">
        <f>VLOOKUP(data!$H$2,data!$J$12:$K$14,2,FALSE)</f>
        <v>2</v>
      </c>
      <c r="I23" s="209">
        <f>IF(I$7="X",VLOOKUP(I$10,'VK-Hooned-Soojus'!$C:$X,2+$C23,FALSE),0)+IF(I$6="X",VLOOKUP(I$10,'VK-Transport'!$C:$X,2+$B23,0))+IF(I$8="X",VLOOKUP(I$10,'VK-Elekter'!$C:$X,2+$D23,0))+IF(I$9="X",VLOOKUP(I$10,'VK-Biokütused'!$C:$U,2+$E23,0))+IF(I$5="X",VLOOKUP(I$10,'VK-Põlevkivi'!$C:$X,2+$G23,0))+IF(I$4="X",VLOOKUP(I$10,'VK-Võrgud'!$C:$X,2+$F23,0))</f>
        <v>26.89</v>
      </c>
      <c r="J23" s="209">
        <f>IF(J$7="X",VLOOKUP(J$10,'VK-Hooned-Soojus'!$C:$X,2+$C23,FALSE),0)+IF(J$6="X",VLOOKUP(J$10,'VK-Transport'!$C:$X,2+$B23,0))+IF(J$8="X",VLOOKUP(J$10,'VK-Elekter'!$C:$X,2+$D23,0))+IF(J$9="X",VLOOKUP(J$10,'VK-Biokütused'!$C:$U,2+$E23,0))+IF(J$5="X",VLOOKUP(J$10,'VK-Põlevkivi'!$C:$X,2+$G23,0))+IF(J$4="X",VLOOKUP(J$10,'VK-Võrgud'!$C:$X,2+$F23,0))</f>
        <v>13.295833333333334</v>
      </c>
      <c r="K23" s="209">
        <f>IF(K$7="X",VLOOKUP(K$10,'VK-Hooned-Soojus'!$C:$X,2+$C23,FALSE),0)+IF(K$6="X",VLOOKUP(K$10,'VK-Transport'!$C:$X,2+$B23,0))+IF(K$8="X",VLOOKUP(K$10,'VK-Elekter'!$C:$X,2+$D23,0))+IF(K$9="X",VLOOKUP(K$10,'VK-Biokütused'!$C:$U,2+$E23,0))+IF(K$5="X",VLOOKUP(K$10,'VK-Põlevkivi'!$C:$X,2+$G23,0))+IF(K$4="X",VLOOKUP(K$10,'VK-Võrgud'!$C:$X,2+$F23,0))</f>
        <v>16.75</v>
      </c>
      <c r="L23" s="209">
        <f>IF(L$7="X",VLOOKUP(L$10,'VK-Hooned-Soojus'!$C:$X,2+$C23,FALSE),0)+IF(L$6="X",VLOOKUP(L$10,'VK-Transport'!$C:$X,2+$B23,0))+IF(L$8="X",VLOOKUP(L$10,'VK-Elekter'!$C:$X,2+$D23,0))+IF(L$9="X",VLOOKUP(L$10,'VK-Biokütused'!$C:$U,2+$E23,0))+IF(L$5="X",VLOOKUP(L$10,'VK-Põlevkivi'!$C:$X,2+$G23,0))+IF(L$4="X",VLOOKUP(L$10,'VK-Võrgud'!$C:$X,2+$F23,0))</f>
        <v>24.95</v>
      </c>
      <c r="M23" s="209">
        <f>IF(M$7="X",VLOOKUP(M$10,'VK-Hooned-Soojus'!$C:$X,2+$C23,FALSE),0)+IF(M$6="X",VLOOKUP(M$10,'VK-Transport'!$C:$X,2+$B23,0))+IF(M$8="X",VLOOKUP(M$10,'VK-Elekter'!$C:$X,2+$D23,0))+IF(M$9="X",VLOOKUP(M$10,'VK-Biokütused'!$C:$U,2+$E23,0))+IF(M$5="X",VLOOKUP(M$10,'VK-Põlevkivi'!$C:$X,2+$G23,0))+IF(M$4="X",VLOOKUP(M$10,'VK-Võrgud'!$C:$X,2+$F23,0))</f>
        <v>11.289444444444445</v>
      </c>
      <c r="N23" s="209">
        <f>IF(N$7="X",VLOOKUP(N$10,'VK-Hooned-Soojus'!$C:$X,2+$C23,FALSE),0)+IF(N$6="X",VLOOKUP(N$10,'VK-Transport'!$C:$X,2+$B23,0))+IF(N$8="X",VLOOKUP(N$10,'VK-Elekter'!$C:$X,2+$D23,0))+IF(N$9="X",VLOOKUP(N$10,'VK-Biokütused'!$C:$U,2+$E23,0))+IF(N$5="X",VLOOKUP(N$10,'VK-Põlevkivi'!$C:$X,2+$G23,0))+IF(N$4="X",VLOOKUP(N$10,'VK-Võrgud'!$C:$X,2+$F23,0))</f>
        <v>16.75</v>
      </c>
      <c r="O23" s="209">
        <f t="shared" si="13"/>
        <v>40.185833333333335</v>
      </c>
      <c r="P23" s="209"/>
      <c r="Q23" s="209">
        <f>(IF(Q$7="X",VLOOKUP(Q$10,'VK-Hooned-Soojus'!$C:$X,2+$C23,FALSE),0)+IF(Q$6="X",VLOOKUP(Q$10,'VK-Transport'!$C:$X,2+$B23,0))+IF(Q$8="X",VLOOKUP(Q$10,'VK-Elekter'!$C:$X,2+$D23,0))+IF(Q$9="X",VLOOKUP(Q$10,'VK-Biokütused'!$C:$U,2+$E23,0))+IF(Q$5="X",VLOOKUP(Q$10,'VK-Põlevkivi'!$C:$X,2+$G23,0))+IF(Q$4="X",VLOOKUP(Q$10,'VK-Võrgud'!$C:$X,2+$F23,0)))/1000</f>
        <v>6.3289999999999997</v>
      </c>
      <c r="R23" s="209">
        <f>(IF(R$7="X",VLOOKUP(R$10,'VK-Hooned-Soojus'!$C:$X,2+$C23,FALSE),0)+IF(R$6="X",VLOOKUP(R$10,'VK-Transport'!$C:$X,2+$B23,0))+IF(R$8="X",VLOOKUP(R$10,'VK-Elekter'!$C:$X,2+$D23,0))+IF(R$9="X",VLOOKUP(R$10,'VK-Biokütused'!$C:$U,2+$E23,0))+IF(R$5="X",VLOOKUP(R$10,'VK-Põlevkivi'!$C:$X,2+$G23,0))+IF(R$4="X",VLOOKUP(R$10,'VK-Võrgud'!$C:$X,2+$F23,0)))/1000</f>
        <v>3.3026368215830604</v>
      </c>
      <c r="S23" s="226">
        <f>VLOOKUP(S$10,'VK-Hooned-Soojus'!$C:$I,2+$C23,FALSE) + VLOOKUP(S$10,'VK-Transport'!$C:$I,2+$B23,FALSE)+ VLOOKUP(S$10,'VK-Biokütused'!$C:$G,2+$E23,FALSE)+ VLOOKUP(S$10,'VK-Elekter'!$C:$I,2+$D23,FALSE)+ VLOOKUP(S$10,'VK-Põlevkivi'!$C:$I,2+$G23,FALSE)+ VLOOKUP(S$10,'VK-Võrgud'!$C:$I,2+$F23,FALSE)</f>
        <v>1.7847736432563193E-2</v>
      </c>
      <c r="T23" s="226">
        <f>VLOOKUP(T$10,'VK-Hooned-Soojus'!$C:$I,2+$C23,FALSE) + VLOOKUP(T$10,'VK-Transport'!$C:$I,2+$B23,FALSE)+ VLOOKUP(T$10,'VK-Biokütused'!$C:$G,2+$E23,FALSE)+ VLOOKUP(T$10,'VK-Elekter'!$C:$I,2+$D23,FALSE)+ VLOOKUP(T$10,'VK-Põlevkivi'!$C:$I,2+$G23,FALSE)+ VLOOKUP(T$10,'VK-Võrgud'!$C:$I,2+$F23,FALSE)</f>
        <v>5.1658898578553249E-3</v>
      </c>
      <c r="U23" s="226">
        <f>VLOOKUP(U$10,'VK-Hooned-Soojus'!$C:$I,2+$C23,FALSE) + VLOOKUP(U$10,'VK-Transport'!$C:$I,2+$B23,FALSE)+ VLOOKUP(U$10,'VK-Biokütused'!$C:$G,2+$E23,FALSE)+ VLOOKUP(U$10,'VK-Elekter'!$C:$I,2+$D23,FALSE)+ VLOOKUP(U$10,'VK-Põlevkivi'!$C:$I,2+$G23,FALSE)+ VLOOKUP(U$10,'VK-Võrgud'!$C:$I,2+$F23,FALSE)</f>
        <v>9.5180893431195679E-3</v>
      </c>
      <c r="V23" s="226">
        <f>VLOOKUP(V$10,'VK-Hooned-Soojus'!$C:$I,2+$C23,FALSE) + VLOOKUP(V$10,'VK-Transport'!$C:$I,2+$B23,FALSE)+ VLOOKUP(V$10,'VK-Biokütused'!$C:$G,2+$E23,FALSE)+ VLOOKUP(V$10,'VK-Elekter'!$C:$I,2+$D23,FALSE)+ VLOOKUP(V$10,'VK-Põlevkivi'!$C:$I,2+$G23,FALSE)+ VLOOKUP(V$10,'VK-Võrgud'!$C:$I,2+$F23,FALSE)</f>
        <v>8.6130861372077025E-3</v>
      </c>
      <c r="W23" s="226">
        <f>VLOOKUP(W$10,'VK-Hooned-Soojus'!$C:$I,2+$C23,FALSE) + VLOOKUP(W$10,'VK-Transport'!$C:$I,2+$B23,FALSE)+ VLOOKUP(W$10,'VK-Biokütused'!$C:$G,2+$E23,FALSE)+ VLOOKUP(W$10,'VK-Elekter'!$C:$I,2+$D23,FALSE)+ VLOOKUP(W$10,'VK-Põlevkivi'!$C:$I,2+$G23,FALSE)+ VLOOKUP(W$10,'VK-Võrgud'!$C:$I,2+$F23,FALSE)</f>
        <v>9.81009517832457E-3</v>
      </c>
      <c r="X23" s="226">
        <f>VLOOKUP(X$10,'VK-Hooned-Soojus'!$C:$I,2+$C23,FALSE) + VLOOKUP(X$10,'VK-Transport'!$C:$I,2+$B23,FALSE)+ VLOOKUP(X$10,'VK-Biokütused'!$C:$G,2+$E23,FALSE)+ VLOOKUP(X$10,'VK-Elekter'!$C:$I,2+$D23,FALSE)+ VLOOKUP(X$10,'VK-Põlevkivi'!$C:$I,2+$G23,FALSE)+ VLOOKUP(X$10,'VK-Võrgud'!$C:$I,2+$F23,FALSE)</f>
        <v>8.820364857878267E-2</v>
      </c>
      <c r="Y23" s="226">
        <f>VLOOKUP(Y$10,'VK-Hooned-Soojus'!$C:$I,2+$C23,FALSE) + VLOOKUP(Y$10,'VK-Transport'!$C:$I,2+$B23,FALSE)+ VLOOKUP(Y$10,'VK-Biokütused'!$C:$G,2+$E23,FALSE)+ VLOOKUP(Y$10,'VK-Elekter'!$C:$I,2+$D23,FALSE)+ VLOOKUP(Y$10,'VK-Põlevkivi'!$C:$I,2+$G23,FALSE)+ VLOOKUP(Y$10,'VK-Võrgud'!$C:$I,2+$F23,FALSE)</f>
        <v>9.4910950897915763E-2</v>
      </c>
      <c r="Z23" s="227">
        <f>(S23*Tulemused!$Q$9*10+T23*Tulemused!$Q$10*10+KOMBI!U23*Tulemused!$Q$11*10+KOMBI!V23*Tulemused!$Q$12*10)*Tulemused!$Q$8+-(W23*Tulemused!$Q$14*10+KOMBI!X23*Tulemused!$Q$15*10+KOMBI!Y23*Tulemused!$Q$16*10)*Tulemused!$Q$13</f>
        <v>1.6407273675000287</v>
      </c>
      <c r="AA23" s="228">
        <f>(IF(AA$7="X",VLOOKUP(AA$10,'VK-Hooned-Soojus'!$C:$X,2+$C23,FALSE),0)+IF(AA$6="X",VLOOKUP(AA$10,'VK-Transport'!$C:$X,2+$B23,0))+IF(AA$8="X",VLOOKUP(AA$10,'VK-Elekter'!$C:$X,2+$D23,0))+IF(AA$9="X",VLOOKUP(AA$10,'VK-Biokütused'!$C:$U,2+$E23,0))+IF(AA$5="X",VLOOKUP(AA$10,'VK-Põlevkivi'!$C:$X,2+$G23,0))+IF(AA$4="X",VLOOKUP(AA$10,'VK-Võrgud'!$C:$X,2+$F23,0)))</f>
        <v>4727</v>
      </c>
      <c r="AB23" s="228">
        <f>(IF(AB$7="X",VLOOKUP(AB$10,'VK-Hooned-Soojus'!$C:$X,2+$C23,FALSE),0)+IF(AB$6="X",VLOOKUP(AB$10,'VK-Transport'!$C:$X,2+$B23,0))+IF(AB$8="X",VLOOKUP(AB$10,'VK-Elekter'!$C:$X,2+$D23,0))+IF(AB$9="X",VLOOKUP(AB$10,'VK-Biokütused'!$C:$U,2+$E23,0))+IF(AB$5="X",VLOOKUP(AB$10,'VK-Põlevkivi'!$C:$X,2+$G23,0))+IF(AB$4="X",VLOOKUP(AB$10,'VK-Võrgud'!$C:$X,2+$F23,0)))</f>
        <v>1602</v>
      </c>
      <c r="AC23" s="228">
        <f>(IF(AC$7="X",VLOOKUP(AC$10,'VK-Hooned-Soojus'!$C:$X,2+$C23,FALSE),0)+IF(AC$6="X",VLOOKUP(AC$10,'VK-Transport'!$C:$X,2+$B23,0))+IF(AC$8="X",VLOOKUP(AC$10,'VK-Elekter'!$C:$X,2+$D23,0))+IF(AC$9="X",VLOOKUP(AC$10,'VK-Biokütused'!$C:$U,2+$E23,0))+IF(AC$5="X",VLOOKUP(AC$10,'VK-Põlevkivi'!$C:$X,2+$G23,0))+IF(AC$4="X",VLOOKUP(AC$10,'VK-Võrgud'!$C:$X,2+$F23,0)))</f>
        <v>2346</v>
      </c>
      <c r="AD23" s="228">
        <f>(IF(AD$7="X",VLOOKUP(AD$10,'VK-Hooned-Soojus'!$C:$X,2+$C23,FALSE),0)+IF(AD$6="X",VLOOKUP(AD$10,'VK-Transport'!$C:$X,2+$B23,0))+IF(AD$8="X",VLOOKUP(AD$10,'VK-Elekter'!$C:$X,2+$D23,0))+IF(AD$9="X",VLOOKUP(AD$10,'VK-Biokütused'!$C:$U,2+$E23,0))+IF(AD$5="X",VLOOKUP(AD$10,'VK-Põlevkivi'!$C:$X,2+$G23,0))+IF(AD$4="X",VLOOKUP(AD$10,'VK-Võrgud'!$C:$X,2+$F23,0)))</f>
        <v>0</v>
      </c>
      <c r="AE23" s="228">
        <f>(IF(AE$7="X",VLOOKUP(AE$10,'VK-Hooned-Soojus'!$C:$X,2+$C23,FALSE),0)+IF(AE$6="X",VLOOKUP(AE$10,'VK-Transport'!$C:$X,2+$B23,0))+IF(AE$8="X",VLOOKUP(AE$10,'VK-Elekter'!$C:$X,2+$D23,0))+IF(AE$9="X",VLOOKUP(AE$10,'VK-Biokütused'!$C:$U,2+$E23,0))+IF(AE$5="X",VLOOKUP(AE$10,'VK-Põlevkivi'!$C:$X,2+$G23,0))+IF(AE$4="X",VLOOKUP(AE$10,'VK-Võrgud'!$C:$X,2+$F23,0)))</f>
        <v>812</v>
      </c>
      <c r="AF23" s="228">
        <f>(IF(AF$7="X",VLOOKUP(AF$10,'VK-Hooned-Soojus'!$C:$X,2+$C23,FALSE),0)+IF(AF$6="X",VLOOKUP(AF$10,'VK-Transport'!$C:$X,2+$B23,0))+IF(AF$8="X",VLOOKUP(AF$10,'VK-Elekter'!$C:$X,2+$D23,0))+IF(AF$9="X",VLOOKUP(AF$10,'VK-Biokütused'!$C:$U,2+$E23,0))+IF(AF$5="X",VLOOKUP(AF$10,'VK-Põlevkivi'!$C:$X,2+$G23,0))+IF(AF$4="X",VLOOKUP(AF$10,'VK-Võrgud'!$C:$X,2+$F23,0)))</f>
        <v>2490.6368215830603</v>
      </c>
      <c r="AG23" s="209"/>
      <c r="AH23" s="209">
        <f>IF(AH$7="X",VLOOKUP(AH$10,'VK-Hooned-Soojus'!$C:$X,2+$C23,FALSE),0)+IF(AH$6="X",VLOOKUP(AH$10,'VK-Transport'!$C:$X,2+$B23,0))+IF(AH$8="X",VLOOKUP(AH$10,'VK-Elekter'!$C:$X,2+$D23,0))+IF(AH$9="X",VLOOKUP(AH$10,'VK-Biokütused'!$C:$U,2+$E23,0))+IF(AH$5="X",VLOOKUP(AH$10,'VK-Põlevkivi'!$C:$X,2+$G23,0))+IF(AH$4="X",VLOOKUP(AH$10,'VK-Võrgud'!$C:$X,2+$F23,0))</f>
        <v>17.400000000000002</v>
      </c>
      <c r="AI23" s="209">
        <f>IF(AI$7="X",VLOOKUP(AI$10,'VK-Hooned-Soojus'!$C:$X,2+$C23,FALSE),0)+IF(AI$6="X",VLOOKUP(AI$10,'VK-Transport'!$C:$X,2+$B23,0))+IF(AI$8="X",VLOOKUP(AI$10,'VK-Elekter'!$C:$X,2+$D23,0))+IF(AI$9="X",VLOOKUP(AI$10,'VK-Biokütused'!$C:$U,2+$E23,0))+IF(AI$5="X",VLOOKUP(AI$10,'VK-Põlevkivi'!$C:$X,2+$G23,0))+IF(AI$4="X",VLOOKUP(AI$10,'VK-Võrgud'!$C:$X,2+$F23,0))</f>
        <v>2.3100000000000005</v>
      </c>
      <c r="AJ23" s="209">
        <f>IF(AJ$7="X",VLOOKUP(AJ$10,'VK-Hooned-Soojus'!$C:$X,2+$C23,FALSE),0)+IF(AJ$6="X",VLOOKUP(AJ$10,'VK-Transport'!$C:$X,2+$B23,0))+IF(AJ$8="X",VLOOKUP(AJ$10,'VK-Elekter'!$C:$X,2+$D23,0))+IF(AJ$9="X",VLOOKUP(AJ$10,'VK-Biokütused'!$C:$U,2+$E23,0))+IF(AJ$5="X",VLOOKUP(AJ$10,'VK-Põlevkivi'!$C:$X,2+$G23,0))+IF(AJ$4="X",VLOOKUP(AJ$10,'VK-Võrgud'!$C:$X,2+$F23,0))</f>
        <v>4.59</v>
      </c>
      <c r="AK23" s="209">
        <f>IF(AK$7="X",VLOOKUP(AK$10,'VK-Hooned-Soojus'!$C:$X,2+$C23,FALSE),0)+IF(AK$6="X",VLOOKUP(AK$10,'VK-Transport'!$C:$X,2+$B23,0))+IF(AK$8="X",VLOOKUP(AK$10,'VK-Elekter'!$C:$X,2+$D23,0))+IF(AK$9="X",VLOOKUP(AK$10,'VK-Biokütused'!$C:$U,2+$E23,0))+IF(AK$5="X",VLOOKUP(AK$10,'VK-Põlevkivi'!$C:$X,2+$G23,0))+IF(AK$4="X",VLOOKUP(AK$10,'VK-Võrgud'!$C:$X,2+$F23,0))</f>
        <v>-0.41</v>
      </c>
      <c r="AL23" s="209">
        <f>IF(AL$7="X",VLOOKUP(AL$10,'VK-Hooned-Soojus'!$C:$X,2+$C23,FALSE),0)+IF(AL$6="X",VLOOKUP(AL$10,'VK-Transport'!$C:$X,2+$B23,0))+IF(AL$8="X",VLOOKUP(AL$10,'VK-Elekter'!$C:$X,2+$D23,0))+IF(AL$9="X",VLOOKUP(AL$10,'VK-Biokütused'!$C:$U,2+$E23,0))+IF(AL$5="X",VLOOKUP(AL$10,'VK-Põlevkivi'!$C:$X,2+$G23,0))+IF(AL$4="X",VLOOKUP(AL$10,'VK-Võrgud'!$C:$X,2+$F23,0))</f>
        <v>7.1999999999999993</v>
      </c>
      <c r="AM23" s="209">
        <f>IF(AM$7="X",VLOOKUP(AM$10,'VK-Hooned-Soojus'!$C:$X,2+$C23,FALSE),0)+IF(AM$6="X",VLOOKUP(AM$10,'VK-Transport'!$C:$X,2+$B23,0))+IF(AM$8="X",VLOOKUP(AM$10,'VK-Elekter'!$C:$X,2+$D23,0))+IF(AM$9="X",VLOOKUP(AM$10,'VK-Biokütused'!$C:$U,2+$E23,0))+IF(AM$5="X",VLOOKUP(AM$10,'VK-Põlevkivi'!$C:$X,2+$G23,0))+IF(AM$4="X",VLOOKUP(AM$10,'VK-Võrgud'!$C:$X,2+$F23,0))</f>
        <v>12.9</v>
      </c>
      <c r="AN23" s="209">
        <f>IF(AN$7="X",VLOOKUP(AN$10,'VK-Hooned-Soojus'!$C:$X,2+$C23,FALSE),0)+IF(AN$6="X",VLOOKUP(AN$10,'VK-Transport'!$C:$X,2+$B23,0))+IF(AN$8="X",VLOOKUP(AN$10,'VK-Elekter'!$C:$X,2+$D23,0))+IF(AN$9="X",VLOOKUP(AN$10,'VK-Biokütused'!$C:$U,2+$E23,0))+IF(AN$5="X",VLOOKUP(AN$10,'VK-Põlevkivi'!$C:$X,2+$G23,0))+IF(AN$4="X",VLOOKUP(AN$10,'VK-Võrgud'!$C:$X,2+$F23,0))</f>
        <v>5.6999999999999993</v>
      </c>
      <c r="AO23" s="209">
        <f>IF(AO$7="X",VLOOKUP(AO$10,'VK-Hooned-Soojus'!$C:$X,2+$C23,FALSE),0)+IF(AO$6="X",VLOOKUP(AO$10,'VK-Transport'!$C:$X,2+$B23,0))+IF(AO$8="X",VLOOKUP(AO$10,'VK-Elekter'!$C:$X,2+$D23,0))+IF(AO$9="X",VLOOKUP(AO$10,'VK-Biokütused'!$C:$U,2+$E23,0))+IF(AO$5="X",VLOOKUP(AO$10,'VK-Põlevkivi'!$C:$X,2+$G23,0))+IF(AO$4="X",VLOOKUP(AO$10,'VK-Võrgud'!$C:$X,2+$F23,0))</f>
        <v>13.56</v>
      </c>
      <c r="AP23" s="209">
        <f>IF(AP$7="X",VLOOKUP(AP$10,'VK-Hooned-Soojus'!$C:$X,2+$C23,FALSE),0)+IF(AP$6="X",VLOOKUP(AP$10,'VK-Transport'!$C:$X,2+$B23,0))+IF(AP$8="X",VLOOKUP(AP$10,'VK-Elekter'!$C:$X,2+$D23,0))+IF(AP$9="X",VLOOKUP(AP$10,'VK-Biokütused'!$C:$U,2+$E23,0))+IF(AP$5="X",VLOOKUP(AP$10,'VK-Põlevkivi'!$C:$X,2+$G23,0))+IF(AP$4="X",VLOOKUP(AP$10,'VK-Võrgud'!$C:$X,2+$F23,0))</f>
        <v>6.78</v>
      </c>
      <c r="AQ23" s="320">
        <f t="shared" si="14"/>
        <v>1.2599999999999998</v>
      </c>
      <c r="AR23" s="209">
        <f>IF(AR$7="X",VLOOKUP(AR$10,'VK-Hooned-Soojus'!$C:$X,2+$C23,FALSE),0)+IF(AR$6="X",VLOOKUP(AR$10,'VK-Transport'!$C:$X,2+$B23,0))+IF(AR$8="X",VLOOKUP(AR$10,'VK-Elekter'!$C:$X,2+$D23,0))+IF(AR$9="X",VLOOKUP(AR$10,'VK-Biokütused'!$C:$U,2+$E23,0))+IF(AR$5="X",VLOOKUP(AR$10,'VK-Põlevkivi'!$C:$X,2+$G23,0))+IF(AR$4="X",VLOOKUP(AR$10,'VK-Võrgud'!$C:$X,2+$F23,0))</f>
        <v>13.909999999999998</v>
      </c>
      <c r="AS23" s="235">
        <f>'VK-Põlevkivi'!$F$8-AR23-AU23</f>
        <v>14.198622986547708</v>
      </c>
      <c r="AT23" s="209">
        <f>IF(AT$7="X",VLOOKUP(AT$10,'VK-Hooned-Soojus'!$C:$X,2+$C23,FALSE),0)+IF(AT$6="X",VLOOKUP(AT$10,'VK-Transport'!$C:$X,2+$B23,0))+IF(AT$8="X",VLOOKUP(AT$10,'VK-Elekter'!$C:$X,2+$D23,0))+IF(AT$9="X",VLOOKUP(AT$10,'VK-Biokütused'!$C:$U,2+$E23,0))+IF(AT$5="X",VLOOKUP(AT$10,'VK-Põlevkivi'!$C:$X,2+$G23,0))+IF(AT$4="X",VLOOKUP(AT$10,'VK-Võrgud'!$C:$X,2+$F23,0))</f>
        <v>12.004929222526066</v>
      </c>
      <c r="AU23" s="235">
        <f>'VK-Põlevkivi'!$F$9-VLOOKUP("Kütuste tarbimine @ 2030 - PÕLEVKIVIÕLI",'VK-Hooned-Soojus'!$C:$X,2+$C23,FALSE)</f>
        <v>28.428043680118964</v>
      </c>
      <c r="AV23" s="209">
        <f>IF(AV$7="X",VLOOKUP(AV$10,'VK-Hooned-Soojus'!$C:$X,2+$C23,FALSE),0)+IF(AV$6="X",VLOOKUP(AV$10,'VK-Transport'!$C:$X,2+$B23,0))+IF(AV$8="X",VLOOKUP(AV$10,'VK-Elekter'!$C:$X,2+$D23,0))+IF(AV$9="X",VLOOKUP(AV$10,'VK-Biokütused'!$C:$U,2+$E23,0))+IF(AV$5="X",VLOOKUP(AV$10,'VK-Põlevkivi'!$C:$X,2+$G23,0))+IF(AV$4="X",VLOOKUP(AV$10,'VK-Võrgud'!$C:$X,2+$F23,0))</f>
        <v>1.1831224847375093</v>
      </c>
      <c r="AW23" s="209">
        <f>IF(AW$7="X",VLOOKUP(AW$10,'VK-Hooned-Soojus'!$C:$X,2+$C23,FALSE),0)+IF(AW$6="X",VLOOKUP(AW$10,'VK-Transport'!$C:$X,2+$B23,0))+IF(AW$8="X",VLOOKUP(AW$10,'VK-Elekter'!$C:$X,2+$D23,0))+IF(AW$9="X",VLOOKUP(AW$10,'VK-Biokütused'!$C:$U,2+$E23,0))+IF(AW$5="X",VLOOKUP(AW$10,'VK-Põlevkivi'!$C:$X,2+$G23,0))+IF(AW$4="X",VLOOKUP(AW$10,'VK-Võrgud'!$C:$X,2+$F23,0))</f>
        <v>0</v>
      </c>
      <c r="AX23" s="229">
        <f t="shared" si="34"/>
        <v>0</v>
      </c>
      <c r="AY23" s="229">
        <f t="shared" si="15"/>
        <v>1.1831224847375093</v>
      </c>
      <c r="AZ23" s="230">
        <f t="shared" si="0"/>
        <v>0.36814396550513301</v>
      </c>
      <c r="BA23" s="209">
        <f>IF(BA$7="X",VLOOKUP(BA$10,'VK-Hooned-Soojus'!$C:$X,2+$C23,FALSE),0)+IF(BA$6="X",VLOOKUP(BA$10,'VK-Transport'!$C:$X,2+$B23,0))+IF(BA$8="X",VLOOKUP(BA$10,'VK-Elekter'!$C:$X,2+$D23,0))+IF(BA$9="X",VLOOKUP(BA$10,'VK-Biokütused'!$C:$U,2+$E23,0))+IF(BA$5="X",VLOOKUP(BA$10,'VK-Põlevkivi'!$C:$X,2+$G23,0))+IF(BA$4="X",VLOOKUP(BA$10,'VK-Võrgud'!$C:$X,2+$F23,0))</f>
        <v>7.41</v>
      </c>
      <c r="BB23" s="209">
        <f>IF(BB$7="X",VLOOKUP(BB$10,'VK-Hooned-Soojus'!$C:$X,2+$C23,FALSE),0)+IF(BB$6="X",VLOOKUP(BB$10,'VK-Transport'!$C:$X,2+$B23,0))+IF(BB$8="X",VLOOKUP(BB$10,'VK-Elekter'!$C:$X,2+$D23,0))+IF(BB$9="X",VLOOKUP(BB$10,'VK-Biokütused'!$C:$U,2+$E23,0))+IF(BB$5="X",VLOOKUP(BB$10,'VK-Põlevkivi'!$C:$X,2+$G23,0))+IF(BB$4="X",VLOOKUP(BB$10,'VK-Võrgud'!$C:$X,2+$F23,0))</f>
        <v>2.96</v>
      </c>
      <c r="BC23" s="209">
        <f>IF(BC$7="X",VLOOKUP(BC$10,'VK-Hooned-Soojus'!$C:$X,2+$C23,FALSE),0)+IF(BC$6="X",VLOOKUP(BC$10,'VK-Transport'!$C:$X,2+$B23,0))+IF(BC$8="X",VLOOKUP(BC$10,'VK-Elekter'!$C:$X,2+$D23,0))+IF(BC$9="X",VLOOKUP(BC$10,'VK-Biokütused'!$C:$U,2+$E23,0))+IF(BC$5="X",VLOOKUP(BC$10,'VK-Põlevkivi'!$C:$X,2+$G23,0))+IF(BC$4="X",VLOOKUP(BC$10,'VK-Võrgud'!$C:$X,2+$F23,0))</f>
        <v>8.0523611111111126</v>
      </c>
      <c r="BD23" s="209">
        <f>IF(BD$7="X",VLOOKUP(BD$10,'VK-Hooned-Soojus'!$C:$X,2+$C23,FALSE),0)+IF(BD$6="X",VLOOKUP(BD$10,'VK-Transport'!$C:$X,2+$B23,0))+IF(BD$8="X",VLOOKUP(BD$10,'VK-Elekter'!$C:$X,2+$D23,0))+IF(BD$9="X",VLOOKUP(BD$10,'VK-Biokütused'!$C:$U,2+$E23,0))+IF(BD$5="X",VLOOKUP(BD$10,'VK-Põlevkivi'!$C:$X,2+$G23,0))+IF(BD$4="X",VLOOKUP(BD$10,'VK-Võrgud'!$C:$X,2+$F23,0))</f>
        <v>10.42138888888889</v>
      </c>
      <c r="BE23" s="230"/>
      <c r="BF23" s="229">
        <f t="shared" si="16"/>
        <v>0.24395733301707928</v>
      </c>
      <c r="BG23" s="209" t="e">
        <f>(IF(BG$7="X",VLOOKUP(BG$10,'VK-Hooned-Soojus'!$C:$X,2+$C23,FALSE),0)+IF(BG$6="X",VLOOKUP(BG$10,'VK-Transport'!$C:$X,2+$B23,0))+IF(BG$8="X",VLOOKUP(BG$10,'VK-Elekter'!$C:$X,2+$D23,0))+IF(BG$9="X",VLOOKUP(BG$10,'VK-Biokütused'!$C:$U,2+$E23,0))+IF(BG$5="X",VLOOKUP(BG$10,'VK-Põlevkivi'!$C:$X,2+$G23,0))+IF(BG$4="X",VLOOKUP(BG$10,'VK-Võrgud'!$C:$X,2+$F23,0)))/20</f>
        <v>#N/A</v>
      </c>
      <c r="BH23" s="209">
        <f>(IF(BH$7="X",VLOOKUP(BH$10,'VK-Hooned-Soojus'!$C:$X,2+$C23,FALSE),0)+IF(BH$6="X",VLOOKUP(BH$10,'VK-Transport'!$C:$X,2+$B23,0))+IF(BH$8="X",VLOOKUP(BH$10,'VK-Elekter'!$C:$X,2+$D23,0))+IF(BH$9="X",VLOOKUP(BH$10,'VK-Biokütused'!$C:$U,2+$E23,0))+IF(BH$5="X",VLOOKUP(BH$10,'VK-Põlevkivi'!$C:$X,2+$G23,0))+IF(BH$4="X",VLOOKUP(BH$10,'VK-Võrgud'!$C:$X,2+$F23,0)))/20</f>
        <v>13.99</v>
      </c>
      <c r="BI23" s="209">
        <f>(IF(BI$7="X",VLOOKUP(BI$10,'VK-Hooned-Soojus'!$C:$X,2+$C23,FALSE),0)+IF(BI$6="X",VLOOKUP(BI$10,'VK-Transport'!$C:$X,2+$B23,0))+IF(BI$8="X",VLOOKUP(BI$10,'VK-Elekter'!$C:$X,2+$D23,0))+IF(BI$9="X",VLOOKUP(BI$10,'VK-Biokütused'!$C:$U,2+$E23,0))+IF(BI$5="X",VLOOKUP(BI$10,'VK-Põlevkivi'!$C:$X,2+$G23,0))+IF(BI$4="X",VLOOKUP(BI$10,'VK-Võrgud'!$C:$X,2+$F23,0)))/16</f>
        <v>17.75</v>
      </c>
      <c r="BJ23" s="209">
        <f>(IF(BJ$7="X",VLOOKUP(BJ$10,'VK-Hooned-Soojus'!$C:$X,2+$C23,FALSE),0)+IF(BJ$6="X",VLOOKUP(BJ$10,'VK-Transport'!$C:$X,2+$B23,0))+IF(BJ$8="X",VLOOKUP(BJ$10,'VK-Elekter'!$C:$X,2+$D23,0))+IF(BJ$9="X",VLOOKUP(BJ$10,'VK-Biokütused'!$C:$U,2+$E23,0))+IF(BJ$5="X",VLOOKUP(BJ$10,'VK-Põlevkivi'!$C:$X,2+$G23,0))+IF(BJ$4="X",VLOOKUP(BJ$10,'VK-Võrgud'!$C:$X,2+$F23,0)))/20</f>
        <v>1.85</v>
      </c>
      <c r="BK23" s="209"/>
      <c r="BL23" s="209"/>
      <c r="BM23" s="209"/>
      <c r="BN23" s="209" t="e">
        <f>(IF(BN$7="X",VLOOKUP(BN$10,'VK-Hooned-Soojus'!$C:$X,2+$C23,FALSE),0)+IF(BN$6="X",VLOOKUP(BN$10,'VK-Transport'!$C:$X,2+$B23,0))+IF(BN$8="X",VLOOKUP(BN$10,'VK-Elekter'!$C:$X,2+$D23,0))+IF(BN$9="X",VLOOKUP(BN$10,'VK-Biokütused'!$C:$U,2+$E23,0))+IF(BN$5="X",VLOOKUP(BN$10,'VK-Põlevkivi'!$C:$X,2+$G23,0))+IF(BN$4="X",VLOOKUP(BN$10,'VK-Võrgud'!$C:$X,2+$F23,0)))/16</f>
        <v>#N/A</v>
      </c>
      <c r="BO23" s="209">
        <f>(IF(BO$7="X",VLOOKUP(BO$10,'VK-Hooned-Soojus'!$C:$X,2+$C23,FALSE),0)+IF(BO$6="X",VLOOKUP(BO$10,'VK-Transport'!$C:$X,2+$B23,0))+IF(BO$8="X",VLOOKUP(BO$10,'VK-Elekter'!$C:$X,2+$D23,0))+IF(BO$9="X",VLOOKUP(BO$10,'VK-Biokütused'!$C:$U,2+$E23,0))+IF(BO$5="X",VLOOKUP(BO$10,'VK-Põlevkivi'!$C:$X,2+$G23,0))+IF(BO$4="X",VLOOKUP(BO$10,'VK-Võrgud'!$C:$X,2+$F23,0)))/16</f>
        <v>496.33125000000001</v>
      </c>
      <c r="BP23" s="209"/>
      <c r="BQ23" s="209">
        <f>(IF(BQ$7="X",VLOOKUP(BQ$10,'VK-Hooned-Soojus'!$C:$X,2+$C23,FALSE),0)+IF(BQ$6="X",VLOOKUP(BQ$10,'VK-Transport'!$C:$X,2+$B23,0))+IF(BQ$8="X",VLOOKUP(BQ$10,'VK-Elekter'!$C:$X,2+$D23,0))+IF(BQ$9="X",VLOOKUP(BQ$10,'VK-Biokütused'!$C:$U,2+$E23,0))+IF(BQ$5="X",VLOOKUP(BQ$10,'VK-Põlevkivi'!$C:$X,2+$G23,0))+IF(BQ$4="X",VLOOKUP(BQ$10,'VK-Võrgud'!$C:$X,2+$F23,0)))/16</f>
        <v>4.7249999999999996</v>
      </c>
      <c r="BR23" s="209">
        <f>(IF(BR$7="X",VLOOKUP(BR$10,'VK-Hooned-Soojus'!$C:$X,2+$C23,FALSE),0)+IF(BR$6="X",VLOOKUP(BR$10,'VK-Transport'!$C:$X,2+$B23,0))+IF(BR$8="X",VLOOKUP(BR$10,'VK-Elekter'!$C:$X,2+$D23,0))+IF(BR$9="X",VLOOKUP(BR$10,'VK-Biokütused'!$C:$U,2+$E23,0))+IF(BR$5="X",VLOOKUP(BR$10,'VK-Põlevkivi'!$C:$X,2+$G23,0))+IF(BR$4="X",VLOOKUP(BR$10,'VK-Võrgud'!$C:$X,2+$F23,0)))/16</f>
        <v>-74.512500000000003</v>
      </c>
      <c r="BS23" s="209">
        <f>(IF(BS$7="X",VLOOKUP(BS$10,'VK-Hooned-Soojus'!$C:$X,2+$C23,FALSE),0)+IF(BS$6="X",VLOOKUP(BS$10,'VK-Transport'!$C:$X,2+$B23,0))+IF(BS$8="X",VLOOKUP(BS$10,'VK-Elekter'!$C:$X,2+$D23,0))+IF(BS$9="X",VLOOKUP(BS$10,'VK-Biokütused'!$C:$U,2+$E23,0))+IF(BS$5="X",VLOOKUP(BS$10,'VK-Põlevkivi'!$C:$X,2+$G23,0))+IF(BS$4="X",VLOOKUP(BS$10,'VK-Võrgud'!$C:$X,2+$F23,0)))/16</f>
        <v>-100.68125000000001</v>
      </c>
      <c r="BT23" s="209"/>
      <c r="BU23" s="209"/>
      <c r="BV23" s="209">
        <f>(IF(BV$7="X",VLOOKUP(BV$10,'VK-Hooned-Soojus'!$C:$X,2+$C23,FALSE),0)+IF(BV$6="X",VLOOKUP(BV$10,'VK-Transport'!$C:$X,2+$B23,0))+IF(BV$8="X",VLOOKUP(BV$10,'VK-Elekter'!$C:$X,2+$D23,0))+IF(BV$9="X",VLOOKUP(BV$10,'VK-Biokütused'!$C:$U,2+$E23,0))+IF(BV$5="X",VLOOKUP(BV$10,'VK-Põlevkivi'!$C:$X,2+$G23,0))+IF(BV$4="X",VLOOKUP(BV$10,'VK-Võrgud'!$C:$X,2+$F23,0)))/16</f>
        <v>0</v>
      </c>
      <c r="BW23" s="209"/>
      <c r="BX23" s="209">
        <f>(IF(BX$7="X",VLOOKUP(BX$10,'VK-Hooned-Soojus'!$C:$X,2+$C23,FALSE),0)+IF(BX$6="X",VLOOKUP(BX$10,'VK-Transport'!$C:$X,2+$B23,0))+IF(BX$8="X",VLOOKUP(BX$10,'VK-Elekter'!$C:$X,2+$D23,0))+IF(BX$9="X",VLOOKUP(BX$10,'VK-Biokütused'!$C:$U,2+$E23,0))+IF(BX$5="X",VLOOKUP(BX$10,'VK-Põlevkivi'!$C:$X,2+$G23,0))+IF(BX$4="X",VLOOKUP(BX$10,'VK-Võrgud'!$C:$X,2+$F23,0)))/16</f>
        <v>-145.125</v>
      </c>
      <c r="BY23" s="209"/>
      <c r="BZ23" s="209"/>
      <c r="CA23" s="209" t="e">
        <f>(IF(CA$7="X",VLOOKUP(CA$10,'VK-Hooned-Soojus'!$C:$X,2+$C23,FALSE),0)+IF(CA$6="X",VLOOKUP(CA$10,'VK-Transport'!$C:$X,2+$B23,0))+IF(CA$8="X",VLOOKUP(CA$10,'VK-Elekter'!$C:$X,2+$D23,0))+IF(CA$9="X",VLOOKUP(CA$10,'VK-Biokütused'!$C:$U,2+$E23,0))+IF(CA$5="X",VLOOKUP(CA$10,'VK-Põlevkivi'!$C:$X,2+$G23,0))+IF(CA$4="X",VLOOKUP(CA$10,'VK-Võrgud'!$C:$X,2+$F23,0)))/16</f>
        <v>#N/A</v>
      </c>
      <c r="CB23" s="209">
        <f>(IF(CB$7="X",VLOOKUP(CB$10,'VK-Hooned-Soojus'!$C:$X,2+$C23,FALSE),0)+IF(CB$6="X",VLOOKUP(CB$10,'VK-Transport'!$C:$X,2+$B23,0))+IF(CB$8="X",VLOOKUP(CB$10,'VK-Elekter'!$C:$X,2+$D23,0))+IF(CB$9="X",VLOOKUP(CB$10,'VK-Biokütused'!$C:$U,2+$E23,0))+IF(CB$5="X",VLOOKUP(CB$10,'VK-Põlevkivi'!$C:$X,2+$G23,0))+IF(CB$4="X",VLOOKUP(CB$10,'VK-Võrgud'!$C:$X,2+$F23,0)))/16</f>
        <v>0</v>
      </c>
      <c r="CC23" s="209">
        <f>(IF(CC$7="X",VLOOKUP(CC$10,'VK-Hooned-Soojus'!$C:$X,2+$C23,FALSE),0)+IF(CC$6="X",VLOOKUP(CC$10,'VK-Transport'!$C:$X,2+$B23,0))+IF(CC$8="X",VLOOKUP(CC$10,'VK-Elekter'!$C:$X,2+$D23,0))+IF(CC$9="X",VLOOKUP(CC$10,'VK-Biokütused'!$C:$U,2+$E23,0))+IF(CC$5="X",VLOOKUP(CC$10,'VK-Põlevkivi'!$C:$X,2+$G23,0))+IF(CC$4="X",VLOOKUP(CC$10,'VK-Võrgud'!$C:$X,2+$F23,0)))/16</f>
        <v>0</v>
      </c>
      <c r="CD23" s="209"/>
      <c r="CE23" s="209">
        <f>(IF(CE$7="X",VLOOKUP(CE$10,'VK-Hooned-Soojus'!$C:$X,2+$C23,FALSE),0)+IF(CE$6="X",VLOOKUP(CE$10,'VK-Transport'!$C:$X,2+$B23,0))+IF(CE$8="X",VLOOKUP(CE$10,'VK-Elekter'!$C:$X,2+$D23,0))+IF(CE$9="X",VLOOKUP(CE$10,'VK-Biokütused'!$C:$U,2+$E23,0))+IF(CE$5="X",VLOOKUP(CE$10,'VK-Põlevkivi'!$C:$X,2+$G23,0))+IF(CE$4="X",VLOOKUP(CE$10,'VK-Võrgud'!$C:$X,2+$F23,0)))/16</f>
        <v>24.15625</v>
      </c>
      <c r="CF23" s="209"/>
      <c r="CG23" s="209">
        <f>(IF(CG$7="X",VLOOKUP(CG$10,'VK-Hooned-Soojus'!$C:$X,2+$C23,FALSE),0)+IF(CG$6="X",VLOOKUP(CG$10,'VK-Transport'!$C:$X,2+$B23,0))+IF(CG$8="X",VLOOKUP(CG$10,'VK-Elekter'!$C:$X,2+$D23,0))+IF(CG$9="X",VLOOKUP(CG$10,'VK-Biokütused'!$C:$U,2+$E23,0))+IF(CG$5="X",VLOOKUP(CG$10,'VK-Põlevkivi'!$C:$X,2+$G23,0))+IF(CG$4="X",VLOOKUP(CG$10,'VK-Võrgud'!$C:$X,2+$F23,0)))/16</f>
        <v>0</v>
      </c>
      <c r="CH23" s="209">
        <f>(IF(CH$7="X",VLOOKUP(CH$10,'VK-Hooned-Soojus'!$C:$X,2+$C23,FALSE),0)+IF(CH$6="X",VLOOKUP(CH$10,'VK-Transport'!$C:$X,2+$B23,0))+IF(CH$8="X",VLOOKUP(CH$10,'VK-Elekter'!$C:$X,2+$D23,0))+IF(CH$9="X",VLOOKUP(CH$10,'VK-Biokütused'!$C:$U,2+$E23,0))+IF(CH$5="X",VLOOKUP(CH$10,'VK-Põlevkivi'!$C:$X,2+$G23,0))+IF(CH$4="X",VLOOKUP(CH$10,'VK-Võrgud'!$C:$X,2+$F23,0)))/20*0.21</f>
        <v>5.6122500000000004</v>
      </c>
      <c r="CI23" s="209"/>
      <c r="CJ23" s="209">
        <f>(IF(CJ$7="X",VLOOKUP(CJ$10,'VK-Hooned-Soojus'!$C:$X,2+$C23,FALSE),0)+IF(CJ$6="X",VLOOKUP(CJ$10,'VK-Transport'!$C:$X,2+$B23,0))+IF(CJ$8="X",VLOOKUP(CJ$10,'VK-Elekter'!$C:$X,2+$D23,0))+IF(CJ$9="X",VLOOKUP(CJ$10,'VK-Biokütused'!$C:$U,2+$E23,0))+IF(CJ$5="X",VLOOKUP(CJ$10,'VK-Põlevkivi'!$C:$X,2+$G23,0))+IF(CJ$4="X",VLOOKUP(CJ$10,'VK-Võrgud'!$C:$X,2+$F23,0)))/1000</f>
        <v>24.675999999999998</v>
      </c>
      <c r="CK23" s="209">
        <f>(IF(CK$7="X",VLOOKUP(CK$10,'VK-Hooned-Soojus'!$C:$X,2+$C23,FALSE),0)+IF(CK$6="X",VLOOKUP(CK$10,'VK-Transport'!$C:$X,2+$B23,0))+IF(CK$8="X",VLOOKUP(CK$10,'VK-Elekter'!$C:$X,2+$D23,0))+IF(CK$9="X",VLOOKUP(CK$10,'VK-Biokütused'!$C:$U,2+$E23,0))+IF(CK$5="X",VLOOKUP(CK$10,'VK-Põlevkivi'!$C:$X,2+$G23,0))+IF(CK$4="X",VLOOKUP(CK$10,'VK-Võrgud'!$C:$X,2+$F23,0)))/1000</f>
        <v>39.425716140171815</v>
      </c>
      <c r="CL23" s="209">
        <f>(IF(CL$7="X",VLOOKUP(CL$10,'VK-Hooned-Soojus'!$C:$X,2+$C23,FALSE),0)+IF(CL$6="X",VLOOKUP(CL$10,'VK-Transport'!$C:$X,2+$B23,0))+IF(CL$8="X",VLOOKUP(CL$10,'VK-Elekter'!$C:$X,2+$D23,0))+IF(CL$9="X",VLOOKUP(CL$10,'VK-Biokütused'!$C:$U,2+$E23,0))+IF(CL$5="X",VLOOKUP(CL$10,'VK-Põlevkivi'!$C:$X,2+$G23,0))+IF(CL$4="X",VLOOKUP(CL$10,'VK-Võrgud'!$C:$X,2+$F23,0)))/1000</f>
        <v>12.898233270393458</v>
      </c>
      <c r="CM23" s="209">
        <f>(IF(CM$7="X",VLOOKUP(CM$10,'VK-Hooned-Soojus'!$C:$X,2+$C23,FALSE),0)+IF(CM$6="X",VLOOKUP(CM$10,'VK-Transport'!$C:$X,2+$B23,0))+IF(CM$8="X",VLOOKUP(CM$10,'VK-Elekter'!$C:$X,2+$D23,0))+IF(CM$9="X",VLOOKUP(CM$10,'VK-Biokütused'!$C:$U,2+$E23,0))+IF(CM$5="X",VLOOKUP(CM$10,'VK-Põlevkivi'!$C:$X,2+$G23,0))+IF(CM$4="X",VLOOKUP(CM$10,'VK-Võrgud'!$C:$X,2+$F23,0)))/1000</f>
        <v>8.5139896156049168</v>
      </c>
      <c r="CN23" s="209">
        <f>(IF(CN$7="X",VLOOKUP(CN$10,'VK-Hooned-Soojus'!$C:$X,2+$C23,FALSE),0)+IF(CN$6="X",VLOOKUP(CN$10,'VK-Transport'!$C:$X,2+$B23,0))+IF(CN$8="X",VLOOKUP(CN$10,'VK-Elekter'!$C:$X,2+$D23,0))+IF(CN$9="X",VLOOKUP(CN$10,'VK-Biokütused'!$C:$U,2+$E23,0))+IF(CN$5="X",VLOOKUP(CN$10,'VK-Põlevkivi'!$C:$X,2+$G23,0))+IF(CN$4="X",VLOOKUP(CN$10,'VK-Võrgud'!$C:$X,2+$F23,0)))/1000</f>
        <v>3.0259999999999998</v>
      </c>
      <c r="CO23" s="209">
        <f>(IF(CO$7="X",VLOOKUP(CO$10,'VK-Hooned-Soojus'!$C:$X,2+$C23,FALSE),0)+IF(CO$6="X",VLOOKUP(CO$10,'VK-Transport'!$C:$X,2+$B23,0))+IF(CO$8="X",VLOOKUP(CO$10,'VK-Elekter'!$C:$X,2+$D23,0))+IF(CO$9="X",VLOOKUP(CO$10,'VK-Biokütused'!$C:$U,2+$E23,0))+IF(CO$5="X",VLOOKUP(CO$10,'VK-Põlevkivi'!$C:$X,2+$G23,0))+IF(CO$4="X",VLOOKUP(CO$10,'VK-Võrgud'!$C:$X,2+$F23,0)))/1000</f>
        <v>31.017649773285456</v>
      </c>
      <c r="CP23" s="209">
        <f>(IF(CP$7="X",VLOOKUP(CP$10,'VK-Hooned-Soojus'!$C:$X,2+$C23,FALSE),0)+IF(CP$6="X",VLOOKUP(CP$10,'VK-Transport'!$C:$X,2+$B23,0))+IF(CP$8="X",VLOOKUP(CP$10,'VK-Elekter'!$C:$X,2+$D23,0))+IF(CP$9="X",VLOOKUP(CP$10,'VK-Biokütused'!$C:$U,2+$E23,0))+IF(CP$5="X",VLOOKUP(CP$10,'VK-Põlevkivi'!$C:$X,2+$G23,0))+IF(CP$4="X",VLOOKUP(CP$10,'VK-Võrgud'!$C:$X,2+$F23,0)))/1000</f>
        <v>32.72243047859989</v>
      </c>
      <c r="CQ23" s="209">
        <f>(IF(CQ$7="X",VLOOKUP(CQ$10,'VK-Hooned-Soojus'!$C:$X,2+$C23,FALSE),0)+IF(CQ$6="X",VLOOKUP(CQ$10,'VK-Transport'!$C:$X,2+$B23,0))+IF(CQ$8="X",VLOOKUP(CQ$10,'VK-Elekter'!$C:$X,2+$D23,0))+IF(CQ$9="X",VLOOKUP(CQ$10,'VK-Biokütused'!$C:$U,2+$E23,0))+IF(CQ$5="X",VLOOKUP(CQ$10,'VK-Põlevkivi'!$C:$X,2+$G23,0))+IF(CQ$4="X",VLOOKUP(CQ$10,'VK-Võrgud'!$C:$X,2+$F23,0)))/1000</f>
        <v>17.588906999999999</v>
      </c>
      <c r="CR23" s="209">
        <f>(IF(CR$7="X",VLOOKUP(CR$10,'VK-Hooned-Soojus'!$C:$X,2+$C23,FALSE),0)+IF(CR$6="X",VLOOKUP(CR$10,'VK-Transport'!$C:$X,2+$B23,0))+IF(CR$8="X",VLOOKUP(CR$10,'VK-Elekter'!$C:$X,2+$D23,0))+IF(CR$9="X",VLOOKUP(CR$10,'VK-Biokütused'!$C:$U,2+$E23,0))+IF(CR$5="X",VLOOKUP(CR$10,'VK-Põlevkivi'!$C:$X,2+$G23,0))+IF(CR$4="X",VLOOKUP(CR$10,'VK-Võrgud'!$C:$X,2+$F23,0)))/1000</f>
        <v>8.4367533562748029</v>
      </c>
      <c r="CS23" s="209">
        <f>(IF(CS$7="X",VLOOKUP(CS$10,'VK-Hooned-Soojus'!$C:$X,2+$C23,FALSE),0)+IF(CS$6="X",VLOOKUP(CS$10,'VK-Transport'!$C:$X,2+$B23,0))+IF(CS$8="X",VLOOKUP(CS$10,'VK-Elekter'!$C:$X,2+$D23,0))+IF(CS$9="X",VLOOKUP(CS$10,'VK-Biokütused'!$C:$U,2+$E23,0))+IF(CS$5="X",VLOOKUP(CS$10,'VK-Põlevkivi'!$C:$X,2+$G23,0))+IF(CS$4="X",VLOOKUP(CS$10,'VK-Võrgud'!$C:$X,2+$F23,0)))/1000</f>
        <v>3.9861524051216151</v>
      </c>
      <c r="CT23" s="209">
        <f>IF(CT$7="X",VLOOKUP(CT$10,'VK-Hooned-Soojus'!$C:$X,2+$C23,FALSE),0)+IF(CT$6="X",VLOOKUP(CT$10,'VK-Transport'!$C:$X,2+$B23,0))+IF(CT$8="X",VLOOKUP(CT$10,'VK-Elekter'!$C:$X,2+$D23,0))+IF(CT$9="X",VLOOKUP(CT$10,'VK-Biokütused'!$C:$U,2+$E23,0))+IF(CT$5="X",VLOOKUP(CT$10,'VK-Põlevkivi'!$C:$X,2+$G23,0))+IF(CT$4="X",VLOOKUP(CT$10,'VK-Võrgud'!$C:$X,2+$F23,0))</f>
        <v>90</v>
      </c>
      <c r="CU23" s="209">
        <f>IF(CU$7="X",VLOOKUP(CU$10,'VK-Hooned-Soojus'!$C:$X,2+$C23,FALSE),0)+IF(CU$6="X",VLOOKUP(CU$10,'VK-Transport'!$C:$X,2+$B23,0))+IF(CU$8="X",VLOOKUP(CU$10,'VK-Elekter'!$C:$X,2+$D23,0))+IF(CU$9="X",VLOOKUP(CU$10,'VK-Biokütused'!$C:$U,2+$E23,0))+IF(CU$5="X",VLOOKUP(CU$10,'VK-Põlevkivi'!$C:$X,2+$G23,0))+IF(CU$4="X",VLOOKUP(CU$10,'VK-Võrgud'!$C:$X,2+$F23,0))</f>
        <v>1</v>
      </c>
      <c r="CV23" s="209">
        <f t="shared" si="1"/>
        <v>1</v>
      </c>
      <c r="CW23" s="209">
        <f>(IF(CW$7="X",VLOOKUP(CW$10,'VK-Hooned-Soojus'!$C:$X,2+$C23,FALSE),0)+IF(CW$6="X",VLOOKUP(CW$10,'VK-Transport'!$C:$X,2+$B23,0))+IF(CW$8="X",VLOOKUP(CW$10,'VK-Elekter'!$C:$X,2+$D23,0))+IF(CW$9="X",VLOOKUP(CW$10,'VK-Biokütused'!$C:$U,2+$E23,0))+IF(CW$5="X",VLOOKUP(CW$10,'VK-Põlevkivi'!$C:$X,2+$G23,0))+IF(CW$4="X",VLOOKUP(CW$10,'VK-Võrgud'!$C:$X,2+$F23,0)))/16</f>
        <v>0</v>
      </c>
      <c r="CY23" s="209">
        <f>(IF(CY$7="X",VLOOKUP(CY$10,'VK-Hooned-Soojus'!$C:$X,2+$C23,FALSE),0)+IF(CY$6="X",VLOOKUP(CY$10,'VK-Transport'!$C:$X,2+$B23,0))+IF(CY$8="X",VLOOKUP(CY$10,'VK-Elekter'!$C:$X,2+$D23,0))+IF(CY$9="X",VLOOKUP(CY$10,'VK-Biokütused'!$C:$U,2+$E23,0))+IF(CY$5="X",VLOOKUP(CY$10,'VK-Põlevkivi'!$C:$X,2+$G23,0))+IF(CY$4="X",VLOOKUP(CY$10,'VK-Võrgud'!$C:$X,2+$F23,0)))/1000</f>
        <v>12.446</v>
      </c>
      <c r="CZ23" s="209">
        <f>(IF(CZ$7="X",VLOOKUP(CZ$10,'VK-Hooned-Soojus'!$C:$X,2+$C23,FALSE),0)+IF(CZ$6="X",VLOOKUP(CZ$10,'VK-Transport'!$C:$X,2+$B23,0))+IF(CZ$8="X",VLOOKUP(CZ$10,'VK-Elekter'!$C:$X,2+$D23,0))+IF(CZ$9="X",VLOOKUP(CZ$10,'VK-Biokütused'!$C:$U,2+$E23,0))+IF(CZ$5="X",VLOOKUP(CZ$10,'VK-Põlevkivi'!$C:$X,2+$G23,0))+IF(CZ$4="X",VLOOKUP(CZ$10,'VK-Võrgud'!$C:$X,2+$F23,0)))</f>
        <v>103</v>
      </c>
      <c r="DA23" s="209">
        <f>(IF(DA$7="X",VLOOKUP(DA$10,'VK-Hooned-Soojus'!$C:$X,2+$C23,FALSE),0)+IF(DA$6="X",VLOOKUP(DA$10,'VK-Transport'!$C:$X,2+$B23,0))+IF(DA$8="X",VLOOKUP(DA$10,'VK-Elekter'!$C:$X,2+$D23,0))+IF(DA$9="X",VLOOKUP(DA$10,'VK-Biokütused'!$C:$U,2+$E23,0))+IF(DA$5="X",VLOOKUP(DA$10,'VK-Põlevkivi'!$C:$X,2+$G23,0))+IF(DA$4="X",VLOOKUP(DA$10,'VK-Võrgud'!$C:$X,2+$F23,0)))/1000</f>
        <v>17.931000000000001</v>
      </c>
      <c r="DB23" s="209">
        <f>(IF(DB$7="X",VLOOKUP(DB$10,'VK-Hooned-Soojus'!$C:$X,2+$C23,FALSE),0)+IF(DB$6="X",VLOOKUP(DB$10,'VK-Transport'!$C:$X,2+$B23,0))+IF(DB$8="X",VLOOKUP(DB$10,'VK-Elekter'!$C:$X,2+$D23,0))+IF(DB$9="X",VLOOKUP(DB$10,'VK-Biokütused'!$C:$U,2+$E23,0))+IF(DB$5="X",VLOOKUP(DB$10,'VK-Põlevkivi'!$C:$X,2+$G23,0))+IF(DB$4="X",VLOOKUP(DB$10,'VK-Võrgud'!$C:$X,2+$F23,0)))/1000/3.6</f>
        <v>142.42055555555558</v>
      </c>
      <c r="DC23" s="209">
        <f>(IF(DC$7="X",VLOOKUP(DC$10,'VK-Hooned-Soojus'!$C:$X,2+$C23,FALSE),0)+IF(DC$6="X",VLOOKUP(DC$10,'VK-Transport'!$C:$X,2+$B23,0))+IF(DC$8="X",VLOOKUP(DC$10,'VK-Elekter'!$C:$X,2+$D23,0))+IF(DC$9="X",VLOOKUP(DC$10,'VK-Biokütused'!$C:$U,2+$E23,0))+IF(DC$5="X",VLOOKUP(DC$10,'VK-Põlevkivi'!$C:$X,2+$G23,0))+IF(DC$4="X",VLOOKUP(DC$10,'VK-Võrgud'!$C:$X,2+$F23,0)))/1000000</f>
        <v>7.8642110000000001</v>
      </c>
      <c r="DD23" s="209"/>
      <c r="DE23" s="88">
        <f>VLOOKUP(Tulemused!$BN$12,data!M$7:N$12,2,FALSE)-SUM(L23,M23)</f>
        <v>-3.4066444444444528</v>
      </c>
      <c r="DF23" s="209" t="str">
        <f>IF(AZ23&lt;=VLOOKUP(Tulemused!$BN$15,data!$E$36:$F$39,2,FALSE),"JAH","EI")</f>
        <v>JAH</v>
      </c>
      <c r="DG23" s="209"/>
      <c r="DH23" s="209">
        <f t="shared" si="2"/>
        <v>6.78</v>
      </c>
      <c r="DI23" s="231" t="str">
        <f t="shared" si="17"/>
        <v>EI</v>
      </c>
      <c r="DK23" s="232">
        <f t="shared" si="3"/>
        <v>-998.35927263249994</v>
      </c>
      <c r="DM23" s="233">
        <f t="shared" si="4"/>
        <v>6.3213672301352926</v>
      </c>
      <c r="DN23" s="87">
        <f t="array" ref="DN23">INDEX($A$11:$A$145, SMALL(IF(DM23=$DK$11:$DK$145, MATCH(ROW($DK$11:$DK$145), ROW($DK$11:$DK$145))), SUM(--(DM23=$DM$11:DM23))))</f>
        <v>127</v>
      </c>
      <c r="DP23" s="87" t="e">
        <f t="shared" ca="1" si="18"/>
        <v>#N/A</v>
      </c>
      <c r="DQ23" s="87" t="e">
        <f t="shared" ca="1" si="19"/>
        <v>#N/A</v>
      </c>
      <c r="DR23" s="87">
        <f t="shared" ca="1" si="20"/>
        <v>0</v>
      </c>
      <c r="DS23" s="87" t="e">
        <f t="shared" ca="1" si="21"/>
        <v>#N/A</v>
      </c>
      <c r="DT23" s="87">
        <f t="shared" ca="1" si="22"/>
        <v>0</v>
      </c>
      <c r="DU23" s="87" t="e">
        <f t="shared" ca="1" si="23"/>
        <v>#N/A</v>
      </c>
      <c r="DV23" s="87" t="e">
        <f t="shared" ca="1" si="24"/>
        <v>#N/A</v>
      </c>
      <c r="DW23" s="87">
        <f t="shared" ca="1" si="25"/>
        <v>0</v>
      </c>
      <c r="DX23" s="87">
        <f t="shared" ca="1" si="26"/>
        <v>0</v>
      </c>
      <c r="DZ23" s="87">
        <f t="shared" ca="1" si="5"/>
        <v>0</v>
      </c>
      <c r="EB23" s="87">
        <f t="shared" ca="1" si="27"/>
        <v>0</v>
      </c>
      <c r="EC23" s="87" t="e">
        <f t="shared" ca="1" si="28"/>
        <v>#N/A</v>
      </c>
      <c r="EE23" s="228">
        <f>(IF(EE$7="X",VLOOKUP(EE$10,'VK-Hooned-Soojus'!$C:$X,2+$C23,FALSE),0)+IF(EE$6="X",VLOOKUP(EE$10,'VK-Transport'!$C:$X,2+$B23,0))+IF(EE$8="X",VLOOKUP(EE$10,'VK-Elekter'!$C:$X,2+$D23,0))+IF(EE$9="X",VLOOKUP(EE$10,'VK-Biokütused'!$C:$U,2+$E23,0))+IF(EE$5="X",VLOOKUP(EE$10,'VK-Põlevkivi'!$C:$X,2+$G23,0))+IF(EE$4="X",VLOOKUP(EE$10,'VK-Võrgud'!$C:$X,2+$F23,0)))</f>
        <v>4278.4858086175182</v>
      </c>
      <c r="EF23" s="209">
        <f>(IF(EF$7="X",VLOOKUP(EF$10,'VK-Hooned-Soojus'!$C:$X,2+$C23,FALSE),0)+IF(EF$6="X",VLOOKUP(EF$10,'VK-Transport'!$C:$X,2+$B23,0))+IF(EF$8="X",VLOOKUP(EF$10,'VK-Elekter'!$C:$X,2+$D23,0))+IF(EF$9="X",VLOOKUP(EF$10,'VK-Biokütused'!$C:$U,2+$E23,0))+IF(EF$5="X",VLOOKUP(EF$10,'VK-Põlevkivi'!$C:$X,2+$G23,0))+IF(EF$4="X",VLOOKUP(EF$10,'VK-Võrgud'!$C:$X,2+$F23,0)))/1000</f>
        <v>10.456636821583061</v>
      </c>
      <c r="EG23" s="209">
        <f>(IF(EG$7="X",VLOOKUP(EG$10,'VK-Hooned-Soojus'!$C:$X,2+$C23,FALSE),0)+IF(EG$6="X",VLOOKUP(EG$10,'VK-Transport'!$C:$X,2+$B23,0))+IF(EG$8="X",VLOOKUP(EG$10,'VK-Elekter'!$C:$X,2+$D23,0))+IF(EG$9="X",VLOOKUP(EG$10,'VK-Biokütused'!$C:$U,2+$E23,0))+IF(EG$5="X",VLOOKUP(EG$10,'VK-Põlevkivi'!$C:$X,2+$G23,0))+IF(EG$4="X",VLOOKUP(EG$10,'VK-Võrgud'!$C:$X,2+$F23,0)))</f>
        <v>0.81</v>
      </c>
      <c r="EH23" s="209">
        <f>(IF(EH$7="X",VLOOKUP(EH$10,'VK-Hooned-Soojus'!$C:$X,2+$C23,FALSE),0)+IF(EH$6="X",VLOOKUP(EH$10,'VK-Transport'!$C:$X,2+$B23,0))+IF(EH$8="X",VLOOKUP(EH$10,'VK-Elekter'!$C:$X,2+$D23,0))+IF(EH$9="X",VLOOKUP(EH$10,'VK-Biokütused'!$C:$U,2+$E23,0)))+AR23+AS23+AU23+AX23</f>
        <v>95.624722222222218</v>
      </c>
      <c r="EI23" s="320">
        <f t="shared" si="6"/>
        <v>67.196678542103257</v>
      </c>
      <c r="EJ23" s="322">
        <f t="shared" si="7"/>
        <v>2.0156356925118721E-2</v>
      </c>
      <c r="EK23" s="323">
        <f t="shared" si="29"/>
        <v>0.36242899961328989</v>
      </c>
      <c r="EM23" s="209"/>
      <c r="EN23" s="209">
        <f t="shared" ca="1" si="8"/>
        <v>0</v>
      </c>
      <c r="EO23" s="209"/>
      <c r="EP23" s="234"/>
      <c r="EQ23" s="209">
        <f>(IF(EQ$7="X",VLOOKUP(EQ$10,'VK-Hooned-Soojus'!$C:$X,2+$C23,FALSE),0)+IF(EQ$6="X",VLOOKUP(EQ$10,'VK-Transport'!$C:$X,2+$B23,0))+IF(EQ$8="X",VLOOKUP(EQ$10,'VK-Elekter'!$C:$X,2+$D23,0))+IF(EQ$9="X",VLOOKUP(EQ$10,'VK-Biokütused'!$C:$U,2+$E23,0))+IF(EQ$5="X",VLOOKUP(EQ$10,'VK-Põlevkivi'!$C:$X,2+$G23,0))+IF(EQ$4="X",VLOOKUP(EQ$10,'VK-Võrgud'!$C:$X,2+$F23,0)))/1000</f>
        <v>0.22900000000000001</v>
      </c>
      <c r="ER23" s="209">
        <f>(IF(ER$7="X",VLOOKUP(ER$10,'VK-Hooned-Soojus'!$C:$X,2+$C23,FALSE),0)+IF(ER$6="X",VLOOKUP(ER$10,'VK-Transport'!$C:$X,2+$B23,0))+IF(ER$8="X",VLOOKUP(ER$10,'VK-Elekter'!$C:$X,2+$D23,0))+IF(ER$9="X",VLOOKUP(ER$10,'VK-Biokütused'!$C:$U,2+$E23,0))+IF(ER$5="X",VLOOKUP(ER$10,'VK-Põlevkivi'!$C:$X,2+$G23,0))+IF(ER$4="X",VLOOKUP(ER$10,'VK-Võrgud'!$C:$X,2+$F23,0)))</f>
        <v>0.82899999999999996</v>
      </c>
      <c r="ES23" s="209">
        <f>(IF(ES$7="X",VLOOKUP(ES$10,'VK-Hooned-Soojus'!$C:$X,2+$C23,FALSE),0)+IF(ES$6="X",VLOOKUP(ES$10,'VK-Transport'!$C:$X,2+$B23,0))+IF(ES$8="X",VLOOKUP(ES$10,'VK-Elekter'!$C:$X,2+$D23,0))+IF(ES$9="X",VLOOKUP(ES$10,'VK-Biokütused'!$C:$U,2+$E23,0))+IF(ES$5="X",VLOOKUP(ES$10,'VK-Põlevkivi'!$C:$X,2+$G23,0))+IF(ES$4="X",VLOOKUP(ES$10,'VK-Võrgud'!$C:$X,2+$F23,0)))</f>
        <v>6.78</v>
      </c>
      <c r="ET23" s="209"/>
      <c r="EU23" s="209"/>
      <c r="EV23" s="87">
        <f>'KSH järjestus'!AS16</f>
        <v>2295</v>
      </c>
      <c r="EX23" s="236"/>
      <c r="EY23" s="236"/>
      <c r="EZ23" s="237">
        <f t="shared" si="9"/>
        <v>0</v>
      </c>
      <c r="FA23" s="209">
        <f>IF(FA$7="X",VLOOKUP(FA$10,'VK-Hooned-Soojus'!$C:$X,2+$C23,FALSE),0)+IF(FA$6="X",VLOOKUP(FA$10,'VK-Transport'!$C:$X,2+$B23,0))+IF(FA$8="X",VLOOKUP(FA$10,'VK-Elekter'!$C:$X,2+$D23,0))+IF(FA$9="X",VLOOKUP(FA$10,'VK-Biokütused'!$C:$U,2+$E23,0))+IF(FA$5="X",VLOOKUP(FA$10,'VK-Põlevkivi'!$C:$X,2+$G23,0))+IF(FA$4="X",VLOOKUP(FA$10,'VK-Võrgud'!$C:$X,2+$F23,0))</f>
        <v>3481.9070000000002</v>
      </c>
      <c r="FB23" s="279">
        <f>(IF(FB$7="X",VLOOKUP(FB$10,'VK-Hooned-Soojus'!$C:$X,2+$C23,FALSE),0)+IF(FB$6="X",VLOOKUP(FB$10,'VK-Transport'!$C:$X,2+$B23,0))+IF(FB$8="X",VLOOKUP(FB$10,'VK-Elekter'!$C:$X,2+$D23,0))+IF(FB$9="X",VLOOKUP(FB$10,'VK-Biokütused'!$C:$U,2+$E23,0))+IF(FB$5="X",VLOOKUP(FB$10,'VK-Põlevkivi'!$C:$X,2+$G23,0))+IF(FB$4="X",VLOOKUP(FB$10,'VK-Võrgud'!$C:$X,2+$F23,0)))/16</f>
        <v>486.20813825993793</v>
      </c>
      <c r="FC23" s="209">
        <f>IF(FC$7="X",VLOOKUP(FC$10,'VK-Hooned-Soojus'!$C:$X,2+$C23,FALSE),0)+IF(FC$6="X",VLOOKUP(FC$10,'VK-Transport'!$C:$X,2+$B23,0))+IF(FC$8="X",VLOOKUP(FC$10,'VK-Elekter'!$C:$X,2+$D23,0))+IF(FC$9="X",VLOOKUP(FC$10,'VK-Biokütused'!$C:$U,2+$E23,0))+IF(FC$5="X",VLOOKUP(FC$10,'VK-Põlevkivi'!$C:$X,2+$G23,0))+IF(FC$4="X",VLOOKUP(FC$10,'VK-Võrgud'!$C:$X,2+$F23,0))</f>
        <v>339.5</v>
      </c>
      <c r="FD23" s="209">
        <f>(IF(FD$7="X",VLOOKUP(FD$10,'VK-Hooned-Soojus'!$C:$X,2+$C23,FALSE),0)+IF(FD$6="X",VLOOKUP(FD$10,'VK-Transport'!$C:$X,2+$B23,0))+IF(FD$8="X",VLOOKUP(FD$10,'VK-Elekter'!$C:$X,2+$D23,0))+IF(FD$9="X",VLOOKUP(FD$10,'VK-Biokütused'!$C:$U,2+$E23,0))+IF(FD$5="X",VLOOKUP(FD$10,'VK-Põlevkivi'!$C:$X,2+$G23,0))+IF(FD$4="X",VLOOKUP(FD$10,'VK-Võrgud'!$C:$X,2+$F23,0)))/16</f>
        <v>486.20813825993793</v>
      </c>
      <c r="FE23" s="209">
        <f>(IF(FE$7="X",VLOOKUP(FE$10,'VK-Hooned-Soojus'!$C:$X,2+$C23,FALSE),0)+IF(FE$6="X",VLOOKUP(FE$10,'VK-Transport'!$C:$X,2+$B23,0))+IF(FE$8="X",VLOOKUP(FE$10,'VK-Elekter'!$C:$X,2+$D23,0))+IF(FE$9="X",VLOOKUP(FE$10,'VK-Biokütused'!$C:$U,2+$E23,0))+IF(FE$5="X",VLOOKUP(FE$10,'VK-Põlevkivi'!$C:$X,2+$G23,0))+IF(FE$4="X",VLOOKUP(FE$10,'VK-Võrgud'!$C:$X,2+$F23,0)))/16</f>
        <v>0</v>
      </c>
      <c r="FF23" s="209">
        <f>(IF(FF$7="X",VLOOKUP(FF$10,'VK-Hooned-Soojus'!$C:$X,2+$C23,FALSE),0)+IF(FF$6="X",VLOOKUP(FF$10,'VK-Transport'!$C:$X,2+$B23,0))+IF(FF$8="X",VLOOKUP(FF$10,'VK-Elekter'!$C:$X,2+$D23,0))+IF(FF$9="X",VLOOKUP(FF$10,'VK-Biokütused'!$C:$U,2+$E23,0))+IF(FF$5="X",VLOOKUP(FF$10,'VK-Põlevkivi'!$C:$X,2+$G23,0))+IF(FF$4="X",VLOOKUP(FF$10,'VK-Võrgud'!$C:$X,2+$F23,0)))/16</f>
        <v>119.77822597562084</v>
      </c>
      <c r="FG23" s="88">
        <f t="shared" ca="1" si="30"/>
        <v>119.77822597562084</v>
      </c>
      <c r="FH23" s="88"/>
      <c r="FI23" s="88"/>
      <c r="FJ23" s="88">
        <f>VLOOKUP(Tulemused!$BN$12,data!M$7:N$12,2,FALSE)-SUM(L23,M23)</f>
        <v>-3.4066444444444528</v>
      </c>
      <c r="FK23" s="209" t="str">
        <f>IF(AZ23&lt;=VLOOKUP(Tulemused!$BN$15,data!$E$36:$F$39,2,FALSE),"JAH","EI")</f>
        <v>JAH</v>
      </c>
      <c r="FL23" s="235">
        <f ca="1">IF(ISNA(MATCH($A23,INDIRECT(VLOOKUP(Tulemused!$BF$11,data!$J$57:$M$71,4,FALSE)))),0,MATCH($A23,INDIRECT(VLOOKUP(Tulemused!$BF$11,data!$J$57:$M$71,4,FALSE))))</f>
        <v>0</v>
      </c>
      <c r="FM23" s="235" t="str">
        <f t="shared" ca="1" si="10"/>
        <v>JAH</v>
      </c>
      <c r="FN23" s="209">
        <f>VLOOKUP(Tulemused!$BN$13,data!$C$132:$D$137,2,FALSE)-KOMBI!R23</f>
        <v>2.9433331784169403</v>
      </c>
      <c r="FO23" s="209"/>
      <c r="FP23" s="209">
        <f>VLOOKUP(Tulemused!$BN$17,NO_x,2,FALSE)-CJ23</f>
        <v>4.7620000000000005</v>
      </c>
      <c r="FQ23" s="209">
        <f>VLOOKUP(Tulemused!$BN$18,SO_2,2,FALSE)-CK23</f>
        <v>12.458283859828185</v>
      </c>
      <c r="FR23" s="209">
        <f>VLOOKUP(Tulemused!$BN$19,LOU,2,FALSE)-CN23</f>
        <v>34.054000000000002</v>
      </c>
      <c r="FS23" s="209">
        <f>VLOOKUP(Tulemused!$BN$20,PM_2.5,2,FALSE)-CM23</f>
        <v>8.4010103843950823</v>
      </c>
      <c r="FT23" s="209">
        <f>VLOOKUP(Tulemused!$BN$13,data!$C$132:$D$137,2,FALSE)-FA23/1000</f>
        <v>2.7640630000000006</v>
      </c>
      <c r="FU23" s="209">
        <f>VLOOKUP(Tulemused!$BN$17,NO_x,2,FALSE)-CO23</f>
        <v>-1.5796497732854569</v>
      </c>
      <c r="FV23" s="209">
        <f>VLOOKUP(Tulemused!$BN$18,SO_2,2,FALSE)-CP23</f>
        <v>19.161569521400111</v>
      </c>
      <c r="FW23" s="209">
        <f>VLOOKUP(Tulemused!$BN$19,LOU,2,FALSE)-CS23</f>
        <v>33.09384759487839</v>
      </c>
      <c r="FX23" s="209">
        <f>VLOOKUP(Tulemused!$BN$20,PM_2.5,2,FALSE)-CR23</f>
        <v>8.4782466437251962</v>
      </c>
      <c r="FY23" s="209">
        <f>VLOOKUP(Tulemused!$BN$14,KHG_2050,2,FALSE)-EF23</f>
        <v>89.543363178416939</v>
      </c>
      <c r="FZ23" s="231" t="str">
        <f t="shared" ca="1" si="31"/>
        <v>EI</v>
      </c>
      <c r="GA23" s="209"/>
      <c r="GB23" s="209"/>
      <c r="GC23" s="209"/>
      <c r="GD23" s="231"/>
      <c r="GE23" s="87">
        <f t="shared" si="11"/>
        <v>2295</v>
      </c>
      <c r="GF23" s="232" t="str">
        <f t="shared" ca="1" si="32"/>
        <v/>
      </c>
      <c r="GH23" s="238">
        <f t="shared" ca="1" si="12"/>
        <v>1007</v>
      </c>
      <c r="GI23" s="87">
        <f t="array" aca="1" ref="GI23" ca="1">INDEX($A$11:$A$145, SMALL(IF(GH23=$GF$11:$GF$145, MATCH(ROW($GF$11:$GF$145), ROW($GF$11:$GF$145))), SUM(--(GH23=$GH$11:GH23))))</f>
        <v>134</v>
      </c>
      <c r="GM23" s="209">
        <f>IF(GM$7="X",VLOOKUP(GM$10,'VK-Hooned-Soojus'!$C:$X,2+$C23,FALSE),0)+IF(GM$6="X",VLOOKUP(GM$10,'VK-Transport'!$C:$X,2+$B23,0))+IF(GM$8="X",VLOOKUP(GM$10,'VK-Elekter'!$C:$X,2+$D23,0))+IF(GM$9="X",VLOOKUP(GM$10,'VK-Biokütused'!$C:$U,2+$E23,0))+IF(GM$5="X",VLOOKUP(GM$10,'VK-Põlevkivi'!$C:$X,2+$G23,0))+IF(GM$4="X",VLOOKUP(GM$10,'VK-Võrgud'!$C:$X,2+$F23,0))</f>
        <v>11.189888530766083</v>
      </c>
      <c r="GN23" s="209">
        <f>IF(GN$7="X",VLOOKUP(GN$10,'VK-Hooned-Soojus'!$C:$X,2+$C23,FALSE),0)+IF(GN$6="X",VLOOKUP(GN$10,'VK-Transport'!$C:$X,2+$B23,0))+IF(GN$8="X",VLOOKUP(GN$10,'VK-Elekter'!$C:$X,2+$D23,0))+IF(GN$9="X",VLOOKUP(GN$10,'VK-Biokütused'!$C:$U,2+$E23,0))+IF(GN$5="X",VLOOKUP(GN$10,'VK-Põlevkivi'!$C:$X,2+$G23,0))+IF(GN$4="X",VLOOKUP(GN$10,'VK-Võrgud'!$C:$X,2+$F23,0))</f>
        <v>2.9930837725682502</v>
      </c>
      <c r="GO23" s="209">
        <f>IF(GO$7="X",VLOOKUP(GO$10,'VK-Hooned-Soojus'!$C:$X,2+$C23,FALSE),0)+IF(GO$6="X",VLOOKUP(GO$10,'VK-Transport'!$C:$X,2+$B23,0))+IF(GO$8="X",VLOOKUP(GO$10,'VK-Elekter'!$C:$X,2+$D23,0))+IF(GO$9="X",VLOOKUP(GO$10,'VK-Biokütused'!$C:$U,2+$E23,0))+IF(GO$5="X",VLOOKUP(GO$10,'VK-Põlevkivi'!$C:$X,2+$G23,0))+IF(GO$4="X",VLOOKUP(GO$10,'VK-Võrgud'!$C:$X,2+$F23,0))</f>
        <v>8.7471755658278116</v>
      </c>
      <c r="GP23" s="209">
        <f>IF(GP$7="X",VLOOKUP(GP$10,'VK-Hooned-Soojus'!$C:$X,2+$C23,FALSE),0)+IF(GP$6="X",VLOOKUP(GP$10,'VK-Transport'!$C:$X,2+$B23,0))+IF(GP$8="X",VLOOKUP(GP$10,'VK-Elekter'!$C:$X,2+$D23,0))+IF(GP$9="X",VLOOKUP(GP$10,'VK-Biokütused'!$C:$U,2+$E23,0))+IF(GP$5="X",VLOOKUP(GP$10,'VK-Põlevkivi'!$C:$X,2+$G23,0))+IF(GP$4="X",VLOOKUP(GP$10,'VK-Võrgud'!$C:$X,2+$F23,0))</f>
        <v>9.3279335818485372</v>
      </c>
      <c r="GQ23" s="88">
        <f>IF(GQ$7="X",VLOOKUP(GQ$10,'VK-Hooned-Soojus'!$C:$X,2+$C23,FALSE),0)+IF(GQ$6="X",VLOOKUP(GQ$10,'VK-Transport'!$C:$X,2+$B23,0))+IF(GQ$8="X",VLOOKUP(GQ$10,'VK-Elekter'!$C:$X,2+$D23,0))+IF(GQ$9="X",VLOOKUP(GQ$10,'VK-Biokütused'!$C:$U,2+$E23,0))+IF(GQ$5="X",VLOOKUP(GQ$10,'VK-Põlevkivi'!$C:$X,2+$G23,0))+IF(GQ$4="X",VLOOKUP(GQ$10,'VK-Võrgud'!$C:$X,2+$F23,0))</f>
        <v>0.9682855968523334</v>
      </c>
      <c r="GR23" s="186">
        <f t="shared" si="33"/>
        <v>0.3667082416685995</v>
      </c>
    </row>
    <row r="24" spans="1:200" x14ac:dyDescent="0.2">
      <c r="A24" s="184">
        <v>14</v>
      </c>
      <c r="B24" s="87">
        <v>1</v>
      </c>
      <c r="C24" s="87">
        <v>1</v>
      </c>
      <c r="D24" s="87">
        <v>5</v>
      </c>
      <c r="E24" s="87">
        <v>2</v>
      </c>
      <c r="F24" s="87">
        <f>VLOOKUP(Tulemused!$BF$7,data!$J$6:$K$8,2,FALSE)</f>
        <v>2</v>
      </c>
      <c r="G24" s="87">
        <f>VLOOKUP(data!$H$2,data!$J$12:$K$14,2,FALSE)</f>
        <v>2</v>
      </c>
      <c r="I24" s="209">
        <f>IF(I$7="X",VLOOKUP(I$10,'VK-Hooned-Soojus'!$C:$X,2+$C24,FALSE),0)+IF(I$6="X",VLOOKUP(I$10,'VK-Transport'!$C:$X,2+$B24,0))+IF(I$8="X",VLOOKUP(I$10,'VK-Elekter'!$C:$X,2+$D24,0))+IF(I$9="X",VLOOKUP(I$10,'VK-Biokütused'!$C:$U,2+$E24,0))+IF(I$5="X",VLOOKUP(I$10,'VK-Põlevkivi'!$C:$X,2+$G24,0))+IF(I$4="X",VLOOKUP(I$10,'VK-Võrgud'!$C:$X,2+$F24,0))</f>
        <v>26.89</v>
      </c>
      <c r="J24" s="209">
        <f>IF(J$7="X",VLOOKUP(J$10,'VK-Hooned-Soojus'!$C:$X,2+$C24,FALSE),0)+IF(J$6="X",VLOOKUP(J$10,'VK-Transport'!$C:$X,2+$B24,0))+IF(J$8="X",VLOOKUP(J$10,'VK-Elekter'!$C:$X,2+$D24,0))+IF(J$9="X",VLOOKUP(J$10,'VK-Biokütused'!$C:$U,2+$E24,0))+IF(J$5="X",VLOOKUP(J$10,'VK-Põlevkivi'!$C:$X,2+$G24,0))+IF(J$4="X",VLOOKUP(J$10,'VK-Võrgud'!$C:$X,2+$F24,0))</f>
        <v>13.295833333333334</v>
      </c>
      <c r="K24" s="209">
        <f>IF(K$7="X",VLOOKUP(K$10,'VK-Hooned-Soojus'!$C:$X,2+$C24,FALSE),0)+IF(K$6="X",VLOOKUP(K$10,'VK-Transport'!$C:$X,2+$B24,0))+IF(K$8="X",VLOOKUP(K$10,'VK-Elekter'!$C:$X,2+$D24,0))+IF(K$9="X",VLOOKUP(K$10,'VK-Biokütused'!$C:$U,2+$E24,0))+IF(K$5="X",VLOOKUP(K$10,'VK-Põlevkivi'!$C:$X,2+$G24,0))+IF(K$4="X",VLOOKUP(K$10,'VK-Võrgud'!$C:$X,2+$F24,0))</f>
        <v>16.75</v>
      </c>
      <c r="L24" s="209">
        <f>IF(L$7="X",VLOOKUP(L$10,'VK-Hooned-Soojus'!$C:$X,2+$C24,FALSE),0)+IF(L$6="X",VLOOKUP(L$10,'VK-Transport'!$C:$X,2+$B24,0))+IF(L$8="X",VLOOKUP(L$10,'VK-Elekter'!$C:$X,2+$D24,0))+IF(L$9="X",VLOOKUP(L$10,'VK-Biokütused'!$C:$U,2+$E24,0))+IF(L$5="X",VLOOKUP(L$10,'VK-Põlevkivi'!$C:$X,2+$G24,0))+IF(L$4="X",VLOOKUP(L$10,'VK-Võrgud'!$C:$X,2+$F24,0))</f>
        <v>24.95</v>
      </c>
      <c r="M24" s="209">
        <f>IF(M$7="X",VLOOKUP(M$10,'VK-Hooned-Soojus'!$C:$X,2+$C24,FALSE),0)+IF(M$6="X",VLOOKUP(M$10,'VK-Transport'!$C:$X,2+$B24,0))+IF(M$8="X",VLOOKUP(M$10,'VK-Elekter'!$C:$X,2+$D24,0))+IF(M$9="X",VLOOKUP(M$10,'VK-Biokütused'!$C:$U,2+$E24,0))+IF(M$5="X",VLOOKUP(M$10,'VK-Põlevkivi'!$C:$X,2+$G24,0))+IF(M$4="X",VLOOKUP(M$10,'VK-Võrgud'!$C:$X,2+$F24,0))</f>
        <v>11.289444444444445</v>
      </c>
      <c r="N24" s="209">
        <f>IF(N$7="X",VLOOKUP(N$10,'VK-Hooned-Soojus'!$C:$X,2+$C24,FALSE),0)+IF(N$6="X",VLOOKUP(N$10,'VK-Transport'!$C:$X,2+$B24,0))+IF(N$8="X",VLOOKUP(N$10,'VK-Elekter'!$C:$X,2+$D24,0))+IF(N$9="X",VLOOKUP(N$10,'VK-Biokütused'!$C:$U,2+$E24,0))+IF(N$5="X",VLOOKUP(N$10,'VK-Põlevkivi'!$C:$X,2+$G24,0))+IF(N$4="X",VLOOKUP(N$10,'VK-Võrgud'!$C:$X,2+$F24,0))</f>
        <v>16.75</v>
      </c>
      <c r="O24" s="209">
        <f t="shared" si="13"/>
        <v>40.185833333333335</v>
      </c>
      <c r="P24" s="209"/>
      <c r="Q24" s="209">
        <f>(IF(Q$7="X",VLOOKUP(Q$10,'VK-Hooned-Soojus'!$C:$X,2+$C24,FALSE),0)+IF(Q$6="X",VLOOKUP(Q$10,'VK-Transport'!$C:$X,2+$B24,0))+IF(Q$8="X",VLOOKUP(Q$10,'VK-Elekter'!$C:$X,2+$D24,0))+IF(Q$9="X",VLOOKUP(Q$10,'VK-Biokütused'!$C:$U,2+$E24,0))+IF(Q$5="X",VLOOKUP(Q$10,'VK-Põlevkivi'!$C:$X,2+$G24,0))+IF(Q$4="X",VLOOKUP(Q$10,'VK-Võrgud'!$C:$X,2+$F24,0)))/1000</f>
        <v>6.3289999999999997</v>
      </c>
      <c r="R24" s="209">
        <f>(IF(R$7="X",VLOOKUP(R$10,'VK-Hooned-Soojus'!$C:$X,2+$C24,FALSE),0)+IF(R$6="X",VLOOKUP(R$10,'VK-Transport'!$C:$X,2+$B24,0))+IF(R$8="X",VLOOKUP(R$10,'VK-Elekter'!$C:$X,2+$D24,0))+IF(R$9="X",VLOOKUP(R$10,'VK-Biokütused'!$C:$U,2+$E24,0))+IF(R$5="X",VLOOKUP(R$10,'VK-Põlevkivi'!$C:$X,2+$G24,0))+IF(R$4="X",VLOOKUP(R$10,'VK-Võrgud'!$C:$X,2+$F24,0)))/1000</f>
        <v>3.6801368215830603</v>
      </c>
      <c r="S24" s="226">
        <f>VLOOKUP(S$10,'VK-Hooned-Soojus'!$C:$I,2+$C24,FALSE) + VLOOKUP(S$10,'VK-Transport'!$C:$I,2+$B24,FALSE)+ VLOOKUP(S$10,'VK-Biokütused'!$C:$G,2+$E24,FALSE)+ VLOOKUP(S$10,'VK-Elekter'!$C:$I,2+$D24,FALSE)+ VLOOKUP(S$10,'VK-Põlevkivi'!$C:$I,2+$G24,FALSE)+ VLOOKUP(S$10,'VK-Võrgud'!$C:$I,2+$F24,FALSE)</f>
        <v>2.4130129518985518E-2</v>
      </c>
      <c r="T24" s="226">
        <f>VLOOKUP(T$10,'VK-Hooned-Soojus'!$C:$I,2+$C24,FALSE) + VLOOKUP(T$10,'VK-Transport'!$C:$I,2+$B24,FALSE)+ VLOOKUP(T$10,'VK-Biokütused'!$C:$G,2+$E24,FALSE)+ VLOOKUP(T$10,'VK-Elekter'!$C:$I,2+$D24,FALSE)+ VLOOKUP(T$10,'VK-Põlevkivi'!$C:$I,2+$G24,FALSE)+ VLOOKUP(T$10,'VK-Võrgud'!$C:$I,2+$F24,FALSE)</f>
        <v>2.472837008439711E-3</v>
      </c>
      <c r="U24" s="226">
        <f>VLOOKUP(U$10,'VK-Hooned-Soojus'!$C:$I,2+$C24,FALSE) + VLOOKUP(U$10,'VK-Transport'!$C:$I,2+$B24,FALSE)+ VLOOKUP(U$10,'VK-Biokütused'!$C:$G,2+$E24,FALSE)+ VLOOKUP(U$10,'VK-Elekter'!$C:$I,2+$D24,FALSE)+ VLOOKUP(U$10,'VK-Põlevkivi'!$C:$I,2+$G24,FALSE)+ VLOOKUP(U$10,'VK-Võrgud'!$C:$I,2+$F24,FALSE)</f>
        <v>1.2010959204477395E-2</v>
      </c>
      <c r="V24" s="226">
        <f>VLOOKUP(V$10,'VK-Hooned-Soojus'!$C:$I,2+$C24,FALSE) + VLOOKUP(V$10,'VK-Transport'!$C:$I,2+$B24,FALSE)+ VLOOKUP(V$10,'VK-Biokütused'!$C:$G,2+$E24,FALSE)+ VLOOKUP(V$10,'VK-Elekter'!$C:$I,2+$D24,FALSE)+ VLOOKUP(V$10,'VK-Põlevkivi'!$C:$I,2+$G24,FALSE)+ VLOOKUP(V$10,'VK-Võrgud'!$C:$I,2+$F24,FALSE)</f>
        <v>1.2437972681084529E-2</v>
      </c>
      <c r="W24" s="226">
        <f>VLOOKUP(W$10,'VK-Hooned-Soojus'!$C:$I,2+$C24,FALSE) + VLOOKUP(W$10,'VK-Transport'!$C:$I,2+$B24,FALSE)+ VLOOKUP(W$10,'VK-Biokütused'!$C:$G,2+$E24,FALSE)+ VLOOKUP(W$10,'VK-Elekter'!$C:$I,2+$D24,FALSE)+ VLOOKUP(W$10,'VK-Põlevkivi'!$C:$I,2+$G24,FALSE)+ VLOOKUP(W$10,'VK-Võrgud'!$C:$I,2+$F24,FALSE)</f>
        <v>1.4043894189589292E-2</v>
      </c>
      <c r="X24" s="226">
        <f>VLOOKUP(X$10,'VK-Hooned-Soojus'!$C:$I,2+$C24,FALSE) + VLOOKUP(X$10,'VK-Transport'!$C:$I,2+$B24,FALSE)+ VLOOKUP(X$10,'VK-Biokütused'!$C:$G,2+$E24,FALSE)+ VLOOKUP(X$10,'VK-Elekter'!$C:$I,2+$D24,FALSE)+ VLOOKUP(X$10,'VK-Põlevkivi'!$C:$I,2+$G24,FALSE)+ VLOOKUP(X$10,'VK-Võrgud'!$C:$I,2+$F24,FALSE)</f>
        <v>8.9537260798418228E-2</v>
      </c>
      <c r="Y24" s="226">
        <f>VLOOKUP(Y$10,'VK-Hooned-Soojus'!$C:$I,2+$C24,FALSE) + VLOOKUP(Y$10,'VK-Transport'!$C:$I,2+$B24,FALSE)+ VLOOKUP(Y$10,'VK-Biokütused'!$C:$G,2+$E24,FALSE)+ VLOOKUP(Y$10,'VK-Elekter'!$C:$I,2+$D24,FALSE)+ VLOOKUP(Y$10,'VK-Põlevkivi'!$C:$I,2+$G24,FALSE)+ VLOOKUP(Y$10,'VK-Võrgud'!$C:$I,2+$F24,FALSE)</f>
        <v>9.6009913697309726E-2</v>
      </c>
      <c r="Z24" s="227">
        <f>(S24*Tulemused!$Q$9*10+T24*Tulemused!$Q$10*10+KOMBI!U24*Tulemused!$Q$11*10+KOMBI!V24*Tulemused!$Q$12*10)*Tulemused!$Q$8+-(W24*Tulemused!$Q$14*10+KOMBI!X24*Tulemused!$Q$15*10+KOMBI!Y24*Tulemused!$Q$16*10)*Tulemused!$Q$13</f>
        <v>2.5566390161458683</v>
      </c>
      <c r="AA24" s="228">
        <f>(IF(AA$7="X",VLOOKUP(AA$10,'VK-Hooned-Soojus'!$C:$X,2+$C24,FALSE),0)+IF(AA$6="X",VLOOKUP(AA$10,'VK-Transport'!$C:$X,2+$B24,0))+IF(AA$8="X",VLOOKUP(AA$10,'VK-Elekter'!$C:$X,2+$D24,0))+IF(AA$9="X",VLOOKUP(AA$10,'VK-Biokütused'!$C:$U,2+$E24,0))+IF(AA$5="X",VLOOKUP(AA$10,'VK-Põlevkivi'!$C:$X,2+$G24,0))+IF(AA$4="X",VLOOKUP(AA$10,'VK-Võrgud'!$C:$X,2+$F24,0)))</f>
        <v>4727</v>
      </c>
      <c r="AB24" s="228">
        <f>(IF(AB$7="X",VLOOKUP(AB$10,'VK-Hooned-Soojus'!$C:$X,2+$C24,FALSE),0)+IF(AB$6="X",VLOOKUP(AB$10,'VK-Transport'!$C:$X,2+$B24,0))+IF(AB$8="X",VLOOKUP(AB$10,'VK-Elekter'!$C:$X,2+$D24,0))+IF(AB$9="X",VLOOKUP(AB$10,'VK-Biokütused'!$C:$U,2+$E24,0))+IF(AB$5="X",VLOOKUP(AB$10,'VK-Põlevkivi'!$C:$X,2+$G24,0))+IF(AB$4="X",VLOOKUP(AB$10,'VK-Võrgud'!$C:$X,2+$F24,0)))</f>
        <v>1602</v>
      </c>
      <c r="AC24" s="228">
        <f>(IF(AC$7="X",VLOOKUP(AC$10,'VK-Hooned-Soojus'!$C:$X,2+$C24,FALSE),0)+IF(AC$6="X",VLOOKUP(AC$10,'VK-Transport'!$C:$X,2+$B24,0))+IF(AC$8="X",VLOOKUP(AC$10,'VK-Elekter'!$C:$X,2+$D24,0))+IF(AC$9="X",VLOOKUP(AC$10,'VK-Biokütused'!$C:$U,2+$E24,0))+IF(AC$5="X",VLOOKUP(AC$10,'VK-Põlevkivi'!$C:$X,2+$G24,0))+IF(AC$4="X",VLOOKUP(AC$10,'VK-Võrgud'!$C:$X,2+$F24,0)))</f>
        <v>2346</v>
      </c>
      <c r="AD24" s="228">
        <f>(IF(AD$7="X",VLOOKUP(AD$10,'VK-Hooned-Soojus'!$C:$X,2+$C24,FALSE),0)+IF(AD$6="X",VLOOKUP(AD$10,'VK-Transport'!$C:$X,2+$B24,0))+IF(AD$8="X",VLOOKUP(AD$10,'VK-Elekter'!$C:$X,2+$D24,0))+IF(AD$9="X",VLOOKUP(AD$10,'VK-Biokütused'!$C:$U,2+$E24,0))+IF(AD$5="X",VLOOKUP(AD$10,'VK-Põlevkivi'!$C:$X,2+$G24,0))+IF(AD$4="X",VLOOKUP(AD$10,'VK-Võrgud'!$C:$X,2+$F24,0)))</f>
        <v>377.5</v>
      </c>
      <c r="AE24" s="228">
        <f>(IF(AE$7="X",VLOOKUP(AE$10,'VK-Hooned-Soojus'!$C:$X,2+$C24,FALSE),0)+IF(AE$6="X",VLOOKUP(AE$10,'VK-Transport'!$C:$X,2+$B24,0))+IF(AE$8="X",VLOOKUP(AE$10,'VK-Elekter'!$C:$X,2+$D24,0))+IF(AE$9="X",VLOOKUP(AE$10,'VK-Biokütused'!$C:$U,2+$E24,0))+IF(AE$5="X",VLOOKUP(AE$10,'VK-Põlevkivi'!$C:$X,2+$G24,0))+IF(AE$4="X",VLOOKUP(AE$10,'VK-Võrgud'!$C:$X,2+$F24,0)))</f>
        <v>812</v>
      </c>
      <c r="AF24" s="228">
        <f>(IF(AF$7="X",VLOOKUP(AF$10,'VK-Hooned-Soojus'!$C:$X,2+$C24,FALSE),0)+IF(AF$6="X",VLOOKUP(AF$10,'VK-Transport'!$C:$X,2+$B24,0))+IF(AF$8="X",VLOOKUP(AF$10,'VK-Elekter'!$C:$X,2+$D24,0))+IF(AF$9="X",VLOOKUP(AF$10,'VK-Biokütused'!$C:$U,2+$E24,0))+IF(AF$5="X",VLOOKUP(AF$10,'VK-Põlevkivi'!$C:$X,2+$G24,0))+IF(AF$4="X",VLOOKUP(AF$10,'VK-Võrgud'!$C:$X,2+$F24,0)))</f>
        <v>2490.6368215830603</v>
      </c>
      <c r="AG24" s="209"/>
      <c r="AH24" s="209">
        <f>IF(AH$7="X",VLOOKUP(AH$10,'VK-Hooned-Soojus'!$C:$X,2+$C24,FALSE),0)+IF(AH$6="X",VLOOKUP(AH$10,'VK-Transport'!$C:$X,2+$B24,0))+IF(AH$8="X",VLOOKUP(AH$10,'VK-Elekter'!$C:$X,2+$D24,0))+IF(AH$9="X",VLOOKUP(AH$10,'VK-Biokütused'!$C:$U,2+$E24,0))+IF(AH$5="X",VLOOKUP(AH$10,'VK-Põlevkivi'!$C:$X,2+$G24,0))+IF(AH$4="X",VLOOKUP(AH$10,'VK-Võrgud'!$C:$X,2+$F24,0))</f>
        <v>17.400000000000002</v>
      </c>
      <c r="AI24" s="209">
        <f>IF(AI$7="X",VLOOKUP(AI$10,'VK-Hooned-Soojus'!$C:$X,2+$C24,FALSE),0)+IF(AI$6="X",VLOOKUP(AI$10,'VK-Transport'!$C:$X,2+$B24,0))+IF(AI$8="X",VLOOKUP(AI$10,'VK-Elekter'!$C:$X,2+$D24,0))+IF(AI$9="X",VLOOKUP(AI$10,'VK-Biokütused'!$C:$U,2+$E24,0))+IF(AI$5="X",VLOOKUP(AI$10,'VK-Põlevkivi'!$C:$X,2+$G24,0))+IF(AI$4="X",VLOOKUP(AI$10,'VK-Võrgud'!$C:$X,2+$F24,0))</f>
        <v>2.3100000000000005</v>
      </c>
      <c r="AJ24" s="209">
        <f>IF(AJ$7="X",VLOOKUP(AJ$10,'VK-Hooned-Soojus'!$C:$X,2+$C24,FALSE),0)+IF(AJ$6="X",VLOOKUP(AJ$10,'VK-Transport'!$C:$X,2+$B24,0))+IF(AJ$8="X",VLOOKUP(AJ$10,'VK-Elekter'!$C:$X,2+$D24,0))+IF(AJ$9="X",VLOOKUP(AJ$10,'VK-Biokütused'!$C:$U,2+$E24,0))+IF(AJ$5="X",VLOOKUP(AJ$10,'VK-Põlevkivi'!$C:$X,2+$G24,0))+IF(AJ$4="X",VLOOKUP(AJ$10,'VK-Võrgud'!$C:$X,2+$F24,0))</f>
        <v>4.59</v>
      </c>
      <c r="AK24" s="209">
        <f>IF(AK$7="X",VLOOKUP(AK$10,'VK-Hooned-Soojus'!$C:$X,2+$C24,FALSE),0)+IF(AK$6="X",VLOOKUP(AK$10,'VK-Transport'!$C:$X,2+$B24,0))+IF(AK$8="X",VLOOKUP(AK$10,'VK-Elekter'!$C:$X,2+$D24,0))+IF(AK$9="X",VLOOKUP(AK$10,'VK-Biokütused'!$C:$U,2+$E24,0))+IF(AK$5="X",VLOOKUP(AK$10,'VK-Põlevkivi'!$C:$X,2+$G24,0))+IF(AK$4="X",VLOOKUP(AK$10,'VK-Võrgud'!$C:$X,2+$F24,0))</f>
        <v>-0.41</v>
      </c>
      <c r="AL24" s="209">
        <f>IF(AL$7="X",VLOOKUP(AL$10,'VK-Hooned-Soojus'!$C:$X,2+$C24,FALSE),0)+IF(AL$6="X",VLOOKUP(AL$10,'VK-Transport'!$C:$X,2+$B24,0))+IF(AL$8="X",VLOOKUP(AL$10,'VK-Elekter'!$C:$X,2+$D24,0))+IF(AL$9="X",VLOOKUP(AL$10,'VK-Biokütused'!$C:$U,2+$E24,0))+IF(AL$5="X",VLOOKUP(AL$10,'VK-Põlevkivi'!$C:$X,2+$G24,0))+IF(AL$4="X",VLOOKUP(AL$10,'VK-Võrgud'!$C:$X,2+$F24,0))</f>
        <v>7.1999999999999993</v>
      </c>
      <c r="AM24" s="209">
        <f>IF(AM$7="X",VLOOKUP(AM$10,'VK-Hooned-Soojus'!$C:$X,2+$C24,FALSE),0)+IF(AM$6="X",VLOOKUP(AM$10,'VK-Transport'!$C:$X,2+$B24,0))+IF(AM$8="X",VLOOKUP(AM$10,'VK-Elekter'!$C:$X,2+$D24,0))+IF(AM$9="X",VLOOKUP(AM$10,'VK-Biokütused'!$C:$U,2+$E24,0))+IF(AM$5="X",VLOOKUP(AM$10,'VK-Põlevkivi'!$C:$X,2+$G24,0))+IF(AM$4="X",VLOOKUP(AM$10,'VK-Võrgud'!$C:$X,2+$F24,0))</f>
        <v>12.9</v>
      </c>
      <c r="AN24" s="209">
        <f>IF(AN$7="X",VLOOKUP(AN$10,'VK-Hooned-Soojus'!$C:$X,2+$C24,FALSE),0)+IF(AN$6="X",VLOOKUP(AN$10,'VK-Transport'!$C:$X,2+$B24,0))+IF(AN$8="X",VLOOKUP(AN$10,'VK-Elekter'!$C:$X,2+$D24,0))+IF(AN$9="X",VLOOKUP(AN$10,'VK-Biokütused'!$C:$U,2+$E24,0))+IF(AN$5="X",VLOOKUP(AN$10,'VK-Põlevkivi'!$C:$X,2+$G24,0))+IF(AN$4="X",VLOOKUP(AN$10,'VK-Võrgud'!$C:$X,2+$F24,0))</f>
        <v>5.6999999999999993</v>
      </c>
      <c r="AO24" s="209">
        <f>IF(AO$7="X",VLOOKUP(AO$10,'VK-Hooned-Soojus'!$C:$X,2+$C24,FALSE),0)+IF(AO$6="X",VLOOKUP(AO$10,'VK-Transport'!$C:$X,2+$B24,0))+IF(AO$8="X",VLOOKUP(AO$10,'VK-Elekter'!$C:$X,2+$D24,0))+IF(AO$9="X",VLOOKUP(AO$10,'VK-Biokütused'!$C:$U,2+$E24,0))+IF(AO$5="X",VLOOKUP(AO$10,'VK-Põlevkivi'!$C:$X,2+$G24,0))+IF(AO$4="X",VLOOKUP(AO$10,'VK-Võrgud'!$C:$X,2+$F24,0))</f>
        <v>13.56</v>
      </c>
      <c r="AP24" s="209">
        <f>IF(AP$7="X",VLOOKUP(AP$10,'VK-Hooned-Soojus'!$C:$X,2+$C24,FALSE),0)+IF(AP$6="X",VLOOKUP(AP$10,'VK-Transport'!$C:$X,2+$B24,0))+IF(AP$8="X",VLOOKUP(AP$10,'VK-Elekter'!$C:$X,2+$D24,0))+IF(AP$9="X",VLOOKUP(AP$10,'VK-Biokütused'!$C:$U,2+$E24,0))+IF(AP$5="X",VLOOKUP(AP$10,'VK-Põlevkivi'!$C:$X,2+$G24,0))+IF(AP$4="X",VLOOKUP(AP$10,'VK-Võrgud'!$C:$X,2+$F24,0))</f>
        <v>6.78</v>
      </c>
      <c r="AQ24" s="320">
        <f t="shared" si="14"/>
        <v>1.2599999999999998</v>
      </c>
      <c r="AR24" s="209">
        <f>IF(AR$7="X",VLOOKUP(AR$10,'VK-Hooned-Soojus'!$C:$X,2+$C24,FALSE),0)+IF(AR$6="X",VLOOKUP(AR$10,'VK-Transport'!$C:$X,2+$B24,0))+IF(AR$8="X",VLOOKUP(AR$10,'VK-Elekter'!$C:$X,2+$D24,0))+IF(AR$9="X",VLOOKUP(AR$10,'VK-Biokütused'!$C:$U,2+$E24,0))+IF(AR$5="X",VLOOKUP(AR$10,'VK-Põlevkivi'!$C:$X,2+$G24,0))+IF(AR$4="X",VLOOKUP(AR$10,'VK-Võrgud'!$C:$X,2+$F24,0))</f>
        <v>13.909999999999998</v>
      </c>
      <c r="AS24" s="235">
        <f>'VK-Põlevkivi'!$F$8-AR24-AU24</f>
        <v>14.198622986547708</v>
      </c>
      <c r="AT24" s="209">
        <f>IF(AT$7="X",VLOOKUP(AT$10,'VK-Hooned-Soojus'!$C:$X,2+$C24,FALSE),0)+IF(AT$6="X",VLOOKUP(AT$10,'VK-Transport'!$C:$X,2+$B24,0))+IF(AT$8="X",VLOOKUP(AT$10,'VK-Elekter'!$C:$X,2+$D24,0))+IF(AT$9="X",VLOOKUP(AT$10,'VK-Biokütused'!$C:$U,2+$E24,0))+IF(AT$5="X",VLOOKUP(AT$10,'VK-Põlevkivi'!$C:$X,2+$G24,0))+IF(AT$4="X",VLOOKUP(AT$10,'VK-Võrgud'!$C:$X,2+$F24,0))</f>
        <v>12.004929222526066</v>
      </c>
      <c r="AU24" s="235">
        <f>'VK-Põlevkivi'!$F$9-VLOOKUP("Kütuste tarbimine @ 2030 - PÕLEVKIVIÕLI",'VK-Hooned-Soojus'!$C:$X,2+$C24,FALSE)</f>
        <v>28.428043680118964</v>
      </c>
      <c r="AV24" s="209">
        <f>IF(AV$7="X",VLOOKUP(AV$10,'VK-Hooned-Soojus'!$C:$X,2+$C24,FALSE),0)+IF(AV$6="X",VLOOKUP(AV$10,'VK-Transport'!$C:$X,2+$B24,0))+IF(AV$8="X",VLOOKUP(AV$10,'VK-Elekter'!$C:$X,2+$D24,0))+IF(AV$9="X",VLOOKUP(AV$10,'VK-Biokütused'!$C:$U,2+$E24,0))+IF(AV$5="X",VLOOKUP(AV$10,'VK-Põlevkivi'!$C:$X,2+$G24,0))+IF(AV$4="X",VLOOKUP(AV$10,'VK-Võrgud'!$C:$X,2+$F24,0))</f>
        <v>1.1831224847375093</v>
      </c>
      <c r="AW24" s="209">
        <f>IF(AW$7="X",VLOOKUP(AW$10,'VK-Hooned-Soojus'!$C:$X,2+$C24,FALSE),0)+IF(AW$6="X",VLOOKUP(AW$10,'VK-Transport'!$C:$X,2+$B24,0))+IF(AW$8="X",VLOOKUP(AW$10,'VK-Elekter'!$C:$X,2+$D24,0))+IF(AW$9="X",VLOOKUP(AW$10,'VK-Biokütused'!$C:$U,2+$E24,0))+IF(AW$5="X",VLOOKUP(AW$10,'VK-Põlevkivi'!$C:$X,2+$G24,0))+IF(AW$4="X",VLOOKUP(AW$10,'VK-Võrgud'!$C:$X,2+$F24,0))</f>
        <v>2.141</v>
      </c>
      <c r="AX24" s="229">
        <f t="shared" si="34"/>
        <v>0.95787751526249076</v>
      </c>
      <c r="AY24" s="229">
        <f t="shared" si="15"/>
        <v>0</v>
      </c>
      <c r="AZ24" s="230">
        <f t="shared" si="0"/>
        <v>0.35053710590423465</v>
      </c>
      <c r="BA24" s="209">
        <f>IF(BA$7="X",VLOOKUP(BA$10,'VK-Hooned-Soojus'!$C:$X,2+$C24,FALSE),0)+IF(BA$6="X",VLOOKUP(BA$10,'VK-Transport'!$C:$X,2+$B24,0))+IF(BA$8="X",VLOOKUP(BA$10,'VK-Elekter'!$C:$X,2+$D24,0))+IF(BA$9="X",VLOOKUP(BA$10,'VK-Biokütused'!$C:$U,2+$E24,0))+IF(BA$5="X",VLOOKUP(BA$10,'VK-Põlevkivi'!$C:$X,2+$G24,0))+IF(BA$4="X",VLOOKUP(BA$10,'VK-Võrgud'!$C:$X,2+$F24,0))</f>
        <v>7.41</v>
      </c>
      <c r="BB24" s="209">
        <f>IF(BB$7="X",VLOOKUP(BB$10,'VK-Hooned-Soojus'!$C:$X,2+$C24,FALSE),0)+IF(BB$6="X",VLOOKUP(BB$10,'VK-Transport'!$C:$X,2+$B24,0))+IF(BB$8="X",VLOOKUP(BB$10,'VK-Elekter'!$C:$X,2+$D24,0))+IF(BB$9="X",VLOOKUP(BB$10,'VK-Biokütused'!$C:$U,2+$E24,0))+IF(BB$5="X",VLOOKUP(BB$10,'VK-Põlevkivi'!$C:$X,2+$G24,0))+IF(BB$4="X",VLOOKUP(BB$10,'VK-Võrgud'!$C:$X,2+$F24,0))</f>
        <v>2.96</v>
      </c>
      <c r="BC24" s="209">
        <f>IF(BC$7="X",VLOOKUP(BC$10,'VK-Hooned-Soojus'!$C:$X,2+$C24,FALSE),0)+IF(BC$6="X",VLOOKUP(BC$10,'VK-Transport'!$C:$X,2+$B24,0))+IF(BC$8="X",VLOOKUP(BC$10,'VK-Elekter'!$C:$X,2+$D24,0))+IF(BC$9="X",VLOOKUP(BC$10,'VK-Biokütused'!$C:$U,2+$E24,0))+IF(BC$5="X",VLOOKUP(BC$10,'VK-Põlevkivi'!$C:$X,2+$G24,0))+IF(BC$4="X",VLOOKUP(BC$10,'VK-Võrgud'!$C:$X,2+$F24,0))</f>
        <v>8.0523611111111126</v>
      </c>
      <c r="BD24" s="209">
        <f>IF(BD$7="X",VLOOKUP(BD$10,'VK-Hooned-Soojus'!$C:$X,2+$C24,FALSE),0)+IF(BD$6="X",VLOOKUP(BD$10,'VK-Transport'!$C:$X,2+$B24,0))+IF(BD$8="X",VLOOKUP(BD$10,'VK-Elekter'!$C:$X,2+$D24,0))+IF(BD$9="X",VLOOKUP(BD$10,'VK-Biokütused'!$C:$U,2+$E24,0))+IF(BD$5="X",VLOOKUP(BD$10,'VK-Põlevkivi'!$C:$X,2+$G24,0))+IF(BD$4="X",VLOOKUP(BD$10,'VK-Võrgud'!$C:$X,2+$F24,0))</f>
        <v>10.42138888888889</v>
      </c>
      <c r="BE24" s="230"/>
      <c r="BF24" s="229">
        <f t="shared" si="16"/>
        <v>0.24395733301707928</v>
      </c>
      <c r="BG24" s="209" t="e">
        <f>(IF(BG$7="X",VLOOKUP(BG$10,'VK-Hooned-Soojus'!$C:$X,2+$C24,FALSE),0)+IF(BG$6="X",VLOOKUP(BG$10,'VK-Transport'!$C:$X,2+$B24,0))+IF(BG$8="X",VLOOKUP(BG$10,'VK-Elekter'!$C:$X,2+$D24,0))+IF(BG$9="X",VLOOKUP(BG$10,'VK-Biokütused'!$C:$U,2+$E24,0))+IF(BG$5="X",VLOOKUP(BG$10,'VK-Põlevkivi'!$C:$X,2+$G24,0))+IF(BG$4="X",VLOOKUP(BG$10,'VK-Võrgud'!$C:$X,2+$F24,0)))/20</f>
        <v>#N/A</v>
      </c>
      <c r="BH24" s="209">
        <f>(IF(BH$7="X",VLOOKUP(BH$10,'VK-Hooned-Soojus'!$C:$X,2+$C24,FALSE),0)+IF(BH$6="X",VLOOKUP(BH$10,'VK-Transport'!$C:$X,2+$B24,0))+IF(BH$8="X",VLOOKUP(BH$10,'VK-Elekter'!$C:$X,2+$D24,0))+IF(BH$9="X",VLOOKUP(BH$10,'VK-Biokütused'!$C:$U,2+$E24,0))+IF(BH$5="X",VLOOKUP(BH$10,'VK-Põlevkivi'!$C:$X,2+$G24,0))+IF(BH$4="X",VLOOKUP(BH$10,'VK-Võrgud'!$C:$X,2+$F24,0)))/20</f>
        <v>13.99</v>
      </c>
      <c r="BI24" s="209">
        <f>(IF(BI$7="X",VLOOKUP(BI$10,'VK-Hooned-Soojus'!$C:$X,2+$C24,FALSE),0)+IF(BI$6="X",VLOOKUP(BI$10,'VK-Transport'!$C:$X,2+$B24,0))+IF(BI$8="X",VLOOKUP(BI$10,'VK-Elekter'!$C:$X,2+$D24,0))+IF(BI$9="X",VLOOKUP(BI$10,'VK-Biokütused'!$C:$U,2+$E24,0))+IF(BI$5="X",VLOOKUP(BI$10,'VK-Põlevkivi'!$C:$X,2+$G24,0))+IF(BI$4="X",VLOOKUP(BI$10,'VK-Võrgud'!$C:$X,2+$F24,0)))/16</f>
        <v>17.75</v>
      </c>
      <c r="BJ24" s="209">
        <f>(IF(BJ$7="X",VLOOKUP(BJ$10,'VK-Hooned-Soojus'!$C:$X,2+$C24,FALSE),0)+IF(BJ$6="X",VLOOKUP(BJ$10,'VK-Transport'!$C:$X,2+$B24,0))+IF(BJ$8="X",VLOOKUP(BJ$10,'VK-Elekter'!$C:$X,2+$D24,0))+IF(BJ$9="X",VLOOKUP(BJ$10,'VK-Biokütused'!$C:$U,2+$E24,0))+IF(BJ$5="X",VLOOKUP(BJ$10,'VK-Põlevkivi'!$C:$X,2+$G24,0))+IF(BJ$4="X",VLOOKUP(BJ$10,'VK-Võrgud'!$C:$X,2+$F24,0)))/20</f>
        <v>1.85</v>
      </c>
      <c r="BK24" s="209"/>
      <c r="BL24" s="209"/>
      <c r="BM24" s="209"/>
      <c r="BN24" s="209" t="e">
        <f>(IF(BN$7="X",VLOOKUP(BN$10,'VK-Hooned-Soojus'!$C:$X,2+$C24,FALSE),0)+IF(BN$6="X",VLOOKUP(BN$10,'VK-Transport'!$C:$X,2+$B24,0))+IF(BN$8="X",VLOOKUP(BN$10,'VK-Elekter'!$C:$X,2+$D24,0))+IF(BN$9="X",VLOOKUP(BN$10,'VK-Biokütused'!$C:$U,2+$E24,0))+IF(BN$5="X",VLOOKUP(BN$10,'VK-Põlevkivi'!$C:$X,2+$G24,0))+IF(BN$4="X",VLOOKUP(BN$10,'VK-Võrgud'!$C:$X,2+$F24,0)))/16</f>
        <v>#N/A</v>
      </c>
      <c r="BO24" s="209">
        <f>(IF(BO$7="X",VLOOKUP(BO$10,'VK-Hooned-Soojus'!$C:$X,2+$C24,FALSE),0)+IF(BO$6="X",VLOOKUP(BO$10,'VK-Transport'!$C:$X,2+$B24,0))+IF(BO$8="X",VLOOKUP(BO$10,'VK-Elekter'!$C:$X,2+$D24,0))+IF(BO$9="X",VLOOKUP(BO$10,'VK-Biokütused'!$C:$U,2+$E24,0))+IF(BO$5="X",VLOOKUP(BO$10,'VK-Põlevkivi'!$C:$X,2+$G24,0))+IF(BO$4="X",VLOOKUP(BO$10,'VK-Võrgud'!$C:$X,2+$F24,0)))/16</f>
        <v>496.33125000000001</v>
      </c>
      <c r="BP24" s="209"/>
      <c r="BQ24" s="209">
        <f>(IF(BQ$7="X",VLOOKUP(BQ$10,'VK-Hooned-Soojus'!$C:$X,2+$C24,FALSE),0)+IF(BQ$6="X",VLOOKUP(BQ$10,'VK-Transport'!$C:$X,2+$B24,0))+IF(BQ$8="X",VLOOKUP(BQ$10,'VK-Elekter'!$C:$X,2+$D24,0))+IF(BQ$9="X",VLOOKUP(BQ$10,'VK-Biokütused'!$C:$U,2+$E24,0))+IF(BQ$5="X",VLOOKUP(BQ$10,'VK-Põlevkivi'!$C:$X,2+$G24,0))+IF(BQ$4="X",VLOOKUP(BQ$10,'VK-Võrgud'!$C:$X,2+$F24,0)))/16</f>
        <v>4.7249999999999996</v>
      </c>
      <c r="BR24" s="209">
        <f>(IF(BR$7="X",VLOOKUP(BR$10,'VK-Hooned-Soojus'!$C:$X,2+$C24,FALSE),0)+IF(BR$6="X",VLOOKUP(BR$10,'VK-Transport'!$C:$X,2+$B24,0))+IF(BR$8="X",VLOOKUP(BR$10,'VK-Elekter'!$C:$X,2+$D24,0))+IF(BR$9="X",VLOOKUP(BR$10,'VK-Biokütused'!$C:$U,2+$E24,0))+IF(BR$5="X",VLOOKUP(BR$10,'VK-Põlevkivi'!$C:$X,2+$G24,0))+IF(BR$4="X",VLOOKUP(BR$10,'VK-Võrgud'!$C:$X,2+$F24,0)))/16</f>
        <v>-74.512500000000003</v>
      </c>
      <c r="BS24" s="209">
        <f>(IF(BS$7="X",VLOOKUP(BS$10,'VK-Hooned-Soojus'!$C:$X,2+$C24,FALSE),0)+IF(BS$6="X",VLOOKUP(BS$10,'VK-Transport'!$C:$X,2+$B24,0))+IF(BS$8="X",VLOOKUP(BS$10,'VK-Elekter'!$C:$X,2+$D24,0))+IF(BS$9="X",VLOOKUP(BS$10,'VK-Biokütused'!$C:$U,2+$E24,0))+IF(BS$5="X",VLOOKUP(BS$10,'VK-Põlevkivi'!$C:$X,2+$G24,0))+IF(BS$4="X",VLOOKUP(BS$10,'VK-Võrgud'!$C:$X,2+$F24,0)))/16</f>
        <v>-100.68125000000001</v>
      </c>
      <c r="BT24" s="209"/>
      <c r="BU24" s="209"/>
      <c r="BV24" s="209">
        <f>(IF(BV$7="X",VLOOKUP(BV$10,'VK-Hooned-Soojus'!$C:$X,2+$C24,FALSE),0)+IF(BV$6="X",VLOOKUP(BV$10,'VK-Transport'!$C:$X,2+$B24,0))+IF(BV$8="X",VLOOKUP(BV$10,'VK-Elekter'!$C:$X,2+$D24,0))+IF(BV$9="X",VLOOKUP(BV$10,'VK-Biokütused'!$C:$U,2+$E24,0))+IF(BV$5="X",VLOOKUP(BV$10,'VK-Põlevkivi'!$C:$X,2+$G24,0))+IF(BV$4="X",VLOOKUP(BV$10,'VK-Võrgud'!$C:$X,2+$F24,0)))/16</f>
        <v>0</v>
      </c>
      <c r="BW24" s="209"/>
      <c r="BX24" s="209">
        <f>(IF(BX$7="X",VLOOKUP(BX$10,'VK-Hooned-Soojus'!$C:$X,2+$C24,FALSE),0)+IF(BX$6="X",VLOOKUP(BX$10,'VK-Transport'!$C:$X,2+$B24,0))+IF(BX$8="X",VLOOKUP(BX$10,'VK-Elekter'!$C:$X,2+$D24,0))+IF(BX$9="X",VLOOKUP(BX$10,'VK-Biokütused'!$C:$U,2+$E24,0))+IF(BX$5="X",VLOOKUP(BX$10,'VK-Põlevkivi'!$C:$X,2+$G24,0))+IF(BX$4="X",VLOOKUP(BX$10,'VK-Võrgud'!$C:$X,2+$F24,0)))/16</f>
        <v>-145.125</v>
      </c>
      <c r="BY24" s="209"/>
      <c r="BZ24" s="209"/>
      <c r="CA24" s="209" t="e">
        <f>(IF(CA$7="X",VLOOKUP(CA$10,'VK-Hooned-Soojus'!$C:$X,2+$C24,FALSE),0)+IF(CA$6="X",VLOOKUP(CA$10,'VK-Transport'!$C:$X,2+$B24,0))+IF(CA$8="X",VLOOKUP(CA$10,'VK-Elekter'!$C:$X,2+$D24,0))+IF(CA$9="X",VLOOKUP(CA$10,'VK-Biokütused'!$C:$U,2+$E24,0))+IF(CA$5="X",VLOOKUP(CA$10,'VK-Põlevkivi'!$C:$X,2+$G24,0))+IF(CA$4="X",VLOOKUP(CA$10,'VK-Võrgud'!$C:$X,2+$F24,0)))/16</f>
        <v>#N/A</v>
      </c>
      <c r="CB24" s="209">
        <f>(IF(CB$7="X",VLOOKUP(CB$10,'VK-Hooned-Soojus'!$C:$X,2+$C24,FALSE),0)+IF(CB$6="X",VLOOKUP(CB$10,'VK-Transport'!$C:$X,2+$B24,0))+IF(CB$8="X",VLOOKUP(CB$10,'VK-Elekter'!$C:$X,2+$D24,0))+IF(CB$9="X",VLOOKUP(CB$10,'VK-Biokütused'!$C:$U,2+$E24,0))+IF(CB$5="X",VLOOKUP(CB$10,'VK-Põlevkivi'!$C:$X,2+$G24,0))+IF(CB$4="X",VLOOKUP(CB$10,'VK-Võrgud'!$C:$X,2+$F24,0)))/16</f>
        <v>0</v>
      </c>
      <c r="CC24" s="209">
        <f>(IF(CC$7="X",VLOOKUP(CC$10,'VK-Hooned-Soojus'!$C:$X,2+$C24,FALSE),0)+IF(CC$6="X",VLOOKUP(CC$10,'VK-Transport'!$C:$X,2+$B24,0))+IF(CC$8="X",VLOOKUP(CC$10,'VK-Elekter'!$C:$X,2+$D24,0))+IF(CC$9="X",VLOOKUP(CC$10,'VK-Biokütused'!$C:$U,2+$E24,0))+IF(CC$5="X",VLOOKUP(CC$10,'VK-Põlevkivi'!$C:$X,2+$G24,0))+IF(CC$4="X",VLOOKUP(CC$10,'VK-Võrgud'!$C:$X,2+$F24,0)))/16</f>
        <v>0</v>
      </c>
      <c r="CD24" s="209"/>
      <c r="CE24" s="209">
        <f>(IF(CE$7="X",VLOOKUP(CE$10,'VK-Hooned-Soojus'!$C:$X,2+$C24,FALSE),0)+IF(CE$6="X",VLOOKUP(CE$10,'VK-Transport'!$C:$X,2+$B24,0))+IF(CE$8="X",VLOOKUP(CE$10,'VK-Elekter'!$C:$X,2+$D24,0))+IF(CE$9="X",VLOOKUP(CE$10,'VK-Biokütused'!$C:$U,2+$E24,0))+IF(CE$5="X",VLOOKUP(CE$10,'VK-Põlevkivi'!$C:$X,2+$G24,0))+IF(CE$4="X",VLOOKUP(CE$10,'VK-Võrgud'!$C:$X,2+$F24,0)))/16</f>
        <v>24.15625</v>
      </c>
      <c r="CF24" s="209"/>
      <c r="CG24" s="209">
        <f>(IF(CG$7="X",VLOOKUP(CG$10,'VK-Hooned-Soojus'!$C:$X,2+$C24,FALSE),0)+IF(CG$6="X",VLOOKUP(CG$10,'VK-Transport'!$C:$X,2+$B24,0))+IF(CG$8="X",VLOOKUP(CG$10,'VK-Elekter'!$C:$X,2+$D24,0))+IF(CG$9="X",VLOOKUP(CG$10,'VK-Biokütused'!$C:$U,2+$E24,0))+IF(CG$5="X",VLOOKUP(CG$10,'VK-Põlevkivi'!$C:$X,2+$G24,0))+IF(CG$4="X",VLOOKUP(CG$10,'VK-Võrgud'!$C:$X,2+$F24,0)))/16</f>
        <v>0</v>
      </c>
      <c r="CH24" s="209">
        <f>(IF(CH$7="X",VLOOKUP(CH$10,'VK-Hooned-Soojus'!$C:$X,2+$C24,FALSE),0)+IF(CH$6="X",VLOOKUP(CH$10,'VK-Transport'!$C:$X,2+$B24,0))+IF(CH$8="X",VLOOKUP(CH$10,'VK-Elekter'!$C:$X,2+$D24,0))+IF(CH$9="X",VLOOKUP(CH$10,'VK-Biokütused'!$C:$U,2+$E24,0))+IF(CH$5="X",VLOOKUP(CH$10,'VK-Põlevkivi'!$C:$X,2+$G24,0))+IF(CH$4="X",VLOOKUP(CH$10,'VK-Võrgud'!$C:$X,2+$F24,0)))/20*0.21</f>
        <v>5.6122500000000004</v>
      </c>
      <c r="CI24" s="209"/>
      <c r="CJ24" s="209">
        <f>(IF(CJ$7="X",VLOOKUP(CJ$10,'VK-Hooned-Soojus'!$C:$X,2+$C24,FALSE),0)+IF(CJ$6="X",VLOOKUP(CJ$10,'VK-Transport'!$C:$X,2+$B24,0))+IF(CJ$8="X",VLOOKUP(CJ$10,'VK-Elekter'!$C:$X,2+$D24,0))+IF(CJ$9="X",VLOOKUP(CJ$10,'VK-Biokütused'!$C:$U,2+$E24,0))+IF(CJ$5="X",VLOOKUP(CJ$10,'VK-Põlevkivi'!$C:$X,2+$G24,0))+IF(CJ$4="X",VLOOKUP(CJ$10,'VK-Võrgud'!$C:$X,2+$F24,0)))/1000</f>
        <v>24.675999999999998</v>
      </c>
      <c r="CK24" s="209">
        <f>(IF(CK$7="X",VLOOKUP(CK$10,'VK-Hooned-Soojus'!$C:$X,2+$C24,FALSE),0)+IF(CK$6="X",VLOOKUP(CK$10,'VK-Transport'!$C:$X,2+$B24,0))+IF(CK$8="X",VLOOKUP(CK$10,'VK-Elekter'!$C:$X,2+$D24,0))+IF(CK$9="X",VLOOKUP(CK$10,'VK-Biokütused'!$C:$U,2+$E24,0))+IF(CK$5="X",VLOOKUP(CK$10,'VK-Põlevkivi'!$C:$X,2+$G24,0))+IF(CK$4="X",VLOOKUP(CK$10,'VK-Võrgud'!$C:$X,2+$F24,0)))/1000</f>
        <v>39.425716140171815</v>
      </c>
      <c r="CL24" s="209">
        <f>(IF(CL$7="X",VLOOKUP(CL$10,'VK-Hooned-Soojus'!$C:$X,2+$C24,FALSE),0)+IF(CL$6="X",VLOOKUP(CL$10,'VK-Transport'!$C:$X,2+$B24,0))+IF(CL$8="X",VLOOKUP(CL$10,'VK-Elekter'!$C:$X,2+$D24,0))+IF(CL$9="X",VLOOKUP(CL$10,'VK-Biokütused'!$C:$U,2+$E24,0))+IF(CL$5="X",VLOOKUP(CL$10,'VK-Põlevkivi'!$C:$X,2+$G24,0))+IF(CL$4="X",VLOOKUP(CL$10,'VK-Võrgud'!$C:$X,2+$F24,0)))/1000</f>
        <v>12.898233270393458</v>
      </c>
      <c r="CM24" s="209">
        <f>(IF(CM$7="X",VLOOKUP(CM$10,'VK-Hooned-Soojus'!$C:$X,2+$C24,FALSE),0)+IF(CM$6="X",VLOOKUP(CM$10,'VK-Transport'!$C:$X,2+$B24,0))+IF(CM$8="X",VLOOKUP(CM$10,'VK-Elekter'!$C:$X,2+$D24,0))+IF(CM$9="X",VLOOKUP(CM$10,'VK-Biokütused'!$C:$U,2+$E24,0))+IF(CM$5="X",VLOOKUP(CM$10,'VK-Põlevkivi'!$C:$X,2+$G24,0))+IF(CM$4="X",VLOOKUP(CM$10,'VK-Võrgud'!$C:$X,2+$F24,0)))/1000</f>
        <v>8.5139896156049168</v>
      </c>
      <c r="CN24" s="209">
        <f>(IF(CN$7="X",VLOOKUP(CN$10,'VK-Hooned-Soojus'!$C:$X,2+$C24,FALSE),0)+IF(CN$6="X",VLOOKUP(CN$10,'VK-Transport'!$C:$X,2+$B24,0))+IF(CN$8="X",VLOOKUP(CN$10,'VK-Elekter'!$C:$X,2+$D24,0))+IF(CN$9="X",VLOOKUP(CN$10,'VK-Biokütused'!$C:$U,2+$E24,0))+IF(CN$5="X",VLOOKUP(CN$10,'VK-Põlevkivi'!$C:$X,2+$G24,0))+IF(CN$4="X",VLOOKUP(CN$10,'VK-Võrgud'!$C:$X,2+$F24,0)))/1000</f>
        <v>3.0259999999999998</v>
      </c>
      <c r="CO24" s="209">
        <f>(IF(CO$7="X",VLOOKUP(CO$10,'VK-Hooned-Soojus'!$C:$X,2+$C24,FALSE),0)+IF(CO$6="X",VLOOKUP(CO$10,'VK-Transport'!$C:$X,2+$B24,0))+IF(CO$8="X",VLOOKUP(CO$10,'VK-Elekter'!$C:$X,2+$D24,0))+IF(CO$9="X",VLOOKUP(CO$10,'VK-Biokütused'!$C:$U,2+$E24,0))+IF(CO$5="X",VLOOKUP(CO$10,'VK-Põlevkivi'!$C:$X,2+$G24,0))+IF(CO$4="X",VLOOKUP(CO$10,'VK-Võrgud'!$C:$X,2+$F24,0)))/1000</f>
        <v>31.017649773285456</v>
      </c>
      <c r="CP24" s="209">
        <f>(IF(CP$7="X",VLOOKUP(CP$10,'VK-Hooned-Soojus'!$C:$X,2+$C24,FALSE),0)+IF(CP$6="X",VLOOKUP(CP$10,'VK-Transport'!$C:$X,2+$B24,0))+IF(CP$8="X",VLOOKUP(CP$10,'VK-Elekter'!$C:$X,2+$D24,0))+IF(CP$9="X",VLOOKUP(CP$10,'VK-Biokütused'!$C:$U,2+$E24,0))+IF(CP$5="X",VLOOKUP(CP$10,'VK-Põlevkivi'!$C:$X,2+$G24,0))+IF(CP$4="X",VLOOKUP(CP$10,'VK-Võrgud'!$C:$X,2+$F24,0)))/1000</f>
        <v>32.72243047859989</v>
      </c>
      <c r="CQ24" s="209">
        <f>(IF(CQ$7="X",VLOOKUP(CQ$10,'VK-Hooned-Soojus'!$C:$X,2+$C24,FALSE),0)+IF(CQ$6="X",VLOOKUP(CQ$10,'VK-Transport'!$C:$X,2+$B24,0))+IF(CQ$8="X",VLOOKUP(CQ$10,'VK-Elekter'!$C:$X,2+$D24,0))+IF(CQ$9="X",VLOOKUP(CQ$10,'VK-Biokütused'!$C:$U,2+$E24,0))+IF(CQ$5="X",VLOOKUP(CQ$10,'VK-Põlevkivi'!$C:$X,2+$G24,0))+IF(CQ$4="X",VLOOKUP(CQ$10,'VK-Võrgud'!$C:$X,2+$F24,0)))/1000</f>
        <v>17.588906999999999</v>
      </c>
      <c r="CR24" s="209">
        <f>(IF(CR$7="X",VLOOKUP(CR$10,'VK-Hooned-Soojus'!$C:$X,2+$C24,FALSE),0)+IF(CR$6="X",VLOOKUP(CR$10,'VK-Transport'!$C:$X,2+$B24,0))+IF(CR$8="X",VLOOKUP(CR$10,'VK-Elekter'!$C:$X,2+$D24,0))+IF(CR$9="X",VLOOKUP(CR$10,'VK-Biokütused'!$C:$U,2+$E24,0))+IF(CR$5="X",VLOOKUP(CR$10,'VK-Põlevkivi'!$C:$X,2+$G24,0))+IF(CR$4="X",VLOOKUP(CR$10,'VK-Võrgud'!$C:$X,2+$F24,0)))/1000</f>
        <v>8.4367533562748029</v>
      </c>
      <c r="CS24" s="209">
        <f>(IF(CS$7="X",VLOOKUP(CS$10,'VK-Hooned-Soojus'!$C:$X,2+$C24,FALSE),0)+IF(CS$6="X",VLOOKUP(CS$10,'VK-Transport'!$C:$X,2+$B24,0))+IF(CS$8="X",VLOOKUP(CS$10,'VK-Elekter'!$C:$X,2+$D24,0))+IF(CS$9="X",VLOOKUP(CS$10,'VK-Biokütused'!$C:$U,2+$E24,0))+IF(CS$5="X",VLOOKUP(CS$10,'VK-Põlevkivi'!$C:$X,2+$G24,0))+IF(CS$4="X",VLOOKUP(CS$10,'VK-Võrgud'!$C:$X,2+$F24,0)))/1000</f>
        <v>3.9861524051216151</v>
      </c>
      <c r="CT24" s="209">
        <f>IF(CT$7="X",VLOOKUP(CT$10,'VK-Hooned-Soojus'!$C:$X,2+$C24,FALSE),0)+IF(CT$6="X",VLOOKUP(CT$10,'VK-Transport'!$C:$X,2+$B24,0))+IF(CT$8="X",VLOOKUP(CT$10,'VK-Elekter'!$C:$X,2+$D24,0))+IF(CT$9="X",VLOOKUP(CT$10,'VK-Biokütused'!$C:$U,2+$E24,0))+IF(CT$5="X",VLOOKUP(CT$10,'VK-Põlevkivi'!$C:$X,2+$G24,0))+IF(CT$4="X",VLOOKUP(CT$10,'VK-Võrgud'!$C:$X,2+$F24,0))</f>
        <v>90</v>
      </c>
      <c r="CU24" s="209">
        <f>IF(CU$7="X",VLOOKUP(CU$10,'VK-Hooned-Soojus'!$C:$X,2+$C24,FALSE),0)+IF(CU$6="X",VLOOKUP(CU$10,'VK-Transport'!$C:$X,2+$B24,0))+IF(CU$8="X",VLOOKUP(CU$10,'VK-Elekter'!$C:$X,2+$D24,0))+IF(CU$9="X",VLOOKUP(CU$10,'VK-Biokütused'!$C:$U,2+$E24,0))+IF(CU$5="X",VLOOKUP(CU$10,'VK-Põlevkivi'!$C:$X,2+$G24,0))+IF(CU$4="X",VLOOKUP(CU$10,'VK-Võrgud'!$C:$X,2+$F24,0))</f>
        <v>1</v>
      </c>
      <c r="CV24" s="209">
        <f t="shared" si="1"/>
        <v>0.91028830406496797</v>
      </c>
      <c r="CW24" s="209">
        <f>(IF(CW$7="X",VLOOKUP(CW$10,'VK-Hooned-Soojus'!$C:$X,2+$C24,FALSE),0)+IF(CW$6="X",VLOOKUP(CW$10,'VK-Transport'!$C:$X,2+$B24,0))+IF(CW$8="X",VLOOKUP(CW$10,'VK-Elekter'!$C:$X,2+$D24,0))+IF(CW$9="X",VLOOKUP(CW$10,'VK-Biokütused'!$C:$U,2+$E24,0))+IF(CW$5="X",VLOOKUP(CW$10,'VK-Põlevkivi'!$C:$X,2+$G24,0))+IF(CW$4="X",VLOOKUP(CW$10,'VK-Võrgud'!$C:$X,2+$F24,0)))/16</f>
        <v>59.743749999999999</v>
      </c>
      <c r="CY24" s="209">
        <f>(IF(CY$7="X",VLOOKUP(CY$10,'VK-Hooned-Soojus'!$C:$X,2+$C24,FALSE),0)+IF(CY$6="X",VLOOKUP(CY$10,'VK-Transport'!$C:$X,2+$B24,0))+IF(CY$8="X",VLOOKUP(CY$10,'VK-Elekter'!$C:$X,2+$D24,0))+IF(CY$9="X",VLOOKUP(CY$10,'VK-Biokütused'!$C:$U,2+$E24,0))+IF(CY$5="X",VLOOKUP(CY$10,'VK-Põlevkivi'!$C:$X,2+$G24,0))+IF(CY$4="X",VLOOKUP(CY$10,'VK-Võrgud'!$C:$X,2+$F24,0)))/1000</f>
        <v>12.537000000000001</v>
      </c>
      <c r="CZ24" s="209">
        <f>(IF(CZ$7="X",VLOOKUP(CZ$10,'VK-Hooned-Soojus'!$C:$X,2+$C24,FALSE),0)+IF(CZ$6="X",VLOOKUP(CZ$10,'VK-Transport'!$C:$X,2+$B24,0))+IF(CZ$8="X",VLOOKUP(CZ$10,'VK-Elekter'!$C:$X,2+$D24,0))+IF(CZ$9="X",VLOOKUP(CZ$10,'VK-Biokütused'!$C:$U,2+$E24,0))+IF(CZ$5="X",VLOOKUP(CZ$10,'VK-Põlevkivi'!$C:$X,2+$G24,0))+IF(CZ$4="X",VLOOKUP(CZ$10,'VK-Võrgud'!$C:$X,2+$F24,0)))</f>
        <v>103.4</v>
      </c>
      <c r="DA24" s="209">
        <f>(IF(DA$7="X",VLOOKUP(DA$10,'VK-Hooned-Soojus'!$C:$X,2+$C24,FALSE),0)+IF(DA$6="X",VLOOKUP(DA$10,'VK-Transport'!$C:$X,2+$B24,0))+IF(DA$8="X",VLOOKUP(DA$10,'VK-Elekter'!$C:$X,2+$D24,0))+IF(DA$9="X",VLOOKUP(DA$10,'VK-Biokütused'!$C:$U,2+$E24,0))+IF(DA$5="X",VLOOKUP(DA$10,'VK-Põlevkivi'!$C:$X,2+$G24,0))+IF(DA$4="X",VLOOKUP(DA$10,'VK-Võrgud'!$C:$X,2+$F24,0)))/1000</f>
        <v>18.02</v>
      </c>
      <c r="DB24" s="209">
        <f>(IF(DB$7="X",VLOOKUP(DB$10,'VK-Hooned-Soojus'!$C:$X,2+$C24,FALSE),0)+IF(DB$6="X",VLOOKUP(DB$10,'VK-Transport'!$C:$X,2+$B24,0))+IF(DB$8="X",VLOOKUP(DB$10,'VK-Elekter'!$C:$X,2+$D24,0))+IF(DB$9="X",VLOOKUP(DB$10,'VK-Biokütused'!$C:$U,2+$E24,0))+IF(DB$5="X",VLOOKUP(DB$10,'VK-Põlevkivi'!$C:$X,2+$G24,0))+IF(DB$4="X",VLOOKUP(DB$10,'VK-Võrgud'!$C:$X,2+$F24,0)))/1000/3.6</f>
        <v>142.76083333333332</v>
      </c>
      <c r="DC24" s="209">
        <f>(IF(DC$7="X",VLOOKUP(DC$10,'VK-Hooned-Soojus'!$C:$X,2+$C24,FALSE),0)+IF(DC$6="X",VLOOKUP(DC$10,'VK-Transport'!$C:$X,2+$B24,0))+IF(DC$8="X",VLOOKUP(DC$10,'VK-Elekter'!$C:$X,2+$D24,0))+IF(DC$9="X",VLOOKUP(DC$10,'VK-Biokütused'!$C:$U,2+$E24,0))+IF(DC$5="X",VLOOKUP(DC$10,'VK-Põlevkivi'!$C:$X,2+$G24,0))+IF(DC$4="X",VLOOKUP(DC$10,'VK-Võrgud'!$C:$X,2+$F24,0)))/1000000</f>
        <v>7.8975030000000004</v>
      </c>
      <c r="DD24" s="209"/>
      <c r="DE24" s="88">
        <f>VLOOKUP(Tulemused!$BN$12,data!M$7:N$12,2,FALSE)-SUM(L24,M24)</f>
        <v>-3.4066444444444528</v>
      </c>
      <c r="DF24" s="209" t="str">
        <f>IF(AZ24&lt;=VLOOKUP(Tulemused!$BN$15,data!$E$36:$F$39,2,FALSE),"JAH","EI")</f>
        <v>JAH</v>
      </c>
      <c r="DG24" s="209"/>
      <c r="DH24" s="209">
        <f t="shared" si="2"/>
        <v>6.78</v>
      </c>
      <c r="DI24" s="231" t="str">
        <f t="shared" si="17"/>
        <v>EI</v>
      </c>
      <c r="DK24" s="232">
        <f t="shared" si="3"/>
        <v>-997.44336098385418</v>
      </c>
      <c r="DM24" s="233">
        <f t="shared" si="4"/>
        <v>5.6463878335862052</v>
      </c>
      <c r="DN24" s="87">
        <f t="array" ref="DN24">INDEX($A$11:$A$145, SMALL(IF(DM24=$DK$11:$DK$145, MATCH(ROW($DK$11:$DK$145), ROW($DK$11:$DK$145))), SUM(--(DM24=$DM$11:DM24))))</f>
        <v>124</v>
      </c>
      <c r="DP24" s="87" t="e">
        <f t="shared" ca="1" si="18"/>
        <v>#N/A</v>
      </c>
      <c r="DQ24" s="87" t="e">
        <f t="shared" ca="1" si="19"/>
        <v>#N/A</v>
      </c>
      <c r="DR24" s="87">
        <f t="shared" ca="1" si="20"/>
        <v>0</v>
      </c>
      <c r="DS24" s="87" t="e">
        <f t="shared" ca="1" si="21"/>
        <v>#N/A</v>
      </c>
      <c r="DT24" s="87">
        <f t="shared" ca="1" si="22"/>
        <v>0</v>
      </c>
      <c r="DU24" s="87" t="e">
        <f t="shared" ca="1" si="23"/>
        <v>#N/A</v>
      </c>
      <c r="DV24" s="87" t="e">
        <f t="shared" ca="1" si="24"/>
        <v>#N/A</v>
      </c>
      <c r="DW24" s="87">
        <f t="shared" ca="1" si="25"/>
        <v>0</v>
      </c>
      <c r="DX24" s="87">
        <f t="shared" ca="1" si="26"/>
        <v>0</v>
      </c>
      <c r="DZ24" s="87">
        <f t="shared" ca="1" si="5"/>
        <v>0</v>
      </c>
      <c r="EB24" s="87">
        <f t="shared" ca="1" si="27"/>
        <v>0</v>
      </c>
      <c r="EC24" s="87" t="e">
        <f t="shared" ca="1" si="28"/>
        <v>#N/A</v>
      </c>
      <c r="EE24" s="228">
        <f>(IF(EE$7="X",VLOOKUP(EE$10,'VK-Hooned-Soojus'!$C:$X,2+$C24,FALSE),0)+IF(EE$6="X",VLOOKUP(EE$10,'VK-Transport'!$C:$X,2+$B24,0))+IF(EE$8="X",VLOOKUP(EE$10,'VK-Elekter'!$C:$X,2+$D24,0))+IF(EE$9="X",VLOOKUP(EE$10,'VK-Biokütused'!$C:$U,2+$E24,0))+IF(EE$5="X",VLOOKUP(EE$10,'VK-Põlevkivi'!$C:$X,2+$G24,0))+IF(EE$4="X",VLOOKUP(EE$10,'VK-Võrgud'!$C:$X,2+$F24,0)))</f>
        <v>7391.9750544383878</v>
      </c>
      <c r="EF24" s="209">
        <f>(IF(EF$7="X",VLOOKUP(EF$10,'VK-Hooned-Soojus'!$C:$X,2+$C24,FALSE),0)+IF(EF$6="X",VLOOKUP(EF$10,'VK-Transport'!$C:$X,2+$B24,0))+IF(EF$8="X",VLOOKUP(EF$10,'VK-Elekter'!$C:$X,2+$D24,0))+IF(EF$9="X",VLOOKUP(EF$10,'VK-Biokütused'!$C:$U,2+$E24,0))+IF(EF$5="X",VLOOKUP(EF$10,'VK-Põlevkivi'!$C:$X,2+$G24,0))+IF(EF$4="X",VLOOKUP(EF$10,'VK-Võrgud'!$C:$X,2+$F24,0)))/1000</f>
        <v>10.456636821583061</v>
      </c>
      <c r="EG24" s="209">
        <f>(IF(EG$7="X",VLOOKUP(EG$10,'VK-Hooned-Soojus'!$C:$X,2+$C24,FALSE),0)+IF(EG$6="X",VLOOKUP(EG$10,'VK-Transport'!$C:$X,2+$B24,0))+IF(EG$8="X",VLOOKUP(EG$10,'VK-Elekter'!$C:$X,2+$D24,0))+IF(EG$9="X",VLOOKUP(EG$10,'VK-Biokütused'!$C:$U,2+$E24,0))+IF(EG$5="X",VLOOKUP(EG$10,'VK-Põlevkivi'!$C:$X,2+$G24,0))+IF(EG$4="X",VLOOKUP(EG$10,'VK-Võrgud'!$C:$X,2+$F24,0)))</f>
        <v>0.81</v>
      </c>
      <c r="EH24" s="209">
        <f>(IF(EH$7="X",VLOOKUP(EH$10,'VK-Hooned-Soojus'!$C:$X,2+$C24,FALSE),0)+IF(EH$6="X",VLOOKUP(EH$10,'VK-Transport'!$C:$X,2+$B24,0))+IF(EH$8="X",VLOOKUP(EH$10,'VK-Elekter'!$C:$X,2+$D24,0))+IF(EH$9="X",VLOOKUP(EH$10,'VK-Biokütused'!$C:$U,2+$E24,0)))+AR24+AS24+AU24+AX24</f>
        <v>96.582599737484713</v>
      </c>
      <c r="EI24" s="320">
        <f t="shared" si="6"/>
        <v>67.196678542103257</v>
      </c>
      <c r="EJ24" s="322">
        <f t="shared" si="7"/>
        <v>2.0156356925118721E-2</v>
      </c>
      <c r="EK24" s="323">
        <f t="shared" si="29"/>
        <v>0.36242899961328989</v>
      </c>
      <c r="EM24" s="209"/>
      <c r="EN24" s="209">
        <f t="shared" ca="1" si="8"/>
        <v>0</v>
      </c>
      <c r="EO24" s="209"/>
      <c r="EP24" s="234"/>
      <c r="EQ24" s="209">
        <f>(IF(EQ$7="X",VLOOKUP(EQ$10,'VK-Hooned-Soojus'!$C:$X,2+$C24,FALSE),0)+IF(EQ$6="X",VLOOKUP(EQ$10,'VK-Transport'!$C:$X,2+$B24,0))+IF(EQ$8="X",VLOOKUP(EQ$10,'VK-Elekter'!$C:$X,2+$D24,0))+IF(EQ$9="X",VLOOKUP(EQ$10,'VK-Biokütused'!$C:$U,2+$E24,0))+IF(EQ$5="X",VLOOKUP(EQ$10,'VK-Põlevkivi'!$C:$X,2+$G24,0))+IF(EQ$4="X",VLOOKUP(EQ$10,'VK-Võrgud'!$C:$X,2+$F24,0)))/1000</f>
        <v>0.22900000000000001</v>
      </c>
      <c r="ER24" s="209">
        <f>(IF(ER$7="X",VLOOKUP(ER$10,'VK-Hooned-Soojus'!$C:$X,2+$C24,FALSE),0)+IF(ER$6="X",VLOOKUP(ER$10,'VK-Transport'!$C:$X,2+$B24,0))+IF(ER$8="X",VLOOKUP(ER$10,'VK-Elekter'!$C:$X,2+$D24,0))+IF(ER$9="X",VLOOKUP(ER$10,'VK-Biokütused'!$C:$U,2+$E24,0))+IF(ER$5="X",VLOOKUP(ER$10,'VK-Põlevkivi'!$C:$X,2+$G24,0))+IF(ER$4="X",VLOOKUP(ER$10,'VK-Võrgud'!$C:$X,2+$F24,0)))</f>
        <v>0.82899999999999996</v>
      </c>
      <c r="ES24" s="209">
        <f>(IF(ES$7="X",VLOOKUP(ES$10,'VK-Hooned-Soojus'!$C:$X,2+$C24,FALSE),0)+IF(ES$6="X",VLOOKUP(ES$10,'VK-Transport'!$C:$X,2+$B24,0))+IF(ES$8="X",VLOOKUP(ES$10,'VK-Elekter'!$C:$X,2+$D24,0))+IF(ES$9="X",VLOOKUP(ES$10,'VK-Biokütused'!$C:$U,2+$E24,0))+IF(ES$5="X",VLOOKUP(ES$10,'VK-Põlevkivi'!$C:$X,2+$G24,0))+IF(ES$4="X",VLOOKUP(ES$10,'VK-Võrgud'!$C:$X,2+$F24,0)))</f>
        <v>6.78</v>
      </c>
      <c r="ET24" s="209"/>
      <c r="EU24" s="209"/>
      <c r="EV24" s="87">
        <f>'KSH järjestus'!AS17</f>
        <v>2201</v>
      </c>
      <c r="EX24" s="236"/>
      <c r="EY24" s="236"/>
      <c r="EZ24" s="237">
        <f t="shared" si="9"/>
        <v>0</v>
      </c>
      <c r="FA24" s="209">
        <f>IF(FA$7="X",VLOOKUP(FA$10,'VK-Hooned-Soojus'!$C:$X,2+$C24,FALSE),0)+IF(FA$6="X",VLOOKUP(FA$10,'VK-Transport'!$C:$X,2+$B24,0))+IF(FA$8="X",VLOOKUP(FA$10,'VK-Elekter'!$C:$X,2+$D24,0))+IF(FA$9="X",VLOOKUP(FA$10,'VK-Biokütused'!$C:$U,2+$E24,0))+IF(FA$5="X",VLOOKUP(FA$10,'VK-Põlevkivi'!$C:$X,2+$G24,0))+IF(FA$4="X",VLOOKUP(FA$10,'VK-Võrgud'!$C:$X,2+$F24,0))</f>
        <v>3693.9070000000002</v>
      </c>
      <c r="FB24" s="279">
        <f>(IF(FB$7="X",VLOOKUP(FB$10,'VK-Hooned-Soojus'!$C:$X,2+$C24,FALSE),0)+IF(FB$6="X",VLOOKUP(FB$10,'VK-Transport'!$C:$X,2+$B24,0))+IF(FB$8="X",VLOOKUP(FB$10,'VK-Elekter'!$C:$X,2+$D24,0))+IF(FB$9="X",VLOOKUP(FB$10,'VK-Biokütused'!$C:$U,2+$E24,0))+IF(FB$5="X",VLOOKUP(FB$10,'VK-Põlevkivi'!$C:$X,2+$G24,0))+IF(FB$4="X",VLOOKUP(FB$10,'VK-Võrgud'!$C:$X,2+$F24,0)))/16</f>
        <v>646.68817052920122</v>
      </c>
      <c r="FC24" s="209">
        <f>IF(FC$7="X",VLOOKUP(FC$10,'VK-Hooned-Soojus'!$C:$X,2+$C24,FALSE),0)+IF(FC$6="X",VLOOKUP(FC$10,'VK-Transport'!$C:$X,2+$B24,0))+IF(FC$8="X",VLOOKUP(FC$10,'VK-Elekter'!$C:$X,2+$D24,0))+IF(FC$9="X",VLOOKUP(FC$10,'VK-Biokütused'!$C:$U,2+$E24,0))+IF(FC$5="X",VLOOKUP(FC$10,'VK-Põlevkivi'!$C:$X,2+$G24,0))+IF(FC$4="X",VLOOKUP(FC$10,'VK-Võrgud'!$C:$X,2+$F24,0))</f>
        <v>339.5</v>
      </c>
      <c r="FD24" s="209">
        <f>(IF(FD$7="X",VLOOKUP(FD$10,'VK-Hooned-Soojus'!$C:$X,2+$C24,FALSE),0)+IF(FD$6="X",VLOOKUP(FD$10,'VK-Transport'!$C:$X,2+$B24,0))+IF(FD$8="X",VLOOKUP(FD$10,'VK-Elekter'!$C:$X,2+$D24,0))+IF(FD$9="X",VLOOKUP(FD$10,'VK-Biokütused'!$C:$U,2+$E24,0))+IF(FD$5="X",VLOOKUP(FD$10,'VK-Põlevkivi'!$C:$X,2+$G24,0))+IF(FD$4="X",VLOOKUP(FD$10,'VK-Võrgud'!$C:$X,2+$F24,0)))/16</f>
        <v>646.68817052920122</v>
      </c>
      <c r="FE24" s="209">
        <f>(IF(FE$7="X",VLOOKUP(FE$10,'VK-Hooned-Soojus'!$C:$X,2+$C24,FALSE),0)+IF(FE$6="X",VLOOKUP(FE$10,'VK-Transport'!$C:$X,2+$B24,0))+IF(FE$8="X",VLOOKUP(FE$10,'VK-Elekter'!$C:$X,2+$D24,0))+IF(FE$9="X",VLOOKUP(FE$10,'VK-Biokütused'!$C:$U,2+$E24,0))+IF(FE$5="X",VLOOKUP(FE$10,'VK-Põlevkivi'!$C:$X,2+$G24,0))+IF(FE$4="X",VLOOKUP(FE$10,'VK-Võrgud'!$C:$X,2+$F24,0)))/16</f>
        <v>-15.233219880632102</v>
      </c>
      <c r="FF24" s="209">
        <f>(IF(FF$7="X",VLOOKUP(FF$10,'VK-Hooned-Soojus'!$C:$X,2+$C24,FALSE),0)+IF(FF$6="X",VLOOKUP(FF$10,'VK-Transport'!$C:$X,2+$B24,0))+IF(FF$8="X",VLOOKUP(FF$10,'VK-Elekter'!$C:$X,2+$D24,0))+IF(FF$9="X",VLOOKUP(FF$10,'VK-Biokütused'!$C:$U,2+$E24,0))+IF(FF$5="X",VLOOKUP(FF$10,'VK-Põlevkivi'!$C:$X,2+$G24,0))+IF(FF$4="X",VLOOKUP(FF$10,'VK-Võrgud'!$C:$X,2+$F24,0)))/16</f>
        <v>164.17676788478803</v>
      </c>
      <c r="FG24" s="88">
        <f t="shared" ca="1" si="30"/>
        <v>148.94354800415593</v>
      </c>
      <c r="FH24" s="88"/>
      <c r="FI24" s="88"/>
      <c r="FJ24" s="88">
        <f>VLOOKUP(Tulemused!$BN$12,data!M$7:N$12,2,FALSE)-SUM(L24,M24)</f>
        <v>-3.4066444444444528</v>
      </c>
      <c r="FK24" s="209" t="str">
        <f>IF(AZ24&lt;=VLOOKUP(Tulemused!$BN$15,data!$E$36:$F$39,2,FALSE),"JAH","EI")</f>
        <v>JAH</v>
      </c>
      <c r="FL24" s="235">
        <f ca="1">IF(ISNA(MATCH($A24,INDIRECT(VLOOKUP(Tulemused!$BF$11,data!$J$57:$M$71,4,FALSE)))),0,MATCH($A24,INDIRECT(VLOOKUP(Tulemused!$BF$11,data!$J$57:$M$71,4,FALSE))))</f>
        <v>0</v>
      </c>
      <c r="FM24" s="235" t="str">
        <f t="shared" ca="1" si="10"/>
        <v>JAH</v>
      </c>
      <c r="FN24" s="209">
        <f>VLOOKUP(Tulemused!$BN$13,data!$C$132:$D$137,2,FALSE)-KOMBI!R24</f>
        <v>2.5658331784169404</v>
      </c>
      <c r="FO24" s="209"/>
      <c r="FP24" s="209">
        <f>VLOOKUP(Tulemused!$BN$17,NO_x,2,FALSE)-CJ24</f>
        <v>4.7620000000000005</v>
      </c>
      <c r="FQ24" s="209">
        <f>VLOOKUP(Tulemused!$BN$18,SO_2,2,FALSE)-CK24</f>
        <v>12.458283859828185</v>
      </c>
      <c r="FR24" s="209">
        <f>VLOOKUP(Tulemused!$BN$19,LOU,2,FALSE)-CN24</f>
        <v>34.054000000000002</v>
      </c>
      <c r="FS24" s="209">
        <f>VLOOKUP(Tulemused!$BN$20,PM_2.5,2,FALSE)-CM24</f>
        <v>8.4010103843950823</v>
      </c>
      <c r="FT24" s="209">
        <f>VLOOKUP(Tulemused!$BN$13,data!$C$132:$D$137,2,FALSE)-FA24/1000</f>
        <v>2.5520630000000004</v>
      </c>
      <c r="FU24" s="209">
        <f>VLOOKUP(Tulemused!$BN$17,NO_x,2,FALSE)-CO24</f>
        <v>-1.5796497732854569</v>
      </c>
      <c r="FV24" s="209">
        <f>VLOOKUP(Tulemused!$BN$18,SO_2,2,FALSE)-CP24</f>
        <v>19.161569521400111</v>
      </c>
      <c r="FW24" s="209">
        <f>VLOOKUP(Tulemused!$BN$19,LOU,2,FALSE)-CS24</f>
        <v>33.09384759487839</v>
      </c>
      <c r="FX24" s="209">
        <f>VLOOKUP(Tulemused!$BN$20,PM_2.5,2,FALSE)-CR24</f>
        <v>8.4782466437251962</v>
      </c>
      <c r="FY24" s="209">
        <f>VLOOKUP(Tulemused!$BN$14,KHG_2050,2,FALSE)-EF24</f>
        <v>89.543363178416939</v>
      </c>
      <c r="FZ24" s="231" t="str">
        <f t="shared" ca="1" si="31"/>
        <v>EI</v>
      </c>
      <c r="GA24" s="209"/>
      <c r="GB24" s="209"/>
      <c r="GC24" s="209"/>
      <c r="GD24" s="231"/>
      <c r="GE24" s="87">
        <f t="shared" si="11"/>
        <v>2201</v>
      </c>
      <c r="GF24" s="232" t="str">
        <f t="shared" ca="1" si="32"/>
        <v/>
      </c>
      <c r="GH24" s="238">
        <f t="shared" ca="1" si="12"/>
        <v>1020</v>
      </c>
      <c r="GI24" s="87">
        <f t="array" aca="1" ref="GI24" ca="1">INDEX($A$11:$A$145, SMALL(IF(GH24=$GF$11:$GF$145, MATCH(ROW($GF$11:$GF$145), ROW($GF$11:$GF$145))), SUM(--(GH24=$GH$11:GH24))))</f>
        <v>135</v>
      </c>
      <c r="GM24" s="209">
        <f>IF(GM$7="X",VLOOKUP(GM$10,'VK-Hooned-Soojus'!$C:$X,2+$C24,FALSE),0)+IF(GM$6="X",VLOOKUP(GM$10,'VK-Transport'!$C:$X,2+$B24,0))+IF(GM$8="X",VLOOKUP(GM$10,'VK-Elekter'!$C:$X,2+$D24,0))+IF(GM$9="X",VLOOKUP(GM$10,'VK-Biokütused'!$C:$U,2+$E24,0))+IF(GM$5="X",VLOOKUP(GM$10,'VK-Põlevkivi'!$C:$X,2+$G24,0))+IF(GM$4="X",VLOOKUP(GM$10,'VK-Võrgud'!$C:$X,2+$F24,0))</f>
        <v>11.189888530766083</v>
      </c>
      <c r="GN24" s="209">
        <f>IF(GN$7="X",VLOOKUP(GN$10,'VK-Hooned-Soojus'!$C:$X,2+$C24,FALSE),0)+IF(GN$6="X",VLOOKUP(GN$10,'VK-Transport'!$C:$X,2+$B24,0))+IF(GN$8="X",VLOOKUP(GN$10,'VK-Elekter'!$C:$X,2+$D24,0))+IF(GN$9="X",VLOOKUP(GN$10,'VK-Biokütused'!$C:$U,2+$E24,0))+IF(GN$5="X",VLOOKUP(GN$10,'VK-Põlevkivi'!$C:$X,2+$G24,0))+IF(GN$4="X",VLOOKUP(GN$10,'VK-Võrgud'!$C:$X,2+$F24,0))</f>
        <v>2.9930837725682502</v>
      </c>
      <c r="GO24" s="209">
        <f>IF(GO$7="X",VLOOKUP(GO$10,'VK-Hooned-Soojus'!$C:$X,2+$C24,FALSE),0)+IF(GO$6="X",VLOOKUP(GO$10,'VK-Transport'!$C:$X,2+$B24,0))+IF(GO$8="X",VLOOKUP(GO$10,'VK-Elekter'!$C:$X,2+$D24,0))+IF(GO$9="X",VLOOKUP(GO$10,'VK-Biokütused'!$C:$U,2+$E24,0))+IF(GO$5="X",VLOOKUP(GO$10,'VK-Põlevkivi'!$C:$X,2+$G24,0))+IF(GO$4="X",VLOOKUP(GO$10,'VK-Võrgud'!$C:$X,2+$F24,0))</f>
        <v>8.7471755658278116</v>
      </c>
      <c r="GP24" s="209">
        <f>IF(GP$7="X",VLOOKUP(GP$10,'VK-Hooned-Soojus'!$C:$X,2+$C24,FALSE),0)+IF(GP$6="X",VLOOKUP(GP$10,'VK-Transport'!$C:$X,2+$B24,0))+IF(GP$8="X",VLOOKUP(GP$10,'VK-Elekter'!$C:$X,2+$D24,0))+IF(GP$9="X",VLOOKUP(GP$10,'VK-Biokütused'!$C:$U,2+$E24,0))+IF(GP$5="X",VLOOKUP(GP$10,'VK-Põlevkivi'!$C:$X,2+$G24,0))+IF(GP$4="X",VLOOKUP(GP$10,'VK-Võrgud'!$C:$X,2+$F24,0))</f>
        <v>9.3279335818485372</v>
      </c>
      <c r="GQ24" s="88">
        <f>IF(GQ$7="X",VLOOKUP(GQ$10,'VK-Hooned-Soojus'!$C:$X,2+$C24,FALSE),0)+IF(GQ$6="X",VLOOKUP(GQ$10,'VK-Transport'!$C:$X,2+$B24,0))+IF(GQ$8="X",VLOOKUP(GQ$10,'VK-Elekter'!$C:$X,2+$D24,0))+IF(GQ$9="X",VLOOKUP(GQ$10,'VK-Biokütused'!$C:$U,2+$E24,0))+IF(GQ$5="X",VLOOKUP(GQ$10,'VK-Põlevkivi'!$C:$X,2+$G24,0))+IF(GQ$4="X",VLOOKUP(GQ$10,'VK-Võrgud'!$C:$X,2+$F24,0))</f>
        <v>0.9682855968523334</v>
      </c>
      <c r="GR24" s="186">
        <f t="shared" si="33"/>
        <v>0.3667082416685995</v>
      </c>
    </row>
    <row r="25" spans="1:200" x14ac:dyDescent="0.2">
      <c r="A25" s="184">
        <v>15</v>
      </c>
      <c r="B25" s="87">
        <v>1</v>
      </c>
      <c r="C25" s="87">
        <v>1</v>
      </c>
      <c r="D25" s="87">
        <v>5</v>
      </c>
      <c r="E25" s="87">
        <v>3</v>
      </c>
      <c r="F25" s="87">
        <f>VLOOKUP(Tulemused!$BF$7,data!$J$6:$K$8,2,FALSE)</f>
        <v>2</v>
      </c>
      <c r="G25" s="87">
        <f>VLOOKUP(data!$H$2,data!$J$12:$K$14,2,FALSE)</f>
        <v>2</v>
      </c>
      <c r="I25" s="209">
        <f>IF(I$7="X",VLOOKUP(I$10,'VK-Hooned-Soojus'!$C:$X,2+$C25,FALSE),0)+IF(I$6="X",VLOOKUP(I$10,'VK-Transport'!$C:$X,2+$B25,0))+IF(I$8="X",VLOOKUP(I$10,'VK-Elekter'!$C:$X,2+$D25,0))+IF(I$9="X",VLOOKUP(I$10,'VK-Biokütused'!$C:$U,2+$E25,0))+IF(I$5="X",VLOOKUP(I$10,'VK-Põlevkivi'!$C:$X,2+$G25,0))+IF(I$4="X",VLOOKUP(I$10,'VK-Võrgud'!$C:$X,2+$F25,0))</f>
        <v>26.89</v>
      </c>
      <c r="J25" s="209">
        <f>IF(J$7="X",VLOOKUP(J$10,'VK-Hooned-Soojus'!$C:$X,2+$C25,FALSE),0)+IF(J$6="X",VLOOKUP(J$10,'VK-Transport'!$C:$X,2+$B25,0))+IF(J$8="X",VLOOKUP(J$10,'VK-Elekter'!$C:$X,2+$D25,0))+IF(J$9="X",VLOOKUP(J$10,'VK-Biokütused'!$C:$U,2+$E25,0))+IF(J$5="X",VLOOKUP(J$10,'VK-Põlevkivi'!$C:$X,2+$G25,0))+IF(J$4="X",VLOOKUP(J$10,'VK-Võrgud'!$C:$X,2+$F25,0))</f>
        <v>13.295833333333334</v>
      </c>
      <c r="K25" s="209">
        <f>IF(K$7="X",VLOOKUP(K$10,'VK-Hooned-Soojus'!$C:$X,2+$C25,FALSE),0)+IF(K$6="X",VLOOKUP(K$10,'VK-Transport'!$C:$X,2+$B25,0))+IF(K$8="X",VLOOKUP(K$10,'VK-Elekter'!$C:$X,2+$D25,0))+IF(K$9="X",VLOOKUP(K$10,'VK-Biokütused'!$C:$U,2+$E25,0))+IF(K$5="X",VLOOKUP(K$10,'VK-Põlevkivi'!$C:$X,2+$G25,0))+IF(K$4="X",VLOOKUP(K$10,'VK-Võrgud'!$C:$X,2+$F25,0))</f>
        <v>16.75</v>
      </c>
      <c r="L25" s="209">
        <f>IF(L$7="X",VLOOKUP(L$10,'VK-Hooned-Soojus'!$C:$X,2+$C25,FALSE),0)+IF(L$6="X",VLOOKUP(L$10,'VK-Transport'!$C:$X,2+$B25,0))+IF(L$8="X",VLOOKUP(L$10,'VK-Elekter'!$C:$X,2+$D25,0))+IF(L$9="X",VLOOKUP(L$10,'VK-Biokütused'!$C:$U,2+$E25,0))+IF(L$5="X",VLOOKUP(L$10,'VK-Põlevkivi'!$C:$X,2+$G25,0))+IF(L$4="X",VLOOKUP(L$10,'VK-Võrgud'!$C:$X,2+$F25,0))</f>
        <v>24.95</v>
      </c>
      <c r="M25" s="209">
        <f>IF(M$7="X",VLOOKUP(M$10,'VK-Hooned-Soojus'!$C:$X,2+$C25,FALSE),0)+IF(M$6="X",VLOOKUP(M$10,'VK-Transport'!$C:$X,2+$B25,0))+IF(M$8="X",VLOOKUP(M$10,'VK-Elekter'!$C:$X,2+$D25,0))+IF(M$9="X",VLOOKUP(M$10,'VK-Biokütused'!$C:$U,2+$E25,0))+IF(M$5="X",VLOOKUP(M$10,'VK-Põlevkivi'!$C:$X,2+$G25,0))+IF(M$4="X",VLOOKUP(M$10,'VK-Võrgud'!$C:$X,2+$F25,0))</f>
        <v>11.289444444444445</v>
      </c>
      <c r="N25" s="209">
        <f>IF(N$7="X",VLOOKUP(N$10,'VK-Hooned-Soojus'!$C:$X,2+$C25,FALSE),0)+IF(N$6="X",VLOOKUP(N$10,'VK-Transport'!$C:$X,2+$B25,0))+IF(N$8="X",VLOOKUP(N$10,'VK-Elekter'!$C:$X,2+$D25,0))+IF(N$9="X",VLOOKUP(N$10,'VK-Biokütused'!$C:$U,2+$E25,0))+IF(N$5="X",VLOOKUP(N$10,'VK-Põlevkivi'!$C:$X,2+$G25,0))+IF(N$4="X",VLOOKUP(N$10,'VK-Võrgud'!$C:$X,2+$F25,0))</f>
        <v>16.75</v>
      </c>
      <c r="O25" s="209">
        <f t="shared" si="13"/>
        <v>40.185833333333335</v>
      </c>
      <c r="P25" s="209"/>
      <c r="Q25" s="209">
        <f>(IF(Q$7="X",VLOOKUP(Q$10,'VK-Hooned-Soojus'!$C:$X,2+$C25,FALSE),0)+IF(Q$6="X",VLOOKUP(Q$10,'VK-Transport'!$C:$X,2+$B25,0))+IF(Q$8="X",VLOOKUP(Q$10,'VK-Elekter'!$C:$X,2+$D25,0))+IF(Q$9="X",VLOOKUP(Q$10,'VK-Biokütused'!$C:$U,2+$E25,0))+IF(Q$5="X",VLOOKUP(Q$10,'VK-Põlevkivi'!$C:$X,2+$G25,0))+IF(Q$4="X",VLOOKUP(Q$10,'VK-Võrgud'!$C:$X,2+$F25,0)))/1000</f>
        <v>6.3289999999999997</v>
      </c>
      <c r="R25" s="209">
        <f>(IF(R$7="X",VLOOKUP(R$10,'VK-Hooned-Soojus'!$C:$X,2+$C25,FALSE),0)+IF(R$6="X",VLOOKUP(R$10,'VK-Transport'!$C:$X,2+$B25,0))+IF(R$8="X",VLOOKUP(R$10,'VK-Elekter'!$C:$X,2+$D25,0))+IF(R$9="X",VLOOKUP(R$10,'VK-Biokütused'!$C:$U,2+$E25,0))+IF(R$5="X",VLOOKUP(R$10,'VK-Põlevkivi'!$C:$X,2+$G25,0))+IF(R$4="X",VLOOKUP(R$10,'VK-Võrgud'!$C:$X,2+$F25,0)))/1000</f>
        <v>3.8888368215830607</v>
      </c>
      <c r="S25" s="226">
        <f>VLOOKUP(S$10,'VK-Hooned-Soojus'!$C:$I,2+$C25,FALSE) + VLOOKUP(S$10,'VK-Transport'!$C:$I,2+$B25,FALSE)+ VLOOKUP(S$10,'VK-Biokütused'!$C:$G,2+$E25,FALSE)+ VLOOKUP(S$10,'VK-Elekter'!$C:$I,2+$D25,FALSE)+ VLOOKUP(S$10,'VK-Põlevkivi'!$C:$I,2+$G25,FALSE)+ VLOOKUP(S$10,'VK-Võrgud'!$C:$I,2+$F25,FALSE)</f>
        <v>2.878118489723204E-2</v>
      </c>
      <c r="T25" s="226">
        <f>VLOOKUP(T$10,'VK-Hooned-Soojus'!$C:$I,2+$C25,FALSE) + VLOOKUP(T$10,'VK-Transport'!$C:$I,2+$B25,FALSE)+ VLOOKUP(T$10,'VK-Biokütused'!$C:$G,2+$E25,FALSE)+ VLOOKUP(T$10,'VK-Elekter'!$C:$I,2+$D25,FALSE)+ VLOOKUP(T$10,'VK-Põlevkivi'!$C:$I,2+$G25,FALSE)+ VLOOKUP(T$10,'VK-Võrgud'!$C:$I,2+$F25,FALSE)</f>
        <v>2.4856027354810978E-3</v>
      </c>
      <c r="U25" s="226">
        <f>VLOOKUP(U$10,'VK-Hooned-Soojus'!$C:$I,2+$C25,FALSE) + VLOOKUP(U$10,'VK-Transport'!$C:$I,2+$B25,FALSE)+ VLOOKUP(U$10,'VK-Biokütused'!$C:$G,2+$E25,FALSE)+ VLOOKUP(U$10,'VK-Elekter'!$C:$I,2+$D25,FALSE)+ VLOOKUP(U$10,'VK-Põlevkivi'!$C:$I,2+$G25,FALSE)+ VLOOKUP(U$10,'VK-Võrgud'!$C:$I,2+$F25,FALSE)</f>
        <v>1.3341749040524126E-2</v>
      </c>
      <c r="V25" s="226">
        <f>VLOOKUP(V$10,'VK-Hooned-Soojus'!$C:$I,2+$C25,FALSE) + VLOOKUP(V$10,'VK-Transport'!$C:$I,2+$B25,FALSE)+ VLOOKUP(V$10,'VK-Biokütused'!$C:$G,2+$E25,FALSE)+ VLOOKUP(V$10,'VK-Elekter'!$C:$I,2+$D25,FALSE)+ VLOOKUP(V$10,'VK-Põlevkivi'!$C:$I,2+$G25,FALSE)+ VLOOKUP(V$10,'VK-Võrgud'!$C:$I,2+$F25,FALSE)</f>
        <v>1.5831836129249387E-2</v>
      </c>
      <c r="W25" s="226">
        <f>VLOOKUP(W$10,'VK-Hooned-Soojus'!$C:$I,2+$C25,FALSE) + VLOOKUP(W$10,'VK-Transport'!$C:$I,2+$B25,FALSE)+ VLOOKUP(W$10,'VK-Biokütused'!$C:$G,2+$E25,FALSE)+ VLOOKUP(W$10,'VK-Elekter'!$C:$I,2+$D25,FALSE)+ VLOOKUP(W$10,'VK-Põlevkivi'!$C:$I,2+$G25,FALSE)+ VLOOKUP(W$10,'VK-Võrgud'!$C:$I,2+$F25,FALSE)</f>
        <v>1.8023381320035191E-2</v>
      </c>
      <c r="X25" s="226">
        <f>VLOOKUP(X$10,'VK-Hooned-Soojus'!$C:$I,2+$C25,FALSE) + VLOOKUP(X$10,'VK-Transport'!$C:$I,2+$B25,FALSE)+ VLOOKUP(X$10,'VK-Biokütused'!$C:$G,2+$E25,FALSE)+ VLOOKUP(X$10,'VK-Elekter'!$C:$I,2+$D25,FALSE)+ VLOOKUP(X$10,'VK-Põlevkivi'!$C:$I,2+$G25,FALSE)+ VLOOKUP(X$10,'VK-Võrgud'!$C:$I,2+$F25,FALSE)</f>
        <v>9.0796420714706672E-2</v>
      </c>
      <c r="Y25" s="226">
        <f>VLOOKUP(Y$10,'VK-Hooned-Soojus'!$C:$I,2+$C25,FALSE) + VLOOKUP(Y$10,'VK-Transport'!$C:$I,2+$B25,FALSE)+ VLOOKUP(Y$10,'VK-Biokütused'!$C:$G,2+$E25,FALSE)+ VLOOKUP(Y$10,'VK-Elekter'!$C:$I,2+$D25,FALSE)+ VLOOKUP(Y$10,'VK-Põlevkivi'!$C:$I,2+$G25,FALSE)+ VLOOKUP(Y$10,'VK-Võrgud'!$C:$I,2+$F25,FALSE)</f>
        <v>9.7470632670535975E-2</v>
      </c>
      <c r="Z25" s="227">
        <f>(S25*Tulemused!$Q$9*10+T25*Tulemused!$Q$10*10+KOMBI!U25*Tulemused!$Q$11*10+KOMBI!V25*Tulemused!$Q$12*10)*Tulemused!$Q$8+-(W25*Tulemused!$Q$14*10+KOMBI!X25*Tulemused!$Q$15*10+KOMBI!Y25*Tulemused!$Q$16*10)*Tulemused!$Q$13</f>
        <v>3.4617387383873961</v>
      </c>
      <c r="AA25" s="228">
        <f>(IF(AA$7="X",VLOOKUP(AA$10,'VK-Hooned-Soojus'!$C:$X,2+$C25,FALSE),0)+IF(AA$6="X",VLOOKUP(AA$10,'VK-Transport'!$C:$X,2+$B25,0))+IF(AA$8="X",VLOOKUP(AA$10,'VK-Elekter'!$C:$X,2+$D25,0))+IF(AA$9="X",VLOOKUP(AA$10,'VK-Biokütused'!$C:$U,2+$E25,0))+IF(AA$5="X",VLOOKUP(AA$10,'VK-Põlevkivi'!$C:$X,2+$G25,0))+IF(AA$4="X",VLOOKUP(AA$10,'VK-Võrgud'!$C:$X,2+$F25,0)))</f>
        <v>4727</v>
      </c>
      <c r="AB25" s="228">
        <f>(IF(AB$7="X",VLOOKUP(AB$10,'VK-Hooned-Soojus'!$C:$X,2+$C25,FALSE),0)+IF(AB$6="X",VLOOKUP(AB$10,'VK-Transport'!$C:$X,2+$B25,0))+IF(AB$8="X",VLOOKUP(AB$10,'VK-Elekter'!$C:$X,2+$D25,0))+IF(AB$9="X",VLOOKUP(AB$10,'VK-Biokütused'!$C:$U,2+$E25,0))+IF(AB$5="X",VLOOKUP(AB$10,'VK-Põlevkivi'!$C:$X,2+$G25,0))+IF(AB$4="X",VLOOKUP(AB$10,'VK-Võrgud'!$C:$X,2+$F25,0)))</f>
        <v>1602</v>
      </c>
      <c r="AC25" s="228">
        <f>(IF(AC$7="X",VLOOKUP(AC$10,'VK-Hooned-Soojus'!$C:$X,2+$C25,FALSE),0)+IF(AC$6="X",VLOOKUP(AC$10,'VK-Transport'!$C:$X,2+$B25,0))+IF(AC$8="X",VLOOKUP(AC$10,'VK-Elekter'!$C:$X,2+$D25,0))+IF(AC$9="X",VLOOKUP(AC$10,'VK-Biokütused'!$C:$U,2+$E25,0))+IF(AC$5="X",VLOOKUP(AC$10,'VK-Põlevkivi'!$C:$X,2+$G25,0))+IF(AC$4="X",VLOOKUP(AC$10,'VK-Võrgud'!$C:$X,2+$F25,0)))</f>
        <v>2346</v>
      </c>
      <c r="AD25" s="228">
        <f>(IF(AD$7="X",VLOOKUP(AD$10,'VK-Hooned-Soojus'!$C:$X,2+$C25,FALSE),0)+IF(AD$6="X",VLOOKUP(AD$10,'VK-Transport'!$C:$X,2+$B25,0))+IF(AD$8="X",VLOOKUP(AD$10,'VK-Elekter'!$C:$X,2+$D25,0))+IF(AD$9="X",VLOOKUP(AD$10,'VK-Biokütused'!$C:$U,2+$E25,0))+IF(AD$5="X",VLOOKUP(AD$10,'VK-Põlevkivi'!$C:$X,2+$G25,0))+IF(AD$4="X",VLOOKUP(AD$10,'VK-Võrgud'!$C:$X,2+$F25,0)))</f>
        <v>586.20000000000005</v>
      </c>
      <c r="AE25" s="228">
        <f>(IF(AE$7="X",VLOOKUP(AE$10,'VK-Hooned-Soojus'!$C:$X,2+$C25,FALSE),0)+IF(AE$6="X",VLOOKUP(AE$10,'VK-Transport'!$C:$X,2+$B25,0))+IF(AE$8="X",VLOOKUP(AE$10,'VK-Elekter'!$C:$X,2+$D25,0))+IF(AE$9="X",VLOOKUP(AE$10,'VK-Biokütused'!$C:$U,2+$E25,0))+IF(AE$5="X",VLOOKUP(AE$10,'VK-Põlevkivi'!$C:$X,2+$G25,0))+IF(AE$4="X",VLOOKUP(AE$10,'VK-Võrgud'!$C:$X,2+$F25,0)))</f>
        <v>812</v>
      </c>
      <c r="AF25" s="228">
        <f>(IF(AF$7="X",VLOOKUP(AF$10,'VK-Hooned-Soojus'!$C:$X,2+$C25,FALSE),0)+IF(AF$6="X",VLOOKUP(AF$10,'VK-Transport'!$C:$X,2+$B25,0))+IF(AF$8="X",VLOOKUP(AF$10,'VK-Elekter'!$C:$X,2+$D25,0))+IF(AF$9="X",VLOOKUP(AF$10,'VK-Biokütused'!$C:$U,2+$E25,0))+IF(AF$5="X",VLOOKUP(AF$10,'VK-Põlevkivi'!$C:$X,2+$G25,0))+IF(AF$4="X",VLOOKUP(AF$10,'VK-Võrgud'!$C:$X,2+$F25,0)))</f>
        <v>2490.6368215830603</v>
      </c>
      <c r="AG25" s="209"/>
      <c r="AH25" s="209">
        <f>IF(AH$7="X",VLOOKUP(AH$10,'VK-Hooned-Soojus'!$C:$X,2+$C25,FALSE),0)+IF(AH$6="X",VLOOKUP(AH$10,'VK-Transport'!$C:$X,2+$B25,0))+IF(AH$8="X",VLOOKUP(AH$10,'VK-Elekter'!$C:$X,2+$D25,0))+IF(AH$9="X",VLOOKUP(AH$10,'VK-Biokütused'!$C:$U,2+$E25,0))+IF(AH$5="X",VLOOKUP(AH$10,'VK-Põlevkivi'!$C:$X,2+$G25,0))+IF(AH$4="X",VLOOKUP(AH$10,'VK-Võrgud'!$C:$X,2+$F25,0))</f>
        <v>17.400000000000002</v>
      </c>
      <c r="AI25" s="209">
        <f>IF(AI$7="X",VLOOKUP(AI$10,'VK-Hooned-Soojus'!$C:$X,2+$C25,FALSE),0)+IF(AI$6="X",VLOOKUP(AI$10,'VK-Transport'!$C:$X,2+$B25,0))+IF(AI$8="X",VLOOKUP(AI$10,'VK-Elekter'!$C:$X,2+$D25,0))+IF(AI$9="X",VLOOKUP(AI$10,'VK-Biokütused'!$C:$U,2+$E25,0))+IF(AI$5="X",VLOOKUP(AI$10,'VK-Põlevkivi'!$C:$X,2+$G25,0))+IF(AI$4="X",VLOOKUP(AI$10,'VK-Võrgud'!$C:$X,2+$F25,0))</f>
        <v>2.3100000000000005</v>
      </c>
      <c r="AJ25" s="209">
        <f>IF(AJ$7="X",VLOOKUP(AJ$10,'VK-Hooned-Soojus'!$C:$X,2+$C25,FALSE),0)+IF(AJ$6="X",VLOOKUP(AJ$10,'VK-Transport'!$C:$X,2+$B25,0))+IF(AJ$8="X",VLOOKUP(AJ$10,'VK-Elekter'!$C:$X,2+$D25,0))+IF(AJ$9="X",VLOOKUP(AJ$10,'VK-Biokütused'!$C:$U,2+$E25,0))+IF(AJ$5="X",VLOOKUP(AJ$10,'VK-Põlevkivi'!$C:$X,2+$G25,0))+IF(AJ$4="X",VLOOKUP(AJ$10,'VK-Võrgud'!$C:$X,2+$F25,0))</f>
        <v>4.59</v>
      </c>
      <c r="AK25" s="209">
        <f>IF(AK$7="X",VLOOKUP(AK$10,'VK-Hooned-Soojus'!$C:$X,2+$C25,FALSE),0)+IF(AK$6="X",VLOOKUP(AK$10,'VK-Transport'!$C:$X,2+$B25,0))+IF(AK$8="X",VLOOKUP(AK$10,'VK-Elekter'!$C:$X,2+$D25,0))+IF(AK$9="X",VLOOKUP(AK$10,'VK-Biokütused'!$C:$U,2+$E25,0))+IF(AK$5="X",VLOOKUP(AK$10,'VK-Põlevkivi'!$C:$X,2+$G25,0))+IF(AK$4="X",VLOOKUP(AK$10,'VK-Võrgud'!$C:$X,2+$F25,0))</f>
        <v>-0.41</v>
      </c>
      <c r="AL25" s="209">
        <f>IF(AL$7="X",VLOOKUP(AL$10,'VK-Hooned-Soojus'!$C:$X,2+$C25,FALSE),0)+IF(AL$6="X",VLOOKUP(AL$10,'VK-Transport'!$C:$X,2+$B25,0))+IF(AL$8="X",VLOOKUP(AL$10,'VK-Elekter'!$C:$X,2+$D25,0))+IF(AL$9="X",VLOOKUP(AL$10,'VK-Biokütused'!$C:$U,2+$E25,0))+IF(AL$5="X",VLOOKUP(AL$10,'VK-Põlevkivi'!$C:$X,2+$G25,0))+IF(AL$4="X",VLOOKUP(AL$10,'VK-Võrgud'!$C:$X,2+$F25,0))</f>
        <v>7.1999999999999993</v>
      </c>
      <c r="AM25" s="209">
        <f>IF(AM$7="X",VLOOKUP(AM$10,'VK-Hooned-Soojus'!$C:$X,2+$C25,FALSE),0)+IF(AM$6="X",VLOOKUP(AM$10,'VK-Transport'!$C:$X,2+$B25,0))+IF(AM$8="X",VLOOKUP(AM$10,'VK-Elekter'!$C:$X,2+$D25,0))+IF(AM$9="X",VLOOKUP(AM$10,'VK-Biokütused'!$C:$U,2+$E25,0))+IF(AM$5="X",VLOOKUP(AM$10,'VK-Põlevkivi'!$C:$X,2+$G25,0))+IF(AM$4="X",VLOOKUP(AM$10,'VK-Võrgud'!$C:$X,2+$F25,0))</f>
        <v>12.9</v>
      </c>
      <c r="AN25" s="209">
        <f>IF(AN$7="X",VLOOKUP(AN$10,'VK-Hooned-Soojus'!$C:$X,2+$C25,FALSE),0)+IF(AN$6="X",VLOOKUP(AN$10,'VK-Transport'!$C:$X,2+$B25,0))+IF(AN$8="X",VLOOKUP(AN$10,'VK-Elekter'!$C:$X,2+$D25,0))+IF(AN$9="X",VLOOKUP(AN$10,'VK-Biokütused'!$C:$U,2+$E25,0))+IF(AN$5="X",VLOOKUP(AN$10,'VK-Põlevkivi'!$C:$X,2+$G25,0))+IF(AN$4="X",VLOOKUP(AN$10,'VK-Võrgud'!$C:$X,2+$F25,0))</f>
        <v>5.6999999999999993</v>
      </c>
      <c r="AO25" s="209">
        <f>IF(AO$7="X",VLOOKUP(AO$10,'VK-Hooned-Soojus'!$C:$X,2+$C25,FALSE),0)+IF(AO$6="X",VLOOKUP(AO$10,'VK-Transport'!$C:$X,2+$B25,0))+IF(AO$8="X",VLOOKUP(AO$10,'VK-Elekter'!$C:$X,2+$D25,0))+IF(AO$9="X",VLOOKUP(AO$10,'VK-Biokütused'!$C:$U,2+$E25,0))+IF(AO$5="X",VLOOKUP(AO$10,'VK-Põlevkivi'!$C:$X,2+$G25,0))+IF(AO$4="X",VLOOKUP(AO$10,'VK-Võrgud'!$C:$X,2+$F25,0))</f>
        <v>13.56</v>
      </c>
      <c r="AP25" s="209">
        <f>IF(AP$7="X",VLOOKUP(AP$10,'VK-Hooned-Soojus'!$C:$X,2+$C25,FALSE),0)+IF(AP$6="X",VLOOKUP(AP$10,'VK-Transport'!$C:$X,2+$B25,0))+IF(AP$8="X",VLOOKUP(AP$10,'VK-Elekter'!$C:$X,2+$D25,0))+IF(AP$9="X",VLOOKUP(AP$10,'VK-Biokütused'!$C:$U,2+$E25,0))+IF(AP$5="X",VLOOKUP(AP$10,'VK-Põlevkivi'!$C:$X,2+$G25,0))+IF(AP$4="X",VLOOKUP(AP$10,'VK-Võrgud'!$C:$X,2+$F25,0))</f>
        <v>6.78</v>
      </c>
      <c r="AQ25" s="320">
        <f t="shared" si="14"/>
        <v>1.2599999999999998</v>
      </c>
      <c r="AR25" s="209">
        <f>IF(AR$7="X",VLOOKUP(AR$10,'VK-Hooned-Soojus'!$C:$X,2+$C25,FALSE),0)+IF(AR$6="X",VLOOKUP(AR$10,'VK-Transport'!$C:$X,2+$B25,0))+IF(AR$8="X",VLOOKUP(AR$10,'VK-Elekter'!$C:$X,2+$D25,0))+IF(AR$9="X",VLOOKUP(AR$10,'VK-Biokütused'!$C:$U,2+$E25,0))+IF(AR$5="X",VLOOKUP(AR$10,'VK-Põlevkivi'!$C:$X,2+$G25,0))+IF(AR$4="X",VLOOKUP(AR$10,'VK-Võrgud'!$C:$X,2+$F25,0))</f>
        <v>13.909999999999998</v>
      </c>
      <c r="AS25" s="235">
        <f>'VK-Põlevkivi'!$F$8-AR25-AU25</f>
        <v>14.198622986547708</v>
      </c>
      <c r="AT25" s="209">
        <f>IF(AT$7="X",VLOOKUP(AT$10,'VK-Hooned-Soojus'!$C:$X,2+$C25,FALSE),0)+IF(AT$6="X",VLOOKUP(AT$10,'VK-Transport'!$C:$X,2+$B25,0))+IF(AT$8="X",VLOOKUP(AT$10,'VK-Elekter'!$C:$X,2+$D25,0))+IF(AT$9="X",VLOOKUP(AT$10,'VK-Biokütused'!$C:$U,2+$E25,0))+IF(AT$5="X",VLOOKUP(AT$10,'VK-Põlevkivi'!$C:$X,2+$G25,0))+IF(AT$4="X",VLOOKUP(AT$10,'VK-Võrgud'!$C:$X,2+$F25,0))</f>
        <v>12.004929222526066</v>
      </c>
      <c r="AU25" s="235">
        <f>'VK-Põlevkivi'!$F$9-VLOOKUP("Kütuste tarbimine @ 2030 - PÕLEVKIVIÕLI",'VK-Hooned-Soojus'!$C:$X,2+$C25,FALSE)</f>
        <v>28.428043680118964</v>
      </c>
      <c r="AV25" s="209">
        <f>IF(AV$7="X",VLOOKUP(AV$10,'VK-Hooned-Soojus'!$C:$X,2+$C25,FALSE),0)+IF(AV$6="X",VLOOKUP(AV$10,'VK-Transport'!$C:$X,2+$B25,0))+IF(AV$8="X",VLOOKUP(AV$10,'VK-Elekter'!$C:$X,2+$D25,0))+IF(AV$9="X",VLOOKUP(AV$10,'VK-Biokütused'!$C:$U,2+$E25,0))+IF(AV$5="X",VLOOKUP(AV$10,'VK-Põlevkivi'!$C:$X,2+$G25,0))+IF(AV$4="X",VLOOKUP(AV$10,'VK-Võrgud'!$C:$X,2+$F25,0))</f>
        <v>1.1831224847375093</v>
      </c>
      <c r="AW25" s="209">
        <f>IF(AW$7="X",VLOOKUP(AW$10,'VK-Hooned-Soojus'!$C:$X,2+$C25,FALSE),0)+IF(AW$6="X",VLOOKUP(AW$10,'VK-Transport'!$C:$X,2+$B25,0))+IF(AW$8="X",VLOOKUP(AW$10,'VK-Elekter'!$C:$X,2+$D25,0))+IF(AW$9="X",VLOOKUP(AW$10,'VK-Biokütused'!$C:$U,2+$E25,0))+IF(AW$5="X",VLOOKUP(AW$10,'VK-Põlevkivi'!$C:$X,2+$G25,0))+IF(AW$4="X",VLOOKUP(AW$10,'VK-Võrgud'!$C:$X,2+$F25,0))</f>
        <v>4.2799999999999994</v>
      </c>
      <c r="AX25" s="229">
        <f t="shared" si="34"/>
        <v>3.0968775152624901</v>
      </c>
      <c r="AY25" s="229">
        <f t="shared" si="15"/>
        <v>0</v>
      </c>
      <c r="AZ25" s="230">
        <f t="shared" si="0"/>
        <v>0.35053710590423465</v>
      </c>
      <c r="BA25" s="209">
        <f>IF(BA$7="X",VLOOKUP(BA$10,'VK-Hooned-Soojus'!$C:$X,2+$C25,FALSE),0)+IF(BA$6="X",VLOOKUP(BA$10,'VK-Transport'!$C:$X,2+$B25,0))+IF(BA$8="X",VLOOKUP(BA$10,'VK-Elekter'!$C:$X,2+$D25,0))+IF(BA$9="X",VLOOKUP(BA$10,'VK-Biokütused'!$C:$U,2+$E25,0))+IF(BA$5="X",VLOOKUP(BA$10,'VK-Põlevkivi'!$C:$X,2+$G25,0))+IF(BA$4="X",VLOOKUP(BA$10,'VK-Võrgud'!$C:$X,2+$F25,0))</f>
        <v>7.41</v>
      </c>
      <c r="BB25" s="209">
        <f>IF(BB$7="X",VLOOKUP(BB$10,'VK-Hooned-Soojus'!$C:$X,2+$C25,FALSE),0)+IF(BB$6="X",VLOOKUP(BB$10,'VK-Transport'!$C:$X,2+$B25,0))+IF(BB$8="X",VLOOKUP(BB$10,'VK-Elekter'!$C:$X,2+$D25,0))+IF(BB$9="X",VLOOKUP(BB$10,'VK-Biokütused'!$C:$U,2+$E25,0))+IF(BB$5="X",VLOOKUP(BB$10,'VK-Põlevkivi'!$C:$X,2+$G25,0))+IF(BB$4="X",VLOOKUP(BB$10,'VK-Võrgud'!$C:$X,2+$F25,0))</f>
        <v>2.96</v>
      </c>
      <c r="BC25" s="209">
        <f>IF(BC$7="X",VLOOKUP(BC$10,'VK-Hooned-Soojus'!$C:$X,2+$C25,FALSE),0)+IF(BC$6="X",VLOOKUP(BC$10,'VK-Transport'!$C:$X,2+$B25,0))+IF(BC$8="X",VLOOKUP(BC$10,'VK-Elekter'!$C:$X,2+$D25,0))+IF(BC$9="X",VLOOKUP(BC$10,'VK-Biokütused'!$C:$U,2+$E25,0))+IF(BC$5="X",VLOOKUP(BC$10,'VK-Põlevkivi'!$C:$X,2+$G25,0))+IF(BC$4="X",VLOOKUP(BC$10,'VK-Võrgud'!$C:$X,2+$F25,0))</f>
        <v>8.0523611111111126</v>
      </c>
      <c r="BD25" s="209">
        <f>IF(BD$7="X",VLOOKUP(BD$10,'VK-Hooned-Soojus'!$C:$X,2+$C25,FALSE),0)+IF(BD$6="X",VLOOKUP(BD$10,'VK-Transport'!$C:$X,2+$B25,0))+IF(BD$8="X",VLOOKUP(BD$10,'VK-Elekter'!$C:$X,2+$D25,0))+IF(BD$9="X",VLOOKUP(BD$10,'VK-Biokütused'!$C:$U,2+$E25,0))+IF(BD$5="X",VLOOKUP(BD$10,'VK-Põlevkivi'!$C:$X,2+$G25,0))+IF(BD$4="X",VLOOKUP(BD$10,'VK-Võrgud'!$C:$X,2+$F25,0))</f>
        <v>10.42138888888889</v>
      </c>
      <c r="BE25" s="230"/>
      <c r="BF25" s="229">
        <f t="shared" si="16"/>
        <v>0.24395733301707928</v>
      </c>
      <c r="BG25" s="209" t="e">
        <f>(IF(BG$7="X",VLOOKUP(BG$10,'VK-Hooned-Soojus'!$C:$X,2+$C25,FALSE),0)+IF(BG$6="X",VLOOKUP(BG$10,'VK-Transport'!$C:$X,2+$B25,0))+IF(BG$8="X",VLOOKUP(BG$10,'VK-Elekter'!$C:$X,2+$D25,0))+IF(BG$9="X",VLOOKUP(BG$10,'VK-Biokütused'!$C:$U,2+$E25,0))+IF(BG$5="X",VLOOKUP(BG$10,'VK-Põlevkivi'!$C:$X,2+$G25,0))+IF(BG$4="X",VLOOKUP(BG$10,'VK-Võrgud'!$C:$X,2+$F25,0)))/20</f>
        <v>#N/A</v>
      </c>
      <c r="BH25" s="209">
        <f>(IF(BH$7="X",VLOOKUP(BH$10,'VK-Hooned-Soojus'!$C:$X,2+$C25,FALSE),0)+IF(BH$6="X",VLOOKUP(BH$10,'VK-Transport'!$C:$X,2+$B25,0))+IF(BH$8="X",VLOOKUP(BH$10,'VK-Elekter'!$C:$X,2+$D25,0))+IF(BH$9="X",VLOOKUP(BH$10,'VK-Biokütused'!$C:$U,2+$E25,0))+IF(BH$5="X",VLOOKUP(BH$10,'VK-Põlevkivi'!$C:$X,2+$G25,0))+IF(BH$4="X",VLOOKUP(BH$10,'VK-Võrgud'!$C:$X,2+$F25,0)))/20</f>
        <v>13.99</v>
      </c>
      <c r="BI25" s="209">
        <f>(IF(BI$7="X",VLOOKUP(BI$10,'VK-Hooned-Soojus'!$C:$X,2+$C25,FALSE),0)+IF(BI$6="X",VLOOKUP(BI$10,'VK-Transport'!$C:$X,2+$B25,0))+IF(BI$8="X",VLOOKUP(BI$10,'VK-Elekter'!$C:$X,2+$D25,0))+IF(BI$9="X",VLOOKUP(BI$10,'VK-Biokütused'!$C:$U,2+$E25,0))+IF(BI$5="X",VLOOKUP(BI$10,'VK-Põlevkivi'!$C:$X,2+$G25,0))+IF(BI$4="X",VLOOKUP(BI$10,'VK-Võrgud'!$C:$X,2+$F25,0)))/16</f>
        <v>17.75</v>
      </c>
      <c r="BJ25" s="209">
        <f>(IF(BJ$7="X",VLOOKUP(BJ$10,'VK-Hooned-Soojus'!$C:$X,2+$C25,FALSE),0)+IF(BJ$6="X",VLOOKUP(BJ$10,'VK-Transport'!$C:$X,2+$B25,0))+IF(BJ$8="X",VLOOKUP(BJ$10,'VK-Elekter'!$C:$X,2+$D25,0))+IF(BJ$9="X",VLOOKUP(BJ$10,'VK-Biokütused'!$C:$U,2+$E25,0))+IF(BJ$5="X",VLOOKUP(BJ$10,'VK-Põlevkivi'!$C:$X,2+$G25,0))+IF(BJ$4="X",VLOOKUP(BJ$10,'VK-Võrgud'!$C:$X,2+$F25,0)))/20</f>
        <v>1.85</v>
      </c>
      <c r="BK25" s="209"/>
      <c r="BL25" s="209"/>
      <c r="BM25" s="209"/>
      <c r="BN25" s="209" t="e">
        <f>(IF(BN$7="X",VLOOKUP(BN$10,'VK-Hooned-Soojus'!$C:$X,2+$C25,FALSE),0)+IF(BN$6="X",VLOOKUP(BN$10,'VK-Transport'!$C:$X,2+$B25,0))+IF(BN$8="X",VLOOKUP(BN$10,'VK-Elekter'!$C:$X,2+$D25,0))+IF(BN$9="X",VLOOKUP(BN$10,'VK-Biokütused'!$C:$U,2+$E25,0))+IF(BN$5="X",VLOOKUP(BN$10,'VK-Põlevkivi'!$C:$X,2+$G25,0))+IF(BN$4="X",VLOOKUP(BN$10,'VK-Võrgud'!$C:$X,2+$F25,0)))/16</f>
        <v>#N/A</v>
      </c>
      <c r="BO25" s="209">
        <f>(IF(BO$7="X",VLOOKUP(BO$10,'VK-Hooned-Soojus'!$C:$X,2+$C25,FALSE),0)+IF(BO$6="X",VLOOKUP(BO$10,'VK-Transport'!$C:$X,2+$B25,0))+IF(BO$8="X",VLOOKUP(BO$10,'VK-Elekter'!$C:$X,2+$D25,0))+IF(BO$9="X",VLOOKUP(BO$10,'VK-Biokütused'!$C:$U,2+$E25,0))+IF(BO$5="X",VLOOKUP(BO$10,'VK-Põlevkivi'!$C:$X,2+$G25,0))+IF(BO$4="X",VLOOKUP(BO$10,'VK-Võrgud'!$C:$X,2+$F25,0)))/16</f>
        <v>496.33125000000001</v>
      </c>
      <c r="BP25" s="209"/>
      <c r="BQ25" s="209">
        <f>(IF(BQ$7="X",VLOOKUP(BQ$10,'VK-Hooned-Soojus'!$C:$X,2+$C25,FALSE),0)+IF(BQ$6="X",VLOOKUP(BQ$10,'VK-Transport'!$C:$X,2+$B25,0))+IF(BQ$8="X",VLOOKUP(BQ$10,'VK-Elekter'!$C:$X,2+$D25,0))+IF(BQ$9="X",VLOOKUP(BQ$10,'VK-Biokütused'!$C:$U,2+$E25,0))+IF(BQ$5="X",VLOOKUP(BQ$10,'VK-Põlevkivi'!$C:$X,2+$G25,0))+IF(BQ$4="X",VLOOKUP(BQ$10,'VK-Võrgud'!$C:$X,2+$F25,0)))/16</f>
        <v>4.7249999999999996</v>
      </c>
      <c r="BR25" s="209">
        <f>(IF(BR$7="X",VLOOKUP(BR$10,'VK-Hooned-Soojus'!$C:$X,2+$C25,FALSE),0)+IF(BR$6="X",VLOOKUP(BR$10,'VK-Transport'!$C:$X,2+$B25,0))+IF(BR$8="X",VLOOKUP(BR$10,'VK-Elekter'!$C:$X,2+$D25,0))+IF(BR$9="X",VLOOKUP(BR$10,'VK-Biokütused'!$C:$U,2+$E25,0))+IF(BR$5="X",VLOOKUP(BR$10,'VK-Põlevkivi'!$C:$X,2+$G25,0))+IF(BR$4="X",VLOOKUP(BR$10,'VK-Võrgud'!$C:$X,2+$F25,0)))/16</f>
        <v>-74.512500000000003</v>
      </c>
      <c r="BS25" s="209">
        <f>(IF(BS$7="X",VLOOKUP(BS$10,'VK-Hooned-Soojus'!$C:$X,2+$C25,FALSE),0)+IF(BS$6="X",VLOOKUP(BS$10,'VK-Transport'!$C:$X,2+$B25,0))+IF(BS$8="X",VLOOKUP(BS$10,'VK-Elekter'!$C:$X,2+$D25,0))+IF(BS$9="X",VLOOKUP(BS$10,'VK-Biokütused'!$C:$U,2+$E25,0))+IF(BS$5="X",VLOOKUP(BS$10,'VK-Põlevkivi'!$C:$X,2+$G25,0))+IF(BS$4="X",VLOOKUP(BS$10,'VK-Võrgud'!$C:$X,2+$F25,0)))/16</f>
        <v>-100.68125000000001</v>
      </c>
      <c r="BT25" s="209"/>
      <c r="BU25" s="209"/>
      <c r="BV25" s="209">
        <f>(IF(BV$7="X",VLOOKUP(BV$10,'VK-Hooned-Soojus'!$C:$X,2+$C25,FALSE),0)+IF(BV$6="X",VLOOKUP(BV$10,'VK-Transport'!$C:$X,2+$B25,0))+IF(BV$8="X",VLOOKUP(BV$10,'VK-Elekter'!$C:$X,2+$D25,0))+IF(BV$9="X",VLOOKUP(BV$10,'VK-Biokütused'!$C:$U,2+$E25,0))+IF(BV$5="X",VLOOKUP(BV$10,'VK-Põlevkivi'!$C:$X,2+$G25,0))+IF(BV$4="X",VLOOKUP(BV$10,'VK-Võrgud'!$C:$X,2+$F25,0)))/16</f>
        <v>0</v>
      </c>
      <c r="BW25" s="209"/>
      <c r="BX25" s="209">
        <f>(IF(BX$7="X",VLOOKUP(BX$10,'VK-Hooned-Soojus'!$C:$X,2+$C25,FALSE),0)+IF(BX$6="X",VLOOKUP(BX$10,'VK-Transport'!$C:$X,2+$B25,0))+IF(BX$8="X",VLOOKUP(BX$10,'VK-Elekter'!$C:$X,2+$D25,0))+IF(BX$9="X",VLOOKUP(BX$10,'VK-Biokütused'!$C:$U,2+$E25,0))+IF(BX$5="X",VLOOKUP(BX$10,'VK-Põlevkivi'!$C:$X,2+$G25,0))+IF(BX$4="X",VLOOKUP(BX$10,'VK-Võrgud'!$C:$X,2+$F25,0)))/16</f>
        <v>-145.125</v>
      </c>
      <c r="BY25" s="209"/>
      <c r="BZ25" s="209"/>
      <c r="CA25" s="209" t="e">
        <f>(IF(CA$7="X",VLOOKUP(CA$10,'VK-Hooned-Soojus'!$C:$X,2+$C25,FALSE),0)+IF(CA$6="X",VLOOKUP(CA$10,'VK-Transport'!$C:$X,2+$B25,0))+IF(CA$8="X",VLOOKUP(CA$10,'VK-Elekter'!$C:$X,2+$D25,0))+IF(CA$9="X",VLOOKUP(CA$10,'VK-Biokütused'!$C:$U,2+$E25,0))+IF(CA$5="X",VLOOKUP(CA$10,'VK-Põlevkivi'!$C:$X,2+$G25,0))+IF(CA$4="X",VLOOKUP(CA$10,'VK-Võrgud'!$C:$X,2+$F25,0)))/16</f>
        <v>#N/A</v>
      </c>
      <c r="CB25" s="209">
        <f>(IF(CB$7="X",VLOOKUP(CB$10,'VK-Hooned-Soojus'!$C:$X,2+$C25,FALSE),0)+IF(CB$6="X",VLOOKUP(CB$10,'VK-Transport'!$C:$X,2+$B25,0))+IF(CB$8="X",VLOOKUP(CB$10,'VK-Elekter'!$C:$X,2+$D25,0))+IF(CB$9="X",VLOOKUP(CB$10,'VK-Biokütused'!$C:$U,2+$E25,0))+IF(CB$5="X",VLOOKUP(CB$10,'VK-Põlevkivi'!$C:$X,2+$G25,0))+IF(CB$4="X",VLOOKUP(CB$10,'VK-Võrgud'!$C:$X,2+$F25,0)))/16</f>
        <v>0</v>
      </c>
      <c r="CC25" s="209">
        <f>(IF(CC$7="X",VLOOKUP(CC$10,'VK-Hooned-Soojus'!$C:$X,2+$C25,FALSE),0)+IF(CC$6="X",VLOOKUP(CC$10,'VK-Transport'!$C:$X,2+$B25,0))+IF(CC$8="X",VLOOKUP(CC$10,'VK-Elekter'!$C:$X,2+$D25,0))+IF(CC$9="X",VLOOKUP(CC$10,'VK-Biokütused'!$C:$U,2+$E25,0))+IF(CC$5="X",VLOOKUP(CC$10,'VK-Põlevkivi'!$C:$X,2+$G25,0))+IF(CC$4="X",VLOOKUP(CC$10,'VK-Võrgud'!$C:$X,2+$F25,0)))/16</f>
        <v>0</v>
      </c>
      <c r="CD25" s="209"/>
      <c r="CE25" s="209">
        <f>(IF(CE$7="X",VLOOKUP(CE$10,'VK-Hooned-Soojus'!$C:$X,2+$C25,FALSE),0)+IF(CE$6="X",VLOOKUP(CE$10,'VK-Transport'!$C:$X,2+$B25,0))+IF(CE$8="X",VLOOKUP(CE$10,'VK-Elekter'!$C:$X,2+$D25,0))+IF(CE$9="X",VLOOKUP(CE$10,'VK-Biokütused'!$C:$U,2+$E25,0))+IF(CE$5="X",VLOOKUP(CE$10,'VK-Põlevkivi'!$C:$X,2+$G25,0))+IF(CE$4="X",VLOOKUP(CE$10,'VK-Võrgud'!$C:$X,2+$F25,0)))/16</f>
        <v>24.15625</v>
      </c>
      <c r="CF25" s="209"/>
      <c r="CG25" s="209">
        <f>(IF(CG$7="X",VLOOKUP(CG$10,'VK-Hooned-Soojus'!$C:$X,2+$C25,FALSE),0)+IF(CG$6="X",VLOOKUP(CG$10,'VK-Transport'!$C:$X,2+$B25,0))+IF(CG$8="X",VLOOKUP(CG$10,'VK-Elekter'!$C:$X,2+$D25,0))+IF(CG$9="X",VLOOKUP(CG$10,'VK-Biokütused'!$C:$U,2+$E25,0))+IF(CG$5="X",VLOOKUP(CG$10,'VK-Põlevkivi'!$C:$X,2+$G25,0))+IF(CG$4="X",VLOOKUP(CG$10,'VK-Võrgud'!$C:$X,2+$F25,0)))/16</f>
        <v>0</v>
      </c>
      <c r="CH25" s="209">
        <f>(IF(CH$7="X",VLOOKUP(CH$10,'VK-Hooned-Soojus'!$C:$X,2+$C25,FALSE),0)+IF(CH$6="X",VLOOKUP(CH$10,'VK-Transport'!$C:$X,2+$B25,0))+IF(CH$8="X",VLOOKUP(CH$10,'VK-Elekter'!$C:$X,2+$D25,0))+IF(CH$9="X",VLOOKUP(CH$10,'VK-Biokütused'!$C:$U,2+$E25,0))+IF(CH$5="X",VLOOKUP(CH$10,'VK-Põlevkivi'!$C:$X,2+$G25,0))+IF(CH$4="X",VLOOKUP(CH$10,'VK-Võrgud'!$C:$X,2+$F25,0)))/20*0.21</f>
        <v>5.6122500000000004</v>
      </c>
      <c r="CI25" s="209"/>
      <c r="CJ25" s="209">
        <f>(IF(CJ$7="X",VLOOKUP(CJ$10,'VK-Hooned-Soojus'!$C:$X,2+$C25,FALSE),0)+IF(CJ$6="X",VLOOKUP(CJ$10,'VK-Transport'!$C:$X,2+$B25,0))+IF(CJ$8="X",VLOOKUP(CJ$10,'VK-Elekter'!$C:$X,2+$D25,0))+IF(CJ$9="X",VLOOKUP(CJ$10,'VK-Biokütused'!$C:$U,2+$E25,0))+IF(CJ$5="X",VLOOKUP(CJ$10,'VK-Põlevkivi'!$C:$X,2+$G25,0))+IF(CJ$4="X",VLOOKUP(CJ$10,'VK-Võrgud'!$C:$X,2+$F25,0)))/1000</f>
        <v>24.675999999999998</v>
      </c>
      <c r="CK25" s="209">
        <f>(IF(CK$7="X",VLOOKUP(CK$10,'VK-Hooned-Soojus'!$C:$X,2+$C25,FALSE),0)+IF(CK$6="X",VLOOKUP(CK$10,'VK-Transport'!$C:$X,2+$B25,0))+IF(CK$8="X",VLOOKUP(CK$10,'VK-Elekter'!$C:$X,2+$D25,0))+IF(CK$9="X",VLOOKUP(CK$10,'VK-Biokütused'!$C:$U,2+$E25,0))+IF(CK$5="X",VLOOKUP(CK$10,'VK-Põlevkivi'!$C:$X,2+$G25,0))+IF(CK$4="X",VLOOKUP(CK$10,'VK-Võrgud'!$C:$X,2+$F25,0)))/1000</f>
        <v>39.425716140171815</v>
      </c>
      <c r="CL25" s="209">
        <f>(IF(CL$7="X",VLOOKUP(CL$10,'VK-Hooned-Soojus'!$C:$X,2+$C25,FALSE),0)+IF(CL$6="X",VLOOKUP(CL$10,'VK-Transport'!$C:$X,2+$B25,0))+IF(CL$8="X",VLOOKUP(CL$10,'VK-Elekter'!$C:$X,2+$D25,0))+IF(CL$9="X",VLOOKUP(CL$10,'VK-Biokütused'!$C:$U,2+$E25,0))+IF(CL$5="X",VLOOKUP(CL$10,'VK-Põlevkivi'!$C:$X,2+$G25,0))+IF(CL$4="X",VLOOKUP(CL$10,'VK-Võrgud'!$C:$X,2+$F25,0)))/1000</f>
        <v>12.898233270393458</v>
      </c>
      <c r="CM25" s="209">
        <f>(IF(CM$7="X",VLOOKUP(CM$10,'VK-Hooned-Soojus'!$C:$X,2+$C25,FALSE),0)+IF(CM$6="X",VLOOKUP(CM$10,'VK-Transport'!$C:$X,2+$B25,0))+IF(CM$8="X",VLOOKUP(CM$10,'VK-Elekter'!$C:$X,2+$D25,0))+IF(CM$9="X",VLOOKUP(CM$10,'VK-Biokütused'!$C:$U,2+$E25,0))+IF(CM$5="X",VLOOKUP(CM$10,'VK-Põlevkivi'!$C:$X,2+$G25,0))+IF(CM$4="X",VLOOKUP(CM$10,'VK-Võrgud'!$C:$X,2+$F25,0)))/1000</f>
        <v>8.5139896156049168</v>
      </c>
      <c r="CN25" s="209">
        <f>(IF(CN$7="X",VLOOKUP(CN$10,'VK-Hooned-Soojus'!$C:$X,2+$C25,FALSE),0)+IF(CN$6="X",VLOOKUP(CN$10,'VK-Transport'!$C:$X,2+$B25,0))+IF(CN$8="X",VLOOKUP(CN$10,'VK-Elekter'!$C:$X,2+$D25,0))+IF(CN$9="X",VLOOKUP(CN$10,'VK-Biokütused'!$C:$U,2+$E25,0))+IF(CN$5="X",VLOOKUP(CN$10,'VK-Põlevkivi'!$C:$X,2+$G25,0))+IF(CN$4="X",VLOOKUP(CN$10,'VK-Võrgud'!$C:$X,2+$F25,0)))/1000</f>
        <v>3.0259999999999998</v>
      </c>
      <c r="CO25" s="209">
        <f>(IF(CO$7="X",VLOOKUP(CO$10,'VK-Hooned-Soojus'!$C:$X,2+$C25,FALSE),0)+IF(CO$6="X",VLOOKUP(CO$10,'VK-Transport'!$C:$X,2+$B25,0))+IF(CO$8="X",VLOOKUP(CO$10,'VK-Elekter'!$C:$X,2+$D25,0))+IF(CO$9="X",VLOOKUP(CO$10,'VK-Biokütused'!$C:$U,2+$E25,0))+IF(CO$5="X",VLOOKUP(CO$10,'VK-Põlevkivi'!$C:$X,2+$G25,0))+IF(CO$4="X",VLOOKUP(CO$10,'VK-Võrgud'!$C:$X,2+$F25,0)))/1000</f>
        <v>31.017649773285456</v>
      </c>
      <c r="CP25" s="209">
        <f>(IF(CP$7="X",VLOOKUP(CP$10,'VK-Hooned-Soojus'!$C:$X,2+$C25,FALSE),0)+IF(CP$6="X",VLOOKUP(CP$10,'VK-Transport'!$C:$X,2+$B25,0))+IF(CP$8="X",VLOOKUP(CP$10,'VK-Elekter'!$C:$X,2+$D25,0))+IF(CP$9="X",VLOOKUP(CP$10,'VK-Biokütused'!$C:$U,2+$E25,0))+IF(CP$5="X",VLOOKUP(CP$10,'VK-Põlevkivi'!$C:$X,2+$G25,0))+IF(CP$4="X",VLOOKUP(CP$10,'VK-Võrgud'!$C:$X,2+$F25,0)))/1000</f>
        <v>32.72243047859989</v>
      </c>
      <c r="CQ25" s="209">
        <f>(IF(CQ$7="X",VLOOKUP(CQ$10,'VK-Hooned-Soojus'!$C:$X,2+$C25,FALSE),0)+IF(CQ$6="X",VLOOKUP(CQ$10,'VK-Transport'!$C:$X,2+$B25,0))+IF(CQ$8="X",VLOOKUP(CQ$10,'VK-Elekter'!$C:$X,2+$D25,0))+IF(CQ$9="X",VLOOKUP(CQ$10,'VK-Biokütused'!$C:$U,2+$E25,0))+IF(CQ$5="X",VLOOKUP(CQ$10,'VK-Põlevkivi'!$C:$X,2+$G25,0))+IF(CQ$4="X",VLOOKUP(CQ$10,'VK-Võrgud'!$C:$X,2+$F25,0)))/1000</f>
        <v>17.588906999999999</v>
      </c>
      <c r="CR25" s="209">
        <f>(IF(CR$7="X",VLOOKUP(CR$10,'VK-Hooned-Soojus'!$C:$X,2+$C25,FALSE),0)+IF(CR$6="X",VLOOKUP(CR$10,'VK-Transport'!$C:$X,2+$B25,0))+IF(CR$8="X",VLOOKUP(CR$10,'VK-Elekter'!$C:$X,2+$D25,0))+IF(CR$9="X",VLOOKUP(CR$10,'VK-Biokütused'!$C:$U,2+$E25,0))+IF(CR$5="X",VLOOKUP(CR$10,'VK-Põlevkivi'!$C:$X,2+$G25,0))+IF(CR$4="X",VLOOKUP(CR$10,'VK-Võrgud'!$C:$X,2+$F25,0)))/1000</f>
        <v>8.4367533562748029</v>
      </c>
      <c r="CS25" s="209">
        <f>(IF(CS$7="X",VLOOKUP(CS$10,'VK-Hooned-Soojus'!$C:$X,2+$C25,FALSE),0)+IF(CS$6="X",VLOOKUP(CS$10,'VK-Transport'!$C:$X,2+$B25,0))+IF(CS$8="X",VLOOKUP(CS$10,'VK-Elekter'!$C:$X,2+$D25,0))+IF(CS$9="X",VLOOKUP(CS$10,'VK-Biokütused'!$C:$U,2+$E25,0))+IF(CS$5="X",VLOOKUP(CS$10,'VK-Põlevkivi'!$C:$X,2+$G25,0))+IF(CS$4="X",VLOOKUP(CS$10,'VK-Võrgud'!$C:$X,2+$F25,0)))/1000</f>
        <v>3.9861524051216151</v>
      </c>
      <c r="CT25" s="209">
        <f>IF(CT$7="X",VLOOKUP(CT$10,'VK-Hooned-Soojus'!$C:$X,2+$C25,FALSE),0)+IF(CT$6="X",VLOOKUP(CT$10,'VK-Transport'!$C:$X,2+$B25,0))+IF(CT$8="X",VLOOKUP(CT$10,'VK-Elekter'!$C:$X,2+$D25,0))+IF(CT$9="X",VLOOKUP(CT$10,'VK-Biokütused'!$C:$U,2+$E25,0))+IF(CT$5="X",VLOOKUP(CT$10,'VK-Põlevkivi'!$C:$X,2+$G25,0))+IF(CT$4="X",VLOOKUP(CT$10,'VK-Võrgud'!$C:$X,2+$F25,0))</f>
        <v>90</v>
      </c>
      <c r="CU25" s="209">
        <f>IF(CU$7="X",VLOOKUP(CU$10,'VK-Hooned-Soojus'!$C:$X,2+$C25,FALSE),0)+IF(CU$6="X",VLOOKUP(CU$10,'VK-Transport'!$C:$X,2+$B25,0))+IF(CU$8="X",VLOOKUP(CU$10,'VK-Elekter'!$C:$X,2+$D25,0))+IF(CU$9="X",VLOOKUP(CU$10,'VK-Biokütused'!$C:$U,2+$E25,0))+IF(CU$5="X",VLOOKUP(CU$10,'VK-Põlevkivi'!$C:$X,2+$G25,0))+IF(CU$4="X",VLOOKUP(CU$10,'VK-Võrgud'!$C:$X,2+$F25,0))</f>
        <v>1</v>
      </c>
      <c r="CV25" s="209">
        <f t="shared" si="1"/>
        <v>0.91028830406496786</v>
      </c>
      <c r="CW25" s="209">
        <f>(IF(CW$7="X",VLOOKUP(CW$10,'VK-Hooned-Soojus'!$C:$X,2+$C25,FALSE),0)+IF(CW$6="X",VLOOKUP(CW$10,'VK-Transport'!$C:$X,2+$B25,0))+IF(CW$8="X",VLOOKUP(CW$10,'VK-Elekter'!$C:$X,2+$D25,0))+IF(CW$9="X",VLOOKUP(CW$10,'VK-Biokütused'!$C:$U,2+$E25,0))+IF(CW$5="X",VLOOKUP(CW$10,'VK-Põlevkivi'!$C:$X,2+$G25,0))+IF(CW$4="X",VLOOKUP(CW$10,'VK-Võrgud'!$C:$X,2+$F25,0)))/16</f>
        <v>126.01875</v>
      </c>
      <c r="CY25" s="209">
        <f>(IF(CY$7="X",VLOOKUP(CY$10,'VK-Hooned-Soojus'!$C:$X,2+$C25,FALSE),0)+IF(CY$6="X",VLOOKUP(CY$10,'VK-Transport'!$C:$X,2+$B25,0))+IF(CY$8="X",VLOOKUP(CY$10,'VK-Elekter'!$C:$X,2+$D25,0))+IF(CY$9="X",VLOOKUP(CY$10,'VK-Biokütused'!$C:$U,2+$E25,0))+IF(CY$5="X",VLOOKUP(CY$10,'VK-Põlevkivi'!$C:$X,2+$G25,0))+IF(CY$4="X",VLOOKUP(CY$10,'VK-Võrgud'!$C:$X,2+$F25,0)))/1000</f>
        <v>12.760999999999999</v>
      </c>
      <c r="CZ25" s="209">
        <f>(IF(CZ$7="X",VLOOKUP(CZ$10,'VK-Hooned-Soojus'!$C:$X,2+$C25,FALSE),0)+IF(CZ$6="X",VLOOKUP(CZ$10,'VK-Transport'!$C:$X,2+$B25,0))+IF(CZ$8="X",VLOOKUP(CZ$10,'VK-Elekter'!$C:$X,2+$D25,0))+IF(CZ$9="X",VLOOKUP(CZ$10,'VK-Biokütused'!$C:$U,2+$E25,0))+IF(CZ$5="X",VLOOKUP(CZ$10,'VK-Põlevkivi'!$C:$X,2+$G25,0))+IF(CZ$4="X",VLOOKUP(CZ$10,'VK-Võrgud'!$C:$X,2+$F25,0)))</f>
        <v>105</v>
      </c>
      <c r="DA25" s="209">
        <f>(IF(DA$7="X",VLOOKUP(DA$10,'VK-Hooned-Soojus'!$C:$X,2+$C25,FALSE),0)+IF(DA$6="X",VLOOKUP(DA$10,'VK-Transport'!$C:$X,2+$B25,0))+IF(DA$8="X",VLOOKUP(DA$10,'VK-Elekter'!$C:$X,2+$D25,0))+IF(DA$9="X",VLOOKUP(DA$10,'VK-Biokütused'!$C:$U,2+$E25,0))+IF(DA$5="X",VLOOKUP(DA$10,'VK-Põlevkivi'!$C:$X,2+$G25,0))+IF(DA$4="X",VLOOKUP(DA$10,'VK-Võrgud'!$C:$X,2+$F25,0)))/1000</f>
        <v>18.271999999999998</v>
      </c>
      <c r="DB25" s="209">
        <f>(IF(DB$7="X",VLOOKUP(DB$10,'VK-Hooned-Soojus'!$C:$X,2+$C25,FALSE),0)+IF(DB$6="X",VLOOKUP(DB$10,'VK-Transport'!$C:$X,2+$B25,0))+IF(DB$8="X",VLOOKUP(DB$10,'VK-Elekter'!$C:$X,2+$D25,0))+IF(DB$9="X",VLOOKUP(DB$10,'VK-Biokütused'!$C:$U,2+$E25,0))+IF(DB$5="X",VLOOKUP(DB$10,'VK-Põlevkivi'!$C:$X,2+$G25,0))+IF(DB$4="X",VLOOKUP(DB$10,'VK-Võrgud'!$C:$X,2+$F25,0)))/1000/3.6</f>
        <v>143.66888888888889</v>
      </c>
      <c r="DC25" s="209">
        <f>(IF(DC$7="X",VLOOKUP(DC$10,'VK-Hooned-Soojus'!$C:$X,2+$C25,FALSE),0)+IF(DC$6="X",VLOOKUP(DC$10,'VK-Transport'!$C:$X,2+$B25,0))+IF(DC$8="X",VLOOKUP(DC$10,'VK-Elekter'!$C:$X,2+$D25,0))+IF(DC$9="X",VLOOKUP(DC$10,'VK-Biokütused'!$C:$U,2+$E25,0))+IF(DC$5="X",VLOOKUP(DC$10,'VK-Põlevkivi'!$C:$X,2+$G25,0))+IF(DC$4="X",VLOOKUP(DC$10,'VK-Võrgud'!$C:$X,2+$F25,0)))/1000000</f>
        <v>7.9908479999999997</v>
      </c>
      <c r="DD25" s="209"/>
      <c r="DE25" s="88">
        <f>VLOOKUP(Tulemused!$BN$12,data!M$7:N$12,2,FALSE)-SUM(L25,M25)</f>
        <v>-3.4066444444444528</v>
      </c>
      <c r="DF25" s="209" t="str">
        <f>IF(AZ25&lt;=VLOOKUP(Tulemused!$BN$15,data!$E$36:$F$39,2,FALSE),"JAH","EI")</f>
        <v>JAH</v>
      </c>
      <c r="DG25" s="209"/>
      <c r="DH25" s="209">
        <f t="shared" si="2"/>
        <v>6.78</v>
      </c>
      <c r="DI25" s="231" t="str">
        <f t="shared" si="17"/>
        <v>EI</v>
      </c>
      <c r="DK25" s="232">
        <f t="shared" si="3"/>
        <v>-996.53826126161266</v>
      </c>
      <c r="DM25" s="233">
        <f t="shared" si="4"/>
        <v>5.6429680009667482</v>
      </c>
      <c r="DN25" s="87">
        <f t="array" ref="DN25">INDEX($A$11:$A$145, SMALL(IF(DM25=$DK$11:$DK$145, MATCH(ROW($DK$11:$DK$145), ROW($DK$11:$DK$145))), SUM(--(DM25=$DM$11:DM25))))</f>
        <v>121</v>
      </c>
      <c r="DP25" s="87" t="e">
        <f t="shared" ca="1" si="18"/>
        <v>#N/A</v>
      </c>
      <c r="DQ25" s="87" t="e">
        <f t="shared" ca="1" si="19"/>
        <v>#N/A</v>
      </c>
      <c r="DR25" s="87">
        <f t="shared" ca="1" si="20"/>
        <v>0</v>
      </c>
      <c r="DS25" s="87" t="e">
        <f t="shared" ca="1" si="21"/>
        <v>#N/A</v>
      </c>
      <c r="DT25" s="87">
        <f t="shared" ca="1" si="22"/>
        <v>0</v>
      </c>
      <c r="DU25" s="87" t="e">
        <f t="shared" ca="1" si="23"/>
        <v>#N/A</v>
      </c>
      <c r="DV25" s="87" t="e">
        <f t="shared" ca="1" si="24"/>
        <v>#N/A</v>
      </c>
      <c r="DW25" s="87">
        <f t="shared" ca="1" si="25"/>
        <v>0</v>
      </c>
      <c r="DX25" s="87">
        <f t="shared" ca="1" si="26"/>
        <v>0</v>
      </c>
      <c r="DZ25" s="87">
        <f t="shared" ca="1" si="5"/>
        <v>0</v>
      </c>
      <c r="EB25" s="87">
        <f t="shared" ca="1" si="27"/>
        <v>0</v>
      </c>
      <c r="EC25" s="87" t="e">
        <f t="shared" ca="1" si="28"/>
        <v>#N/A</v>
      </c>
      <c r="EE25" s="228">
        <f>(IF(EE$7="X",VLOOKUP(EE$10,'VK-Hooned-Soojus'!$C:$X,2+$C25,FALSE),0)+IF(EE$6="X",VLOOKUP(EE$10,'VK-Transport'!$C:$X,2+$B25,0))+IF(EE$8="X",VLOOKUP(EE$10,'VK-Elekter'!$C:$X,2+$D25,0))+IF(EE$9="X",VLOOKUP(EE$10,'VK-Biokütused'!$C:$U,2+$E25,0))+IF(EE$5="X",VLOOKUP(EE$10,'VK-Põlevkivi'!$C:$X,2+$G25,0))+IF(EE$4="X",VLOOKUP(EE$10,'VK-Võrgud'!$C:$X,2+$F25,0)))</f>
        <v>10463.564995637238</v>
      </c>
      <c r="EF25" s="209">
        <f>(IF(EF$7="X",VLOOKUP(EF$10,'VK-Hooned-Soojus'!$C:$X,2+$C25,FALSE),0)+IF(EF$6="X",VLOOKUP(EF$10,'VK-Transport'!$C:$X,2+$B25,0))+IF(EF$8="X",VLOOKUP(EF$10,'VK-Elekter'!$C:$X,2+$D25,0))+IF(EF$9="X",VLOOKUP(EF$10,'VK-Biokütused'!$C:$U,2+$E25,0))+IF(EF$5="X",VLOOKUP(EF$10,'VK-Põlevkivi'!$C:$X,2+$G25,0))+IF(EF$4="X",VLOOKUP(EF$10,'VK-Võrgud'!$C:$X,2+$F25,0)))/1000</f>
        <v>10.456636821583061</v>
      </c>
      <c r="EG25" s="209">
        <f>(IF(EG$7="X",VLOOKUP(EG$10,'VK-Hooned-Soojus'!$C:$X,2+$C25,FALSE),0)+IF(EG$6="X",VLOOKUP(EG$10,'VK-Transport'!$C:$X,2+$B25,0))+IF(EG$8="X",VLOOKUP(EG$10,'VK-Elekter'!$C:$X,2+$D25,0))+IF(EG$9="X",VLOOKUP(EG$10,'VK-Biokütused'!$C:$U,2+$E25,0))+IF(EG$5="X",VLOOKUP(EG$10,'VK-Põlevkivi'!$C:$X,2+$G25,0))+IF(EG$4="X",VLOOKUP(EG$10,'VK-Võrgud'!$C:$X,2+$F25,0)))</f>
        <v>0.81</v>
      </c>
      <c r="EH25" s="209">
        <f>(IF(EH$7="X",VLOOKUP(EH$10,'VK-Hooned-Soojus'!$C:$X,2+$C25,FALSE),0)+IF(EH$6="X",VLOOKUP(EH$10,'VK-Transport'!$C:$X,2+$B25,0))+IF(EH$8="X",VLOOKUP(EH$10,'VK-Elekter'!$C:$X,2+$D25,0))+IF(EH$9="X",VLOOKUP(EH$10,'VK-Biokütused'!$C:$U,2+$E25,0)))+AR25+AS25+AU25+AX25</f>
        <v>98.721599737484709</v>
      </c>
      <c r="EI25" s="320">
        <f t="shared" si="6"/>
        <v>67.196678542103257</v>
      </c>
      <c r="EJ25" s="322">
        <f t="shared" si="7"/>
        <v>2.0156356925118721E-2</v>
      </c>
      <c r="EK25" s="323">
        <f t="shared" si="29"/>
        <v>0.36242899961328989</v>
      </c>
      <c r="EM25" s="209"/>
      <c r="EN25" s="209">
        <f t="shared" ca="1" si="8"/>
        <v>0</v>
      </c>
      <c r="EO25" s="209"/>
      <c r="EP25" s="234"/>
      <c r="EQ25" s="209">
        <f>(IF(EQ$7="X",VLOOKUP(EQ$10,'VK-Hooned-Soojus'!$C:$X,2+$C25,FALSE),0)+IF(EQ$6="X",VLOOKUP(EQ$10,'VK-Transport'!$C:$X,2+$B25,0))+IF(EQ$8="X",VLOOKUP(EQ$10,'VK-Elekter'!$C:$X,2+$D25,0))+IF(EQ$9="X",VLOOKUP(EQ$10,'VK-Biokütused'!$C:$U,2+$E25,0))+IF(EQ$5="X",VLOOKUP(EQ$10,'VK-Põlevkivi'!$C:$X,2+$G25,0))+IF(EQ$4="X",VLOOKUP(EQ$10,'VK-Võrgud'!$C:$X,2+$F25,0)))/1000</f>
        <v>0.22900000000000001</v>
      </c>
      <c r="ER25" s="209">
        <f>(IF(ER$7="X",VLOOKUP(ER$10,'VK-Hooned-Soojus'!$C:$X,2+$C25,FALSE),0)+IF(ER$6="X",VLOOKUP(ER$10,'VK-Transport'!$C:$X,2+$B25,0))+IF(ER$8="X",VLOOKUP(ER$10,'VK-Elekter'!$C:$X,2+$D25,0))+IF(ER$9="X",VLOOKUP(ER$10,'VK-Biokütused'!$C:$U,2+$E25,0))+IF(ER$5="X",VLOOKUP(ER$10,'VK-Põlevkivi'!$C:$X,2+$G25,0))+IF(ER$4="X",VLOOKUP(ER$10,'VK-Võrgud'!$C:$X,2+$F25,0)))</f>
        <v>0.82899999999999996</v>
      </c>
      <c r="ES25" s="209">
        <f>(IF(ES$7="X",VLOOKUP(ES$10,'VK-Hooned-Soojus'!$C:$X,2+$C25,FALSE),0)+IF(ES$6="X",VLOOKUP(ES$10,'VK-Transport'!$C:$X,2+$B25,0))+IF(ES$8="X",VLOOKUP(ES$10,'VK-Elekter'!$C:$X,2+$D25,0))+IF(ES$9="X",VLOOKUP(ES$10,'VK-Biokütused'!$C:$U,2+$E25,0))+IF(ES$5="X",VLOOKUP(ES$10,'VK-Põlevkivi'!$C:$X,2+$G25,0))+IF(ES$4="X",VLOOKUP(ES$10,'VK-Võrgud'!$C:$X,2+$F25,0)))</f>
        <v>6.78</v>
      </c>
      <c r="ET25" s="209"/>
      <c r="EU25" s="209"/>
      <c r="EV25" s="87">
        <f>'KSH järjestus'!AS18</f>
        <v>2126</v>
      </c>
      <c r="EX25" s="236"/>
      <c r="EY25" s="236"/>
      <c r="EZ25" s="237">
        <f t="shared" si="9"/>
        <v>0</v>
      </c>
      <c r="FA25" s="209">
        <f>IF(FA$7="X",VLOOKUP(FA$10,'VK-Hooned-Soojus'!$C:$X,2+$C25,FALSE),0)+IF(FA$6="X",VLOOKUP(FA$10,'VK-Transport'!$C:$X,2+$B25,0))+IF(FA$8="X",VLOOKUP(FA$10,'VK-Elekter'!$C:$X,2+$D25,0))+IF(FA$9="X",VLOOKUP(FA$10,'VK-Biokütused'!$C:$U,2+$E25,0))+IF(FA$5="X",VLOOKUP(FA$10,'VK-Põlevkivi'!$C:$X,2+$G25,0))+IF(FA$4="X",VLOOKUP(FA$10,'VK-Võrgud'!$C:$X,2+$F25,0))</f>
        <v>3770.9070000000002</v>
      </c>
      <c r="FB25" s="279">
        <f>(IF(FB$7="X",VLOOKUP(FB$10,'VK-Hooned-Soojus'!$C:$X,2+$C25,FALSE),0)+IF(FB$6="X",VLOOKUP(FB$10,'VK-Transport'!$C:$X,2+$B25,0))+IF(FB$8="X",VLOOKUP(FB$10,'VK-Elekter'!$C:$X,2+$D25,0))+IF(FB$9="X",VLOOKUP(FB$10,'VK-Biokütused'!$C:$U,2+$E25,0))+IF(FB$5="X",VLOOKUP(FB$10,'VK-Põlevkivi'!$C:$X,2+$G25,0))+IF(FB$4="X",VLOOKUP(FB$10,'VK-Võrgud'!$C:$X,2+$F25,0)))/16</f>
        <v>763.2989615466804</v>
      </c>
      <c r="FC25" s="209">
        <f>IF(FC$7="X",VLOOKUP(FC$10,'VK-Hooned-Soojus'!$C:$X,2+$C25,FALSE),0)+IF(FC$6="X",VLOOKUP(FC$10,'VK-Transport'!$C:$X,2+$B25,0))+IF(FC$8="X",VLOOKUP(FC$10,'VK-Elekter'!$C:$X,2+$D25,0))+IF(FC$9="X",VLOOKUP(FC$10,'VK-Biokütused'!$C:$U,2+$E25,0))+IF(FC$5="X",VLOOKUP(FC$10,'VK-Põlevkivi'!$C:$X,2+$G25,0))+IF(FC$4="X",VLOOKUP(FC$10,'VK-Võrgud'!$C:$X,2+$F25,0))</f>
        <v>339.5</v>
      </c>
      <c r="FD25" s="209">
        <f>(IF(FD$7="X",VLOOKUP(FD$10,'VK-Hooned-Soojus'!$C:$X,2+$C25,FALSE),0)+IF(FD$6="X",VLOOKUP(FD$10,'VK-Transport'!$C:$X,2+$B25,0))+IF(FD$8="X",VLOOKUP(FD$10,'VK-Elekter'!$C:$X,2+$D25,0))+IF(FD$9="X",VLOOKUP(FD$10,'VK-Biokütused'!$C:$U,2+$E25,0))+IF(FD$5="X",VLOOKUP(FD$10,'VK-Põlevkivi'!$C:$X,2+$G25,0))+IF(FD$4="X",VLOOKUP(FD$10,'VK-Võrgud'!$C:$X,2+$F25,0)))/16</f>
        <v>763.2989615466804</v>
      </c>
      <c r="FE25" s="209">
        <f>(IF(FE$7="X",VLOOKUP(FE$10,'VK-Hooned-Soojus'!$C:$X,2+$C25,FALSE),0)+IF(FE$6="X",VLOOKUP(FE$10,'VK-Transport'!$C:$X,2+$B25,0))+IF(FE$8="X",VLOOKUP(FE$10,'VK-Elekter'!$C:$X,2+$D25,0))+IF(FE$9="X",VLOOKUP(FE$10,'VK-Biokütused'!$C:$U,2+$E25,0))+IF(FE$5="X",VLOOKUP(FE$10,'VK-Põlevkivi'!$C:$X,2+$G25,0))+IF(FE$4="X",VLOOKUP(FE$10,'VK-Võrgud'!$C:$X,2+$F25,0)))/16</f>
        <v>-34.340813699091036</v>
      </c>
      <c r="FF25" s="209">
        <f>(IF(FF$7="X",VLOOKUP(FF$10,'VK-Hooned-Soojus'!$C:$X,2+$C25,FALSE),0)+IF(FF$6="X",VLOOKUP(FF$10,'VK-Transport'!$C:$X,2+$B25,0))+IF(FF$8="X",VLOOKUP(FF$10,'VK-Elekter'!$C:$X,2+$D25,0))+IF(FF$9="X",VLOOKUP(FF$10,'VK-Biokütused'!$C:$U,2+$E25,0))+IF(FF$5="X",VLOOKUP(FF$10,'VK-Põlevkivi'!$C:$X,2+$G25,0))+IF(FF$4="X",VLOOKUP(FF$10,'VK-Võrgud'!$C:$X,2+$F25,0)))/16</f>
        <v>199.8387760623319</v>
      </c>
      <c r="FG25" s="88">
        <f t="shared" ca="1" si="30"/>
        <v>165.49796236324087</v>
      </c>
      <c r="FH25" s="88"/>
      <c r="FI25" s="88"/>
      <c r="FJ25" s="88">
        <f>VLOOKUP(Tulemused!$BN$12,data!M$7:N$12,2,FALSE)-SUM(L25,M25)</f>
        <v>-3.4066444444444528</v>
      </c>
      <c r="FK25" s="209" t="str">
        <f>IF(AZ25&lt;=VLOOKUP(Tulemused!$BN$15,data!$E$36:$F$39,2,FALSE),"JAH","EI")</f>
        <v>JAH</v>
      </c>
      <c r="FL25" s="235">
        <f ca="1">IF(ISNA(MATCH($A25,INDIRECT(VLOOKUP(Tulemused!$BF$11,data!$J$57:$M$71,4,FALSE)))),0,MATCH($A25,INDIRECT(VLOOKUP(Tulemused!$BF$11,data!$J$57:$M$71,4,FALSE))))</f>
        <v>0</v>
      </c>
      <c r="FM25" s="235" t="str">
        <f t="shared" ca="1" si="10"/>
        <v>JAH</v>
      </c>
      <c r="FN25" s="209">
        <f>VLOOKUP(Tulemused!$BN$13,data!$C$132:$D$137,2,FALSE)-KOMBI!R25</f>
        <v>2.35713317841694</v>
      </c>
      <c r="FO25" s="209"/>
      <c r="FP25" s="209">
        <f>VLOOKUP(Tulemused!$BN$17,NO_x,2,FALSE)-CJ25</f>
        <v>4.7620000000000005</v>
      </c>
      <c r="FQ25" s="209">
        <f>VLOOKUP(Tulemused!$BN$18,SO_2,2,FALSE)-CK25</f>
        <v>12.458283859828185</v>
      </c>
      <c r="FR25" s="209">
        <f>VLOOKUP(Tulemused!$BN$19,LOU,2,FALSE)-CN25</f>
        <v>34.054000000000002</v>
      </c>
      <c r="FS25" s="209">
        <f>VLOOKUP(Tulemused!$BN$20,PM_2.5,2,FALSE)-CM25</f>
        <v>8.4010103843950823</v>
      </c>
      <c r="FT25" s="209">
        <f>VLOOKUP(Tulemused!$BN$13,data!$C$132:$D$137,2,FALSE)-FA25/1000</f>
        <v>2.4750630000000005</v>
      </c>
      <c r="FU25" s="209">
        <f>VLOOKUP(Tulemused!$BN$17,NO_x,2,FALSE)-CO25</f>
        <v>-1.5796497732854569</v>
      </c>
      <c r="FV25" s="209">
        <f>VLOOKUP(Tulemused!$BN$18,SO_2,2,FALSE)-CP25</f>
        <v>19.161569521400111</v>
      </c>
      <c r="FW25" s="209">
        <f>VLOOKUP(Tulemused!$BN$19,LOU,2,FALSE)-CS25</f>
        <v>33.09384759487839</v>
      </c>
      <c r="FX25" s="209">
        <f>VLOOKUP(Tulemused!$BN$20,PM_2.5,2,FALSE)-CR25</f>
        <v>8.4782466437251962</v>
      </c>
      <c r="FY25" s="209">
        <f>VLOOKUP(Tulemused!$BN$14,KHG_2050,2,FALSE)-EF25</f>
        <v>89.543363178416939</v>
      </c>
      <c r="FZ25" s="231" t="str">
        <f t="shared" ca="1" si="31"/>
        <v>EI</v>
      </c>
      <c r="GA25" s="209"/>
      <c r="GB25" s="209"/>
      <c r="GC25" s="209"/>
      <c r="GD25" s="231"/>
      <c r="GE25" s="87">
        <f t="shared" si="11"/>
        <v>2126</v>
      </c>
      <c r="GF25" s="232" t="str">
        <f t="shared" ca="1" si="32"/>
        <v/>
      </c>
      <c r="GH25" s="238">
        <f t="shared" ca="1" si="12"/>
        <v>1025</v>
      </c>
      <c r="GI25" s="87">
        <f t="array" aca="1" ref="GI25" ca="1">INDEX($A$11:$A$145, SMALL(IF(GH25=$GF$11:$GF$145, MATCH(ROW($GF$11:$GF$145), ROW($GF$11:$GF$145))), SUM(--(GH25=$GH$11:GH25))))</f>
        <v>133</v>
      </c>
      <c r="GM25" s="209">
        <f>IF(GM$7="X",VLOOKUP(GM$10,'VK-Hooned-Soojus'!$C:$X,2+$C25,FALSE),0)+IF(GM$6="X",VLOOKUP(GM$10,'VK-Transport'!$C:$X,2+$B25,0))+IF(GM$8="X",VLOOKUP(GM$10,'VK-Elekter'!$C:$X,2+$D25,0))+IF(GM$9="X",VLOOKUP(GM$10,'VK-Biokütused'!$C:$U,2+$E25,0))+IF(GM$5="X",VLOOKUP(GM$10,'VK-Põlevkivi'!$C:$X,2+$G25,0))+IF(GM$4="X",VLOOKUP(GM$10,'VK-Võrgud'!$C:$X,2+$F25,0))</f>
        <v>11.189888530766083</v>
      </c>
      <c r="GN25" s="209">
        <f>IF(GN$7="X",VLOOKUP(GN$10,'VK-Hooned-Soojus'!$C:$X,2+$C25,FALSE),0)+IF(GN$6="X",VLOOKUP(GN$10,'VK-Transport'!$C:$X,2+$B25,0))+IF(GN$8="X",VLOOKUP(GN$10,'VK-Elekter'!$C:$X,2+$D25,0))+IF(GN$9="X",VLOOKUP(GN$10,'VK-Biokütused'!$C:$U,2+$E25,0))+IF(GN$5="X",VLOOKUP(GN$10,'VK-Põlevkivi'!$C:$X,2+$G25,0))+IF(GN$4="X",VLOOKUP(GN$10,'VK-Võrgud'!$C:$X,2+$F25,0))</f>
        <v>2.9930837725682502</v>
      </c>
      <c r="GO25" s="209">
        <f>IF(GO$7="X",VLOOKUP(GO$10,'VK-Hooned-Soojus'!$C:$X,2+$C25,FALSE),0)+IF(GO$6="X",VLOOKUP(GO$10,'VK-Transport'!$C:$X,2+$B25,0))+IF(GO$8="X",VLOOKUP(GO$10,'VK-Elekter'!$C:$X,2+$D25,0))+IF(GO$9="X",VLOOKUP(GO$10,'VK-Biokütused'!$C:$U,2+$E25,0))+IF(GO$5="X",VLOOKUP(GO$10,'VK-Põlevkivi'!$C:$X,2+$G25,0))+IF(GO$4="X",VLOOKUP(GO$10,'VK-Võrgud'!$C:$X,2+$F25,0))</f>
        <v>8.7471755658278116</v>
      </c>
      <c r="GP25" s="209">
        <f>IF(GP$7="X",VLOOKUP(GP$10,'VK-Hooned-Soojus'!$C:$X,2+$C25,FALSE),0)+IF(GP$6="X",VLOOKUP(GP$10,'VK-Transport'!$C:$X,2+$B25,0))+IF(GP$8="X",VLOOKUP(GP$10,'VK-Elekter'!$C:$X,2+$D25,0))+IF(GP$9="X",VLOOKUP(GP$10,'VK-Biokütused'!$C:$U,2+$E25,0))+IF(GP$5="X",VLOOKUP(GP$10,'VK-Põlevkivi'!$C:$X,2+$G25,0))+IF(GP$4="X",VLOOKUP(GP$10,'VK-Võrgud'!$C:$X,2+$F25,0))</f>
        <v>9.3279335818485372</v>
      </c>
      <c r="GQ25" s="88">
        <f>IF(GQ$7="X",VLOOKUP(GQ$10,'VK-Hooned-Soojus'!$C:$X,2+$C25,FALSE),0)+IF(GQ$6="X",VLOOKUP(GQ$10,'VK-Transport'!$C:$X,2+$B25,0))+IF(GQ$8="X",VLOOKUP(GQ$10,'VK-Elekter'!$C:$X,2+$D25,0))+IF(GQ$9="X",VLOOKUP(GQ$10,'VK-Biokütused'!$C:$U,2+$E25,0))+IF(GQ$5="X",VLOOKUP(GQ$10,'VK-Põlevkivi'!$C:$X,2+$G25,0))+IF(GQ$4="X",VLOOKUP(GQ$10,'VK-Võrgud'!$C:$X,2+$F25,0))</f>
        <v>0.9682855968523334</v>
      </c>
      <c r="GR25" s="186">
        <f t="shared" si="33"/>
        <v>0.3667082416685995</v>
      </c>
    </row>
    <row r="26" spans="1:200" x14ac:dyDescent="0.2">
      <c r="A26" s="184">
        <v>16</v>
      </c>
      <c r="B26" s="87">
        <v>1</v>
      </c>
      <c r="C26" s="87">
        <v>2</v>
      </c>
      <c r="D26" s="87">
        <v>1</v>
      </c>
      <c r="E26" s="87">
        <v>1</v>
      </c>
      <c r="F26" s="87">
        <f>VLOOKUP(Tulemused!$BF$7,data!$J$6:$K$8,2,FALSE)</f>
        <v>2</v>
      </c>
      <c r="G26" s="87">
        <f>VLOOKUP(data!$H$2,data!$J$12:$K$14,2,FALSE)</f>
        <v>2</v>
      </c>
      <c r="I26" s="209">
        <f>IF(I$7="X",VLOOKUP(I$10,'VK-Hooned-Soojus'!$C:$X,2+$C26,FALSE),0)+IF(I$6="X",VLOOKUP(I$10,'VK-Transport'!$C:$X,2+$B26,0))+IF(I$8="X",VLOOKUP(I$10,'VK-Elekter'!$C:$X,2+$D26,0))+IF(I$9="X",VLOOKUP(I$10,'VK-Biokütused'!$C:$U,2+$E26,0))+IF(I$5="X",VLOOKUP(I$10,'VK-Põlevkivi'!$C:$X,2+$G26,0))+IF(I$4="X",VLOOKUP(I$10,'VK-Võrgud'!$C:$X,2+$F26,0))</f>
        <v>24.79</v>
      </c>
      <c r="J26" s="209">
        <f>IF(J$7="X",VLOOKUP(J$10,'VK-Hooned-Soojus'!$C:$X,2+$C26,FALSE),0)+IF(J$6="X",VLOOKUP(J$10,'VK-Transport'!$C:$X,2+$B26,0))+IF(J$8="X",VLOOKUP(J$10,'VK-Elekter'!$C:$X,2+$D26,0))+IF(J$9="X",VLOOKUP(J$10,'VK-Biokütused'!$C:$U,2+$E26,0))+IF(J$5="X",VLOOKUP(J$10,'VK-Põlevkivi'!$C:$X,2+$G26,0))+IF(J$4="X",VLOOKUP(J$10,'VK-Võrgud'!$C:$X,2+$F26,0))</f>
        <v>13.295833333333334</v>
      </c>
      <c r="K26" s="209">
        <f>IF(K$7="X",VLOOKUP(K$10,'VK-Hooned-Soojus'!$C:$X,2+$C26,FALSE),0)+IF(K$6="X",VLOOKUP(K$10,'VK-Transport'!$C:$X,2+$B26,0))+IF(K$8="X",VLOOKUP(K$10,'VK-Elekter'!$C:$X,2+$D26,0))+IF(K$9="X",VLOOKUP(K$10,'VK-Biokütused'!$C:$U,2+$E26,0))+IF(K$5="X",VLOOKUP(K$10,'VK-Põlevkivi'!$C:$X,2+$G26,0))+IF(K$4="X",VLOOKUP(K$10,'VK-Võrgud'!$C:$X,2+$F26,0))</f>
        <v>15.27</v>
      </c>
      <c r="L26" s="209">
        <f>IF(L$7="X",VLOOKUP(L$10,'VK-Hooned-Soojus'!$C:$X,2+$C26,FALSE),0)+IF(L$6="X",VLOOKUP(L$10,'VK-Transport'!$C:$X,2+$B26,0))+IF(L$8="X",VLOOKUP(L$10,'VK-Elekter'!$C:$X,2+$D26,0))+IF(L$9="X",VLOOKUP(L$10,'VK-Biokütused'!$C:$U,2+$E26,0))+IF(L$5="X",VLOOKUP(L$10,'VK-Põlevkivi'!$C:$X,2+$G26,0))+IF(L$4="X",VLOOKUP(L$10,'VK-Võrgud'!$C:$X,2+$F26,0))</f>
        <v>24.2</v>
      </c>
      <c r="M26" s="209">
        <f>IF(M$7="X",VLOOKUP(M$10,'VK-Hooned-Soojus'!$C:$X,2+$C26,FALSE),0)+IF(M$6="X",VLOOKUP(M$10,'VK-Transport'!$C:$X,2+$B26,0))+IF(M$8="X",VLOOKUP(M$10,'VK-Elekter'!$C:$X,2+$D26,0))+IF(M$9="X",VLOOKUP(M$10,'VK-Biokütused'!$C:$U,2+$E26,0))+IF(M$5="X",VLOOKUP(M$10,'VK-Põlevkivi'!$C:$X,2+$G26,0))+IF(M$4="X",VLOOKUP(M$10,'VK-Võrgud'!$C:$X,2+$F26,0))</f>
        <v>11.289444444444445</v>
      </c>
      <c r="N26" s="209">
        <f>IF(N$7="X",VLOOKUP(N$10,'VK-Hooned-Soojus'!$C:$X,2+$C26,FALSE),0)+IF(N$6="X",VLOOKUP(N$10,'VK-Transport'!$C:$X,2+$B26,0))+IF(N$8="X",VLOOKUP(N$10,'VK-Elekter'!$C:$X,2+$D26,0))+IF(N$9="X",VLOOKUP(N$10,'VK-Biokütused'!$C:$U,2+$E26,0))+IF(N$5="X",VLOOKUP(N$10,'VK-Põlevkivi'!$C:$X,2+$G26,0))+IF(N$4="X",VLOOKUP(N$10,'VK-Võrgud'!$C:$X,2+$F26,0))</f>
        <v>16.09</v>
      </c>
      <c r="O26" s="209">
        <f t="shared" si="13"/>
        <v>38.085833333333333</v>
      </c>
      <c r="P26" s="209"/>
      <c r="Q26" s="209">
        <f>(IF(Q$7="X",VLOOKUP(Q$10,'VK-Hooned-Soojus'!$C:$X,2+$C26,FALSE),0)+IF(Q$6="X",VLOOKUP(Q$10,'VK-Transport'!$C:$X,2+$B26,0))+IF(Q$8="X",VLOOKUP(Q$10,'VK-Elekter'!$C:$X,2+$D26,0))+IF(Q$9="X",VLOOKUP(Q$10,'VK-Biokütused'!$C:$U,2+$E26,0))+IF(Q$5="X",VLOOKUP(Q$10,'VK-Põlevkivi'!$C:$X,2+$G26,0))+IF(Q$4="X",VLOOKUP(Q$10,'VK-Võrgud'!$C:$X,2+$F26,0)))/1000</f>
        <v>5.0659999999999998</v>
      </c>
      <c r="R26" s="209">
        <f>(IF(R$7="X",VLOOKUP(R$10,'VK-Hooned-Soojus'!$C:$X,2+$C26,FALSE),0)+IF(R$6="X",VLOOKUP(R$10,'VK-Transport'!$C:$X,2+$B26,0))+IF(R$8="X",VLOOKUP(R$10,'VK-Elekter'!$C:$X,2+$D26,0))+IF(R$9="X",VLOOKUP(R$10,'VK-Biokütused'!$C:$U,2+$E26,0))+IF(R$5="X",VLOOKUP(R$10,'VK-Põlevkivi'!$C:$X,2+$G26,0))+IF(R$4="X",VLOOKUP(R$10,'VK-Võrgud'!$C:$X,2+$F26,0)))/1000</f>
        <v>3.1566368215830605</v>
      </c>
      <c r="S26" s="226">
        <f>VLOOKUP(S$10,'VK-Hooned-Soojus'!$C:$I,2+$C26,FALSE) + VLOOKUP(S$10,'VK-Transport'!$C:$I,2+$B26,FALSE)+ VLOOKUP(S$10,'VK-Biokütused'!$C:$G,2+$E26,FALSE)+ VLOOKUP(S$10,'VK-Elekter'!$C:$I,2+$D26,FALSE)+ VLOOKUP(S$10,'VK-Põlevkivi'!$C:$I,2+$G26,FALSE)+ VLOOKUP(S$10,'VK-Võrgud'!$C:$I,2+$F26,FALSE)</f>
        <v>4.2878443017911501E-3</v>
      </c>
      <c r="T26" s="226">
        <f>VLOOKUP(T$10,'VK-Hooned-Soojus'!$C:$I,2+$C26,FALSE) + VLOOKUP(T$10,'VK-Transport'!$C:$I,2+$B26,FALSE)+ VLOOKUP(T$10,'VK-Biokütused'!$C:$G,2+$E26,FALSE)+ VLOOKUP(T$10,'VK-Elekter'!$C:$I,2+$D26,FALSE)+ VLOOKUP(T$10,'VK-Põlevkivi'!$C:$I,2+$G26,FALSE)+ VLOOKUP(T$10,'VK-Võrgud'!$C:$I,2+$F26,FALSE)</f>
        <v>-3.2820865895897499E-3</v>
      </c>
      <c r="U26" s="226">
        <f>VLOOKUP(U$10,'VK-Hooned-Soojus'!$C:$I,2+$C26,FALSE) + VLOOKUP(U$10,'VK-Transport'!$C:$I,2+$B26,FALSE)+ VLOOKUP(U$10,'VK-Biokütused'!$C:$G,2+$E26,FALSE)+ VLOOKUP(U$10,'VK-Elekter'!$C:$I,2+$D26,FALSE)+ VLOOKUP(U$10,'VK-Põlevkivi'!$C:$I,2+$G26,FALSE)+ VLOOKUP(U$10,'VK-Võrgud'!$C:$I,2+$F26,FALSE)</f>
        <v>-6.8195150252256531E-4</v>
      </c>
      <c r="V26" s="226">
        <f>VLOOKUP(V$10,'VK-Hooned-Soojus'!$C:$I,2+$C26,FALSE) + VLOOKUP(V$10,'VK-Transport'!$C:$I,2+$B26,FALSE)+ VLOOKUP(V$10,'VK-Biokütused'!$C:$G,2+$E26,FALSE)+ VLOOKUP(V$10,'VK-Elekter'!$C:$I,2+$D26,FALSE)+ VLOOKUP(V$10,'VK-Põlevkivi'!$C:$I,2+$G26,FALSE)+ VLOOKUP(V$10,'VK-Võrgud'!$C:$I,2+$F26,FALSE)</f>
        <v>4.983530417072504E-3</v>
      </c>
      <c r="W26" s="226">
        <f>VLOOKUP(W$10,'VK-Hooned-Soojus'!$C:$I,2+$C26,FALSE) + VLOOKUP(W$10,'VK-Transport'!$C:$I,2+$B26,FALSE)+ VLOOKUP(W$10,'VK-Biokütused'!$C:$G,2+$E26,FALSE)+ VLOOKUP(W$10,'VK-Elekter'!$C:$I,2+$D26,FALSE)+ VLOOKUP(W$10,'VK-Põlevkivi'!$C:$I,2+$G26,FALSE)+ VLOOKUP(W$10,'VK-Võrgud'!$C:$I,2+$F26,FALSE)</f>
        <v>-1.2805851953787001E-2</v>
      </c>
      <c r="X26" s="226">
        <f>VLOOKUP(X$10,'VK-Hooned-Soojus'!$C:$I,2+$C26,FALSE) + VLOOKUP(X$10,'VK-Transport'!$C:$I,2+$B26,FALSE)+ VLOOKUP(X$10,'VK-Biokütused'!$C:$G,2+$E26,FALSE)+ VLOOKUP(X$10,'VK-Elekter'!$C:$I,2+$D26,FALSE)+ VLOOKUP(X$10,'VK-Põlevkivi'!$C:$I,2+$G26,FALSE)+ VLOOKUP(X$10,'VK-Võrgud'!$C:$I,2+$F26,FALSE)</f>
        <v>-1.0978676018761777E-2</v>
      </c>
      <c r="Y26" s="226">
        <f>VLOOKUP(Y$10,'VK-Hooned-Soojus'!$C:$I,2+$C26,FALSE) + VLOOKUP(Y$10,'VK-Transport'!$C:$I,2+$B26,FALSE)+ VLOOKUP(Y$10,'VK-Biokütused'!$C:$G,2+$E26,FALSE)+ VLOOKUP(Y$10,'VK-Elekter'!$C:$I,2+$D26,FALSE)+ VLOOKUP(Y$10,'VK-Põlevkivi'!$C:$I,2+$G26,FALSE)+ VLOOKUP(Y$10,'VK-Võrgud'!$C:$I,2+$F26,FALSE)</f>
        <v>-1.9517465554739134E-2</v>
      </c>
      <c r="Z26" s="227">
        <f>(S26*Tulemused!$Q$9*10+T26*Tulemused!$Q$10*10+KOMBI!U26*Tulemused!$Q$11*10+KOMBI!V26*Tulemused!$Q$12*10)*Tulemused!$Q$8+-(W26*Tulemused!$Q$14*10+KOMBI!X26*Tulemused!$Q$15*10+KOMBI!Y26*Tulemused!$Q$16*10)*Tulemused!$Q$13</f>
        <v>0.96483978949162208</v>
      </c>
      <c r="AA26" s="228">
        <f>(IF(AA$7="X",VLOOKUP(AA$10,'VK-Hooned-Soojus'!$C:$X,2+$C26,FALSE),0)+IF(AA$6="X",VLOOKUP(AA$10,'VK-Transport'!$C:$X,2+$B26,0))+IF(AA$8="X",VLOOKUP(AA$10,'VK-Elekter'!$C:$X,2+$D26,0))+IF(AA$9="X",VLOOKUP(AA$10,'VK-Biokütused'!$C:$U,2+$E26,0))+IF(AA$5="X",VLOOKUP(AA$10,'VK-Põlevkivi'!$C:$X,2+$G26,0))+IF(AA$4="X",VLOOKUP(AA$10,'VK-Võrgud'!$C:$X,2+$F26,0)))</f>
        <v>3729</v>
      </c>
      <c r="AB26" s="228">
        <f>(IF(AB$7="X",VLOOKUP(AB$10,'VK-Hooned-Soojus'!$C:$X,2+$C26,FALSE),0)+IF(AB$6="X",VLOOKUP(AB$10,'VK-Transport'!$C:$X,2+$B26,0))+IF(AB$8="X",VLOOKUP(AB$10,'VK-Elekter'!$C:$X,2+$D26,0))+IF(AB$9="X",VLOOKUP(AB$10,'VK-Biokütused'!$C:$U,2+$E26,0))+IF(AB$5="X",VLOOKUP(AB$10,'VK-Põlevkivi'!$C:$X,2+$G26,0))+IF(AB$4="X",VLOOKUP(AB$10,'VK-Võrgud'!$C:$X,2+$F26,0)))</f>
        <v>1337</v>
      </c>
      <c r="AC26" s="228">
        <f>(IF(AC$7="X",VLOOKUP(AC$10,'VK-Hooned-Soojus'!$C:$X,2+$C26,FALSE),0)+IF(AC$6="X",VLOOKUP(AC$10,'VK-Transport'!$C:$X,2+$B26,0))+IF(AC$8="X",VLOOKUP(AC$10,'VK-Elekter'!$C:$X,2+$D26,0))+IF(AC$9="X",VLOOKUP(AC$10,'VK-Biokütused'!$C:$U,2+$E26,0))+IF(AC$5="X",VLOOKUP(AC$10,'VK-Põlevkivi'!$C:$X,2+$G26,0))+IF(AC$4="X",VLOOKUP(AC$10,'VK-Võrgud'!$C:$X,2+$F26,0)))</f>
        <v>2346</v>
      </c>
      <c r="AD26" s="228">
        <f>(IF(AD$7="X",VLOOKUP(AD$10,'VK-Hooned-Soojus'!$C:$X,2+$C26,FALSE),0)+IF(AD$6="X",VLOOKUP(AD$10,'VK-Transport'!$C:$X,2+$B26,0))+IF(AD$8="X",VLOOKUP(AD$10,'VK-Elekter'!$C:$X,2+$D26,0))+IF(AD$9="X",VLOOKUP(AD$10,'VK-Biokütused'!$C:$U,2+$E26,0))+IF(AD$5="X",VLOOKUP(AD$10,'VK-Põlevkivi'!$C:$X,2+$G26,0))+IF(AD$4="X",VLOOKUP(AD$10,'VK-Võrgud'!$C:$X,2+$F26,0)))</f>
        <v>0</v>
      </c>
      <c r="AE26" s="228">
        <f>(IF(AE$7="X",VLOOKUP(AE$10,'VK-Hooned-Soojus'!$C:$X,2+$C26,FALSE),0)+IF(AE$6="X",VLOOKUP(AE$10,'VK-Transport'!$C:$X,2+$B26,0))+IF(AE$8="X",VLOOKUP(AE$10,'VK-Elekter'!$C:$X,2+$D26,0))+IF(AE$9="X",VLOOKUP(AE$10,'VK-Biokütused'!$C:$U,2+$E26,0))+IF(AE$5="X",VLOOKUP(AE$10,'VK-Põlevkivi'!$C:$X,2+$G26,0))+IF(AE$4="X",VLOOKUP(AE$10,'VK-Võrgud'!$C:$X,2+$F26,0)))</f>
        <v>666</v>
      </c>
      <c r="AF26" s="228">
        <f>(IF(AF$7="X",VLOOKUP(AF$10,'VK-Hooned-Soojus'!$C:$X,2+$C26,FALSE),0)+IF(AF$6="X",VLOOKUP(AF$10,'VK-Transport'!$C:$X,2+$B26,0))+IF(AF$8="X",VLOOKUP(AF$10,'VK-Elekter'!$C:$X,2+$D26,0))+IF(AF$9="X",VLOOKUP(AF$10,'VK-Biokütused'!$C:$U,2+$E26,0))+IF(AF$5="X",VLOOKUP(AF$10,'VK-Põlevkivi'!$C:$X,2+$G26,0))+IF(AF$4="X",VLOOKUP(AF$10,'VK-Võrgud'!$C:$X,2+$F26,0)))</f>
        <v>2490.6368215830603</v>
      </c>
      <c r="AG26" s="209"/>
      <c r="AH26" s="209">
        <f>IF(AH$7="X",VLOOKUP(AH$10,'VK-Hooned-Soojus'!$C:$X,2+$C26,FALSE),0)+IF(AH$6="X",VLOOKUP(AH$10,'VK-Transport'!$C:$X,2+$B26,0))+IF(AH$8="X",VLOOKUP(AH$10,'VK-Elekter'!$C:$X,2+$D26,0))+IF(AH$9="X",VLOOKUP(AH$10,'VK-Biokütused'!$C:$U,2+$E26,0))+IF(AH$5="X",VLOOKUP(AH$10,'VK-Põlevkivi'!$C:$X,2+$G26,0))+IF(AH$4="X",VLOOKUP(AH$10,'VK-Võrgud'!$C:$X,2+$F26,0))</f>
        <v>11.629999999999999</v>
      </c>
      <c r="AI26" s="209">
        <f>IF(AI$7="X",VLOOKUP(AI$10,'VK-Hooned-Soojus'!$C:$X,2+$C26,FALSE),0)+IF(AI$6="X",VLOOKUP(AI$10,'VK-Transport'!$C:$X,2+$B26,0))+IF(AI$8="X",VLOOKUP(AI$10,'VK-Elekter'!$C:$X,2+$D26,0))+IF(AI$9="X",VLOOKUP(AI$10,'VK-Biokütused'!$C:$U,2+$E26,0))+IF(AI$5="X",VLOOKUP(AI$10,'VK-Põlevkivi'!$C:$X,2+$G26,0))+IF(AI$4="X",VLOOKUP(AI$10,'VK-Võrgud'!$C:$X,2+$F26,0))</f>
        <v>2.3100000000000005</v>
      </c>
      <c r="AJ26" s="209">
        <f>IF(AJ$7="X",VLOOKUP(AJ$10,'VK-Hooned-Soojus'!$C:$X,2+$C26,FALSE),0)+IF(AJ$6="X",VLOOKUP(AJ$10,'VK-Transport'!$C:$X,2+$B26,0))+IF(AJ$8="X",VLOOKUP(AJ$10,'VK-Elekter'!$C:$X,2+$D26,0))+IF(AJ$9="X",VLOOKUP(AJ$10,'VK-Biokütused'!$C:$U,2+$E26,0))+IF(AJ$5="X",VLOOKUP(AJ$10,'VK-Põlevkivi'!$C:$X,2+$G26,0))+IF(AJ$4="X",VLOOKUP(AJ$10,'VK-Võrgud'!$C:$X,2+$F26,0))</f>
        <v>9.24</v>
      </c>
      <c r="AK26" s="209">
        <f>IF(AK$7="X",VLOOKUP(AK$10,'VK-Hooned-Soojus'!$C:$X,2+$C26,FALSE),0)+IF(AK$6="X",VLOOKUP(AK$10,'VK-Transport'!$C:$X,2+$B26,0))+IF(AK$8="X",VLOOKUP(AK$10,'VK-Elekter'!$C:$X,2+$D26,0))+IF(AK$9="X",VLOOKUP(AK$10,'VK-Biokütused'!$C:$U,2+$E26,0))+IF(AK$5="X",VLOOKUP(AK$10,'VK-Põlevkivi'!$C:$X,2+$G26,0))+IF(AK$4="X",VLOOKUP(AK$10,'VK-Võrgud'!$C:$X,2+$F26,0))</f>
        <v>2.78</v>
      </c>
      <c r="AL26" s="209">
        <f>IF(AL$7="X",VLOOKUP(AL$10,'VK-Hooned-Soojus'!$C:$X,2+$C26,FALSE),0)+IF(AL$6="X",VLOOKUP(AL$10,'VK-Transport'!$C:$X,2+$B26,0))+IF(AL$8="X",VLOOKUP(AL$10,'VK-Elekter'!$C:$X,2+$D26,0))+IF(AL$9="X",VLOOKUP(AL$10,'VK-Biokütused'!$C:$U,2+$E26,0))+IF(AL$5="X",VLOOKUP(AL$10,'VK-Põlevkivi'!$C:$X,2+$G26,0))+IF(AL$4="X",VLOOKUP(AL$10,'VK-Võrgud'!$C:$X,2+$F26,0))</f>
        <v>7.1999999999999993</v>
      </c>
      <c r="AM26" s="209">
        <f>IF(AM$7="X",VLOOKUP(AM$10,'VK-Hooned-Soojus'!$C:$X,2+$C26,FALSE),0)+IF(AM$6="X",VLOOKUP(AM$10,'VK-Transport'!$C:$X,2+$B26,0))+IF(AM$8="X",VLOOKUP(AM$10,'VK-Elekter'!$C:$X,2+$D26,0))+IF(AM$9="X",VLOOKUP(AM$10,'VK-Biokütused'!$C:$U,2+$E26,0))+IF(AM$5="X",VLOOKUP(AM$10,'VK-Põlevkivi'!$C:$X,2+$G26,0))+IF(AM$4="X",VLOOKUP(AM$10,'VK-Võrgud'!$C:$X,2+$F26,0))</f>
        <v>11.9</v>
      </c>
      <c r="AN26" s="209">
        <f>IF(AN$7="X",VLOOKUP(AN$10,'VK-Hooned-Soojus'!$C:$X,2+$C26,FALSE),0)+IF(AN$6="X",VLOOKUP(AN$10,'VK-Transport'!$C:$X,2+$B26,0))+IF(AN$8="X",VLOOKUP(AN$10,'VK-Elekter'!$C:$X,2+$D26,0))+IF(AN$9="X",VLOOKUP(AN$10,'VK-Biokütused'!$C:$U,2+$E26,0))+IF(AN$5="X",VLOOKUP(AN$10,'VK-Põlevkivi'!$C:$X,2+$G26,0))+IF(AN$4="X",VLOOKUP(AN$10,'VK-Võrgud'!$C:$X,2+$F26,0))</f>
        <v>4.8999999999999995</v>
      </c>
      <c r="AO26" s="209">
        <f>IF(AO$7="X",VLOOKUP(AO$10,'VK-Hooned-Soojus'!$C:$X,2+$C26,FALSE),0)+IF(AO$6="X",VLOOKUP(AO$10,'VK-Transport'!$C:$X,2+$B26,0))+IF(AO$8="X",VLOOKUP(AO$10,'VK-Elekter'!$C:$X,2+$D26,0))+IF(AO$9="X",VLOOKUP(AO$10,'VK-Biokütused'!$C:$U,2+$E26,0))+IF(AO$5="X",VLOOKUP(AO$10,'VK-Põlevkivi'!$C:$X,2+$G26,0))+IF(AO$4="X",VLOOKUP(AO$10,'VK-Võrgud'!$C:$X,2+$F26,0))</f>
        <v>12.56</v>
      </c>
      <c r="AP26" s="209">
        <f>IF(AP$7="X",VLOOKUP(AP$10,'VK-Hooned-Soojus'!$C:$X,2+$C26,FALSE),0)+IF(AP$6="X",VLOOKUP(AP$10,'VK-Transport'!$C:$X,2+$B26,0))+IF(AP$8="X",VLOOKUP(AP$10,'VK-Elekter'!$C:$X,2+$D26,0))+IF(AP$9="X",VLOOKUP(AP$10,'VK-Biokütused'!$C:$U,2+$E26,0))+IF(AP$5="X",VLOOKUP(AP$10,'VK-Põlevkivi'!$C:$X,2+$G26,0))+IF(AP$4="X",VLOOKUP(AP$10,'VK-Võrgud'!$C:$X,2+$F26,0))</f>
        <v>6.28</v>
      </c>
      <c r="AQ26" s="320">
        <f t="shared" si="14"/>
        <v>0.25999999999999979</v>
      </c>
      <c r="AR26" s="209">
        <f>IF(AR$7="X",VLOOKUP(AR$10,'VK-Hooned-Soojus'!$C:$X,2+$C26,FALSE),0)+IF(AR$6="X",VLOOKUP(AR$10,'VK-Transport'!$C:$X,2+$B26,0))+IF(AR$8="X",VLOOKUP(AR$10,'VK-Elekter'!$C:$X,2+$D26,0))+IF(AR$9="X",VLOOKUP(AR$10,'VK-Biokütused'!$C:$U,2+$E26,0))+IF(AR$5="X",VLOOKUP(AR$10,'VK-Põlevkivi'!$C:$X,2+$G26,0))+IF(AR$4="X",VLOOKUP(AR$10,'VK-Võrgud'!$C:$X,2+$F26,0))</f>
        <v>2.8899999999999997</v>
      </c>
      <c r="AS26" s="320">
        <f>VLOOKUP("Kütuste tarbimine @ 2030 - UTTEGAAS",'VK-Hooned-Soojus'!$C:$X,2+$C26,FALSE)/0.172+VLOOKUP("Kütuste tarbimine @ 2030 - UTTEGAAS",'VK-Elekter'!$C:$X,2+$D26,FALSE)/0.172-AR26-AU26</f>
        <v>2.8565116279069773</v>
      </c>
      <c r="AT26" s="209">
        <f>IF(AT$7="X",VLOOKUP(AT$10,'VK-Hooned-Soojus'!$C:$X,2+$C26,FALSE),0)+IF(AT$6="X",VLOOKUP(AT$10,'VK-Transport'!$C:$X,2+$B26,0))+IF(AT$8="X",VLOOKUP(AT$10,'VK-Elekter'!$C:$X,2+$D26,0))+IF(AT$9="X",VLOOKUP(AT$10,'VK-Biokütused'!$C:$U,2+$E26,0))+IF(AT$5="X",VLOOKUP(AT$10,'VK-Põlevkivi'!$C:$X,2+$G26,0))+IF(AT$4="X",VLOOKUP(AT$10,'VK-Võrgud'!$C:$X,2+$F26,0))</f>
        <v>12.004929222526066</v>
      </c>
      <c r="AU26" s="229">
        <f>MAX(0,(VLOOKUP("Kütuste tarbimine @ 2030 - UTTEGAAS",'VK-Hooned-Soojus'!$C:$X,2+$C26,FALSE)/0.172+VLOOKUP("Kütuste tarbimine @ 2030 - UTTEGAAS",'VK-Elekter'!$C:$X,2+$D26,FALSE)/0.172)*0.52-VLOOKUP("Kütuste tarbimine @ 2030 - PÕLEVKIVIÕLI",'VK-Hooned-Soojus'!$C:$X,2+$C26,FALSE))</f>
        <v>5.1837209302325586</v>
      </c>
      <c r="AV26" s="209">
        <f>IF(AV$7="X",VLOOKUP(AV$10,'VK-Hooned-Soojus'!$C:$X,2+$C26,FALSE),0)+IF(AV$6="X",VLOOKUP(AV$10,'VK-Transport'!$C:$X,2+$B26,0))+IF(AV$8="X",VLOOKUP(AV$10,'VK-Elekter'!$C:$X,2+$D26,0))+IF(AV$9="X",VLOOKUP(AV$10,'VK-Biokütused'!$C:$U,2+$E26,0))+IF(AV$5="X",VLOOKUP(AV$10,'VK-Põlevkivi'!$C:$X,2+$G26,0))+IF(AV$4="X",VLOOKUP(AV$10,'VK-Võrgud'!$C:$X,2+$F26,0))</f>
        <v>1.1831224847375093</v>
      </c>
      <c r="AW26" s="209">
        <f>IF(AW$7="X",VLOOKUP(AW$10,'VK-Hooned-Soojus'!$C:$X,2+$C26,FALSE),0)+IF(AW$6="X",VLOOKUP(AW$10,'VK-Transport'!$C:$X,2+$B26,0))+IF(AW$8="X",VLOOKUP(AW$10,'VK-Elekter'!$C:$X,2+$D26,0))+IF(AW$9="X",VLOOKUP(AW$10,'VK-Biokütused'!$C:$U,2+$E26,0))+IF(AW$5="X",VLOOKUP(AW$10,'VK-Põlevkivi'!$C:$X,2+$G26,0))+IF(AW$4="X",VLOOKUP(AW$10,'VK-Võrgud'!$C:$X,2+$F26,0))</f>
        <v>0</v>
      </c>
      <c r="AX26" s="229">
        <f t="shared" si="34"/>
        <v>0</v>
      </c>
      <c r="AY26" s="229">
        <f t="shared" si="15"/>
        <v>1.1831224847375093</v>
      </c>
      <c r="AZ26" s="230">
        <f t="shared" si="0"/>
        <v>0.60176978426984962</v>
      </c>
      <c r="BA26" s="209">
        <f>IF(BA$7="X",VLOOKUP(BA$10,'VK-Hooned-Soojus'!$C:$X,2+$C26,FALSE),0)+IF(BA$6="X",VLOOKUP(BA$10,'VK-Transport'!$C:$X,2+$B26,0))+IF(BA$8="X",VLOOKUP(BA$10,'VK-Elekter'!$C:$X,2+$D26,0))+IF(BA$9="X",VLOOKUP(BA$10,'VK-Biokütused'!$C:$U,2+$E26,0))+IF(BA$5="X",VLOOKUP(BA$10,'VK-Põlevkivi'!$C:$X,2+$G26,0))+IF(BA$4="X",VLOOKUP(BA$10,'VK-Võrgud'!$C:$X,2+$F26,0))</f>
        <v>4.25</v>
      </c>
      <c r="BB26" s="209">
        <f>IF(BB$7="X",VLOOKUP(BB$10,'VK-Hooned-Soojus'!$C:$X,2+$C26,FALSE),0)+IF(BB$6="X",VLOOKUP(BB$10,'VK-Transport'!$C:$X,2+$B26,0))+IF(BB$8="X",VLOOKUP(BB$10,'VK-Elekter'!$C:$X,2+$D26,0))+IF(BB$9="X",VLOOKUP(BB$10,'VK-Biokütused'!$C:$U,2+$E26,0))+IF(BB$5="X",VLOOKUP(BB$10,'VK-Põlevkivi'!$C:$X,2+$G26,0))+IF(BB$4="X",VLOOKUP(BB$10,'VK-Võrgud'!$C:$X,2+$F26,0))</f>
        <v>2.93</v>
      </c>
      <c r="BC26" s="209">
        <f>IF(BC$7="X",VLOOKUP(BC$10,'VK-Hooned-Soojus'!$C:$X,2+$C26,FALSE),0)+IF(BC$6="X",VLOOKUP(BC$10,'VK-Transport'!$C:$X,2+$B26,0))+IF(BC$8="X",VLOOKUP(BC$10,'VK-Elekter'!$C:$X,2+$D26,0))+IF(BC$9="X",VLOOKUP(BC$10,'VK-Biokütused'!$C:$U,2+$E26,0))+IF(BC$5="X",VLOOKUP(BC$10,'VK-Põlevkivi'!$C:$X,2+$G26,0))+IF(BC$4="X",VLOOKUP(BC$10,'VK-Võrgud'!$C:$X,2+$F26,0))</f>
        <v>6.5993333333333322</v>
      </c>
      <c r="BD26" s="209">
        <f>IF(BD$7="X",VLOOKUP(BD$10,'VK-Hooned-Soojus'!$C:$X,2+$C26,FALSE),0)+IF(BD$6="X",VLOOKUP(BD$10,'VK-Transport'!$C:$X,2+$B26,0))+IF(BD$8="X",VLOOKUP(BD$10,'VK-Elekter'!$C:$X,2+$D26,0))+IF(BD$9="X",VLOOKUP(BD$10,'VK-Biokütused'!$C:$U,2+$E26,0))+IF(BD$5="X",VLOOKUP(BD$10,'VK-Põlevkivi'!$C:$X,2+$G26,0))+IF(BD$4="X",VLOOKUP(BD$10,'VK-Võrgud'!$C:$X,2+$F26,0))</f>
        <v>9.425416666666667</v>
      </c>
      <c r="BE26" s="230"/>
      <c r="BF26" s="229">
        <f t="shared" si="16"/>
        <v>0.30502832668268498</v>
      </c>
      <c r="BG26" s="209" t="e">
        <f>(IF(BG$7="X",VLOOKUP(BG$10,'VK-Hooned-Soojus'!$C:$X,2+$C26,FALSE),0)+IF(BG$6="X",VLOOKUP(BG$10,'VK-Transport'!$C:$X,2+$B26,0))+IF(BG$8="X",VLOOKUP(BG$10,'VK-Elekter'!$C:$X,2+$D26,0))+IF(BG$9="X",VLOOKUP(BG$10,'VK-Biokütused'!$C:$U,2+$E26,0))+IF(BG$5="X",VLOOKUP(BG$10,'VK-Põlevkivi'!$C:$X,2+$G26,0))+IF(BG$4="X",VLOOKUP(BG$10,'VK-Võrgud'!$C:$X,2+$F26,0)))/20</f>
        <v>#N/A</v>
      </c>
      <c r="BH26" s="209">
        <f>(IF(BH$7="X",VLOOKUP(BH$10,'VK-Hooned-Soojus'!$C:$X,2+$C26,FALSE),0)+IF(BH$6="X",VLOOKUP(BH$10,'VK-Transport'!$C:$X,2+$B26,0))+IF(BH$8="X",VLOOKUP(BH$10,'VK-Elekter'!$C:$X,2+$D26,0))+IF(BH$9="X",VLOOKUP(BH$10,'VK-Biokütused'!$C:$U,2+$E26,0))+IF(BH$5="X",VLOOKUP(BH$10,'VK-Põlevkivi'!$C:$X,2+$G26,0))+IF(BH$4="X",VLOOKUP(BH$10,'VK-Võrgud'!$C:$X,2+$F26,0)))/20</f>
        <v>45.08</v>
      </c>
      <c r="BI26" s="209">
        <f>(IF(BI$7="X",VLOOKUP(BI$10,'VK-Hooned-Soojus'!$C:$X,2+$C26,FALSE),0)+IF(BI$6="X",VLOOKUP(BI$10,'VK-Transport'!$C:$X,2+$B26,0))+IF(BI$8="X",VLOOKUP(BI$10,'VK-Elekter'!$C:$X,2+$D26,0))+IF(BI$9="X",VLOOKUP(BI$10,'VK-Biokütused'!$C:$U,2+$E26,0))+IF(BI$5="X",VLOOKUP(BI$10,'VK-Põlevkivi'!$C:$X,2+$G26,0))+IF(BI$4="X",VLOOKUP(BI$10,'VK-Võrgud'!$C:$X,2+$F26,0)))/16</f>
        <v>14.1875</v>
      </c>
      <c r="BJ26" s="209">
        <f>(IF(BJ$7="X",VLOOKUP(BJ$10,'VK-Hooned-Soojus'!$C:$X,2+$C26,FALSE),0)+IF(BJ$6="X",VLOOKUP(BJ$10,'VK-Transport'!$C:$X,2+$B26,0))+IF(BJ$8="X",VLOOKUP(BJ$10,'VK-Elekter'!$C:$X,2+$D26,0))+IF(BJ$9="X",VLOOKUP(BJ$10,'VK-Biokütused'!$C:$U,2+$E26,0))+IF(BJ$5="X",VLOOKUP(BJ$10,'VK-Põlevkivi'!$C:$X,2+$G26,0))+IF(BJ$4="X",VLOOKUP(BJ$10,'VK-Võrgud'!$C:$X,2+$F26,0)))/20</f>
        <v>3.91</v>
      </c>
      <c r="BK26" s="209"/>
      <c r="BL26" s="209"/>
      <c r="BM26" s="209"/>
      <c r="BN26" s="209" t="e">
        <f>(IF(BN$7="X",VLOOKUP(BN$10,'VK-Hooned-Soojus'!$C:$X,2+$C26,FALSE),0)+IF(BN$6="X",VLOOKUP(BN$10,'VK-Transport'!$C:$X,2+$B26,0))+IF(BN$8="X",VLOOKUP(BN$10,'VK-Elekter'!$C:$X,2+$D26,0))+IF(BN$9="X",VLOOKUP(BN$10,'VK-Biokütused'!$C:$U,2+$E26,0))+IF(BN$5="X",VLOOKUP(BN$10,'VK-Põlevkivi'!$C:$X,2+$G26,0))+IF(BN$4="X",VLOOKUP(BN$10,'VK-Võrgud'!$C:$X,2+$F26,0)))/16</f>
        <v>#N/A</v>
      </c>
      <c r="BO26" s="209">
        <f>(IF(BO$7="X",VLOOKUP(BO$10,'VK-Hooned-Soojus'!$C:$X,2+$C26,FALSE),0)+IF(BO$6="X",VLOOKUP(BO$10,'VK-Transport'!$C:$X,2+$B26,0))+IF(BO$8="X",VLOOKUP(BO$10,'VK-Elekter'!$C:$X,2+$D26,0))+IF(BO$9="X",VLOOKUP(BO$10,'VK-Biokütused'!$C:$U,2+$E26,0))+IF(BO$5="X",VLOOKUP(BO$10,'VK-Põlevkivi'!$C:$X,2+$G26,0))+IF(BO$4="X",VLOOKUP(BO$10,'VK-Võrgud'!$C:$X,2+$F26,0)))/16</f>
        <v>496.33125000000001</v>
      </c>
      <c r="BP26" s="209"/>
      <c r="BQ26" s="209">
        <f>(IF(BQ$7="X",VLOOKUP(BQ$10,'VK-Hooned-Soojus'!$C:$X,2+$C26,FALSE),0)+IF(BQ$6="X",VLOOKUP(BQ$10,'VK-Transport'!$C:$X,2+$B26,0))+IF(BQ$8="X",VLOOKUP(BQ$10,'VK-Elekter'!$C:$X,2+$D26,0))+IF(BQ$9="X",VLOOKUP(BQ$10,'VK-Biokütused'!$C:$U,2+$E26,0))+IF(BQ$5="X",VLOOKUP(BQ$10,'VK-Põlevkivi'!$C:$X,2+$G26,0))+IF(BQ$4="X",VLOOKUP(BQ$10,'VK-Võrgud'!$C:$X,2+$F26,0)))/16</f>
        <v>4.7249999999999996</v>
      </c>
      <c r="BR26" s="209">
        <f>(IF(BR$7="X",VLOOKUP(BR$10,'VK-Hooned-Soojus'!$C:$X,2+$C26,FALSE),0)+IF(BR$6="X",VLOOKUP(BR$10,'VK-Transport'!$C:$X,2+$B26,0))+IF(BR$8="X",VLOOKUP(BR$10,'VK-Elekter'!$C:$X,2+$D26,0))+IF(BR$9="X",VLOOKUP(BR$10,'VK-Biokütused'!$C:$U,2+$E26,0))+IF(BR$5="X",VLOOKUP(BR$10,'VK-Põlevkivi'!$C:$X,2+$G26,0))+IF(BR$4="X",VLOOKUP(BR$10,'VK-Võrgud'!$C:$X,2+$F26,0)))/16</f>
        <v>-74.512500000000003</v>
      </c>
      <c r="BS26" s="209">
        <f>(IF(BS$7="X",VLOOKUP(BS$10,'VK-Hooned-Soojus'!$C:$X,2+$C26,FALSE),0)+IF(BS$6="X",VLOOKUP(BS$10,'VK-Transport'!$C:$X,2+$B26,0))+IF(BS$8="X",VLOOKUP(BS$10,'VK-Elekter'!$C:$X,2+$D26,0))+IF(BS$9="X",VLOOKUP(BS$10,'VK-Biokütused'!$C:$U,2+$E26,0))+IF(BS$5="X",VLOOKUP(BS$10,'VK-Põlevkivi'!$C:$X,2+$G26,0))+IF(BS$4="X",VLOOKUP(BS$10,'VK-Võrgud'!$C:$X,2+$F26,0)))/16</f>
        <v>-100.68125000000001</v>
      </c>
      <c r="BT26" s="209"/>
      <c r="BU26" s="209"/>
      <c r="BV26" s="209">
        <f>(IF(BV$7="X",VLOOKUP(BV$10,'VK-Hooned-Soojus'!$C:$X,2+$C26,FALSE),0)+IF(BV$6="X",VLOOKUP(BV$10,'VK-Transport'!$C:$X,2+$B26,0))+IF(BV$8="X",VLOOKUP(BV$10,'VK-Elekter'!$C:$X,2+$D26,0))+IF(BV$9="X",VLOOKUP(BV$10,'VK-Biokütused'!$C:$U,2+$E26,0))+IF(BV$5="X",VLOOKUP(BV$10,'VK-Põlevkivi'!$C:$X,2+$G26,0))+IF(BV$4="X",VLOOKUP(BV$10,'VK-Võrgud'!$C:$X,2+$F26,0)))/16</f>
        <v>0</v>
      </c>
      <c r="BW26" s="209"/>
      <c r="BX26" s="209">
        <f>(IF(BX$7="X",VLOOKUP(BX$10,'VK-Hooned-Soojus'!$C:$X,2+$C26,FALSE),0)+IF(BX$6="X",VLOOKUP(BX$10,'VK-Transport'!$C:$X,2+$B26,0))+IF(BX$8="X",VLOOKUP(BX$10,'VK-Elekter'!$C:$X,2+$D26,0))+IF(BX$9="X",VLOOKUP(BX$10,'VK-Biokütused'!$C:$U,2+$E26,0))+IF(BX$5="X",VLOOKUP(BX$10,'VK-Põlevkivi'!$C:$X,2+$G26,0))+IF(BX$4="X",VLOOKUP(BX$10,'VK-Võrgud'!$C:$X,2+$F26,0)))/16</f>
        <v>-99.6875</v>
      </c>
      <c r="BY26" s="209"/>
      <c r="BZ26" s="209"/>
      <c r="CA26" s="209" t="e">
        <f>(IF(CA$7="X",VLOOKUP(CA$10,'VK-Hooned-Soojus'!$C:$X,2+$C26,FALSE),0)+IF(CA$6="X",VLOOKUP(CA$10,'VK-Transport'!$C:$X,2+$B26,0))+IF(CA$8="X",VLOOKUP(CA$10,'VK-Elekter'!$C:$X,2+$D26,0))+IF(CA$9="X",VLOOKUP(CA$10,'VK-Biokütused'!$C:$U,2+$E26,0))+IF(CA$5="X",VLOOKUP(CA$10,'VK-Põlevkivi'!$C:$X,2+$G26,0))+IF(CA$4="X",VLOOKUP(CA$10,'VK-Võrgud'!$C:$X,2+$F26,0)))/16</f>
        <v>#N/A</v>
      </c>
      <c r="CB26" s="209">
        <f>(IF(CB$7="X",VLOOKUP(CB$10,'VK-Hooned-Soojus'!$C:$X,2+$C26,FALSE),0)+IF(CB$6="X",VLOOKUP(CB$10,'VK-Transport'!$C:$X,2+$B26,0))+IF(CB$8="X",VLOOKUP(CB$10,'VK-Elekter'!$C:$X,2+$D26,0))+IF(CB$9="X",VLOOKUP(CB$10,'VK-Biokütused'!$C:$U,2+$E26,0))+IF(CB$5="X",VLOOKUP(CB$10,'VK-Põlevkivi'!$C:$X,2+$G26,0))+IF(CB$4="X",VLOOKUP(CB$10,'VK-Võrgud'!$C:$X,2+$F26,0)))/16</f>
        <v>0</v>
      </c>
      <c r="CC26" s="209">
        <f>(IF(CC$7="X",VLOOKUP(CC$10,'VK-Hooned-Soojus'!$C:$X,2+$C26,FALSE),0)+IF(CC$6="X",VLOOKUP(CC$10,'VK-Transport'!$C:$X,2+$B26,0))+IF(CC$8="X",VLOOKUP(CC$10,'VK-Elekter'!$C:$X,2+$D26,0))+IF(CC$9="X",VLOOKUP(CC$10,'VK-Biokütused'!$C:$U,2+$E26,0))+IF(CC$5="X",VLOOKUP(CC$10,'VK-Põlevkivi'!$C:$X,2+$G26,0))+IF(CC$4="X",VLOOKUP(CC$10,'VK-Võrgud'!$C:$X,2+$F26,0)))/16</f>
        <v>0</v>
      </c>
      <c r="CD26" s="209"/>
      <c r="CE26" s="209">
        <f>(IF(CE$7="X",VLOOKUP(CE$10,'VK-Hooned-Soojus'!$C:$X,2+$C26,FALSE),0)+IF(CE$6="X",VLOOKUP(CE$10,'VK-Transport'!$C:$X,2+$B26,0))+IF(CE$8="X",VLOOKUP(CE$10,'VK-Elekter'!$C:$X,2+$D26,0))+IF(CE$9="X",VLOOKUP(CE$10,'VK-Biokütused'!$C:$U,2+$E26,0))+IF(CE$5="X",VLOOKUP(CE$10,'VK-Põlevkivi'!$C:$X,2+$G26,0))+IF(CE$4="X",VLOOKUP(CE$10,'VK-Võrgud'!$C:$X,2+$F26,0)))/16</f>
        <v>24.15625</v>
      </c>
      <c r="CF26" s="209"/>
      <c r="CG26" s="209">
        <f>(IF(CG$7="X",VLOOKUP(CG$10,'VK-Hooned-Soojus'!$C:$X,2+$C26,FALSE),0)+IF(CG$6="X",VLOOKUP(CG$10,'VK-Transport'!$C:$X,2+$B26,0))+IF(CG$8="X",VLOOKUP(CG$10,'VK-Elekter'!$C:$X,2+$D26,0))+IF(CG$9="X",VLOOKUP(CG$10,'VK-Biokütused'!$C:$U,2+$E26,0))+IF(CG$5="X",VLOOKUP(CG$10,'VK-Põlevkivi'!$C:$X,2+$G26,0))+IF(CG$4="X",VLOOKUP(CG$10,'VK-Võrgud'!$C:$X,2+$F26,0)))/16</f>
        <v>0</v>
      </c>
      <c r="CH26" s="209">
        <f>(IF(CH$7="X",VLOOKUP(CH$10,'VK-Hooned-Soojus'!$C:$X,2+$C26,FALSE),0)+IF(CH$6="X",VLOOKUP(CH$10,'VK-Transport'!$C:$X,2+$B26,0))+IF(CH$8="X",VLOOKUP(CH$10,'VK-Elekter'!$C:$X,2+$D26,0))+IF(CH$9="X",VLOOKUP(CH$10,'VK-Biokütused'!$C:$U,2+$E26,0))+IF(CH$5="X",VLOOKUP(CH$10,'VK-Põlevkivi'!$C:$X,2+$G26,0))+IF(CH$4="X",VLOOKUP(CH$10,'VK-Võrgud'!$C:$X,2+$F26,0)))/20*0.21</f>
        <v>11.225549999999998</v>
      </c>
      <c r="CI26" s="209"/>
      <c r="CJ26" s="209">
        <f>(IF(CJ$7="X",VLOOKUP(CJ$10,'VK-Hooned-Soojus'!$C:$X,2+$C26,FALSE),0)+IF(CJ$6="X",VLOOKUP(CJ$10,'VK-Transport'!$C:$X,2+$B26,0))+IF(CJ$8="X",VLOOKUP(CJ$10,'VK-Elekter'!$C:$X,2+$D26,0))+IF(CJ$9="X",VLOOKUP(CJ$10,'VK-Biokütused'!$C:$U,2+$E26,0))+IF(CJ$5="X",VLOOKUP(CJ$10,'VK-Põlevkivi'!$C:$X,2+$G26,0))+IF(CJ$4="X",VLOOKUP(CJ$10,'VK-Võrgud'!$C:$X,2+$F26,0)))/1000</f>
        <v>19.289000000000001</v>
      </c>
      <c r="CK26" s="209">
        <f>(IF(CK$7="X",VLOOKUP(CK$10,'VK-Hooned-Soojus'!$C:$X,2+$C26,FALSE),0)+IF(CK$6="X",VLOOKUP(CK$10,'VK-Transport'!$C:$X,2+$B26,0))+IF(CK$8="X",VLOOKUP(CK$10,'VK-Elekter'!$C:$X,2+$D26,0))+IF(CK$9="X",VLOOKUP(CK$10,'VK-Biokütused'!$C:$U,2+$E26,0))+IF(CK$5="X",VLOOKUP(CK$10,'VK-Põlevkivi'!$C:$X,2+$G26,0))+IF(CK$4="X",VLOOKUP(CK$10,'VK-Võrgud'!$C:$X,2+$F26,0)))/1000</f>
        <v>11.87654313437131</v>
      </c>
      <c r="CL26" s="235">
        <f>(IF(CL$7="X",VLOOKUP(CL$10,'VK-Hooned-Soojus'!$C:$X,2+$C26,FALSE),0)+IF(CL$6="X",VLOOKUP(CL$10,'VK-Transport'!$C:$X,2+$B26,0))+IF(CL$8="X",VLOOKUP(CL$10,'VK-Elekter'!$C:$X,2+$D26,0))+IF(CL$9="X",VLOOKUP(CL$10,'VK-Biokütused'!$C:$U,2+$E26,0)))/1000</f>
        <v>9.1482332703934581</v>
      </c>
      <c r="CM26" s="209">
        <f>(IF(CM$7="X",VLOOKUP(CM$10,'VK-Hooned-Soojus'!$C:$X,2+$C26,FALSE),0)+IF(CM$6="X",VLOOKUP(CM$10,'VK-Transport'!$C:$X,2+$B26,0))+IF(CM$8="X",VLOOKUP(CM$10,'VK-Elekter'!$C:$X,2+$D26,0))+IF(CM$9="X",VLOOKUP(CM$10,'VK-Biokütused'!$C:$U,2+$E26,0))+IF(CM$5="X",VLOOKUP(CM$10,'VK-Põlevkivi'!$C:$X,2+$G26,0))+IF(CM$4="X",VLOOKUP(CM$10,'VK-Võrgud'!$C:$X,2+$F26,0)))/1000</f>
        <v>7.7960000000000003</v>
      </c>
      <c r="CN26" s="209">
        <f>(IF(CN$7="X",VLOOKUP(CN$10,'VK-Hooned-Soojus'!$C:$X,2+$C26,FALSE),0)+IF(CN$6="X",VLOOKUP(CN$10,'VK-Transport'!$C:$X,2+$B26,0))+IF(CN$8="X",VLOOKUP(CN$10,'VK-Elekter'!$C:$X,2+$D26,0))+IF(CN$9="X",VLOOKUP(CN$10,'VK-Biokütused'!$C:$U,2+$E26,0))+IF(CN$5="X",VLOOKUP(CN$10,'VK-Põlevkivi'!$C:$X,2+$G26,0))+IF(CN$4="X",VLOOKUP(CN$10,'VK-Võrgud'!$C:$X,2+$F26,0)))/1000</f>
        <v>2.851</v>
      </c>
      <c r="CO26" s="209">
        <f>(IF(CO$7="X",VLOOKUP(CO$10,'VK-Hooned-Soojus'!$C:$X,2+$C26,FALSE),0)+IF(CO$6="X",VLOOKUP(CO$10,'VK-Transport'!$C:$X,2+$B26,0))+IF(CO$8="X",VLOOKUP(CO$10,'VK-Elekter'!$C:$X,2+$D26,0))+IF(CO$9="X",VLOOKUP(CO$10,'VK-Biokütused'!$C:$U,2+$E26,0))+IF(CO$5="X",VLOOKUP(CO$10,'VK-Põlevkivi'!$C:$X,2+$G26,0))+IF(CO$4="X",VLOOKUP(CO$10,'VK-Võrgud'!$C:$X,2+$F26,0)))/1000</f>
        <v>25.291649773285457</v>
      </c>
      <c r="CP26" s="209">
        <f>(IF(CP$7="X",VLOOKUP(CP$10,'VK-Hooned-Soojus'!$C:$X,2+$C26,FALSE),0)+IF(CP$6="X",VLOOKUP(CP$10,'VK-Transport'!$C:$X,2+$B26,0))+IF(CP$8="X",VLOOKUP(CP$10,'VK-Elekter'!$C:$X,2+$D26,0))+IF(CP$9="X",VLOOKUP(CP$10,'VK-Biokütused'!$C:$U,2+$E26,0))+IF(CP$5="X",VLOOKUP(CP$10,'VK-Põlevkivi'!$C:$X,2+$G26,0))+IF(CP$4="X",VLOOKUP(CP$10,'VK-Võrgud'!$C:$X,2+$F26,0)))/1000</f>
        <v>13.443948584295613</v>
      </c>
      <c r="CQ26" s="235">
        <f>(IF(CQ$7="X",VLOOKUP(CQ$10,'VK-Hooned-Soojus'!$C:$X,2+$C26,FALSE),0)+IF(CQ$6="X",VLOOKUP(CQ$10,'VK-Transport'!$C:$X,2+$B26,0))+IF(CQ$8="X",VLOOKUP(CQ$10,'VK-Elekter'!$C:$X,2+$D26,0))+IF(CQ$9="X",VLOOKUP(CQ$10,'VK-Biokütused'!$C:$U,2+$E26,0)))/1000</f>
        <v>10.965907</v>
      </c>
      <c r="CR26" s="209">
        <f>(IF(CR$7="X",VLOOKUP(CR$10,'VK-Hooned-Soojus'!$C:$X,2+$C26,FALSE),0)+IF(CR$6="X",VLOOKUP(CR$10,'VK-Transport'!$C:$X,2+$B26,0))+IF(CR$8="X",VLOOKUP(CR$10,'VK-Elekter'!$C:$X,2+$D26,0))+IF(CR$9="X",VLOOKUP(CR$10,'VK-Biokütused'!$C:$U,2+$E26,0))+IF(CR$5="X",VLOOKUP(CR$10,'VK-Põlevkivi'!$C:$X,2+$G26,0))+IF(CR$4="X",VLOOKUP(CR$10,'VK-Võrgud'!$C:$X,2+$F26,0)))/1000</f>
        <v>7.8937533562748037</v>
      </c>
      <c r="CS26" s="209">
        <f>(IF(CS$7="X",VLOOKUP(CS$10,'VK-Hooned-Soojus'!$C:$X,2+$C26,FALSE),0)+IF(CS$6="X",VLOOKUP(CS$10,'VK-Transport'!$C:$X,2+$B26,0))+IF(CS$8="X",VLOOKUP(CS$10,'VK-Elekter'!$C:$X,2+$D26,0))+IF(CS$9="X",VLOOKUP(CS$10,'VK-Biokütused'!$C:$U,2+$E26,0))+IF(CS$5="X",VLOOKUP(CS$10,'VK-Põlevkivi'!$C:$X,2+$G26,0))+IF(CS$4="X",VLOOKUP(CS$10,'VK-Võrgud'!$C:$X,2+$F26,0)))/1000</f>
        <v>3.966152405121615</v>
      </c>
      <c r="CT26" s="209">
        <f>IF(CT$7="X",VLOOKUP(CT$10,'VK-Hooned-Soojus'!$C:$X,2+$C26,FALSE),0)+IF(CT$6="X",VLOOKUP(CT$10,'VK-Transport'!$C:$X,2+$B26,0))+IF(CT$8="X",VLOOKUP(CT$10,'VK-Elekter'!$C:$X,2+$D26,0))+IF(CT$9="X",VLOOKUP(CT$10,'VK-Biokütused'!$C:$U,2+$E26,0))+IF(CT$5="X",VLOOKUP(CT$10,'VK-Põlevkivi'!$C:$X,2+$G26,0))+IF(CT$4="X",VLOOKUP(CT$10,'VK-Võrgud'!$C:$X,2+$F26,0))</f>
        <v>90</v>
      </c>
      <c r="CU26" s="209">
        <f>IF(CU$7="X",VLOOKUP(CU$10,'VK-Hooned-Soojus'!$C:$X,2+$C26,FALSE),0)+IF(CU$6="X",VLOOKUP(CU$10,'VK-Transport'!$C:$X,2+$B26,0))+IF(CU$8="X",VLOOKUP(CU$10,'VK-Elekter'!$C:$X,2+$D26,0))+IF(CU$9="X",VLOOKUP(CU$10,'VK-Biokütused'!$C:$U,2+$E26,0))+IF(CU$5="X",VLOOKUP(CU$10,'VK-Põlevkivi'!$C:$X,2+$G26,0))+IF(CU$4="X",VLOOKUP(CU$10,'VK-Võrgud'!$C:$X,2+$F26,0))</f>
        <v>0.72088353413654627</v>
      </c>
      <c r="CV26" s="209">
        <f t="shared" si="1"/>
        <v>1</v>
      </c>
      <c r="CW26" s="209">
        <f>(IF(CW$7="X",VLOOKUP(CW$10,'VK-Hooned-Soojus'!$C:$X,2+$C26,FALSE),0)+IF(CW$6="X",VLOOKUP(CW$10,'VK-Transport'!$C:$X,2+$B26,0))+IF(CW$8="X",VLOOKUP(CW$10,'VK-Elekter'!$C:$X,2+$D26,0))+IF(CW$9="X",VLOOKUP(CW$10,'VK-Biokütused'!$C:$U,2+$E26,0))+IF(CW$5="X",VLOOKUP(CW$10,'VK-Põlevkivi'!$C:$X,2+$G26,0))+IF(CW$4="X",VLOOKUP(CW$10,'VK-Võrgud'!$C:$X,2+$F26,0)))/16</f>
        <v>0</v>
      </c>
      <c r="CY26" s="209">
        <f>(IF(CY$7="X",VLOOKUP(CY$10,'VK-Hooned-Soojus'!$C:$X,2+$C26,FALSE),0)+IF(CY$6="X",VLOOKUP(CY$10,'VK-Transport'!$C:$X,2+$B26,0))+IF(CY$8="X",VLOOKUP(CY$10,'VK-Elekter'!$C:$X,2+$D26,0))+IF(CY$9="X",VLOOKUP(CY$10,'VK-Biokütused'!$C:$U,2+$E26,0))+IF(CY$5="X",VLOOKUP(CY$10,'VK-Põlevkivi'!$C:$X,2+$G26,0))+IF(CY$4="X",VLOOKUP(CY$10,'VK-Võrgud'!$C:$X,2+$F26,0)))/1000</f>
        <v>10.851000000000001</v>
      </c>
      <c r="CZ26" s="209">
        <f>(IF(CZ$7="X",VLOOKUP(CZ$10,'VK-Hooned-Soojus'!$C:$X,2+$C26,FALSE),0)+IF(CZ$6="X",VLOOKUP(CZ$10,'VK-Transport'!$C:$X,2+$B26,0))+IF(CZ$8="X",VLOOKUP(CZ$10,'VK-Elekter'!$C:$X,2+$D26,0))+IF(CZ$9="X",VLOOKUP(CZ$10,'VK-Biokütused'!$C:$U,2+$E26,0))+IF(CZ$5="X",VLOOKUP(CZ$10,'VK-Põlevkivi'!$C:$X,2+$G26,0))+IF(CZ$4="X",VLOOKUP(CZ$10,'VK-Võrgud'!$C:$X,2+$F26,0)))</f>
        <v>74</v>
      </c>
      <c r="DA26" s="209">
        <f>(IF(DA$7="X",VLOOKUP(DA$10,'VK-Hooned-Soojus'!$C:$X,2+$C26,FALSE),0)+IF(DA$6="X",VLOOKUP(DA$10,'VK-Transport'!$C:$X,2+$B26,0))+IF(DA$8="X",VLOOKUP(DA$10,'VK-Elekter'!$C:$X,2+$D26,0))+IF(DA$9="X",VLOOKUP(DA$10,'VK-Biokütused'!$C:$U,2+$E26,0))+IF(DA$5="X",VLOOKUP(DA$10,'VK-Põlevkivi'!$C:$X,2+$G26,0))+IF(DA$4="X",VLOOKUP(DA$10,'VK-Võrgud'!$C:$X,2+$F26,0)))/1000</f>
        <v>14.522</v>
      </c>
      <c r="DB26" s="209">
        <f>(IF(DB$7="X",VLOOKUP(DB$10,'VK-Hooned-Soojus'!$C:$X,2+$C26,FALSE),0)+IF(DB$6="X",VLOOKUP(DB$10,'VK-Transport'!$C:$X,2+$B26,0))+IF(DB$8="X",VLOOKUP(DB$10,'VK-Elekter'!$C:$X,2+$D26,0))+IF(DB$9="X",VLOOKUP(DB$10,'VK-Biokütused'!$C:$U,2+$E26,0))+IF(DB$5="X",VLOOKUP(DB$10,'VK-Põlevkivi'!$C:$X,2+$G26,0))+IF(DB$4="X",VLOOKUP(DB$10,'VK-Võrgud'!$C:$X,2+$F26,0)))/1000/3.6</f>
        <v>65.046944444444449</v>
      </c>
      <c r="DC26" s="209">
        <f>(IF(DC$7="X",VLOOKUP(DC$10,'VK-Hooned-Soojus'!$C:$X,2+$C26,FALSE),0)+IF(DC$6="X",VLOOKUP(DC$10,'VK-Transport'!$C:$X,2+$B26,0))+IF(DC$8="X",VLOOKUP(DC$10,'VK-Elekter'!$C:$X,2+$D26,0))+IF(DC$9="X",VLOOKUP(DC$10,'VK-Biokütused'!$C:$U,2+$E26,0))+IF(DC$5="X",VLOOKUP(DC$10,'VK-Põlevkivi'!$C:$X,2+$G26,0))+IF(DC$4="X",VLOOKUP(DC$10,'VK-Võrgud'!$C:$X,2+$F26,0)))/1000000</f>
        <v>5.2099929999999999</v>
      </c>
      <c r="DD26" s="209"/>
      <c r="DE26" s="88">
        <f>VLOOKUP(Tulemused!$BN$12,data!M$7:N$12,2,FALSE)-SUM(L26,M26)</f>
        <v>-2.6566444444444528</v>
      </c>
      <c r="DF26" s="209" t="str">
        <f>IF(AZ26&lt;=VLOOKUP(Tulemused!$BN$15,data!$E$36:$F$39,2,FALSE),"JAH","EI")</f>
        <v>JAH</v>
      </c>
      <c r="DG26" s="209"/>
      <c r="DH26" s="209">
        <f t="shared" si="2"/>
        <v>6.28</v>
      </c>
      <c r="DI26" s="231" t="str">
        <f t="shared" si="17"/>
        <v>EI</v>
      </c>
      <c r="DK26" s="232">
        <f t="shared" si="3"/>
        <v>-999.03516021050837</v>
      </c>
      <c r="DM26" s="233">
        <f t="shared" si="4"/>
        <v>-988.25702786496038</v>
      </c>
      <c r="DN26" s="87">
        <f t="array" ref="DN26">INDEX($A$11:$A$145, SMALL(IF(DM26=$DK$11:$DK$145, MATCH(ROW($DK$11:$DK$145), ROW($DK$11:$DK$145))), SUM(--(DM26=$DM$11:DM26))))</f>
        <v>117</v>
      </c>
      <c r="DP26" s="87" t="e">
        <f t="shared" ca="1" si="18"/>
        <v>#N/A</v>
      </c>
      <c r="DQ26" s="87" t="e">
        <f t="shared" ca="1" si="19"/>
        <v>#N/A</v>
      </c>
      <c r="DR26" s="87">
        <f t="shared" ca="1" si="20"/>
        <v>0</v>
      </c>
      <c r="DS26" s="87" t="e">
        <f t="shared" ca="1" si="21"/>
        <v>#N/A</v>
      </c>
      <c r="DT26" s="87">
        <f t="shared" ca="1" si="22"/>
        <v>0</v>
      </c>
      <c r="DU26" s="87" t="e">
        <f t="shared" ca="1" si="23"/>
        <v>#N/A</v>
      </c>
      <c r="DV26" s="87" t="e">
        <f t="shared" ca="1" si="24"/>
        <v>#N/A</v>
      </c>
      <c r="DW26" s="87">
        <f t="shared" ca="1" si="25"/>
        <v>0</v>
      </c>
      <c r="DX26" s="87">
        <f t="shared" ca="1" si="26"/>
        <v>0</v>
      </c>
      <c r="DZ26" s="87">
        <f t="shared" ca="1" si="5"/>
        <v>0</v>
      </c>
      <c r="EB26" s="87">
        <f t="shared" ca="1" si="27"/>
        <v>0</v>
      </c>
      <c r="EC26" s="87" t="e">
        <f t="shared" ca="1" si="28"/>
        <v>#N/A</v>
      </c>
      <c r="EE26" s="228">
        <f>(IF(EE$7="X",VLOOKUP(EE$10,'VK-Hooned-Soojus'!$C:$X,2+$C26,FALSE),0)+IF(EE$6="X",VLOOKUP(EE$10,'VK-Transport'!$C:$X,2+$B26,0))+IF(EE$8="X",VLOOKUP(EE$10,'VK-Elekter'!$C:$X,2+$D26,0))+IF(EE$9="X",VLOOKUP(EE$10,'VK-Biokütused'!$C:$U,2+$E26,0))+IF(EE$5="X",VLOOKUP(EE$10,'VK-Põlevkivi'!$C:$X,2+$G26,0))+IF(EE$4="X",VLOOKUP(EE$10,'VK-Võrgud'!$C:$X,2+$F26,0)))</f>
        <v>1923.3462155974839</v>
      </c>
      <c r="EF26" s="235">
        <f>(IF(EF$7="X",VLOOKUP(EF$10,'VK-Hooned-Soojus'!$C:$X,2+$C26,FALSE),0)+IF(EF$6="X",VLOOKUP(EF$10,'VK-Transport'!$C:$X,2+$B26,0))+IF(EF$8="X",VLOOKUP(EF$10,'VK-Elekter'!$C:$X,2+$D26,0))+IF(EF$9="X",VLOOKUP(EF$10,'VK-Biokütused'!$C:$U,2+$E26,0)))/1000</f>
        <v>4.9416368215830611</v>
      </c>
      <c r="EG26" s="209">
        <f>(IF(EG$7="X",VLOOKUP(EG$10,'VK-Hooned-Soojus'!$C:$X,2+$C26,FALSE),0)+IF(EG$6="X",VLOOKUP(EG$10,'VK-Transport'!$C:$X,2+$B26,0))+IF(EG$8="X",VLOOKUP(EG$10,'VK-Elekter'!$C:$X,2+$D26,0))+IF(EG$9="X",VLOOKUP(EG$10,'VK-Biokütused'!$C:$U,2+$E26,0))+IF(EG$5="X",VLOOKUP(EG$10,'VK-Põlevkivi'!$C:$X,2+$G26,0))+IF(EG$4="X",VLOOKUP(EG$10,'VK-Võrgud'!$C:$X,2+$F26,0)))</f>
        <v>0.81</v>
      </c>
      <c r="EH26" s="209">
        <f>(IF(EH$7="X",VLOOKUP(EH$10,'VK-Hooned-Soojus'!$C:$X,2+$C26,FALSE),0)+IF(EH$6="X",VLOOKUP(EH$10,'VK-Transport'!$C:$X,2+$B26,0))+IF(EH$8="X",VLOOKUP(EH$10,'VK-Elekter'!$C:$X,2+$D26,0))+IF(EH$9="X",VLOOKUP(EH$10,'VK-Biokütused'!$C:$U,2+$E26,0)))+AR26+AS26+AU26+AX26</f>
        <v>55.648288113695088</v>
      </c>
      <c r="EI26" s="320">
        <f t="shared" si="6"/>
        <v>50.464567183462528</v>
      </c>
      <c r="EJ26" s="322">
        <f t="shared" si="7"/>
        <v>2.1267750475898739E-2</v>
      </c>
      <c r="EK26" s="323">
        <f t="shared" si="29"/>
        <v>0.35547441046944428</v>
      </c>
      <c r="EM26" s="209"/>
      <c r="EN26" s="209">
        <f t="shared" ca="1" si="8"/>
        <v>0</v>
      </c>
      <c r="EO26" s="209"/>
      <c r="EP26" s="234"/>
      <c r="EQ26" s="209">
        <f>(IF(EQ$7="X",VLOOKUP(EQ$10,'VK-Hooned-Soojus'!$C:$X,2+$C26,FALSE),0)+IF(EQ$6="X",VLOOKUP(EQ$10,'VK-Transport'!$C:$X,2+$B26,0))+IF(EQ$8="X",VLOOKUP(EQ$10,'VK-Elekter'!$C:$X,2+$D26,0))+IF(EQ$9="X",VLOOKUP(EQ$10,'VK-Biokütused'!$C:$U,2+$E26,0))+IF(EQ$5="X",VLOOKUP(EQ$10,'VK-Põlevkivi'!$C:$X,2+$G26,0))+IF(EQ$4="X",VLOOKUP(EQ$10,'VK-Võrgud'!$C:$X,2+$F26,0)))/1000</f>
        <v>0.21099999999999999</v>
      </c>
      <c r="ER26" s="209">
        <f>(IF(ER$7="X",VLOOKUP(ER$10,'VK-Hooned-Soojus'!$C:$X,2+$C26,FALSE),0)+IF(ER$6="X",VLOOKUP(ER$10,'VK-Transport'!$C:$X,2+$B26,0))+IF(ER$8="X",VLOOKUP(ER$10,'VK-Elekter'!$C:$X,2+$D26,0))+IF(ER$9="X",VLOOKUP(ER$10,'VK-Biokütused'!$C:$U,2+$E26,0))+IF(ER$5="X",VLOOKUP(ER$10,'VK-Põlevkivi'!$C:$X,2+$G26,0))+IF(ER$4="X",VLOOKUP(ER$10,'VK-Võrgud'!$C:$X,2+$F26,0)))</f>
        <v>0.76300000000000001</v>
      </c>
      <c r="ES26" s="209">
        <f>(IF(ES$7="X",VLOOKUP(ES$10,'VK-Hooned-Soojus'!$C:$X,2+$C26,FALSE),0)+IF(ES$6="X",VLOOKUP(ES$10,'VK-Transport'!$C:$X,2+$B26,0))+IF(ES$8="X",VLOOKUP(ES$10,'VK-Elekter'!$C:$X,2+$D26,0))+IF(ES$9="X",VLOOKUP(ES$10,'VK-Biokütused'!$C:$U,2+$E26,0))+IF(ES$5="X",VLOOKUP(ES$10,'VK-Põlevkivi'!$C:$X,2+$G26,0))+IF(ES$4="X",VLOOKUP(ES$10,'VK-Võrgud'!$C:$X,2+$F26,0)))</f>
        <v>6.28</v>
      </c>
      <c r="ET26" s="209"/>
      <c r="EU26" s="209"/>
      <c r="EV26" s="87">
        <f>'KSH järjestus'!AS19</f>
        <v>2090</v>
      </c>
      <c r="EX26" s="236"/>
      <c r="EY26" s="236"/>
      <c r="EZ26" s="237">
        <f t="shared" si="9"/>
        <v>0.27911646586345373</v>
      </c>
      <c r="FA26" s="209">
        <f>IF(FA$7="X",VLOOKUP(FA$10,'VK-Hooned-Soojus'!$C:$X,2+$C26,FALSE),0)+IF(FA$6="X",VLOOKUP(FA$10,'VK-Transport'!$C:$X,2+$B26,0))+IF(FA$8="X",VLOOKUP(FA$10,'VK-Elekter'!$C:$X,2+$D26,0))+IF(FA$9="X",VLOOKUP(FA$10,'VK-Biokütused'!$C:$U,2+$E26,0))+IF(FA$5="X",VLOOKUP(FA$10,'VK-Põlevkivi'!$C:$X,2+$G26,0))+IF(FA$4="X",VLOOKUP(FA$10,'VK-Võrgud'!$C:$X,2+$F26,0))</f>
        <v>3369.9070000000002</v>
      </c>
      <c r="FB26" s="279">
        <f>(IF(FB$7="X",VLOOKUP(FB$10,'VK-Hooned-Soojus'!$C:$X,2+$C26,FALSE),0)+IF(FB$6="X",VLOOKUP(FB$10,'VK-Transport'!$C:$X,2+$B26,0))+IF(FB$8="X",VLOOKUP(FB$10,'VK-Elekter'!$C:$X,2+$D26,0))+IF(FB$9="X",VLOOKUP(FB$10,'VK-Biokütused'!$C:$U,2+$E26,0))+IF(FB$5="X",VLOOKUP(FB$10,'VK-Põlevkivi'!$C:$X,2+$G26,0))+IF(FB$4="X",VLOOKUP(FB$10,'VK-Võrgud'!$C:$X,2+$F26,0)))/16</f>
        <v>102.15504074879252</v>
      </c>
      <c r="FC26" s="209">
        <f>IF(FC$7="X",VLOOKUP(FC$10,'VK-Hooned-Soojus'!$C:$X,2+$C26,FALSE),0)+IF(FC$6="X",VLOOKUP(FC$10,'VK-Transport'!$C:$X,2+$B26,0))+IF(FC$8="X",VLOOKUP(FC$10,'VK-Elekter'!$C:$X,2+$D26,0))+IF(FC$9="X",VLOOKUP(FC$10,'VK-Biokütused'!$C:$U,2+$E26,0))+IF(FC$5="X",VLOOKUP(FC$10,'VK-Põlevkivi'!$C:$X,2+$G26,0))+IF(FC$4="X",VLOOKUP(FC$10,'VK-Võrgud'!$C:$X,2+$F26,0))</f>
        <v>318.5</v>
      </c>
      <c r="FD26" s="209">
        <f>(IF(FD$7="X",VLOOKUP(FD$10,'VK-Hooned-Soojus'!$C:$X,2+$C26,FALSE),0)+IF(FD$6="X",VLOOKUP(FD$10,'VK-Transport'!$C:$X,2+$B26,0))+IF(FD$8="X",VLOOKUP(FD$10,'VK-Elekter'!$C:$X,2+$D26,0))+IF(FD$9="X",VLOOKUP(FD$10,'VK-Biokütused'!$C:$U,2+$E26,0))+IF(FD$5="X",VLOOKUP(FD$10,'VK-Põlevkivi'!$C:$X,2+$G26,0))+IF(FD$4="X",VLOOKUP(FD$10,'VK-Võrgud'!$C:$X,2+$F26,0)))/16</f>
        <v>102.15504074879252</v>
      </c>
      <c r="FE26" s="209">
        <f>(IF(FE$7="X",VLOOKUP(FE$10,'VK-Hooned-Soojus'!$C:$X,2+$C26,FALSE),0)+IF(FE$6="X",VLOOKUP(FE$10,'VK-Transport'!$C:$X,2+$B26,0))+IF(FE$8="X",VLOOKUP(FE$10,'VK-Elekter'!$C:$X,2+$D26,0))+IF(FE$9="X",VLOOKUP(FE$10,'VK-Biokütused'!$C:$U,2+$E26,0))+IF(FE$5="X",VLOOKUP(FE$10,'VK-Põlevkivi'!$C:$X,2+$G26,0))+IF(FE$4="X",VLOOKUP(FE$10,'VK-Võrgud'!$C:$X,2+$F26,0)))/16</f>
        <v>-36.76</v>
      </c>
      <c r="FF26" s="209">
        <f>(IF(FF$7="X",VLOOKUP(FF$10,'VK-Hooned-Soojus'!$C:$X,2+$C26,FALSE),0)+IF(FF$6="X",VLOOKUP(FF$10,'VK-Transport'!$C:$X,2+$B26,0))+IF(FF$8="X",VLOOKUP(FF$10,'VK-Elekter'!$C:$X,2+$D26,0))+IF(FF$9="X",VLOOKUP(FF$10,'VK-Biokütused'!$C:$U,2+$E26,0))+IF(FF$5="X",VLOOKUP(FF$10,'VK-Põlevkivi'!$C:$X,2+$G26,0))+IF(FF$4="X",VLOOKUP(FF$10,'VK-Võrgud'!$C:$X,2+$F26,0)))/16</f>
        <v>41.973877256497246</v>
      </c>
      <c r="FG26" s="88">
        <f t="shared" ca="1" si="30"/>
        <v>5.2138772564972484</v>
      </c>
      <c r="FH26" s="88"/>
      <c r="FI26" s="88"/>
      <c r="FJ26" s="88">
        <f>VLOOKUP(Tulemused!$BN$12,data!M$7:N$12,2,FALSE)-SUM(L26,M26)</f>
        <v>-2.6566444444444528</v>
      </c>
      <c r="FK26" s="209" t="str">
        <f>IF(AZ26&lt;=VLOOKUP(Tulemused!$BN$15,data!$E$36:$F$39,2,FALSE),"JAH","EI")</f>
        <v>JAH</v>
      </c>
      <c r="FL26" s="235">
        <f ca="1">IF(ISNA(MATCH($A26,INDIRECT(VLOOKUP(Tulemused!$BF$11,data!$J$57:$M$71,4,FALSE)))),0,MATCH($A26,INDIRECT(VLOOKUP(Tulemused!$BF$11,data!$J$57:$M$71,4,FALSE))))</f>
        <v>0</v>
      </c>
      <c r="FM26" s="235" t="str">
        <f t="shared" ca="1" si="10"/>
        <v>JAH</v>
      </c>
      <c r="FN26" s="209">
        <f>VLOOKUP(Tulemused!$BN$13,data!$C$132:$D$137,2,FALSE)-KOMBI!R26</f>
        <v>3.0893331784169402</v>
      </c>
      <c r="FO26" s="209"/>
      <c r="FP26" s="209">
        <f>VLOOKUP(Tulemused!$BN$17,NO_x,2,FALSE)-CJ26</f>
        <v>10.148999999999997</v>
      </c>
      <c r="FQ26" s="209">
        <f>VLOOKUP(Tulemused!$BN$18,SO_2,2,FALSE)-CK26</f>
        <v>40.00745686562869</v>
      </c>
      <c r="FR26" s="209">
        <f>VLOOKUP(Tulemused!$BN$19,LOU,2,FALSE)-CN26</f>
        <v>34.229000000000006</v>
      </c>
      <c r="FS26" s="209">
        <f>VLOOKUP(Tulemused!$BN$20,PM_2.5,2,FALSE)-CM26</f>
        <v>9.1189999999999998</v>
      </c>
      <c r="FT26" s="209">
        <f>VLOOKUP(Tulemused!$BN$13,data!$C$132:$D$137,2,FALSE)-FA26/1000</f>
        <v>2.8760630000000007</v>
      </c>
      <c r="FU26" s="209">
        <f>VLOOKUP(Tulemused!$BN$17,NO_x,2,FALSE)-CO26</f>
        <v>4.1463502267145422</v>
      </c>
      <c r="FV26" s="209">
        <f>VLOOKUP(Tulemused!$BN$18,SO_2,2,FALSE)-CP26</f>
        <v>38.440051415704389</v>
      </c>
      <c r="FW26" s="209">
        <f>VLOOKUP(Tulemused!$BN$19,LOU,2,FALSE)-CS26</f>
        <v>33.113847594878393</v>
      </c>
      <c r="FX26" s="209">
        <f>VLOOKUP(Tulemused!$BN$20,PM_2.5,2,FALSE)-CR26</f>
        <v>9.0212466437251955</v>
      </c>
      <c r="FY26" s="209">
        <f>VLOOKUP(Tulemused!$BN$14,KHG_2050,2,FALSE)-EF26</f>
        <v>95.05836317841694</v>
      </c>
      <c r="FZ26" s="231" t="str">
        <f t="shared" ca="1" si="31"/>
        <v>EI</v>
      </c>
      <c r="GA26" s="209"/>
      <c r="GB26" s="209"/>
      <c r="GC26" s="209"/>
      <c r="GD26" s="231"/>
      <c r="GE26" s="87">
        <f t="shared" si="11"/>
        <v>2090</v>
      </c>
      <c r="GF26" s="232" t="str">
        <f t="shared" ca="1" si="32"/>
        <v/>
      </c>
      <c r="GH26" s="238" t="e">
        <f t="shared" ca="1" si="12"/>
        <v>#NUM!</v>
      </c>
      <c r="GI26" s="87" t="e">
        <f t="array" aca="1" ref="GI26" ca="1">INDEX($A$11:$A$145, SMALL(IF(GH26=$GF$11:$GF$145, MATCH(ROW($GF$11:$GF$145), ROW($GF$11:$GF$145))), SUM(--(GH26=$GH$11:GH26))))</f>
        <v>#NUM!</v>
      </c>
      <c r="GM26" s="209">
        <f>IF(GM$7="X",VLOOKUP(GM$10,'VK-Hooned-Soojus'!$C:$X,2+$C26,FALSE),0)+IF(GM$6="X",VLOOKUP(GM$10,'VK-Transport'!$C:$X,2+$B26,0))+IF(GM$8="X",VLOOKUP(GM$10,'VK-Elekter'!$C:$X,2+$D26,0))+IF(GM$9="X",VLOOKUP(GM$10,'VK-Biokütused'!$C:$U,2+$E26,0))+IF(GM$5="X",VLOOKUP(GM$10,'VK-Põlevkivi'!$C:$X,2+$G26,0))+IF(GM$4="X",VLOOKUP(GM$10,'VK-Võrgud'!$C:$X,2+$F26,0))</f>
        <v>6.012827991027228</v>
      </c>
      <c r="GN26" s="209">
        <f>IF(GN$7="X",VLOOKUP(GN$10,'VK-Hooned-Soojus'!$C:$X,2+$C26,FALSE),0)+IF(GN$6="X",VLOOKUP(GN$10,'VK-Transport'!$C:$X,2+$B26,0))+IF(GN$8="X",VLOOKUP(GN$10,'VK-Elekter'!$C:$X,2+$D26,0))+IF(GN$9="X",VLOOKUP(GN$10,'VK-Biokütused'!$C:$U,2+$E26,0))+IF(GN$5="X",VLOOKUP(GN$10,'VK-Põlevkivi'!$C:$X,2+$G26,0))+IF(GN$4="X",VLOOKUP(GN$10,'VK-Võrgud'!$C:$X,2+$F26,0))</f>
        <v>3.4467619395011728</v>
      </c>
      <c r="GO26" s="209">
        <f>IF(GO$7="X",VLOOKUP(GO$10,'VK-Hooned-Soojus'!$C:$X,2+$C26,FALSE),0)+IF(GO$6="X",VLOOKUP(GO$10,'VK-Transport'!$C:$X,2+$B26,0))+IF(GO$8="X",VLOOKUP(GO$10,'VK-Elekter'!$C:$X,2+$D26,0))+IF(GO$9="X",VLOOKUP(GO$10,'VK-Biokütused'!$C:$U,2+$E26,0))+IF(GO$5="X",VLOOKUP(GO$10,'VK-Põlevkivi'!$C:$X,2+$G26,0))+IF(GO$4="X",VLOOKUP(GO$10,'VK-Võrgud'!$C:$X,2+$F26,0))</f>
        <v>7.936370010272257</v>
      </c>
      <c r="GP26" s="209">
        <f>IF(GP$7="X",VLOOKUP(GP$10,'VK-Hooned-Soojus'!$C:$X,2+$C26,FALSE),0)+IF(GP$6="X",VLOOKUP(GP$10,'VK-Transport'!$C:$X,2+$B26,0))+IF(GP$8="X",VLOOKUP(GP$10,'VK-Elekter'!$C:$X,2+$D26,0))+IF(GP$9="X",VLOOKUP(GP$10,'VK-Biokütused'!$C:$U,2+$E26,0))+IF(GP$5="X",VLOOKUP(GP$10,'VK-Põlevkivi'!$C:$X,2+$G26,0))+IF(GP$4="X",VLOOKUP(GP$10,'VK-Võrgud'!$C:$X,2+$F26,0))</f>
        <v>9.1527946929596489</v>
      </c>
      <c r="GQ26" s="88">
        <f>IF(GQ$7="X",VLOOKUP(GQ$10,'VK-Hooned-Soojus'!$C:$X,2+$C26,FALSE),0)+IF(GQ$6="X",VLOOKUP(GQ$10,'VK-Transport'!$C:$X,2+$B26,0))+IF(GQ$8="X",VLOOKUP(GQ$10,'VK-Elekter'!$C:$X,2+$D26,0))+IF(GQ$9="X",VLOOKUP(GQ$10,'VK-Biokütused'!$C:$U,2+$E26,0))+IF(GQ$5="X",VLOOKUP(GQ$10,'VK-Põlevkivi'!$C:$X,2+$G26,0))+IF(GQ$4="X",VLOOKUP(GQ$10,'VK-Võrgud'!$C:$X,2+$F26,0))</f>
        <v>0.9682855968523334</v>
      </c>
      <c r="GR26" s="186">
        <f t="shared" si="33"/>
        <v>0.38230641368738244</v>
      </c>
    </row>
    <row r="27" spans="1:200" x14ac:dyDescent="0.2">
      <c r="A27" s="184">
        <v>17</v>
      </c>
      <c r="B27" s="87">
        <v>1</v>
      </c>
      <c r="C27" s="87">
        <v>2</v>
      </c>
      <c r="D27" s="87">
        <v>1</v>
      </c>
      <c r="E27" s="87">
        <v>2</v>
      </c>
      <c r="F27" s="87">
        <f>VLOOKUP(Tulemused!$BF$7,data!$J$6:$K$8,2,FALSE)</f>
        <v>2</v>
      </c>
      <c r="G27" s="87">
        <f>VLOOKUP(data!$H$2,data!$J$12:$K$14,2,FALSE)</f>
        <v>2</v>
      </c>
      <c r="I27" s="209">
        <f>IF(I$7="X",VLOOKUP(I$10,'VK-Hooned-Soojus'!$C:$X,2+$C27,FALSE),0)+IF(I$6="X",VLOOKUP(I$10,'VK-Transport'!$C:$X,2+$B27,0))+IF(I$8="X",VLOOKUP(I$10,'VK-Elekter'!$C:$X,2+$D27,0))+IF(I$9="X",VLOOKUP(I$10,'VK-Biokütused'!$C:$U,2+$E27,0))+IF(I$5="X",VLOOKUP(I$10,'VK-Põlevkivi'!$C:$X,2+$G27,0))+IF(I$4="X",VLOOKUP(I$10,'VK-Võrgud'!$C:$X,2+$F27,0))</f>
        <v>24.79</v>
      </c>
      <c r="J27" s="209">
        <f>IF(J$7="X",VLOOKUP(J$10,'VK-Hooned-Soojus'!$C:$X,2+$C27,FALSE),0)+IF(J$6="X",VLOOKUP(J$10,'VK-Transport'!$C:$X,2+$B27,0))+IF(J$8="X",VLOOKUP(J$10,'VK-Elekter'!$C:$X,2+$D27,0))+IF(J$9="X",VLOOKUP(J$10,'VK-Biokütused'!$C:$U,2+$E27,0))+IF(J$5="X",VLOOKUP(J$10,'VK-Põlevkivi'!$C:$X,2+$G27,0))+IF(J$4="X",VLOOKUP(J$10,'VK-Võrgud'!$C:$X,2+$F27,0))</f>
        <v>13.295833333333334</v>
      </c>
      <c r="K27" s="209">
        <f>IF(K$7="X",VLOOKUP(K$10,'VK-Hooned-Soojus'!$C:$X,2+$C27,FALSE),0)+IF(K$6="X",VLOOKUP(K$10,'VK-Transport'!$C:$X,2+$B27,0))+IF(K$8="X",VLOOKUP(K$10,'VK-Elekter'!$C:$X,2+$D27,0))+IF(K$9="X",VLOOKUP(K$10,'VK-Biokütused'!$C:$U,2+$E27,0))+IF(K$5="X",VLOOKUP(K$10,'VK-Põlevkivi'!$C:$X,2+$G27,0))+IF(K$4="X",VLOOKUP(K$10,'VK-Võrgud'!$C:$X,2+$F27,0))</f>
        <v>15.27</v>
      </c>
      <c r="L27" s="209">
        <f>IF(L$7="X",VLOOKUP(L$10,'VK-Hooned-Soojus'!$C:$X,2+$C27,FALSE),0)+IF(L$6="X",VLOOKUP(L$10,'VK-Transport'!$C:$X,2+$B27,0))+IF(L$8="X",VLOOKUP(L$10,'VK-Elekter'!$C:$X,2+$D27,0))+IF(L$9="X",VLOOKUP(L$10,'VK-Biokütused'!$C:$U,2+$E27,0))+IF(L$5="X",VLOOKUP(L$10,'VK-Põlevkivi'!$C:$X,2+$G27,0))+IF(L$4="X",VLOOKUP(L$10,'VK-Võrgud'!$C:$X,2+$F27,0))</f>
        <v>24.2</v>
      </c>
      <c r="M27" s="209">
        <f>IF(M$7="X",VLOOKUP(M$10,'VK-Hooned-Soojus'!$C:$X,2+$C27,FALSE),0)+IF(M$6="X",VLOOKUP(M$10,'VK-Transport'!$C:$X,2+$B27,0))+IF(M$8="X",VLOOKUP(M$10,'VK-Elekter'!$C:$X,2+$D27,0))+IF(M$9="X",VLOOKUP(M$10,'VK-Biokütused'!$C:$U,2+$E27,0))+IF(M$5="X",VLOOKUP(M$10,'VK-Põlevkivi'!$C:$X,2+$G27,0))+IF(M$4="X",VLOOKUP(M$10,'VK-Võrgud'!$C:$X,2+$F27,0))</f>
        <v>11.289444444444445</v>
      </c>
      <c r="N27" s="209">
        <f>IF(N$7="X",VLOOKUP(N$10,'VK-Hooned-Soojus'!$C:$X,2+$C27,FALSE),0)+IF(N$6="X",VLOOKUP(N$10,'VK-Transport'!$C:$X,2+$B27,0))+IF(N$8="X",VLOOKUP(N$10,'VK-Elekter'!$C:$X,2+$D27,0))+IF(N$9="X",VLOOKUP(N$10,'VK-Biokütused'!$C:$U,2+$E27,0))+IF(N$5="X",VLOOKUP(N$10,'VK-Põlevkivi'!$C:$X,2+$G27,0))+IF(N$4="X",VLOOKUP(N$10,'VK-Võrgud'!$C:$X,2+$F27,0))</f>
        <v>16.09</v>
      </c>
      <c r="O27" s="209">
        <f t="shared" si="13"/>
        <v>38.085833333333333</v>
      </c>
      <c r="P27" s="209"/>
      <c r="Q27" s="209">
        <f>(IF(Q$7="X",VLOOKUP(Q$10,'VK-Hooned-Soojus'!$C:$X,2+$C27,FALSE),0)+IF(Q$6="X",VLOOKUP(Q$10,'VK-Transport'!$C:$X,2+$B27,0))+IF(Q$8="X",VLOOKUP(Q$10,'VK-Elekter'!$C:$X,2+$D27,0))+IF(Q$9="X",VLOOKUP(Q$10,'VK-Biokütused'!$C:$U,2+$E27,0))+IF(Q$5="X",VLOOKUP(Q$10,'VK-Põlevkivi'!$C:$X,2+$G27,0))+IF(Q$4="X",VLOOKUP(Q$10,'VK-Võrgud'!$C:$X,2+$F27,0)))/1000</f>
        <v>5.0659999999999998</v>
      </c>
      <c r="R27" s="209">
        <f>(IF(R$7="X",VLOOKUP(R$10,'VK-Hooned-Soojus'!$C:$X,2+$C27,FALSE),0)+IF(R$6="X",VLOOKUP(R$10,'VK-Transport'!$C:$X,2+$B27,0))+IF(R$8="X",VLOOKUP(R$10,'VK-Elekter'!$C:$X,2+$D27,0))+IF(R$9="X",VLOOKUP(R$10,'VK-Biokütused'!$C:$U,2+$E27,0))+IF(R$5="X",VLOOKUP(R$10,'VK-Põlevkivi'!$C:$X,2+$G27,0))+IF(R$4="X",VLOOKUP(R$10,'VK-Võrgud'!$C:$X,2+$F27,0)))/1000</f>
        <v>3.5341368215830604</v>
      </c>
      <c r="S27" s="226">
        <f>VLOOKUP(S$10,'VK-Hooned-Soojus'!$C:$I,2+$C27,FALSE) + VLOOKUP(S$10,'VK-Transport'!$C:$I,2+$B27,FALSE)+ VLOOKUP(S$10,'VK-Biokütused'!$C:$G,2+$E27,FALSE)+ VLOOKUP(S$10,'VK-Elekter'!$C:$I,2+$D27,FALSE)+ VLOOKUP(S$10,'VK-Põlevkivi'!$C:$I,2+$G27,FALSE)+ VLOOKUP(S$10,'VK-Võrgud'!$C:$I,2+$F27,FALSE)</f>
        <v>1.0570237388213478E-2</v>
      </c>
      <c r="T27" s="226">
        <f>VLOOKUP(T$10,'VK-Hooned-Soojus'!$C:$I,2+$C27,FALSE) + VLOOKUP(T$10,'VK-Transport'!$C:$I,2+$B27,FALSE)+ VLOOKUP(T$10,'VK-Biokütused'!$C:$G,2+$E27,FALSE)+ VLOOKUP(T$10,'VK-Elekter'!$C:$I,2+$D27,FALSE)+ VLOOKUP(T$10,'VK-Põlevkivi'!$C:$I,2+$G27,FALSE)+ VLOOKUP(T$10,'VK-Võrgud'!$C:$I,2+$F27,FALSE)</f>
        <v>-5.9751394390053633E-3</v>
      </c>
      <c r="U27" s="226">
        <f>VLOOKUP(U$10,'VK-Hooned-Soojus'!$C:$I,2+$C27,FALSE) + VLOOKUP(U$10,'VK-Transport'!$C:$I,2+$B27,FALSE)+ VLOOKUP(U$10,'VK-Biokütused'!$C:$G,2+$E27,FALSE)+ VLOOKUP(U$10,'VK-Elekter'!$C:$I,2+$D27,FALSE)+ VLOOKUP(U$10,'VK-Põlevkivi'!$C:$I,2+$G27,FALSE)+ VLOOKUP(U$10,'VK-Võrgud'!$C:$I,2+$F27,FALSE)</f>
        <v>1.8109183588352618E-3</v>
      </c>
      <c r="V27" s="226">
        <f>VLOOKUP(V$10,'VK-Hooned-Soojus'!$C:$I,2+$C27,FALSE) + VLOOKUP(V$10,'VK-Transport'!$C:$I,2+$B27,FALSE)+ VLOOKUP(V$10,'VK-Biokütused'!$C:$G,2+$E27,FALSE)+ VLOOKUP(V$10,'VK-Elekter'!$C:$I,2+$D27,FALSE)+ VLOOKUP(V$10,'VK-Põlevkivi'!$C:$I,2+$G27,FALSE)+ VLOOKUP(V$10,'VK-Võrgud'!$C:$I,2+$F27,FALSE)</f>
        <v>8.8084169609493317E-3</v>
      </c>
      <c r="W27" s="226">
        <f>VLOOKUP(W$10,'VK-Hooned-Soojus'!$C:$I,2+$C27,FALSE) + VLOOKUP(W$10,'VK-Transport'!$C:$I,2+$B27,FALSE)+ VLOOKUP(W$10,'VK-Biokütused'!$C:$G,2+$E27,FALSE)+ VLOOKUP(W$10,'VK-Elekter'!$C:$I,2+$D27,FALSE)+ VLOOKUP(W$10,'VK-Põlevkivi'!$C:$I,2+$G27,FALSE)+ VLOOKUP(W$10,'VK-Võrgud'!$C:$I,2+$F27,FALSE)</f>
        <v>-8.5720529425222791E-3</v>
      </c>
      <c r="X27" s="226">
        <f>VLOOKUP(X$10,'VK-Hooned-Soojus'!$C:$I,2+$C27,FALSE) + VLOOKUP(X$10,'VK-Transport'!$C:$I,2+$B27,FALSE)+ VLOOKUP(X$10,'VK-Biokütused'!$C:$G,2+$E27,FALSE)+ VLOOKUP(X$10,'VK-Elekter'!$C:$I,2+$D27,FALSE)+ VLOOKUP(X$10,'VK-Põlevkivi'!$C:$I,2+$G27,FALSE)+ VLOOKUP(X$10,'VK-Võrgud'!$C:$I,2+$F27,FALSE)</f>
        <v>-9.6450637991262154E-3</v>
      </c>
      <c r="Y27" s="226">
        <f>VLOOKUP(Y$10,'VK-Hooned-Soojus'!$C:$I,2+$C27,FALSE) + VLOOKUP(Y$10,'VK-Transport'!$C:$I,2+$B27,FALSE)+ VLOOKUP(Y$10,'VK-Biokütused'!$C:$G,2+$E27,FALSE)+ VLOOKUP(Y$10,'VK-Elekter'!$C:$I,2+$D27,FALSE)+ VLOOKUP(Y$10,'VK-Põlevkivi'!$C:$I,2+$G27,FALSE)+ VLOOKUP(Y$10,'VK-Võrgud'!$C:$I,2+$F27,FALSE)</f>
        <v>-1.8418502755345175E-2</v>
      </c>
      <c r="Z27" s="227">
        <f>(S27*Tulemused!$Q$9*10+T27*Tulemused!$Q$10*10+KOMBI!U27*Tulemused!$Q$11*10+KOMBI!V27*Tulemused!$Q$12*10)*Tulemused!$Q$8+-(W27*Tulemused!$Q$14*10+KOMBI!X27*Tulemused!$Q$15*10+KOMBI!Y27*Tulemused!$Q$16*10)*Tulemused!$Q$13</f>
        <v>1.8807514381374633</v>
      </c>
      <c r="AA27" s="228">
        <f>(IF(AA$7="X",VLOOKUP(AA$10,'VK-Hooned-Soojus'!$C:$X,2+$C27,FALSE),0)+IF(AA$6="X",VLOOKUP(AA$10,'VK-Transport'!$C:$X,2+$B27,0))+IF(AA$8="X",VLOOKUP(AA$10,'VK-Elekter'!$C:$X,2+$D27,0))+IF(AA$9="X",VLOOKUP(AA$10,'VK-Biokütused'!$C:$U,2+$E27,0))+IF(AA$5="X",VLOOKUP(AA$10,'VK-Põlevkivi'!$C:$X,2+$G27,0))+IF(AA$4="X",VLOOKUP(AA$10,'VK-Võrgud'!$C:$X,2+$F27,0)))</f>
        <v>3729</v>
      </c>
      <c r="AB27" s="228">
        <f>(IF(AB$7="X",VLOOKUP(AB$10,'VK-Hooned-Soojus'!$C:$X,2+$C27,FALSE),0)+IF(AB$6="X",VLOOKUP(AB$10,'VK-Transport'!$C:$X,2+$B27,0))+IF(AB$8="X",VLOOKUP(AB$10,'VK-Elekter'!$C:$X,2+$D27,0))+IF(AB$9="X",VLOOKUP(AB$10,'VK-Biokütused'!$C:$U,2+$E27,0))+IF(AB$5="X",VLOOKUP(AB$10,'VK-Põlevkivi'!$C:$X,2+$G27,0))+IF(AB$4="X",VLOOKUP(AB$10,'VK-Võrgud'!$C:$X,2+$F27,0)))</f>
        <v>1337</v>
      </c>
      <c r="AC27" s="228">
        <f>(IF(AC$7="X",VLOOKUP(AC$10,'VK-Hooned-Soojus'!$C:$X,2+$C27,FALSE),0)+IF(AC$6="X",VLOOKUP(AC$10,'VK-Transport'!$C:$X,2+$B27,0))+IF(AC$8="X",VLOOKUP(AC$10,'VK-Elekter'!$C:$X,2+$D27,0))+IF(AC$9="X",VLOOKUP(AC$10,'VK-Biokütused'!$C:$U,2+$E27,0))+IF(AC$5="X",VLOOKUP(AC$10,'VK-Põlevkivi'!$C:$X,2+$G27,0))+IF(AC$4="X",VLOOKUP(AC$10,'VK-Võrgud'!$C:$X,2+$F27,0)))</f>
        <v>2346</v>
      </c>
      <c r="AD27" s="228">
        <f>(IF(AD$7="X",VLOOKUP(AD$10,'VK-Hooned-Soojus'!$C:$X,2+$C27,FALSE),0)+IF(AD$6="X",VLOOKUP(AD$10,'VK-Transport'!$C:$X,2+$B27,0))+IF(AD$8="X",VLOOKUP(AD$10,'VK-Elekter'!$C:$X,2+$D27,0))+IF(AD$9="X",VLOOKUP(AD$10,'VK-Biokütused'!$C:$U,2+$E27,0))+IF(AD$5="X",VLOOKUP(AD$10,'VK-Põlevkivi'!$C:$X,2+$G27,0))+IF(AD$4="X",VLOOKUP(AD$10,'VK-Võrgud'!$C:$X,2+$F27,0)))</f>
        <v>377.5</v>
      </c>
      <c r="AE27" s="228">
        <f>(IF(AE$7="X",VLOOKUP(AE$10,'VK-Hooned-Soojus'!$C:$X,2+$C27,FALSE),0)+IF(AE$6="X",VLOOKUP(AE$10,'VK-Transport'!$C:$X,2+$B27,0))+IF(AE$8="X",VLOOKUP(AE$10,'VK-Elekter'!$C:$X,2+$D27,0))+IF(AE$9="X",VLOOKUP(AE$10,'VK-Biokütused'!$C:$U,2+$E27,0))+IF(AE$5="X",VLOOKUP(AE$10,'VK-Põlevkivi'!$C:$X,2+$G27,0))+IF(AE$4="X",VLOOKUP(AE$10,'VK-Võrgud'!$C:$X,2+$F27,0)))</f>
        <v>666</v>
      </c>
      <c r="AF27" s="228">
        <f>(IF(AF$7="X",VLOOKUP(AF$10,'VK-Hooned-Soojus'!$C:$X,2+$C27,FALSE),0)+IF(AF$6="X",VLOOKUP(AF$10,'VK-Transport'!$C:$X,2+$B27,0))+IF(AF$8="X",VLOOKUP(AF$10,'VK-Elekter'!$C:$X,2+$D27,0))+IF(AF$9="X",VLOOKUP(AF$10,'VK-Biokütused'!$C:$U,2+$E27,0))+IF(AF$5="X",VLOOKUP(AF$10,'VK-Põlevkivi'!$C:$X,2+$G27,0))+IF(AF$4="X",VLOOKUP(AF$10,'VK-Võrgud'!$C:$X,2+$F27,0)))</f>
        <v>2490.6368215830603</v>
      </c>
      <c r="AG27" s="209"/>
      <c r="AH27" s="209">
        <f>IF(AH$7="X",VLOOKUP(AH$10,'VK-Hooned-Soojus'!$C:$X,2+$C27,FALSE),0)+IF(AH$6="X",VLOOKUP(AH$10,'VK-Transport'!$C:$X,2+$B27,0))+IF(AH$8="X",VLOOKUP(AH$10,'VK-Elekter'!$C:$X,2+$D27,0))+IF(AH$9="X",VLOOKUP(AH$10,'VK-Biokütused'!$C:$U,2+$E27,0))+IF(AH$5="X",VLOOKUP(AH$10,'VK-Põlevkivi'!$C:$X,2+$G27,0))+IF(AH$4="X",VLOOKUP(AH$10,'VK-Võrgud'!$C:$X,2+$F27,0))</f>
        <v>11.629999999999999</v>
      </c>
      <c r="AI27" s="209">
        <f>IF(AI$7="X",VLOOKUP(AI$10,'VK-Hooned-Soojus'!$C:$X,2+$C27,FALSE),0)+IF(AI$6="X",VLOOKUP(AI$10,'VK-Transport'!$C:$X,2+$B27,0))+IF(AI$8="X",VLOOKUP(AI$10,'VK-Elekter'!$C:$X,2+$D27,0))+IF(AI$9="X",VLOOKUP(AI$10,'VK-Biokütused'!$C:$U,2+$E27,0))+IF(AI$5="X",VLOOKUP(AI$10,'VK-Põlevkivi'!$C:$X,2+$G27,0))+IF(AI$4="X",VLOOKUP(AI$10,'VK-Võrgud'!$C:$X,2+$F27,0))</f>
        <v>2.3100000000000005</v>
      </c>
      <c r="AJ27" s="209">
        <f>IF(AJ$7="X",VLOOKUP(AJ$10,'VK-Hooned-Soojus'!$C:$X,2+$C27,FALSE),0)+IF(AJ$6="X",VLOOKUP(AJ$10,'VK-Transport'!$C:$X,2+$B27,0))+IF(AJ$8="X",VLOOKUP(AJ$10,'VK-Elekter'!$C:$X,2+$D27,0))+IF(AJ$9="X",VLOOKUP(AJ$10,'VK-Biokütused'!$C:$U,2+$E27,0))+IF(AJ$5="X",VLOOKUP(AJ$10,'VK-Põlevkivi'!$C:$X,2+$G27,0))+IF(AJ$4="X",VLOOKUP(AJ$10,'VK-Võrgud'!$C:$X,2+$F27,0))</f>
        <v>9.24</v>
      </c>
      <c r="AK27" s="209">
        <f>IF(AK$7="X",VLOOKUP(AK$10,'VK-Hooned-Soojus'!$C:$X,2+$C27,FALSE),0)+IF(AK$6="X",VLOOKUP(AK$10,'VK-Transport'!$C:$X,2+$B27,0))+IF(AK$8="X",VLOOKUP(AK$10,'VK-Elekter'!$C:$X,2+$D27,0))+IF(AK$9="X",VLOOKUP(AK$10,'VK-Biokütused'!$C:$U,2+$E27,0))+IF(AK$5="X",VLOOKUP(AK$10,'VK-Põlevkivi'!$C:$X,2+$G27,0))+IF(AK$4="X",VLOOKUP(AK$10,'VK-Võrgud'!$C:$X,2+$F27,0))</f>
        <v>2.78</v>
      </c>
      <c r="AL27" s="209">
        <f>IF(AL$7="X",VLOOKUP(AL$10,'VK-Hooned-Soojus'!$C:$X,2+$C27,FALSE),0)+IF(AL$6="X",VLOOKUP(AL$10,'VK-Transport'!$C:$X,2+$B27,0))+IF(AL$8="X",VLOOKUP(AL$10,'VK-Elekter'!$C:$X,2+$D27,0))+IF(AL$9="X",VLOOKUP(AL$10,'VK-Biokütused'!$C:$U,2+$E27,0))+IF(AL$5="X",VLOOKUP(AL$10,'VK-Põlevkivi'!$C:$X,2+$G27,0))+IF(AL$4="X",VLOOKUP(AL$10,'VK-Võrgud'!$C:$X,2+$F27,0))</f>
        <v>7.1999999999999993</v>
      </c>
      <c r="AM27" s="209">
        <f>IF(AM$7="X",VLOOKUP(AM$10,'VK-Hooned-Soojus'!$C:$X,2+$C27,FALSE),0)+IF(AM$6="X",VLOOKUP(AM$10,'VK-Transport'!$C:$X,2+$B27,0))+IF(AM$8="X",VLOOKUP(AM$10,'VK-Elekter'!$C:$X,2+$D27,0))+IF(AM$9="X",VLOOKUP(AM$10,'VK-Biokütused'!$C:$U,2+$E27,0))+IF(AM$5="X",VLOOKUP(AM$10,'VK-Põlevkivi'!$C:$X,2+$G27,0))+IF(AM$4="X",VLOOKUP(AM$10,'VK-Võrgud'!$C:$X,2+$F27,0))</f>
        <v>11.9</v>
      </c>
      <c r="AN27" s="209">
        <f>IF(AN$7="X",VLOOKUP(AN$10,'VK-Hooned-Soojus'!$C:$X,2+$C27,FALSE),0)+IF(AN$6="X",VLOOKUP(AN$10,'VK-Transport'!$C:$X,2+$B27,0))+IF(AN$8="X",VLOOKUP(AN$10,'VK-Elekter'!$C:$X,2+$D27,0))+IF(AN$9="X",VLOOKUP(AN$10,'VK-Biokütused'!$C:$U,2+$E27,0))+IF(AN$5="X",VLOOKUP(AN$10,'VK-Põlevkivi'!$C:$X,2+$G27,0))+IF(AN$4="X",VLOOKUP(AN$10,'VK-Võrgud'!$C:$X,2+$F27,0))</f>
        <v>4.8999999999999995</v>
      </c>
      <c r="AO27" s="209">
        <f>IF(AO$7="X",VLOOKUP(AO$10,'VK-Hooned-Soojus'!$C:$X,2+$C27,FALSE),0)+IF(AO$6="X",VLOOKUP(AO$10,'VK-Transport'!$C:$X,2+$B27,0))+IF(AO$8="X",VLOOKUP(AO$10,'VK-Elekter'!$C:$X,2+$D27,0))+IF(AO$9="X",VLOOKUP(AO$10,'VK-Biokütused'!$C:$U,2+$E27,0))+IF(AO$5="X",VLOOKUP(AO$10,'VK-Põlevkivi'!$C:$X,2+$G27,0))+IF(AO$4="X",VLOOKUP(AO$10,'VK-Võrgud'!$C:$X,2+$F27,0))</f>
        <v>12.56</v>
      </c>
      <c r="AP27" s="209">
        <f>IF(AP$7="X",VLOOKUP(AP$10,'VK-Hooned-Soojus'!$C:$X,2+$C27,FALSE),0)+IF(AP$6="X",VLOOKUP(AP$10,'VK-Transport'!$C:$X,2+$B27,0))+IF(AP$8="X",VLOOKUP(AP$10,'VK-Elekter'!$C:$X,2+$D27,0))+IF(AP$9="X",VLOOKUP(AP$10,'VK-Biokütused'!$C:$U,2+$E27,0))+IF(AP$5="X",VLOOKUP(AP$10,'VK-Põlevkivi'!$C:$X,2+$G27,0))+IF(AP$4="X",VLOOKUP(AP$10,'VK-Võrgud'!$C:$X,2+$F27,0))</f>
        <v>6.28</v>
      </c>
      <c r="AQ27" s="320">
        <f t="shared" si="14"/>
        <v>0.25999999999999979</v>
      </c>
      <c r="AR27" s="209">
        <f>IF(AR$7="X",VLOOKUP(AR$10,'VK-Hooned-Soojus'!$C:$X,2+$C27,FALSE),0)+IF(AR$6="X",VLOOKUP(AR$10,'VK-Transport'!$C:$X,2+$B27,0))+IF(AR$8="X",VLOOKUP(AR$10,'VK-Elekter'!$C:$X,2+$D27,0))+IF(AR$9="X",VLOOKUP(AR$10,'VK-Biokütused'!$C:$U,2+$E27,0))+IF(AR$5="X",VLOOKUP(AR$10,'VK-Põlevkivi'!$C:$X,2+$G27,0))+IF(AR$4="X",VLOOKUP(AR$10,'VK-Võrgud'!$C:$X,2+$F27,0))</f>
        <v>2.8899999999999997</v>
      </c>
      <c r="AS27" s="320">
        <f>VLOOKUP("Kütuste tarbimine @ 2030 - UTTEGAAS",'VK-Hooned-Soojus'!$C:$X,2+$C27,FALSE)/0.172+VLOOKUP("Kütuste tarbimine @ 2030 - UTTEGAAS",'VK-Elekter'!$C:$X,2+$D27,FALSE)/0.172-AR27-AU27</f>
        <v>2.8565116279069773</v>
      </c>
      <c r="AT27" s="209">
        <f>IF(AT$7="X",VLOOKUP(AT$10,'VK-Hooned-Soojus'!$C:$X,2+$C27,FALSE),0)+IF(AT$6="X",VLOOKUP(AT$10,'VK-Transport'!$C:$X,2+$B27,0))+IF(AT$8="X",VLOOKUP(AT$10,'VK-Elekter'!$C:$X,2+$D27,0))+IF(AT$9="X",VLOOKUP(AT$10,'VK-Biokütused'!$C:$U,2+$E27,0))+IF(AT$5="X",VLOOKUP(AT$10,'VK-Põlevkivi'!$C:$X,2+$G27,0))+IF(AT$4="X",VLOOKUP(AT$10,'VK-Võrgud'!$C:$X,2+$F27,0))</f>
        <v>12.004929222526066</v>
      </c>
      <c r="AU27" s="229">
        <f>MAX(0,(VLOOKUP("Kütuste tarbimine @ 2030 - UTTEGAAS",'VK-Hooned-Soojus'!$C:$X,2+$C27,FALSE)/0.172+VLOOKUP("Kütuste tarbimine @ 2030 - UTTEGAAS",'VK-Elekter'!$C:$X,2+$D27,FALSE)/0.172)*0.52-VLOOKUP("Kütuste tarbimine @ 2030 - PÕLEVKIVIÕLI",'VK-Hooned-Soojus'!$C:$X,2+$C27,FALSE))</f>
        <v>5.1837209302325586</v>
      </c>
      <c r="AV27" s="209">
        <f>IF(AV$7="X",VLOOKUP(AV$10,'VK-Hooned-Soojus'!$C:$X,2+$C27,FALSE),0)+IF(AV$6="X",VLOOKUP(AV$10,'VK-Transport'!$C:$X,2+$B27,0))+IF(AV$8="X",VLOOKUP(AV$10,'VK-Elekter'!$C:$X,2+$D27,0))+IF(AV$9="X",VLOOKUP(AV$10,'VK-Biokütused'!$C:$U,2+$E27,0))+IF(AV$5="X",VLOOKUP(AV$10,'VK-Põlevkivi'!$C:$X,2+$G27,0))+IF(AV$4="X",VLOOKUP(AV$10,'VK-Võrgud'!$C:$X,2+$F27,0))</f>
        <v>1.1831224847375093</v>
      </c>
      <c r="AW27" s="209">
        <f>IF(AW$7="X",VLOOKUP(AW$10,'VK-Hooned-Soojus'!$C:$X,2+$C27,FALSE),0)+IF(AW$6="X",VLOOKUP(AW$10,'VK-Transport'!$C:$X,2+$B27,0))+IF(AW$8="X",VLOOKUP(AW$10,'VK-Elekter'!$C:$X,2+$D27,0))+IF(AW$9="X",VLOOKUP(AW$10,'VK-Biokütused'!$C:$U,2+$E27,0))+IF(AW$5="X",VLOOKUP(AW$10,'VK-Põlevkivi'!$C:$X,2+$G27,0))+IF(AW$4="X",VLOOKUP(AW$10,'VK-Võrgud'!$C:$X,2+$F27,0))</f>
        <v>2.141</v>
      </c>
      <c r="AX27" s="229">
        <f t="shared" si="34"/>
        <v>0.95787751526249076</v>
      </c>
      <c r="AY27" s="229">
        <f t="shared" si="15"/>
        <v>0</v>
      </c>
      <c r="AZ27" s="230">
        <f t="shared" si="0"/>
        <v>0.57832516657529365</v>
      </c>
      <c r="BA27" s="209">
        <f>IF(BA$7="X",VLOOKUP(BA$10,'VK-Hooned-Soojus'!$C:$X,2+$C27,FALSE),0)+IF(BA$6="X",VLOOKUP(BA$10,'VK-Transport'!$C:$X,2+$B27,0))+IF(BA$8="X",VLOOKUP(BA$10,'VK-Elekter'!$C:$X,2+$D27,0))+IF(BA$9="X",VLOOKUP(BA$10,'VK-Biokütused'!$C:$U,2+$E27,0))+IF(BA$5="X",VLOOKUP(BA$10,'VK-Põlevkivi'!$C:$X,2+$G27,0))+IF(BA$4="X",VLOOKUP(BA$10,'VK-Võrgud'!$C:$X,2+$F27,0))</f>
        <v>4.25</v>
      </c>
      <c r="BB27" s="209">
        <f>IF(BB$7="X",VLOOKUP(BB$10,'VK-Hooned-Soojus'!$C:$X,2+$C27,FALSE),0)+IF(BB$6="X",VLOOKUP(BB$10,'VK-Transport'!$C:$X,2+$B27,0))+IF(BB$8="X",VLOOKUP(BB$10,'VK-Elekter'!$C:$X,2+$D27,0))+IF(BB$9="X",VLOOKUP(BB$10,'VK-Biokütused'!$C:$U,2+$E27,0))+IF(BB$5="X",VLOOKUP(BB$10,'VK-Põlevkivi'!$C:$X,2+$G27,0))+IF(BB$4="X",VLOOKUP(BB$10,'VK-Võrgud'!$C:$X,2+$F27,0))</f>
        <v>2.93</v>
      </c>
      <c r="BC27" s="209">
        <f>IF(BC$7="X",VLOOKUP(BC$10,'VK-Hooned-Soojus'!$C:$X,2+$C27,FALSE),0)+IF(BC$6="X",VLOOKUP(BC$10,'VK-Transport'!$C:$X,2+$B27,0))+IF(BC$8="X",VLOOKUP(BC$10,'VK-Elekter'!$C:$X,2+$D27,0))+IF(BC$9="X",VLOOKUP(BC$10,'VK-Biokütused'!$C:$U,2+$E27,0))+IF(BC$5="X",VLOOKUP(BC$10,'VK-Põlevkivi'!$C:$X,2+$G27,0))+IF(BC$4="X",VLOOKUP(BC$10,'VK-Võrgud'!$C:$X,2+$F27,0))</f>
        <v>6.5993333333333322</v>
      </c>
      <c r="BD27" s="209">
        <f>IF(BD$7="X",VLOOKUP(BD$10,'VK-Hooned-Soojus'!$C:$X,2+$C27,FALSE),0)+IF(BD$6="X",VLOOKUP(BD$10,'VK-Transport'!$C:$X,2+$B27,0))+IF(BD$8="X",VLOOKUP(BD$10,'VK-Elekter'!$C:$X,2+$D27,0))+IF(BD$9="X",VLOOKUP(BD$10,'VK-Biokütused'!$C:$U,2+$E27,0))+IF(BD$5="X",VLOOKUP(BD$10,'VK-Põlevkivi'!$C:$X,2+$G27,0))+IF(BD$4="X",VLOOKUP(BD$10,'VK-Võrgud'!$C:$X,2+$F27,0))</f>
        <v>9.425416666666667</v>
      </c>
      <c r="BE27" s="230"/>
      <c r="BF27" s="229">
        <f t="shared" si="16"/>
        <v>0.30502832668268498</v>
      </c>
      <c r="BG27" s="209" t="e">
        <f>(IF(BG$7="X",VLOOKUP(BG$10,'VK-Hooned-Soojus'!$C:$X,2+$C27,FALSE),0)+IF(BG$6="X",VLOOKUP(BG$10,'VK-Transport'!$C:$X,2+$B27,0))+IF(BG$8="X",VLOOKUP(BG$10,'VK-Elekter'!$C:$X,2+$D27,0))+IF(BG$9="X",VLOOKUP(BG$10,'VK-Biokütused'!$C:$U,2+$E27,0))+IF(BG$5="X",VLOOKUP(BG$10,'VK-Põlevkivi'!$C:$X,2+$G27,0))+IF(BG$4="X",VLOOKUP(BG$10,'VK-Võrgud'!$C:$X,2+$F27,0)))/20</f>
        <v>#N/A</v>
      </c>
      <c r="BH27" s="209">
        <f>(IF(BH$7="X",VLOOKUP(BH$10,'VK-Hooned-Soojus'!$C:$X,2+$C27,FALSE),0)+IF(BH$6="X",VLOOKUP(BH$10,'VK-Transport'!$C:$X,2+$B27,0))+IF(BH$8="X",VLOOKUP(BH$10,'VK-Elekter'!$C:$X,2+$D27,0))+IF(BH$9="X",VLOOKUP(BH$10,'VK-Biokütused'!$C:$U,2+$E27,0))+IF(BH$5="X",VLOOKUP(BH$10,'VK-Põlevkivi'!$C:$X,2+$G27,0))+IF(BH$4="X",VLOOKUP(BH$10,'VK-Võrgud'!$C:$X,2+$F27,0)))/20</f>
        <v>45.08</v>
      </c>
      <c r="BI27" s="209">
        <f>(IF(BI$7="X",VLOOKUP(BI$10,'VK-Hooned-Soojus'!$C:$X,2+$C27,FALSE),0)+IF(BI$6="X",VLOOKUP(BI$10,'VK-Transport'!$C:$X,2+$B27,0))+IF(BI$8="X",VLOOKUP(BI$10,'VK-Elekter'!$C:$X,2+$D27,0))+IF(BI$9="X",VLOOKUP(BI$10,'VK-Biokütused'!$C:$U,2+$E27,0))+IF(BI$5="X",VLOOKUP(BI$10,'VK-Põlevkivi'!$C:$X,2+$G27,0))+IF(BI$4="X",VLOOKUP(BI$10,'VK-Võrgud'!$C:$X,2+$F27,0)))/16</f>
        <v>14.1875</v>
      </c>
      <c r="BJ27" s="209">
        <f>(IF(BJ$7="X",VLOOKUP(BJ$10,'VK-Hooned-Soojus'!$C:$X,2+$C27,FALSE),0)+IF(BJ$6="X",VLOOKUP(BJ$10,'VK-Transport'!$C:$X,2+$B27,0))+IF(BJ$8="X",VLOOKUP(BJ$10,'VK-Elekter'!$C:$X,2+$D27,0))+IF(BJ$9="X",VLOOKUP(BJ$10,'VK-Biokütused'!$C:$U,2+$E27,0))+IF(BJ$5="X",VLOOKUP(BJ$10,'VK-Põlevkivi'!$C:$X,2+$G27,0))+IF(BJ$4="X",VLOOKUP(BJ$10,'VK-Võrgud'!$C:$X,2+$F27,0)))/20</f>
        <v>3.91</v>
      </c>
      <c r="BK27" s="209"/>
      <c r="BL27" s="209"/>
      <c r="BM27" s="209"/>
      <c r="BN27" s="209" t="e">
        <f>(IF(BN$7="X",VLOOKUP(BN$10,'VK-Hooned-Soojus'!$C:$X,2+$C27,FALSE),0)+IF(BN$6="X",VLOOKUP(BN$10,'VK-Transport'!$C:$X,2+$B27,0))+IF(BN$8="X",VLOOKUP(BN$10,'VK-Elekter'!$C:$X,2+$D27,0))+IF(BN$9="X",VLOOKUP(BN$10,'VK-Biokütused'!$C:$U,2+$E27,0))+IF(BN$5="X",VLOOKUP(BN$10,'VK-Põlevkivi'!$C:$X,2+$G27,0))+IF(BN$4="X",VLOOKUP(BN$10,'VK-Võrgud'!$C:$X,2+$F27,0)))/16</f>
        <v>#N/A</v>
      </c>
      <c r="BO27" s="209">
        <f>(IF(BO$7="X",VLOOKUP(BO$10,'VK-Hooned-Soojus'!$C:$X,2+$C27,FALSE),0)+IF(BO$6="X",VLOOKUP(BO$10,'VK-Transport'!$C:$X,2+$B27,0))+IF(BO$8="X",VLOOKUP(BO$10,'VK-Elekter'!$C:$X,2+$D27,0))+IF(BO$9="X",VLOOKUP(BO$10,'VK-Biokütused'!$C:$U,2+$E27,0))+IF(BO$5="X",VLOOKUP(BO$10,'VK-Põlevkivi'!$C:$X,2+$G27,0))+IF(BO$4="X",VLOOKUP(BO$10,'VK-Võrgud'!$C:$X,2+$F27,0)))/16</f>
        <v>496.33125000000001</v>
      </c>
      <c r="BP27" s="209"/>
      <c r="BQ27" s="209">
        <f>(IF(BQ$7="X",VLOOKUP(BQ$10,'VK-Hooned-Soojus'!$C:$X,2+$C27,FALSE),0)+IF(BQ$6="X",VLOOKUP(BQ$10,'VK-Transport'!$C:$X,2+$B27,0))+IF(BQ$8="X",VLOOKUP(BQ$10,'VK-Elekter'!$C:$X,2+$D27,0))+IF(BQ$9="X",VLOOKUP(BQ$10,'VK-Biokütused'!$C:$U,2+$E27,0))+IF(BQ$5="X",VLOOKUP(BQ$10,'VK-Põlevkivi'!$C:$X,2+$G27,0))+IF(BQ$4="X",VLOOKUP(BQ$10,'VK-Võrgud'!$C:$X,2+$F27,0)))/16</f>
        <v>4.7249999999999996</v>
      </c>
      <c r="BR27" s="209">
        <f>(IF(BR$7="X",VLOOKUP(BR$10,'VK-Hooned-Soojus'!$C:$X,2+$C27,FALSE),0)+IF(BR$6="X",VLOOKUP(BR$10,'VK-Transport'!$C:$X,2+$B27,0))+IF(BR$8="X",VLOOKUP(BR$10,'VK-Elekter'!$C:$X,2+$D27,0))+IF(BR$9="X",VLOOKUP(BR$10,'VK-Biokütused'!$C:$U,2+$E27,0))+IF(BR$5="X",VLOOKUP(BR$10,'VK-Põlevkivi'!$C:$X,2+$G27,0))+IF(BR$4="X",VLOOKUP(BR$10,'VK-Võrgud'!$C:$X,2+$F27,0)))/16</f>
        <v>-74.512500000000003</v>
      </c>
      <c r="BS27" s="209">
        <f>(IF(BS$7="X",VLOOKUP(BS$10,'VK-Hooned-Soojus'!$C:$X,2+$C27,FALSE),0)+IF(BS$6="X",VLOOKUP(BS$10,'VK-Transport'!$C:$X,2+$B27,0))+IF(BS$8="X",VLOOKUP(BS$10,'VK-Elekter'!$C:$X,2+$D27,0))+IF(BS$9="X",VLOOKUP(BS$10,'VK-Biokütused'!$C:$U,2+$E27,0))+IF(BS$5="X",VLOOKUP(BS$10,'VK-Põlevkivi'!$C:$X,2+$G27,0))+IF(BS$4="X",VLOOKUP(BS$10,'VK-Võrgud'!$C:$X,2+$F27,0)))/16</f>
        <v>-100.68125000000001</v>
      </c>
      <c r="BT27" s="209"/>
      <c r="BU27" s="209"/>
      <c r="BV27" s="209">
        <f>(IF(BV$7="X",VLOOKUP(BV$10,'VK-Hooned-Soojus'!$C:$X,2+$C27,FALSE),0)+IF(BV$6="X",VLOOKUP(BV$10,'VK-Transport'!$C:$X,2+$B27,0))+IF(BV$8="X",VLOOKUP(BV$10,'VK-Elekter'!$C:$X,2+$D27,0))+IF(BV$9="X",VLOOKUP(BV$10,'VK-Biokütused'!$C:$U,2+$E27,0))+IF(BV$5="X",VLOOKUP(BV$10,'VK-Põlevkivi'!$C:$X,2+$G27,0))+IF(BV$4="X",VLOOKUP(BV$10,'VK-Võrgud'!$C:$X,2+$F27,0)))/16</f>
        <v>0</v>
      </c>
      <c r="BW27" s="209"/>
      <c r="BX27" s="209">
        <f>(IF(BX$7="X",VLOOKUP(BX$10,'VK-Hooned-Soojus'!$C:$X,2+$C27,FALSE),0)+IF(BX$6="X",VLOOKUP(BX$10,'VK-Transport'!$C:$X,2+$B27,0))+IF(BX$8="X",VLOOKUP(BX$10,'VK-Elekter'!$C:$X,2+$D27,0))+IF(BX$9="X",VLOOKUP(BX$10,'VK-Biokütused'!$C:$U,2+$E27,0))+IF(BX$5="X",VLOOKUP(BX$10,'VK-Põlevkivi'!$C:$X,2+$G27,0))+IF(BX$4="X",VLOOKUP(BX$10,'VK-Võrgud'!$C:$X,2+$F27,0)))/16</f>
        <v>-99.6875</v>
      </c>
      <c r="BY27" s="209"/>
      <c r="BZ27" s="209"/>
      <c r="CA27" s="209" t="e">
        <f>(IF(CA$7="X",VLOOKUP(CA$10,'VK-Hooned-Soojus'!$C:$X,2+$C27,FALSE),0)+IF(CA$6="X",VLOOKUP(CA$10,'VK-Transport'!$C:$X,2+$B27,0))+IF(CA$8="X",VLOOKUP(CA$10,'VK-Elekter'!$C:$X,2+$D27,0))+IF(CA$9="X",VLOOKUP(CA$10,'VK-Biokütused'!$C:$U,2+$E27,0))+IF(CA$5="X",VLOOKUP(CA$10,'VK-Põlevkivi'!$C:$X,2+$G27,0))+IF(CA$4="X",VLOOKUP(CA$10,'VK-Võrgud'!$C:$X,2+$F27,0)))/16</f>
        <v>#N/A</v>
      </c>
      <c r="CB27" s="209">
        <f>(IF(CB$7="X",VLOOKUP(CB$10,'VK-Hooned-Soojus'!$C:$X,2+$C27,FALSE),0)+IF(CB$6="X",VLOOKUP(CB$10,'VK-Transport'!$C:$X,2+$B27,0))+IF(CB$8="X",VLOOKUP(CB$10,'VK-Elekter'!$C:$X,2+$D27,0))+IF(CB$9="X",VLOOKUP(CB$10,'VK-Biokütused'!$C:$U,2+$E27,0))+IF(CB$5="X",VLOOKUP(CB$10,'VK-Põlevkivi'!$C:$X,2+$G27,0))+IF(CB$4="X",VLOOKUP(CB$10,'VK-Võrgud'!$C:$X,2+$F27,0)))/16</f>
        <v>0</v>
      </c>
      <c r="CC27" s="209">
        <f>(IF(CC$7="X",VLOOKUP(CC$10,'VK-Hooned-Soojus'!$C:$X,2+$C27,FALSE),0)+IF(CC$6="X",VLOOKUP(CC$10,'VK-Transport'!$C:$X,2+$B27,0))+IF(CC$8="X",VLOOKUP(CC$10,'VK-Elekter'!$C:$X,2+$D27,0))+IF(CC$9="X",VLOOKUP(CC$10,'VK-Biokütused'!$C:$U,2+$E27,0))+IF(CC$5="X",VLOOKUP(CC$10,'VK-Põlevkivi'!$C:$X,2+$G27,0))+IF(CC$4="X",VLOOKUP(CC$10,'VK-Võrgud'!$C:$X,2+$F27,0)))/16</f>
        <v>0</v>
      </c>
      <c r="CD27" s="209"/>
      <c r="CE27" s="209">
        <f>(IF(CE$7="X",VLOOKUP(CE$10,'VK-Hooned-Soojus'!$C:$X,2+$C27,FALSE),0)+IF(CE$6="X",VLOOKUP(CE$10,'VK-Transport'!$C:$X,2+$B27,0))+IF(CE$8="X",VLOOKUP(CE$10,'VK-Elekter'!$C:$X,2+$D27,0))+IF(CE$9="X",VLOOKUP(CE$10,'VK-Biokütused'!$C:$U,2+$E27,0))+IF(CE$5="X",VLOOKUP(CE$10,'VK-Põlevkivi'!$C:$X,2+$G27,0))+IF(CE$4="X",VLOOKUP(CE$10,'VK-Võrgud'!$C:$X,2+$F27,0)))/16</f>
        <v>24.15625</v>
      </c>
      <c r="CF27" s="209"/>
      <c r="CG27" s="209">
        <f>(IF(CG$7="X",VLOOKUP(CG$10,'VK-Hooned-Soojus'!$C:$X,2+$C27,FALSE),0)+IF(CG$6="X",VLOOKUP(CG$10,'VK-Transport'!$C:$X,2+$B27,0))+IF(CG$8="X",VLOOKUP(CG$10,'VK-Elekter'!$C:$X,2+$D27,0))+IF(CG$9="X",VLOOKUP(CG$10,'VK-Biokütused'!$C:$U,2+$E27,0))+IF(CG$5="X",VLOOKUP(CG$10,'VK-Põlevkivi'!$C:$X,2+$G27,0))+IF(CG$4="X",VLOOKUP(CG$10,'VK-Võrgud'!$C:$X,2+$F27,0)))/16</f>
        <v>0</v>
      </c>
      <c r="CH27" s="209">
        <f>(IF(CH$7="X",VLOOKUP(CH$10,'VK-Hooned-Soojus'!$C:$X,2+$C27,FALSE),0)+IF(CH$6="X",VLOOKUP(CH$10,'VK-Transport'!$C:$X,2+$B27,0))+IF(CH$8="X",VLOOKUP(CH$10,'VK-Elekter'!$C:$X,2+$D27,0))+IF(CH$9="X",VLOOKUP(CH$10,'VK-Biokütused'!$C:$U,2+$E27,0))+IF(CH$5="X",VLOOKUP(CH$10,'VK-Põlevkivi'!$C:$X,2+$G27,0))+IF(CH$4="X",VLOOKUP(CH$10,'VK-Võrgud'!$C:$X,2+$F27,0)))/20*0.21</f>
        <v>11.225549999999998</v>
      </c>
      <c r="CI27" s="209"/>
      <c r="CJ27" s="209">
        <f>(IF(CJ$7="X",VLOOKUP(CJ$10,'VK-Hooned-Soojus'!$C:$X,2+$C27,FALSE),0)+IF(CJ$6="X",VLOOKUP(CJ$10,'VK-Transport'!$C:$X,2+$B27,0))+IF(CJ$8="X",VLOOKUP(CJ$10,'VK-Elekter'!$C:$X,2+$D27,0))+IF(CJ$9="X",VLOOKUP(CJ$10,'VK-Biokütused'!$C:$U,2+$E27,0))+IF(CJ$5="X",VLOOKUP(CJ$10,'VK-Põlevkivi'!$C:$X,2+$G27,0))+IF(CJ$4="X",VLOOKUP(CJ$10,'VK-Võrgud'!$C:$X,2+$F27,0)))/1000</f>
        <v>19.289000000000001</v>
      </c>
      <c r="CK27" s="209">
        <f>(IF(CK$7="X",VLOOKUP(CK$10,'VK-Hooned-Soojus'!$C:$X,2+$C27,FALSE),0)+IF(CK$6="X",VLOOKUP(CK$10,'VK-Transport'!$C:$X,2+$B27,0))+IF(CK$8="X",VLOOKUP(CK$10,'VK-Elekter'!$C:$X,2+$D27,0))+IF(CK$9="X",VLOOKUP(CK$10,'VK-Biokütused'!$C:$U,2+$E27,0))+IF(CK$5="X",VLOOKUP(CK$10,'VK-Põlevkivi'!$C:$X,2+$G27,0))+IF(CK$4="X",VLOOKUP(CK$10,'VK-Võrgud'!$C:$X,2+$F27,0)))/1000</f>
        <v>11.87654313437131</v>
      </c>
      <c r="CL27" s="235">
        <f>(IF(CL$7="X",VLOOKUP(CL$10,'VK-Hooned-Soojus'!$C:$X,2+$C27,FALSE),0)+IF(CL$6="X",VLOOKUP(CL$10,'VK-Transport'!$C:$X,2+$B27,0))+IF(CL$8="X",VLOOKUP(CL$10,'VK-Elekter'!$C:$X,2+$D27,0))+IF(CL$9="X",VLOOKUP(CL$10,'VK-Biokütused'!$C:$U,2+$E27,0)))/1000</f>
        <v>9.1482332703934581</v>
      </c>
      <c r="CM27" s="209">
        <f>(IF(CM$7="X",VLOOKUP(CM$10,'VK-Hooned-Soojus'!$C:$X,2+$C27,FALSE),0)+IF(CM$6="X",VLOOKUP(CM$10,'VK-Transport'!$C:$X,2+$B27,0))+IF(CM$8="X",VLOOKUP(CM$10,'VK-Elekter'!$C:$X,2+$D27,0))+IF(CM$9="X",VLOOKUP(CM$10,'VK-Biokütused'!$C:$U,2+$E27,0))+IF(CM$5="X",VLOOKUP(CM$10,'VK-Põlevkivi'!$C:$X,2+$G27,0))+IF(CM$4="X",VLOOKUP(CM$10,'VK-Võrgud'!$C:$X,2+$F27,0)))/1000</f>
        <v>7.7960000000000003</v>
      </c>
      <c r="CN27" s="209">
        <f>(IF(CN$7="X",VLOOKUP(CN$10,'VK-Hooned-Soojus'!$C:$X,2+$C27,FALSE),0)+IF(CN$6="X",VLOOKUP(CN$10,'VK-Transport'!$C:$X,2+$B27,0))+IF(CN$8="X",VLOOKUP(CN$10,'VK-Elekter'!$C:$X,2+$D27,0))+IF(CN$9="X",VLOOKUP(CN$10,'VK-Biokütused'!$C:$U,2+$E27,0))+IF(CN$5="X",VLOOKUP(CN$10,'VK-Põlevkivi'!$C:$X,2+$G27,0))+IF(CN$4="X",VLOOKUP(CN$10,'VK-Võrgud'!$C:$X,2+$F27,0)))/1000</f>
        <v>2.851</v>
      </c>
      <c r="CO27" s="209">
        <f>(IF(CO$7="X",VLOOKUP(CO$10,'VK-Hooned-Soojus'!$C:$X,2+$C27,FALSE),0)+IF(CO$6="X",VLOOKUP(CO$10,'VK-Transport'!$C:$X,2+$B27,0))+IF(CO$8="X",VLOOKUP(CO$10,'VK-Elekter'!$C:$X,2+$D27,0))+IF(CO$9="X",VLOOKUP(CO$10,'VK-Biokütused'!$C:$U,2+$E27,0))+IF(CO$5="X",VLOOKUP(CO$10,'VK-Põlevkivi'!$C:$X,2+$G27,0))+IF(CO$4="X",VLOOKUP(CO$10,'VK-Võrgud'!$C:$X,2+$F27,0)))/1000</f>
        <v>25.291649773285457</v>
      </c>
      <c r="CP27" s="209">
        <f>(IF(CP$7="X",VLOOKUP(CP$10,'VK-Hooned-Soojus'!$C:$X,2+$C27,FALSE),0)+IF(CP$6="X",VLOOKUP(CP$10,'VK-Transport'!$C:$X,2+$B27,0))+IF(CP$8="X",VLOOKUP(CP$10,'VK-Elekter'!$C:$X,2+$D27,0))+IF(CP$9="X",VLOOKUP(CP$10,'VK-Biokütused'!$C:$U,2+$E27,0))+IF(CP$5="X",VLOOKUP(CP$10,'VK-Põlevkivi'!$C:$X,2+$G27,0))+IF(CP$4="X",VLOOKUP(CP$10,'VK-Võrgud'!$C:$X,2+$F27,0)))/1000</f>
        <v>13.443948584295613</v>
      </c>
      <c r="CQ27" s="235">
        <f>(IF(CQ$7="X",VLOOKUP(CQ$10,'VK-Hooned-Soojus'!$C:$X,2+$C27,FALSE),0)+IF(CQ$6="X",VLOOKUP(CQ$10,'VK-Transport'!$C:$X,2+$B27,0))+IF(CQ$8="X",VLOOKUP(CQ$10,'VK-Elekter'!$C:$X,2+$D27,0))+IF(CQ$9="X",VLOOKUP(CQ$10,'VK-Biokütused'!$C:$U,2+$E27,0)))/1000</f>
        <v>10.965907</v>
      </c>
      <c r="CR27" s="209">
        <f>(IF(CR$7="X",VLOOKUP(CR$10,'VK-Hooned-Soojus'!$C:$X,2+$C27,FALSE),0)+IF(CR$6="X",VLOOKUP(CR$10,'VK-Transport'!$C:$X,2+$B27,0))+IF(CR$8="X",VLOOKUP(CR$10,'VK-Elekter'!$C:$X,2+$D27,0))+IF(CR$9="X",VLOOKUP(CR$10,'VK-Biokütused'!$C:$U,2+$E27,0))+IF(CR$5="X",VLOOKUP(CR$10,'VK-Põlevkivi'!$C:$X,2+$G27,0))+IF(CR$4="X",VLOOKUP(CR$10,'VK-Võrgud'!$C:$X,2+$F27,0)))/1000</f>
        <v>7.8937533562748037</v>
      </c>
      <c r="CS27" s="209">
        <f>(IF(CS$7="X",VLOOKUP(CS$10,'VK-Hooned-Soojus'!$C:$X,2+$C27,FALSE),0)+IF(CS$6="X",VLOOKUP(CS$10,'VK-Transport'!$C:$X,2+$B27,0))+IF(CS$8="X",VLOOKUP(CS$10,'VK-Elekter'!$C:$X,2+$D27,0))+IF(CS$9="X",VLOOKUP(CS$10,'VK-Biokütused'!$C:$U,2+$E27,0))+IF(CS$5="X",VLOOKUP(CS$10,'VK-Põlevkivi'!$C:$X,2+$G27,0))+IF(CS$4="X",VLOOKUP(CS$10,'VK-Võrgud'!$C:$X,2+$F27,0)))/1000</f>
        <v>3.966152405121615</v>
      </c>
      <c r="CT27" s="209">
        <f>IF(CT$7="X",VLOOKUP(CT$10,'VK-Hooned-Soojus'!$C:$X,2+$C27,FALSE),0)+IF(CT$6="X",VLOOKUP(CT$10,'VK-Transport'!$C:$X,2+$B27,0))+IF(CT$8="X",VLOOKUP(CT$10,'VK-Elekter'!$C:$X,2+$D27,0))+IF(CT$9="X",VLOOKUP(CT$10,'VK-Biokütused'!$C:$U,2+$E27,0))+IF(CT$5="X",VLOOKUP(CT$10,'VK-Põlevkivi'!$C:$X,2+$G27,0))+IF(CT$4="X",VLOOKUP(CT$10,'VK-Võrgud'!$C:$X,2+$F27,0))</f>
        <v>90</v>
      </c>
      <c r="CU27" s="209">
        <f>IF(CU$7="X",VLOOKUP(CU$10,'VK-Hooned-Soojus'!$C:$X,2+$C27,FALSE),0)+IF(CU$6="X",VLOOKUP(CU$10,'VK-Transport'!$C:$X,2+$B27,0))+IF(CU$8="X",VLOOKUP(CU$10,'VK-Elekter'!$C:$X,2+$D27,0))+IF(CU$9="X",VLOOKUP(CU$10,'VK-Biokütused'!$C:$U,2+$E27,0))+IF(CU$5="X",VLOOKUP(CU$10,'VK-Põlevkivi'!$C:$X,2+$G27,0))+IF(CU$4="X",VLOOKUP(CU$10,'VK-Võrgud'!$C:$X,2+$F27,0))</f>
        <v>0.72088353413654627</v>
      </c>
      <c r="CV27" s="209">
        <f t="shared" si="1"/>
        <v>0.91028830406496797</v>
      </c>
      <c r="CW27" s="209">
        <f>(IF(CW$7="X",VLOOKUP(CW$10,'VK-Hooned-Soojus'!$C:$X,2+$C27,FALSE),0)+IF(CW$6="X",VLOOKUP(CW$10,'VK-Transport'!$C:$X,2+$B27,0))+IF(CW$8="X",VLOOKUP(CW$10,'VK-Elekter'!$C:$X,2+$D27,0))+IF(CW$9="X",VLOOKUP(CW$10,'VK-Biokütused'!$C:$U,2+$E27,0))+IF(CW$5="X",VLOOKUP(CW$10,'VK-Põlevkivi'!$C:$X,2+$G27,0))+IF(CW$4="X",VLOOKUP(CW$10,'VK-Võrgud'!$C:$X,2+$F27,0)))/16</f>
        <v>59.743749999999999</v>
      </c>
      <c r="CY27" s="209">
        <f>(IF(CY$7="X",VLOOKUP(CY$10,'VK-Hooned-Soojus'!$C:$X,2+$C27,FALSE),0)+IF(CY$6="X",VLOOKUP(CY$10,'VK-Transport'!$C:$X,2+$B27,0))+IF(CY$8="X",VLOOKUP(CY$10,'VK-Elekter'!$C:$X,2+$D27,0))+IF(CY$9="X",VLOOKUP(CY$10,'VK-Biokütused'!$C:$U,2+$E27,0))+IF(CY$5="X",VLOOKUP(CY$10,'VK-Põlevkivi'!$C:$X,2+$G27,0))+IF(CY$4="X",VLOOKUP(CY$10,'VK-Võrgud'!$C:$X,2+$F27,0)))/1000</f>
        <v>10.942</v>
      </c>
      <c r="CZ27" s="209">
        <f>(IF(CZ$7="X",VLOOKUP(CZ$10,'VK-Hooned-Soojus'!$C:$X,2+$C27,FALSE),0)+IF(CZ$6="X",VLOOKUP(CZ$10,'VK-Transport'!$C:$X,2+$B27,0))+IF(CZ$8="X",VLOOKUP(CZ$10,'VK-Elekter'!$C:$X,2+$D27,0))+IF(CZ$9="X",VLOOKUP(CZ$10,'VK-Biokütused'!$C:$U,2+$E27,0))+IF(CZ$5="X",VLOOKUP(CZ$10,'VK-Põlevkivi'!$C:$X,2+$G27,0))+IF(CZ$4="X",VLOOKUP(CZ$10,'VK-Võrgud'!$C:$X,2+$F27,0)))</f>
        <v>74.400000000000006</v>
      </c>
      <c r="DA27" s="209">
        <f>(IF(DA$7="X",VLOOKUP(DA$10,'VK-Hooned-Soojus'!$C:$X,2+$C27,FALSE),0)+IF(DA$6="X",VLOOKUP(DA$10,'VK-Transport'!$C:$X,2+$B27,0))+IF(DA$8="X",VLOOKUP(DA$10,'VK-Elekter'!$C:$X,2+$D27,0))+IF(DA$9="X",VLOOKUP(DA$10,'VK-Biokütused'!$C:$U,2+$E27,0))+IF(DA$5="X",VLOOKUP(DA$10,'VK-Põlevkivi'!$C:$X,2+$G27,0))+IF(DA$4="X",VLOOKUP(DA$10,'VK-Võrgud'!$C:$X,2+$F27,0)))/1000</f>
        <v>14.611000000000001</v>
      </c>
      <c r="DB27" s="209">
        <f>(IF(DB$7="X",VLOOKUP(DB$10,'VK-Hooned-Soojus'!$C:$X,2+$C27,FALSE),0)+IF(DB$6="X",VLOOKUP(DB$10,'VK-Transport'!$C:$X,2+$B27,0))+IF(DB$8="X",VLOOKUP(DB$10,'VK-Elekter'!$C:$X,2+$D27,0))+IF(DB$9="X",VLOOKUP(DB$10,'VK-Biokütused'!$C:$U,2+$E27,0))+IF(DB$5="X",VLOOKUP(DB$10,'VK-Põlevkivi'!$C:$X,2+$G27,0))+IF(DB$4="X",VLOOKUP(DB$10,'VK-Võrgud'!$C:$X,2+$F27,0)))/1000/3.6</f>
        <v>65.387222222222221</v>
      </c>
      <c r="DC27" s="209">
        <f>(IF(DC$7="X",VLOOKUP(DC$10,'VK-Hooned-Soojus'!$C:$X,2+$C27,FALSE),0)+IF(DC$6="X",VLOOKUP(DC$10,'VK-Transport'!$C:$X,2+$B27,0))+IF(DC$8="X",VLOOKUP(DC$10,'VK-Elekter'!$C:$X,2+$D27,0))+IF(DC$9="X",VLOOKUP(DC$10,'VK-Biokütused'!$C:$U,2+$E27,0))+IF(DC$5="X",VLOOKUP(DC$10,'VK-Põlevkivi'!$C:$X,2+$G27,0))+IF(DC$4="X",VLOOKUP(DC$10,'VK-Võrgud'!$C:$X,2+$F27,0)))/1000000</f>
        <v>5.2432850000000002</v>
      </c>
      <c r="DD27" s="209"/>
      <c r="DE27" s="88">
        <f>VLOOKUP(Tulemused!$BN$12,data!M$7:N$12,2,FALSE)-SUM(L27,M27)</f>
        <v>-2.6566444444444528</v>
      </c>
      <c r="DF27" s="209" t="str">
        <f>IF(AZ27&lt;=VLOOKUP(Tulemused!$BN$15,data!$E$36:$F$39,2,FALSE),"JAH","EI")</f>
        <v>JAH</v>
      </c>
      <c r="DG27" s="209"/>
      <c r="DH27" s="209">
        <f t="shared" si="2"/>
        <v>6.28</v>
      </c>
      <c r="DI27" s="231" t="str">
        <f t="shared" si="17"/>
        <v>EI</v>
      </c>
      <c r="DK27" s="232">
        <f t="shared" si="3"/>
        <v>-998.11924856186249</v>
      </c>
      <c r="DM27" s="233">
        <f t="shared" si="4"/>
        <v>-989.16212758720189</v>
      </c>
      <c r="DN27" s="87">
        <f t="array" ref="DN27">INDEX($A$11:$A$145, SMALL(IF(DM27=$DK$11:$DK$145, MATCH(ROW($DK$11:$DK$145), ROW($DK$11:$DK$145))), SUM(--(DM27=$DM$11:DM27))))</f>
        <v>116</v>
      </c>
      <c r="DP27" s="87" t="e">
        <f t="shared" ca="1" si="18"/>
        <v>#N/A</v>
      </c>
      <c r="DQ27" s="87" t="e">
        <f t="shared" ca="1" si="19"/>
        <v>#N/A</v>
      </c>
      <c r="DR27" s="87">
        <f t="shared" ca="1" si="20"/>
        <v>0</v>
      </c>
      <c r="DS27" s="87" t="e">
        <f t="shared" ca="1" si="21"/>
        <v>#N/A</v>
      </c>
      <c r="DT27" s="87">
        <f t="shared" ca="1" si="22"/>
        <v>0</v>
      </c>
      <c r="DU27" s="87" t="e">
        <f t="shared" ca="1" si="23"/>
        <v>#N/A</v>
      </c>
      <c r="DV27" s="87" t="e">
        <f t="shared" ca="1" si="24"/>
        <v>#N/A</v>
      </c>
      <c r="DW27" s="87">
        <f t="shared" ca="1" si="25"/>
        <v>0</v>
      </c>
      <c r="DX27" s="87">
        <f t="shared" ca="1" si="26"/>
        <v>0</v>
      </c>
      <c r="DZ27" s="87">
        <f t="shared" ref="DZ27:DZ90" ca="1" si="35">IF(INDIRECT("Tulemused!"&amp;DZ$8)="Jah",BX27,0)</f>
        <v>0</v>
      </c>
      <c r="EB27" s="87">
        <f t="shared" ca="1" si="27"/>
        <v>0</v>
      </c>
      <c r="EC27" s="87" t="e">
        <f t="shared" ca="1" si="28"/>
        <v>#N/A</v>
      </c>
      <c r="EE27" s="228">
        <f>(IF(EE$7="X",VLOOKUP(EE$10,'VK-Hooned-Soojus'!$C:$X,2+$C27,FALSE),0)+IF(EE$6="X",VLOOKUP(EE$10,'VK-Transport'!$C:$X,2+$B27,0))+IF(EE$8="X",VLOOKUP(EE$10,'VK-Elekter'!$C:$X,2+$D27,0))+IF(EE$9="X",VLOOKUP(EE$10,'VK-Biokütused'!$C:$U,2+$E27,0))+IF(EE$5="X",VLOOKUP(EE$10,'VK-Põlevkivi'!$C:$X,2+$G27,0))+IF(EE$4="X",VLOOKUP(EE$10,'VK-Võrgud'!$C:$X,2+$F27,0)))</f>
        <v>5036.8354614183536</v>
      </c>
      <c r="EF27" s="235">
        <f>(IF(EF$7="X",VLOOKUP(EF$10,'VK-Hooned-Soojus'!$C:$X,2+$C27,FALSE),0)+IF(EF$6="X",VLOOKUP(EF$10,'VK-Transport'!$C:$X,2+$B27,0))+IF(EF$8="X",VLOOKUP(EF$10,'VK-Elekter'!$C:$X,2+$D27,0))+IF(EF$9="X",VLOOKUP(EF$10,'VK-Biokütused'!$C:$U,2+$E27,0)))/1000</f>
        <v>4.9416368215830611</v>
      </c>
      <c r="EG27" s="209">
        <f>(IF(EG$7="X",VLOOKUP(EG$10,'VK-Hooned-Soojus'!$C:$X,2+$C27,FALSE),0)+IF(EG$6="X",VLOOKUP(EG$10,'VK-Transport'!$C:$X,2+$B27,0))+IF(EG$8="X",VLOOKUP(EG$10,'VK-Elekter'!$C:$X,2+$D27,0))+IF(EG$9="X",VLOOKUP(EG$10,'VK-Biokütused'!$C:$U,2+$E27,0))+IF(EG$5="X",VLOOKUP(EG$10,'VK-Põlevkivi'!$C:$X,2+$G27,0))+IF(EG$4="X",VLOOKUP(EG$10,'VK-Võrgud'!$C:$X,2+$F27,0)))</f>
        <v>0.81</v>
      </c>
      <c r="EH27" s="209">
        <f>(IF(EH$7="X",VLOOKUP(EH$10,'VK-Hooned-Soojus'!$C:$X,2+$C27,FALSE),0)+IF(EH$6="X",VLOOKUP(EH$10,'VK-Transport'!$C:$X,2+$B27,0))+IF(EH$8="X",VLOOKUP(EH$10,'VK-Elekter'!$C:$X,2+$D27,0))+IF(EH$9="X",VLOOKUP(EH$10,'VK-Biokütused'!$C:$U,2+$E27,0)))+AR27+AS27+AU27+AX27</f>
        <v>56.606165628957577</v>
      </c>
      <c r="EI27" s="320">
        <f t="shared" si="6"/>
        <v>50.464567183462528</v>
      </c>
      <c r="EJ27" s="322">
        <f t="shared" si="7"/>
        <v>2.1267750475898739E-2</v>
      </c>
      <c r="EK27" s="323">
        <f t="shared" si="29"/>
        <v>0.35547441046944428</v>
      </c>
      <c r="EM27" s="209"/>
      <c r="EN27" s="209">
        <f t="shared" ca="1" si="8"/>
        <v>0</v>
      </c>
      <c r="EO27" s="209"/>
      <c r="EP27" s="234"/>
      <c r="EQ27" s="209">
        <f>(IF(EQ$7="X",VLOOKUP(EQ$10,'VK-Hooned-Soojus'!$C:$X,2+$C27,FALSE),0)+IF(EQ$6="X",VLOOKUP(EQ$10,'VK-Transport'!$C:$X,2+$B27,0))+IF(EQ$8="X",VLOOKUP(EQ$10,'VK-Elekter'!$C:$X,2+$D27,0))+IF(EQ$9="X",VLOOKUP(EQ$10,'VK-Biokütused'!$C:$U,2+$E27,0))+IF(EQ$5="X",VLOOKUP(EQ$10,'VK-Põlevkivi'!$C:$X,2+$G27,0))+IF(EQ$4="X",VLOOKUP(EQ$10,'VK-Võrgud'!$C:$X,2+$F27,0)))/1000</f>
        <v>0.21099999999999999</v>
      </c>
      <c r="ER27" s="209">
        <f>(IF(ER$7="X",VLOOKUP(ER$10,'VK-Hooned-Soojus'!$C:$X,2+$C27,FALSE),0)+IF(ER$6="X",VLOOKUP(ER$10,'VK-Transport'!$C:$X,2+$B27,0))+IF(ER$8="X",VLOOKUP(ER$10,'VK-Elekter'!$C:$X,2+$D27,0))+IF(ER$9="X",VLOOKUP(ER$10,'VK-Biokütused'!$C:$U,2+$E27,0))+IF(ER$5="X",VLOOKUP(ER$10,'VK-Põlevkivi'!$C:$X,2+$G27,0))+IF(ER$4="X",VLOOKUP(ER$10,'VK-Võrgud'!$C:$X,2+$F27,0)))</f>
        <v>0.76300000000000001</v>
      </c>
      <c r="ES27" s="209">
        <f>(IF(ES$7="X",VLOOKUP(ES$10,'VK-Hooned-Soojus'!$C:$X,2+$C27,FALSE),0)+IF(ES$6="X",VLOOKUP(ES$10,'VK-Transport'!$C:$X,2+$B27,0))+IF(ES$8="X",VLOOKUP(ES$10,'VK-Elekter'!$C:$X,2+$D27,0))+IF(ES$9="X",VLOOKUP(ES$10,'VK-Biokütused'!$C:$U,2+$E27,0))+IF(ES$5="X",VLOOKUP(ES$10,'VK-Põlevkivi'!$C:$X,2+$G27,0))+IF(ES$4="X",VLOOKUP(ES$10,'VK-Võrgud'!$C:$X,2+$F27,0)))</f>
        <v>6.28</v>
      </c>
      <c r="ET27" s="209"/>
      <c r="EU27" s="209"/>
      <c r="EV27" s="87">
        <f>'KSH järjestus'!AS20</f>
        <v>2014</v>
      </c>
      <c r="EX27" s="236"/>
      <c r="EY27" s="236"/>
      <c r="EZ27" s="237">
        <f t="shared" si="9"/>
        <v>0.27911646586345373</v>
      </c>
      <c r="FA27" s="209">
        <f>IF(FA$7="X",VLOOKUP(FA$10,'VK-Hooned-Soojus'!$C:$X,2+$C27,FALSE),0)+IF(FA$6="X",VLOOKUP(FA$10,'VK-Transport'!$C:$X,2+$B27,0))+IF(FA$8="X",VLOOKUP(FA$10,'VK-Elekter'!$C:$X,2+$D27,0))+IF(FA$9="X",VLOOKUP(FA$10,'VK-Biokütused'!$C:$U,2+$E27,0))+IF(FA$5="X",VLOOKUP(FA$10,'VK-Põlevkivi'!$C:$X,2+$G27,0))+IF(FA$4="X",VLOOKUP(FA$10,'VK-Võrgud'!$C:$X,2+$F27,0))</f>
        <v>3581.9070000000002</v>
      </c>
      <c r="FB27" s="279">
        <f>(IF(FB$7="X",VLOOKUP(FB$10,'VK-Hooned-Soojus'!$C:$X,2+$C27,FALSE),0)+IF(FB$6="X",VLOOKUP(FB$10,'VK-Transport'!$C:$X,2+$B27,0))+IF(FB$8="X",VLOOKUP(FB$10,'VK-Elekter'!$C:$X,2+$D27,0))+IF(FB$9="X",VLOOKUP(FB$10,'VK-Biokütused'!$C:$U,2+$E27,0))+IF(FB$5="X",VLOOKUP(FB$10,'VK-Põlevkivi'!$C:$X,2+$G27,0))+IF(FB$4="X",VLOOKUP(FB$10,'VK-Võrgud'!$C:$X,2+$F27,0)))/16</f>
        <v>262.63507301805578</v>
      </c>
      <c r="FC27" s="209">
        <f>IF(FC$7="X",VLOOKUP(FC$10,'VK-Hooned-Soojus'!$C:$X,2+$C27,FALSE),0)+IF(FC$6="X",VLOOKUP(FC$10,'VK-Transport'!$C:$X,2+$B27,0))+IF(FC$8="X",VLOOKUP(FC$10,'VK-Elekter'!$C:$X,2+$D27,0))+IF(FC$9="X",VLOOKUP(FC$10,'VK-Biokütused'!$C:$U,2+$E27,0))+IF(FC$5="X",VLOOKUP(FC$10,'VK-Põlevkivi'!$C:$X,2+$G27,0))+IF(FC$4="X",VLOOKUP(FC$10,'VK-Võrgud'!$C:$X,2+$F27,0))</f>
        <v>318.5</v>
      </c>
      <c r="FD27" s="209">
        <f>(IF(FD$7="X",VLOOKUP(FD$10,'VK-Hooned-Soojus'!$C:$X,2+$C27,FALSE),0)+IF(FD$6="X",VLOOKUP(FD$10,'VK-Transport'!$C:$X,2+$B27,0))+IF(FD$8="X",VLOOKUP(FD$10,'VK-Elekter'!$C:$X,2+$D27,0))+IF(FD$9="X",VLOOKUP(FD$10,'VK-Biokütused'!$C:$U,2+$E27,0))+IF(FD$5="X",VLOOKUP(FD$10,'VK-Põlevkivi'!$C:$X,2+$G27,0))+IF(FD$4="X",VLOOKUP(FD$10,'VK-Võrgud'!$C:$X,2+$F27,0)))/16</f>
        <v>262.63507301805578</v>
      </c>
      <c r="FE27" s="209">
        <f>(IF(FE$7="X",VLOOKUP(FE$10,'VK-Hooned-Soojus'!$C:$X,2+$C27,FALSE),0)+IF(FE$6="X",VLOOKUP(FE$10,'VK-Transport'!$C:$X,2+$B27,0))+IF(FE$8="X",VLOOKUP(FE$10,'VK-Elekter'!$C:$X,2+$D27,0))+IF(FE$9="X",VLOOKUP(FE$10,'VK-Biokütused'!$C:$U,2+$E27,0))+IF(FE$5="X",VLOOKUP(FE$10,'VK-Põlevkivi'!$C:$X,2+$G27,0))+IF(FE$4="X",VLOOKUP(FE$10,'VK-Võrgud'!$C:$X,2+$F27,0)))/16</f>
        <v>-51.993219880632097</v>
      </c>
      <c r="FF27" s="209">
        <f>(IF(FF$7="X",VLOOKUP(FF$10,'VK-Hooned-Soojus'!$C:$X,2+$C27,FALSE),0)+IF(FF$6="X",VLOOKUP(FF$10,'VK-Transport'!$C:$X,2+$B27,0))+IF(FF$8="X",VLOOKUP(FF$10,'VK-Elekter'!$C:$X,2+$D27,0))+IF(FF$9="X",VLOOKUP(FF$10,'VK-Biokütused'!$C:$U,2+$E27,0))+IF(FF$5="X",VLOOKUP(FF$10,'VK-Põlevkivi'!$C:$X,2+$G27,0))+IF(FF$4="X",VLOOKUP(FF$10,'VK-Võrgud'!$C:$X,2+$F27,0)))/16</f>
        <v>86.372419165664439</v>
      </c>
      <c r="FG27" s="88">
        <f t="shared" ca="1" si="30"/>
        <v>34.379199285032342</v>
      </c>
      <c r="FH27" s="88"/>
      <c r="FI27" s="88"/>
      <c r="FJ27" s="88">
        <f>VLOOKUP(Tulemused!$BN$12,data!M$7:N$12,2,FALSE)-SUM(L27,M27)</f>
        <v>-2.6566444444444528</v>
      </c>
      <c r="FK27" s="209" t="str">
        <f>IF(AZ27&lt;=VLOOKUP(Tulemused!$BN$15,data!$E$36:$F$39,2,FALSE),"JAH","EI")</f>
        <v>JAH</v>
      </c>
      <c r="FL27" s="235">
        <f ca="1">IF(ISNA(MATCH($A27,INDIRECT(VLOOKUP(Tulemused!$BF$11,data!$J$57:$M$71,4,FALSE)))),0,MATCH($A27,INDIRECT(VLOOKUP(Tulemused!$BF$11,data!$J$57:$M$71,4,FALSE))))</f>
        <v>0</v>
      </c>
      <c r="FM27" s="235" t="str">
        <f t="shared" ca="1" si="10"/>
        <v>JAH</v>
      </c>
      <c r="FN27" s="209">
        <f>VLOOKUP(Tulemused!$BN$13,data!$C$132:$D$137,2,FALSE)-KOMBI!R27</f>
        <v>2.7118331784169403</v>
      </c>
      <c r="FO27" s="209"/>
      <c r="FP27" s="209">
        <f>VLOOKUP(Tulemused!$BN$17,NO_x,2,FALSE)-CJ27</f>
        <v>10.148999999999997</v>
      </c>
      <c r="FQ27" s="209">
        <f>VLOOKUP(Tulemused!$BN$18,SO_2,2,FALSE)-CK27</f>
        <v>40.00745686562869</v>
      </c>
      <c r="FR27" s="209">
        <f>VLOOKUP(Tulemused!$BN$19,LOU,2,FALSE)-CN27</f>
        <v>34.229000000000006</v>
      </c>
      <c r="FS27" s="209">
        <f>VLOOKUP(Tulemused!$BN$20,PM_2.5,2,FALSE)-CM27</f>
        <v>9.1189999999999998</v>
      </c>
      <c r="FT27" s="209">
        <f>VLOOKUP(Tulemused!$BN$13,data!$C$132:$D$137,2,FALSE)-FA27/1000</f>
        <v>2.6640630000000005</v>
      </c>
      <c r="FU27" s="209">
        <f>VLOOKUP(Tulemused!$BN$17,NO_x,2,FALSE)-CO27</f>
        <v>4.1463502267145422</v>
      </c>
      <c r="FV27" s="209">
        <f>VLOOKUP(Tulemused!$BN$18,SO_2,2,FALSE)-CP27</f>
        <v>38.440051415704389</v>
      </c>
      <c r="FW27" s="209">
        <f>VLOOKUP(Tulemused!$BN$19,LOU,2,FALSE)-CS27</f>
        <v>33.113847594878393</v>
      </c>
      <c r="FX27" s="209">
        <f>VLOOKUP(Tulemused!$BN$20,PM_2.5,2,FALSE)-CR27</f>
        <v>9.0212466437251955</v>
      </c>
      <c r="FY27" s="209">
        <f>VLOOKUP(Tulemused!$BN$14,KHG_2050,2,FALSE)-EF27</f>
        <v>95.05836317841694</v>
      </c>
      <c r="FZ27" s="231" t="str">
        <f t="shared" ca="1" si="31"/>
        <v>EI</v>
      </c>
      <c r="GA27" s="209"/>
      <c r="GB27" s="209"/>
      <c r="GC27" s="209"/>
      <c r="GD27" s="231"/>
      <c r="GE27" s="87">
        <f t="shared" si="11"/>
        <v>2014</v>
      </c>
      <c r="GF27" s="232" t="str">
        <f t="shared" ca="1" si="32"/>
        <v/>
      </c>
      <c r="GH27" s="238" t="e">
        <f t="shared" ca="1" si="12"/>
        <v>#NUM!</v>
      </c>
      <c r="GI27" s="87" t="e">
        <f t="array" aca="1" ref="GI27" ca="1">INDEX($A$11:$A$145, SMALL(IF(GH27=$GF$11:$GF$145, MATCH(ROW($GF$11:$GF$145), ROW($GF$11:$GF$145))), SUM(--(GH27=$GH$11:GH27))))</f>
        <v>#NUM!</v>
      </c>
      <c r="GM27" s="209">
        <f>IF(GM$7="X",VLOOKUP(GM$10,'VK-Hooned-Soojus'!$C:$X,2+$C27,FALSE),0)+IF(GM$6="X",VLOOKUP(GM$10,'VK-Transport'!$C:$X,2+$B27,0))+IF(GM$8="X",VLOOKUP(GM$10,'VK-Elekter'!$C:$X,2+$D27,0))+IF(GM$9="X",VLOOKUP(GM$10,'VK-Biokütused'!$C:$U,2+$E27,0))+IF(GM$5="X",VLOOKUP(GM$10,'VK-Põlevkivi'!$C:$X,2+$G27,0))+IF(GM$4="X",VLOOKUP(GM$10,'VK-Võrgud'!$C:$X,2+$F27,0))</f>
        <v>6.012827991027228</v>
      </c>
      <c r="GN27" s="209">
        <f>IF(GN$7="X",VLOOKUP(GN$10,'VK-Hooned-Soojus'!$C:$X,2+$C27,FALSE),0)+IF(GN$6="X",VLOOKUP(GN$10,'VK-Transport'!$C:$X,2+$B27,0))+IF(GN$8="X",VLOOKUP(GN$10,'VK-Elekter'!$C:$X,2+$D27,0))+IF(GN$9="X",VLOOKUP(GN$10,'VK-Biokütused'!$C:$U,2+$E27,0))+IF(GN$5="X",VLOOKUP(GN$10,'VK-Põlevkivi'!$C:$X,2+$G27,0))+IF(GN$4="X",VLOOKUP(GN$10,'VK-Võrgud'!$C:$X,2+$F27,0))</f>
        <v>3.4467619395011728</v>
      </c>
      <c r="GO27" s="209">
        <f>IF(GO$7="X",VLOOKUP(GO$10,'VK-Hooned-Soojus'!$C:$X,2+$C27,FALSE),0)+IF(GO$6="X",VLOOKUP(GO$10,'VK-Transport'!$C:$X,2+$B27,0))+IF(GO$8="X",VLOOKUP(GO$10,'VK-Elekter'!$C:$X,2+$D27,0))+IF(GO$9="X",VLOOKUP(GO$10,'VK-Biokütused'!$C:$U,2+$E27,0))+IF(GO$5="X",VLOOKUP(GO$10,'VK-Põlevkivi'!$C:$X,2+$G27,0))+IF(GO$4="X",VLOOKUP(GO$10,'VK-Võrgud'!$C:$X,2+$F27,0))</f>
        <v>7.936370010272257</v>
      </c>
      <c r="GP27" s="209">
        <f>IF(GP$7="X",VLOOKUP(GP$10,'VK-Hooned-Soojus'!$C:$X,2+$C27,FALSE),0)+IF(GP$6="X",VLOOKUP(GP$10,'VK-Transport'!$C:$X,2+$B27,0))+IF(GP$8="X",VLOOKUP(GP$10,'VK-Elekter'!$C:$X,2+$D27,0))+IF(GP$9="X",VLOOKUP(GP$10,'VK-Biokütused'!$C:$U,2+$E27,0))+IF(GP$5="X",VLOOKUP(GP$10,'VK-Põlevkivi'!$C:$X,2+$G27,0))+IF(GP$4="X",VLOOKUP(GP$10,'VK-Võrgud'!$C:$X,2+$F27,0))</f>
        <v>9.1527946929596489</v>
      </c>
      <c r="GQ27" s="88">
        <f>IF(GQ$7="X",VLOOKUP(GQ$10,'VK-Hooned-Soojus'!$C:$X,2+$C27,FALSE),0)+IF(GQ$6="X",VLOOKUP(GQ$10,'VK-Transport'!$C:$X,2+$B27,0))+IF(GQ$8="X",VLOOKUP(GQ$10,'VK-Elekter'!$C:$X,2+$D27,0))+IF(GQ$9="X",VLOOKUP(GQ$10,'VK-Biokütused'!$C:$U,2+$E27,0))+IF(GQ$5="X",VLOOKUP(GQ$10,'VK-Põlevkivi'!$C:$X,2+$G27,0))+IF(GQ$4="X",VLOOKUP(GQ$10,'VK-Võrgud'!$C:$X,2+$F27,0))</f>
        <v>0.9682855968523334</v>
      </c>
      <c r="GR27" s="186">
        <f t="shared" si="33"/>
        <v>0.38230641368738244</v>
      </c>
    </row>
    <row r="28" spans="1:200" x14ac:dyDescent="0.2">
      <c r="A28" s="184">
        <v>18</v>
      </c>
      <c r="B28" s="87">
        <v>1</v>
      </c>
      <c r="C28" s="87">
        <v>2</v>
      </c>
      <c r="D28" s="87">
        <v>1</v>
      </c>
      <c r="E28" s="87">
        <v>3</v>
      </c>
      <c r="F28" s="87">
        <f>VLOOKUP(Tulemused!$BF$7,data!$J$6:$K$8,2,FALSE)</f>
        <v>2</v>
      </c>
      <c r="G28" s="87">
        <f>VLOOKUP(data!$H$2,data!$J$12:$K$14,2,FALSE)</f>
        <v>2</v>
      </c>
      <c r="I28" s="209">
        <f>IF(I$7="X",VLOOKUP(I$10,'VK-Hooned-Soojus'!$C:$X,2+$C28,FALSE),0)+IF(I$6="X",VLOOKUP(I$10,'VK-Transport'!$C:$X,2+$B28,0))+IF(I$8="X",VLOOKUP(I$10,'VK-Elekter'!$C:$X,2+$D28,0))+IF(I$9="X",VLOOKUP(I$10,'VK-Biokütused'!$C:$U,2+$E28,0))+IF(I$5="X",VLOOKUP(I$10,'VK-Põlevkivi'!$C:$X,2+$G28,0))+IF(I$4="X",VLOOKUP(I$10,'VK-Võrgud'!$C:$X,2+$F28,0))</f>
        <v>24.79</v>
      </c>
      <c r="J28" s="209">
        <f>IF(J$7="X",VLOOKUP(J$10,'VK-Hooned-Soojus'!$C:$X,2+$C28,FALSE),0)+IF(J$6="X",VLOOKUP(J$10,'VK-Transport'!$C:$X,2+$B28,0))+IF(J$8="X",VLOOKUP(J$10,'VK-Elekter'!$C:$X,2+$D28,0))+IF(J$9="X",VLOOKUP(J$10,'VK-Biokütused'!$C:$U,2+$E28,0))+IF(J$5="X",VLOOKUP(J$10,'VK-Põlevkivi'!$C:$X,2+$G28,0))+IF(J$4="X",VLOOKUP(J$10,'VK-Võrgud'!$C:$X,2+$F28,0))</f>
        <v>13.295833333333334</v>
      </c>
      <c r="K28" s="209">
        <f>IF(K$7="X",VLOOKUP(K$10,'VK-Hooned-Soojus'!$C:$X,2+$C28,FALSE),0)+IF(K$6="X",VLOOKUP(K$10,'VK-Transport'!$C:$X,2+$B28,0))+IF(K$8="X",VLOOKUP(K$10,'VK-Elekter'!$C:$X,2+$D28,0))+IF(K$9="X",VLOOKUP(K$10,'VK-Biokütused'!$C:$U,2+$E28,0))+IF(K$5="X",VLOOKUP(K$10,'VK-Põlevkivi'!$C:$X,2+$G28,0))+IF(K$4="X",VLOOKUP(K$10,'VK-Võrgud'!$C:$X,2+$F28,0))</f>
        <v>15.27</v>
      </c>
      <c r="L28" s="209">
        <f>IF(L$7="X",VLOOKUP(L$10,'VK-Hooned-Soojus'!$C:$X,2+$C28,FALSE),0)+IF(L$6="X",VLOOKUP(L$10,'VK-Transport'!$C:$X,2+$B28,0))+IF(L$8="X",VLOOKUP(L$10,'VK-Elekter'!$C:$X,2+$D28,0))+IF(L$9="X",VLOOKUP(L$10,'VK-Biokütused'!$C:$U,2+$E28,0))+IF(L$5="X",VLOOKUP(L$10,'VK-Põlevkivi'!$C:$X,2+$G28,0))+IF(L$4="X",VLOOKUP(L$10,'VK-Võrgud'!$C:$X,2+$F28,0))</f>
        <v>24.2</v>
      </c>
      <c r="M28" s="209">
        <f>IF(M$7="X",VLOOKUP(M$10,'VK-Hooned-Soojus'!$C:$X,2+$C28,FALSE),0)+IF(M$6="X",VLOOKUP(M$10,'VK-Transport'!$C:$X,2+$B28,0))+IF(M$8="X",VLOOKUP(M$10,'VK-Elekter'!$C:$X,2+$D28,0))+IF(M$9="X",VLOOKUP(M$10,'VK-Biokütused'!$C:$U,2+$E28,0))+IF(M$5="X",VLOOKUP(M$10,'VK-Põlevkivi'!$C:$X,2+$G28,0))+IF(M$4="X",VLOOKUP(M$10,'VK-Võrgud'!$C:$X,2+$F28,0))</f>
        <v>11.289444444444445</v>
      </c>
      <c r="N28" s="209">
        <f>IF(N$7="X",VLOOKUP(N$10,'VK-Hooned-Soojus'!$C:$X,2+$C28,FALSE),0)+IF(N$6="X",VLOOKUP(N$10,'VK-Transport'!$C:$X,2+$B28,0))+IF(N$8="X",VLOOKUP(N$10,'VK-Elekter'!$C:$X,2+$D28,0))+IF(N$9="X",VLOOKUP(N$10,'VK-Biokütused'!$C:$U,2+$E28,0))+IF(N$5="X",VLOOKUP(N$10,'VK-Põlevkivi'!$C:$X,2+$G28,0))+IF(N$4="X",VLOOKUP(N$10,'VK-Võrgud'!$C:$X,2+$F28,0))</f>
        <v>16.09</v>
      </c>
      <c r="O28" s="209">
        <f t="shared" si="13"/>
        <v>38.085833333333333</v>
      </c>
      <c r="P28" s="209"/>
      <c r="Q28" s="209">
        <f>(IF(Q$7="X",VLOOKUP(Q$10,'VK-Hooned-Soojus'!$C:$X,2+$C28,FALSE),0)+IF(Q$6="X",VLOOKUP(Q$10,'VK-Transport'!$C:$X,2+$B28,0))+IF(Q$8="X",VLOOKUP(Q$10,'VK-Elekter'!$C:$X,2+$D28,0))+IF(Q$9="X",VLOOKUP(Q$10,'VK-Biokütused'!$C:$U,2+$E28,0))+IF(Q$5="X",VLOOKUP(Q$10,'VK-Põlevkivi'!$C:$X,2+$G28,0))+IF(Q$4="X",VLOOKUP(Q$10,'VK-Võrgud'!$C:$X,2+$F28,0)))/1000</f>
        <v>5.0659999999999998</v>
      </c>
      <c r="R28" s="209">
        <f>(IF(R$7="X",VLOOKUP(R$10,'VK-Hooned-Soojus'!$C:$X,2+$C28,FALSE),0)+IF(R$6="X",VLOOKUP(R$10,'VK-Transport'!$C:$X,2+$B28,0))+IF(R$8="X",VLOOKUP(R$10,'VK-Elekter'!$C:$X,2+$D28,0))+IF(R$9="X",VLOOKUP(R$10,'VK-Biokütused'!$C:$U,2+$E28,0))+IF(R$5="X",VLOOKUP(R$10,'VK-Põlevkivi'!$C:$X,2+$G28,0))+IF(R$4="X",VLOOKUP(R$10,'VK-Võrgud'!$C:$X,2+$F28,0)))/1000</f>
        <v>3.7428368215830607</v>
      </c>
      <c r="S28" s="226">
        <f>VLOOKUP(S$10,'VK-Hooned-Soojus'!$C:$I,2+$C28,FALSE) + VLOOKUP(S$10,'VK-Transport'!$C:$I,2+$B28,FALSE)+ VLOOKUP(S$10,'VK-Biokütused'!$C:$G,2+$E28,FALSE)+ VLOOKUP(S$10,'VK-Elekter'!$C:$I,2+$D28,FALSE)+ VLOOKUP(S$10,'VK-Põlevkivi'!$C:$I,2+$G28,FALSE)+ VLOOKUP(S$10,'VK-Võrgud'!$C:$I,2+$F28,FALSE)</f>
        <v>1.5221292766459997E-2</v>
      </c>
      <c r="T28" s="226">
        <f>VLOOKUP(T$10,'VK-Hooned-Soojus'!$C:$I,2+$C28,FALSE) + VLOOKUP(T$10,'VK-Transport'!$C:$I,2+$B28,FALSE)+ VLOOKUP(T$10,'VK-Biokütused'!$C:$G,2+$E28,FALSE)+ VLOOKUP(T$10,'VK-Elekter'!$C:$I,2+$D28,FALSE)+ VLOOKUP(T$10,'VK-Põlevkivi'!$C:$I,2+$G28,FALSE)+ VLOOKUP(T$10,'VK-Võrgud'!$C:$I,2+$F28,FALSE)</f>
        <v>-5.9623737119639773E-3</v>
      </c>
      <c r="U28" s="226">
        <f>VLOOKUP(U$10,'VK-Hooned-Soojus'!$C:$I,2+$C28,FALSE) + VLOOKUP(U$10,'VK-Transport'!$C:$I,2+$B28,FALSE)+ VLOOKUP(U$10,'VK-Biokütused'!$C:$G,2+$E28,FALSE)+ VLOOKUP(U$10,'VK-Elekter'!$C:$I,2+$D28,FALSE)+ VLOOKUP(U$10,'VK-Põlevkivi'!$C:$I,2+$G28,FALSE)+ VLOOKUP(U$10,'VK-Võrgud'!$C:$I,2+$F28,FALSE)</f>
        <v>3.1417081948819925E-3</v>
      </c>
      <c r="V28" s="226">
        <f>VLOOKUP(V$10,'VK-Hooned-Soojus'!$C:$I,2+$C28,FALSE) + VLOOKUP(V$10,'VK-Transport'!$C:$I,2+$B28,FALSE)+ VLOOKUP(V$10,'VK-Biokütused'!$C:$G,2+$E28,FALSE)+ VLOOKUP(V$10,'VK-Elekter'!$C:$I,2+$D28,FALSE)+ VLOOKUP(V$10,'VK-Põlevkivi'!$C:$I,2+$G28,FALSE)+ VLOOKUP(V$10,'VK-Võrgud'!$C:$I,2+$F28,FALSE)</f>
        <v>1.2202280409114188E-2</v>
      </c>
      <c r="W28" s="226">
        <f>VLOOKUP(W$10,'VK-Hooned-Soojus'!$C:$I,2+$C28,FALSE) + VLOOKUP(W$10,'VK-Transport'!$C:$I,2+$B28,FALSE)+ VLOOKUP(W$10,'VK-Biokütused'!$C:$G,2+$E28,FALSE)+ VLOOKUP(W$10,'VK-Elekter'!$C:$I,2+$D28,FALSE)+ VLOOKUP(W$10,'VK-Põlevkivi'!$C:$I,2+$G28,FALSE)+ VLOOKUP(W$10,'VK-Võrgud'!$C:$I,2+$F28,FALSE)</f>
        <v>-4.5925658120763817E-3</v>
      </c>
      <c r="X28" s="226">
        <f>VLOOKUP(X$10,'VK-Hooned-Soojus'!$C:$I,2+$C28,FALSE) + VLOOKUP(X$10,'VK-Transport'!$C:$I,2+$B28,FALSE)+ VLOOKUP(X$10,'VK-Biokütused'!$C:$G,2+$E28,FALSE)+ VLOOKUP(X$10,'VK-Elekter'!$C:$I,2+$D28,FALSE)+ VLOOKUP(X$10,'VK-Põlevkivi'!$C:$I,2+$G28,FALSE)+ VLOOKUP(X$10,'VK-Võrgud'!$C:$I,2+$F28,FALSE)</f>
        <v>-8.3859038828377683E-3</v>
      </c>
      <c r="Y28" s="226">
        <f>VLOOKUP(Y$10,'VK-Hooned-Soojus'!$C:$I,2+$C28,FALSE) + VLOOKUP(Y$10,'VK-Transport'!$C:$I,2+$B28,FALSE)+ VLOOKUP(Y$10,'VK-Biokütused'!$C:$G,2+$E28,FALSE)+ VLOOKUP(Y$10,'VK-Elekter'!$C:$I,2+$D28,FALSE)+ VLOOKUP(Y$10,'VK-Põlevkivi'!$C:$I,2+$G28,FALSE)+ VLOOKUP(Y$10,'VK-Võrgud'!$C:$I,2+$F28,FALSE)</f>
        <v>-1.6957783782118922E-2</v>
      </c>
      <c r="Z28" s="227">
        <f>(S28*Tulemused!$Q$9*10+T28*Tulemused!$Q$10*10+KOMBI!U28*Tulemused!$Q$11*10+KOMBI!V28*Tulemused!$Q$12*10)*Tulemused!$Q$8+-(W28*Tulemused!$Q$14*10+KOMBI!X28*Tulemused!$Q$15*10+KOMBI!Y28*Tulemused!$Q$16*10)*Tulemused!$Q$13</f>
        <v>2.7858511603789902</v>
      </c>
      <c r="AA28" s="228">
        <f>(IF(AA$7="X",VLOOKUP(AA$10,'VK-Hooned-Soojus'!$C:$X,2+$C28,FALSE),0)+IF(AA$6="X",VLOOKUP(AA$10,'VK-Transport'!$C:$X,2+$B28,0))+IF(AA$8="X",VLOOKUP(AA$10,'VK-Elekter'!$C:$X,2+$D28,0))+IF(AA$9="X",VLOOKUP(AA$10,'VK-Biokütused'!$C:$U,2+$E28,0))+IF(AA$5="X",VLOOKUP(AA$10,'VK-Põlevkivi'!$C:$X,2+$G28,0))+IF(AA$4="X",VLOOKUP(AA$10,'VK-Võrgud'!$C:$X,2+$F28,0)))</f>
        <v>3729</v>
      </c>
      <c r="AB28" s="228">
        <f>(IF(AB$7="X",VLOOKUP(AB$10,'VK-Hooned-Soojus'!$C:$X,2+$C28,FALSE),0)+IF(AB$6="X",VLOOKUP(AB$10,'VK-Transport'!$C:$X,2+$B28,0))+IF(AB$8="X",VLOOKUP(AB$10,'VK-Elekter'!$C:$X,2+$D28,0))+IF(AB$9="X",VLOOKUP(AB$10,'VK-Biokütused'!$C:$U,2+$E28,0))+IF(AB$5="X",VLOOKUP(AB$10,'VK-Põlevkivi'!$C:$X,2+$G28,0))+IF(AB$4="X",VLOOKUP(AB$10,'VK-Võrgud'!$C:$X,2+$F28,0)))</f>
        <v>1337</v>
      </c>
      <c r="AC28" s="228">
        <f>(IF(AC$7="X",VLOOKUP(AC$10,'VK-Hooned-Soojus'!$C:$X,2+$C28,FALSE),0)+IF(AC$6="X",VLOOKUP(AC$10,'VK-Transport'!$C:$X,2+$B28,0))+IF(AC$8="X",VLOOKUP(AC$10,'VK-Elekter'!$C:$X,2+$D28,0))+IF(AC$9="X",VLOOKUP(AC$10,'VK-Biokütused'!$C:$U,2+$E28,0))+IF(AC$5="X",VLOOKUP(AC$10,'VK-Põlevkivi'!$C:$X,2+$G28,0))+IF(AC$4="X",VLOOKUP(AC$10,'VK-Võrgud'!$C:$X,2+$F28,0)))</f>
        <v>2346</v>
      </c>
      <c r="AD28" s="228">
        <f>(IF(AD$7="X",VLOOKUP(AD$10,'VK-Hooned-Soojus'!$C:$X,2+$C28,FALSE),0)+IF(AD$6="X",VLOOKUP(AD$10,'VK-Transport'!$C:$X,2+$B28,0))+IF(AD$8="X",VLOOKUP(AD$10,'VK-Elekter'!$C:$X,2+$D28,0))+IF(AD$9="X",VLOOKUP(AD$10,'VK-Biokütused'!$C:$U,2+$E28,0))+IF(AD$5="X",VLOOKUP(AD$10,'VK-Põlevkivi'!$C:$X,2+$G28,0))+IF(AD$4="X",VLOOKUP(AD$10,'VK-Võrgud'!$C:$X,2+$F28,0)))</f>
        <v>586.20000000000005</v>
      </c>
      <c r="AE28" s="228">
        <f>(IF(AE$7="X",VLOOKUP(AE$10,'VK-Hooned-Soojus'!$C:$X,2+$C28,FALSE),0)+IF(AE$6="X",VLOOKUP(AE$10,'VK-Transport'!$C:$X,2+$B28,0))+IF(AE$8="X",VLOOKUP(AE$10,'VK-Elekter'!$C:$X,2+$D28,0))+IF(AE$9="X",VLOOKUP(AE$10,'VK-Biokütused'!$C:$U,2+$E28,0))+IF(AE$5="X",VLOOKUP(AE$10,'VK-Põlevkivi'!$C:$X,2+$G28,0))+IF(AE$4="X",VLOOKUP(AE$10,'VK-Võrgud'!$C:$X,2+$F28,0)))</f>
        <v>666</v>
      </c>
      <c r="AF28" s="228">
        <f>(IF(AF$7="X",VLOOKUP(AF$10,'VK-Hooned-Soojus'!$C:$X,2+$C28,FALSE),0)+IF(AF$6="X",VLOOKUP(AF$10,'VK-Transport'!$C:$X,2+$B28,0))+IF(AF$8="X",VLOOKUP(AF$10,'VK-Elekter'!$C:$X,2+$D28,0))+IF(AF$9="X",VLOOKUP(AF$10,'VK-Biokütused'!$C:$U,2+$E28,0))+IF(AF$5="X",VLOOKUP(AF$10,'VK-Põlevkivi'!$C:$X,2+$G28,0))+IF(AF$4="X",VLOOKUP(AF$10,'VK-Võrgud'!$C:$X,2+$F28,0)))</f>
        <v>2490.6368215830603</v>
      </c>
      <c r="AG28" s="209"/>
      <c r="AH28" s="209">
        <f>IF(AH$7="X",VLOOKUP(AH$10,'VK-Hooned-Soojus'!$C:$X,2+$C28,FALSE),0)+IF(AH$6="X",VLOOKUP(AH$10,'VK-Transport'!$C:$X,2+$B28,0))+IF(AH$8="X",VLOOKUP(AH$10,'VK-Elekter'!$C:$X,2+$D28,0))+IF(AH$9="X",VLOOKUP(AH$10,'VK-Biokütused'!$C:$U,2+$E28,0))+IF(AH$5="X",VLOOKUP(AH$10,'VK-Põlevkivi'!$C:$X,2+$G28,0))+IF(AH$4="X",VLOOKUP(AH$10,'VK-Võrgud'!$C:$X,2+$F28,0))</f>
        <v>11.629999999999999</v>
      </c>
      <c r="AI28" s="209">
        <f>IF(AI$7="X",VLOOKUP(AI$10,'VK-Hooned-Soojus'!$C:$X,2+$C28,FALSE),0)+IF(AI$6="X",VLOOKUP(AI$10,'VK-Transport'!$C:$X,2+$B28,0))+IF(AI$8="X",VLOOKUP(AI$10,'VK-Elekter'!$C:$X,2+$D28,0))+IF(AI$9="X",VLOOKUP(AI$10,'VK-Biokütused'!$C:$U,2+$E28,0))+IF(AI$5="X",VLOOKUP(AI$10,'VK-Põlevkivi'!$C:$X,2+$G28,0))+IF(AI$4="X",VLOOKUP(AI$10,'VK-Võrgud'!$C:$X,2+$F28,0))</f>
        <v>2.3100000000000005</v>
      </c>
      <c r="AJ28" s="209">
        <f>IF(AJ$7="X",VLOOKUP(AJ$10,'VK-Hooned-Soojus'!$C:$X,2+$C28,FALSE),0)+IF(AJ$6="X",VLOOKUP(AJ$10,'VK-Transport'!$C:$X,2+$B28,0))+IF(AJ$8="X",VLOOKUP(AJ$10,'VK-Elekter'!$C:$X,2+$D28,0))+IF(AJ$9="X",VLOOKUP(AJ$10,'VK-Biokütused'!$C:$U,2+$E28,0))+IF(AJ$5="X",VLOOKUP(AJ$10,'VK-Põlevkivi'!$C:$X,2+$G28,0))+IF(AJ$4="X",VLOOKUP(AJ$10,'VK-Võrgud'!$C:$X,2+$F28,0))</f>
        <v>9.24</v>
      </c>
      <c r="AK28" s="209">
        <f>IF(AK$7="X",VLOOKUP(AK$10,'VK-Hooned-Soojus'!$C:$X,2+$C28,FALSE),0)+IF(AK$6="X",VLOOKUP(AK$10,'VK-Transport'!$C:$X,2+$B28,0))+IF(AK$8="X",VLOOKUP(AK$10,'VK-Elekter'!$C:$X,2+$D28,0))+IF(AK$9="X",VLOOKUP(AK$10,'VK-Biokütused'!$C:$U,2+$E28,0))+IF(AK$5="X",VLOOKUP(AK$10,'VK-Põlevkivi'!$C:$X,2+$G28,0))+IF(AK$4="X",VLOOKUP(AK$10,'VK-Võrgud'!$C:$X,2+$F28,0))</f>
        <v>2.78</v>
      </c>
      <c r="AL28" s="209">
        <f>IF(AL$7="X",VLOOKUP(AL$10,'VK-Hooned-Soojus'!$C:$X,2+$C28,FALSE),0)+IF(AL$6="X",VLOOKUP(AL$10,'VK-Transport'!$C:$X,2+$B28,0))+IF(AL$8="X",VLOOKUP(AL$10,'VK-Elekter'!$C:$X,2+$D28,0))+IF(AL$9="X",VLOOKUP(AL$10,'VK-Biokütused'!$C:$U,2+$E28,0))+IF(AL$5="X",VLOOKUP(AL$10,'VK-Põlevkivi'!$C:$X,2+$G28,0))+IF(AL$4="X",VLOOKUP(AL$10,'VK-Võrgud'!$C:$X,2+$F28,0))</f>
        <v>7.1999999999999993</v>
      </c>
      <c r="AM28" s="209">
        <f>IF(AM$7="X",VLOOKUP(AM$10,'VK-Hooned-Soojus'!$C:$X,2+$C28,FALSE),0)+IF(AM$6="X",VLOOKUP(AM$10,'VK-Transport'!$C:$X,2+$B28,0))+IF(AM$8="X",VLOOKUP(AM$10,'VK-Elekter'!$C:$X,2+$D28,0))+IF(AM$9="X",VLOOKUP(AM$10,'VK-Biokütused'!$C:$U,2+$E28,0))+IF(AM$5="X",VLOOKUP(AM$10,'VK-Põlevkivi'!$C:$X,2+$G28,0))+IF(AM$4="X",VLOOKUP(AM$10,'VK-Võrgud'!$C:$X,2+$F28,0))</f>
        <v>11.9</v>
      </c>
      <c r="AN28" s="209">
        <f>IF(AN$7="X",VLOOKUP(AN$10,'VK-Hooned-Soojus'!$C:$X,2+$C28,FALSE),0)+IF(AN$6="X",VLOOKUP(AN$10,'VK-Transport'!$C:$X,2+$B28,0))+IF(AN$8="X",VLOOKUP(AN$10,'VK-Elekter'!$C:$X,2+$D28,0))+IF(AN$9="X",VLOOKUP(AN$10,'VK-Biokütused'!$C:$U,2+$E28,0))+IF(AN$5="X",VLOOKUP(AN$10,'VK-Põlevkivi'!$C:$X,2+$G28,0))+IF(AN$4="X",VLOOKUP(AN$10,'VK-Võrgud'!$C:$X,2+$F28,0))</f>
        <v>4.8999999999999995</v>
      </c>
      <c r="AO28" s="209">
        <f>IF(AO$7="X",VLOOKUP(AO$10,'VK-Hooned-Soojus'!$C:$X,2+$C28,FALSE),0)+IF(AO$6="X",VLOOKUP(AO$10,'VK-Transport'!$C:$X,2+$B28,0))+IF(AO$8="X",VLOOKUP(AO$10,'VK-Elekter'!$C:$X,2+$D28,0))+IF(AO$9="X",VLOOKUP(AO$10,'VK-Biokütused'!$C:$U,2+$E28,0))+IF(AO$5="X",VLOOKUP(AO$10,'VK-Põlevkivi'!$C:$X,2+$G28,0))+IF(AO$4="X",VLOOKUP(AO$10,'VK-Võrgud'!$C:$X,2+$F28,0))</f>
        <v>12.56</v>
      </c>
      <c r="AP28" s="209">
        <f>IF(AP$7="X",VLOOKUP(AP$10,'VK-Hooned-Soojus'!$C:$X,2+$C28,FALSE),0)+IF(AP$6="X",VLOOKUP(AP$10,'VK-Transport'!$C:$X,2+$B28,0))+IF(AP$8="X",VLOOKUP(AP$10,'VK-Elekter'!$C:$X,2+$D28,0))+IF(AP$9="X",VLOOKUP(AP$10,'VK-Biokütused'!$C:$U,2+$E28,0))+IF(AP$5="X",VLOOKUP(AP$10,'VK-Põlevkivi'!$C:$X,2+$G28,0))+IF(AP$4="X",VLOOKUP(AP$10,'VK-Võrgud'!$C:$X,2+$F28,0))</f>
        <v>6.28</v>
      </c>
      <c r="AQ28" s="320">
        <f t="shared" si="14"/>
        <v>0.25999999999999979</v>
      </c>
      <c r="AR28" s="209">
        <f>IF(AR$7="X",VLOOKUP(AR$10,'VK-Hooned-Soojus'!$C:$X,2+$C28,FALSE),0)+IF(AR$6="X",VLOOKUP(AR$10,'VK-Transport'!$C:$X,2+$B28,0))+IF(AR$8="X",VLOOKUP(AR$10,'VK-Elekter'!$C:$X,2+$D28,0))+IF(AR$9="X",VLOOKUP(AR$10,'VK-Biokütused'!$C:$U,2+$E28,0))+IF(AR$5="X",VLOOKUP(AR$10,'VK-Põlevkivi'!$C:$X,2+$G28,0))+IF(AR$4="X",VLOOKUP(AR$10,'VK-Võrgud'!$C:$X,2+$F28,0))</f>
        <v>2.8899999999999997</v>
      </c>
      <c r="AS28" s="320">
        <f>VLOOKUP("Kütuste tarbimine @ 2030 - UTTEGAAS",'VK-Hooned-Soojus'!$C:$X,2+$C28,FALSE)/0.172+VLOOKUP("Kütuste tarbimine @ 2030 - UTTEGAAS",'VK-Elekter'!$C:$X,2+$D28,FALSE)/0.172-AR28-AU28</f>
        <v>2.8565116279069773</v>
      </c>
      <c r="AT28" s="209">
        <f>IF(AT$7="X",VLOOKUP(AT$10,'VK-Hooned-Soojus'!$C:$X,2+$C28,FALSE),0)+IF(AT$6="X",VLOOKUP(AT$10,'VK-Transport'!$C:$X,2+$B28,0))+IF(AT$8="X",VLOOKUP(AT$10,'VK-Elekter'!$C:$X,2+$D28,0))+IF(AT$9="X",VLOOKUP(AT$10,'VK-Biokütused'!$C:$U,2+$E28,0))+IF(AT$5="X",VLOOKUP(AT$10,'VK-Põlevkivi'!$C:$X,2+$G28,0))+IF(AT$4="X",VLOOKUP(AT$10,'VK-Võrgud'!$C:$X,2+$F28,0))</f>
        <v>12.004929222526066</v>
      </c>
      <c r="AU28" s="229">
        <f>MAX(0,(VLOOKUP("Kütuste tarbimine @ 2030 - UTTEGAAS",'VK-Hooned-Soojus'!$C:$X,2+$C28,FALSE)/0.172+VLOOKUP("Kütuste tarbimine @ 2030 - UTTEGAAS",'VK-Elekter'!$C:$X,2+$D28,FALSE)/0.172)*0.52-VLOOKUP("Kütuste tarbimine @ 2030 - PÕLEVKIVIÕLI",'VK-Hooned-Soojus'!$C:$X,2+$C28,FALSE))</f>
        <v>5.1837209302325586</v>
      </c>
      <c r="AV28" s="209">
        <f>IF(AV$7="X",VLOOKUP(AV$10,'VK-Hooned-Soojus'!$C:$X,2+$C28,FALSE),0)+IF(AV$6="X",VLOOKUP(AV$10,'VK-Transport'!$C:$X,2+$B28,0))+IF(AV$8="X",VLOOKUP(AV$10,'VK-Elekter'!$C:$X,2+$D28,0))+IF(AV$9="X",VLOOKUP(AV$10,'VK-Biokütused'!$C:$U,2+$E28,0))+IF(AV$5="X",VLOOKUP(AV$10,'VK-Põlevkivi'!$C:$X,2+$G28,0))+IF(AV$4="X",VLOOKUP(AV$10,'VK-Võrgud'!$C:$X,2+$F28,0))</f>
        <v>1.1831224847375093</v>
      </c>
      <c r="AW28" s="209">
        <f>IF(AW$7="X",VLOOKUP(AW$10,'VK-Hooned-Soojus'!$C:$X,2+$C28,FALSE),0)+IF(AW$6="X",VLOOKUP(AW$10,'VK-Transport'!$C:$X,2+$B28,0))+IF(AW$8="X",VLOOKUP(AW$10,'VK-Elekter'!$C:$X,2+$D28,0))+IF(AW$9="X",VLOOKUP(AW$10,'VK-Biokütused'!$C:$U,2+$E28,0))+IF(AW$5="X",VLOOKUP(AW$10,'VK-Põlevkivi'!$C:$X,2+$G28,0))+IF(AW$4="X",VLOOKUP(AW$10,'VK-Võrgud'!$C:$X,2+$F28,0))</f>
        <v>4.2799999999999994</v>
      </c>
      <c r="AX28" s="229">
        <f t="shared" si="34"/>
        <v>3.0968775152624901</v>
      </c>
      <c r="AY28" s="229">
        <f t="shared" si="15"/>
        <v>0</v>
      </c>
      <c r="AZ28" s="230">
        <f t="shared" si="0"/>
        <v>0.57832516657529365</v>
      </c>
      <c r="BA28" s="209">
        <f>IF(BA$7="X",VLOOKUP(BA$10,'VK-Hooned-Soojus'!$C:$X,2+$C28,FALSE),0)+IF(BA$6="X",VLOOKUP(BA$10,'VK-Transport'!$C:$X,2+$B28,0))+IF(BA$8="X",VLOOKUP(BA$10,'VK-Elekter'!$C:$X,2+$D28,0))+IF(BA$9="X",VLOOKUP(BA$10,'VK-Biokütused'!$C:$U,2+$E28,0))+IF(BA$5="X",VLOOKUP(BA$10,'VK-Põlevkivi'!$C:$X,2+$G28,0))+IF(BA$4="X",VLOOKUP(BA$10,'VK-Võrgud'!$C:$X,2+$F28,0))</f>
        <v>4.25</v>
      </c>
      <c r="BB28" s="209">
        <f>IF(BB$7="X",VLOOKUP(BB$10,'VK-Hooned-Soojus'!$C:$X,2+$C28,FALSE),0)+IF(BB$6="X",VLOOKUP(BB$10,'VK-Transport'!$C:$X,2+$B28,0))+IF(BB$8="X",VLOOKUP(BB$10,'VK-Elekter'!$C:$X,2+$D28,0))+IF(BB$9="X",VLOOKUP(BB$10,'VK-Biokütused'!$C:$U,2+$E28,0))+IF(BB$5="X",VLOOKUP(BB$10,'VK-Põlevkivi'!$C:$X,2+$G28,0))+IF(BB$4="X",VLOOKUP(BB$10,'VK-Võrgud'!$C:$X,2+$F28,0))</f>
        <v>2.93</v>
      </c>
      <c r="BC28" s="209">
        <f>IF(BC$7="X",VLOOKUP(BC$10,'VK-Hooned-Soojus'!$C:$X,2+$C28,FALSE),0)+IF(BC$6="X",VLOOKUP(BC$10,'VK-Transport'!$C:$X,2+$B28,0))+IF(BC$8="X",VLOOKUP(BC$10,'VK-Elekter'!$C:$X,2+$D28,0))+IF(BC$9="X",VLOOKUP(BC$10,'VK-Biokütused'!$C:$U,2+$E28,0))+IF(BC$5="X",VLOOKUP(BC$10,'VK-Põlevkivi'!$C:$X,2+$G28,0))+IF(BC$4="X",VLOOKUP(BC$10,'VK-Võrgud'!$C:$X,2+$F28,0))</f>
        <v>6.5993333333333322</v>
      </c>
      <c r="BD28" s="209">
        <f>IF(BD$7="X",VLOOKUP(BD$10,'VK-Hooned-Soojus'!$C:$X,2+$C28,FALSE),0)+IF(BD$6="X",VLOOKUP(BD$10,'VK-Transport'!$C:$X,2+$B28,0))+IF(BD$8="X",VLOOKUP(BD$10,'VK-Elekter'!$C:$X,2+$D28,0))+IF(BD$9="X",VLOOKUP(BD$10,'VK-Biokütused'!$C:$U,2+$E28,0))+IF(BD$5="X",VLOOKUP(BD$10,'VK-Põlevkivi'!$C:$X,2+$G28,0))+IF(BD$4="X",VLOOKUP(BD$10,'VK-Võrgud'!$C:$X,2+$F28,0))</f>
        <v>9.425416666666667</v>
      </c>
      <c r="BE28" s="230"/>
      <c r="BF28" s="229">
        <f t="shared" si="16"/>
        <v>0.30502832668268498</v>
      </c>
      <c r="BG28" s="209" t="e">
        <f>(IF(BG$7="X",VLOOKUP(BG$10,'VK-Hooned-Soojus'!$C:$X,2+$C28,FALSE),0)+IF(BG$6="X",VLOOKUP(BG$10,'VK-Transport'!$C:$X,2+$B28,0))+IF(BG$8="X",VLOOKUP(BG$10,'VK-Elekter'!$C:$X,2+$D28,0))+IF(BG$9="X",VLOOKUP(BG$10,'VK-Biokütused'!$C:$U,2+$E28,0))+IF(BG$5="X",VLOOKUP(BG$10,'VK-Põlevkivi'!$C:$X,2+$G28,0))+IF(BG$4="X",VLOOKUP(BG$10,'VK-Võrgud'!$C:$X,2+$F28,0)))/20</f>
        <v>#N/A</v>
      </c>
      <c r="BH28" s="209">
        <f>(IF(BH$7="X",VLOOKUP(BH$10,'VK-Hooned-Soojus'!$C:$X,2+$C28,FALSE),0)+IF(BH$6="X",VLOOKUP(BH$10,'VK-Transport'!$C:$X,2+$B28,0))+IF(BH$8="X",VLOOKUP(BH$10,'VK-Elekter'!$C:$X,2+$D28,0))+IF(BH$9="X",VLOOKUP(BH$10,'VK-Biokütused'!$C:$U,2+$E28,0))+IF(BH$5="X",VLOOKUP(BH$10,'VK-Põlevkivi'!$C:$X,2+$G28,0))+IF(BH$4="X",VLOOKUP(BH$10,'VK-Võrgud'!$C:$X,2+$F28,0)))/20</f>
        <v>45.08</v>
      </c>
      <c r="BI28" s="209">
        <f>(IF(BI$7="X",VLOOKUP(BI$10,'VK-Hooned-Soojus'!$C:$X,2+$C28,FALSE),0)+IF(BI$6="X",VLOOKUP(BI$10,'VK-Transport'!$C:$X,2+$B28,0))+IF(BI$8="X",VLOOKUP(BI$10,'VK-Elekter'!$C:$X,2+$D28,0))+IF(BI$9="X",VLOOKUP(BI$10,'VK-Biokütused'!$C:$U,2+$E28,0))+IF(BI$5="X",VLOOKUP(BI$10,'VK-Põlevkivi'!$C:$X,2+$G28,0))+IF(BI$4="X",VLOOKUP(BI$10,'VK-Võrgud'!$C:$X,2+$F28,0)))/16</f>
        <v>14.1875</v>
      </c>
      <c r="BJ28" s="209">
        <f>(IF(BJ$7="X",VLOOKUP(BJ$10,'VK-Hooned-Soojus'!$C:$X,2+$C28,FALSE),0)+IF(BJ$6="X",VLOOKUP(BJ$10,'VK-Transport'!$C:$X,2+$B28,0))+IF(BJ$8="X",VLOOKUP(BJ$10,'VK-Elekter'!$C:$X,2+$D28,0))+IF(BJ$9="X",VLOOKUP(BJ$10,'VK-Biokütused'!$C:$U,2+$E28,0))+IF(BJ$5="X",VLOOKUP(BJ$10,'VK-Põlevkivi'!$C:$X,2+$G28,0))+IF(BJ$4="X",VLOOKUP(BJ$10,'VK-Võrgud'!$C:$X,2+$F28,0)))/20</f>
        <v>3.91</v>
      </c>
      <c r="BK28" s="209"/>
      <c r="BL28" s="209"/>
      <c r="BM28" s="209"/>
      <c r="BN28" s="209" t="e">
        <f>(IF(BN$7="X",VLOOKUP(BN$10,'VK-Hooned-Soojus'!$C:$X,2+$C28,FALSE),0)+IF(BN$6="X",VLOOKUP(BN$10,'VK-Transport'!$C:$X,2+$B28,0))+IF(BN$8="X",VLOOKUP(BN$10,'VK-Elekter'!$C:$X,2+$D28,0))+IF(BN$9="X",VLOOKUP(BN$10,'VK-Biokütused'!$C:$U,2+$E28,0))+IF(BN$5="X",VLOOKUP(BN$10,'VK-Põlevkivi'!$C:$X,2+$G28,0))+IF(BN$4="X",VLOOKUP(BN$10,'VK-Võrgud'!$C:$X,2+$F28,0)))/16</f>
        <v>#N/A</v>
      </c>
      <c r="BO28" s="209">
        <f>(IF(BO$7="X",VLOOKUP(BO$10,'VK-Hooned-Soojus'!$C:$X,2+$C28,FALSE),0)+IF(BO$6="X",VLOOKUP(BO$10,'VK-Transport'!$C:$X,2+$B28,0))+IF(BO$8="X",VLOOKUP(BO$10,'VK-Elekter'!$C:$X,2+$D28,0))+IF(BO$9="X",VLOOKUP(BO$10,'VK-Biokütused'!$C:$U,2+$E28,0))+IF(BO$5="X",VLOOKUP(BO$10,'VK-Põlevkivi'!$C:$X,2+$G28,0))+IF(BO$4="X",VLOOKUP(BO$10,'VK-Võrgud'!$C:$X,2+$F28,0)))/16</f>
        <v>496.33125000000001</v>
      </c>
      <c r="BP28" s="209"/>
      <c r="BQ28" s="209">
        <f>(IF(BQ$7="X",VLOOKUP(BQ$10,'VK-Hooned-Soojus'!$C:$X,2+$C28,FALSE),0)+IF(BQ$6="X",VLOOKUP(BQ$10,'VK-Transport'!$C:$X,2+$B28,0))+IF(BQ$8="X",VLOOKUP(BQ$10,'VK-Elekter'!$C:$X,2+$D28,0))+IF(BQ$9="X",VLOOKUP(BQ$10,'VK-Biokütused'!$C:$U,2+$E28,0))+IF(BQ$5="X",VLOOKUP(BQ$10,'VK-Põlevkivi'!$C:$X,2+$G28,0))+IF(BQ$4="X",VLOOKUP(BQ$10,'VK-Võrgud'!$C:$X,2+$F28,0)))/16</f>
        <v>4.7249999999999996</v>
      </c>
      <c r="BR28" s="209">
        <f>(IF(BR$7="X",VLOOKUP(BR$10,'VK-Hooned-Soojus'!$C:$X,2+$C28,FALSE),0)+IF(BR$6="X",VLOOKUP(BR$10,'VK-Transport'!$C:$X,2+$B28,0))+IF(BR$8="X",VLOOKUP(BR$10,'VK-Elekter'!$C:$X,2+$D28,0))+IF(BR$9="X",VLOOKUP(BR$10,'VK-Biokütused'!$C:$U,2+$E28,0))+IF(BR$5="X",VLOOKUP(BR$10,'VK-Põlevkivi'!$C:$X,2+$G28,0))+IF(BR$4="X",VLOOKUP(BR$10,'VK-Võrgud'!$C:$X,2+$F28,0)))/16</f>
        <v>-74.512500000000003</v>
      </c>
      <c r="BS28" s="209">
        <f>(IF(BS$7="X",VLOOKUP(BS$10,'VK-Hooned-Soojus'!$C:$X,2+$C28,FALSE),0)+IF(BS$6="X",VLOOKUP(BS$10,'VK-Transport'!$C:$X,2+$B28,0))+IF(BS$8="X",VLOOKUP(BS$10,'VK-Elekter'!$C:$X,2+$D28,0))+IF(BS$9="X",VLOOKUP(BS$10,'VK-Biokütused'!$C:$U,2+$E28,0))+IF(BS$5="X",VLOOKUP(BS$10,'VK-Põlevkivi'!$C:$X,2+$G28,0))+IF(BS$4="X",VLOOKUP(BS$10,'VK-Võrgud'!$C:$X,2+$F28,0)))/16</f>
        <v>-100.68125000000001</v>
      </c>
      <c r="BT28" s="209"/>
      <c r="BU28" s="209"/>
      <c r="BV28" s="209">
        <f>(IF(BV$7="X",VLOOKUP(BV$10,'VK-Hooned-Soojus'!$C:$X,2+$C28,FALSE),0)+IF(BV$6="X",VLOOKUP(BV$10,'VK-Transport'!$C:$X,2+$B28,0))+IF(BV$8="X",VLOOKUP(BV$10,'VK-Elekter'!$C:$X,2+$D28,0))+IF(BV$9="X",VLOOKUP(BV$10,'VK-Biokütused'!$C:$U,2+$E28,0))+IF(BV$5="X",VLOOKUP(BV$10,'VK-Põlevkivi'!$C:$X,2+$G28,0))+IF(BV$4="X",VLOOKUP(BV$10,'VK-Võrgud'!$C:$X,2+$F28,0)))/16</f>
        <v>0</v>
      </c>
      <c r="BW28" s="209"/>
      <c r="BX28" s="209">
        <f>(IF(BX$7="X",VLOOKUP(BX$10,'VK-Hooned-Soojus'!$C:$X,2+$C28,FALSE),0)+IF(BX$6="X",VLOOKUP(BX$10,'VK-Transport'!$C:$X,2+$B28,0))+IF(BX$8="X",VLOOKUP(BX$10,'VK-Elekter'!$C:$X,2+$D28,0))+IF(BX$9="X",VLOOKUP(BX$10,'VK-Biokütused'!$C:$U,2+$E28,0))+IF(BX$5="X",VLOOKUP(BX$10,'VK-Põlevkivi'!$C:$X,2+$G28,0))+IF(BX$4="X",VLOOKUP(BX$10,'VK-Võrgud'!$C:$X,2+$F28,0)))/16</f>
        <v>-99.6875</v>
      </c>
      <c r="BY28" s="209"/>
      <c r="BZ28" s="209"/>
      <c r="CA28" s="209" t="e">
        <f>(IF(CA$7="X",VLOOKUP(CA$10,'VK-Hooned-Soojus'!$C:$X,2+$C28,FALSE),0)+IF(CA$6="X",VLOOKUP(CA$10,'VK-Transport'!$C:$X,2+$B28,0))+IF(CA$8="X",VLOOKUP(CA$10,'VK-Elekter'!$C:$X,2+$D28,0))+IF(CA$9="X",VLOOKUP(CA$10,'VK-Biokütused'!$C:$U,2+$E28,0))+IF(CA$5="X",VLOOKUP(CA$10,'VK-Põlevkivi'!$C:$X,2+$G28,0))+IF(CA$4="X",VLOOKUP(CA$10,'VK-Võrgud'!$C:$X,2+$F28,0)))/16</f>
        <v>#N/A</v>
      </c>
      <c r="CB28" s="209">
        <f>(IF(CB$7="X",VLOOKUP(CB$10,'VK-Hooned-Soojus'!$C:$X,2+$C28,FALSE),0)+IF(CB$6="X",VLOOKUP(CB$10,'VK-Transport'!$C:$X,2+$B28,0))+IF(CB$8="X",VLOOKUP(CB$10,'VK-Elekter'!$C:$X,2+$D28,0))+IF(CB$9="X",VLOOKUP(CB$10,'VK-Biokütused'!$C:$U,2+$E28,0))+IF(CB$5="X",VLOOKUP(CB$10,'VK-Põlevkivi'!$C:$X,2+$G28,0))+IF(CB$4="X",VLOOKUP(CB$10,'VK-Võrgud'!$C:$X,2+$F28,0)))/16</f>
        <v>0</v>
      </c>
      <c r="CC28" s="209">
        <f>(IF(CC$7="X",VLOOKUP(CC$10,'VK-Hooned-Soojus'!$C:$X,2+$C28,FALSE),0)+IF(CC$6="X",VLOOKUP(CC$10,'VK-Transport'!$C:$X,2+$B28,0))+IF(CC$8="X",VLOOKUP(CC$10,'VK-Elekter'!$C:$X,2+$D28,0))+IF(CC$9="X",VLOOKUP(CC$10,'VK-Biokütused'!$C:$U,2+$E28,0))+IF(CC$5="X",VLOOKUP(CC$10,'VK-Põlevkivi'!$C:$X,2+$G28,0))+IF(CC$4="X",VLOOKUP(CC$10,'VK-Võrgud'!$C:$X,2+$F28,0)))/16</f>
        <v>0</v>
      </c>
      <c r="CD28" s="209"/>
      <c r="CE28" s="209">
        <f>(IF(CE$7="X",VLOOKUP(CE$10,'VK-Hooned-Soojus'!$C:$X,2+$C28,FALSE),0)+IF(CE$6="X",VLOOKUP(CE$10,'VK-Transport'!$C:$X,2+$B28,0))+IF(CE$8="X",VLOOKUP(CE$10,'VK-Elekter'!$C:$X,2+$D28,0))+IF(CE$9="X",VLOOKUP(CE$10,'VK-Biokütused'!$C:$U,2+$E28,0))+IF(CE$5="X",VLOOKUP(CE$10,'VK-Põlevkivi'!$C:$X,2+$G28,0))+IF(CE$4="X",VLOOKUP(CE$10,'VK-Võrgud'!$C:$X,2+$F28,0)))/16</f>
        <v>24.15625</v>
      </c>
      <c r="CF28" s="209"/>
      <c r="CG28" s="209">
        <f>(IF(CG$7="X",VLOOKUP(CG$10,'VK-Hooned-Soojus'!$C:$X,2+$C28,FALSE),0)+IF(CG$6="X",VLOOKUP(CG$10,'VK-Transport'!$C:$X,2+$B28,0))+IF(CG$8="X",VLOOKUP(CG$10,'VK-Elekter'!$C:$X,2+$D28,0))+IF(CG$9="X",VLOOKUP(CG$10,'VK-Biokütused'!$C:$U,2+$E28,0))+IF(CG$5="X",VLOOKUP(CG$10,'VK-Põlevkivi'!$C:$X,2+$G28,0))+IF(CG$4="X",VLOOKUP(CG$10,'VK-Võrgud'!$C:$X,2+$F28,0)))/16</f>
        <v>0</v>
      </c>
      <c r="CH28" s="209">
        <f>(IF(CH$7="X",VLOOKUP(CH$10,'VK-Hooned-Soojus'!$C:$X,2+$C28,FALSE),0)+IF(CH$6="X",VLOOKUP(CH$10,'VK-Transport'!$C:$X,2+$B28,0))+IF(CH$8="X",VLOOKUP(CH$10,'VK-Elekter'!$C:$X,2+$D28,0))+IF(CH$9="X",VLOOKUP(CH$10,'VK-Biokütused'!$C:$U,2+$E28,0))+IF(CH$5="X",VLOOKUP(CH$10,'VK-Põlevkivi'!$C:$X,2+$G28,0))+IF(CH$4="X",VLOOKUP(CH$10,'VK-Võrgud'!$C:$X,2+$F28,0)))/20*0.21</f>
        <v>11.225549999999998</v>
      </c>
      <c r="CI28" s="209"/>
      <c r="CJ28" s="209">
        <f>(IF(CJ$7="X",VLOOKUP(CJ$10,'VK-Hooned-Soojus'!$C:$X,2+$C28,FALSE),0)+IF(CJ$6="X",VLOOKUP(CJ$10,'VK-Transport'!$C:$X,2+$B28,0))+IF(CJ$8="X",VLOOKUP(CJ$10,'VK-Elekter'!$C:$X,2+$D28,0))+IF(CJ$9="X",VLOOKUP(CJ$10,'VK-Biokütused'!$C:$U,2+$E28,0))+IF(CJ$5="X",VLOOKUP(CJ$10,'VK-Põlevkivi'!$C:$X,2+$G28,0))+IF(CJ$4="X",VLOOKUP(CJ$10,'VK-Võrgud'!$C:$X,2+$F28,0)))/1000</f>
        <v>19.289000000000001</v>
      </c>
      <c r="CK28" s="209">
        <f>(IF(CK$7="X",VLOOKUP(CK$10,'VK-Hooned-Soojus'!$C:$X,2+$C28,FALSE),0)+IF(CK$6="X",VLOOKUP(CK$10,'VK-Transport'!$C:$X,2+$B28,0))+IF(CK$8="X",VLOOKUP(CK$10,'VK-Elekter'!$C:$X,2+$D28,0))+IF(CK$9="X",VLOOKUP(CK$10,'VK-Biokütused'!$C:$U,2+$E28,0))+IF(CK$5="X",VLOOKUP(CK$10,'VK-Põlevkivi'!$C:$X,2+$G28,0))+IF(CK$4="X",VLOOKUP(CK$10,'VK-Võrgud'!$C:$X,2+$F28,0)))/1000</f>
        <v>11.87654313437131</v>
      </c>
      <c r="CL28" s="235">
        <f>(IF(CL$7="X",VLOOKUP(CL$10,'VK-Hooned-Soojus'!$C:$X,2+$C28,FALSE),0)+IF(CL$6="X",VLOOKUP(CL$10,'VK-Transport'!$C:$X,2+$B28,0))+IF(CL$8="X",VLOOKUP(CL$10,'VK-Elekter'!$C:$X,2+$D28,0))+IF(CL$9="X",VLOOKUP(CL$10,'VK-Biokütused'!$C:$U,2+$E28,0)))/1000</f>
        <v>9.1482332703934581</v>
      </c>
      <c r="CM28" s="209">
        <f>(IF(CM$7="X",VLOOKUP(CM$10,'VK-Hooned-Soojus'!$C:$X,2+$C28,FALSE),0)+IF(CM$6="X",VLOOKUP(CM$10,'VK-Transport'!$C:$X,2+$B28,0))+IF(CM$8="X",VLOOKUP(CM$10,'VK-Elekter'!$C:$X,2+$D28,0))+IF(CM$9="X",VLOOKUP(CM$10,'VK-Biokütused'!$C:$U,2+$E28,0))+IF(CM$5="X",VLOOKUP(CM$10,'VK-Põlevkivi'!$C:$X,2+$G28,0))+IF(CM$4="X",VLOOKUP(CM$10,'VK-Võrgud'!$C:$X,2+$F28,0)))/1000</f>
        <v>7.7960000000000003</v>
      </c>
      <c r="CN28" s="209">
        <f>(IF(CN$7="X",VLOOKUP(CN$10,'VK-Hooned-Soojus'!$C:$X,2+$C28,FALSE),0)+IF(CN$6="X",VLOOKUP(CN$10,'VK-Transport'!$C:$X,2+$B28,0))+IF(CN$8="X",VLOOKUP(CN$10,'VK-Elekter'!$C:$X,2+$D28,0))+IF(CN$9="X",VLOOKUP(CN$10,'VK-Biokütused'!$C:$U,2+$E28,0))+IF(CN$5="X",VLOOKUP(CN$10,'VK-Põlevkivi'!$C:$X,2+$G28,0))+IF(CN$4="X",VLOOKUP(CN$10,'VK-Võrgud'!$C:$X,2+$F28,0)))/1000</f>
        <v>2.851</v>
      </c>
      <c r="CO28" s="209">
        <f>(IF(CO$7="X",VLOOKUP(CO$10,'VK-Hooned-Soojus'!$C:$X,2+$C28,FALSE),0)+IF(CO$6="X",VLOOKUP(CO$10,'VK-Transport'!$C:$X,2+$B28,0))+IF(CO$8="X",VLOOKUP(CO$10,'VK-Elekter'!$C:$X,2+$D28,0))+IF(CO$9="X",VLOOKUP(CO$10,'VK-Biokütused'!$C:$U,2+$E28,0))+IF(CO$5="X",VLOOKUP(CO$10,'VK-Põlevkivi'!$C:$X,2+$G28,0))+IF(CO$4="X",VLOOKUP(CO$10,'VK-Võrgud'!$C:$X,2+$F28,0)))/1000</f>
        <v>25.291649773285457</v>
      </c>
      <c r="CP28" s="209">
        <f>(IF(CP$7="X",VLOOKUP(CP$10,'VK-Hooned-Soojus'!$C:$X,2+$C28,FALSE),0)+IF(CP$6="X",VLOOKUP(CP$10,'VK-Transport'!$C:$X,2+$B28,0))+IF(CP$8="X",VLOOKUP(CP$10,'VK-Elekter'!$C:$X,2+$D28,0))+IF(CP$9="X",VLOOKUP(CP$10,'VK-Biokütused'!$C:$U,2+$E28,0))+IF(CP$5="X",VLOOKUP(CP$10,'VK-Põlevkivi'!$C:$X,2+$G28,0))+IF(CP$4="X",VLOOKUP(CP$10,'VK-Võrgud'!$C:$X,2+$F28,0)))/1000</f>
        <v>13.443948584295613</v>
      </c>
      <c r="CQ28" s="235">
        <f>(IF(CQ$7="X",VLOOKUP(CQ$10,'VK-Hooned-Soojus'!$C:$X,2+$C28,FALSE),0)+IF(CQ$6="X",VLOOKUP(CQ$10,'VK-Transport'!$C:$X,2+$B28,0))+IF(CQ$8="X",VLOOKUP(CQ$10,'VK-Elekter'!$C:$X,2+$D28,0))+IF(CQ$9="X",VLOOKUP(CQ$10,'VK-Biokütused'!$C:$U,2+$E28,0)))/1000</f>
        <v>10.965907</v>
      </c>
      <c r="CR28" s="209">
        <f>(IF(CR$7="X",VLOOKUP(CR$10,'VK-Hooned-Soojus'!$C:$X,2+$C28,FALSE),0)+IF(CR$6="X",VLOOKUP(CR$10,'VK-Transport'!$C:$X,2+$B28,0))+IF(CR$8="X",VLOOKUP(CR$10,'VK-Elekter'!$C:$X,2+$D28,0))+IF(CR$9="X",VLOOKUP(CR$10,'VK-Biokütused'!$C:$U,2+$E28,0))+IF(CR$5="X",VLOOKUP(CR$10,'VK-Põlevkivi'!$C:$X,2+$G28,0))+IF(CR$4="X",VLOOKUP(CR$10,'VK-Võrgud'!$C:$X,2+$F28,0)))/1000</f>
        <v>7.8937533562748037</v>
      </c>
      <c r="CS28" s="209">
        <f>(IF(CS$7="X",VLOOKUP(CS$10,'VK-Hooned-Soojus'!$C:$X,2+$C28,FALSE),0)+IF(CS$6="X",VLOOKUP(CS$10,'VK-Transport'!$C:$X,2+$B28,0))+IF(CS$8="X",VLOOKUP(CS$10,'VK-Elekter'!$C:$X,2+$D28,0))+IF(CS$9="X",VLOOKUP(CS$10,'VK-Biokütused'!$C:$U,2+$E28,0))+IF(CS$5="X",VLOOKUP(CS$10,'VK-Põlevkivi'!$C:$X,2+$G28,0))+IF(CS$4="X",VLOOKUP(CS$10,'VK-Võrgud'!$C:$X,2+$F28,0)))/1000</f>
        <v>3.966152405121615</v>
      </c>
      <c r="CT28" s="209">
        <f>IF(CT$7="X",VLOOKUP(CT$10,'VK-Hooned-Soojus'!$C:$X,2+$C28,FALSE),0)+IF(CT$6="X",VLOOKUP(CT$10,'VK-Transport'!$C:$X,2+$B28,0))+IF(CT$8="X",VLOOKUP(CT$10,'VK-Elekter'!$C:$X,2+$D28,0))+IF(CT$9="X",VLOOKUP(CT$10,'VK-Biokütused'!$C:$U,2+$E28,0))+IF(CT$5="X",VLOOKUP(CT$10,'VK-Põlevkivi'!$C:$X,2+$G28,0))+IF(CT$4="X",VLOOKUP(CT$10,'VK-Võrgud'!$C:$X,2+$F28,0))</f>
        <v>90</v>
      </c>
      <c r="CU28" s="209">
        <f>IF(CU$7="X",VLOOKUP(CU$10,'VK-Hooned-Soojus'!$C:$X,2+$C28,FALSE),0)+IF(CU$6="X",VLOOKUP(CU$10,'VK-Transport'!$C:$X,2+$B28,0))+IF(CU$8="X",VLOOKUP(CU$10,'VK-Elekter'!$C:$X,2+$D28,0))+IF(CU$9="X",VLOOKUP(CU$10,'VK-Biokütused'!$C:$U,2+$E28,0))+IF(CU$5="X",VLOOKUP(CU$10,'VK-Põlevkivi'!$C:$X,2+$G28,0))+IF(CU$4="X",VLOOKUP(CU$10,'VK-Võrgud'!$C:$X,2+$F28,0))</f>
        <v>0.72088353413654627</v>
      </c>
      <c r="CV28" s="209">
        <f t="shared" si="1"/>
        <v>0.91028830406496786</v>
      </c>
      <c r="CW28" s="209">
        <f>(IF(CW$7="X",VLOOKUP(CW$10,'VK-Hooned-Soojus'!$C:$X,2+$C28,FALSE),0)+IF(CW$6="X",VLOOKUP(CW$10,'VK-Transport'!$C:$X,2+$B28,0))+IF(CW$8="X",VLOOKUP(CW$10,'VK-Elekter'!$C:$X,2+$D28,0))+IF(CW$9="X",VLOOKUP(CW$10,'VK-Biokütused'!$C:$U,2+$E28,0))+IF(CW$5="X",VLOOKUP(CW$10,'VK-Põlevkivi'!$C:$X,2+$G28,0))+IF(CW$4="X",VLOOKUP(CW$10,'VK-Võrgud'!$C:$X,2+$F28,0)))/16</f>
        <v>126.01875</v>
      </c>
      <c r="CY28" s="209">
        <f>(IF(CY$7="X",VLOOKUP(CY$10,'VK-Hooned-Soojus'!$C:$X,2+$C28,FALSE),0)+IF(CY$6="X",VLOOKUP(CY$10,'VK-Transport'!$C:$X,2+$B28,0))+IF(CY$8="X",VLOOKUP(CY$10,'VK-Elekter'!$C:$X,2+$D28,0))+IF(CY$9="X",VLOOKUP(CY$10,'VK-Biokütused'!$C:$U,2+$E28,0))+IF(CY$5="X",VLOOKUP(CY$10,'VK-Põlevkivi'!$C:$X,2+$G28,0))+IF(CY$4="X",VLOOKUP(CY$10,'VK-Võrgud'!$C:$X,2+$F28,0)))/1000</f>
        <v>11.166</v>
      </c>
      <c r="CZ28" s="209">
        <f>(IF(CZ$7="X",VLOOKUP(CZ$10,'VK-Hooned-Soojus'!$C:$X,2+$C28,FALSE),0)+IF(CZ$6="X",VLOOKUP(CZ$10,'VK-Transport'!$C:$X,2+$B28,0))+IF(CZ$8="X",VLOOKUP(CZ$10,'VK-Elekter'!$C:$X,2+$D28,0))+IF(CZ$9="X",VLOOKUP(CZ$10,'VK-Biokütused'!$C:$U,2+$E28,0))+IF(CZ$5="X",VLOOKUP(CZ$10,'VK-Põlevkivi'!$C:$X,2+$G28,0))+IF(CZ$4="X",VLOOKUP(CZ$10,'VK-Võrgud'!$C:$X,2+$F28,0)))</f>
        <v>76</v>
      </c>
      <c r="DA28" s="209">
        <f>(IF(DA$7="X",VLOOKUP(DA$10,'VK-Hooned-Soojus'!$C:$X,2+$C28,FALSE),0)+IF(DA$6="X",VLOOKUP(DA$10,'VK-Transport'!$C:$X,2+$B28,0))+IF(DA$8="X",VLOOKUP(DA$10,'VK-Elekter'!$C:$X,2+$D28,0))+IF(DA$9="X",VLOOKUP(DA$10,'VK-Biokütused'!$C:$U,2+$E28,0))+IF(DA$5="X",VLOOKUP(DA$10,'VK-Põlevkivi'!$C:$X,2+$G28,0))+IF(DA$4="X",VLOOKUP(DA$10,'VK-Võrgud'!$C:$X,2+$F28,0)))/1000</f>
        <v>14.863</v>
      </c>
      <c r="DB28" s="209">
        <f>(IF(DB$7="X",VLOOKUP(DB$10,'VK-Hooned-Soojus'!$C:$X,2+$C28,FALSE),0)+IF(DB$6="X",VLOOKUP(DB$10,'VK-Transport'!$C:$X,2+$B28,0))+IF(DB$8="X",VLOOKUP(DB$10,'VK-Elekter'!$C:$X,2+$D28,0))+IF(DB$9="X",VLOOKUP(DB$10,'VK-Biokütused'!$C:$U,2+$E28,0))+IF(DB$5="X",VLOOKUP(DB$10,'VK-Põlevkivi'!$C:$X,2+$G28,0))+IF(DB$4="X",VLOOKUP(DB$10,'VK-Võrgud'!$C:$X,2+$F28,0)))/1000/3.6</f>
        <v>66.295277777777784</v>
      </c>
      <c r="DC28" s="209">
        <f>(IF(DC$7="X",VLOOKUP(DC$10,'VK-Hooned-Soojus'!$C:$X,2+$C28,FALSE),0)+IF(DC$6="X",VLOOKUP(DC$10,'VK-Transport'!$C:$X,2+$B28,0))+IF(DC$8="X",VLOOKUP(DC$10,'VK-Elekter'!$C:$X,2+$D28,0))+IF(DC$9="X",VLOOKUP(DC$10,'VK-Biokütused'!$C:$U,2+$E28,0))+IF(DC$5="X",VLOOKUP(DC$10,'VK-Põlevkivi'!$C:$X,2+$G28,0))+IF(DC$4="X",VLOOKUP(DC$10,'VK-Võrgud'!$C:$X,2+$F28,0)))/1000000</f>
        <v>5.3366300000000004</v>
      </c>
      <c r="DD28" s="209"/>
      <c r="DE28" s="88">
        <f>VLOOKUP(Tulemused!$BN$12,data!M$7:N$12,2,FALSE)-SUM(L28,M28)</f>
        <v>-2.6566444444444528</v>
      </c>
      <c r="DF28" s="209" t="str">
        <f>IF(AZ28&lt;=VLOOKUP(Tulemused!$BN$15,data!$E$36:$F$39,2,FALSE),"JAH","EI")</f>
        <v>JAH</v>
      </c>
      <c r="DG28" s="209"/>
      <c r="DH28" s="209">
        <f t="shared" si="2"/>
        <v>6.28</v>
      </c>
      <c r="DI28" s="231" t="str">
        <f t="shared" si="17"/>
        <v>EI</v>
      </c>
      <c r="DK28" s="232">
        <f t="shared" si="3"/>
        <v>-997.21414883962098</v>
      </c>
      <c r="DM28" s="233">
        <f t="shared" si="4"/>
        <v>-989.16292248534546</v>
      </c>
      <c r="DN28" s="87">
        <f t="array" ref="DN28">INDEX($A$11:$A$145, SMALL(IF(DM28=$DK$11:$DK$145, MATCH(ROW($DK$11:$DK$145), ROW($DK$11:$DK$145))), SUM(--(DM28=$DM$11:DM28))))</f>
        <v>102</v>
      </c>
      <c r="DP28" s="87" t="e">
        <f t="shared" ca="1" si="18"/>
        <v>#N/A</v>
      </c>
      <c r="DQ28" s="87" t="e">
        <f t="shared" ca="1" si="19"/>
        <v>#N/A</v>
      </c>
      <c r="DR28" s="87">
        <f t="shared" ca="1" si="20"/>
        <v>0</v>
      </c>
      <c r="DS28" s="87" t="e">
        <f t="shared" ca="1" si="21"/>
        <v>#N/A</v>
      </c>
      <c r="DT28" s="87">
        <f t="shared" ca="1" si="22"/>
        <v>0</v>
      </c>
      <c r="DU28" s="87" t="e">
        <f t="shared" ca="1" si="23"/>
        <v>#N/A</v>
      </c>
      <c r="DV28" s="87" t="e">
        <f t="shared" ca="1" si="24"/>
        <v>#N/A</v>
      </c>
      <c r="DW28" s="87">
        <f t="shared" ca="1" si="25"/>
        <v>0</v>
      </c>
      <c r="DX28" s="87">
        <f t="shared" ca="1" si="26"/>
        <v>0</v>
      </c>
      <c r="DZ28" s="87">
        <f t="shared" ca="1" si="35"/>
        <v>0</v>
      </c>
      <c r="EB28" s="87">
        <f t="shared" ca="1" si="27"/>
        <v>0</v>
      </c>
      <c r="EC28" s="87" t="e">
        <f t="shared" ca="1" si="28"/>
        <v>#N/A</v>
      </c>
      <c r="EE28" s="228">
        <f>(IF(EE$7="X",VLOOKUP(EE$10,'VK-Hooned-Soojus'!$C:$X,2+$C28,FALSE),0)+IF(EE$6="X",VLOOKUP(EE$10,'VK-Transport'!$C:$X,2+$B28,0))+IF(EE$8="X",VLOOKUP(EE$10,'VK-Elekter'!$C:$X,2+$D28,0))+IF(EE$9="X",VLOOKUP(EE$10,'VK-Biokütused'!$C:$U,2+$E28,0))+IF(EE$5="X",VLOOKUP(EE$10,'VK-Põlevkivi'!$C:$X,2+$G28,0))+IF(EE$4="X",VLOOKUP(EE$10,'VK-Võrgud'!$C:$X,2+$F28,0)))</f>
        <v>8108.425402617203</v>
      </c>
      <c r="EF28" s="235">
        <f>(IF(EF$7="X",VLOOKUP(EF$10,'VK-Hooned-Soojus'!$C:$X,2+$C28,FALSE),0)+IF(EF$6="X",VLOOKUP(EF$10,'VK-Transport'!$C:$X,2+$B28,0))+IF(EF$8="X",VLOOKUP(EF$10,'VK-Elekter'!$C:$X,2+$D28,0))+IF(EF$9="X",VLOOKUP(EF$10,'VK-Biokütused'!$C:$U,2+$E28,0)))/1000</f>
        <v>4.9416368215830611</v>
      </c>
      <c r="EG28" s="209">
        <f>(IF(EG$7="X",VLOOKUP(EG$10,'VK-Hooned-Soojus'!$C:$X,2+$C28,FALSE),0)+IF(EG$6="X",VLOOKUP(EG$10,'VK-Transport'!$C:$X,2+$B28,0))+IF(EG$8="X",VLOOKUP(EG$10,'VK-Elekter'!$C:$X,2+$D28,0))+IF(EG$9="X",VLOOKUP(EG$10,'VK-Biokütused'!$C:$U,2+$E28,0))+IF(EG$5="X",VLOOKUP(EG$10,'VK-Põlevkivi'!$C:$X,2+$G28,0))+IF(EG$4="X",VLOOKUP(EG$10,'VK-Võrgud'!$C:$X,2+$F28,0)))</f>
        <v>0.81</v>
      </c>
      <c r="EH28" s="209">
        <f>(IF(EH$7="X",VLOOKUP(EH$10,'VK-Hooned-Soojus'!$C:$X,2+$C28,FALSE),0)+IF(EH$6="X",VLOOKUP(EH$10,'VK-Transport'!$C:$X,2+$B28,0))+IF(EH$8="X",VLOOKUP(EH$10,'VK-Elekter'!$C:$X,2+$D28,0))+IF(EH$9="X",VLOOKUP(EH$10,'VK-Biokütused'!$C:$U,2+$E28,0)))+AR28+AS28+AU28+AX28</f>
        <v>58.745165628957579</v>
      </c>
      <c r="EI28" s="320">
        <f t="shared" si="6"/>
        <v>50.464567183462528</v>
      </c>
      <c r="EJ28" s="322">
        <f t="shared" si="7"/>
        <v>2.1267750475898739E-2</v>
      </c>
      <c r="EK28" s="323">
        <f t="shared" si="29"/>
        <v>0.35547441046944428</v>
      </c>
      <c r="EM28" s="209"/>
      <c r="EN28" s="209">
        <f t="shared" ca="1" si="8"/>
        <v>0</v>
      </c>
      <c r="EO28" s="209"/>
      <c r="EP28" s="234"/>
      <c r="EQ28" s="209">
        <f>(IF(EQ$7="X",VLOOKUP(EQ$10,'VK-Hooned-Soojus'!$C:$X,2+$C28,FALSE),0)+IF(EQ$6="X",VLOOKUP(EQ$10,'VK-Transport'!$C:$X,2+$B28,0))+IF(EQ$8="X",VLOOKUP(EQ$10,'VK-Elekter'!$C:$X,2+$D28,0))+IF(EQ$9="X",VLOOKUP(EQ$10,'VK-Biokütused'!$C:$U,2+$E28,0))+IF(EQ$5="X",VLOOKUP(EQ$10,'VK-Põlevkivi'!$C:$X,2+$G28,0))+IF(EQ$4="X",VLOOKUP(EQ$10,'VK-Võrgud'!$C:$X,2+$F28,0)))/1000</f>
        <v>0.21099999999999999</v>
      </c>
      <c r="ER28" s="209">
        <f>(IF(ER$7="X",VLOOKUP(ER$10,'VK-Hooned-Soojus'!$C:$X,2+$C28,FALSE),0)+IF(ER$6="X",VLOOKUP(ER$10,'VK-Transport'!$C:$X,2+$B28,0))+IF(ER$8="X",VLOOKUP(ER$10,'VK-Elekter'!$C:$X,2+$D28,0))+IF(ER$9="X",VLOOKUP(ER$10,'VK-Biokütused'!$C:$U,2+$E28,0))+IF(ER$5="X",VLOOKUP(ER$10,'VK-Põlevkivi'!$C:$X,2+$G28,0))+IF(ER$4="X",VLOOKUP(ER$10,'VK-Võrgud'!$C:$X,2+$F28,0)))</f>
        <v>0.76300000000000001</v>
      </c>
      <c r="ES28" s="209">
        <f>(IF(ES$7="X",VLOOKUP(ES$10,'VK-Hooned-Soojus'!$C:$X,2+$C28,FALSE),0)+IF(ES$6="X",VLOOKUP(ES$10,'VK-Transport'!$C:$X,2+$B28,0))+IF(ES$8="X",VLOOKUP(ES$10,'VK-Elekter'!$C:$X,2+$D28,0))+IF(ES$9="X",VLOOKUP(ES$10,'VK-Biokütused'!$C:$U,2+$E28,0))+IF(ES$5="X",VLOOKUP(ES$10,'VK-Põlevkivi'!$C:$X,2+$G28,0))+IF(ES$4="X",VLOOKUP(ES$10,'VK-Võrgud'!$C:$X,2+$F28,0)))</f>
        <v>6.28</v>
      </c>
      <c r="ET28" s="209"/>
      <c r="EU28" s="209"/>
      <c r="EV28" s="87">
        <f>'KSH järjestus'!AS21</f>
        <v>1936</v>
      </c>
      <c r="EX28" s="236"/>
      <c r="EY28" s="236"/>
      <c r="EZ28" s="237">
        <f t="shared" si="9"/>
        <v>0.27911646586345373</v>
      </c>
      <c r="FA28" s="209">
        <f>IF(FA$7="X",VLOOKUP(FA$10,'VK-Hooned-Soojus'!$C:$X,2+$C28,FALSE),0)+IF(FA$6="X",VLOOKUP(FA$10,'VK-Transport'!$C:$X,2+$B28,0))+IF(FA$8="X",VLOOKUP(FA$10,'VK-Elekter'!$C:$X,2+$D28,0))+IF(FA$9="X",VLOOKUP(FA$10,'VK-Biokütused'!$C:$U,2+$E28,0))+IF(FA$5="X",VLOOKUP(FA$10,'VK-Põlevkivi'!$C:$X,2+$G28,0))+IF(FA$4="X",VLOOKUP(FA$10,'VK-Võrgud'!$C:$X,2+$F28,0))</f>
        <v>3658.9070000000002</v>
      </c>
      <c r="FB28" s="279">
        <f>(IF(FB$7="X",VLOOKUP(FB$10,'VK-Hooned-Soojus'!$C:$X,2+$C28,FALSE),0)+IF(FB$6="X",VLOOKUP(FB$10,'VK-Transport'!$C:$X,2+$B28,0))+IF(FB$8="X",VLOOKUP(FB$10,'VK-Elekter'!$C:$X,2+$D28,0))+IF(FB$9="X",VLOOKUP(FB$10,'VK-Biokütused'!$C:$U,2+$E28,0))+IF(FB$5="X",VLOOKUP(FB$10,'VK-Põlevkivi'!$C:$X,2+$G28,0))+IF(FB$4="X",VLOOKUP(FB$10,'VK-Võrgud'!$C:$X,2+$F28,0)))/16</f>
        <v>379.24586403553508</v>
      </c>
      <c r="FC28" s="209">
        <f>IF(FC$7="X",VLOOKUP(FC$10,'VK-Hooned-Soojus'!$C:$X,2+$C28,FALSE),0)+IF(FC$6="X",VLOOKUP(FC$10,'VK-Transport'!$C:$X,2+$B28,0))+IF(FC$8="X",VLOOKUP(FC$10,'VK-Elekter'!$C:$X,2+$D28,0))+IF(FC$9="X",VLOOKUP(FC$10,'VK-Biokütused'!$C:$U,2+$E28,0))+IF(FC$5="X",VLOOKUP(FC$10,'VK-Põlevkivi'!$C:$X,2+$G28,0))+IF(FC$4="X",VLOOKUP(FC$10,'VK-Võrgud'!$C:$X,2+$F28,0))</f>
        <v>318.5</v>
      </c>
      <c r="FD28" s="209">
        <f>(IF(FD$7="X",VLOOKUP(FD$10,'VK-Hooned-Soojus'!$C:$X,2+$C28,FALSE),0)+IF(FD$6="X",VLOOKUP(FD$10,'VK-Transport'!$C:$X,2+$B28,0))+IF(FD$8="X",VLOOKUP(FD$10,'VK-Elekter'!$C:$X,2+$D28,0))+IF(FD$9="X",VLOOKUP(FD$10,'VK-Biokütused'!$C:$U,2+$E28,0))+IF(FD$5="X",VLOOKUP(FD$10,'VK-Põlevkivi'!$C:$X,2+$G28,0))+IF(FD$4="X",VLOOKUP(FD$10,'VK-Võrgud'!$C:$X,2+$F28,0)))/16</f>
        <v>379.24586403553508</v>
      </c>
      <c r="FE28" s="209">
        <f>(IF(FE$7="X",VLOOKUP(FE$10,'VK-Hooned-Soojus'!$C:$X,2+$C28,FALSE),0)+IF(FE$6="X",VLOOKUP(FE$10,'VK-Transport'!$C:$X,2+$B28,0))+IF(FE$8="X",VLOOKUP(FE$10,'VK-Elekter'!$C:$X,2+$D28,0))+IF(FE$9="X",VLOOKUP(FE$10,'VK-Biokütused'!$C:$U,2+$E28,0))+IF(FE$5="X",VLOOKUP(FE$10,'VK-Põlevkivi'!$C:$X,2+$G28,0))+IF(FE$4="X",VLOOKUP(FE$10,'VK-Võrgud'!$C:$X,2+$F28,0)))/16</f>
        <v>-71.100813699091034</v>
      </c>
      <c r="FF28" s="209">
        <f>(IF(FF$7="X",VLOOKUP(FF$10,'VK-Hooned-Soojus'!$C:$X,2+$C28,FALSE),0)+IF(FF$6="X",VLOOKUP(FF$10,'VK-Transport'!$C:$X,2+$B28,0))+IF(FF$8="X",VLOOKUP(FF$10,'VK-Elekter'!$C:$X,2+$D28,0))+IF(FF$9="X",VLOOKUP(FF$10,'VK-Biokütused'!$C:$U,2+$E28,0))+IF(FF$5="X",VLOOKUP(FF$10,'VK-Põlevkivi'!$C:$X,2+$G28,0))+IF(FF$4="X",VLOOKUP(FF$10,'VK-Võrgud'!$C:$X,2+$F28,0)))/16</f>
        <v>122.03442734320831</v>
      </c>
      <c r="FG28" s="88">
        <f t="shared" ca="1" si="30"/>
        <v>50.933613644117273</v>
      </c>
      <c r="FH28" s="88"/>
      <c r="FI28" s="88"/>
      <c r="FJ28" s="88">
        <f>VLOOKUP(Tulemused!$BN$12,data!M$7:N$12,2,FALSE)-SUM(L28,M28)</f>
        <v>-2.6566444444444528</v>
      </c>
      <c r="FK28" s="209" t="str">
        <f>IF(AZ28&lt;=VLOOKUP(Tulemused!$BN$15,data!$E$36:$F$39,2,FALSE),"JAH","EI")</f>
        <v>JAH</v>
      </c>
      <c r="FL28" s="235">
        <f ca="1">IF(ISNA(MATCH($A28,INDIRECT(VLOOKUP(Tulemused!$BF$11,data!$J$57:$M$71,4,FALSE)))),0,MATCH($A28,INDIRECT(VLOOKUP(Tulemused!$BF$11,data!$J$57:$M$71,4,FALSE))))</f>
        <v>0</v>
      </c>
      <c r="FM28" s="235" t="str">
        <f t="shared" ca="1" si="10"/>
        <v>JAH</v>
      </c>
      <c r="FN28" s="209">
        <f>VLOOKUP(Tulemused!$BN$13,data!$C$132:$D$137,2,FALSE)-KOMBI!R28</f>
        <v>2.5031331784169399</v>
      </c>
      <c r="FO28" s="209"/>
      <c r="FP28" s="209">
        <f>VLOOKUP(Tulemused!$BN$17,NO_x,2,FALSE)-CJ28</f>
        <v>10.148999999999997</v>
      </c>
      <c r="FQ28" s="209">
        <f>VLOOKUP(Tulemused!$BN$18,SO_2,2,FALSE)-CK28</f>
        <v>40.00745686562869</v>
      </c>
      <c r="FR28" s="209">
        <f>VLOOKUP(Tulemused!$BN$19,LOU,2,FALSE)-CN28</f>
        <v>34.229000000000006</v>
      </c>
      <c r="FS28" s="209">
        <f>VLOOKUP(Tulemused!$BN$20,PM_2.5,2,FALSE)-CM28</f>
        <v>9.1189999999999998</v>
      </c>
      <c r="FT28" s="209">
        <f>VLOOKUP(Tulemused!$BN$13,data!$C$132:$D$137,2,FALSE)-FA28/1000</f>
        <v>2.5870630000000006</v>
      </c>
      <c r="FU28" s="209">
        <f>VLOOKUP(Tulemused!$BN$17,NO_x,2,FALSE)-CO28</f>
        <v>4.1463502267145422</v>
      </c>
      <c r="FV28" s="209">
        <f>VLOOKUP(Tulemused!$BN$18,SO_2,2,FALSE)-CP28</f>
        <v>38.440051415704389</v>
      </c>
      <c r="FW28" s="209">
        <f>VLOOKUP(Tulemused!$BN$19,LOU,2,FALSE)-CS28</f>
        <v>33.113847594878393</v>
      </c>
      <c r="FX28" s="209">
        <f>VLOOKUP(Tulemused!$BN$20,PM_2.5,2,FALSE)-CR28</f>
        <v>9.0212466437251955</v>
      </c>
      <c r="FY28" s="209">
        <f>VLOOKUP(Tulemused!$BN$14,KHG_2050,2,FALSE)-EF28</f>
        <v>95.05836317841694</v>
      </c>
      <c r="FZ28" s="231" t="str">
        <f t="shared" ca="1" si="31"/>
        <v>EI</v>
      </c>
      <c r="GA28" s="209"/>
      <c r="GB28" s="209"/>
      <c r="GC28" s="209"/>
      <c r="GD28" s="231"/>
      <c r="GE28" s="87">
        <f t="shared" si="11"/>
        <v>1936</v>
      </c>
      <c r="GF28" s="232" t="str">
        <f t="shared" ca="1" si="32"/>
        <v/>
      </c>
      <c r="GH28" s="238" t="e">
        <f t="shared" ca="1" si="12"/>
        <v>#NUM!</v>
      </c>
      <c r="GI28" s="87" t="e">
        <f t="array" aca="1" ref="GI28" ca="1">INDEX($A$11:$A$145, SMALL(IF(GH28=$GF$11:$GF$145, MATCH(ROW($GF$11:$GF$145), ROW($GF$11:$GF$145))), SUM(--(GH28=$GH$11:GH28))))</f>
        <v>#NUM!</v>
      </c>
      <c r="GM28" s="209">
        <f>IF(GM$7="X",VLOOKUP(GM$10,'VK-Hooned-Soojus'!$C:$X,2+$C28,FALSE),0)+IF(GM$6="X",VLOOKUP(GM$10,'VK-Transport'!$C:$X,2+$B28,0))+IF(GM$8="X",VLOOKUP(GM$10,'VK-Elekter'!$C:$X,2+$D28,0))+IF(GM$9="X",VLOOKUP(GM$10,'VK-Biokütused'!$C:$U,2+$E28,0))+IF(GM$5="X",VLOOKUP(GM$10,'VK-Põlevkivi'!$C:$X,2+$G28,0))+IF(GM$4="X",VLOOKUP(GM$10,'VK-Võrgud'!$C:$X,2+$F28,0))</f>
        <v>6.012827991027228</v>
      </c>
      <c r="GN28" s="209">
        <f>IF(GN$7="X",VLOOKUP(GN$10,'VK-Hooned-Soojus'!$C:$X,2+$C28,FALSE),0)+IF(GN$6="X",VLOOKUP(GN$10,'VK-Transport'!$C:$X,2+$B28,0))+IF(GN$8="X",VLOOKUP(GN$10,'VK-Elekter'!$C:$X,2+$D28,0))+IF(GN$9="X",VLOOKUP(GN$10,'VK-Biokütused'!$C:$U,2+$E28,0))+IF(GN$5="X",VLOOKUP(GN$10,'VK-Põlevkivi'!$C:$X,2+$G28,0))+IF(GN$4="X",VLOOKUP(GN$10,'VK-Võrgud'!$C:$X,2+$F28,0))</f>
        <v>3.4467619395011728</v>
      </c>
      <c r="GO28" s="209">
        <f>IF(GO$7="X",VLOOKUP(GO$10,'VK-Hooned-Soojus'!$C:$X,2+$C28,FALSE),0)+IF(GO$6="X",VLOOKUP(GO$10,'VK-Transport'!$C:$X,2+$B28,0))+IF(GO$8="X",VLOOKUP(GO$10,'VK-Elekter'!$C:$X,2+$D28,0))+IF(GO$9="X",VLOOKUP(GO$10,'VK-Biokütused'!$C:$U,2+$E28,0))+IF(GO$5="X",VLOOKUP(GO$10,'VK-Põlevkivi'!$C:$X,2+$G28,0))+IF(GO$4="X",VLOOKUP(GO$10,'VK-Võrgud'!$C:$X,2+$F28,0))</f>
        <v>7.936370010272257</v>
      </c>
      <c r="GP28" s="209">
        <f>IF(GP$7="X",VLOOKUP(GP$10,'VK-Hooned-Soojus'!$C:$X,2+$C28,FALSE),0)+IF(GP$6="X",VLOOKUP(GP$10,'VK-Transport'!$C:$X,2+$B28,0))+IF(GP$8="X",VLOOKUP(GP$10,'VK-Elekter'!$C:$X,2+$D28,0))+IF(GP$9="X",VLOOKUP(GP$10,'VK-Biokütused'!$C:$U,2+$E28,0))+IF(GP$5="X",VLOOKUP(GP$10,'VK-Põlevkivi'!$C:$X,2+$G28,0))+IF(GP$4="X",VLOOKUP(GP$10,'VK-Võrgud'!$C:$X,2+$F28,0))</f>
        <v>9.1527946929596489</v>
      </c>
      <c r="GQ28" s="88">
        <f>IF(GQ$7="X",VLOOKUP(GQ$10,'VK-Hooned-Soojus'!$C:$X,2+$C28,FALSE),0)+IF(GQ$6="X",VLOOKUP(GQ$10,'VK-Transport'!$C:$X,2+$B28,0))+IF(GQ$8="X",VLOOKUP(GQ$10,'VK-Elekter'!$C:$X,2+$D28,0))+IF(GQ$9="X",VLOOKUP(GQ$10,'VK-Biokütused'!$C:$U,2+$E28,0))+IF(GQ$5="X",VLOOKUP(GQ$10,'VK-Põlevkivi'!$C:$X,2+$G28,0))+IF(GQ$4="X",VLOOKUP(GQ$10,'VK-Võrgud'!$C:$X,2+$F28,0))</f>
        <v>0.9682855968523334</v>
      </c>
      <c r="GR28" s="186">
        <f t="shared" si="33"/>
        <v>0.38230641368738244</v>
      </c>
    </row>
    <row r="29" spans="1:200" x14ac:dyDescent="0.2">
      <c r="A29" s="184">
        <v>19</v>
      </c>
      <c r="B29" s="87">
        <v>1</v>
      </c>
      <c r="C29" s="87">
        <v>2</v>
      </c>
      <c r="D29" s="87">
        <v>2</v>
      </c>
      <c r="E29" s="87">
        <v>1</v>
      </c>
      <c r="F29" s="87">
        <f>VLOOKUP(Tulemused!$BF$7,data!$J$6:$K$8,2,FALSE)</f>
        <v>2</v>
      </c>
      <c r="G29" s="87">
        <f>VLOOKUP(data!$H$2,data!$J$12:$K$14,2,FALSE)</f>
        <v>2</v>
      </c>
      <c r="I29" s="209">
        <f>IF(I$7="X",VLOOKUP(I$10,'VK-Hooned-Soojus'!$C:$X,2+$C29,FALSE),0)+IF(I$6="X",VLOOKUP(I$10,'VK-Transport'!$C:$X,2+$B29,0))+IF(I$8="X",VLOOKUP(I$10,'VK-Elekter'!$C:$X,2+$D29,0))+IF(I$9="X",VLOOKUP(I$10,'VK-Biokütused'!$C:$U,2+$E29,0))+IF(I$5="X",VLOOKUP(I$10,'VK-Põlevkivi'!$C:$X,2+$G29,0))+IF(I$4="X",VLOOKUP(I$10,'VK-Võrgud'!$C:$X,2+$F29,0))</f>
        <v>24.79</v>
      </c>
      <c r="J29" s="209">
        <f>IF(J$7="X",VLOOKUP(J$10,'VK-Hooned-Soojus'!$C:$X,2+$C29,FALSE),0)+IF(J$6="X",VLOOKUP(J$10,'VK-Transport'!$C:$X,2+$B29,0))+IF(J$8="X",VLOOKUP(J$10,'VK-Elekter'!$C:$X,2+$D29,0))+IF(J$9="X",VLOOKUP(J$10,'VK-Biokütused'!$C:$U,2+$E29,0))+IF(J$5="X",VLOOKUP(J$10,'VK-Põlevkivi'!$C:$X,2+$G29,0))+IF(J$4="X",VLOOKUP(J$10,'VK-Võrgud'!$C:$X,2+$F29,0))</f>
        <v>13.295833333333334</v>
      </c>
      <c r="K29" s="209">
        <f>IF(K$7="X",VLOOKUP(K$10,'VK-Hooned-Soojus'!$C:$X,2+$C29,FALSE),0)+IF(K$6="X",VLOOKUP(K$10,'VK-Transport'!$C:$X,2+$B29,0))+IF(K$8="X",VLOOKUP(K$10,'VK-Elekter'!$C:$X,2+$D29,0))+IF(K$9="X",VLOOKUP(K$10,'VK-Biokütused'!$C:$U,2+$E29,0))+IF(K$5="X",VLOOKUP(K$10,'VK-Põlevkivi'!$C:$X,2+$G29,0))+IF(K$4="X",VLOOKUP(K$10,'VK-Võrgud'!$C:$X,2+$F29,0))</f>
        <v>15.27</v>
      </c>
      <c r="L29" s="209">
        <f>IF(L$7="X",VLOOKUP(L$10,'VK-Hooned-Soojus'!$C:$X,2+$C29,FALSE),0)+IF(L$6="X",VLOOKUP(L$10,'VK-Transport'!$C:$X,2+$B29,0))+IF(L$8="X",VLOOKUP(L$10,'VK-Elekter'!$C:$X,2+$D29,0))+IF(L$9="X",VLOOKUP(L$10,'VK-Biokütused'!$C:$U,2+$E29,0))+IF(L$5="X",VLOOKUP(L$10,'VK-Põlevkivi'!$C:$X,2+$G29,0))+IF(L$4="X",VLOOKUP(L$10,'VK-Võrgud'!$C:$X,2+$F29,0))</f>
        <v>24.2</v>
      </c>
      <c r="M29" s="209">
        <f>IF(M$7="X",VLOOKUP(M$10,'VK-Hooned-Soojus'!$C:$X,2+$C29,FALSE),0)+IF(M$6="X",VLOOKUP(M$10,'VK-Transport'!$C:$X,2+$B29,0))+IF(M$8="X",VLOOKUP(M$10,'VK-Elekter'!$C:$X,2+$D29,0))+IF(M$9="X",VLOOKUP(M$10,'VK-Biokütused'!$C:$U,2+$E29,0))+IF(M$5="X",VLOOKUP(M$10,'VK-Põlevkivi'!$C:$X,2+$G29,0))+IF(M$4="X",VLOOKUP(M$10,'VK-Võrgud'!$C:$X,2+$F29,0))</f>
        <v>11.289444444444445</v>
      </c>
      <c r="N29" s="209">
        <f>IF(N$7="X",VLOOKUP(N$10,'VK-Hooned-Soojus'!$C:$X,2+$C29,FALSE),0)+IF(N$6="X",VLOOKUP(N$10,'VK-Transport'!$C:$X,2+$B29,0))+IF(N$8="X",VLOOKUP(N$10,'VK-Elekter'!$C:$X,2+$D29,0))+IF(N$9="X",VLOOKUP(N$10,'VK-Biokütused'!$C:$U,2+$E29,0))+IF(N$5="X",VLOOKUP(N$10,'VK-Põlevkivi'!$C:$X,2+$G29,0))+IF(N$4="X",VLOOKUP(N$10,'VK-Võrgud'!$C:$X,2+$F29,0))</f>
        <v>16.09</v>
      </c>
      <c r="O29" s="209">
        <f t="shared" si="13"/>
        <v>38.085833333333333</v>
      </c>
      <c r="P29" s="209"/>
      <c r="Q29" s="209">
        <f>(IF(Q$7="X",VLOOKUP(Q$10,'VK-Hooned-Soojus'!$C:$X,2+$C29,FALSE),0)+IF(Q$6="X",VLOOKUP(Q$10,'VK-Transport'!$C:$X,2+$B29,0))+IF(Q$8="X",VLOOKUP(Q$10,'VK-Elekter'!$C:$X,2+$D29,0))+IF(Q$9="X",VLOOKUP(Q$10,'VK-Biokütused'!$C:$U,2+$E29,0))+IF(Q$5="X",VLOOKUP(Q$10,'VK-Põlevkivi'!$C:$X,2+$G29,0))+IF(Q$4="X",VLOOKUP(Q$10,'VK-Võrgud'!$C:$X,2+$F29,0)))/1000</f>
        <v>5.0979999999999999</v>
      </c>
      <c r="R29" s="209">
        <f>(IF(R$7="X",VLOOKUP(R$10,'VK-Hooned-Soojus'!$C:$X,2+$C29,FALSE),0)+IF(R$6="X",VLOOKUP(R$10,'VK-Transport'!$C:$X,2+$B29,0))+IF(R$8="X",VLOOKUP(R$10,'VK-Elekter'!$C:$X,2+$D29,0))+IF(R$9="X",VLOOKUP(R$10,'VK-Biokütused'!$C:$U,2+$E29,0))+IF(R$5="X",VLOOKUP(R$10,'VK-Põlevkivi'!$C:$X,2+$G29,0))+IF(R$4="X",VLOOKUP(R$10,'VK-Võrgud'!$C:$X,2+$F29,0)))/1000</f>
        <v>3.1566368215830605</v>
      </c>
      <c r="S29" s="226">
        <f>VLOOKUP(S$10,'VK-Hooned-Soojus'!$C:$I,2+$C29,FALSE) + VLOOKUP(S$10,'VK-Transport'!$C:$I,2+$B29,FALSE)+ VLOOKUP(S$10,'VK-Biokütused'!$C:$G,2+$E29,FALSE)+ VLOOKUP(S$10,'VK-Elekter'!$C:$I,2+$D29,FALSE)+ VLOOKUP(S$10,'VK-Põlevkivi'!$C:$I,2+$G29,FALSE)+ VLOOKUP(S$10,'VK-Võrgud'!$C:$I,2+$F29,FALSE)</f>
        <v>4.3267050777229914E-3</v>
      </c>
      <c r="T29" s="226">
        <f>VLOOKUP(T$10,'VK-Hooned-Soojus'!$C:$I,2+$C29,FALSE) + VLOOKUP(T$10,'VK-Transport'!$C:$I,2+$B29,FALSE)+ VLOOKUP(T$10,'VK-Biokütused'!$C:$G,2+$E29,FALSE)+ VLOOKUP(T$10,'VK-Elekter'!$C:$I,2+$D29,FALSE)+ VLOOKUP(T$10,'VK-Põlevkivi'!$C:$I,2+$G29,FALSE)+ VLOOKUP(T$10,'VK-Võrgud'!$C:$I,2+$F29,FALSE)</f>
        <v>-3.3148391215555607E-3</v>
      </c>
      <c r="U29" s="226">
        <f>VLOOKUP(U$10,'VK-Hooned-Soojus'!$C:$I,2+$C29,FALSE) + VLOOKUP(U$10,'VK-Transport'!$C:$I,2+$B29,FALSE)+ VLOOKUP(U$10,'VK-Biokütused'!$C:$G,2+$E29,FALSE)+ VLOOKUP(U$10,'VK-Elekter'!$C:$I,2+$D29,FALSE)+ VLOOKUP(U$10,'VK-Põlevkivi'!$C:$I,2+$G29,FALSE)+ VLOOKUP(U$10,'VK-Võrgud'!$C:$I,2+$F29,FALSE)</f>
        <v>-6.6495400538510441E-4</v>
      </c>
      <c r="V29" s="226">
        <f>VLOOKUP(V$10,'VK-Hooned-Soojus'!$C:$I,2+$C29,FALSE) + VLOOKUP(V$10,'VK-Transport'!$C:$I,2+$B29,FALSE)+ VLOOKUP(V$10,'VK-Biokütused'!$C:$G,2+$E29,FALSE)+ VLOOKUP(V$10,'VK-Elekter'!$C:$I,2+$D29,FALSE)+ VLOOKUP(V$10,'VK-Põlevkivi'!$C:$I,2+$G29,FALSE)+ VLOOKUP(V$10,'VK-Võrgud'!$C:$I,2+$F29,FALSE)</f>
        <v>5.0053962053760153E-3</v>
      </c>
      <c r="W29" s="226">
        <f>VLOOKUP(W$10,'VK-Hooned-Soojus'!$C:$I,2+$C29,FALSE) + VLOOKUP(W$10,'VK-Transport'!$C:$I,2+$B29,FALSE)+ VLOOKUP(W$10,'VK-Biokütused'!$C:$G,2+$E29,FALSE)+ VLOOKUP(W$10,'VK-Elekter'!$C:$I,2+$D29,FALSE)+ VLOOKUP(W$10,'VK-Põlevkivi'!$C:$I,2+$G29,FALSE)+ VLOOKUP(W$10,'VK-Võrgud'!$C:$I,2+$F29,FALSE)</f>
        <v>-1.2787355103049973E-2</v>
      </c>
      <c r="X29" s="226">
        <f>VLOOKUP(X$10,'VK-Hooned-Soojus'!$C:$I,2+$C29,FALSE) + VLOOKUP(X$10,'VK-Transport'!$C:$I,2+$B29,FALSE)+ VLOOKUP(X$10,'VK-Biokütused'!$C:$G,2+$E29,FALSE)+ VLOOKUP(X$10,'VK-Elekter'!$C:$I,2+$D29,FALSE)+ VLOOKUP(X$10,'VK-Põlevkivi'!$C:$I,2+$G29,FALSE)+ VLOOKUP(X$10,'VK-Võrgud'!$C:$I,2+$F29,FALSE)</f>
        <v>-1.0957815733644814E-2</v>
      </c>
      <c r="Y29" s="226">
        <f>VLOOKUP(Y$10,'VK-Hooned-Soojus'!$C:$I,2+$C29,FALSE) + VLOOKUP(Y$10,'VK-Transport'!$C:$I,2+$B29,FALSE)+ VLOOKUP(Y$10,'VK-Biokütused'!$C:$G,2+$E29,FALSE)+ VLOOKUP(Y$10,'VK-Elekter'!$C:$I,2+$D29,FALSE)+ VLOOKUP(Y$10,'VK-Põlevkivi'!$C:$I,2+$G29,FALSE)+ VLOOKUP(Y$10,'VK-Võrgud'!$C:$I,2+$F29,FALSE)</f>
        <v>-1.9479403360001833E-2</v>
      </c>
      <c r="Z29" s="227">
        <f>(S29*Tulemused!$Q$9*10+T29*Tulemused!$Q$10*10+KOMBI!U29*Tulemused!$Q$11*10+KOMBI!V29*Tulemused!$Q$12*10)*Tulemused!$Q$8+-(W29*Tulemused!$Q$14*10+KOMBI!X29*Tulemused!$Q$15*10+KOMBI!Y29*Tulemused!$Q$16*10)*Tulemused!$Q$13</f>
        <v>0.9682596221110803</v>
      </c>
      <c r="AA29" s="228">
        <f>(IF(AA$7="X",VLOOKUP(AA$10,'VK-Hooned-Soojus'!$C:$X,2+$C29,FALSE),0)+IF(AA$6="X",VLOOKUP(AA$10,'VK-Transport'!$C:$X,2+$B29,0))+IF(AA$8="X",VLOOKUP(AA$10,'VK-Elekter'!$C:$X,2+$D29,0))+IF(AA$9="X",VLOOKUP(AA$10,'VK-Biokütused'!$C:$U,2+$E29,0))+IF(AA$5="X",VLOOKUP(AA$10,'VK-Põlevkivi'!$C:$X,2+$G29,0))+IF(AA$4="X",VLOOKUP(AA$10,'VK-Võrgud'!$C:$X,2+$F29,0)))</f>
        <v>3761</v>
      </c>
      <c r="AB29" s="228">
        <f>(IF(AB$7="X",VLOOKUP(AB$10,'VK-Hooned-Soojus'!$C:$X,2+$C29,FALSE),0)+IF(AB$6="X",VLOOKUP(AB$10,'VK-Transport'!$C:$X,2+$B29,0))+IF(AB$8="X",VLOOKUP(AB$10,'VK-Elekter'!$C:$X,2+$D29,0))+IF(AB$9="X",VLOOKUP(AB$10,'VK-Biokütused'!$C:$U,2+$E29,0))+IF(AB$5="X",VLOOKUP(AB$10,'VK-Põlevkivi'!$C:$X,2+$G29,0))+IF(AB$4="X",VLOOKUP(AB$10,'VK-Võrgud'!$C:$X,2+$F29,0)))</f>
        <v>1337</v>
      </c>
      <c r="AC29" s="228">
        <f>(IF(AC$7="X",VLOOKUP(AC$10,'VK-Hooned-Soojus'!$C:$X,2+$C29,FALSE),0)+IF(AC$6="X",VLOOKUP(AC$10,'VK-Transport'!$C:$X,2+$B29,0))+IF(AC$8="X",VLOOKUP(AC$10,'VK-Elekter'!$C:$X,2+$D29,0))+IF(AC$9="X",VLOOKUP(AC$10,'VK-Biokütused'!$C:$U,2+$E29,0))+IF(AC$5="X",VLOOKUP(AC$10,'VK-Põlevkivi'!$C:$X,2+$G29,0))+IF(AC$4="X",VLOOKUP(AC$10,'VK-Võrgud'!$C:$X,2+$F29,0)))</f>
        <v>2346</v>
      </c>
      <c r="AD29" s="228">
        <f>(IF(AD$7="X",VLOOKUP(AD$10,'VK-Hooned-Soojus'!$C:$X,2+$C29,FALSE),0)+IF(AD$6="X",VLOOKUP(AD$10,'VK-Transport'!$C:$X,2+$B29,0))+IF(AD$8="X",VLOOKUP(AD$10,'VK-Elekter'!$C:$X,2+$D29,0))+IF(AD$9="X",VLOOKUP(AD$10,'VK-Biokütused'!$C:$U,2+$E29,0))+IF(AD$5="X",VLOOKUP(AD$10,'VK-Põlevkivi'!$C:$X,2+$G29,0))+IF(AD$4="X",VLOOKUP(AD$10,'VK-Võrgud'!$C:$X,2+$F29,0)))</f>
        <v>0</v>
      </c>
      <c r="AE29" s="228">
        <f>(IF(AE$7="X",VLOOKUP(AE$10,'VK-Hooned-Soojus'!$C:$X,2+$C29,FALSE),0)+IF(AE$6="X",VLOOKUP(AE$10,'VK-Transport'!$C:$X,2+$B29,0))+IF(AE$8="X",VLOOKUP(AE$10,'VK-Elekter'!$C:$X,2+$D29,0))+IF(AE$9="X",VLOOKUP(AE$10,'VK-Biokütused'!$C:$U,2+$E29,0))+IF(AE$5="X",VLOOKUP(AE$10,'VK-Põlevkivi'!$C:$X,2+$G29,0))+IF(AE$4="X",VLOOKUP(AE$10,'VK-Võrgud'!$C:$X,2+$F29,0)))</f>
        <v>666</v>
      </c>
      <c r="AF29" s="228">
        <f>(IF(AF$7="X",VLOOKUP(AF$10,'VK-Hooned-Soojus'!$C:$X,2+$C29,FALSE),0)+IF(AF$6="X",VLOOKUP(AF$10,'VK-Transport'!$C:$X,2+$B29,0))+IF(AF$8="X",VLOOKUP(AF$10,'VK-Elekter'!$C:$X,2+$D29,0))+IF(AF$9="X",VLOOKUP(AF$10,'VK-Biokütused'!$C:$U,2+$E29,0))+IF(AF$5="X",VLOOKUP(AF$10,'VK-Põlevkivi'!$C:$X,2+$G29,0))+IF(AF$4="X",VLOOKUP(AF$10,'VK-Võrgud'!$C:$X,2+$F29,0)))</f>
        <v>2490.6368215830603</v>
      </c>
      <c r="AG29" s="209"/>
      <c r="AH29" s="209">
        <f>IF(AH$7="X",VLOOKUP(AH$10,'VK-Hooned-Soojus'!$C:$X,2+$C29,FALSE),0)+IF(AH$6="X",VLOOKUP(AH$10,'VK-Transport'!$C:$X,2+$B29,0))+IF(AH$8="X",VLOOKUP(AH$10,'VK-Elekter'!$C:$X,2+$D29,0))+IF(AH$9="X",VLOOKUP(AH$10,'VK-Biokütused'!$C:$U,2+$E29,0))+IF(AH$5="X",VLOOKUP(AH$10,'VK-Põlevkivi'!$C:$X,2+$G29,0))+IF(AH$4="X",VLOOKUP(AH$10,'VK-Võrgud'!$C:$X,2+$F29,0))</f>
        <v>11.64</v>
      </c>
      <c r="AI29" s="209">
        <f>IF(AI$7="X",VLOOKUP(AI$10,'VK-Hooned-Soojus'!$C:$X,2+$C29,FALSE),0)+IF(AI$6="X",VLOOKUP(AI$10,'VK-Transport'!$C:$X,2+$B29,0))+IF(AI$8="X",VLOOKUP(AI$10,'VK-Elekter'!$C:$X,2+$D29,0))+IF(AI$9="X",VLOOKUP(AI$10,'VK-Biokütused'!$C:$U,2+$E29,0))+IF(AI$5="X",VLOOKUP(AI$10,'VK-Põlevkivi'!$C:$X,2+$G29,0))+IF(AI$4="X",VLOOKUP(AI$10,'VK-Võrgud'!$C:$X,2+$F29,0))</f>
        <v>2.3100000000000005</v>
      </c>
      <c r="AJ29" s="209">
        <f>IF(AJ$7="X",VLOOKUP(AJ$10,'VK-Hooned-Soojus'!$C:$X,2+$C29,FALSE),0)+IF(AJ$6="X",VLOOKUP(AJ$10,'VK-Transport'!$C:$X,2+$B29,0))+IF(AJ$8="X",VLOOKUP(AJ$10,'VK-Elekter'!$C:$X,2+$D29,0))+IF(AJ$9="X",VLOOKUP(AJ$10,'VK-Biokütused'!$C:$U,2+$E29,0))+IF(AJ$5="X",VLOOKUP(AJ$10,'VK-Põlevkivi'!$C:$X,2+$G29,0))+IF(AJ$4="X",VLOOKUP(AJ$10,'VK-Võrgud'!$C:$X,2+$F29,0))</f>
        <v>9.25</v>
      </c>
      <c r="AK29" s="209">
        <f>IF(AK$7="X",VLOOKUP(AK$10,'VK-Hooned-Soojus'!$C:$X,2+$C29,FALSE),0)+IF(AK$6="X",VLOOKUP(AK$10,'VK-Transport'!$C:$X,2+$B29,0))+IF(AK$8="X",VLOOKUP(AK$10,'VK-Elekter'!$C:$X,2+$D29,0))+IF(AK$9="X",VLOOKUP(AK$10,'VK-Biokütused'!$C:$U,2+$E29,0))+IF(AK$5="X",VLOOKUP(AK$10,'VK-Põlevkivi'!$C:$X,2+$G29,0))+IF(AK$4="X",VLOOKUP(AK$10,'VK-Võrgud'!$C:$X,2+$F29,0))</f>
        <v>2.78</v>
      </c>
      <c r="AL29" s="209">
        <f>IF(AL$7="X",VLOOKUP(AL$10,'VK-Hooned-Soojus'!$C:$X,2+$C29,FALSE),0)+IF(AL$6="X",VLOOKUP(AL$10,'VK-Transport'!$C:$X,2+$B29,0))+IF(AL$8="X",VLOOKUP(AL$10,'VK-Elekter'!$C:$X,2+$D29,0))+IF(AL$9="X",VLOOKUP(AL$10,'VK-Biokütused'!$C:$U,2+$E29,0))+IF(AL$5="X",VLOOKUP(AL$10,'VK-Põlevkivi'!$C:$X,2+$G29,0))+IF(AL$4="X",VLOOKUP(AL$10,'VK-Võrgud'!$C:$X,2+$F29,0))</f>
        <v>7.1999999999999993</v>
      </c>
      <c r="AM29" s="209">
        <f>IF(AM$7="X",VLOOKUP(AM$10,'VK-Hooned-Soojus'!$C:$X,2+$C29,FALSE),0)+IF(AM$6="X",VLOOKUP(AM$10,'VK-Transport'!$C:$X,2+$B29,0))+IF(AM$8="X",VLOOKUP(AM$10,'VK-Elekter'!$C:$X,2+$D29,0))+IF(AM$9="X",VLOOKUP(AM$10,'VK-Biokütused'!$C:$U,2+$E29,0))+IF(AM$5="X",VLOOKUP(AM$10,'VK-Põlevkivi'!$C:$X,2+$G29,0))+IF(AM$4="X",VLOOKUP(AM$10,'VK-Võrgud'!$C:$X,2+$F29,0))</f>
        <v>11.9</v>
      </c>
      <c r="AN29" s="209">
        <f>IF(AN$7="X",VLOOKUP(AN$10,'VK-Hooned-Soojus'!$C:$X,2+$C29,FALSE),0)+IF(AN$6="X",VLOOKUP(AN$10,'VK-Transport'!$C:$X,2+$B29,0))+IF(AN$8="X",VLOOKUP(AN$10,'VK-Elekter'!$C:$X,2+$D29,0))+IF(AN$9="X",VLOOKUP(AN$10,'VK-Biokütused'!$C:$U,2+$E29,0))+IF(AN$5="X",VLOOKUP(AN$10,'VK-Põlevkivi'!$C:$X,2+$G29,0))+IF(AN$4="X",VLOOKUP(AN$10,'VK-Võrgud'!$C:$X,2+$F29,0))</f>
        <v>4.8999999999999995</v>
      </c>
      <c r="AO29" s="209">
        <f>IF(AO$7="X",VLOOKUP(AO$10,'VK-Hooned-Soojus'!$C:$X,2+$C29,FALSE),0)+IF(AO$6="X",VLOOKUP(AO$10,'VK-Transport'!$C:$X,2+$B29,0))+IF(AO$8="X",VLOOKUP(AO$10,'VK-Elekter'!$C:$X,2+$D29,0))+IF(AO$9="X",VLOOKUP(AO$10,'VK-Biokütused'!$C:$U,2+$E29,0))+IF(AO$5="X",VLOOKUP(AO$10,'VK-Põlevkivi'!$C:$X,2+$G29,0))+IF(AO$4="X",VLOOKUP(AO$10,'VK-Võrgud'!$C:$X,2+$F29,0))</f>
        <v>12.56</v>
      </c>
      <c r="AP29" s="209">
        <f>IF(AP$7="X",VLOOKUP(AP$10,'VK-Hooned-Soojus'!$C:$X,2+$C29,FALSE),0)+IF(AP$6="X",VLOOKUP(AP$10,'VK-Transport'!$C:$X,2+$B29,0))+IF(AP$8="X",VLOOKUP(AP$10,'VK-Elekter'!$C:$X,2+$D29,0))+IF(AP$9="X",VLOOKUP(AP$10,'VK-Biokütused'!$C:$U,2+$E29,0))+IF(AP$5="X",VLOOKUP(AP$10,'VK-Põlevkivi'!$C:$X,2+$G29,0))+IF(AP$4="X",VLOOKUP(AP$10,'VK-Võrgud'!$C:$X,2+$F29,0))</f>
        <v>6.28</v>
      </c>
      <c r="AQ29" s="320">
        <f t="shared" si="14"/>
        <v>0.25999999999999979</v>
      </c>
      <c r="AR29" s="209">
        <f>IF(AR$7="X",VLOOKUP(AR$10,'VK-Hooned-Soojus'!$C:$X,2+$C29,FALSE),0)+IF(AR$6="X",VLOOKUP(AR$10,'VK-Transport'!$C:$X,2+$B29,0))+IF(AR$8="X",VLOOKUP(AR$10,'VK-Elekter'!$C:$X,2+$D29,0))+IF(AR$9="X",VLOOKUP(AR$10,'VK-Biokütused'!$C:$U,2+$E29,0))+IF(AR$5="X",VLOOKUP(AR$10,'VK-Põlevkivi'!$C:$X,2+$G29,0))+IF(AR$4="X",VLOOKUP(AR$10,'VK-Võrgud'!$C:$X,2+$F29,0))</f>
        <v>2.8899999999999997</v>
      </c>
      <c r="AS29" s="320">
        <f>VLOOKUP("Kütuste tarbimine @ 2030 - UTTEGAAS",'VK-Hooned-Soojus'!$C:$X,2+$C29,FALSE)/0.172+VLOOKUP("Kütuste tarbimine @ 2030 - UTTEGAAS",'VK-Elekter'!$C:$X,2+$D29,FALSE)/0.172-AR29-AU29</f>
        <v>2.8565116279069773</v>
      </c>
      <c r="AT29" s="209">
        <f>IF(AT$7="X",VLOOKUP(AT$10,'VK-Hooned-Soojus'!$C:$X,2+$C29,FALSE),0)+IF(AT$6="X",VLOOKUP(AT$10,'VK-Transport'!$C:$X,2+$B29,0))+IF(AT$8="X",VLOOKUP(AT$10,'VK-Elekter'!$C:$X,2+$D29,0))+IF(AT$9="X",VLOOKUP(AT$10,'VK-Biokütused'!$C:$U,2+$E29,0))+IF(AT$5="X",VLOOKUP(AT$10,'VK-Põlevkivi'!$C:$X,2+$G29,0))+IF(AT$4="X",VLOOKUP(AT$10,'VK-Võrgud'!$C:$X,2+$F29,0))</f>
        <v>12.004929222526066</v>
      </c>
      <c r="AU29" s="229">
        <f>MAX(0,(VLOOKUP("Kütuste tarbimine @ 2030 - UTTEGAAS",'VK-Hooned-Soojus'!$C:$X,2+$C29,FALSE)/0.172+VLOOKUP("Kütuste tarbimine @ 2030 - UTTEGAAS",'VK-Elekter'!$C:$X,2+$D29,FALSE)/0.172)*0.52-VLOOKUP("Kütuste tarbimine @ 2030 - PÕLEVKIVIÕLI",'VK-Hooned-Soojus'!$C:$X,2+$C29,FALSE))</f>
        <v>5.1837209302325586</v>
      </c>
      <c r="AV29" s="209">
        <f>IF(AV$7="X",VLOOKUP(AV$10,'VK-Hooned-Soojus'!$C:$X,2+$C29,FALSE),0)+IF(AV$6="X",VLOOKUP(AV$10,'VK-Transport'!$C:$X,2+$B29,0))+IF(AV$8="X",VLOOKUP(AV$10,'VK-Elekter'!$C:$X,2+$D29,0))+IF(AV$9="X",VLOOKUP(AV$10,'VK-Biokütused'!$C:$U,2+$E29,0))+IF(AV$5="X",VLOOKUP(AV$10,'VK-Põlevkivi'!$C:$X,2+$G29,0))+IF(AV$4="X",VLOOKUP(AV$10,'VK-Võrgud'!$C:$X,2+$F29,0))</f>
        <v>1.1831224847375093</v>
      </c>
      <c r="AW29" s="209">
        <f>IF(AW$7="X",VLOOKUP(AW$10,'VK-Hooned-Soojus'!$C:$X,2+$C29,FALSE),0)+IF(AW$6="X",VLOOKUP(AW$10,'VK-Transport'!$C:$X,2+$B29,0))+IF(AW$8="X",VLOOKUP(AW$10,'VK-Elekter'!$C:$X,2+$D29,0))+IF(AW$9="X",VLOOKUP(AW$10,'VK-Biokütused'!$C:$U,2+$E29,0))+IF(AW$5="X",VLOOKUP(AW$10,'VK-Põlevkivi'!$C:$X,2+$G29,0))+IF(AW$4="X",VLOOKUP(AW$10,'VK-Võrgud'!$C:$X,2+$F29,0))</f>
        <v>0</v>
      </c>
      <c r="AX29" s="229">
        <f t="shared" si="34"/>
        <v>0</v>
      </c>
      <c r="AY29" s="229">
        <f t="shared" si="15"/>
        <v>1.1831224847375093</v>
      </c>
      <c r="AZ29" s="230">
        <f t="shared" si="0"/>
        <v>0.60184868147253034</v>
      </c>
      <c r="BA29" s="209">
        <f>IF(BA$7="X",VLOOKUP(BA$10,'VK-Hooned-Soojus'!$C:$X,2+$C29,FALSE),0)+IF(BA$6="X",VLOOKUP(BA$10,'VK-Transport'!$C:$X,2+$B29,0))+IF(BA$8="X",VLOOKUP(BA$10,'VK-Elekter'!$C:$X,2+$D29,0))+IF(BA$9="X",VLOOKUP(BA$10,'VK-Biokütused'!$C:$U,2+$E29,0))+IF(BA$5="X",VLOOKUP(BA$10,'VK-Põlevkivi'!$C:$X,2+$G29,0))+IF(BA$4="X",VLOOKUP(BA$10,'VK-Võrgud'!$C:$X,2+$F29,0))</f>
        <v>4.25</v>
      </c>
      <c r="BB29" s="209">
        <f>IF(BB$7="X",VLOOKUP(BB$10,'VK-Hooned-Soojus'!$C:$X,2+$C29,FALSE),0)+IF(BB$6="X",VLOOKUP(BB$10,'VK-Transport'!$C:$X,2+$B29,0))+IF(BB$8="X",VLOOKUP(BB$10,'VK-Elekter'!$C:$X,2+$D29,0))+IF(BB$9="X",VLOOKUP(BB$10,'VK-Biokütused'!$C:$U,2+$E29,0))+IF(BB$5="X",VLOOKUP(BB$10,'VK-Põlevkivi'!$C:$X,2+$G29,0))+IF(BB$4="X",VLOOKUP(BB$10,'VK-Võrgud'!$C:$X,2+$F29,0))</f>
        <v>2.93</v>
      </c>
      <c r="BC29" s="209">
        <f>IF(BC$7="X",VLOOKUP(BC$10,'VK-Hooned-Soojus'!$C:$X,2+$C29,FALSE),0)+IF(BC$6="X",VLOOKUP(BC$10,'VK-Transport'!$C:$X,2+$B29,0))+IF(BC$8="X",VLOOKUP(BC$10,'VK-Elekter'!$C:$X,2+$D29,0))+IF(BC$9="X",VLOOKUP(BC$10,'VK-Biokütused'!$C:$U,2+$E29,0))+IF(BC$5="X",VLOOKUP(BC$10,'VK-Põlevkivi'!$C:$X,2+$G29,0))+IF(BC$4="X",VLOOKUP(BC$10,'VK-Võrgud'!$C:$X,2+$F29,0))</f>
        <v>6.5993333333333322</v>
      </c>
      <c r="BD29" s="209">
        <f>IF(BD$7="X",VLOOKUP(BD$10,'VK-Hooned-Soojus'!$C:$X,2+$C29,FALSE),0)+IF(BD$6="X",VLOOKUP(BD$10,'VK-Transport'!$C:$X,2+$B29,0))+IF(BD$8="X",VLOOKUP(BD$10,'VK-Elekter'!$C:$X,2+$D29,0))+IF(BD$9="X",VLOOKUP(BD$10,'VK-Biokütused'!$C:$U,2+$E29,0))+IF(BD$5="X",VLOOKUP(BD$10,'VK-Põlevkivi'!$C:$X,2+$G29,0))+IF(BD$4="X",VLOOKUP(BD$10,'VK-Võrgud'!$C:$X,2+$F29,0))</f>
        <v>9.425416666666667</v>
      </c>
      <c r="BE29" s="230"/>
      <c r="BF29" s="229">
        <f t="shared" si="16"/>
        <v>0.30496789459902313</v>
      </c>
      <c r="BG29" s="209" t="e">
        <f>(IF(BG$7="X",VLOOKUP(BG$10,'VK-Hooned-Soojus'!$C:$X,2+$C29,FALSE),0)+IF(BG$6="X",VLOOKUP(BG$10,'VK-Transport'!$C:$X,2+$B29,0))+IF(BG$8="X",VLOOKUP(BG$10,'VK-Elekter'!$C:$X,2+$D29,0))+IF(BG$9="X",VLOOKUP(BG$10,'VK-Biokütused'!$C:$U,2+$E29,0))+IF(BG$5="X",VLOOKUP(BG$10,'VK-Põlevkivi'!$C:$X,2+$G29,0))+IF(BG$4="X",VLOOKUP(BG$10,'VK-Võrgud'!$C:$X,2+$F29,0)))/20</f>
        <v>#N/A</v>
      </c>
      <c r="BH29" s="209">
        <f>(IF(BH$7="X",VLOOKUP(BH$10,'VK-Hooned-Soojus'!$C:$X,2+$C29,FALSE),0)+IF(BH$6="X",VLOOKUP(BH$10,'VK-Transport'!$C:$X,2+$B29,0))+IF(BH$8="X",VLOOKUP(BH$10,'VK-Elekter'!$C:$X,2+$D29,0))+IF(BH$9="X",VLOOKUP(BH$10,'VK-Biokütused'!$C:$U,2+$E29,0))+IF(BH$5="X",VLOOKUP(BH$10,'VK-Põlevkivi'!$C:$X,2+$G29,0))+IF(BH$4="X",VLOOKUP(BH$10,'VK-Võrgud'!$C:$X,2+$F29,0)))/20</f>
        <v>45.08</v>
      </c>
      <c r="BI29" s="209">
        <f>(IF(BI$7="X",VLOOKUP(BI$10,'VK-Hooned-Soojus'!$C:$X,2+$C29,FALSE),0)+IF(BI$6="X",VLOOKUP(BI$10,'VK-Transport'!$C:$X,2+$B29,0))+IF(BI$8="X",VLOOKUP(BI$10,'VK-Elekter'!$C:$X,2+$D29,0))+IF(BI$9="X",VLOOKUP(BI$10,'VK-Biokütused'!$C:$U,2+$E29,0))+IF(BI$5="X",VLOOKUP(BI$10,'VK-Põlevkivi'!$C:$X,2+$G29,0))+IF(BI$4="X",VLOOKUP(BI$10,'VK-Võrgud'!$C:$X,2+$F29,0)))/16</f>
        <v>14.1875</v>
      </c>
      <c r="BJ29" s="209">
        <f>(IF(BJ$7="X",VLOOKUP(BJ$10,'VK-Hooned-Soojus'!$C:$X,2+$C29,FALSE),0)+IF(BJ$6="X",VLOOKUP(BJ$10,'VK-Transport'!$C:$X,2+$B29,0))+IF(BJ$8="X",VLOOKUP(BJ$10,'VK-Elekter'!$C:$X,2+$D29,0))+IF(BJ$9="X",VLOOKUP(BJ$10,'VK-Biokütused'!$C:$U,2+$E29,0))+IF(BJ$5="X",VLOOKUP(BJ$10,'VK-Põlevkivi'!$C:$X,2+$G29,0))+IF(BJ$4="X",VLOOKUP(BJ$10,'VK-Võrgud'!$C:$X,2+$F29,0)))/20</f>
        <v>3.91</v>
      </c>
      <c r="BK29" s="209"/>
      <c r="BL29" s="209"/>
      <c r="BM29" s="209"/>
      <c r="BN29" s="209" t="e">
        <f>(IF(BN$7="X",VLOOKUP(BN$10,'VK-Hooned-Soojus'!$C:$X,2+$C29,FALSE),0)+IF(BN$6="X",VLOOKUP(BN$10,'VK-Transport'!$C:$X,2+$B29,0))+IF(BN$8="X",VLOOKUP(BN$10,'VK-Elekter'!$C:$X,2+$D29,0))+IF(BN$9="X",VLOOKUP(BN$10,'VK-Biokütused'!$C:$U,2+$E29,0))+IF(BN$5="X",VLOOKUP(BN$10,'VK-Põlevkivi'!$C:$X,2+$G29,0))+IF(BN$4="X",VLOOKUP(BN$10,'VK-Võrgud'!$C:$X,2+$F29,0)))/16</f>
        <v>#N/A</v>
      </c>
      <c r="BO29" s="209">
        <f>(IF(BO$7="X",VLOOKUP(BO$10,'VK-Hooned-Soojus'!$C:$X,2+$C29,FALSE),0)+IF(BO$6="X",VLOOKUP(BO$10,'VK-Transport'!$C:$X,2+$B29,0))+IF(BO$8="X",VLOOKUP(BO$10,'VK-Elekter'!$C:$X,2+$D29,0))+IF(BO$9="X",VLOOKUP(BO$10,'VK-Biokütused'!$C:$U,2+$E29,0))+IF(BO$5="X",VLOOKUP(BO$10,'VK-Põlevkivi'!$C:$X,2+$G29,0))+IF(BO$4="X",VLOOKUP(BO$10,'VK-Võrgud'!$C:$X,2+$F29,0)))/16</f>
        <v>496.33125000000001</v>
      </c>
      <c r="BP29" s="209"/>
      <c r="BQ29" s="209">
        <f>(IF(BQ$7="X",VLOOKUP(BQ$10,'VK-Hooned-Soojus'!$C:$X,2+$C29,FALSE),0)+IF(BQ$6="X",VLOOKUP(BQ$10,'VK-Transport'!$C:$X,2+$B29,0))+IF(BQ$8="X",VLOOKUP(BQ$10,'VK-Elekter'!$C:$X,2+$D29,0))+IF(BQ$9="X",VLOOKUP(BQ$10,'VK-Biokütused'!$C:$U,2+$E29,0))+IF(BQ$5="X",VLOOKUP(BQ$10,'VK-Põlevkivi'!$C:$X,2+$G29,0))+IF(BQ$4="X",VLOOKUP(BQ$10,'VK-Võrgud'!$C:$X,2+$F29,0)))/16</f>
        <v>4.7249999999999996</v>
      </c>
      <c r="BR29" s="209">
        <f>(IF(BR$7="X",VLOOKUP(BR$10,'VK-Hooned-Soojus'!$C:$X,2+$C29,FALSE),0)+IF(BR$6="X",VLOOKUP(BR$10,'VK-Transport'!$C:$X,2+$B29,0))+IF(BR$8="X",VLOOKUP(BR$10,'VK-Elekter'!$C:$X,2+$D29,0))+IF(BR$9="X",VLOOKUP(BR$10,'VK-Biokütused'!$C:$U,2+$E29,0))+IF(BR$5="X",VLOOKUP(BR$10,'VK-Põlevkivi'!$C:$X,2+$G29,0))+IF(BR$4="X",VLOOKUP(BR$10,'VK-Võrgud'!$C:$X,2+$F29,0)))/16</f>
        <v>-74.512500000000003</v>
      </c>
      <c r="BS29" s="209">
        <f>(IF(BS$7="X",VLOOKUP(BS$10,'VK-Hooned-Soojus'!$C:$X,2+$C29,FALSE),0)+IF(BS$6="X",VLOOKUP(BS$10,'VK-Transport'!$C:$X,2+$B29,0))+IF(BS$8="X",VLOOKUP(BS$10,'VK-Elekter'!$C:$X,2+$D29,0))+IF(BS$9="X",VLOOKUP(BS$10,'VK-Biokütused'!$C:$U,2+$E29,0))+IF(BS$5="X",VLOOKUP(BS$10,'VK-Põlevkivi'!$C:$X,2+$G29,0))+IF(BS$4="X",VLOOKUP(BS$10,'VK-Võrgud'!$C:$X,2+$F29,0)))/16</f>
        <v>-100.68125000000001</v>
      </c>
      <c r="BT29" s="209"/>
      <c r="BU29" s="209"/>
      <c r="BV29" s="209">
        <f>(IF(BV$7="X",VLOOKUP(BV$10,'VK-Hooned-Soojus'!$C:$X,2+$C29,FALSE),0)+IF(BV$6="X",VLOOKUP(BV$10,'VK-Transport'!$C:$X,2+$B29,0))+IF(BV$8="X",VLOOKUP(BV$10,'VK-Elekter'!$C:$X,2+$D29,0))+IF(BV$9="X",VLOOKUP(BV$10,'VK-Biokütused'!$C:$U,2+$E29,0))+IF(BV$5="X",VLOOKUP(BV$10,'VK-Põlevkivi'!$C:$X,2+$G29,0))+IF(BV$4="X",VLOOKUP(BV$10,'VK-Võrgud'!$C:$X,2+$F29,0)))/16</f>
        <v>0</v>
      </c>
      <c r="BW29" s="209"/>
      <c r="BX29" s="209">
        <f>(IF(BX$7="X",VLOOKUP(BX$10,'VK-Hooned-Soojus'!$C:$X,2+$C29,FALSE),0)+IF(BX$6="X",VLOOKUP(BX$10,'VK-Transport'!$C:$X,2+$B29,0))+IF(BX$8="X",VLOOKUP(BX$10,'VK-Elekter'!$C:$X,2+$D29,0))+IF(BX$9="X",VLOOKUP(BX$10,'VK-Biokütused'!$C:$U,2+$E29,0))+IF(BX$5="X",VLOOKUP(BX$10,'VK-Põlevkivi'!$C:$X,2+$G29,0))+IF(BX$4="X",VLOOKUP(BX$10,'VK-Võrgud'!$C:$X,2+$F29,0)))/16</f>
        <v>-99.75</v>
      </c>
      <c r="BY29" s="209"/>
      <c r="BZ29" s="209"/>
      <c r="CA29" s="209" t="e">
        <f>(IF(CA$7="X",VLOOKUP(CA$10,'VK-Hooned-Soojus'!$C:$X,2+$C29,FALSE),0)+IF(CA$6="X",VLOOKUP(CA$10,'VK-Transport'!$C:$X,2+$B29,0))+IF(CA$8="X",VLOOKUP(CA$10,'VK-Elekter'!$C:$X,2+$D29,0))+IF(CA$9="X",VLOOKUP(CA$10,'VK-Biokütused'!$C:$U,2+$E29,0))+IF(CA$5="X",VLOOKUP(CA$10,'VK-Põlevkivi'!$C:$X,2+$G29,0))+IF(CA$4="X",VLOOKUP(CA$10,'VK-Võrgud'!$C:$X,2+$F29,0)))/16</f>
        <v>#N/A</v>
      </c>
      <c r="CB29" s="209">
        <f>(IF(CB$7="X",VLOOKUP(CB$10,'VK-Hooned-Soojus'!$C:$X,2+$C29,FALSE),0)+IF(CB$6="X",VLOOKUP(CB$10,'VK-Transport'!$C:$X,2+$B29,0))+IF(CB$8="X",VLOOKUP(CB$10,'VK-Elekter'!$C:$X,2+$D29,0))+IF(CB$9="X",VLOOKUP(CB$10,'VK-Biokütused'!$C:$U,2+$E29,0))+IF(CB$5="X",VLOOKUP(CB$10,'VK-Põlevkivi'!$C:$X,2+$G29,0))+IF(CB$4="X",VLOOKUP(CB$10,'VK-Võrgud'!$C:$X,2+$F29,0)))/16</f>
        <v>0</v>
      </c>
      <c r="CC29" s="209">
        <f>(IF(CC$7="X",VLOOKUP(CC$10,'VK-Hooned-Soojus'!$C:$X,2+$C29,FALSE),0)+IF(CC$6="X",VLOOKUP(CC$10,'VK-Transport'!$C:$X,2+$B29,0))+IF(CC$8="X",VLOOKUP(CC$10,'VK-Elekter'!$C:$X,2+$D29,0))+IF(CC$9="X",VLOOKUP(CC$10,'VK-Biokütused'!$C:$U,2+$E29,0))+IF(CC$5="X",VLOOKUP(CC$10,'VK-Põlevkivi'!$C:$X,2+$G29,0))+IF(CC$4="X",VLOOKUP(CC$10,'VK-Võrgud'!$C:$X,2+$F29,0)))/16</f>
        <v>0</v>
      </c>
      <c r="CD29" s="209"/>
      <c r="CE29" s="209">
        <f>(IF(CE$7="X",VLOOKUP(CE$10,'VK-Hooned-Soojus'!$C:$X,2+$C29,FALSE),0)+IF(CE$6="X",VLOOKUP(CE$10,'VK-Transport'!$C:$X,2+$B29,0))+IF(CE$8="X",VLOOKUP(CE$10,'VK-Elekter'!$C:$X,2+$D29,0))+IF(CE$9="X",VLOOKUP(CE$10,'VK-Biokütused'!$C:$U,2+$E29,0))+IF(CE$5="X",VLOOKUP(CE$10,'VK-Põlevkivi'!$C:$X,2+$G29,0))+IF(CE$4="X",VLOOKUP(CE$10,'VK-Võrgud'!$C:$X,2+$F29,0)))/16</f>
        <v>24.15625</v>
      </c>
      <c r="CF29" s="209"/>
      <c r="CG29" s="209">
        <f>(IF(CG$7="X",VLOOKUP(CG$10,'VK-Hooned-Soojus'!$C:$X,2+$C29,FALSE),0)+IF(CG$6="X",VLOOKUP(CG$10,'VK-Transport'!$C:$X,2+$B29,0))+IF(CG$8="X",VLOOKUP(CG$10,'VK-Elekter'!$C:$X,2+$D29,0))+IF(CG$9="X",VLOOKUP(CG$10,'VK-Biokütused'!$C:$U,2+$E29,0))+IF(CG$5="X",VLOOKUP(CG$10,'VK-Põlevkivi'!$C:$X,2+$G29,0))+IF(CG$4="X",VLOOKUP(CG$10,'VK-Võrgud'!$C:$X,2+$F29,0)))/16</f>
        <v>0</v>
      </c>
      <c r="CH29" s="209">
        <f>(IF(CH$7="X",VLOOKUP(CH$10,'VK-Hooned-Soojus'!$C:$X,2+$C29,FALSE),0)+IF(CH$6="X",VLOOKUP(CH$10,'VK-Transport'!$C:$X,2+$B29,0))+IF(CH$8="X",VLOOKUP(CH$10,'VK-Elekter'!$C:$X,2+$D29,0))+IF(CH$9="X",VLOOKUP(CH$10,'VK-Biokütused'!$C:$U,2+$E29,0))+IF(CH$5="X",VLOOKUP(CH$10,'VK-Põlevkivi'!$C:$X,2+$G29,0))+IF(CH$4="X",VLOOKUP(CH$10,'VK-Võrgud'!$C:$X,2+$F29,0)))/20*0.21</f>
        <v>11.225549999999998</v>
      </c>
      <c r="CI29" s="209"/>
      <c r="CJ29" s="209">
        <f>(IF(CJ$7="X",VLOOKUP(CJ$10,'VK-Hooned-Soojus'!$C:$X,2+$C29,FALSE),0)+IF(CJ$6="X",VLOOKUP(CJ$10,'VK-Transport'!$C:$X,2+$B29,0))+IF(CJ$8="X",VLOOKUP(CJ$10,'VK-Elekter'!$C:$X,2+$D29,0))+IF(CJ$9="X",VLOOKUP(CJ$10,'VK-Biokütused'!$C:$U,2+$E29,0))+IF(CJ$5="X",VLOOKUP(CJ$10,'VK-Põlevkivi'!$C:$X,2+$G29,0))+IF(CJ$4="X",VLOOKUP(CJ$10,'VK-Võrgud'!$C:$X,2+$F29,0)))/1000</f>
        <v>19.291578011574536</v>
      </c>
      <c r="CK29" s="209">
        <f>(IF(CK$7="X",VLOOKUP(CK$10,'VK-Hooned-Soojus'!$C:$X,2+$C29,FALSE),0)+IF(CK$6="X",VLOOKUP(CK$10,'VK-Transport'!$C:$X,2+$B29,0))+IF(CK$8="X",VLOOKUP(CK$10,'VK-Elekter'!$C:$X,2+$D29,0))+IF(CK$9="X",VLOOKUP(CK$10,'VK-Biokütused'!$C:$U,2+$E29,0))+IF(CK$5="X",VLOOKUP(CK$10,'VK-Põlevkivi'!$C:$X,2+$G29,0))+IF(CK$4="X",VLOOKUP(CK$10,'VK-Võrgud'!$C:$X,2+$F29,0)))/1000</f>
        <v>11.875124562278598</v>
      </c>
      <c r="CL29" s="235">
        <f>(IF(CL$7="X",VLOOKUP(CL$10,'VK-Hooned-Soojus'!$C:$X,2+$C29,FALSE),0)+IF(CL$6="X",VLOOKUP(CL$10,'VK-Transport'!$C:$X,2+$B29,0))+IF(CL$8="X",VLOOKUP(CL$10,'VK-Elekter'!$C:$X,2+$D29,0))+IF(CL$9="X",VLOOKUP(CL$10,'VK-Biokütused'!$C:$U,2+$E29,0)))/1000</f>
        <v>9.180714069714881</v>
      </c>
      <c r="CM29" s="209">
        <f>(IF(CM$7="X",VLOOKUP(CM$10,'VK-Hooned-Soojus'!$C:$X,2+$C29,FALSE),0)+IF(CM$6="X",VLOOKUP(CM$10,'VK-Transport'!$C:$X,2+$B29,0))+IF(CM$8="X",VLOOKUP(CM$10,'VK-Elekter'!$C:$X,2+$D29,0))+IF(CM$9="X",VLOOKUP(CM$10,'VK-Biokütused'!$C:$U,2+$E29,0))+IF(CM$5="X",VLOOKUP(CM$10,'VK-Põlevkivi'!$C:$X,2+$G29,0))+IF(CM$4="X",VLOOKUP(CM$10,'VK-Võrgud'!$C:$X,2+$F29,0)))/1000</f>
        <v>7.8067605777489071</v>
      </c>
      <c r="CN29" s="209">
        <f>(IF(CN$7="X",VLOOKUP(CN$10,'VK-Hooned-Soojus'!$C:$X,2+$C29,FALSE),0)+IF(CN$6="X",VLOOKUP(CN$10,'VK-Transport'!$C:$X,2+$B29,0))+IF(CN$8="X",VLOOKUP(CN$10,'VK-Elekter'!$C:$X,2+$D29,0))+IF(CN$9="X",VLOOKUP(CN$10,'VK-Biokütused'!$C:$U,2+$E29,0))+IF(CN$5="X",VLOOKUP(CN$10,'VK-Põlevkivi'!$C:$X,2+$G29,0))+IF(CN$4="X",VLOOKUP(CN$10,'VK-Võrgud'!$C:$X,2+$F29,0)))/1000</f>
        <v>2.851</v>
      </c>
      <c r="CO29" s="209">
        <f>(IF(CO$7="X",VLOOKUP(CO$10,'VK-Hooned-Soojus'!$C:$X,2+$C29,FALSE),0)+IF(CO$6="X",VLOOKUP(CO$10,'VK-Transport'!$C:$X,2+$B29,0))+IF(CO$8="X",VLOOKUP(CO$10,'VK-Elekter'!$C:$X,2+$D29,0))+IF(CO$9="X",VLOOKUP(CO$10,'VK-Biokütused'!$C:$U,2+$E29,0))+IF(CO$5="X",VLOOKUP(CO$10,'VK-Põlevkivi'!$C:$X,2+$G29,0))+IF(CO$4="X",VLOOKUP(CO$10,'VK-Võrgud'!$C:$X,2+$F29,0)))/1000</f>
        <v>25.291649773285457</v>
      </c>
      <c r="CP29" s="209">
        <f>(IF(CP$7="X",VLOOKUP(CP$10,'VK-Hooned-Soojus'!$C:$X,2+$C29,FALSE),0)+IF(CP$6="X",VLOOKUP(CP$10,'VK-Transport'!$C:$X,2+$B29,0))+IF(CP$8="X",VLOOKUP(CP$10,'VK-Elekter'!$C:$X,2+$D29,0))+IF(CP$9="X",VLOOKUP(CP$10,'VK-Biokütused'!$C:$U,2+$E29,0))+IF(CP$5="X",VLOOKUP(CP$10,'VK-Põlevkivi'!$C:$X,2+$G29,0))+IF(CP$4="X",VLOOKUP(CP$10,'VK-Võrgud'!$C:$X,2+$F29,0)))/1000</f>
        <v>13.443948584295613</v>
      </c>
      <c r="CQ29" s="235">
        <f>(IF(CQ$7="X",VLOOKUP(CQ$10,'VK-Hooned-Soojus'!$C:$X,2+$C29,FALSE),0)+IF(CQ$6="X",VLOOKUP(CQ$10,'VK-Transport'!$C:$X,2+$B29,0))+IF(CQ$8="X",VLOOKUP(CQ$10,'VK-Elekter'!$C:$X,2+$D29,0))+IF(CQ$9="X",VLOOKUP(CQ$10,'VK-Biokütused'!$C:$U,2+$E29,0)))/1000</f>
        <v>10.995906999999999</v>
      </c>
      <c r="CR29" s="209">
        <f>(IF(CR$7="X",VLOOKUP(CR$10,'VK-Hooned-Soojus'!$C:$X,2+$C29,FALSE),0)+IF(CR$6="X",VLOOKUP(CR$10,'VK-Transport'!$C:$X,2+$B29,0))+IF(CR$8="X",VLOOKUP(CR$10,'VK-Elekter'!$C:$X,2+$D29,0))+IF(CR$9="X",VLOOKUP(CR$10,'VK-Biokütused'!$C:$U,2+$E29,0))+IF(CR$5="X",VLOOKUP(CR$10,'VK-Põlevkivi'!$C:$X,2+$G29,0))+IF(CR$4="X",VLOOKUP(CR$10,'VK-Võrgud'!$C:$X,2+$F29,0)))/1000</f>
        <v>7.9047533562748038</v>
      </c>
      <c r="CS29" s="209">
        <f>(IF(CS$7="X",VLOOKUP(CS$10,'VK-Hooned-Soojus'!$C:$X,2+$C29,FALSE),0)+IF(CS$6="X",VLOOKUP(CS$10,'VK-Transport'!$C:$X,2+$B29,0))+IF(CS$8="X",VLOOKUP(CS$10,'VK-Elekter'!$C:$X,2+$D29,0))+IF(CS$9="X",VLOOKUP(CS$10,'VK-Biokütused'!$C:$U,2+$E29,0))+IF(CS$5="X",VLOOKUP(CS$10,'VK-Põlevkivi'!$C:$X,2+$G29,0))+IF(CS$4="X",VLOOKUP(CS$10,'VK-Võrgud'!$C:$X,2+$F29,0)))/1000</f>
        <v>3.966152405121615</v>
      </c>
      <c r="CT29" s="209">
        <f>IF(CT$7="X",VLOOKUP(CT$10,'VK-Hooned-Soojus'!$C:$X,2+$C29,FALSE),0)+IF(CT$6="X",VLOOKUP(CT$10,'VK-Transport'!$C:$X,2+$B29,0))+IF(CT$8="X",VLOOKUP(CT$10,'VK-Elekter'!$C:$X,2+$D29,0))+IF(CT$9="X",VLOOKUP(CT$10,'VK-Biokütused'!$C:$U,2+$E29,0))+IF(CT$5="X",VLOOKUP(CT$10,'VK-Põlevkivi'!$C:$X,2+$G29,0))+IF(CT$4="X",VLOOKUP(CT$10,'VK-Võrgud'!$C:$X,2+$F29,0))</f>
        <v>90</v>
      </c>
      <c r="CU29" s="209">
        <f>IF(CU$7="X",VLOOKUP(CU$10,'VK-Hooned-Soojus'!$C:$X,2+$C29,FALSE),0)+IF(CU$6="X",VLOOKUP(CU$10,'VK-Transport'!$C:$X,2+$B29,0))+IF(CU$8="X",VLOOKUP(CU$10,'VK-Elekter'!$C:$X,2+$D29,0))+IF(CU$9="X",VLOOKUP(CU$10,'VK-Biokütused'!$C:$U,2+$E29,0))+IF(CU$5="X",VLOOKUP(CU$10,'VK-Põlevkivi'!$C:$X,2+$G29,0))+IF(CU$4="X",VLOOKUP(CU$10,'VK-Võrgud'!$C:$X,2+$F29,0))</f>
        <v>0.72088353413654627</v>
      </c>
      <c r="CV29" s="209">
        <f t="shared" si="1"/>
        <v>1</v>
      </c>
      <c r="CW29" s="209">
        <f>(IF(CW$7="X",VLOOKUP(CW$10,'VK-Hooned-Soojus'!$C:$X,2+$C29,FALSE),0)+IF(CW$6="X",VLOOKUP(CW$10,'VK-Transport'!$C:$X,2+$B29,0))+IF(CW$8="X",VLOOKUP(CW$10,'VK-Elekter'!$C:$X,2+$D29,0))+IF(CW$9="X",VLOOKUP(CW$10,'VK-Biokütused'!$C:$U,2+$E29,0))+IF(CW$5="X",VLOOKUP(CW$10,'VK-Põlevkivi'!$C:$X,2+$G29,0))+IF(CW$4="X",VLOOKUP(CW$10,'VK-Võrgud'!$C:$X,2+$F29,0)))/16</f>
        <v>0</v>
      </c>
      <c r="CY29" s="209">
        <f>(IF(CY$7="X",VLOOKUP(CY$10,'VK-Hooned-Soojus'!$C:$X,2+$C29,FALSE),0)+IF(CY$6="X",VLOOKUP(CY$10,'VK-Transport'!$C:$X,2+$B29,0))+IF(CY$8="X",VLOOKUP(CY$10,'VK-Elekter'!$C:$X,2+$D29,0))+IF(CY$9="X",VLOOKUP(CY$10,'VK-Biokütused'!$C:$U,2+$E29,0))+IF(CY$5="X",VLOOKUP(CY$10,'VK-Põlevkivi'!$C:$X,2+$G29,0))+IF(CY$4="X",VLOOKUP(CY$10,'VK-Võrgud'!$C:$X,2+$F29,0)))/1000</f>
        <v>10.851000000000001</v>
      </c>
      <c r="CZ29" s="209">
        <f>(IF(CZ$7="X",VLOOKUP(CZ$10,'VK-Hooned-Soojus'!$C:$X,2+$C29,FALSE),0)+IF(CZ$6="X",VLOOKUP(CZ$10,'VK-Transport'!$C:$X,2+$B29,0))+IF(CZ$8="X",VLOOKUP(CZ$10,'VK-Elekter'!$C:$X,2+$D29,0))+IF(CZ$9="X",VLOOKUP(CZ$10,'VK-Biokütused'!$C:$U,2+$E29,0))+IF(CZ$5="X",VLOOKUP(CZ$10,'VK-Põlevkivi'!$C:$X,2+$G29,0))+IF(CZ$4="X",VLOOKUP(CZ$10,'VK-Võrgud'!$C:$X,2+$F29,0)))</f>
        <v>74</v>
      </c>
      <c r="DA29" s="209">
        <f>(IF(DA$7="X",VLOOKUP(DA$10,'VK-Hooned-Soojus'!$C:$X,2+$C29,FALSE),0)+IF(DA$6="X",VLOOKUP(DA$10,'VK-Transport'!$C:$X,2+$B29,0))+IF(DA$8="X",VLOOKUP(DA$10,'VK-Elekter'!$C:$X,2+$D29,0))+IF(DA$9="X",VLOOKUP(DA$10,'VK-Biokütused'!$C:$U,2+$E29,0))+IF(DA$5="X",VLOOKUP(DA$10,'VK-Põlevkivi'!$C:$X,2+$G29,0))+IF(DA$4="X",VLOOKUP(DA$10,'VK-Võrgud'!$C:$X,2+$F29,0)))/1000</f>
        <v>14.523999999999999</v>
      </c>
      <c r="DB29" s="209">
        <f>(IF(DB$7="X",VLOOKUP(DB$10,'VK-Hooned-Soojus'!$C:$X,2+$C29,FALSE),0)+IF(DB$6="X",VLOOKUP(DB$10,'VK-Transport'!$C:$X,2+$B29,0))+IF(DB$8="X",VLOOKUP(DB$10,'VK-Elekter'!$C:$X,2+$D29,0))+IF(DB$9="X",VLOOKUP(DB$10,'VK-Biokütused'!$C:$U,2+$E29,0))+IF(DB$5="X",VLOOKUP(DB$10,'VK-Põlevkivi'!$C:$X,2+$G29,0))+IF(DB$4="X",VLOOKUP(DB$10,'VK-Võrgud'!$C:$X,2+$F29,0)))/1000/3.6</f>
        <v>65.054444444444442</v>
      </c>
      <c r="DC29" s="209">
        <f>(IF(DC$7="X",VLOOKUP(DC$10,'VK-Hooned-Soojus'!$C:$X,2+$C29,FALSE),0)+IF(DC$6="X",VLOOKUP(DC$10,'VK-Transport'!$C:$X,2+$B29,0))+IF(DC$8="X",VLOOKUP(DC$10,'VK-Elekter'!$C:$X,2+$D29,0))+IF(DC$9="X",VLOOKUP(DC$10,'VK-Biokütused'!$C:$U,2+$E29,0))+IF(DC$5="X",VLOOKUP(DC$10,'VK-Põlevkivi'!$C:$X,2+$G29,0))+IF(DC$4="X",VLOOKUP(DC$10,'VK-Võrgud'!$C:$X,2+$F29,0)))/1000000</f>
        <v>5.2105620000000004</v>
      </c>
      <c r="DD29" s="209"/>
      <c r="DE29" s="88">
        <f>VLOOKUP(Tulemused!$BN$12,data!M$7:N$12,2,FALSE)-SUM(L29,M29)</f>
        <v>-2.6566444444444528</v>
      </c>
      <c r="DF29" s="209" t="str">
        <f>IF(AZ29&lt;=VLOOKUP(Tulemused!$BN$15,data!$E$36:$F$39,2,FALSE),"JAH","EI")</f>
        <v>JAH</v>
      </c>
      <c r="DG29" s="209"/>
      <c r="DH29" s="209">
        <f t="shared" si="2"/>
        <v>6.28</v>
      </c>
      <c r="DI29" s="231" t="str">
        <f t="shared" si="17"/>
        <v>EI</v>
      </c>
      <c r="DK29" s="232">
        <f t="shared" si="3"/>
        <v>-999.03174037788892</v>
      </c>
      <c r="DM29" s="233">
        <f t="shared" si="4"/>
        <v>-990.06802220758698</v>
      </c>
      <c r="DN29" s="87">
        <f t="array" ref="DN29">INDEX($A$11:$A$145, SMALL(IF(DM29=$DK$11:$DK$145, MATCH(ROW($DK$11:$DK$145), ROW($DK$11:$DK$145))), SUM(--(DM29=$DM$11:DM29))))</f>
        <v>101</v>
      </c>
      <c r="DP29" s="87" t="e">
        <f t="shared" ca="1" si="18"/>
        <v>#N/A</v>
      </c>
      <c r="DQ29" s="87" t="e">
        <f t="shared" ca="1" si="19"/>
        <v>#N/A</v>
      </c>
      <c r="DR29" s="87">
        <f t="shared" ca="1" si="20"/>
        <v>0</v>
      </c>
      <c r="DS29" s="87" t="e">
        <f t="shared" ca="1" si="21"/>
        <v>#N/A</v>
      </c>
      <c r="DT29" s="87">
        <f t="shared" ca="1" si="22"/>
        <v>0</v>
      </c>
      <c r="DU29" s="87" t="e">
        <f t="shared" ca="1" si="23"/>
        <v>#N/A</v>
      </c>
      <c r="DV29" s="87" t="e">
        <f t="shared" ca="1" si="24"/>
        <v>#N/A</v>
      </c>
      <c r="DW29" s="87">
        <f t="shared" ca="1" si="25"/>
        <v>0</v>
      </c>
      <c r="DX29" s="87">
        <f t="shared" ca="1" si="26"/>
        <v>0</v>
      </c>
      <c r="DZ29" s="87">
        <f t="shared" ca="1" si="35"/>
        <v>0</v>
      </c>
      <c r="EB29" s="87">
        <f t="shared" ca="1" si="27"/>
        <v>0</v>
      </c>
      <c r="EC29" s="87" t="e">
        <f t="shared" ca="1" si="28"/>
        <v>#N/A</v>
      </c>
      <c r="EE29" s="228">
        <f>(IF(EE$7="X",VLOOKUP(EE$10,'VK-Hooned-Soojus'!$C:$X,2+$C29,FALSE),0)+IF(EE$6="X",VLOOKUP(EE$10,'VK-Transport'!$C:$X,2+$B29,0))+IF(EE$8="X",VLOOKUP(EE$10,'VK-Elekter'!$C:$X,2+$D29,0))+IF(EE$9="X",VLOOKUP(EE$10,'VK-Biokütused'!$C:$U,2+$E29,0))+IF(EE$5="X",VLOOKUP(EE$10,'VK-Põlevkivi'!$C:$X,2+$G29,0))+IF(EE$4="X",VLOOKUP(EE$10,'VK-Võrgud'!$C:$X,2+$F29,0)))</f>
        <v>1925.1301554921456</v>
      </c>
      <c r="EF29" s="235">
        <f>(IF(EF$7="X",VLOOKUP(EF$10,'VK-Hooned-Soojus'!$C:$X,2+$C29,FALSE),0)+IF(EF$6="X",VLOOKUP(EF$10,'VK-Transport'!$C:$X,2+$B29,0))+IF(EF$8="X",VLOOKUP(EF$10,'VK-Elekter'!$C:$X,2+$D29,0))+IF(EF$9="X",VLOOKUP(EF$10,'VK-Biokütused'!$C:$U,2+$E29,0)))/1000</f>
        <v>5.6566368215830609</v>
      </c>
      <c r="EG29" s="209">
        <f>(IF(EG$7="X",VLOOKUP(EG$10,'VK-Hooned-Soojus'!$C:$X,2+$C29,FALSE),0)+IF(EG$6="X",VLOOKUP(EG$10,'VK-Transport'!$C:$X,2+$B29,0))+IF(EG$8="X",VLOOKUP(EG$10,'VK-Elekter'!$C:$X,2+$D29,0))+IF(EG$9="X",VLOOKUP(EG$10,'VK-Biokütused'!$C:$U,2+$E29,0))+IF(EG$5="X",VLOOKUP(EG$10,'VK-Põlevkivi'!$C:$X,2+$G29,0))+IF(EG$4="X",VLOOKUP(EG$10,'VK-Võrgud'!$C:$X,2+$F29,0)))</f>
        <v>0.81</v>
      </c>
      <c r="EH29" s="209">
        <f>(IF(EH$7="X",VLOOKUP(EH$10,'VK-Hooned-Soojus'!$C:$X,2+$C29,FALSE),0)+IF(EH$6="X",VLOOKUP(EH$10,'VK-Transport'!$C:$X,2+$B29,0))+IF(EH$8="X",VLOOKUP(EH$10,'VK-Elekter'!$C:$X,2+$D29,0))+IF(EH$9="X",VLOOKUP(EH$10,'VK-Biokütused'!$C:$U,2+$E29,0)))+AR29+AS29+AU29+AX29</f>
        <v>55.658288113695086</v>
      </c>
      <c r="EI29" s="320">
        <f t="shared" si="6"/>
        <v>50.474567183462526</v>
      </c>
      <c r="EJ29" s="322">
        <f t="shared" si="7"/>
        <v>2.1267750475898739E-2</v>
      </c>
      <c r="EK29" s="323">
        <f t="shared" si="29"/>
        <v>0.35547441046944428</v>
      </c>
      <c r="EM29" s="209"/>
      <c r="EN29" s="209">
        <f t="shared" ca="1" si="8"/>
        <v>0</v>
      </c>
      <c r="EO29" s="209"/>
      <c r="EP29" s="234"/>
      <c r="EQ29" s="209">
        <f>(IF(EQ$7="X",VLOOKUP(EQ$10,'VK-Hooned-Soojus'!$C:$X,2+$C29,FALSE),0)+IF(EQ$6="X",VLOOKUP(EQ$10,'VK-Transport'!$C:$X,2+$B29,0))+IF(EQ$8="X",VLOOKUP(EQ$10,'VK-Elekter'!$C:$X,2+$D29,0))+IF(EQ$9="X",VLOOKUP(EQ$10,'VK-Biokütused'!$C:$U,2+$E29,0))+IF(EQ$5="X",VLOOKUP(EQ$10,'VK-Põlevkivi'!$C:$X,2+$G29,0))+IF(EQ$4="X",VLOOKUP(EQ$10,'VK-Võrgud'!$C:$X,2+$F29,0)))/1000</f>
        <v>0.21099999999999999</v>
      </c>
      <c r="ER29" s="209">
        <f>(IF(ER$7="X",VLOOKUP(ER$10,'VK-Hooned-Soojus'!$C:$X,2+$C29,FALSE),0)+IF(ER$6="X",VLOOKUP(ER$10,'VK-Transport'!$C:$X,2+$B29,0))+IF(ER$8="X",VLOOKUP(ER$10,'VK-Elekter'!$C:$X,2+$D29,0))+IF(ER$9="X",VLOOKUP(ER$10,'VK-Biokütused'!$C:$U,2+$E29,0))+IF(ER$5="X",VLOOKUP(ER$10,'VK-Põlevkivi'!$C:$X,2+$G29,0))+IF(ER$4="X",VLOOKUP(ER$10,'VK-Võrgud'!$C:$X,2+$F29,0)))</f>
        <v>0.76300000000000001</v>
      </c>
      <c r="ES29" s="209">
        <f>(IF(ES$7="X",VLOOKUP(ES$10,'VK-Hooned-Soojus'!$C:$X,2+$C29,FALSE),0)+IF(ES$6="X",VLOOKUP(ES$10,'VK-Transport'!$C:$X,2+$B29,0))+IF(ES$8="X",VLOOKUP(ES$10,'VK-Elekter'!$C:$X,2+$D29,0))+IF(ES$9="X",VLOOKUP(ES$10,'VK-Biokütused'!$C:$U,2+$E29,0))+IF(ES$5="X",VLOOKUP(ES$10,'VK-Põlevkivi'!$C:$X,2+$G29,0))+IF(ES$4="X",VLOOKUP(ES$10,'VK-Võrgud'!$C:$X,2+$F29,0)))</f>
        <v>6.28</v>
      </c>
      <c r="ET29" s="209"/>
      <c r="EU29" s="209"/>
      <c r="EV29" s="87">
        <f>'KSH järjestus'!AS22</f>
        <v>2091</v>
      </c>
      <c r="EX29" s="236"/>
      <c r="EY29" s="236"/>
      <c r="EZ29" s="237">
        <f t="shared" si="9"/>
        <v>0.27911646586345373</v>
      </c>
      <c r="FA29" s="209">
        <f>IF(FA$7="X",VLOOKUP(FA$10,'VK-Hooned-Soojus'!$C:$X,2+$C29,FALSE),0)+IF(FA$6="X",VLOOKUP(FA$10,'VK-Transport'!$C:$X,2+$B29,0))+IF(FA$8="X",VLOOKUP(FA$10,'VK-Elekter'!$C:$X,2+$D29,0))+IF(FA$9="X",VLOOKUP(FA$10,'VK-Biokütused'!$C:$U,2+$E29,0))+IF(FA$5="X",VLOOKUP(FA$10,'VK-Põlevkivi'!$C:$X,2+$G29,0))+IF(FA$4="X",VLOOKUP(FA$10,'VK-Võrgud'!$C:$X,2+$F29,0))</f>
        <v>3369.9070000000002</v>
      </c>
      <c r="FB29" s="279">
        <f>(IF(FB$7="X",VLOOKUP(FB$10,'VK-Hooned-Soojus'!$C:$X,2+$C29,FALSE),0)+IF(FB$6="X",VLOOKUP(FB$10,'VK-Transport'!$C:$X,2+$B29,0))+IF(FB$8="X",VLOOKUP(FB$10,'VK-Elekter'!$C:$X,2+$D29,0))+IF(FB$9="X",VLOOKUP(FB$10,'VK-Biokütused'!$C:$U,2+$E29,0))+IF(FB$5="X",VLOOKUP(FB$10,'VK-Põlevkivi'!$C:$X,2+$G29,0))+IF(FB$4="X",VLOOKUP(FB$10,'VK-Võrgud'!$C:$X,2+$F29,0)))/16</f>
        <v>102.73866006527646</v>
      </c>
      <c r="FC29" s="209">
        <f>IF(FC$7="X",VLOOKUP(FC$10,'VK-Hooned-Soojus'!$C:$X,2+$C29,FALSE),0)+IF(FC$6="X",VLOOKUP(FC$10,'VK-Transport'!$C:$X,2+$B29,0))+IF(FC$8="X",VLOOKUP(FC$10,'VK-Elekter'!$C:$X,2+$D29,0))+IF(FC$9="X",VLOOKUP(FC$10,'VK-Biokütused'!$C:$U,2+$E29,0))+IF(FC$5="X",VLOOKUP(FC$10,'VK-Põlevkivi'!$C:$X,2+$G29,0))+IF(FC$4="X",VLOOKUP(FC$10,'VK-Võrgud'!$C:$X,2+$F29,0))</f>
        <v>318.5</v>
      </c>
      <c r="FD29" s="209">
        <f>(IF(FD$7="X",VLOOKUP(FD$10,'VK-Hooned-Soojus'!$C:$X,2+$C29,FALSE),0)+IF(FD$6="X",VLOOKUP(FD$10,'VK-Transport'!$C:$X,2+$B29,0))+IF(FD$8="X",VLOOKUP(FD$10,'VK-Elekter'!$C:$X,2+$D29,0))+IF(FD$9="X",VLOOKUP(FD$10,'VK-Biokütused'!$C:$U,2+$E29,0))+IF(FD$5="X",VLOOKUP(FD$10,'VK-Põlevkivi'!$C:$X,2+$G29,0))+IF(FD$4="X",VLOOKUP(FD$10,'VK-Võrgud'!$C:$X,2+$F29,0)))/16</f>
        <v>102.73866006527646</v>
      </c>
      <c r="FE29" s="209">
        <f>(IF(FE$7="X",VLOOKUP(FE$10,'VK-Hooned-Soojus'!$C:$X,2+$C29,FALSE),0)+IF(FE$6="X",VLOOKUP(FE$10,'VK-Transport'!$C:$X,2+$B29,0))+IF(FE$8="X",VLOOKUP(FE$10,'VK-Elekter'!$C:$X,2+$D29,0))+IF(FE$9="X",VLOOKUP(FE$10,'VK-Biokütused'!$C:$U,2+$E29,0))+IF(FE$5="X",VLOOKUP(FE$10,'VK-Põlevkivi'!$C:$X,2+$G29,0))+IF(FE$4="X",VLOOKUP(FE$10,'VK-Võrgud'!$C:$X,2+$F29,0)))/16</f>
        <v>-36.76</v>
      </c>
      <c r="FF29" s="209">
        <f>(IF(FF$7="X",VLOOKUP(FF$10,'VK-Hooned-Soojus'!$C:$X,2+$C29,FALSE),0)+IF(FF$6="X",VLOOKUP(FF$10,'VK-Transport'!$C:$X,2+$B29,0))+IF(FF$8="X",VLOOKUP(FF$10,'VK-Elekter'!$C:$X,2+$D29,0))+IF(FF$9="X",VLOOKUP(FF$10,'VK-Biokütused'!$C:$U,2+$E29,0))+IF(FF$5="X",VLOOKUP(FF$10,'VK-Põlevkivi'!$C:$X,2+$G29,0))+IF(FF$4="X",VLOOKUP(FF$10,'VK-Võrgud'!$C:$X,2+$F29,0)))/16</f>
        <v>42.171282011170838</v>
      </c>
      <c r="FG29" s="88">
        <f t="shared" ca="1" si="30"/>
        <v>5.4112820111708402</v>
      </c>
      <c r="FH29" s="88"/>
      <c r="FI29" s="88"/>
      <c r="FJ29" s="88">
        <f>VLOOKUP(Tulemused!$BN$12,data!M$7:N$12,2,FALSE)-SUM(L29,M29)</f>
        <v>-2.6566444444444528</v>
      </c>
      <c r="FK29" s="209" t="str">
        <f>IF(AZ29&lt;=VLOOKUP(Tulemused!$BN$15,data!$E$36:$F$39,2,FALSE),"JAH","EI")</f>
        <v>JAH</v>
      </c>
      <c r="FL29" s="235">
        <f ca="1">IF(ISNA(MATCH($A29,INDIRECT(VLOOKUP(Tulemused!$BF$11,data!$J$57:$M$71,4,FALSE)))),0,MATCH($A29,INDIRECT(VLOOKUP(Tulemused!$BF$11,data!$J$57:$M$71,4,FALSE))))</f>
        <v>0</v>
      </c>
      <c r="FM29" s="235" t="str">
        <f t="shared" ca="1" si="10"/>
        <v>JAH</v>
      </c>
      <c r="FN29" s="209">
        <f>VLOOKUP(Tulemused!$BN$13,data!$C$132:$D$137,2,FALSE)-KOMBI!R29</f>
        <v>3.0893331784169402</v>
      </c>
      <c r="FO29" s="209"/>
      <c r="FP29" s="209">
        <f>VLOOKUP(Tulemused!$BN$17,NO_x,2,FALSE)-CJ29</f>
        <v>10.146421988425463</v>
      </c>
      <c r="FQ29" s="209">
        <f>VLOOKUP(Tulemused!$BN$18,SO_2,2,FALSE)-CK29</f>
        <v>40.0088754377214</v>
      </c>
      <c r="FR29" s="209">
        <f>VLOOKUP(Tulemused!$BN$19,LOU,2,FALSE)-CN29</f>
        <v>34.229000000000006</v>
      </c>
      <c r="FS29" s="209">
        <f>VLOOKUP(Tulemused!$BN$20,PM_2.5,2,FALSE)-CM29</f>
        <v>9.1082394222510921</v>
      </c>
      <c r="FT29" s="209">
        <f>VLOOKUP(Tulemused!$BN$13,data!$C$132:$D$137,2,FALSE)-FA29/1000</f>
        <v>2.8760630000000007</v>
      </c>
      <c r="FU29" s="209">
        <f>VLOOKUP(Tulemused!$BN$17,NO_x,2,FALSE)-CO29</f>
        <v>4.1463502267145422</v>
      </c>
      <c r="FV29" s="209">
        <f>VLOOKUP(Tulemused!$BN$18,SO_2,2,FALSE)-CP29</f>
        <v>38.440051415704389</v>
      </c>
      <c r="FW29" s="209">
        <f>VLOOKUP(Tulemused!$BN$19,LOU,2,FALSE)-CS29</f>
        <v>33.113847594878393</v>
      </c>
      <c r="FX29" s="209">
        <f>VLOOKUP(Tulemused!$BN$20,PM_2.5,2,FALSE)-CR29</f>
        <v>9.0102466437251962</v>
      </c>
      <c r="FY29" s="209">
        <f>VLOOKUP(Tulemused!$BN$14,KHG_2050,2,FALSE)-EF29</f>
        <v>94.343363178416936</v>
      </c>
      <c r="FZ29" s="231" t="str">
        <f t="shared" ca="1" si="31"/>
        <v>EI</v>
      </c>
      <c r="GA29" s="209"/>
      <c r="GB29" s="209"/>
      <c r="GC29" s="209"/>
      <c r="GD29" s="231"/>
      <c r="GE29" s="87">
        <f t="shared" si="11"/>
        <v>2091</v>
      </c>
      <c r="GF29" s="232" t="str">
        <f t="shared" ca="1" si="32"/>
        <v/>
      </c>
      <c r="GH29" s="238" t="e">
        <f t="shared" ca="1" si="12"/>
        <v>#NUM!</v>
      </c>
      <c r="GI29" s="87" t="e">
        <f t="array" aca="1" ref="GI29" ca="1">INDEX($A$11:$A$145, SMALL(IF(GH29=$GF$11:$GF$145, MATCH(ROW($GF$11:$GF$145), ROW($GF$11:$GF$145))), SUM(--(GH29=$GH$11:GH29))))</f>
        <v>#NUM!</v>
      </c>
      <c r="GM29" s="209">
        <f>IF(GM$7="X",VLOOKUP(GM$10,'VK-Hooned-Soojus'!$C:$X,2+$C29,FALSE),0)+IF(GM$6="X",VLOOKUP(GM$10,'VK-Transport'!$C:$X,2+$B29,0))+IF(GM$8="X",VLOOKUP(GM$10,'VK-Elekter'!$C:$X,2+$D29,0))+IF(GM$9="X",VLOOKUP(GM$10,'VK-Biokütused'!$C:$U,2+$E29,0))+IF(GM$5="X",VLOOKUP(GM$10,'VK-Põlevkivi'!$C:$X,2+$G29,0))+IF(GM$4="X",VLOOKUP(GM$10,'VK-Võrgud'!$C:$X,2+$F29,0))</f>
        <v>6.0128279910272253</v>
      </c>
      <c r="GN29" s="209">
        <f>IF(GN$7="X",VLOOKUP(GN$10,'VK-Hooned-Soojus'!$C:$X,2+$C29,FALSE),0)+IF(GN$6="X",VLOOKUP(GN$10,'VK-Transport'!$C:$X,2+$B29,0))+IF(GN$8="X",VLOOKUP(GN$10,'VK-Elekter'!$C:$X,2+$D29,0))+IF(GN$9="X",VLOOKUP(GN$10,'VK-Biokütused'!$C:$U,2+$E29,0))+IF(GN$5="X",VLOOKUP(GN$10,'VK-Põlevkivi'!$C:$X,2+$G29,0))+IF(GN$4="X",VLOOKUP(GN$10,'VK-Võrgud'!$C:$X,2+$F29,0))</f>
        <v>3.4467619395011728</v>
      </c>
      <c r="GO29" s="209">
        <f>IF(GO$7="X",VLOOKUP(GO$10,'VK-Hooned-Soojus'!$C:$X,2+$C29,FALSE),0)+IF(GO$6="X",VLOOKUP(GO$10,'VK-Transport'!$C:$X,2+$B29,0))+IF(GO$8="X",VLOOKUP(GO$10,'VK-Elekter'!$C:$X,2+$D29,0))+IF(GO$9="X",VLOOKUP(GO$10,'VK-Biokütused'!$C:$U,2+$E29,0))+IF(GO$5="X",VLOOKUP(GO$10,'VK-Põlevkivi'!$C:$X,2+$G29,0))+IF(GO$4="X",VLOOKUP(GO$10,'VK-Võrgud'!$C:$X,2+$F29,0))</f>
        <v>7.936370010272257</v>
      </c>
      <c r="GP29" s="209">
        <f>IF(GP$7="X",VLOOKUP(GP$10,'VK-Hooned-Soojus'!$C:$X,2+$C29,FALSE),0)+IF(GP$6="X",VLOOKUP(GP$10,'VK-Transport'!$C:$X,2+$B29,0))+IF(GP$8="X",VLOOKUP(GP$10,'VK-Elekter'!$C:$X,2+$D29,0))+IF(GP$9="X",VLOOKUP(GP$10,'VK-Biokütused'!$C:$U,2+$E29,0))+IF(GP$5="X",VLOOKUP(GP$10,'VK-Põlevkivi'!$C:$X,2+$G29,0))+IF(GP$4="X",VLOOKUP(GP$10,'VK-Võrgud'!$C:$X,2+$F29,0))</f>
        <v>9.1527946929596489</v>
      </c>
      <c r="GQ29" s="88">
        <f>IF(GQ$7="X",VLOOKUP(GQ$10,'VK-Hooned-Soojus'!$C:$X,2+$C29,FALSE),0)+IF(GQ$6="X",VLOOKUP(GQ$10,'VK-Transport'!$C:$X,2+$B29,0))+IF(GQ$8="X",VLOOKUP(GQ$10,'VK-Elekter'!$C:$X,2+$D29,0))+IF(GQ$9="X",VLOOKUP(GQ$10,'VK-Biokütused'!$C:$U,2+$E29,0))+IF(GQ$5="X",VLOOKUP(GQ$10,'VK-Põlevkivi'!$C:$X,2+$G29,0))+IF(GQ$4="X",VLOOKUP(GQ$10,'VK-Võrgud'!$C:$X,2+$F29,0))</f>
        <v>0.9682855968523334</v>
      </c>
      <c r="GR29" s="186">
        <f t="shared" si="33"/>
        <v>0.38230641368738244</v>
      </c>
    </row>
    <row r="30" spans="1:200" x14ac:dyDescent="0.2">
      <c r="A30" s="184">
        <v>20</v>
      </c>
      <c r="B30" s="87">
        <v>1</v>
      </c>
      <c r="C30" s="87">
        <v>2</v>
      </c>
      <c r="D30" s="87">
        <v>2</v>
      </c>
      <c r="E30" s="87">
        <v>2</v>
      </c>
      <c r="F30" s="87">
        <f>VLOOKUP(Tulemused!$BF$7,data!$J$6:$K$8,2,FALSE)</f>
        <v>2</v>
      </c>
      <c r="G30" s="87">
        <f>VLOOKUP(data!$H$2,data!$J$12:$K$14,2,FALSE)</f>
        <v>2</v>
      </c>
      <c r="I30" s="209">
        <f>IF(I$7="X",VLOOKUP(I$10,'VK-Hooned-Soojus'!$C:$X,2+$C30,FALSE),0)+IF(I$6="X",VLOOKUP(I$10,'VK-Transport'!$C:$X,2+$B30,0))+IF(I$8="X",VLOOKUP(I$10,'VK-Elekter'!$C:$X,2+$D30,0))+IF(I$9="X",VLOOKUP(I$10,'VK-Biokütused'!$C:$U,2+$E30,0))+IF(I$5="X",VLOOKUP(I$10,'VK-Põlevkivi'!$C:$X,2+$G30,0))+IF(I$4="X",VLOOKUP(I$10,'VK-Võrgud'!$C:$X,2+$F30,0))</f>
        <v>24.79</v>
      </c>
      <c r="J30" s="209">
        <f>IF(J$7="X",VLOOKUP(J$10,'VK-Hooned-Soojus'!$C:$X,2+$C30,FALSE),0)+IF(J$6="X",VLOOKUP(J$10,'VK-Transport'!$C:$X,2+$B30,0))+IF(J$8="X",VLOOKUP(J$10,'VK-Elekter'!$C:$X,2+$D30,0))+IF(J$9="X",VLOOKUP(J$10,'VK-Biokütused'!$C:$U,2+$E30,0))+IF(J$5="X",VLOOKUP(J$10,'VK-Põlevkivi'!$C:$X,2+$G30,0))+IF(J$4="X",VLOOKUP(J$10,'VK-Võrgud'!$C:$X,2+$F30,0))</f>
        <v>13.295833333333334</v>
      </c>
      <c r="K30" s="209">
        <f>IF(K$7="X",VLOOKUP(K$10,'VK-Hooned-Soojus'!$C:$X,2+$C30,FALSE),0)+IF(K$6="X",VLOOKUP(K$10,'VK-Transport'!$C:$X,2+$B30,0))+IF(K$8="X",VLOOKUP(K$10,'VK-Elekter'!$C:$X,2+$D30,0))+IF(K$9="X",VLOOKUP(K$10,'VK-Biokütused'!$C:$U,2+$E30,0))+IF(K$5="X",VLOOKUP(K$10,'VK-Põlevkivi'!$C:$X,2+$G30,0))+IF(K$4="X",VLOOKUP(K$10,'VK-Võrgud'!$C:$X,2+$F30,0))</f>
        <v>15.27</v>
      </c>
      <c r="L30" s="209">
        <f>IF(L$7="X",VLOOKUP(L$10,'VK-Hooned-Soojus'!$C:$X,2+$C30,FALSE),0)+IF(L$6="X",VLOOKUP(L$10,'VK-Transport'!$C:$X,2+$B30,0))+IF(L$8="X",VLOOKUP(L$10,'VK-Elekter'!$C:$X,2+$D30,0))+IF(L$9="X",VLOOKUP(L$10,'VK-Biokütused'!$C:$U,2+$E30,0))+IF(L$5="X",VLOOKUP(L$10,'VK-Põlevkivi'!$C:$X,2+$G30,0))+IF(L$4="X",VLOOKUP(L$10,'VK-Võrgud'!$C:$X,2+$F30,0))</f>
        <v>24.2</v>
      </c>
      <c r="M30" s="209">
        <f>IF(M$7="X",VLOOKUP(M$10,'VK-Hooned-Soojus'!$C:$X,2+$C30,FALSE),0)+IF(M$6="X",VLOOKUP(M$10,'VK-Transport'!$C:$X,2+$B30,0))+IF(M$8="X",VLOOKUP(M$10,'VK-Elekter'!$C:$X,2+$D30,0))+IF(M$9="X",VLOOKUP(M$10,'VK-Biokütused'!$C:$U,2+$E30,0))+IF(M$5="X",VLOOKUP(M$10,'VK-Põlevkivi'!$C:$X,2+$G30,0))+IF(M$4="X",VLOOKUP(M$10,'VK-Võrgud'!$C:$X,2+$F30,0))</f>
        <v>11.289444444444445</v>
      </c>
      <c r="N30" s="209">
        <f>IF(N$7="X",VLOOKUP(N$10,'VK-Hooned-Soojus'!$C:$X,2+$C30,FALSE),0)+IF(N$6="X",VLOOKUP(N$10,'VK-Transport'!$C:$X,2+$B30,0))+IF(N$8="X",VLOOKUP(N$10,'VK-Elekter'!$C:$X,2+$D30,0))+IF(N$9="X",VLOOKUP(N$10,'VK-Biokütused'!$C:$U,2+$E30,0))+IF(N$5="X",VLOOKUP(N$10,'VK-Põlevkivi'!$C:$X,2+$G30,0))+IF(N$4="X",VLOOKUP(N$10,'VK-Võrgud'!$C:$X,2+$F30,0))</f>
        <v>16.09</v>
      </c>
      <c r="O30" s="209">
        <f t="shared" si="13"/>
        <v>38.085833333333333</v>
      </c>
      <c r="P30" s="209"/>
      <c r="Q30" s="209">
        <f>(IF(Q$7="X",VLOOKUP(Q$10,'VK-Hooned-Soojus'!$C:$X,2+$C30,FALSE),0)+IF(Q$6="X",VLOOKUP(Q$10,'VK-Transport'!$C:$X,2+$B30,0))+IF(Q$8="X",VLOOKUP(Q$10,'VK-Elekter'!$C:$X,2+$D30,0))+IF(Q$9="X",VLOOKUP(Q$10,'VK-Biokütused'!$C:$U,2+$E30,0))+IF(Q$5="X",VLOOKUP(Q$10,'VK-Põlevkivi'!$C:$X,2+$G30,0))+IF(Q$4="X",VLOOKUP(Q$10,'VK-Võrgud'!$C:$X,2+$F30,0)))/1000</f>
        <v>5.0979999999999999</v>
      </c>
      <c r="R30" s="209">
        <f>(IF(R$7="X",VLOOKUP(R$10,'VK-Hooned-Soojus'!$C:$X,2+$C30,FALSE),0)+IF(R$6="X",VLOOKUP(R$10,'VK-Transport'!$C:$X,2+$B30,0))+IF(R$8="X",VLOOKUP(R$10,'VK-Elekter'!$C:$X,2+$D30,0))+IF(R$9="X",VLOOKUP(R$10,'VK-Biokütused'!$C:$U,2+$E30,0))+IF(R$5="X",VLOOKUP(R$10,'VK-Põlevkivi'!$C:$X,2+$G30,0))+IF(R$4="X",VLOOKUP(R$10,'VK-Võrgud'!$C:$X,2+$F30,0)))/1000</f>
        <v>3.5341368215830604</v>
      </c>
      <c r="S30" s="226">
        <f>VLOOKUP(S$10,'VK-Hooned-Soojus'!$C:$I,2+$C30,FALSE) + VLOOKUP(S$10,'VK-Transport'!$C:$I,2+$B30,FALSE)+ VLOOKUP(S$10,'VK-Biokütused'!$C:$G,2+$E30,FALSE)+ VLOOKUP(S$10,'VK-Elekter'!$C:$I,2+$D30,FALSE)+ VLOOKUP(S$10,'VK-Põlevkivi'!$C:$I,2+$G30,FALSE)+ VLOOKUP(S$10,'VK-Võrgud'!$C:$I,2+$F30,FALSE)</f>
        <v>1.060909816414532E-2</v>
      </c>
      <c r="T30" s="226">
        <f>VLOOKUP(T$10,'VK-Hooned-Soojus'!$C:$I,2+$C30,FALSE) + VLOOKUP(T$10,'VK-Transport'!$C:$I,2+$B30,FALSE)+ VLOOKUP(T$10,'VK-Biokütused'!$C:$G,2+$E30,FALSE)+ VLOOKUP(T$10,'VK-Elekter'!$C:$I,2+$D30,FALSE)+ VLOOKUP(T$10,'VK-Põlevkivi'!$C:$I,2+$G30,FALSE)+ VLOOKUP(T$10,'VK-Võrgud'!$C:$I,2+$F30,FALSE)</f>
        <v>-6.0078919709711746E-3</v>
      </c>
      <c r="U30" s="226">
        <f>VLOOKUP(U$10,'VK-Hooned-Soojus'!$C:$I,2+$C30,FALSE) + VLOOKUP(U$10,'VK-Transport'!$C:$I,2+$B30,FALSE)+ VLOOKUP(U$10,'VK-Biokütused'!$C:$G,2+$E30,FALSE)+ VLOOKUP(U$10,'VK-Elekter'!$C:$I,2+$D30,FALSE)+ VLOOKUP(U$10,'VK-Põlevkivi'!$C:$I,2+$G30,FALSE)+ VLOOKUP(U$10,'VK-Võrgud'!$C:$I,2+$F30,FALSE)</f>
        <v>1.8279158559727227E-3</v>
      </c>
      <c r="V30" s="226">
        <f>VLOOKUP(V$10,'VK-Hooned-Soojus'!$C:$I,2+$C30,FALSE) + VLOOKUP(V$10,'VK-Transport'!$C:$I,2+$B30,FALSE)+ VLOOKUP(V$10,'VK-Biokütused'!$C:$G,2+$E30,FALSE)+ VLOOKUP(V$10,'VK-Elekter'!$C:$I,2+$D30,FALSE)+ VLOOKUP(V$10,'VK-Põlevkivi'!$C:$I,2+$G30,FALSE)+ VLOOKUP(V$10,'VK-Võrgud'!$C:$I,2+$F30,FALSE)</f>
        <v>8.8302827492528421E-3</v>
      </c>
      <c r="W30" s="226">
        <f>VLOOKUP(W$10,'VK-Hooned-Soojus'!$C:$I,2+$C30,FALSE) + VLOOKUP(W$10,'VK-Transport'!$C:$I,2+$B30,FALSE)+ VLOOKUP(W$10,'VK-Biokütused'!$C:$G,2+$E30,FALSE)+ VLOOKUP(W$10,'VK-Elekter'!$C:$I,2+$D30,FALSE)+ VLOOKUP(W$10,'VK-Põlevkivi'!$C:$I,2+$G30,FALSE)+ VLOOKUP(W$10,'VK-Võrgud'!$C:$I,2+$F30,FALSE)</f>
        <v>-8.5535560917852516E-3</v>
      </c>
      <c r="X30" s="226">
        <f>VLOOKUP(X$10,'VK-Hooned-Soojus'!$C:$I,2+$C30,FALSE) + VLOOKUP(X$10,'VK-Transport'!$C:$I,2+$B30,FALSE)+ VLOOKUP(X$10,'VK-Biokütused'!$C:$G,2+$E30,FALSE)+ VLOOKUP(X$10,'VK-Elekter'!$C:$I,2+$D30,FALSE)+ VLOOKUP(X$10,'VK-Põlevkivi'!$C:$I,2+$G30,FALSE)+ VLOOKUP(X$10,'VK-Võrgud'!$C:$I,2+$F30,FALSE)</f>
        <v>-9.6242035140092531E-3</v>
      </c>
      <c r="Y30" s="226">
        <f>VLOOKUP(Y$10,'VK-Hooned-Soojus'!$C:$I,2+$C30,FALSE) + VLOOKUP(Y$10,'VK-Transport'!$C:$I,2+$B30,FALSE)+ VLOOKUP(Y$10,'VK-Biokütused'!$C:$G,2+$E30,FALSE)+ VLOOKUP(Y$10,'VK-Elekter'!$C:$I,2+$D30,FALSE)+ VLOOKUP(Y$10,'VK-Põlevkivi'!$C:$I,2+$G30,FALSE)+ VLOOKUP(Y$10,'VK-Võrgud'!$C:$I,2+$F30,FALSE)</f>
        <v>-1.8380440560607874E-2</v>
      </c>
      <c r="Z30" s="227">
        <f>(S30*Tulemused!$Q$9*10+T30*Tulemused!$Q$10*10+KOMBI!U30*Tulemused!$Q$11*10+KOMBI!V30*Tulemused!$Q$12*10)*Tulemused!$Q$8+-(W30*Tulemused!$Q$14*10+KOMBI!X30*Tulemused!$Q$15*10+KOMBI!Y30*Tulemused!$Q$16*10)*Tulemused!$Q$13</f>
        <v>1.8841712707569214</v>
      </c>
      <c r="AA30" s="228">
        <f>(IF(AA$7="X",VLOOKUP(AA$10,'VK-Hooned-Soojus'!$C:$X,2+$C30,FALSE),0)+IF(AA$6="X",VLOOKUP(AA$10,'VK-Transport'!$C:$X,2+$B30,0))+IF(AA$8="X",VLOOKUP(AA$10,'VK-Elekter'!$C:$X,2+$D30,0))+IF(AA$9="X",VLOOKUP(AA$10,'VK-Biokütused'!$C:$U,2+$E30,0))+IF(AA$5="X",VLOOKUP(AA$10,'VK-Põlevkivi'!$C:$X,2+$G30,0))+IF(AA$4="X",VLOOKUP(AA$10,'VK-Võrgud'!$C:$X,2+$F30,0)))</f>
        <v>3761</v>
      </c>
      <c r="AB30" s="228">
        <f>(IF(AB$7="X",VLOOKUP(AB$10,'VK-Hooned-Soojus'!$C:$X,2+$C30,FALSE),0)+IF(AB$6="X",VLOOKUP(AB$10,'VK-Transport'!$C:$X,2+$B30,0))+IF(AB$8="X",VLOOKUP(AB$10,'VK-Elekter'!$C:$X,2+$D30,0))+IF(AB$9="X",VLOOKUP(AB$10,'VK-Biokütused'!$C:$U,2+$E30,0))+IF(AB$5="X",VLOOKUP(AB$10,'VK-Põlevkivi'!$C:$X,2+$G30,0))+IF(AB$4="X",VLOOKUP(AB$10,'VK-Võrgud'!$C:$X,2+$F30,0)))</f>
        <v>1337</v>
      </c>
      <c r="AC30" s="228">
        <f>(IF(AC$7="X",VLOOKUP(AC$10,'VK-Hooned-Soojus'!$C:$X,2+$C30,FALSE),0)+IF(AC$6="X",VLOOKUP(AC$10,'VK-Transport'!$C:$X,2+$B30,0))+IF(AC$8="X",VLOOKUP(AC$10,'VK-Elekter'!$C:$X,2+$D30,0))+IF(AC$9="X",VLOOKUP(AC$10,'VK-Biokütused'!$C:$U,2+$E30,0))+IF(AC$5="X",VLOOKUP(AC$10,'VK-Põlevkivi'!$C:$X,2+$G30,0))+IF(AC$4="X",VLOOKUP(AC$10,'VK-Võrgud'!$C:$X,2+$F30,0)))</f>
        <v>2346</v>
      </c>
      <c r="AD30" s="228">
        <f>(IF(AD$7="X",VLOOKUP(AD$10,'VK-Hooned-Soojus'!$C:$X,2+$C30,FALSE),0)+IF(AD$6="X",VLOOKUP(AD$10,'VK-Transport'!$C:$X,2+$B30,0))+IF(AD$8="X",VLOOKUP(AD$10,'VK-Elekter'!$C:$X,2+$D30,0))+IF(AD$9="X",VLOOKUP(AD$10,'VK-Biokütused'!$C:$U,2+$E30,0))+IF(AD$5="X",VLOOKUP(AD$10,'VK-Põlevkivi'!$C:$X,2+$G30,0))+IF(AD$4="X",VLOOKUP(AD$10,'VK-Võrgud'!$C:$X,2+$F30,0)))</f>
        <v>377.5</v>
      </c>
      <c r="AE30" s="228">
        <f>(IF(AE$7="X",VLOOKUP(AE$10,'VK-Hooned-Soojus'!$C:$X,2+$C30,FALSE),0)+IF(AE$6="X",VLOOKUP(AE$10,'VK-Transport'!$C:$X,2+$B30,0))+IF(AE$8="X",VLOOKUP(AE$10,'VK-Elekter'!$C:$X,2+$D30,0))+IF(AE$9="X",VLOOKUP(AE$10,'VK-Biokütused'!$C:$U,2+$E30,0))+IF(AE$5="X",VLOOKUP(AE$10,'VK-Põlevkivi'!$C:$X,2+$G30,0))+IF(AE$4="X",VLOOKUP(AE$10,'VK-Võrgud'!$C:$X,2+$F30,0)))</f>
        <v>666</v>
      </c>
      <c r="AF30" s="228">
        <f>(IF(AF$7="X",VLOOKUP(AF$10,'VK-Hooned-Soojus'!$C:$X,2+$C30,FALSE),0)+IF(AF$6="X",VLOOKUP(AF$10,'VK-Transport'!$C:$X,2+$B30,0))+IF(AF$8="X",VLOOKUP(AF$10,'VK-Elekter'!$C:$X,2+$D30,0))+IF(AF$9="X",VLOOKUP(AF$10,'VK-Biokütused'!$C:$U,2+$E30,0))+IF(AF$5="X",VLOOKUP(AF$10,'VK-Põlevkivi'!$C:$X,2+$G30,0))+IF(AF$4="X",VLOOKUP(AF$10,'VK-Võrgud'!$C:$X,2+$F30,0)))</f>
        <v>2490.6368215830603</v>
      </c>
      <c r="AG30" s="209"/>
      <c r="AH30" s="209">
        <f>IF(AH$7="X",VLOOKUP(AH$10,'VK-Hooned-Soojus'!$C:$X,2+$C30,FALSE),0)+IF(AH$6="X",VLOOKUP(AH$10,'VK-Transport'!$C:$X,2+$B30,0))+IF(AH$8="X",VLOOKUP(AH$10,'VK-Elekter'!$C:$X,2+$D30,0))+IF(AH$9="X",VLOOKUP(AH$10,'VK-Biokütused'!$C:$U,2+$E30,0))+IF(AH$5="X",VLOOKUP(AH$10,'VK-Põlevkivi'!$C:$X,2+$G30,0))+IF(AH$4="X",VLOOKUP(AH$10,'VK-Võrgud'!$C:$X,2+$F30,0))</f>
        <v>11.64</v>
      </c>
      <c r="AI30" s="209">
        <f>IF(AI$7="X",VLOOKUP(AI$10,'VK-Hooned-Soojus'!$C:$X,2+$C30,FALSE),0)+IF(AI$6="X",VLOOKUP(AI$10,'VK-Transport'!$C:$X,2+$B30,0))+IF(AI$8="X",VLOOKUP(AI$10,'VK-Elekter'!$C:$X,2+$D30,0))+IF(AI$9="X",VLOOKUP(AI$10,'VK-Biokütused'!$C:$U,2+$E30,0))+IF(AI$5="X",VLOOKUP(AI$10,'VK-Põlevkivi'!$C:$X,2+$G30,0))+IF(AI$4="X",VLOOKUP(AI$10,'VK-Võrgud'!$C:$X,2+$F30,0))</f>
        <v>2.3100000000000005</v>
      </c>
      <c r="AJ30" s="209">
        <f>IF(AJ$7="X",VLOOKUP(AJ$10,'VK-Hooned-Soojus'!$C:$X,2+$C30,FALSE),0)+IF(AJ$6="X",VLOOKUP(AJ$10,'VK-Transport'!$C:$X,2+$B30,0))+IF(AJ$8="X",VLOOKUP(AJ$10,'VK-Elekter'!$C:$X,2+$D30,0))+IF(AJ$9="X",VLOOKUP(AJ$10,'VK-Biokütused'!$C:$U,2+$E30,0))+IF(AJ$5="X",VLOOKUP(AJ$10,'VK-Põlevkivi'!$C:$X,2+$G30,0))+IF(AJ$4="X",VLOOKUP(AJ$10,'VK-Võrgud'!$C:$X,2+$F30,0))</f>
        <v>9.25</v>
      </c>
      <c r="AK30" s="209">
        <f>IF(AK$7="X",VLOOKUP(AK$10,'VK-Hooned-Soojus'!$C:$X,2+$C30,FALSE),0)+IF(AK$6="X",VLOOKUP(AK$10,'VK-Transport'!$C:$X,2+$B30,0))+IF(AK$8="X",VLOOKUP(AK$10,'VK-Elekter'!$C:$X,2+$D30,0))+IF(AK$9="X",VLOOKUP(AK$10,'VK-Biokütused'!$C:$U,2+$E30,0))+IF(AK$5="X",VLOOKUP(AK$10,'VK-Põlevkivi'!$C:$X,2+$G30,0))+IF(AK$4="X",VLOOKUP(AK$10,'VK-Võrgud'!$C:$X,2+$F30,0))</f>
        <v>2.78</v>
      </c>
      <c r="AL30" s="209">
        <f>IF(AL$7="X",VLOOKUP(AL$10,'VK-Hooned-Soojus'!$C:$X,2+$C30,FALSE),0)+IF(AL$6="X",VLOOKUP(AL$10,'VK-Transport'!$C:$X,2+$B30,0))+IF(AL$8="X",VLOOKUP(AL$10,'VK-Elekter'!$C:$X,2+$D30,0))+IF(AL$9="X",VLOOKUP(AL$10,'VK-Biokütused'!$C:$U,2+$E30,0))+IF(AL$5="X",VLOOKUP(AL$10,'VK-Põlevkivi'!$C:$X,2+$G30,0))+IF(AL$4="X",VLOOKUP(AL$10,'VK-Võrgud'!$C:$X,2+$F30,0))</f>
        <v>7.1999999999999993</v>
      </c>
      <c r="AM30" s="209">
        <f>IF(AM$7="X",VLOOKUP(AM$10,'VK-Hooned-Soojus'!$C:$X,2+$C30,FALSE),0)+IF(AM$6="X",VLOOKUP(AM$10,'VK-Transport'!$C:$X,2+$B30,0))+IF(AM$8="X",VLOOKUP(AM$10,'VK-Elekter'!$C:$X,2+$D30,0))+IF(AM$9="X",VLOOKUP(AM$10,'VK-Biokütused'!$C:$U,2+$E30,0))+IF(AM$5="X",VLOOKUP(AM$10,'VK-Põlevkivi'!$C:$X,2+$G30,0))+IF(AM$4="X",VLOOKUP(AM$10,'VK-Võrgud'!$C:$X,2+$F30,0))</f>
        <v>11.9</v>
      </c>
      <c r="AN30" s="209">
        <f>IF(AN$7="X",VLOOKUP(AN$10,'VK-Hooned-Soojus'!$C:$X,2+$C30,FALSE),0)+IF(AN$6="X",VLOOKUP(AN$10,'VK-Transport'!$C:$X,2+$B30,0))+IF(AN$8="X",VLOOKUP(AN$10,'VK-Elekter'!$C:$X,2+$D30,0))+IF(AN$9="X",VLOOKUP(AN$10,'VK-Biokütused'!$C:$U,2+$E30,0))+IF(AN$5="X",VLOOKUP(AN$10,'VK-Põlevkivi'!$C:$X,2+$G30,0))+IF(AN$4="X",VLOOKUP(AN$10,'VK-Võrgud'!$C:$X,2+$F30,0))</f>
        <v>4.8999999999999995</v>
      </c>
      <c r="AO30" s="209">
        <f>IF(AO$7="X",VLOOKUP(AO$10,'VK-Hooned-Soojus'!$C:$X,2+$C30,FALSE),0)+IF(AO$6="X",VLOOKUP(AO$10,'VK-Transport'!$C:$X,2+$B30,0))+IF(AO$8="X",VLOOKUP(AO$10,'VK-Elekter'!$C:$X,2+$D30,0))+IF(AO$9="X",VLOOKUP(AO$10,'VK-Biokütused'!$C:$U,2+$E30,0))+IF(AO$5="X",VLOOKUP(AO$10,'VK-Põlevkivi'!$C:$X,2+$G30,0))+IF(AO$4="X",VLOOKUP(AO$10,'VK-Võrgud'!$C:$X,2+$F30,0))</f>
        <v>12.56</v>
      </c>
      <c r="AP30" s="209">
        <f>IF(AP$7="X",VLOOKUP(AP$10,'VK-Hooned-Soojus'!$C:$X,2+$C30,FALSE),0)+IF(AP$6="X",VLOOKUP(AP$10,'VK-Transport'!$C:$X,2+$B30,0))+IF(AP$8="X",VLOOKUP(AP$10,'VK-Elekter'!$C:$X,2+$D30,0))+IF(AP$9="X",VLOOKUP(AP$10,'VK-Biokütused'!$C:$U,2+$E30,0))+IF(AP$5="X",VLOOKUP(AP$10,'VK-Põlevkivi'!$C:$X,2+$G30,0))+IF(AP$4="X",VLOOKUP(AP$10,'VK-Võrgud'!$C:$X,2+$F30,0))</f>
        <v>6.28</v>
      </c>
      <c r="AQ30" s="320">
        <f t="shared" si="14"/>
        <v>0.25999999999999979</v>
      </c>
      <c r="AR30" s="209">
        <f>IF(AR$7="X",VLOOKUP(AR$10,'VK-Hooned-Soojus'!$C:$X,2+$C30,FALSE),0)+IF(AR$6="X",VLOOKUP(AR$10,'VK-Transport'!$C:$X,2+$B30,0))+IF(AR$8="X",VLOOKUP(AR$10,'VK-Elekter'!$C:$X,2+$D30,0))+IF(AR$9="X",VLOOKUP(AR$10,'VK-Biokütused'!$C:$U,2+$E30,0))+IF(AR$5="X",VLOOKUP(AR$10,'VK-Põlevkivi'!$C:$X,2+$G30,0))+IF(AR$4="X",VLOOKUP(AR$10,'VK-Võrgud'!$C:$X,2+$F30,0))</f>
        <v>2.8899999999999997</v>
      </c>
      <c r="AS30" s="320">
        <f>VLOOKUP("Kütuste tarbimine @ 2030 - UTTEGAAS",'VK-Hooned-Soojus'!$C:$X,2+$C30,FALSE)/0.172+VLOOKUP("Kütuste tarbimine @ 2030 - UTTEGAAS",'VK-Elekter'!$C:$X,2+$D30,FALSE)/0.172-AR30-AU30</f>
        <v>2.8565116279069773</v>
      </c>
      <c r="AT30" s="209">
        <f>IF(AT$7="X",VLOOKUP(AT$10,'VK-Hooned-Soojus'!$C:$X,2+$C30,FALSE),0)+IF(AT$6="X",VLOOKUP(AT$10,'VK-Transport'!$C:$X,2+$B30,0))+IF(AT$8="X",VLOOKUP(AT$10,'VK-Elekter'!$C:$X,2+$D30,0))+IF(AT$9="X",VLOOKUP(AT$10,'VK-Biokütused'!$C:$U,2+$E30,0))+IF(AT$5="X",VLOOKUP(AT$10,'VK-Põlevkivi'!$C:$X,2+$G30,0))+IF(AT$4="X",VLOOKUP(AT$10,'VK-Võrgud'!$C:$X,2+$F30,0))</f>
        <v>12.004929222526066</v>
      </c>
      <c r="AU30" s="229">
        <f>MAX(0,(VLOOKUP("Kütuste tarbimine @ 2030 - UTTEGAAS",'VK-Hooned-Soojus'!$C:$X,2+$C30,FALSE)/0.172+VLOOKUP("Kütuste tarbimine @ 2030 - UTTEGAAS",'VK-Elekter'!$C:$X,2+$D30,FALSE)/0.172)*0.52-VLOOKUP("Kütuste tarbimine @ 2030 - PÕLEVKIVIÕLI",'VK-Hooned-Soojus'!$C:$X,2+$C30,FALSE))</f>
        <v>5.1837209302325586</v>
      </c>
      <c r="AV30" s="209">
        <f>IF(AV$7="X",VLOOKUP(AV$10,'VK-Hooned-Soojus'!$C:$X,2+$C30,FALSE),0)+IF(AV$6="X",VLOOKUP(AV$10,'VK-Transport'!$C:$X,2+$B30,0))+IF(AV$8="X",VLOOKUP(AV$10,'VK-Elekter'!$C:$X,2+$D30,0))+IF(AV$9="X",VLOOKUP(AV$10,'VK-Biokütused'!$C:$U,2+$E30,0))+IF(AV$5="X",VLOOKUP(AV$10,'VK-Põlevkivi'!$C:$X,2+$G30,0))+IF(AV$4="X",VLOOKUP(AV$10,'VK-Võrgud'!$C:$X,2+$F30,0))</f>
        <v>1.1831224847375093</v>
      </c>
      <c r="AW30" s="209">
        <f>IF(AW$7="X",VLOOKUP(AW$10,'VK-Hooned-Soojus'!$C:$X,2+$C30,FALSE),0)+IF(AW$6="X",VLOOKUP(AW$10,'VK-Transport'!$C:$X,2+$B30,0))+IF(AW$8="X",VLOOKUP(AW$10,'VK-Elekter'!$C:$X,2+$D30,0))+IF(AW$9="X",VLOOKUP(AW$10,'VK-Biokütused'!$C:$U,2+$E30,0))+IF(AW$5="X",VLOOKUP(AW$10,'VK-Põlevkivi'!$C:$X,2+$G30,0))+IF(AW$4="X",VLOOKUP(AW$10,'VK-Võrgud'!$C:$X,2+$F30,0))</f>
        <v>2.141</v>
      </c>
      <c r="AX30" s="229">
        <f t="shared" si="34"/>
        <v>0.95787751526249076</v>
      </c>
      <c r="AY30" s="229">
        <f t="shared" si="15"/>
        <v>0</v>
      </c>
      <c r="AZ30" s="230">
        <f t="shared" si="0"/>
        <v>0.57840870861576166</v>
      </c>
      <c r="BA30" s="209">
        <f>IF(BA$7="X",VLOOKUP(BA$10,'VK-Hooned-Soojus'!$C:$X,2+$C30,FALSE),0)+IF(BA$6="X",VLOOKUP(BA$10,'VK-Transport'!$C:$X,2+$B30,0))+IF(BA$8="X",VLOOKUP(BA$10,'VK-Elekter'!$C:$X,2+$D30,0))+IF(BA$9="X",VLOOKUP(BA$10,'VK-Biokütused'!$C:$U,2+$E30,0))+IF(BA$5="X",VLOOKUP(BA$10,'VK-Põlevkivi'!$C:$X,2+$G30,0))+IF(BA$4="X",VLOOKUP(BA$10,'VK-Võrgud'!$C:$X,2+$F30,0))</f>
        <v>4.25</v>
      </c>
      <c r="BB30" s="209">
        <f>IF(BB$7="X",VLOOKUP(BB$10,'VK-Hooned-Soojus'!$C:$X,2+$C30,FALSE),0)+IF(BB$6="X",VLOOKUP(BB$10,'VK-Transport'!$C:$X,2+$B30,0))+IF(BB$8="X",VLOOKUP(BB$10,'VK-Elekter'!$C:$X,2+$D30,0))+IF(BB$9="X",VLOOKUP(BB$10,'VK-Biokütused'!$C:$U,2+$E30,0))+IF(BB$5="X",VLOOKUP(BB$10,'VK-Põlevkivi'!$C:$X,2+$G30,0))+IF(BB$4="X",VLOOKUP(BB$10,'VK-Võrgud'!$C:$X,2+$F30,0))</f>
        <v>2.93</v>
      </c>
      <c r="BC30" s="209">
        <f>IF(BC$7="X",VLOOKUP(BC$10,'VK-Hooned-Soojus'!$C:$X,2+$C30,FALSE),0)+IF(BC$6="X",VLOOKUP(BC$10,'VK-Transport'!$C:$X,2+$B30,0))+IF(BC$8="X",VLOOKUP(BC$10,'VK-Elekter'!$C:$X,2+$D30,0))+IF(BC$9="X",VLOOKUP(BC$10,'VK-Biokütused'!$C:$U,2+$E30,0))+IF(BC$5="X",VLOOKUP(BC$10,'VK-Põlevkivi'!$C:$X,2+$G30,0))+IF(BC$4="X",VLOOKUP(BC$10,'VK-Võrgud'!$C:$X,2+$F30,0))</f>
        <v>6.5993333333333322</v>
      </c>
      <c r="BD30" s="209">
        <f>IF(BD$7="X",VLOOKUP(BD$10,'VK-Hooned-Soojus'!$C:$X,2+$C30,FALSE),0)+IF(BD$6="X",VLOOKUP(BD$10,'VK-Transport'!$C:$X,2+$B30,0))+IF(BD$8="X",VLOOKUP(BD$10,'VK-Elekter'!$C:$X,2+$D30,0))+IF(BD$9="X",VLOOKUP(BD$10,'VK-Biokütused'!$C:$U,2+$E30,0))+IF(BD$5="X",VLOOKUP(BD$10,'VK-Põlevkivi'!$C:$X,2+$G30,0))+IF(BD$4="X",VLOOKUP(BD$10,'VK-Võrgud'!$C:$X,2+$F30,0))</f>
        <v>9.425416666666667</v>
      </c>
      <c r="BE30" s="230"/>
      <c r="BF30" s="229">
        <f t="shared" si="16"/>
        <v>0.30496789459902313</v>
      </c>
      <c r="BG30" s="209" t="e">
        <f>(IF(BG$7="X",VLOOKUP(BG$10,'VK-Hooned-Soojus'!$C:$X,2+$C30,FALSE),0)+IF(BG$6="X",VLOOKUP(BG$10,'VK-Transport'!$C:$X,2+$B30,0))+IF(BG$8="X",VLOOKUP(BG$10,'VK-Elekter'!$C:$X,2+$D30,0))+IF(BG$9="X",VLOOKUP(BG$10,'VK-Biokütused'!$C:$U,2+$E30,0))+IF(BG$5="X",VLOOKUP(BG$10,'VK-Põlevkivi'!$C:$X,2+$G30,0))+IF(BG$4="X",VLOOKUP(BG$10,'VK-Võrgud'!$C:$X,2+$F30,0)))/20</f>
        <v>#N/A</v>
      </c>
      <c r="BH30" s="209">
        <f>(IF(BH$7="X",VLOOKUP(BH$10,'VK-Hooned-Soojus'!$C:$X,2+$C30,FALSE),0)+IF(BH$6="X",VLOOKUP(BH$10,'VK-Transport'!$C:$X,2+$B30,0))+IF(BH$8="X",VLOOKUP(BH$10,'VK-Elekter'!$C:$X,2+$D30,0))+IF(BH$9="X",VLOOKUP(BH$10,'VK-Biokütused'!$C:$U,2+$E30,0))+IF(BH$5="X",VLOOKUP(BH$10,'VK-Põlevkivi'!$C:$X,2+$G30,0))+IF(BH$4="X",VLOOKUP(BH$10,'VK-Võrgud'!$C:$X,2+$F30,0)))/20</f>
        <v>45.08</v>
      </c>
      <c r="BI30" s="209">
        <f>(IF(BI$7="X",VLOOKUP(BI$10,'VK-Hooned-Soojus'!$C:$X,2+$C30,FALSE),0)+IF(BI$6="X",VLOOKUP(BI$10,'VK-Transport'!$C:$X,2+$B30,0))+IF(BI$8="X",VLOOKUP(BI$10,'VK-Elekter'!$C:$X,2+$D30,0))+IF(BI$9="X",VLOOKUP(BI$10,'VK-Biokütused'!$C:$U,2+$E30,0))+IF(BI$5="X",VLOOKUP(BI$10,'VK-Põlevkivi'!$C:$X,2+$G30,0))+IF(BI$4="X",VLOOKUP(BI$10,'VK-Võrgud'!$C:$X,2+$F30,0)))/16</f>
        <v>14.1875</v>
      </c>
      <c r="BJ30" s="209">
        <f>(IF(BJ$7="X",VLOOKUP(BJ$10,'VK-Hooned-Soojus'!$C:$X,2+$C30,FALSE),0)+IF(BJ$6="X",VLOOKUP(BJ$10,'VK-Transport'!$C:$X,2+$B30,0))+IF(BJ$8="X",VLOOKUP(BJ$10,'VK-Elekter'!$C:$X,2+$D30,0))+IF(BJ$9="X",VLOOKUP(BJ$10,'VK-Biokütused'!$C:$U,2+$E30,0))+IF(BJ$5="X",VLOOKUP(BJ$10,'VK-Põlevkivi'!$C:$X,2+$G30,0))+IF(BJ$4="X",VLOOKUP(BJ$10,'VK-Võrgud'!$C:$X,2+$F30,0)))/20</f>
        <v>3.91</v>
      </c>
      <c r="BK30" s="209"/>
      <c r="BL30" s="209"/>
      <c r="BM30" s="209"/>
      <c r="BN30" s="209" t="e">
        <f>(IF(BN$7="X",VLOOKUP(BN$10,'VK-Hooned-Soojus'!$C:$X,2+$C30,FALSE),0)+IF(BN$6="X",VLOOKUP(BN$10,'VK-Transport'!$C:$X,2+$B30,0))+IF(BN$8="X",VLOOKUP(BN$10,'VK-Elekter'!$C:$X,2+$D30,0))+IF(BN$9="X",VLOOKUP(BN$10,'VK-Biokütused'!$C:$U,2+$E30,0))+IF(BN$5="X",VLOOKUP(BN$10,'VK-Põlevkivi'!$C:$X,2+$G30,0))+IF(BN$4="X",VLOOKUP(BN$10,'VK-Võrgud'!$C:$X,2+$F30,0)))/16</f>
        <v>#N/A</v>
      </c>
      <c r="BO30" s="209">
        <f>(IF(BO$7="X",VLOOKUP(BO$10,'VK-Hooned-Soojus'!$C:$X,2+$C30,FALSE),0)+IF(BO$6="X",VLOOKUP(BO$10,'VK-Transport'!$C:$X,2+$B30,0))+IF(BO$8="X",VLOOKUP(BO$10,'VK-Elekter'!$C:$X,2+$D30,0))+IF(BO$9="X",VLOOKUP(BO$10,'VK-Biokütused'!$C:$U,2+$E30,0))+IF(BO$5="X",VLOOKUP(BO$10,'VK-Põlevkivi'!$C:$X,2+$G30,0))+IF(BO$4="X",VLOOKUP(BO$10,'VK-Võrgud'!$C:$X,2+$F30,0)))/16</f>
        <v>496.33125000000001</v>
      </c>
      <c r="BP30" s="209"/>
      <c r="BQ30" s="209">
        <f>(IF(BQ$7="X",VLOOKUP(BQ$10,'VK-Hooned-Soojus'!$C:$X,2+$C30,FALSE),0)+IF(BQ$6="X",VLOOKUP(BQ$10,'VK-Transport'!$C:$X,2+$B30,0))+IF(BQ$8="X",VLOOKUP(BQ$10,'VK-Elekter'!$C:$X,2+$D30,0))+IF(BQ$9="X",VLOOKUP(BQ$10,'VK-Biokütused'!$C:$U,2+$E30,0))+IF(BQ$5="X",VLOOKUP(BQ$10,'VK-Põlevkivi'!$C:$X,2+$G30,0))+IF(BQ$4="X",VLOOKUP(BQ$10,'VK-Võrgud'!$C:$X,2+$F30,0)))/16</f>
        <v>4.7249999999999996</v>
      </c>
      <c r="BR30" s="209">
        <f>(IF(BR$7="X",VLOOKUP(BR$10,'VK-Hooned-Soojus'!$C:$X,2+$C30,FALSE),0)+IF(BR$6="X",VLOOKUP(BR$10,'VK-Transport'!$C:$X,2+$B30,0))+IF(BR$8="X",VLOOKUP(BR$10,'VK-Elekter'!$C:$X,2+$D30,0))+IF(BR$9="X",VLOOKUP(BR$10,'VK-Biokütused'!$C:$U,2+$E30,0))+IF(BR$5="X",VLOOKUP(BR$10,'VK-Põlevkivi'!$C:$X,2+$G30,0))+IF(BR$4="X",VLOOKUP(BR$10,'VK-Võrgud'!$C:$X,2+$F30,0)))/16</f>
        <v>-74.512500000000003</v>
      </c>
      <c r="BS30" s="209">
        <f>(IF(BS$7="X",VLOOKUP(BS$10,'VK-Hooned-Soojus'!$C:$X,2+$C30,FALSE),0)+IF(BS$6="X",VLOOKUP(BS$10,'VK-Transport'!$C:$X,2+$B30,0))+IF(BS$8="X",VLOOKUP(BS$10,'VK-Elekter'!$C:$X,2+$D30,0))+IF(BS$9="X",VLOOKUP(BS$10,'VK-Biokütused'!$C:$U,2+$E30,0))+IF(BS$5="X",VLOOKUP(BS$10,'VK-Põlevkivi'!$C:$X,2+$G30,0))+IF(BS$4="X",VLOOKUP(BS$10,'VK-Võrgud'!$C:$X,2+$F30,0)))/16</f>
        <v>-100.68125000000001</v>
      </c>
      <c r="BT30" s="209"/>
      <c r="BU30" s="209"/>
      <c r="BV30" s="209">
        <f>(IF(BV$7="X",VLOOKUP(BV$10,'VK-Hooned-Soojus'!$C:$X,2+$C30,FALSE),0)+IF(BV$6="X",VLOOKUP(BV$10,'VK-Transport'!$C:$X,2+$B30,0))+IF(BV$8="X",VLOOKUP(BV$10,'VK-Elekter'!$C:$X,2+$D30,0))+IF(BV$9="X",VLOOKUP(BV$10,'VK-Biokütused'!$C:$U,2+$E30,0))+IF(BV$5="X",VLOOKUP(BV$10,'VK-Põlevkivi'!$C:$X,2+$G30,0))+IF(BV$4="X",VLOOKUP(BV$10,'VK-Võrgud'!$C:$X,2+$F30,0)))/16</f>
        <v>0</v>
      </c>
      <c r="BW30" s="209"/>
      <c r="BX30" s="209">
        <f>(IF(BX$7="X",VLOOKUP(BX$10,'VK-Hooned-Soojus'!$C:$X,2+$C30,FALSE),0)+IF(BX$6="X",VLOOKUP(BX$10,'VK-Transport'!$C:$X,2+$B30,0))+IF(BX$8="X",VLOOKUP(BX$10,'VK-Elekter'!$C:$X,2+$D30,0))+IF(BX$9="X",VLOOKUP(BX$10,'VK-Biokütused'!$C:$U,2+$E30,0))+IF(BX$5="X",VLOOKUP(BX$10,'VK-Põlevkivi'!$C:$X,2+$G30,0))+IF(BX$4="X",VLOOKUP(BX$10,'VK-Võrgud'!$C:$X,2+$F30,0)))/16</f>
        <v>-99.75</v>
      </c>
      <c r="BY30" s="209"/>
      <c r="BZ30" s="209"/>
      <c r="CA30" s="209" t="e">
        <f>(IF(CA$7="X",VLOOKUP(CA$10,'VK-Hooned-Soojus'!$C:$X,2+$C30,FALSE),0)+IF(CA$6="X",VLOOKUP(CA$10,'VK-Transport'!$C:$X,2+$B30,0))+IF(CA$8="X",VLOOKUP(CA$10,'VK-Elekter'!$C:$X,2+$D30,0))+IF(CA$9="X",VLOOKUP(CA$10,'VK-Biokütused'!$C:$U,2+$E30,0))+IF(CA$5="X",VLOOKUP(CA$10,'VK-Põlevkivi'!$C:$X,2+$G30,0))+IF(CA$4="X",VLOOKUP(CA$10,'VK-Võrgud'!$C:$X,2+$F30,0)))/16</f>
        <v>#N/A</v>
      </c>
      <c r="CB30" s="209">
        <f>(IF(CB$7="X",VLOOKUP(CB$10,'VK-Hooned-Soojus'!$C:$X,2+$C30,FALSE),0)+IF(CB$6="X",VLOOKUP(CB$10,'VK-Transport'!$C:$X,2+$B30,0))+IF(CB$8="X",VLOOKUP(CB$10,'VK-Elekter'!$C:$X,2+$D30,0))+IF(CB$9="X",VLOOKUP(CB$10,'VK-Biokütused'!$C:$U,2+$E30,0))+IF(CB$5="X",VLOOKUP(CB$10,'VK-Põlevkivi'!$C:$X,2+$G30,0))+IF(CB$4="X",VLOOKUP(CB$10,'VK-Võrgud'!$C:$X,2+$F30,0)))/16</f>
        <v>0</v>
      </c>
      <c r="CC30" s="209">
        <f>(IF(CC$7="X",VLOOKUP(CC$10,'VK-Hooned-Soojus'!$C:$X,2+$C30,FALSE),0)+IF(CC$6="X",VLOOKUP(CC$10,'VK-Transport'!$C:$X,2+$B30,0))+IF(CC$8="X",VLOOKUP(CC$10,'VK-Elekter'!$C:$X,2+$D30,0))+IF(CC$9="X",VLOOKUP(CC$10,'VK-Biokütused'!$C:$U,2+$E30,0))+IF(CC$5="X",VLOOKUP(CC$10,'VK-Põlevkivi'!$C:$X,2+$G30,0))+IF(CC$4="X",VLOOKUP(CC$10,'VK-Võrgud'!$C:$X,2+$F30,0)))/16</f>
        <v>0</v>
      </c>
      <c r="CD30" s="209"/>
      <c r="CE30" s="209">
        <f>(IF(CE$7="X",VLOOKUP(CE$10,'VK-Hooned-Soojus'!$C:$X,2+$C30,FALSE),0)+IF(CE$6="X",VLOOKUP(CE$10,'VK-Transport'!$C:$X,2+$B30,0))+IF(CE$8="X",VLOOKUP(CE$10,'VK-Elekter'!$C:$X,2+$D30,0))+IF(CE$9="X",VLOOKUP(CE$10,'VK-Biokütused'!$C:$U,2+$E30,0))+IF(CE$5="X",VLOOKUP(CE$10,'VK-Põlevkivi'!$C:$X,2+$G30,0))+IF(CE$4="X",VLOOKUP(CE$10,'VK-Võrgud'!$C:$X,2+$F30,0)))/16</f>
        <v>24.15625</v>
      </c>
      <c r="CF30" s="209"/>
      <c r="CG30" s="209">
        <f>(IF(CG$7="X",VLOOKUP(CG$10,'VK-Hooned-Soojus'!$C:$X,2+$C30,FALSE),0)+IF(CG$6="X",VLOOKUP(CG$10,'VK-Transport'!$C:$X,2+$B30,0))+IF(CG$8="X",VLOOKUP(CG$10,'VK-Elekter'!$C:$X,2+$D30,0))+IF(CG$9="X",VLOOKUP(CG$10,'VK-Biokütused'!$C:$U,2+$E30,0))+IF(CG$5="X",VLOOKUP(CG$10,'VK-Põlevkivi'!$C:$X,2+$G30,0))+IF(CG$4="X",VLOOKUP(CG$10,'VK-Võrgud'!$C:$X,2+$F30,0)))/16</f>
        <v>0</v>
      </c>
      <c r="CH30" s="209">
        <f>(IF(CH$7="X",VLOOKUP(CH$10,'VK-Hooned-Soojus'!$C:$X,2+$C30,FALSE),0)+IF(CH$6="X",VLOOKUP(CH$10,'VK-Transport'!$C:$X,2+$B30,0))+IF(CH$8="X",VLOOKUP(CH$10,'VK-Elekter'!$C:$X,2+$D30,0))+IF(CH$9="X",VLOOKUP(CH$10,'VK-Biokütused'!$C:$U,2+$E30,0))+IF(CH$5="X",VLOOKUP(CH$10,'VK-Põlevkivi'!$C:$X,2+$G30,0))+IF(CH$4="X",VLOOKUP(CH$10,'VK-Võrgud'!$C:$X,2+$F30,0)))/20*0.21</f>
        <v>11.225549999999998</v>
      </c>
      <c r="CI30" s="209"/>
      <c r="CJ30" s="209">
        <f>(IF(CJ$7="X",VLOOKUP(CJ$10,'VK-Hooned-Soojus'!$C:$X,2+$C30,FALSE),0)+IF(CJ$6="X",VLOOKUP(CJ$10,'VK-Transport'!$C:$X,2+$B30,0))+IF(CJ$8="X",VLOOKUP(CJ$10,'VK-Elekter'!$C:$X,2+$D30,0))+IF(CJ$9="X",VLOOKUP(CJ$10,'VK-Biokütused'!$C:$U,2+$E30,0))+IF(CJ$5="X",VLOOKUP(CJ$10,'VK-Põlevkivi'!$C:$X,2+$G30,0))+IF(CJ$4="X",VLOOKUP(CJ$10,'VK-Võrgud'!$C:$X,2+$F30,0)))/1000</f>
        <v>19.291578011574536</v>
      </c>
      <c r="CK30" s="209">
        <f>(IF(CK$7="X",VLOOKUP(CK$10,'VK-Hooned-Soojus'!$C:$X,2+$C30,FALSE),0)+IF(CK$6="X",VLOOKUP(CK$10,'VK-Transport'!$C:$X,2+$B30,0))+IF(CK$8="X",VLOOKUP(CK$10,'VK-Elekter'!$C:$X,2+$D30,0))+IF(CK$9="X",VLOOKUP(CK$10,'VK-Biokütused'!$C:$U,2+$E30,0))+IF(CK$5="X",VLOOKUP(CK$10,'VK-Põlevkivi'!$C:$X,2+$G30,0))+IF(CK$4="X",VLOOKUP(CK$10,'VK-Võrgud'!$C:$X,2+$F30,0)))/1000</f>
        <v>11.875124562278598</v>
      </c>
      <c r="CL30" s="235">
        <f>(IF(CL$7="X",VLOOKUP(CL$10,'VK-Hooned-Soojus'!$C:$X,2+$C30,FALSE),0)+IF(CL$6="X",VLOOKUP(CL$10,'VK-Transport'!$C:$X,2+$B30,0))+IF(CL$8="X",VLOOKUP(CL$10,'VK-Elekter'!$C:$X,2+$D30,0))+IF(CL$9="X",VLOOKUP(CL$10,'VK-Biokütused'!$C:$U,2+$E30,0)))/1000</f>
        <v>9.180714069714881</v>
      </c>
      <c r="CM30" s="209">
        <f>(IF(CM$7="X",VLOOKUP(CM$10,'VK-Hooned-Soojus'!$C:$X,2+$C30,FALSE),0)+IF(CM$6="X",VLOOKUP(CM$10,'VK-Transport'!$C:$X,2+$B30,0))+IF(CM$8="X",VLOOKUP(CM$10,'VK-Elekter'!$C:$X,2+$D30,0))+IF(CM$9="X",VLOOKUP(CM$10,'VK-Biokütused'!$C:$U,2+$E30,0))+IF(CM$5="X",VLOOKUP(CM$10,'VK-Põlevkivi'!$C:$X,2+$G30,0))+IF(CM$4="X",VLOOKUP(CM$10,'VK-Võrgud'!$C:$X,2+$F30,0)))/1000</f>
        <v>7.8067605777489071</v>
      </c>
      <c r="CN30" s="209">
        <f>(IF(CN$7="X",VLOOKUP(CN$10,'VK-Hooned-Soojus'!$C:$X,2+$C30,FALSE),0)+IF(CN$6="X",VLOOKUP(CN$10,'VK-Transport'!$C:$X,2+$B30,0))+IF(CN$8="X",VLOOKUP(CN$10,'VK-Elekter'!$C:$X,2+$D30,0))+IF(CN$9="X",VLOOKUP(CN$10,'VK-Biokütused'!$C:$U,2+$E30,0))+IF(CN$5="X",VLOOKUP(CN$10,'VK-Põlevkivi'!$C:$X,2+$G30,0))+IF(CN$4="X",VLOOKUP(CN$10,'VK-Võrgud'!$C:$X,2+$F30,0)))/1000</f>
        <v>2.851</v>
      </c>
      <c r="CO30" s="209">
        <f>(IF(CO$7="X",VLOOKUP(CO$10,'VK-Hooned-Soojus'!$C:$X,2+$C30,FALSE),0)+IF(CO$6="X",VLOOKUP(CO$10,'VK-Transport'!$C:$X,2+$B30,0))+IF(CO$8="X",VLOOKUP(CO$10,'VK-Elekter'!$C:$X,2+$D30,0))+IF(CO$9="X",VLOOKUP(CO$10,'VK-Biokütused'!$C:$U,2+$E30,0))+IF(CO$5="X",VLOOKUP(CO$10,'VK-Põlevkivi'!$C:$X,2+$G30,0))+IF(CO$4="X",VLOOKUP(CO$10,'VK-Võrgud'!$C:$X,2+$F30,0)))/1000</f>
        <v>25.291649773285457</v>
      </c>
      <c r="CP30" s="209">
        <f>(IF(CP$7="X",VLOOKUP(CP$10,'VK-Hooned-Soojus'!$C:$X,2+$C30,FALSE),0)+IF(CP$6="X",VLOOKUP(CP$10,'VK-Transport'!$C:$X,2+$B30,0))+IF(CP$8="X",VLOOKUP(CP$10,'VK-Elekter'!$C:$X,2+$D30,0))+IF(CP$9="X",VLOOKUP(CP$10,'VK-Biokütused'!$C:$U,2+$E30,0))+IF(CP$5="X",VLOOKUP(CP$10,'VK-Põlevkivi'!$C:$X,2+$G30,0))+IF(CP$4="X",VLOOKUP(CP$10,'VK-Võrgud'!$C:$X,2+$F30,0)))/1000</f>
        <v>13.443948584295613</v>
      </c>
      <c r="CQ30" s="235">
        <f>(IF(CQ$7="X",VLOOKUP(CQ$10,'VK-Hooned-Soojus'!$C:$X,2+$C30,FALSE),0)+IF(CQ$6="X",VLOOKUP(CQ$10,'VK-Transport'!$C:$X,2+$B30,0))+IF(CQ$8="X",VLOOKUP(CQ$10,'VK-Elekter'!$C:$X,2+$D30,0))+IF(CQ$9="X",VLOOKUP(CQ$10,'VK-Biokütused'!$C:$U,2+$E30,0)))/1000</f>
        <v>10.995906999999999</v>
      </c>
      <c r="CR30" s="209">
        <f>(IF(CR$7="X",VLOOKUP(CR$10,'VK-Hooned-Soojus'!$C:$X,2+$C30,FALSE),0)+IF(CR$6="X",VLOOKUP(CR$10,'VK-Transport'!$C:$X,2+$B30,0))+IF(CR$8="X",VLOOKUP(CR$10,'VK-Elekter'!$C:$X,2+$D30,0))+IF(CR$9="X",VLOOKUP(CR$10,'VK-Biokütused'!$C:$U,2+$E30,0))+IF(CR$5="X",VLOOKUP(CR$10,'VK-Põlevkivi'!$C:$X,2+$G30,0))+IF(CR$4="X",VLOOKUP(CR$10,'VK-Võrgud'!$C:$X,2+$F30,0)))/1000</f>
        <v>7.9047533562748038</v>
      </c>
      <c r="CS30" s="209">
        <f>(IF(CS$7="X",VLOOKUP(CS$10,'VK-Hooned-Soojus'!$C:$X,2+$C30,FALSE),0)+IF(CS$6="X",VLOOKUP(CS$10,'VK-Transport'!$C:$X,2+$B30,0))+IF(CS$8="X",VLOOKUP(CS$10,'VK-Elekter'!$C:$X,2+$D30,0))+IF(CS$9="X",VLOOKUP(CS$10,'VK-Biokütused'!$C:$U,2+$E30,0))+IF(CS$5="X",VLOOKUP(CS$10,'VK-Põlevkivi'!$C:$X,2+$G30,0))+IF(CS$4="X",VLOOKUP(CS$10,'VK-Võrgud'!$C:$X,2+$F30,0)))/1000</f>
        <v>3.966152405121615</v>
      </c>
      <c r="CT30" s="209">
        <f>IF(CT$7="X",VLOOKUP(CT$10,'VK-Hooned-Soojus'!$C:$X,2+$C30,FALSE),0)+IF(CT$6="X",VLOOKUP(CT$10,'VK-Transport'!$C:$X,2+$B30,0))+IF(CT$8="X",VLOOKUP(CT$10,'VK-Elekter'!$C:$X,2+$D30,0))+IF(CT$9="X",VLOOKUP(CT$10,'VK-Biokütused'!$C:$U,2+$E30,0))+IF(CT$5="X",VLOOKUP(CT$10,'VK-Põlevkivi'!$C:$X,2+$G30,0))+IF(CT$4="X",VLOOKUP(CT$10,'VK-Võrgud'!$C:$X,2+$F30,0))</f>
        <v>90</v>
      </c>
      <c r="CU30" s="209">
        <f>IF(CU$7="X",VLOOKUP(CU$10,'VK-Hooned-Soojus'!$C:$X,2+$C30,FALSE),0)+IF(CU$6="X",VLOOKUP(CU$10,'VK-Transport'!$C:$X,2+$B30,0))+IF(CU$8="X",VLOOKUP(CU$10,'VK-Elekter'!$C:$X,2+$D30,0))+IF(CU$9="X",VLOOKUP(CU$10,'VK-Biokütused'!$C:$U,2+$E30,0))+IF(CU$5="X",VLOOKUP(CU$10,'VK-Põlevkivi'!$C:$X,2+$G30,0))+IF(CU$4="X",VLOOKUP(CU$10,'VK-Võrgud'!$C:$X,2+$F30,0))</f>
        <v>0.72088353413654627</v>
      </c>
      <c r="CV30" s="209">
        <f t="shared" si="1"/>
        <v>0.91028830406496797</v>
      </c>
      <c r="CW30" s="209">
        <f>(IF(CW$7="X",VLOOKUP(CW$10,'VK-Hooned-Soojus'!$C:$X,2+$C30,FALSE),0)+IF(CW$6="X",VLOOKUP(CW$10,'VK-Transport'!$C:$X,2+$B30,0))+IF(CW$8="X",VLOOKUP(CW$10,'VK-Elekter'!$C:$X,2+$D30,0))+IF(CW$9="X",VLOOKUP(CW$10,'VK-Biokütused'!$C:$U,2+$E30,0))+IF(CW$5="X",VLOOKUP(CW$10,'VK-Põlevkivi'!$C:$X,2+$G30,0))+IF(CW$4="X",VLOOKUP(CW$10,'VK-Võrgud'!$C:$X,2+$F30,0)))/16</f>
        <v>59.743749999999999</v>
      </c>
      <c r="CY30" s="209">
        <f>(IF(CY$7="X",VLOOKUP(CY$10,'VK-Hooned-Soojus'!$C:$X,2+$C30,FALSE),0)+IF(CY$6="X",VLOOKUP(CY$10,'VK-Transport'!$C:$X,2+$B30,0))+IF(CY$8="X",VLOOKUP(CY$10,'VK-Elekter'!$C:$X,2+$D30,0))+IF(CY$9="X",VLOOKUP(CY$10,'VK-Biokütused'!$C:$U,2+$E30,0))+IF(CY$5="X",VLOOKUP(CY$10,'VK-Põlevkivi'!$C:$X,2+$G30,0))+IF(CY$4="X",VLOOKUP(CY$10,'VK-Võrgud'!$C:$X,2+$F30,0)))/1000</f>
        <v>10.942</v>
      </c>
      <c r="CZ30" s="209">
        <f>(IF(CZ$7="X",VLOOKUP(CZ$10,'VK-Hooned-Soojus'!$C:$X,2+$C30,FALSE),0)+IF(CZ$6="X",VLOOKUP(CZ$10,'VK-Transport'!$C:$X,2+$B30,0))+IF(CZ$8="X",VLOOKUP(CZ$10,'VK-Elekter'!$C:$X,2+$D30,0))+IF(CZ$9="X",VLOOKUP(CZ$10,'VK-Biokütused'!$C:$U,2+$E30,0))+IF(CZ$5="X",VLOOKUP(CZ$10,'VK-Põlevkivi'!$C:$X,2+$G30,0))+IF(CZ$4="X",VLOOKUP(CZ$10,'VK-Võrgud'!$C:$X,2+$F30,0)))</f>
        <v>74.400000000000006</v>
      </c>
      <c r="DA30" s="209">
        <f>(IF(DA$7="X",VLOOKUP(DA$10,'VK-Hooned-Soojus'!$C:$X,2+$C30,FALSE),0)+IF(DA$6="X",VLOOKUP(DA$10,'VK-Transport'!$C:$X,2+$B30,0))+IF(DA$8="X",VLOOKUP(DA$10,'VK-Elekter'!$C:$X,2+$D30,0))+IF(DA$9="X",VLOOKUP(DA$10,'VK-Biokütused'!$C:$U,2+$E30,0))+IF(DA$5="X",VLOOKUP(DA$10,'VK-Põlevkivi'!$C:$X,2+$G30,0))+IF(DA$4="X",VLOOKUP(DA$10,'VK-Võrgud'!$C:$X,2+$F30,0)))/1000</f>
        <v>14.613</v>
      </c>
      <c r="DB30" s="209">
        <f>(IF(DB$7="X",VLOOKUP(DB$10,'VK-Hooned-Soojus'!$C:$X,2+$C30,FALSE),0)+IF(DB$6="X",VLOOKUP(DB$10,'VK-Transport'!$C:$X,2+$B30,0))+IF(DB$8="X",VLOOKUP(DB$10,'VK-Elekter'!$C:$X,2+$D30,0))+IF(DB$9="X",VLOOKUP(DB$10,'VK-Biokütused'!$C:$U,2+$E30,0))+IF(DB$5="X",VLOOKUP(DB$10,'VK-Põlevkivi'!$C:$X,2+$G30,0))+IF(DB$4="X",VLOOKUP(DB$10,'VK-Võrgud'!$C:$X,2+$F30,0)))/1000/3.6</f>
        <v>65.394722222222214</v>
      </c>
      <c r="DC30" s="209">
        <f>(IF(DC$7="X",VLOOKUP(DC$10,'VK-Hooned-Soojus'!$C:$X,2+$C30,FALSE),0)+IF(DC$6="X",VLOOKUP(DC$10,'VK-Transport'!$C:$X,2+$B30,0))+IF(DC$8="X",VLOOKUP(DC$10,'VK-Elekter'!$C:$X,2+$D30,0))+IF(DC$9="X",VLOOKUP(DC$10,'VK-Biokütused'!$C:$U,2+$E30,0))+IF(DC$5="X",VLOOKUP(DC$10,'VK-Põlevkivi'!$C:$X,2+$G30,0))+IF(DC$4="X",VLOOKUP(DC$10,'VK-Võrgud'!$C:$X,2+$F30,0)))/1000000</f>
        <v>5.2438539999999998</v>
      </c>
      <c r="DD30" s="209"/>
      <c r="DE30" s="88">
        <f>VLOOKUP(Tulemused!$BN$12,data!M$7:N$12,2,FALSE)-SUM(L30,M30)</f>
        <v>-2.6566444444444528</v>
      </c>
      <c r="DF30" s="209" t="str">
        <f>IF(AZ30&lt;=VLOOKUP(Tulemused!$BN$15,data!$E$36:$F$39,2,FALSE),"JAH","EI")</f>
        <v>JAH</v>
      </c>
      <c r="DG30" s="209"/>
      <c r="DH30" s="209">
        <f t="shared" si="2"/>
        <v>6.28</v>
      </c>
      <c r="DI30" s="231" t="str">
        <f t="shared" si="17"/>
        <v>EI</v>
      </c>
      <c r="DK30" s="232">
        <f t="shared" si="3"/>
        <v>-998.11582872924305</v>
      </c>
      <c r="DM30" s="233">
        <f t="shared" si="4"/>
        <v>-990.07803923584777</v>
      </c>
      <c r="DN30" s="87">
        <f t="array" ref="DN30">INDEX($A$11:$A$145, SMALL(IF(DM30=$DK$11:$DK$145, MATCH(ROW($DK$11:$DK$145), ROW($DK$11:$DK$145))), SUM(--(DM30=$DM$11:DM30))))</f>
        <v>115</v>
      </c>
      <c r="DP30" s="87" t="e">
        <f t="shared" ca="1" si="18"/>
        <v>#N/A</v>
      </c>
      <c r="DQ30" s="87" t="e">
        <f t="shared" ca="1" si="19"/>
        <v>#N/A</v>
      </c>
      <c r="DR30" s="87">
        <f t="shared" ca="1" si="20"/>
        <v>0</v>
      </c>
      <c r="DS30" s="87" t="e">
        <f t="shared" ca="1" si="21"/>
        <v>#N/A</v>
      </c>
      <c r="DT30" s="87">
        <f t="shared" ca="1" si="22"/>
        <v>0</v>
      </c>
      <c r="DU30" s="87" t="e">
        <f t="shared" ca="1" si="23"/>
        <v>#N/A</v>
      </c>
      <c r="DV30" s="87" t="e">
        <f t="shared" ca="1" si="24"/>
        <v>#N/A</v>
      </c>
      <c r="DW30" s="87">
        <f t="shared" ca="1" si="25"/>
        <v>0</v>
      </c>
      <c r="DX30" s="87">
        <f t="shared" ca="1" si="26"/>
        <v>0</v>
      </c>
      <c r="DZ30" s="87">
        <f t="shared" ca="1" si="35"/>
        <v>0</v>
      </c>
      <c r="EB30" s="87">
        <f t="shared" ca="1" si="27"/>
        <v>0</v>
      </c>
      <c r="EC30" s="87" t="e">
        <f t="shared" ca="1" si="28"/>
        <v>#N/A</v>
      </c>
      <c r="EE30" s="228">
        <f>(IF(EE$7="X",VLOOKUP(EE$10,'VK-Hooned-Soojus'!$C:$X,2+$C30,FALSE),0)+IF(EE$6="X",VLOOKUP(EE$10,'VK-Transport'!$C:$X,2+$B30,0))+IF(EE$8="X",VLOOKUP(EE$10,'VK-Elekter'!$C:$X,2+$D30,0))+IF(EE$9="X",VLOOKUP(EE$10,'VK-Biokütused'!$C:$U,2+$E30,0))+IF(EE$5="X",VLOOKUP(EE$10,'VK-Põlevkivi'!$C:$X,2+$G30,0))+IF(EE$4="X",VLOOKUP(EE$10,'VK-Võrgud'!$C:$X,2+$F30,0)))</f>
        <v>5038.6194013130153</v>
      </c>
      <c r="EF30" s="235">
        <f>(IF(EF$7="X",VLOOKUP(EF$10,'VK-Hooned-Soojus'!$C:$X,2+$C30,FALSE),0)+IF(EF$6="X",VLOOKUP(EF$10,'VK-Transport'!$C:$X,2+$B30,0))+IF(EF$8="X",VLOOKUP(EF$10,'VK-Elekter'!$C:$X,2+$D30,0))+IF(EF$9="X",VLOOKUP(EF$10,'VK-Biokütused'!$C:$U,2+$E30,0)))/1000</f>
        <v>5.6566368215830609</v>
      </c>
      <c r="EG30" s="209">
        <f>(IF(EG$7="X",VLOOKUP(EG$10,'VK-Hooned-Soojus'!$C:$X,2+$C30,FALSE),0)+IF(EG$6="X",VLOOKUP(EG$10,'VK-Transport'!$C:$X,2+$B30,0))+IF(EG$8="X",VLOOKUP(EG$10,'VK-Elekter'!$C:$X,2+$D30,0))+IF(EG$9="X",VLOOKUP(EG$10,'VK-Biokütused'!$C:$U,2+$E30,0))+IF(EG$5="X",VLOOKUP(EG$10,'VK-Põlevkivi'!$C:$X,2+$G30,0))+IF(EG$4="X",VLOOKUP(EG$10,'VK-Võrgud'!$C:$X,2+$F30,0)))</f>
        <v>0.81</v>
      </c>
      <c r="EH30" s="209">
        <f>(IF(EH$7="X",VLOOKUP(EH$10,'VK-Hooned-Soojus'!$C:$X,2+$C30,FALSE),0)+IF(EH$6="X",VLOOKUP(EH$10,'VK-Transport'!$C:$X,2+$B30,0))+IF(EH$8="X",VLOOKUP(EH$10,'VK-Elekter'!$C:$X,2+$D30,0))+IF(EH$9="X",VLOOKUP(EH$10,'VK-Biokütused'!$C:$U,2+$E30,0)))+AR30+AS30+AU30+AX30</f>
        <v>56.616165628957575</v>
      </c>
      <c r="EI30" s="320">
        <f t="shared" si="6"/>
        <v>50.474567183462526</v>
      </c>
      <c r="EJ30" s="322">
        <f t="shared" si="7"/>
        <v>2.1267750475898739E-2</v>
      </c>
      <c r="EK30" s="323">
        <f t="shared" si="29"/>
        <v>0.35547441046944428</v>
      </c>
      <c r="EM30" s="209"/>
      <c r="EN30" s="209">
        <f t="shared" ca="1" si="8"/>
        <v>0</v>
      </c>
      <c r="EO30" s="209"/>
      <c r="EP30" s="234"/>
      <c r="EQ30" s="209">
        <f>(IF(EQ$7="X",VLOOKUP(EQ$10,'VK-Hooned-Soojus'!$C:$X,2+$C30,FALSE),0)+IF(EQ$6="X",VLOOKUP(EQ$10,'VK-Transport'!$C:$X,2+$B30,0))+IF(EQ$8="X",VLOOKUP(EQ$10,'VK-Elekter'!$C:$X,2+$D30,0))+IF(EQ$9="X",VLOOKUP(EQ$10,'VK-Biokütused'!$C:$U,2+$E30,0))+IF(EQ$5="X",VLOOKUP(EQ$10,'VK-Põlevkivi'!$C:$X,2+$G30,0))+IF(EQ$4="X",VLOOKUP(EQ$10,'VK-Võrgud'!$C:$X,2+$F30,0)))/1000</f>
        <v>0.21099999999999999</v>
      </c>
      <c r="ER30" s="209">
        <f>(IF(ER$7="X",VLOOKUP(ER$10,'VK-Hooned-Soojus'!$C:$X,2+$C30,FALSE),0)+IF(ER$6="X",VLOOKUP(ER$10,'VK-Transport'!$C:$X,2+$B30,0))+IF(ER$8="X",VLOOKUP(ER$10,'VK-Elekter'!$C:$X,2+$D30,0))+IF(ER$9="X",VLOOKUP(ER$10,'VK-Biokütused'!$C:$U,2+$E30,0))+IF(ER$5="X",VLOOKUP(ER$10,'VK-Põlevkivi'!$C:$X,2+$G30,0))+IF(ER$4="X",VLOOKUP(ER$10,'VK-Võrgud'!$C:$X,2+$F30,0)))</f>
        <v>0.76300000000000001</v>
      </c>
      <c r="ES30" s="209">
        <f>(IF(ES$7="X",VLOOKUP(ES$10,'VK-Hooned-Soojus'!$C:$X,2+$C30,FALSE),0)+IF(ES$6="X",VLOOKUP(ES$10,'VK-Transport'!$C:$X,2+$B30,0))+IF(ES$8="X",VLOOKUP(ES$10,'VK-Elekter'!$C:$X,2+$D30,0))+IF(ES$9="X",VLOOKUP(ES$10,'VK-Biokütused'!$C:$U,2+$E30,0))+IF(ES$5="X",VLOOKUP(ES$10,'VK-Põlevkivi'!$C:$X,2+$G30,0))+IF(ES$4="X",VLOOKUP(ES$10,'VK-Võrgud'!$C:$X,2+$F30,0)))</f>
        <v>6.28</v>
      </c>
      <c r="ET30" s="209"/>
      <c r="EU30" s="209"/>
      <c r="EV30" s="87">
        <f>'KSH järjestus'!AS23</f>
        <v>2018</v>
      </c>
      <c r="EX30" s="236"/>
      <c r="EY30" s="236"/>
      <c r="EZ30" s="237">
        <f t="shared" si="9"/>
        <v>0.27911646586345373</v>
      </c>
      <c r="FA30" s="209">
        <f>IF(FA$7="X",VLOOKUP(FA$10,'VK-Hooned-Soojus'!$C:$X,2+$C30,FALSE),0)+IF(FA$6="X",VLOOKUP(FA$10,'VK-Transport'!$C:$X,2+$B30,0))+IF(FA$8="X",VLOOKUP(FA$10,'VK-Elekter'!$C:$X,2+$D30,0))+IF(FA$9="X",VLOOKUP(FA$10,'VK-Biokütused'!$C:$U,2+$E30,0))+IF(FA$5="X",VLOOKUP(FA$10,'VK-Põlevkivi'!$C:$X,2+$G30,0))+IF(FA$4="X",VLOOKUP(FA$10,'VK-Võrgud'!$C:$X,2+$F30,0))</f>
        <v>3581.9070000000002</v>
      </c>
      <c r="FB30" s="279">
        <f>(IF(FB$7="X",VLOOKUP(FB$10,'VK-Hooned-Soojus'!$C:$X,2+$C30,FALSE),0)+IF(FB$6="X",VLOOKUP(FB$10,'VK-Transport'!$C:$X,2+$B30,0))+IF(FB$8="X",VLOOKUP(FB$10,'VK-Elekter'!$C:$X,2+$D30,0))+IF(FB$9="X",VLOOKUP(FB$10,'VK-Biokütused'!$C:$U,2+$E30,0))+IF(FB$5="X",VLOOKUP(FB$10,'VK-Põlevkivi'!$C:$X,2+$G30,0))+IF(FB$4="X",VLOOKUP(FB$10,'VK-Võrgud'!$C:$X,2+$F30,0)))/16</f>
        <v>263.2186923345397</v>
      </c>
      <c r="FC30" s="209">
        <f>IF(FC$7="X",VLOOKUP(FC$10,'VK-Hooned-Soojus'!$C:$X,2+$C30,FALSE),0)+IF(FC$6="X",VLOOKUP(FC$10,'VK-Transport'!$C:$X,2+$B30,0))+IF(FC$8="X",VLOOKUP(FC$10,'VK-Elekter'!$C:$X,2+$D30,0))+IF(FC$9="X",VLOOKUP(FC$10,'VK-Biokütused'!$C:$U,2+$E30,0))+IF(FC$5="X",VLOOKUP(FC$10,'VK-Põlevkivi'!$C:$X,2+$G30,0))+IF(FC$4="X",VLOOKUP(FC$10,'VK-Võrgud'!$C:$X,2+$F30,0))</f>
        <v>318.5</v>
      </c>
      <c r="FD30" s="209">
        <f>(IF(FD$7="X",VLOOKUP(FD$10,'VK-Hooned-Soojus'!$C:$X,2+$C30,FALSE),0)+IF(FD$6="X",VLOOKUP(FD$10,'VK-Transport'!$C:$X,2+$B30,0))+IF(FD$8="X",VLOOKUP(FD$10,'VK-Elekter'!$C:$X,2+$D30,0))+IF(FD$9="X",VLOOKUP(FD$10,'VK-Biokütused'!$C:$U,2+$E30,0))+IF(FD$5="X",VLOOKUP(FD$10,'VK-Põlevkivi'!$C:$X,2+$G30,0))+IF(FD$4="X",VLOOKUP(FD$10,'VK-Võrgud'!$C:$X,2+$F30,0)))/16</f>
        <v>263.2186923345397</v>
      </c>
      <c r="FE30" s="209">
        <f>(IF(FE$7="X",VLOOKUP(FE$10,'VK-Hooned-Soojus'!$C:$X,2+$C30,FALSE),0)+IF(FE$6="X",VLOOKUP(FE$10,'VK-Transport'!$C:$X,2+$B30,0))+IF(FE$8="X",VLOOKUP(FE$10,'VK-Elekter'!$C:$X,2+$D30,0))+IF(FE$9="X",VLOOKUP(FE$10,'VK-Biokütused'!$C:$U,2+$E30,0))+IF(FE$5="X",VLOOKUP(FE$10,'VK-Põlevkivi'!$C:$X,2+$G30,0))+IF(FE$4="X",VLOOKUP(FE$10,'VK-Võrgud'!$C:$X,2+$F30,0)))/16</f>
        <v>-51.993219880632097</v>
      </c>
      <c r="FF30" s="209">
        <f>(IF(FF$7="X",VLOOKUP(FF$10,'VK-Hooned-Soojus'!$C:$X,2+$C30,FALSE),0)+IF(FF$6="X",VLOOKUP(FF$10,'VK-Transport'!$C:$X,2+$B30,0))+IF(FF$8="X",VLOOKUP(FF$10,'VK-Elekter'!$C:$X,2+$D30,0))+IF(FF$9="X",VLOOKUP(FF$10,'VK-Biokütused'!$C:$U,2+$E30,0))+IF(FF$5="X",VLOOKUP(FF$10,'VK-Põlevkivi'!$C:$X,2+$G30,0))+IF(FF$4="X",VLOOKUP(FF$10,'VK-Võrgud'!$C:$X,2+$F30,0)))/16</f>
        <v>86.569823920338024</v>
      </c>
      <c r="FG30" s="88">
        <f t="shared" ca="1" si="30"/>
        <v>34.576604039705927</v>
      </c>
      <c r="FH30" s="88"/>
      <c r="FI30" s="88"/>
      <c r="FJ30" s="88">
        <f>VLOOKUP(Tulemused!$BN$12,data!M$7:N$12,2,FALSE)-SUM(L30,M30)</f>
        <v>-2.6566444444444528</v>
      </c>
      <c r="FK30" s="209" t="str">
        <f>IF(AZ30&lt;=VLOOKUP(Tulemused!$BN$15,data!$E$36:$F$39,2,FALSE),"JAH","EI")</f>
        <v>JAH</v>
      </c>
      <c r="FL30" s="235">
        <f ca="1">IF(ISNA(MATCH($A30,INDIRECT(VLOOKUP(Tulemused!$BF$11,data!$J$57:$M$71,4,FALSE)))),0,MATCH($A30,INDIRECT(VLOOKUP(Tulemused!$BF$11,data!$J$57:$M$71,4,FALSE))))</f>
        <v>0</v>
      </c>
      <c r="FM30" s="235" t="str">
        <f t="shared" ca="1" si="10"/>
        <v>JAH</v>
      </c>
      <c r="FN30" s="209">
        <f>VLOOKUP(Tulemused!$BN$13,data!$C$132:$D$137,2,FALSE)-KOMBI!R30</f>
        <v>2.7118331784169403</v>
      </c>
      <c r="FO30" s="209"/>
      <c r="FP30" s="209">
        <f>VLOOKUP(Tulemused!$BN$17,NO_x,2,FALSE)-CJ30</f>
        <v>10.146421988425463</v>
      </c>
      <c r="FQ30" s="209">
        <f>VLOOKUP(Tulemused!$BN$18,SO_2,2,FALSE)-CK30</f>
        <v>40.0088754377214</v>
      </c>
      <c r="FR30" s="209">
        <f>VLOOKUP(Tulemused!$BN$19,LOU,2,FALSE)-CN30</f>
        <v>34.229000000000006</v>
      </c>
      <c r="FS30" s="209">
        <f>VLOOKUP(Tulemused!$BN$20,PM_2.5,2,FALSE)-CM30</f>
        <v>9.1082394222510921</v>
      </c>
      <c r="FT30" s="209">
        <f>VLOOKUP(Tulemused!$BN$13,data!$C$132:$D$137,2,FALSE)-FA30/1000</f>
        <v>2.6640630000000005</v>
      </c>
      <c r="FU30" s="209">
        <f>VLOOKUP(Tulemused!$BN$17,NO_x,2,FALSE)-CO30</f>
        <v>4.1463502267145422</v>
      </c>
      <c r="FV30" s="209">
        <f>VLOOKUP(Tulemused!$BN$18,SO_2,2,FALSE)-CP30</f>
        <v>38.440051415704389</v>
      </c>
      <c r="FW30" s="209">
        <f>VLOOKUP(Tulemused!$BN$19,LOU,2,FALSE)-CS30</f>
        <v>33.113847594878393</v>
      </c>
      <c r="FX30" s="209">
        <f>VLOOKUP(Tulemused!$BN$20,PM_2.5,2,FALSE)-CR30</f>
        <v>9.0102466437251962</v>
      </c>
      <c r="FY30" s="209">
        <f>VLOOKUP(Tulemused!$BN$14,KHG_2050,2,FALSE)-EF30</f>
        <v>94.343363178416936</v>
      </c>
      <c r="FZ30" s="231" t="str">
        <f t="shared" ca="1" si="31"/>
        <v>EI</v>
      </c>
      <c r="GA30" s="209"/>
      <c r="GB30" s="209"/>
      <c r="GC30" s="209"/>
      <c r="GD30" s="231"/>
      <c r="GE30" s="87">
        <f t="shared" si="11"/>
        <v>2018</v>
      </c>
      <c r="GF30" s="232" t="str">
        <f t="shared" ca="1" si="32"/>
        <v/>
      </c>
      <c r="GH30" s="238" t="e">
        <f t="shared" ca="1" si="12"/>
        <v>#NUM!</v>
      </c>
      <c r="GI30" s="87" t="e">
        <f t="array" aca="1" ref="GI30" ca="1">INDEX($A$11:$A$145, SMALL(IF(GH30=$GF$11:$GF$145, MATCH(ROW($GF$11:$GF$145), ROW($GF$11:$GF$145))), SUM(--(GH30=$GH$11:GH30))))</f>
        <v>#NUM!</v>
      </c>
      <c r="GM30" s="209">
        <f>IF(GM$7="X",VLOOKUP(GM$10,'VK-Hooned-Soojus'!$C:$X,2+$C30,FALSE),0)+IF(GM$6="X",VLOOKUP(GM$10,'VK-Transport'!$C:$X,2+$B30,0))+IF(GM$8="X",VLOOKUP(GM$10,'VK-Elekter'!$C:$X,2+$D30,0))+IF(GM$9="X",VLOOKUP(GM$10,'VK-Biokütused'!$C:$U,2+$E30,0))+IF(GM$5="X",VLOOKUP(GM$10,'VK-Põlevkivi'!$C:$X,2+$G30,0))+IF(GM$4="X",VLOOKUP(GM$10,'VK-Võrgud'!$C:$X,2+$F30,0))</f>
        <v>6.0128279910272253</v>
      </c>
      <c r="GN30" s="209">
        <f>IF(GN$7="X",VLOOKUP(GN$10,'VK-Hooned-Soojus'!$C:$X,2+$C30,FALSE),0)+IF(GN$6="X",VLOOKUP(GN$10,'VK-Transport'!$C:$X,2+$B30,0))+IF(GN$8="X",VLOOKUP(GN$10,'VK-Elekter'!$C:$X,2+$D30,0))+IF(GN$9="X",VLOOKUP(GN$10,'VK-Biokütused'!$C:$U,2+$E30,0))+IF(GN$5="X",VLOOKUP(GN$10,'VK-Põlevkivi'!$C:$X,2+$G30,0))+IF(GN$4="X",VLOOKUP(GN$10,'VK-Võrgud'!$C:$X,2+$F30,0))</f>
        <v>3.4467619395011728</v>
      </c>
      <c r="GO30" s="209">
        <f>IF(GO$7="X",VLOOKUP(GO$10,'VK-Hooned-Soojus'!$C:$X,2+$C30,FALSE),0)+IF(GO$6="X",VLOOKUP(GO$10,'VK-Transport'!$C:$X,2+$B30,0))+IF(GO$8="X",VLOOKUP(GO$10,'VK-Elekter'!$C:$X,2+$D30,0))+IF(GO$9="X",VLOOKUP(GO$10,'VK-Biokütused'!$C:$U,2+$E30,0))+IF(GO$5="X",VLOOKUP(GO$10,'VK-Põlevkivi'!$C:$X,2+$G30,0))+IF(GO$4="X",VLOOKUP(GO$10,'VK-Võrgud'!$C:$X,2+$F30,0))</f>
        <v>7.936370010272257</v>
      </c>
      <c r="GP30" s="209">
        <f>IF(GP$7="X",VLOOKUP(GP$10,'VK-Hooned-Soojus'!$C:$X,2+$C30,FALSE),0)+IF(GP$6="X",VLOOKUP(GP$10,'VK-Transport'!$C:$X,2+$B30,0))+IF(GP$8="X",VLOOKUP(GP$10,'VK-Elekter'!$C:$X,2+$D30,0))+IF(GP$9="X",VLOOKUP(GP$10,'VK-Biokütused'!$C:$U,2+$E30,0))+IF(GP$5="X",VLOOKUP(GP$10,'VK-Põlevkivi'!$C:$X,2+$G30,0))+IF(GP$4="X",VLOOKUP(GP$10,'VK-Võrgud'!$C:$X,2+$F30,0))</f>
        <v>9.1527946929596489</v>
      </c>
      <c r="GQ30" s="88">
        <f>IF(GQ$7="X",VLOOKUP(GQ$10,'VK-Hooned-Soojus'!$C:$X,2+$C30,FALSE),0)+IF(GQ$6="X",VLOOKUP(GQ$10,'VK-Transport'!$C:$X,2+$B30,0))+IF(GQ$8="X",VLOOKUP(GQ$10,'VK-Elekter'!$C:$X,2+$D30,0))+IF(GQ$9="X",VLOOKUP(GQ$10,'VK-Biokütused'!$C:$U,2+$E30,0))+IF(GQ$5="X",VLOOKUP(GQ$10,'VK-Põlevkivi'!$C:$X,2+$G30,0))+IF(GQ$4="X",VLOOKUP(GQ$10,'VK-Võrgud'!$C:$X,2+$F30,0))</f>
        <v>0.9682855968523334</v>
      </c>
      <c r="GR30" s="186">
        <f t="shared" si="33"/>
        <v>0.38230641368738244</v>
      </c>
    </row>
    <row r="31" spans="1:200" x14ac:dyDescent="0.2">
      <c r="A31" s="184">
        <v>21</v>
      </c>
      <c r="B31" s="87">
        <v>1</v>
      </c>
      <c r="C31" s="87">
        <v>2</v>
      </c>
      <c r="D31" s="87">
        <v>2</v>
      </c>
      <c r="E31" s="87">
        <v>3</v>
      </c>
      <c r="F31" s="87">
        <f>VLOOKUP(Tulemused!$BF$7,data!$J$6:$K$8,2,FALSE)</f>
        <v>2</v>
      </c>
      <c r="G31" s="87">
        <f>VLOOKUP(data!$H$2,data!$J$12:$K$14,2,FALSE)</f>
        <v>2</v>
      </c>
      <c r="I31" s="209">
        <f>IF(I$7="X",VLOOKUP(I$10,'VK-Hooned-Soojus'!$C:$X,2+$C31,FALSE),0)+IF(I$6="X",VLOOKUP(I$10,'VK-Transport'!$C:$X,2+$B31,0))+IF(I$8="X",VLOOKUP(I$10,'VK-Elekter'!$C:$X,2+$D31,0))+IF(I$9="X",VLOOKUP(I$10,'VK-Biokütused'!$C:$U,2+$E31,0))+IF(I$5="X",VLOOKUP(I$10,'VK-Põlevkivi'!$C:$X,2+$G31,0))+IF(I$4="X",VLOOKUP(I$10,'VK-Võrgud'!$C:$X,2+$F31,0))</f>
        <v>24.79</v>
      </c>
      <c r="J31" s="209">
        <f>IF(J$7="X",VLOOKUP(J$10,'VK-Hooned-Soojus'!$C:$X,2+$C31,FALSE),0)+IF(J$6="X",VLOOKUP(J$10,'VK-Transport'!$C:$X,2+$B31,0))+IF(J$8="X",VLOOKUP(J$10,'VK-Elekter'!$C:$X,2+$D31,0))+IF(J$9="X",VLOOKUP(J$10,'VK-Biokütused'!$C:$U,2+$E31,0))+IF(J$5="X",VLOOKUP(J$10,'VK-Põlevkivi'!$C:$X,2+$G31,0))+IF(J$4="X",VLOOKUP(J$10,'VK-Võrgud'!$C:$X,2+$F31,0))</f>
        <v>13.295833333333334</v>
      </c>
      <c r="K31" s="209">
        <f>IF(K$7="X",VLOOKUP(K$10,'VK-Hooned-Soojus'!$C:$X,2+$C31,FALSE),0)+IF(K$6="X",VLOOKUP(K$10,'VK-Transport'!$C:$X,2+$B31,0))+IF(K$8="X",VLOOKUP(K$10,'VK-Elekter'!$C:$X,2+$D31,0))+IF(K$9="X",VLOOKUP(K$10,'VK-Biokütused'!$C:$U,2+$E31,0))+IF(K$5="X",VLOOKUP(K$10,'VK-Põlevkivi'!$C:$X,2+$G31,0))+IF(K$4="X",VLOOKUP(K$10,'VK-Võrgud'!$C:$X,2+$F31,0))</f>
        <v>15.27</v>
      </c>
      <c r="L31" s="209">
        <f>IF(L$7="X",VLOOKUP(L$10,'VK-Hooned-Soojus'!$C:$X,2+$C31,FALSE),0)+IF(L$6="X",VLOOKUP(L$10,'VK-Transport'!$C:$X,2+$B31,0))+IF(L$8="X",VLOOKUP(L$10,'VK-Elekter'!$C:$X,2+$D31,0))+IF(L$9="X",VLOOKUP(L$10,'VK-Biokütused'!$C:$U,2+$E31,0))+IF(L$5="X",VLOOKUP(L$10,'VK-Põlevkivi'!$C:$X,2+$G31,0))+IF(L$4="X",VLOOKUP(L$10,'VK-Võrgud'!$C:$X,2+$F31,0))</f>
        <v>24.2</v>
      </c>
      <c r="M31" s="209">
        <f>IF(M$7="X",VLOOKUP(M$10,'VK-Hooned-Soojus'!$C:$X,2+$C31,FALSE),0)+IF(M$6="X",VLOOKUP(M$10,'VK-Transport'!$C:$X,2+$B31,0))+IF(M$8="X",VLOOKUP(M$10,'VK-Elekter'!$C:$X,2+$D31,0))+IF(M$9="X",VLOOKUP(M$10,'VK-Biokütused'!$C:$U,2+$E31,0))+IF(M$5="X",VLOOKUP(M$10,'VK-Põlevkivi'!$C:$X,2+$G31,0))+IF(M$4="X",VLOOKUP(M$10,'VK-Võrgud'!$C:$X,2+$F31,0))</f>
        <v>11.289444444444445</v>
      </c>
      <c r="N31" s="209">
        <f>IF(N$7="X",VLOOKUP(N$10,'VK-Hooned-Soojus'!$C:$X,2+$C31,FALSE),0)+IF(N$6="X",VLOOKUP(N$10,'VK-Transport'!$C:$X,2+$B31,0))+IF(N$8="X",VLOOKUP(N$10,'VK-Elekter'!$C:$X,2+$D31,0))+IF(N$9="X",VLOOKUP(N$10,'VK-Biokütused'!$C:$U,2+$E31,0))+IF(N$5="X",VLOOKUP(N$10,'VK-Põlevkivi'!$C:$X,2+$G31,0))+IF(N$4="X",VLOOKUP(N$10,'VK-Võrgud'!$C:$X,2+$F31,0))</f>
        <v>16.09</v>
      </c>
      <c r="O31" s="209">
        <f t="shared" si="13"/>
        <v>38.085833333333333</v>
      </c>
      <c r="P31" s="209"/>
      <c r="Q31" s="209">
        <f>(IF(Q$7="X",VLOOKUP(Q$10,'VK-Hooned-Soojus'!$C:$X,2+$C31,FALSE),0)+IF(Q$6="X",VLOOKUP(Q$10,'VK-Transport'!$C:$X,2+$B31,0))+IF(Q$8="X",VLOOKUP(Q$10,'VK-Elekter'!$C:$X,2+$D31,0))+IF(Q$9="X",VLOOKUP(Q$10,'VK-Biokütused'!$C:$U,2+$E31,0))+IF(Q$5="X",VLOOKUP(Q$10,'VK-Põlevkivi'!$C:$X,2+$G31,0))+IF(Q$4="X",VLOOKUP(Q$10,'VK-Võrgud'!$C:$X,2+$F31,0)))/1000</f>
        <v>5.0979999999999999</v>
      </c>
      <c r="R31" s="209">
        <f>(IF(R$7="X",VLOOKUP(R$10,'VK-Hooned-Soojus'!$C:$X,2+$C31,FALSE),0)+IF(R$6="X",VLOOKUP(R$10,'VK-Transport'!$C:$X,2+$B31,0))+IF(R$8="X",VLOOKUP(R$10,'VK-Elekter'!$C:$X,2+$D31,0))+IF(R$9="X",VLOOKUP(R$10,'VK-Biokütused'!$C:$U,2+$E31,0))+IF(R$5="X",VLOOKUP(R$10,'VK-Põlevkivi'!$C:$X,2+$G31,0))+IF(R$4="X",VLOOKUP(R$10,'VK-Võrgud'!$C:$X,2+$F31,0)))/1000</f>
        <v>3.7428368215830607</v>
      </c>
      <c r="S31" s="226">
        <f>VLOOKUP(S$10,'VK-Hooned-Soojus'!$C:$I,2+$C31,FALSE) + VLOOKUP(S$10,'VK-Transport'!$C:$I,2+$B31,FALSE)+ VLOOKUP(S$10,'VK-Biokütused'!$C:$G,2+$E31,FALSE)+ VLOOKUP(S$10,'VK-Elekter'!$C:$I,2+$D31,FALSE)+ VLOOKUP(S$10,'VK-Põlevkivi'!$C:$I,2+$G31,FALSE)+ VLOOKUP(S$10,'VK-Võrgud'!$C:$I,2+$F31,FALSE)</f>
        <v>1.5260153542391838E-2</v>
      </c>
      <c r="T31" s="226">
        <f>VLOOKUP(T$10,'VK-Hooned-Soojus'!$C:$I,2+$C31,FALSE) + VLOOKUP(T$10,'VK-Transport'!$C:$I,2+$B31,FALSE)+ VLOOKUP(T$10,'VK-Biokütused'!$C:$G,2+$E31,FALSE)+ VLOOKUP(T$10,'VK-Elekter'!$C:$I,2+$D31,FALSE)+ VLOOKUP(T$10,'VK-Põlevkivi'!$C:$I,2+$G31,FALSE)+ VLOOKUP(T$10,'VK-Võrgud'!$C:$I,2+$F31,FALSE)</f>
        <v>-5.9951262439297878E-3</v>
      </c>
      <c r="U31" s="226">
        <f>VLOOKUP(U$10,'VK-Hooned-Soojus'!$C:$I,2+$C31,FALSE) + VLOOKUP(U$10,'VK-Transport'!$C:$I,2+$B31,FALSE)+ VLOOKUP(U$10,'VK-Biokütused'!$C:$G,2+$E31,FALSE)+ VLOOKUP(U$10,'VK-Elekter'!$C:$I,2+$D31,FALSE)+ VLOOKUP(U$10,'VK-Põlevkivi'!$C:$I,2+$G31,FALSE)+ VLOOKUP(U$10,'VK-Võrgud'!$C:$I,2+$F31,FALSE)</f>
        <v>3.1587056920194534E-3</v>
      </c>
      <c r="V31" s="226">
        <f>VLOOKUP(V$10,'VK-Hooned-Soojus'!$C:$I,2+$C31,FALSE) + VLOOKUP(V$10,'VK-Transport'!$C:$I,2+$B31,FALSE)+ VLOOKUP(V$10,'VK-Biokütused'!$C:$G,2+$E31,FALSE)+ VLOOKUP(V$10,'VK-Elekter'!$C:$I,2+$D31,FALSE)+ VLOOKUP(V$10,'VK-Põlevkivi'!$C:$I,2+$G31,FALSE)+ VLOOKUP(V$10,'VK-Võrgud'!$C:$I,2+$F31,FALSE)</f>
        <v>1.2224146197417698E-2</v>
      </c>
      <c r="W31" s="226">
        <f>VLOOKUP(W$10,'VK-Hooned-Soojus'!$C:$I,2+$C31,FALSE) + VLOOKUP(W$10,'VK-Transport'!$C:$I,2+$B31,FALSE)+ VLOOKUP(W$10,'VK-Biokütused'!$C:$G,2+$E31,FALSE)+ VLOOKUP(W$10,'VK-Elekter'!$C:$I,2+$D31,FALSE)+ VLOOKUP(W$10,'VK-Põlevkivi'!$C:$I,2+$G31,FALSE)+ VLOOKUP(W$10,'VK-Võrgud'!$C:$I,2+$F31,FALSE)</f>
        <v>-4.5740689613393551E-3</v>
      </c>
      <c r="X31" s="226">
        <f>VLOOKUP(X$10,'VK-Hooned-Soojus'!$C:$I,2+$C31,FALSE) + VLOOKUP(X$10,'VK-Transport'!$C:$I,2+$B31,FALSE)+ VLOOKUP(X$10,'VK-Biokütused'!$C:$G,2+$E31,FALSE)+ VLOOKUP(X$10,'VK-Elekter'!$C:$I,2+$D31,FALSE)+ VLOOKUP(X$10,'VK-Põlevkivi'!$C:$I,2+$G31,FALSE)+ VLOOKUP(X$10,'VK-Võrgud'!$C:$I,2+$F31,FALSE)</f>
        <v>-8.365043597720806E-3</v>
      </c>
      <c r="Y31" s="226">
        <f>VLOOKUP(Y$10,'VK-Hooned-Soojus'!$C:$I,2+$C31,FALSE) + VLOOKUP(Y$10,'VK-Transport'!$C:$I,2+$B31,FALSE)+ VLOOKUP(Y$10,'VK-Biokütused'!$C:$G,2+$E31,FALSE)+ VLOOKUP(Y$10,'VK-Elekter'!$C:$I,2+$D31,FALSE)+ VLOOKUP(Y$10,'VK-Põlevkivi'!$C:$I,2+$G31,FALSE)+ VLOOKUP(Y$10,'VK-Võrgud'!$C:$I,2+$F31,FALSE)</f>
        <v>-1.6919721587381621E-2</v>
      </c>
      <c r="Z31" s="227">
        <f>(S31*Tulemused!$Q$9*10+T31*Tulemused!$Q$10*10+KOMBI!U31*Tulemused!$Q$11*10+KOMBI!V31*Tulemused!$Q$12*10)*Tulemused!$Q$8+-(W31*Tulemused!$Q$14*10+KOMBI!X31*Tulemused!$Q$15*10+KOMBI!Y31*Tulemused!$Q$16*10)*Tulemused!$Q$13</f>
        <v>2.7892709929984485</v>
      </c>
      <c r="AA31" s="228">
        <f>(IF(AA$7="X",VLOOKUP(AA$10,'VK-Hooned-Soojus'!$C:$X,2+$C31,FALSE),0)+IF(AA$6="X",VLOOKUP(AA$10,'VK-Transport'!$C:$X,2+$B31,0))+IF(AA$8="X",VLOOKUP(AA$10,'VK-Elekter'!$C:$X,2+$D31,0))+IF(AA$9="X",VLOOKUP(AA$10,'VK-Biokütused'!$C:$U,2+$E31,0))+IF(AA$5="X",VLOOKUP(AA$10,'VK-Põlevkivi'!$C:$X,2+$G31,0))+IF(AA$4="X",VLOOKUP(AA$10,'VK-Võrgud'!$C:$X,2+$F31,0)))</f>
        <v>3761</v>
      </c>
      <c r="AB31" s="228">
        <f>(IF(AB$7="X",VLOOKUP(AB$10,'VK-Hooned-Soojus'!$C:$X,2+$C31,FALSE),0)+IF(AB$6="X",VLOOKUP(AB$10,'VK-Transport'!$C:$X,2+$B31,0))+IF(AB$8="X",VLOOKUP(AB$10,'VK-Elekter'!$C:$X,2+$D31,0))+IF(AB$9="X",VLOOKUP(AB$10,'VK-Biokütused'!$C:$U,2+$E31,0))+IF(AB$5="X",VLOOKUP(AB$10,'VK-Põlevkivi'!$C:$X,2+$G31,0))+IF(AB$4="X",VLOOKUP(AB$10,'VK-Võrgud'!$C:$X,2+$F31,0)))</f>
        <v>1337</v>
      </c>
      <c r="AC31" s="228">
        <f>(IF(AC$7="X",VLOOKUP(AC$10,'VK-Hooned-Soojus'!$C:$X,2+$C31,FALSE),0)+IF(AC$6="X",VLOOKUP(AC$10,'VK-Transport'!$C:$X,2+$B31,0))+IF(AC$8="X",VLOOKUP(AC$10,'VK-Elekter'!$C:$X,2+$D31,0))+IF(AC$9="X",VLOOKUP(AC$10,'VK-Biokütused'!$C:$U,2+$E31,0))+IF(AC$5="X",VLOOKUP(AC$10,'VK-Põlevkivi'!$C:$X,2+$G31,0))+IF(AC$4="X",VLOOKUP(AC$10,'VK-Võrgud'!$C:$X,2+$F31,0)))</f>
        <v>2346</v>
      </c>
      <c r="AD31" s="228">
        <f>(IF(AD$7="X",VLOOKUP(AD$10,'VK-Hooned-Soojus'!$C:$X,2+$C31,FALSE),0)+IF(AD$6="X",VLOOKUP(AD$10,'VK-Transport'!$C:$X,2+$B31,0))+IF(AD$8="X",VLOOKUP(AD$10,'VK-Elekter'!$C:$X,2+$D31,0))+IF(AD$9="X",VLOOKUP(AD$10,'VK-Biokütused'!$C:$U,2+$E31,0))+IF(AD$5="X",VLOOKUP(AD$10,'VK-Põlevkivi'!$C:$X,2+$G31,0))+IF(AD$4="X",VLOOKUP(AD$10,'VK-Võrgud'!$C:$X,2+$F31,0)))</f>
        <v>586.20000000000005</v>
      </c>
      <c r="AE31" s="228">
        <f>(IF(AE$7="X",VLOOKUP(AE$10,'VK-Hooned-Soojus'!$C:$X,2+$C31,FALSE),0)+IF(AE$6="X",VLOOKUP(AE$10,'VK-Transport'!$C:$X,2+$B31,0))+IF(AE$8="X",VLOOKUP(AE$10,'VK-Elekter'!$C:$X,2+$D31,0))+IF(AE$9="X",VLOOKUP(AE$10,'VK-Biokütused'!$C:$U,2+$E31,0))+IF(AE$5="X",VLOOKUP(AE$10,'VK-Põlevkivi'!$C:$X,2+$G31,0))+IF(AE$4="X",VLOOKUP(AE$10,'VK-Võrgud'!$C:$X,2+$F31,0)))</f>
        <v>666</v>
      </c>
      <c r="AF31" s="228">
        <f>(IF(AF$7="X",VLOOKUP(AF$10,'VK-Hooned-Soojus'!$C:$X,2+$C31,FALSE),0)+IF(AF$6="X",VLOOKUP(AF$10,'VK-Transport'!$C:$X,2+$B31,0))+IF(AF$8="X",VLOOKUP(AF$10,'VK-Elekter'!$C:$X,2+$D31,0))+IF(AF$9="X",VLOOKUP(AF$10,'VK-Biokütused'!$C:$U,2+$E31,0))+IF(AF$5="X",VLOOKUP(AF$10,'VK-Põlevkivi'!$C:$X,2+$G31,0))+IF(AF$4="X",VLOOKUP(AF$10,'VK-Võrgud'!$C:$X,2+$F31,0)))</f>
        <v>2490.6368215830603</v>
      </c>
      <c r="AG31" s="209"/>
      <c r="AH31" s="209">
        <f>IF(AH$7="X",VLOOKUP(AH$10,'VK-Hooned-Soojus'!$C:$X,2+$C31,FALSE),0)+IF(AH$6="X",VLOOKUP(AH$10,'VK-Transport'!$C:$X,2+$B31,0))+IF(AH$8="X",VLOOKUP(AH$10,'VK-Elekter'!$C:$X,2+$D31,0))+IF(AH$9="X",VLOOKUP(AH$10,'VK-Biokütused'!$C:$U,2+$E31,0))+IF(AH$5="X",VLOOKUP(AH$10,'VK-Põlevkivi'!$C:$X,2+$G31,0))+IF(AH$4="X",VLOOKUP(AH$10,'VK-Võrgud'!$C:$X,2+$F31,0))</f>
        <v>11.64</v>
      </c>
      <c r="AI31" s="209">
        <f>IF(AI$7="X",VLOOKUP(AI$10,'VK-Hooned-Soojus'!$C:$X,2+$C31,FALSE),0)+IF(AI$6="X",VLOOKUP(AI$10,'VK-Transport'!$C:$X,2+$B31,0))+IF(AI$8="X",VLOOKUP(AI$10,'VK-Elekter'!$C:$X,2+$D31,0))+IF(AI$9="X",VLOOKUP(AI$10,'VK-Biokütused'!$C:$U,2+$E31,0))+IF(AI$5="X",VLOOKUP(AI$10,'VK-Põlevkivi'!$C:$X,2+$G31,0))+IF(AI$4="X",VLOOKUP(AI$10,'VK-Võrgud'!$C:$X,2+$F31,0))</f>
        <v>2.3100000000000005</v>
      </c>
      <c r="AJ31" s="209">
        <f>IF(AJ$7="X",VLOOKUP(AJ$10,'VK-Hooned-Soojus'!$C:$X,2+$C31,FALSE),0)+IF(AJ$6="X",VLOOKUP(AJ$10,'VK-Transport'!$C:$X,2+$B31,0))+IF(AJ$8="X",VLOOKUP(AJ$10,'VK-Elekter'!$C:$X,2+$D31,0))+IF(AJ$9="X",VLOOKUP(AJ$10,'VK-Biokütused'!$C:$U,2+$E31,0))+IF(AJ$5="X",VLOOKUP(AJ$10,'VK-Põlevkivi'!$C:$X,2+$G31,0))+IF(AJ$4="X",VLOOKUP(AJ$10,'VK-Võrgud'!$C:$X,2+$F31,0))</f>
        <v>9.25</v>
      </c>
      <c r="AK31" s="209">
        <f>IF(AK$7="X",VLOOKUP(AK$10,'VK-Hooned-Soojus'!$C:$X,2+$C31,FALSE),0)+IF(AK$6="X",VLOOKUP(AK$10,'VK-Transport'!$C:$X,2+$B31,0))+IF(AK$8="X",VLOOKUP(AK$10,'VK-Elekter'!$C:$X,2+$D31,0))+IF(AK$9="X",VLOOKUP(AK$10,'VK-Biokütused'!$C:$U,2+$E31,0))+IF(AK$5="X",VLOOKUP(AK$10,'VK-Põlevkivi'!$C:$X,2+$G31,0))+IF(AK$4="X",VLOOKUP(AK$10,'VK-Võrgud'!$C:$X,2+$F31,0))</f>
        <v>2.78</v>
      </c>
      <c r="AL31" s="209">
        <f>IF(AL$7="X",VLOOKUP(AL$10,'VK-Hooned-Soojus'!$C:$X,2+$C31,FALSE),0)+IF(AL$6="X",VLOOKUP(AL$10,'VK-Transport'!$C:$X,2+$B31,0))+IF(AL$8="X",VLOOKUP(AL$10,'VK-Elekter'!$C:$X,2+$D31,0))+IF(AL$9="X",VLOOKUP(AL$10,'VK-Biokütused'!$C:$U,2+$E31,0))+IF(AL$5="X",VLOOKUP(AL$10,'VK-Põlevkivi'!$C:$X,2+$G31,0))+IF(AL$4="X",VLOOKUP(AL$10,'VK-Võrgud'!$C:$X,2+$F31,0))</f>
        <v>7.1999999999999993</v>
      </c>
      <c r="AM31" s="209">
        <f>IF(AM$7="X",VLOOKUP(AM$10,'VK-Hooned-Soojus'!$C:$X,2+$C31,FALSE),0)+IF(AM$6="X",VLOOKUP(AM$10,'VK-Transport'!$C:$X,2+$B31,0))+IF(AM$8="X",VLOOKUP(AM$10,'VK-Elekter'!$C:$X,2+$D31,0))+IF(AM$9="X",VLOOKUP(AM$10,'VK-Biokütused'!$C:$U,2+$E31,0))+IF(AM$5="X",VLOOKUP(AM$10,'VK-Põlevkivi'!$C:$X,2+$G31,0))+IF(AM$4="X",VLOOKUP(AM$10,'VK-Võrgud'!$C:$X,2+$F31,0))</f>
        <v>11.9</v>
      </c>
      <c r="AN31" s="209">
        <f>IF(AN$7="X",VLOOKUP(AN$10,'VK-Hooned-Soojus'!$C:$X,2+$C31,FALSE),0)+IF(AN$6="X",VLOOKUP(AN$10,'VK-Transport'!$C:$X,2+$B31,0))+IF(AN$8="X",VLOOKUP(AN$10,'VK-Elekter'!$C:$X,2+$D31,0))+IF(AN$9="X",VLOOKUP(AN$10,'VK-Biokütused'!$C:$U,2+$E31,0))+IF(AN$5="X",VLOOKUP(AN$10,'VK-Põlevkivi'!$C:$X,2+$G31,0))+IF(AN$4="X",VLOOKUP(AN$10,'VK-Võrgud'!$C:$X,2+$F31,0))</f>
        <v>4.8999999999999995</v>
      </c>
      <c r="AO31" s="209">
        <f>IF(AO$7="X",VLOOKUP(AO$10,'VK-Hooned-Soojus'!$C:$X,2+$C31,FALSE),0)+IF(AO$6="X",VLOOKUP(AO$10,'VK-Transport'!$C:$X,2+$B31,0))+IF(AO$8="X",VLOOKUP(AO$10,'VK-Elekter'!$C:$X,2+$D31,0))+IF(AO$9="X",VLOOKUP(AO$10,'VK-Biokütused'!$C:$U,2+$E31,0))+IF(AO$5="X",VLOOKUP(AO$10,'VK-Põlevkivi'!$C:$X,2+$G31,0))+IF(AO$4="X",VLOOKUP(AO$10,'VK-Võrgud'!$C:$X,2+$F31,0))</f>
        <v>12.56</v>
      </c>
      <c r="AP31" s="209">
        <f>IF(AP$7="X",VLOOKUP(AP$10,'VK-Hooned-Soojus'!$C:$X,2+$C31,FALSE),0)+IF(AP$6="X",VLOOKUP(AP$10,'VK-Transport'!$C:$X,2+$B31,0))+IF(AP$8="X",VLOOKUP(AP$10,'VK-Elekter'!$C:$X,2+$D31,0))+IF(AP$9="X",VLOOKUP(AP$10,'VK-Biokütused'!$C:$U,2+$E31,0))+IF(AP$5="X",VLOOKUP(AP$10,'VK-Põlevkivi'!$C:$X,2+$G31,0))+IF(AP$4="X",VLOOKUP(AP$10,'VK-Võrgud'!$C:$X,2+$F31,0))</f>
        <v>6.28</v>
      </c>
      <c r="AQ31" s="320">
        <f t="shared" si="14"/>
        <v>0.25999999999999979</v>
      </c>
      <c r="AR31" s="209">
        <f>IF(AR$7="X",VLOOKUP(AR$10,'VK-Hooned-Soojus'!$C:$X,2+$C31,FALSE),0)+IF(AR$6="X",VLOOKUP(AR$10,'VK-Transport'!$C:$X,2+$B31,0))+IF(AR$8="X",VLOOKUP(AR$10,'VK-Elekter'!$C:$X,2+$D31,0))+IF(AR$9="X",VLOOKUP(AR$10,'VK-Biokütused'!$C:$U,2+$E31,0))+IF(AR$5="X",VLOOKUP(AR$10,'VK-Põlevkivi'!$C:$X,2+$G31,0))+IF(AR$4="X",VLOOKUP(AR$10,'VK-Võrgud'!$C:$X,2+$F31,0))</f>
        <v>2.8899999999999997</v>
      </c>
      <c r="AS31" s="320">
        <f>VLOOKUP("Kütuste tarbimine @ 2030 - UTTEGAAS",'VK-Hooned-Soojus'!$C:$X,2+$C31,FALSE)/0.172+VLOOKUP("Kütuste tarbimine @ 2030 - UTTEGAAS",'VK-Elekter'!$C:$X,2+$D31,FALSE)/0.172-AR31-AU31</f>
        <v>2.8565116279069773</v>
      </c>
      <c r="AT31" s="209">
        <f>IF(AT$7="X",VLOOKUP(AT$10,'VK-Hooned-Soojus'!$C:$X,2+$C31,FALSE),0)+IF(AT$6="X",VLOOKUP(AT$10,'VK-Transport'!$C:$X,2+$B31,0))+IF(AT$8="X",VLOOKUP(AT$10,'VK-Elekter'!$C:$X,2+$D31,0))+IF(AT$9="X",VLOOKUP(AT$10,'VK-Biokütused'!$C:$U,2+$E31,0))+IF(AT$5="X",VLOOKUP(AT$10,'VK-Põlevkivi'!$C:$X,2+$G31,0))+IF(AT$4="X",VLOOKUP(AT$10,'VK-Võrgud'!$C:$X,2+$F31,0))</f>
        <v>12.004929222526066</v>
      </c>
      <c r="AU31" s="229">
        <f>MAX(0,(VLOOKUP("Kütuste tarbimine @ 2030 - UTTEGAAS",'VK-Hooned-Soojus'!$C:$X,2+$C31,FALSE)/0.172+VLOOKUP("Kütuste tarbimine @ 2030 - UTTEGAAS",'VK-Elekter'!$C:$X,2+$D31,FALSE)/0.172)*0.52-VLOOKUP("Kütuste tarbimine @ 2030 - PÕLEVKIVIÕLI",'VK-Hooned-Soojus'!$C:$X,2+$C31,FALSE))</f>
        <v>5.1837209302325586</v>
      </c>
      <c r="AV31" s="209">
        <f>IF(AV$7="X",VLOOKUP(AV$10,'VK-Hooned-Soojus'!$C:$X,2+$C31,FALSE),0)+IF(AV$6="X",VLOOKUP(AV$10,'VK-Transport'!$C:$X,2+$B31,0))+IF(AV$8="X",VLOOKUP(AV$10,'VK-Elekter'!$C:$X,2+$D31,0))+IF(AV$9="X",VLOOKUP(AV$10,'VK-Biokütused'!$C:$U,2+$E31,0))+IF(AV$5="X",VLOOKUP(AV$10,'VK-Põlevkivi'!$C:$X,2+$G31,0))+IF(AV$4="X",VLOOKUP(AV$10,'VK-Võrgud'!$C:$X,2+$F31,0))</f>
        <v>1.1831224847375093</v>
      </c>
      <c r="AW31" s="209">
        <f>IF(AW$7="X",VLOOKUP(AW$10,'VK-Hooned-Soojus'!$C:$X,2+$C31,FALSE),0)+IF(AW$6="X",VLOOKUP(AW$10,'VK-Transport'!$C:$X,2+$B31,0))+IF(AW$8="X",VLOOKUP(AW$10,'VK-Elekter'!$C:$X,2+$D31,0))+IF(AW$9="X",VLOOKUP(AW$10,'VK-Biokütused'!$C:$U,2+$E31,0))+IF(AW$5="X",VLOOKUP(AW$10,'VK-Põlevkivi'!$C:$X,2+$G31,0))+IF(AW$4="X",VLOOKUP(AW$10,'VK-Võrgud'!$C:$X,2+$F31,0))</f>
        <v>4.2799999999999994</v>
      </c>
      <c r="AX31" s="229">
        <f t="shared" si="34"/>
        <v>3.0968775152624901</v>
      </c>
      <c r="AY31" s="229">
        <f t="shared" si="15"/>
        <v>0</v>
      </c>
      <c r="AZ31" s="230">
        <f t="shared" si="0"/>
        <v>0.57840870861576166</v>
      </c>
      <c r="BA31" s="209">
        <f>IF(BA$7="X",VLOOKUP(BA$10,'VK-Hooned-Soojus'!$C:$X,2+$C31,FALSE),0)+IF(BA$6="X",VLOOKUP(BA$10,'VK-Transport'!$C:$X,2+$B31,0))+IF(BA$8="X",VLOOKUP(BA$10,'VK-Elekter'!$C:$X,2+$D31,0))+IF(BA$9="X",VLOOKUP(BA$10,'VK-Biokütused'!$C:$U,2+$E31,0))+IF(BA$5="X",VLOOKUP(BA$10,'VK-Põlevkivi'!$C:$X,2+$G31,0))+IF(BA$4="X",VLOOKUP(BA$10,'VK-Võrgud'!$C:$X,2+$F31,0))</f>
        <v>4.25</v>
      </c>
      <c r="BB31" s="209">
        <f>IF(BB$7="X",VLOOKUP(BB$10,'VK-Hooned-Soojus'!$C:$X,2+$C31,FALSE),0)+IF(BB$6="X",VLOOKUP(BB$10,'VK-Transport'!$C:$X,2+$B31,0))+IF(BB$8="X",VLOOKUP(BB$10,'VK-Elekter'!$C:$X,2+$D31,0))+IF(BB$9="X",VLOOKUP(BB$10,'VK-Biokütused'!$C:$U,2+$E31,0))+IF(BB$5="X",VLOOKUP(BB$10,'VK-Põlevkivi'!$C:$X,2+$G31,0))+IF(BB$4="X",VLOOKUP(BB$10,'VK-Võrgud'!$C:$X,2+$F31,0))</f>
        <v>2.93</v>
      </c>
      <c r="BC31" s="209">
        <f>IF(BC$7="X",VLOOKUP(BC$10,'VK-Hooned-Soojus'!$C:$X,2+$C31,FALSE),0)+IF(BC$6="X",VLOOKUP(BC$10,'VK-Transport'!$C:$X,2+$B31,0))+IF(BC$8="X",VLOOKUP(BC$10,'VK-Elekter'!$C:$X,2+$D31,0))+IF(BC$9="X",VLOOKUP(BC$10,'VK-Biokütused'!$C:$U,2+$E31,0))+IF(BC$5="X",VLOOKUP(BC$10,'VK-Põlevkivi'!$C:$X,2+$G31,0))+IF(BC$4="X",VLOOKUP(BC$10,'VK-Võrgud'!$C:$X,2+$F31,0))</f>
        <v>6.5993333333333322</v>
      </c>
      <c r="BD31" s="209">
        <f>IF(BD$7="X",VLOOKUP(BD$10,'VK-Hooned-Soojus'!$C:$X,2+$C31,FALSE),0)+IF(BD$6="X",VLOOKUP(BD$10,'VK-Transport'!$C:$X,2+$B31,0))+IF(BD$8="X",VLOOKUP(BD$10,'VK-Elekter'!$C:$X,2+$D31,0))+IF(BD$9="X",VLOOKUP(BD$10,'VK-Biokütused'!$C:$U,2+$E31,0))+IF(BD$5="X",VLOOKUP(BD$10,'VK-Põlevkivi'!$C:$X,2+$G31,0))+IF(BD$4="X",VLOOKUP(BD$10,'VK-Võrgud'!$C:$X,2+$F31,0))</f>
        <v>9.425416666666667</v>
      </c>
      <c r="BE31" s="230"/>
      <c r="BF31" s="229">
        <f t="shared" si="16"/>
        <v>0.30496789459902313</v>
      </c>
      <c r="BG31" s="209" t="e">
        <f>(IF(BG$7="X",VLOOKUP(BG$10,'VK-Hooned-Soojus'!$C:$X,2+$C31,FALSE),0)+IF(BG$6="X",VLOOKUP(BG$10,'VK-Transport'!$C:$X,2+$B31,0))+IF(BG$8="X",VLOOKUP(BG$10,'VK-Elekter'!$C:$X,2+$D31,0))+IF(BG$9="X",VLOOKUP(BG$10,'VK-Biokütused'!$C:$U,2+$E31,0))+IF(BG$5="X",VLOOKUP(BG$10,'VK-Põlevkivi'!$C:$X,2+$G31,0))+IF(BG$4="X",VLOOKUP(BG$10,'VK-Võrgud'!$C:$X,2+$F31,0)))/20</f>
        <v>#N/A</v>
      </c>
      <c r="BH31" s="209">
        <f>(IF(BH$7="X",VLOOKUP(BH$10,'VK-Hooned-Soojus'!$C:$X,2+$C31,FALSE),0)+IF(BH$6="X",VLOOKUP(BH$10,'VK-Transport'!$C:$X,2+$B31,0))+IF(BH$8="X",VLOOKUP(BH$10,'VK-Elekter'!$C:$X,2+$D31,0))+IF(BH$9="X",VLOOKUP(BH$10,'VK-Biokütused'!$C:$U,2+$E31,0))+IF(BH$5="X",VLOOKUP(BH$10,'VK-Põlevkivi'!$C:$X,2+$G31,0))+IF(BH$4="X",VLOOKUP(BH$10,'VK-Võrgud'!$C:$X,2+$F31,0)))/20</f>
        <v>45.08</v>
      </c>
      <c r="BI31" s="209">
        <f>(IF(BI$7="X",VLOOKUP(BI$10,'VK-Hooned-Soojus'!$C:$X,2+$C31,FALSE),0)+IF(BI$6="X",VLOOKUP(BI$10,'VK-Transport'!$C:$X,2+$B31,0))+IF(BI$8="X",VLOOKUP(BI$10,'VK-Elekter'!$C:$X,2+$D31,0))+IF(BI$9="X",VLOOKUP(BI$10,'VK-Biokütused'!$C:$U,2+$E31,0))+IF(BI$5="X",VLOOKUP(BI$10,'VK-Põlevkivi'!$C:$X,2+$G31,0))+IF(BI$4="X",VLOOKUP(BI$10,'VK-Võrgud'!$C:$X,2+$F31,0)))/16</f>
        <v>14.1875</v>
      </c>
      <c r="BJ31" s="209">
        <f>(IF(BJ$7="X",VLOOKUP(BJ$10,'VK-Hooned-Soojus'!$C:$X,2+$C31,FALSE),0)+IF(BJ$6="X",VLOOKUP(BJ$10,'VK-Transport'!$C:$X,2+$B31,0))+IF(BJ$8="X",VLOOKUP(BJ$10,'VK-Elekter'!$C:$X,2+$D31,0))+IF(BJ$9="X",VLOOKUP(BJ$10,'VK-Biokütused'!$C:$U,2+$E31,0))+IF(BJ$5="X",VLOOKUP(BJ$10,'VK-Põlevkivi'!$C:$X,2+$G31,0))+IF(BJ$4="X",VLOOKUP(BJ$10,'VK-Võrgud'!$C:$X,2+$F31,0)))/20</f>
        <v>3.91</v>
      </c>
      <c r="BK31" s="209"/>
      <c r="BL31" s="209"/>
      <c r="BM31" s="209"/>
      <c r="BN31" s="209" t="e">
        <f>(IF(BN$7="X",VLOOKUP(BN$10,'VK-Hooned-Soojus'!$C:$X,2+$C31,FALSE),0)+IF(BN$6="X",VLOOKUP(BN$10,'VK-Transport'!$C:$X,2+$B31,0))+IF(BN$8="X",VLOOKUP(BN$10,'VK-Elekter'!$C:$X,2+$D31,0))+IF(BN$9="X",VLOOKUP(BN$10,'VK-Biokütused'!$C:$U,2+$E31,0))+IF(BN$5="X",VLOOKUP(BN$10,'VK-Põlevkivi'!$C:$X,2+$G31,0))+IF(BN$4="X",VLOOKUP(BN$10,'VK-Võrgud'!$C:$X,2+$F31,0)))/16</f>
        <v>#N/A</v>
      </c>
      <c r="BO31" s="209">
        <f>(IF(BO$7="X",VLOOKUP(BO$10,'VK-Hooned-Soojus'!$C:$X,2+$C31,FALSE),0)+IF(BO$6="X",VLOOKUP(BO$10,'VK-Transport'!$C:$X,2+$B31,0))+IF(BO$8="X",VLOOKUP(BO$10,'VK-Elekter'!$C:$X,2+$D31,0))+IF(BO$9="X",VLOOKUP(BO$10,'VK-Biokütused'!$C:$U,2+$E31,0))+IF(BO$5="X",VLOOKUP(BO$10,'VK-Põlevkivi'!$C:$X,2+$G31,0))+IF(BO$4="X",VLOOKUP(BO$10,'VK-Võrgud'!$C:$X,2+$F31,0)))/16</f>
        <v>496.33125000000001</v>
      </c>
      <c r="BP31" s="209"/>
      <c r="BQ31" s="209">
        <f>(IF(BQ$7="X",VLOOKUP(BQ$10,'VK-Hooned-Soojus'!$C:$X,2+$C31,FALSE),0)+IF(BQ$6="X",VLOOKUP(BQ$10,'VK-Transport'!$C:$X,2+$B31,0))+IF(BQ$8="X",VLOOKUP(BQ$10,'VK-Elekter'!$C:$X,2+$D31,0))+IF(BQ$9="X",VLOOKUP(BQ$10,'VK-Biokütused'!$C:$U,2+$E31,0))+IF(BQ$5="X",VLOOKUP(BQ$10,'VK-Põlevkivi'!$C:$X,2+$G31,0))+IF(BQ$4="X",VLOOKUP(BQ$10,'VK-Võrgud'!$C:$X,2+$F31,0)))/16</f>
        <v>4.7249999999999996</v>
      </c>
      <c r="BR31" s="209">
        <f>(IF(BR$7="X",VLOOKUP(BR$10,'VK-Hooned-Soojus'!$C:$X,2+$C31,FALSE),0)+IF(BR$6="X",VLOOKUP(BR$10,'VK-Transport'!$C:$X,2+$B31,0))+IF(BR$8="X",VLOOKUP(BR$10,'VK-Elekter'!$C:$X,2+$D31,0))+IF(BR$9="X",VLOOKUP(BR$10,'VK-Biokütused'!$C:$U,2+$E31,0))+IF(BR$5="X",VLOOKUP(BR$10,'VK-Põlevkivi'!$C:$X,2+$G31,0))+IF(BR$4="X",VLOOKUP(BR$10,'VK-Võrgud'!$C:$X,2+$F31,0)))/16</f>
        <v>-74.512500000000003</v>
      </c>
      <c r="BS31" s="209">
        <f>(IF(BS$7="X",VLOOKUP(BS$10,'VK-Hooned-Soojus'!$C:$X,2+$C31,FALSE),0)+IF(BS$6="X",VLOOKUP(BS$10,'VK-Transport'!$C:$X,2+$B31,0))+IF(BS$8="X",VLOOKUP(BS$10,'VK-Elekter'!$C:$X,2+$D31,0))+IF(BS$9="X",VLOOKUP(BS$10,'VK-Biokütused'!$C:$U,2+$E31,0))+IF(BS$5="X",VLOOKUP(BS$10,'VK-Põlevkivi'!$C:$X,2+$G31,0))+IF(BS$4="X",VLOOKUP(BS$10,'VK-Võrgud'!$C:$X,2+$F31,0)))/16</f>
        <v>-100.68125000000001</v>
      </c>
      <c r="BT31" s="209"/>
      <c r="BU31" s="209"/>
      <c r="BV31" s="209">
        <f>(IF(BV$7="X",VLOOKUP(BV$10,'VK-Hooned-Soojus'!$C:$X,2+$C31,FALSE),0)+IF(BV$6="X",VLOOKUP(BV$10,'VK-Transport'!$C:$X,2+$B31,0))+IF(BV$8="X",VLOOKUP(BV$10,'VK-Elekter'!$C:$X,2+$D31,0))+IF(BV$9="X",VLOOKUP(BV$10,'VK-Biokütused'!$C:$U,2+$E31,0))+IF(BV$5="X",VLOOKUP(BV$10,'VK-Põlevkivi'!$C:$X,2+$G31,0))+IF(BV$4="X",VLOOKUP(BV$10,'VK-Võrgud'!$C:$X,2+$F31,0)))/16</f>
        <v>0</v>
      </c>
      <c r="BW31" s="209"/>
      <c r="BX31" s="209">
        <f>(IF(BX$7="X",VLOOKUP(BX$10,'VK-Hooned-Soojus'!$C:$X,2+$C31,FALSE),0)+IF(BX$6="X",VLOOKUP(BX$10,'VK-Transport'!$C:$X,2+$B31,0))+IF(BX$8="X",VLOOKUP(BX$10,'VK-Elekter'!$C:$X,2+$D31,0))+IF(BX$9="X",VLOOKUP(BX$10,'VK-Biokütused'!$C:$U,2+$E31,0))+IF(BX$5="X",VLOOKUP(BX$10,'VK-Põlevkivi'!$C:$X,2+$G31,0))+IF(BX$4="X",VLOOKUP(BX$10,'VK-Võrgud'!$C:$X,2+$F31,0)))/16</f>
        <v>-99.75</v>
      </c>
      <c r="BY31" s="209"/>
      <c r="BZ31" s="209"/>
      <c r="CA31" s="209" t="e">
        <f>(IF(CA$7="X",VLOOKUP(CA$10,'VK-Hooned-Soojus'!$C:$X,2+$C31,FALSE),0)+IF(CA$6="X",VLOOKUP(CA$10,'VK-Transport'!$C:$X,2+$B31,0))+IF(CA$8="X",VLOOKUP(CA$10,'VK-Elekter'!$C:$X,2+$D31,0))+IF(CA$9="X",VLOOKUP(CA$10,'VK-Biokütused'!$C:$U,2+$E31,0))+IF(CA$5="X",VLOOKUP(CA$10,'VK-Põlevkivi'!$C:$X,2+$G31,0))+IF(CA$4="X",VLOOKUP(CA$10,'VK-Võrgud'!$C:$X,2+$F31,0)))/16</f>
        <v>#N/A</v>
      </c>
      <c r="CB31" s="209">
        <f>(IF(CB$7="X",VLOOKUP(CB$10,'VK-Hooned-Soojus'!$C:$X,2+$C31,FALSE),0)+IF(CB$6="X",VLOOKUP(CB$10,'VK-Transport'!$C:$X,2+$B31,0))+IF(CB$8="X",VLOOKUP(CB$10,'VK-Elekter'!$C:$X,2+$D31,0))+IF(CB$9="X",VLOOKUP(CB$10,'VK-Biokütused'!$C:$U,2+$E31,0))+IF(CB$5="X",VLOOKUP(CB$10,'VK-Põlevkivi'!$C:$X,2+$G31,0))+IF(CB$4="X",VLOOKUP(CB$10,'VK-Võrgud'!$C:$X,2+$F31,0)))/16</f>
        <v>0</v>
      </c>
      <c r="CC31" s="209">
        <f>(IF(CC$7="X",VLOOKUP(CC$10,'VK-Hooned-Soojus'!$C:$X,2+$C31,FALSE),0)+IF(CC$6="X",VLOOKUP(CC$10,'VK-Transport'!$C:$X,2+$B31,0))+IF(CC$8="X",VLOOKUP(CC$10,'VK-Elekter'!$C:$X,2+$D31,0))+IF(CC$9="X",VLOOKUP(CC$10,'VK-Biokütused'!$C:$U,2+$E31,0))+IF(CC$5="X",VLOOKUP(CC$10,'VK-Põlevkivi'!$C:$X,2+$G31,0))+IF(CC$4="X",VLOOKUP(CC$10,'VK-Võrgud'!$C:$X,2+$F31,0)))/16</f>
        <v>0</v>
      </c>
      <c r="CD31" s="209"/>
      <c r="CE31" s="209">
        <f>(IF(CE$7="X",VLOOKUP(CE$10,'VK-Hooned-Soojus'!$C:$X,2+$C31,FALSE),0)+IF(CE$6="X",VLOOKUP(CE$10,'VK-Transport'!$C:$X,2+$B31,0))+IF(CE$8="X",VLOOKUP(CE$10,'VK-Elekter'!$C:$X,2+$D31,0))+IF(CE$9="X",VLOOKUP(CE$10,'VK-Biokütused'!$C:$U,2+$E31,0))+IF(CE$5="X",VLOOKUP(CE$10,'VK-Põlevkivi'!$C:$X,2+$G31,0))+IF(CE$4="X",VLOOKUP(CE$10,'VK-Võrgud'!$C:$X,2+$F31,0)))/16</f>
        <v>24.15625</v>
      </c>
      <c r="CF31" s="209"/>
      <c r="CG31" s="209">
        <f>(IF(CG$7="X",VLOOKUP(CG$10,'VK-Hooned-Soojus'!$C:$X,2+$C31,FALSE),0)+IF(CG$6="X",VLOOKUP(CG$10,'VK-Transport'!$C:$X,2+$B31,0))+IF(CG$8="X",VLOOKUP(CG$10,'VK-Elekter'!$C:$X,2+$D31,0))+IF(CG$9="X",VLOOKUP(CG$10,'VK-Biokütused'!$C:$U,2+$E31,0))+IF(CG$5="X",VLOOKUP(CG$10,'VK-Põlevkivi'!$C:$X,2+$G31,0))+IF(CG$4="X",VLOOKUP(CG$10,'VK-Võrgud'!$C:$X,2+$F31,0)))/16</f>
        <v>0</v>
      </c>
      <c r="CH31" s="209">
        <f>(IF(CH$7="X",VLOOKUP(CH$10,'VK-Hooned-Soojus'!$C:$X,2+$C31,FALSE),0)+IF(CH$6="X",VLOOKUP(CH$10,'VK-Transport'!$C:$X,2+$B31,0))+IF(CH$8="X",VLOOKUP(CH$10,'VK-Elekter'!$C:$X,2+$D31,0))+IF(CH$9="X",VLOOKUP(CH$10,'VK-Biokütused'!$C:$U,2+$E31,0))+IF(CH$5="X",VLOOKUP(CH$10,'VK-Põlevkivi'!$C:$X,2+$G31,0))+IF(CH$4="X",VLOOKUP(CH$10,'VK-Võrgud'!$C:$X,2+$F31,0)))/20*0.21</f>
        <v>11.225549999999998</v>
      </c>
      <c r="CI31" s="209"/>
      <c r="CJ31" s="209">
        <f>(IF(CJ$7="X",VLOOKUP(CJ$10,'VK-Hooned-Soojus'!$C:$X,2+$C31,FALSE),0)+IF(CJ$6="X",VLOOKUP(CJ$10,'VK-Transport'!$C:$X,2+$B31,0))+IF(CJ$8="X",VLOOKUP(CJ$10,'VK-Elekter'!$C:$X,2+$D31,0))+IF(CJ$9="X",VLOOKUP(CJ$10,'VK-Biokütused'!$C:$U,2+$E31,0))+IF(CJ$5="X",VLOOKUP(CJ$10,'VK-Põlevkivi'!$C:$X,2+$G31,0))+IF(CJ$4="X",VLOOKUP(CJ$10,'VK-Võrgud'!$C:$X,2+$F31,0)))/1000</f>
        <v>19.291578011574536</v>
      </c>
      <c r="CK31" s="209">
        <f>(IF(CK$7="X",VLOOKUP(CK$10,'VK-Hooned-Soojus'!$C:$X,2+$C31,FALSE),0)+IF(CK$6="X",VLOOKUP(CK$10,'VK-Transport'!$C:$X,2+$B31,0))+IF(CK$8="X",VLOOKUP(CK$10,'VK-Elekter'!$C:$X,2+$D31,0))+IF(CK$9="X",VLOOKUP(CK$10,'VK-Biokütused'!$C:$U,2+$E31,0))+IF(CK$5="X",VLOOKUP(CK$10,'VK-Põlevkivi'!$C:$X,2+$G31,0))+IF(CK$4="X",VLOOKUP(CK$10,'VK-Võrgud'!$C:$X,2+$F31,0)))/1000</f>
        <v>11.875124562278598</v>
      </c>
      <c r="CL31" s="235">
        <f>(IF(CL$7="X",VLOOKUP(CL$10,'VK-Hooned-Soojus'!$C:$X,2+$C31,FALSE),0)+IF(CL$6="X",VLOOKUP(CL$10,'VK-Transport'!$C:$X,2+$B31,0))+IF(CL$8="X",VLOOKUP(CL$10,'VK-Elekter'!$C:$X,2+$D31,0))+IF(CL$9="X",VLOOKUP(CL$10,'VK-Biokütused'!$C:$U,2+$E31,0)))/1000</f>
        <v>9.180714069714881</v>
      </c>
      <c r="CM31" s="209">
        <f>(IF(CM$7="X",VLOOKUP(CM$10,'VK-Hooned-Soojus'!$C:$X,2+$C31,FALSE),0)+IF(CM$6="X",VLOOKUP(CM$10,'VK-Transport'!$C:$X,2+$B31,0))+IF(CM$8="X",VLOOKUP(CM$10,'VK-Elekter'!$C:$X,2+$D31,0))+IF(CM$9="X",VLOOKUP(CM$10,'VK-Biokütused'!$C:$U,2+$E31,0))+IF(CM$5="X",VLOOKUP(CM$10,'VK-Põlevkivi'!$C:$X,2+$G31,0))+IF(CM$4="X",VLOOKUP(CM$10,'VK-Võrgud'!$C:$X,2+$F31,0)))/1000</f>
        <v>7.8067605777489071</v>
      </c>
      <c r="CN31" s="209">
        <f>(IF(CN$7="X",VLOOKUP(CN$10,'VK-Hooned-Soojus'!$C:$X,2+$C31,FALSE),0)+IF(CN$6="X",VLOOKUP(CN$10,'VK-Transport'!$C:$X,2+$B31,0))+IF(CN$8="X",VLOOKUP(CN$10,'VK-Elekter'!$C:$X,2+$D31,0))+IF(CN$9="X",VLOOKUP(CN$10,'VK-Biokütused'!$C:$U,2+$E31,0))+IF(CN$5="X",VLOOKUP(CN$10,'VK-Põlevkivi'!$C:$X,2+$G31,0))+IF(CN$4="X",VLOOKUP(CN$10,'VK-Võrgud'!$C:$X,2+$F31,0)))/1000</f>
        <v>2.851</v>
      </c>
      <c r="CO31" s="209">
        <f>(IF(CO$7="X",VLOOKUP(CO$10,'VK-Hooned-Soojus'!$C:$X,2+$C31,FALSE),0)+IF(CO$6="X",VLOOKUP(CO$10,'VK-Transport'!$C:$X,2+$B31,0))+IF(CO$8="X",VLOOKUP(CO$10,'VK-Elekter'!$C:$X,2+$D31,0))+IF(CO$9="X",VLOOKUP(CO$10,'VK-Biokütused'!$C:$U,2+$E31,0))+IF(CO$5="X",VLOOKUP(CO$10,'VK-Põlevkivi'!$C:$X,2+$G31,0))+IF(CO$4="X",VLOOKUP(CO$10,'VK-Võrgud'!$C:$X,2+$F31,0)))/1000</f>
        <v>25.291649773285457</v>
      </c>
      <c r="CP31" s="209">
        <f>(IF(CP$7="X",VLOOKUP(CP$10,'VK-Hooned-Soojus'!$C:$X,2+$C31,FALSE),0)+IF(CP$6="X",VLOOKUP(CP$10,'VK-Transport'!$C:$X,2+$B31,0))+IF(CP$8="X",VLOOKUP(CP$10,'VK-Elekter'!$C:$X,2+$D31,0))+IF(CP$9="X",VLOOKUP(CP$10,'VK-Biokütused'!$C:$U,2+$E31,0))+IF(CP$5="X",VLOOKUP(CP$10,'VK-Põlevkivi'!$C:$X,2+$G31,0))+IF(CP$4="X",VLOOKUP(CP$10,'VK-Võrgud'!$C:$X,2+$F31,0)))/1000</f>
        <v>13.443948584295613</v>
      </c>
      <c r="CQ31" s="235">
        <f>(IF(CQ$7="X",VLOOKUP(CQ$10,'VK-Hooned-Soojus'!$C:$X,2+$C31,FALSE),0)+IF(CQ$6="X",VLOOKUP(CQ$10,'VK-Transport'!$C:$X,2+$B31,0))+IF(CQ$8="X",VLOOKUP(CQ$10,'VK-Elekter'!$C:$X,2+$D31,0))+IF(CQ$9="X",VLOOKUP(CQ$10,'VK-Biokütused'!$C:$U,2+$E31,0)))/1000</f>
        <v>10.995906999999999</v>
      </c>
      <c r="CR31" s="209">
        <f>(IF(CR$7="X",VLOOKUP(CR$10,'VK-Hooned-Soojus'!$C:$X,2+$C31,FALSE),0)+IF(CR$6="X",VLOOKUP(CR$10,'VK-Transport'!$C:$X,2+$B31,0))+IF(CR$8="X",VLOOKUP(CR$10,'VK-Elekter'!$C:$X,2+$D31,0))+IF(CR$9="X",VLOOKUP(CR$10,'VK-Biokütused'!$C:$U,2+$E31,0))+IF(CR$5="X",VLOOKUP(CR$10,'VK-Põlevkivi'!$C:$X,2+$G31,0))+IF(CR$4="X",VLOOKUP(CR$10,'VK-Võrgud'!$C:$X,2+$F31,0)))/1000</f>
        <v>7.9047533562748038</v>
      </c>
      <c r="CS31" s="209">
        <f>(IF(CS$7="X",VLOOKUP(CS$10,'VK-Hooned-Soojus'!$C:$X,2+$C31,FALSE),0)+IF(CS$6="X",VLOOKUP(CS$10,'VK-Transport'!$C:$X,2+$B31,0))+IF(CS$8="X",VLOOKUP(CS$10,'VK-Elekter'!$C:$X,2+$D31,0))+IF(CS$9="X",VLOOKUP(CS$10,'VK-Biokütused'!$C:$U,2+$E31,0))+IF(CS$5="X",VLOOKUP(CS$10,'VK-Põlevkivi'!$C:$X,2+$G31,0))+IF(CS$4="X",VLOOKUP(CS$10,'VK-Võrgud'!$C:$X,2+$F31,0)))/1000</f>
        <v>3.966152405121615</v>
      </c>
      <c r="CT31" s="209">
        <f>IF(CT$7="X",VLOOKUP(CT$10,'VK-Hooned-Soojus'!$C:$X,2+$C31,FALSE),0)+IF(CT$6="X",VLOOKUP(CT$10,'VK-Transport'!$C:$X,2+$B31,0))+IF(CT$8="X",VLOOKUP(CT$10,'VK-Elekter'!$C:$X,2+$D31,0))+IF(CT$9="X",VLOOKUP(CT$10,'VK-Biokütused'!$C:$U,2+$E31,0))+IF(CT$5="X",VLOOKUP(CT$10,'VK-Põlevkivi'!$C:$X,2+$G31,0))+IF(CT$4="X",VLOOKUP(CT$10,'VK-Võrgud'!$C:$X,2+$F31,0))</f>
        <v>90</v>
      </c>
      <c r="CU31" s="209">
        <f>IF(CU$7="X",VLOOKUP(CU$10,'VK-Hooned-Soojus'!$C:$X,2+$C31,FALSE),0)+IF(CU$6="X",VLOOKUP(CU$10,'VK-Transport'!$C:$X,2+$B31,0))+IF(CU$8="X",VLOOKUP(CU$10,'VK-Elekter'!$C:$X,2+$D31,0))+IF(CU$9="X",VLOOKUP(CU$10,'VK-Biokütused'!$C:$U,2+$E31,0))+IF(CU$5="X",VLOOKUP(CU$10,'VK-Põlevkivi'!$C:$X,2+$G31,0))+IF(CU$4="X",VLOOKUP(CU$10,'VK-Võrgud'!$C:$X,2+$F31,0))</f>
        <v>0.72088353413654627</v>
      </c>
      <c r="CV31" s="209">
        <f t="shared" si="1"/>
        <v>0.91028830406496786</v>
      </c>
      <c r="CW31" s="209">
        <f>(IF(CW$7="X",VLOOKUP(CW$10,'VK-Hooned-Soojus'!$C:$X,2+$C31,FALSE),0)+IF(CW$6="X",VLOOKUP(CW$10,'VK-Transport'!$C:$X,2+$B31,0))+IF(CW$8="X",VLOOKUP(CW$10,'VK-Elekter'!$C:$X,2+$D31,0))+IF(CW$9="X",VLOOKUP(CW$10,'VK-Biokütused'!$C:$U,2+$E31,0))+IF(CW$5="X",VLOOKUP(CW$10,'VK-Põlevkivi'!$C:$X,2+$G31,0))+IF(CW$4="X",VLOOKUP(CW$10,'VK-Võrgud'!$C:$X,2+$F31,0)))/16</f>
        <v>126.01875</v>
      </c>
      <c r="CY31" s="209">
        <f>(IF(CY$7="X",VLOOKUP(CY$10,'VK-Hooned-Soojus'!$C:$X,2+$C31,FALSE),0)+IF(CY$6="X",VLOOKUP(CY$10,'VK-Transport'!$C:$X,2+$B31,0))+IF(CY$8="X",VLOOKUP(CY$10,'VK-Elekter'!$C:$X,2+$D31,0))+IF(CY$9="X",VLOOKUP(CY$10,'VK-Biokütused'!$C:$U,2+$E31,0))+IF(CY$5="X",VLOOKUP(CY$10,'VK-Põlevkivi'!$C:$X,2+$G31,0))+IF(CY$4="X",VLOOKUP(CY$10,'VK-Võrgud'!$C:$X,2+$F31,0)))/1000</f>
        <v>11.166</v>
      </c>
      <c r="CZ31" s="209">
        <f>(IF(CZ$7="X",VLOOKUP(CZ$10,'VK-Hooned-Soojus'!$C:$X,2+$C31,FALSE),0)+IF(CZ$6="X",VLOOKUP(CZ$10,'VK-Transport'!$C:$X,2+$B31,0))+IF(CZ$8="X",VLOOKUP(CZ$10,'VK-Elekter'!$C:$X,2+$D31,0))+IF(CZ$9="X",VLOOKUP(CZ$10,'VK-Biokütused'!$C:$U,2+$E31,0))+IF(CZ$5="X",VLOOKUP(CZ$10,'VK-Põlevkivi'!$C:$X,2+$G31,0))+IF(CZ$4="X",VLOOKUP(CZ$10,'VK-Võrgud'!$C:$X,2+$F31,0)))</f>
        <v>76</v>
      </c>
      <c r="DA31" s="209">
        <f>(IF(DA$7="X",VLOOKUP(DA$10,'VK-Hooned-Soojus'!$C:$X,2+$C31,FALSE),0)+IF(DA$6="X",VLOOKUP(DA$10,'VK-Transport'!$C:$X,2+$B31,0))+IF(DA$8="X",VLOOKUP(DA$10,'VK-Elekter'!$C:$X,2+$D31,0))+IF(DA$9="X",VLOOKUP(DA$10,'VK-Biokütused'!$C:$U,2+$E31,0))+IF(DA$5="X",VLOOKUP(DA$10,'VK-Põlevkivi'!$C:$X,2+$G31,0))+IF(DA$4="X",VLOOKUP(DA$10,'VK-Võrgud'!$C:$X,2+$F31,0)))/1000</f>
        <v>14.865</v>
      </c>
      <c r="DB31" s="209">
        <f>(IF(DB$7="X",VLOOKUP(DB$10,'VK-Hooned-Soojus'!$C:$X,2+$C31,FALSE),0)+IF(DB$6="X",VLOOKUP(DB$10,'VK-Transport'!$C:$X,2+$B31,0))+IF(DB$8="X",VLOOKUP(DB$10,'VK-Elekter'!$C:$X,2+$D31,0))+IF(DB$9="X",VLOOKUP(DB$10,'VK-Biokütused'!$C:$U,2+$E31,0))+IF(DB$5="X",VLOOKUP(DB$10,'VK-Põlevkivi'!$C:$X,2+$G31,0))+IF(DB$4="X",VLOOKUP(DB$10,'VK-Võrgud'!$C:$X,2+$F31,0)))/1000/3.6</f>
        <v>66.302777777777777</v>
      </c>
      <c r="DC31" s="209">
        <f>(IF(DC$7="X",VLOOKUP(DC$10,'VK-Hooned-Soojus'!$C:$X,2+$C31,FALSE),0)+IF(DC$6="X",VLOOKUP(DC$10,'VK-Transport'!$C:$X,2+$B31,0))+IF(DC$8="X",VLOOKUP(DC$10,'VK-Elekter'!$C:$X,2+$D31,0))+IF(DC$9="X",VLOOKUP(DC$10,'VK-Biokütused'!$C:$U,2+$E31,0))+IF(DC$5="X",VLOOKUP(DC$10,'VK-Põlevkivi'!$C:$X,2+$G31,0))+IF(DC$4="X",VLOOKUP(DC$10,'VK-Võrgud'!$C:$X,2+$F31,0)))/1000000</f>
        <v>5.337199</v>
      </c>
      <c r="DD31" s="209"/>
      <c r="DE31" s="88">
        <f>VLOOKUP(Tulemused!$BN$12,data!M$7:N$12,2,FALSE)-SUM(L31,M31)</f>
        <v>-2.6566444444444528</v>
      </c>
      <c r="DF31" s="209" t="str">
        <f>IF(AZ31&lt;=VLOOKUP(Tulemused!$BN$15,data!$E$36:$F$39,2,FALSE),"JAH","EI")</f>
        <v>JAH</v>
      </c>
      <c r="DG31" s="209"/>
      <c r="DH31" s="209">
        <f t="shared" si="2"/>
        <v>6.28</v>
      </c>
      <c r="DI31" s="231" t="str">
        <f t="shared" si="17"/>
        <v>EI</v>
      </c>
      <c r="DK31" s="232">
        <f t="shared" si="3"/>
        <v>-997.21072900700153</v>
      </c>
      <c r="DM31" s="233">
        <f t="shared" si="4"/>
        <v>-990.26565229890673</v>
      </c>
      <c r="DN31" s="87">
        <f t="array" ref="DN31">INDEX($A$11:$A$145, SMALL(IF(DM31=$DK$11:$DK$145, MATCH(ROW($DK$11:$DK$145), ROW($DK$11:$DK$145))), SUM(--(DM31=$DM$11:DM31))))</f>
        <v>87</v>
      </c>
      <c r="DP31" s="87" t="e">
        <f t="shared" ca="1" si="18"/>
        <v>#N/A</v>
      </c>
      <c r="DQ31" s="87" t="e">
        <f t="shared" ca="1" si="19"/>
        <v>#N/A</v>
      </c>
      <c r="DR31" s="87">
        <f t="shared" ca="1" si="20"/>
        <v>0</v>
      </c>
      <c r="DS31" s="87" t="e">
        <f t="shared" ca="1" si="21"/>
        <v>#N/A</v>
      </c>
      <c r="DT31" s="87">
        <f t="shared" ca="1" si="22"/>
        <v>0</v>
      </c>
      <c r="DU31" s="87" t="e">
        <f t="shared" ca="1" si="23"/>
        <v>#N/A</v>
      </c>
      <c r="DV31" s="87" t="e">
        <f t="shared" ca="1" si="24"/>
        <v>#N/A</v>
      </c>
      <c r="DW31" s="87">
        <f t="shared" ca="1" si="25"/>
        <v>0</v>
      </c>
      <c r="DX31" s="87">
        <f t="shared" ca="1" si="26"/>
        <v>0</v>
      </c>
      <c r="DZ31" s="87">
        <f t="shared" ca="1" si="35"/>
        <v>0</v>
      </c>
      <c r="EB31" s="87">
        <f t="shared" ca="1" si="27"/>
        <v>0</v>
      </c>
      <c r="EC31" s="87" t="e">
        <f t="shared" ca="1" si="28"/>
        <v>#N/A</v>
      </c>
      <c r="EE31" s="228">
        <f>(IF(EE$7="X",VLOOKUP(EE$10,'VK-Hooned-Soojus'!$C:$X,2+$C31,FALSE),0)+IF(EE$6="X",VLOOKUP(EE$10,'VK-Transport'!$C:$X,2+$B31,0))+IF(EE$8="X",VLOOKUP(EE$10,'VK-Elekter'!$C:$X,2+$D31,0))+IF(EE$9="X",VLOOKUP(EE$10,'VK-Biokütused'!$C:$U,2+$E31,0))+IF(EE$5="X",VLOOKUP(EE$10,'VK-Põlevkivi'!$C:$X,2+$G31,0))+IF(EE$4="X",VLOOKUP(EE$10,'VK-Võrgud'!$C:$X,2+$F31,0)))</f>
        <v>8110.2093425118646</v>
      </c>
      <c r="EF31" s="235">
        <f>(IF(EF$7="X",VLOOKUP(EF$10,'VK-Hooned-Soojus'!$C:$X,2+$C31,FALSE),0)+IF(EF$6="X",VLOOKUP(EF$10,'VK-Transport'!$C:$X,2+$B31,0))+IF(EF$8="X",VLOOKUP(EF$10,'VK-Elekter'!$C:$X,2+$D31,0))+IF(EF$9="X",VLOOKUP(EF$10,'VK-Biokütused'!$C:$U,2+$E31,0)))/1000</f>
        <v>5.6566368215830609</v>
      </c>
      <c r="EG31" s="209">
        <f>(IF(EG$7="X",VLOOKUP(EG$10,'VK-Hooned-Soojus'!$C:$X,2+$C31,FALSE),0)+IF(EG$6="X",VLOOKUP(EG$10,'VK-Transport'!$C:$X,2+$B31,0))+IF(EG$8="X",VLOOKUP(EG$10,'VK-Elekter'!$C:$X,2+$D31,0))+IF(EG$9="X",VLOOKUP(EG$10,'VK-Biokütused'!$C:$U,2+$E31,0))+IF(EG$5="X",VLOOKUP(EG$10,'VK-Põlevkivi'!$C:$X,2+$G31,0))+IF(EG$4="X",VLOOKUP(EG$10,'VK-Võrgud'!$C:$X,2+$F31,0)))</f>
        <v>0.81</v>
      </c>
      <c r="EH31" s="209">
        <f>(IF(EH$7="X",VLOOKUP(EH$10,'VK-Hooned-Soojus'!$C:$X,2+$C31,FALSE),0)+IF(EH$6="X",VLOOKUP(EH$10,'VK-Transport'!$C:$X,2+$B31,0))+IF(EH$8="X",VLOOKUP(EH$10,'VK-Elekter'!$C:$X,2+$D31,0))+IF(EH$9="X",VLOOKUP(EH$10,'VK-Biokütused'!$C:$U,2+$E31,0)))+AR31+AS31+AU31+AX31</f>
        <v>58.755165628957577</v>
      </c>
      <c r="EI31" s="320">
        <f t="shared" si="6"/>
        <v>50.474567183462526</v>
      </c>
      <c r="EJ31" s="322">
        <f t="shared" si="7"/>
        <v>2.1267750475898739E-2</v>
      </c>
      <c r="EK31" s="323">
        <f t="shared" si="29"/>
        <v>0.35547441046944428</v>
      </c>
      <c r="EM31" s="209"/>
      <c r="EN31" s="209">
        <f t="shared" ca="1" si="8"/>
        <v>0</v>
      </c>
      <c r="EO31" s="209"/>
      <c r="EP31" s="234"/>
      <c r="EQ31" s="209">
        <f>(IF(EQ$7="X",VLOOKUP(EQ$10,'VK-Hooned-Soojus'!$C:$X,2+$C31,FALSE),0)+IF(EQ$6="X",VLOOKUP(EQ$10,'VK-Transport'!$C:$X,2+$B31,0))+IF(EQ$8="X",VLOOKUP(EQ$10,'VK-Elekter'!$C:$X,2+$D31,0))+IF(EQ$9="X",VLOOKUP(EQ$10,'VK-Biokütused'!$C:$U,2+$E31,0))+IF(EQ$5="X",VLOOKUP(EQ$10,'VK-Põlevkivi'!$C:$X,2+$G31,0))+IF(EQ$4="X",VLOOKUP(EQ$10,'VK-Võrgud'!$C:$X,2+$F31,0)))/1000</f>
        <v>0.21099999999999999</v>
      </c>
      <c r="ER31" s="209">
        <f>(IF(ER$7="X",VLOOKUP(ER$10,'VK-Hooned-Soojus'!$C:$X,2+$C31,FALSE),0)+IF(ER$6="X",VLOOKUP(ER$10,'VK-Transport'!$C:$X,2+$B31,0))+IF(ER$8="X",VLOOKUP(ER$10,'VK-Elekter'!$C:$X,2+$D31,0))+IF(ER$9="X",VLOOKUP(ER$10,'VK-Biokütused'!$C:$U,2+$E31,0))+IF(ER$5="X",VLOOKUP(ER$10,'VK-Põlevkivi'!$C:$X,2+$G31,0))+IF(ER$4="X",VLOOKUP(ER$10,'VK-Võrgud'!$C:$X,2+$F31,0)))</f>
        <v>0.76300000000000001</v>
      </c>
      <c r="ES31" s="209">
        <f>(IF(ES$7="X",VLOOKUP(ES$10,'VK-Hooned-Soojus'!$C:$X,2+$C31,FALSE),0)+IF(ES$6="X",VLOOKUP(ES$10,'VK-Transport'!$C:$X,2+$B31,0))+IF(ES$8="X",VLOOKUP(ES$10,'VK-Elekter'!$C:$X,2+$D31,0))+IF(ES$9="X",VLOOKUP(ES$10,'VK-Biokütused'!$C:$U,2+$E31,0))+IF(ES$5="X",VLOOKUP(ES$10,'VK-Põlevkivi'!$C:$X,2+$G31,0))+IF(ES$4="X",VLOOKUP(ES$10,'VK-Võrgud'!$C:$X,2+$F31,0)))</f>
        <v>6.28</v>
      </c>
      <c r="ET31" s="209"/>
      <c r="EU31" s="209"/>
      <c r="EV31" s="87">
        <f>'KSH järjestus'!AS24</f>
        <v>1939</v>
      </c>
      <c r="EX31" s="236"/>
      <c r="EY31" s="236"/>
      <c r="EZ31" s="237">
        <f t="shared" si="9"/>
        <v>0.27911646586345373</v>
      </c>
      <c r="FA31" s="209">
        <f>IF(FA$7="X",VLOOKUP(FA$10,'VK-Hooned-Soojus'!$C:$X,2+$C31,FALSE),0)+IF(FA$6="X",VLOOKUP(FA$10,'VK-Transport'!$C:$X,2+$B31,0))+IF(FA$8="X",VLOOKUP(FA$10,'VK-Elekter'!$C:$X,2+$D31,0))+IF(FA$9="X",VLOOKUP(FA$10,'VK-Biokütused'!$C:$U,2+$E31,0))+IF(FA$5="X",VLOOKUP(FA$10,'VK-Põlevkivi'!$C:$X,2+$G31,0))+IF(FA$4="X",VLOOKUP(FA$10,'VK-Võrgud'!$C:$X,2+$F31,0))</f>
        <v>3658.9070000000002</v>
      </c>
      <c r="FB31" s="279">
        <f>(IF(FB$7="X",VLOOKUP(FB$10,'VK-Hooned-Soojus'!$C:$X,2+$C31,FALSE),0)+IF(FB$6="X",VLOOKUP(FB$10,'VK-Transport'!$C:$X,2+$B31,0))+IF(FB$8="X",VLOOKUP(FB$10,'VK-Elekter'!$C:$X,2+$D31,0))+IF(FB$9="X",VLOOKUP(FB$10,'VK-Biokütused'!$C:$U,2+$E31,0))+IF(FB$5="X",VLOOKUP(FB$10,'VK-Põlevkivi'!$C:$X,2+$G31,0))+IF(FB$4="X",VLOOKUP(FB$10,'VK-Võrgud'!$C:$X,2+$F31,0)))/16</f>
        <v>379.829483352019</v>
      </c>
      <c r="FC31" s="209">
        <f>IF(FC$7="X",VLOOKUP(FC$10,'VK-Hooned-Soojus'!$C:$X,2+$C31,FALSE),0)+IF(FC$6="X",VLOOKUP(FC$10,'VK-Transport'!$C:$X,2+$B31,0))+IF(FC$8="X",VLOOKUP(FC$10,'VK-Elekter'!$C:$X,2+$D31,0))+IF(FC$9="X",VLOOKUP(FC$10,'VK-Biokütused'!$C:$U,2+$E31,0))+IF(FC$5="X",VLOOKUP(FC$10,'VK-Põlevkivi'!$C:$X,2+$G31,0))+IF(FC$4="X",VLOOKUP(FC$10,'VK-Võrgud'!$C:$X,2+$F31,0))</f>
        <v>318.5</v>
      </c>
      <c r="FD31" s="209">
        <f>(IF(FD$7="X",VLOOKUP(FD$10,'VK-Hooned-Soojus'!$C:$X,2+$C31,FALSE),0)+IF(FD$6="X",VLOOKUP(FD$10,'VK-Transport'!$C:$X,2+$B31,0))+IF(FD$8="X",VLOOKUP(FD$10,'VK-Elekter'!$C:$X,2+$D31,0))+IF(FD$9="X",VLOOKUP(FD$10,'VK-Biokütused'!$C:$U,2+$E31,0))+IF(FD$5="X",VLOOKUP(FD$10,'VK-Põlevkivi'!$C:$X,2+$G31,0))+IF(FD$4="X",VLOOKUP(FD$10,'VK-Võrgud'!$C:$X,2+$F31,0)))/16</f>
        <v>379.829483352019</v>
      </c>
      <c r="FE31" s="209">
        <f>(IF(FE$7="X",VLOOKUP(FE$10,'VK-Hooned-Soojus'!$C:$X,2+$C31,FALSE),0)+IF(FE$6="X",VLOOKUP(FE$10,'VK-Transport'!$C:$X,2+$B31,0))+IF(FE$8="X",VLOOKUP(FE$10,'VK-Elekter'!$C:$X,2+$D31,0))+IF(FE$9="X",VLOOKUP(FE$10,'VK-Biokütused'!$C:$U,2+$E31,0))+IF(FE$5="X",VLOOKUP(FE$10,'VK-Põlevkivi'!$C:$X,2+$G31,0))+IF(FE$4="X",VLOOKUP(FE$10,'VK-Võrgud'!$C:$X,2+$F31,0)))/16</f>
        <v>-71.100813699091034</v>
      </c>
      <c r="FF31" s="209">
        <f>(IF(FF$7="X",VLOOKUP(FF$10,'VK-Hooned-Soojus'!$C:$X,2+$C31,FALSE),0)+IF(FF$6="X",VLOOKUP(FF$10,'VK-Transport'!$C:$X,2+$B31,0))+IF(FF$8="X",VLOOKUP(FF$10,'VK-Elekter'!$C:$X,2+$D31,0))+IF(FF$9="X",VLOOKUP(FF$10,'VK-Biokütused'!$C:$U,2+$E31,0))+IF(FF$5="X",VLOOKUP(FF$10,'VK-Põlevkivi'!$C:$X,2+$G31,0))+IF(FF$4="X",VLOOKUP(FF$10,'VK-Võrgud'!$C:$X,2+$F31,0)))/16</f>
        <v>122.23183209788189</v>
      </c>
      <c r="FG31" s="88">
        <f t="shared" ca="1" si="30"/>
        <v>51.131018398790857</v>
      </c>
      <c r="FH31" s="88"/>
      <c r="FI31" s="88"/>
      <c r="FJ31" s="88">
        <f>VLOOKUP(Tulemused!$BN$12,data!M$7:N$12,2,FALSE)-SUM(L31,M31)</f>
        <v>-2.6566444444444528</v>
      </c>
      <c r="FK31" s="209" t="str">
        <f>IF(AZ31&lt;=VLOOKUP(Tulemused!$BN$15,data!$E$36:$F$39,2,FALSE),"JAH","EI")</f>
        <v>JAH</v>
      </c>
      <c r="FL31" s="235">
        <f ca="1">IF(ISNA(MATCH($A31,INDIRECT(VLOOKUP(Tulemused!$BF$11,data!$J$57:$M$71,4,FALSE)))),0,MATCH($A31,INDIRECT(VLOOKUP(Tulemused!$BF$11,data!$J$57:$M$71,4,FALSE))))</f>
        <v>0</v>
      </c>
      <c r="FM31" s="235" t="str">
        <f t="shared" ca="1" si="10"/>
        <v>JAH</v>
      </c>
      <c r="FN31" s="209">
        <f>VLOOKUP(Tulemused!$BN$13,data!$C$132:$D$137,2,FALSE)-KOMBI!R31</f>
        <v>2.5031331784169399</v>
      </c>
      <c r="FO31" s="209"/>
      <c r="FP31" s="209">
        <f>VLOOKUP(Tulemused!$BN$17,NO_x,2,FALSE)-CJ31</f>
        <v>10.146421988425463</v>
      </c>
      <c r="FQ31" s="209">
        <f>VLOOKUP(Tulemused!$BN$18,SO_2,2,FALSE)-CK31</f>
        <v>40.0088754377214</v>
      </c>
      <c r="FR31" s="209">
        <f>VLOOKUP(Tulemused!$BN$19,LOU,2,FALSE)-CN31</f>
        <v>34.229000000000006</v>
      </c>
      <c r="FS31" s="209">
        <f>VLOOKUP(Tulemused!$BN$20,PM_2.5,2,FALSE)-CM31</f>
        <v>9.1082394222510921</v>
      </c>
      <c r="FT31" s="209">
        <f>VLOOKUP(Tulemused!$BN$13,data!$C$132:$D$137,2,FALSE)-FA31/1000</f>
        <v>2.5870630000000006</v>
      </c>
      <c r="FU31" s="209">
        <f>VLOOKUP(Tulemused!$BN$17,NO_x,2,FALSE)-CO31</f>
        <v>4.1463502267145422</v>
      </c>
      <c r="FV31" s="209">
        <f>VLOOKUP(Tulemused!$BN$18,SO_2,2,FALSE)-CP31</f>
        <v>38.440051415704389</v>
      </c>
      <c r="FW31" s="209">
        <f>VLOOKUP(Tulemused!$BN$19,LOU,2,FALSE)-CS31</f>
        <v>33.113847594878393</v>
      </c>
      <c r="FX31" s="209">
        <f>VLOOKUP(Tulemused!$BN$20,PM_2.5,2,FALSE)-CR31</f>
        <v>9.0102466437251962</v>
      </c>
      <c r="FY31" s="209">
        <f>VLOOKUP(Tulemused!$BN$14,KHG_2050,2,FALSE)-EF31</f>
        <v>94.343363178416936</v>
      </c>
      <c r="FZ31" s="231" t="str">
        <f t="shared" ca="1" si="31"/>
        <v>EI</v>
      </c>
      <c r="GA31" s="209"/>
      <c r="GB31" s="209"/>
      <c r="GC31" s="209"/>
      <c r="GD31" s="231"/>
      <c r="GE31" s="87">
        <f t="shared" si="11"/>
        <v>1939</v>
      </c>
      <c r="GF31" s="232" t="str">
        <f t="shared" ca="1" si="32"/>
        <v/>
      </c>
      <c r="GH31" s="238" t="e">
        <f t="shared" ca="1" si="12"/>
        <v>#NUM!</v>
      </c>
      <c r="GI31" s="87" t="e">
        <f t="array" aca="1" ref="GI31" ca="1">INDEX($A$11:$A$145, SMALL(IF(GH31=$GF$11:$GF$145, MATCH(ROW($GF$11:$GF$145), ROW($GF$11:$GF$145))), SUM(--(GH31=$GH$11:GH31))))</f>
        <v>#NUM!</v>
      </c>
      <c r="GM31" s="209">
        <f>IF(GM$7="X",VLOOKUP(GM$10,'VK-Hooned-Soojus'!$C:$X,2+$C31,FALSE),0)+IF(GM$6="X",VLOOKUP(GM$10,'VK-Transport'!$C:$X,2+$B31,0))+IF(GM$8="X",VLOOKUP(GM$10,'VK-Elekter'!$C:$X,2+$D31,0))+IF(GM$9="X",VLOOKUP(GM$10,'VK-Biokütused'!$C:$U,2+$E31,0))+IF(GM$5="X",VLOOKUP(GM$10,'VK-Põlevkivi'!$C:$X,2+$G31,0))+IF(GM$4="X",VLOOKUP(GM$10,'VK-Võrgud'!$C:$X,2+$F31,0))</f>
        <v>6.0128279910272253</v>
      </c>
      <c r="GN31" s="209">
        <f>IF(GN$7="X",VLOOKUP(GN$10,'VK-Hooned-Soojus'!$C:$X,2+$C31,FALSE),0)+IF(GN$6="X",VLOOKUP(GN$10,'VK-Transport'!$C:$X,2+$B31,0))+IF(GN$8="X",VLOOKUP(GN$10,'VK-Elekter'!$C:$X,2+$D31,0))+IF(GN$9="X",VLOOKUP(GN$10,'VK-Biokütused'!$C:$U,2+$E31,0))+IF(GN$5="X",VLOOKUP(GN$10,'VK-Põlevkivi'!$C:$X,2+$G31,0))+IF(GN$4="X",VLOOKUP(GN$10,'VK-Võrgud'!$C:$X,2+$F31,0))</f>
        <v>3.4467619395011728</v>
      </c>
      <c r="GO31" s="209">
        <f>IF(GO$7="X",VLOOKUP(GO$10,'VK-Hooned-Soojus'!$C:$X,2+$C31,FALSE),0)+IF(GO$6="X",VLOOKUP(GO$10,'VK-Transport'!$C:$X,2+$B31,0))+IF(GO$8="X",VLOOKUP(GO$10,'VK-Elekter'!$C:$X,2+$D31,0))+IF(GO$9="X",VLOOKUP(GO$10,'VK-Biokütused'!$C:$U,2+$E31,0))+IF(GO$5="X",VLOOKUP(GO$10,'VK-Põlevkivi'!$C:$X,2+$G31,0))+IF(GO$4="X",VLOOKUP(GO$10,'VK-Võrgud'!$C:$X,2+$F31,0))</f>
        <v>7.936370010272257</v>
      </c>
      <c r="GP31" s="209">
        <f>IF(GP$7="X",VLOOKUP(GP$10,'VK-Hooned-Soojus'!$C:$X,2+$C31,FALSE),0)+IF(GP$6="X",VLOOKUP(GP$10,'VK-Transport'!$C:$X,2+$B31,0))+IF(GP$8="X",VLOOKUP(GP$10,'VK-Elekter'!$C:$X,2+$D31,0))+IF(GP$9="X",VLOOKUP(GP$10,'VK-Biokütused'!$C:$U,2+$E31,0))+IF(GP$5="X",VLOOKUP(GP$10,'VK-Põlevkivi'!$C:$X,2+$G31,0))+IF(GP$4="X",VLOOKUP(GP$10,'VK-Võrgud'!$C:$X,2+$F31,0))</f>
        <v>9.1527946929596489</v>
      </c>
      <c r="GQ31" s="88">
        <f>IF(GQ$7="X",VLOOKUP(GQ$10,'VK-Hooned-Soojus'!$C:$X,2+$C31,FALSE),0)+IF(GQ$6="X",VLOOKUP(GQ$10,'VK-Transport'!$C:$X,2+$B31,0))+IF(GQ$8="X",VLOOKUP(GQ$10,'VK-Elekter'!$C:$X,2+$D31,0))+IF(GQ$9="X",VLOOKUP(GQ$10,'VK-Biokütused'!$C:$U,2+$E31,0))+IF(GQ$5="X",VLOOKUP(GQ$10,'VK-Põlevkivi'!$C:$X,2+$G31,0))+IF(GQ$4="X",VLOOKUP(GQ$10,'VK-Võrgud'!$C:$X,2+$F31,0))</f>
        <v>0.9682855968523334</v>
      </c>
      <c r="GR31" s="186">
        <f t="shared" si="33"/>
        <v>0.38230641368738244</v>
      </c>
    </row>
    <row r="32" spans="1:200" x14ac:dyDescent="0.2">
      <c r="A32" s="184">
        <v>22</v>
      </c>
      <c r="B32" s="87">
        <v>1</v>
      </c>
      <c r="C32" s="87">
        <v>2</v>
      </c>
      <c r="D32" s="87">
        <v>3</v>
      </c>
      <c r="E32" s="87">
        <v>1</v>
      </c>
      <c r="F32" s="87">
        <f>VLOOKUP(Tulemused!$BF$7,data!$J$6:$K$8,2,FALSE)</f>
        <v>2</v>
      </c>
      <c r="G32" s="87">
        <f>VLOOKUP(data!$H$2,data!$J$12:$K$14,2,FALSE)</f>
        <v>2</v>
      </c>
      <c r="I32" s="209">
        <f>IF(I$7="X",VLOOKUP(I$10,'VK-Hooned-Soojus'!$C:$X,2+$C32,FALSE),0)+IF(I$6="X",VLOOKUP(I$10,'VK-Transport'!$C:$X,2+$B32,0))+IF(I$8="X",VLOOKUP(I$10,'VK-Elekter'!$C:$X,2+$D32,0))+IF(I$9="X",VLOOKUP(I$10,'VK-Biokütused'!$C:$U,2+$E32,0))+IF(I$5="X",VLOOKUP(I$10,'VK-Põlevkivi'!$C:$X,2+$G32,0))+IF(I$4="X",VLOOKUP(I$10,'VK-Võrgud'!$C:$X,2+$F32,0))</f>
        <v>24.79</v>
      </c>
      <c r="J32" s="209">
        <f>IF(J$7="X",VLOOKUP(J$10,'VK-Hooned-Soojus'!$C:$X,2+$C32,FALSE),0)+IF(J$6="X",VLOOKUP(J$10,'VK-Transport'!$C:$X,2+$B32,0))+IF(J$8="X",VLOOKUP(J$10,'VK-Elekter'!$C:$X,2+$D32,0))+IF(J$9="X",VLOOKUP(J$10,'VK-Biokütused'!$C:$U,2+$E32,0))+IF(J$5="X",VLOOKUP(J$10,'VK-Põlevkivi'!$C:$X,2+$G32,0))+IF(J$4="X",VLOOKUP(J$10,'VK-Võrgud'!$C:$X,2+$F32,0))</f>
        <v>13.295833333333334</v>
      </c>
      <c r="K32" s="209">
        <f>IF(K$7="X",VLOOKUP(K$10,'VK-Hooned-Soojus'!$C:$X,2+$C32,FALSE),0)+IF(K$6="X",VLOOKUP(K$10,'VK-Transport'!$C:$X,2+$B32,0))+IF(K$8="X",VLOOKUP(K$10,'VK-Elekter'!$C:$X,2+$D32,0))+IF(K$9="X",VLOOKUP(K$10,'VK-Biokütused'!$C:$U,2+$E32,0))+IF(K$5="X",VLOOKUP(K$10,'VK-Põlevkivi'!$C:$X,2+$G32,0))+IF(K$4="X",VLOOKUP(K$10,'VK-Võrgud'!$C:$X,2+$F32,0))</f>
        <v>15.27</v>
      </c>
      <c r="L32" s="209">
        <f>IF(L$7="X",VLOOKUP(L$10,'VK-Hooned-Soojus'!$C:$X,2+$C32,FALSE),0)+IF(L$6="X",VLOOKUP(L$10,'VK-Transport'!$C:$X,2+$B32,0))+IF(L$8="X",VLOOKUP(L$10,'VK-Elekter'!$C:$X,2+$D32,0))+IF(L$9="X",VLOOKUP(L$10,'VK-Biokütused'!$C:$U,2+$E32,0))+IF(L$5="X",VLOOKUP(L$10,'VK-Põlevkivi'!$C:$X,2+$G32,0))+IF(L$4="X",VLOOKUP(L$10,'VK-Võrgud'!$C:$X,2+$F32,0))</f>
        <v>24.2</v>
      </c>
      <c r="M32" s="209">
        <f>IF(M$7="X",VLOOKUP(M$10,'VK-Hooned-Soojus'!$C:$X,2+$C32,FALSE),0)+IF(M$6="X",VLOOKUP(M$10,'VK-Transport'!$C:$X,2+$B32,0))+IF(M$8="X",VLOOKUP(M$10,'VK-Elekter'!$C:$X,2+$D32,0))+IF(M$9="X",VLOOKUP(M$10,'VK-Biokütused'!$C:$U,2+$E32,0))+IF(M$5="X",VLOOKUP(M$10,'VK-Põlevkivi'!$C:$X,2+$G32,0))+IF(M$4="X",VLOOKUP(M$10,'VK-Võrgud'!$C:$X,2+$F32,0))</f>
        <v>11.289444444444445</v>
      </c>
      <c r="N32" s="209">
        <f>IF(N$7="X",VLOOKUP(N$10,'VK-Hooned-Soojus'!$C:$X,2+$C32,FALSE),0)+IF(N$6="X",VLOOKUP(N$10,'VK-Transport'!$C:$X,2+$B32,0))+IF(N$8="X",VLOOKUP(N$10,'VK-Elekter'!$C:$X,2+$D32,0))+IF(N$9="X",VLOOKUP(N$10,'VK-Biokütused'!$C:$U,2+$E32,0))+IF(N$5="X",VLOOKUP(N$10,'VK-Põlevkivi'!$C:$X,2+$G32,0))+IF(N$4="X",VLOOKUP(N$10,'VK-Võrgud'!$C:$X,2+$F32,0))</f>
        <v>16.09</v>
      </c>
      <c r="O32" s="209">
        <f t="shared" si="13"/>
        <v>38.085833333333333</v>
      </c>
      <c r="P32" s="209"/>
      <c r="Q32" s="209">
        <f>(IF(Q$7="X",VLOOKUP(Q$10,'VK-Hooned-Soojus'!$C:$X,2+$C32,FALSE),0)+IF(Q$6="X",VLOOKUP(Q$10,'VK-Transport'!$C:$X,2+$B32,0))+IF(Q$8="X",VLOOKUP(Q$10,'VK-Elekter'!$C:$X,2+$D32,0))+IF(Q$9="X",VLOOKUP(Q$10,'VK-Biokütused'!$C:$U,2+$E32,0))+IF(Q$5="X",VLOOKUP(Q$10,'VK-Põlevkivi'!$C:$X,2+$G32,0))+IF(Q$4="X",VLOOKUP(Q$10,'VK-Võrgud'!$C:$X,2+$F32,0)))/1000</f>
        <v>5.0650000000000004</v>
      </c>
      <c r="R32" s="209">
        <f>(IF(R$7="X",VLOOKUP(R$10,'VK-Hooned-Soojus'!$C:$X,2+$C32,FALSE),0)+IF(R$6="X",VLOOKUP(R$10,'VK-Transport'!$C:$X,2+$B32,0))+IF(R$8="X",VLOOKUP(R$10,'VK-Elekter'!$C:$X,2+$D32,0))+IF(R$9="X",VLOOKUP(R$10,'VK-Biokütused'!$C:$U,2+$E32,0))+IF(R$5="X",VLOOKUP(R$10,'VK-Põlevkivi'!$C:$X,2+$G32,0))+IF(R$4="X",VLOOKUP(R$10,'VK-Võrgud'!$C:$X,2+$F32,0)))/1000</f>
        <v>3.1566368215830605</v>
      </c>
      <c r="S32" s="226">
        <f>VLOOKUP(S$10,'VK-Hooned-Soojus'!$C:$I,2+$C32,FALSE) + VLOOKUP(S$10,'VK-Transport'!$C:$I,2+$B32,FALSE)+ VLOOKUP(S$10,'VK-Biokütused'!$C:$G,2+$E32,FALSE)+ VLOOKUP(S$10,'VK-Elekter'!$C:$I,2+$D32,FALSE)+ VLOOKUP(S$10,'VK-Põlevkivi'!$C:$I,2+$G32,FALSE)+ VLOOKUP(S$10,'VK-Võrgud'!$C:$I,2+$F32,FALSE)</f>
        <v>7.9373512927197291E-3</v>
      </c>
      <c r="T32" s="226">
        <f>VLOOKUP(T$10,'VK-Hooned-Soojus'!$C:$I,2+$C32,FALSE) + VLOOKUP(T$10,'VK-Transport'!$C:$I,2+$B32,FALSE)+ VLOOKUP(T$10,'VK-Biokütused'!$C:$G,2+$E32,FALSE)+ VLOOKUP(T$10,'VK-Elekter'!$C:$I,2+$D32,FALSE)+ VLOOKUP(T$10,'VK-Põlevkivi'!$C:$I,2+$G32,FALSE)+ VLOOKUP(T$10,'VK-Võrgud'!$C:$I,2+$F32,FALSE)</f>
        <v>-4.1040510771479998E-3</v>
      </c>
      <c r="U32" s="226">
        <f>VLOOKUP(U$10,'VK-Hooned-Soojus'!$C:$I,2+$C32,FALSE) + VLOOKUP(U$10,'VK-Transport'!$C:$I,2+$B32,FALSE)+ VLOOKUP(U$10,'VK-Biokütused'!$C:$G,2+$E32,FALSE)+ VLOOKUP(U$10,'VK-Elekter'!$C:$I,2+$D32,FALSE)+ VLOOKUP(U$10,'VK-Põlevkivi'!$C:$I,2+$G32,FALSE)+ VLOOKUP(U$10,'VK-Võrgud'!$C:$I,2+$F32,FALSE)</f>
        <v>9.7193042400103846E-4</v>
      </c>
      <c r="V32" s="226">
        <f>VLOOKUP(V$10,'VK-Hooned-Soojus'!$C:$I,2+$C32,FALSE) + VLOOKUP(V$10,'VK-Transport'!$C:$I,2+$B32,FALSE)+ VLOOKUP(V$10,'VK-Biokütused'!$C:$G,2+$E32,FALSE)+ VLOOKUP(V$10,'VK-Elekter'!$C:$I,2+$D32,FALSE)+ VLOOKUP(V$10,'VK-Põlevkivi'!$C:$I,2+$G32,FALSE)+ VLOOKUP(V$10,'VK-Võrgud'!$C:$I,2+$F32,FALSE)</f>
        <v>7.0065307276692898E-3</v>
      </c>
      <c r="W32" s="226">
        <f>VLOOKUP(W$10,'VK-Hooned-Soojus'!$C:$I,2+$C32,FALSE) + VLOOKUP(W$10,'VK-Transport'!$C:$I,2+$B32,FALSE)+ VLOOKUP(W$10,'VK-Biokütused'!$C:$G,2+$E32,FALSE)+ VLOOKUP(W$10,'VK-Elekter'!$C:$I,2+$D32,FALSE)+ VLOOKUP(W$10,'VK-Põlevkivi'!$C:$I,2+$G32,FALSE)+ VLOOKUP(W$10,'VK-Võrgud'!$C:$I,2+$F32,FALSE)</f>
        <v>-1.2770701226448005E-2</v>
      </c>
      <c r="X32" s="226">
        <f>VLOOKUP(X$10,'VK-Hooned-Soojus'!$C:$I,2+$C32,FALSE) + VLOOKUP(X$10,'VK-Transport'!$C:$I,2+$B32,FALSE)+ VLOOKUP(X$10,'VK-Biokütused'!$C:$G,2+$E32,FALSE)+ VLOOKUP(X$10,'VK-Elekter'!$C:$I,2+$D32,FALSE)+ VLOOKUP(X$10,'VK-Põlevkivi'!$C:$I,2+$G32,FALSE)+ VLOOKUP(X$10,'VK-Võrgud'!$C:$I,2+$F32,FALSE)</f>
        <v>-1.1290259088175582E-2</v>
      </c>
      <c r="Y32" s="226">
        <f>VLOOKUP(Y$10,'VK-Hooned-Soojus'!$C:$I,2+$C32,FALSE) + VLOOKUP(Y$10,'VK-Transport'!$C:$I,2+$B32,FALSE)+ VLOOKUP(Y$10,'VK-Biokütused'!$C:$G,2+$E32,FALSE)+ VLOOKUP(Y$10,'VK-Elekter'!$C:$I,2+$D32,FALSE)+ VLOOKUP(Y$10,'VK-Põlevkivi'!$C:$I,2+$G32,FALSE)+ VLOOKUP(Y$10,'VK-Võrgud'!$C:$I,2+$F32,FALSE)</f>
        <v>-1.9206892994605231E-2</v>
      </c>
      <c r="Z32" s="227">
        <f>(S32*Tulemused!$Q$9*10+T32*Tulemused!$Q$10*10+KOMBI!U32*Tulemused!$Q$11*10+KOMBI!V32*Tulemused!$Q$12*10)*Tulemused!$Q$8+-(W32*Tulemused!$Q$14*10+KOMBI!X32*Tulemused!$Q$15*10+KOMBI!Y32*Tulemused!$Q$16*10)*Tulemused!$Q$13</f>
        <v>1.6432390186601669</v>
      </c>
      <c r="AA32" s="228">
        <f>(IF(AA$7="X",VLOOKUP(AA$10,'VK-Hooned-Soojus'!$C:$X,2+$C32,FALSE),0)+IF(AA$6="X",VLOOKUP(AA$10,'VK-Transport'!$C:$X,2+$B32,0))+IF(AA$8="X",VLOOKUP(AA$10,'VK-Elekter'!$C:$X,2+$D32,0))+IF(AA$9="X",VLOOKUP(AA$10,'VK-Biokütused'!$C:$U,2+$E32,0))+IF(AA$5="X",VLOOKUP(AA$10,'VK-Põlevkivi'!$C:$X,2+$G32,0))+IF(AA$4="X",VLOOKUP(AA$10,'VK-Võrgud'!$C:$X,2+$F32,0)))</f>
        <v>3728</v>
      </c>
      <c r="AB32" s="228">
        <f>(IF(AB$7="X",VLOOKUP(AB$10,'VK-Hooned-Soojus'!$C:$X,2+$C32,FALSE),0)+IF(AB$6="X",VLOOKUP(AB$10,'VK-Transport'!$C:$X,2+$B32,0))+IF(AB$8="X",VLOOKUP(AB$10,'VK-Elekter'!$C:$X,2+$D32,0))+IF(AB$9="X",VLOOKUP(AB$10,'VK-Biokütused'!$C:$U,2+$E32,0))+IF(AB$5="X",VLOOKUP(AB$10,'VK-Põlevkivi'!$C:$X,2+$G32,0))+IF(AB$4="X",VLOOKUP(AB$10,'VK-Võrgud'!$C:$X,2+$F32,0)))</f>
        <v>1337</v>
      </c>
      <c r="AC32" s="228">
        <f>(IF(AC$7="X",VLOOKUP(AC$10,'VK-Hooned-Soojus'!$C:$X,2+$C32,FALSE),0)+IF(AC$6="X",VLOOKUP(AC$10,'VK-Transport'!$C:$X,2+$B32,0))+IF(AC$8="X",VLOOKUP(AC$10,'VK-Elekter'!$C:$X,2+$D32,0))+IF(AC$9="X",VLOOKUP(AC$10,'VK-Biokütused'!$C:$U,2+$E32,0))+IF(AC$5="X",VLOOKUP(AC$10,'VK-Põlevkivi'!$C:$X,2+$G32,0))+IF(AC$4="X",VLOOKUP(AC$10,'VK-Võrgud'!$C:$X,2+$F32,0)))</f>
        <v>2346</v>
      </c>
      <c r="AD32" s="228">
        <f>(IF(AD$7="X",VLOOKUP(AD$10,'VK-Hooned-Soojus'!$C:$X,2+$C32,FALSE),0)+IF(AD$6="X",VLOOKUP(AD$10,'VK-Transport'!$C:$X,2+$B32,0))+IF(AD$8="X",VLOOKUP(AD$10,'VK-Elekter'!$C:$X,2+$D32,0))+IF(AD$9="X",VLOOKUP(AD$10,'VK-Biokütused'!$C:$U,2+$E32,0))+IF(AD$5="X",VLOOKUP(AD$10,'VK-Põlevkivi'!$C:$X,2+$G32,0))+IF(AD$4="X",VLOOKUP(AD$10,'VK-Võrgud'!$C:$X,2+$F32,0)))</f>
        <v>0</v>
      </c>
      <c r="AE32" s="228">
        <f>(IF(AE$7="X",VLOOKUP(AE$10,'VK-Hooned-Soojus'!$C:$X,2+$C32,FALSE),0)+IF(AE$6="X",VLOOKUP(AE$10,'VK-Transport'!$C:$X,2+$B32,0))+IF(AE$8="X",VLOOKUP(AE$10,'VK-Elekter'!$C:$X,2+$D32,0))+IF(AE$9="X",VLOOKUP(AE$10,'VK-Biokütused'!$C:$U,2+$E32,0))+IF(AE$5="X",VLOOKUP(AE$10,'VK-Põlevkivi'!$C:$X,2+$G32,0))+IF(AE$4="X",VLOOKUP(AE$10,'VK-Võrgud'!$C:$X,2+$F32,0)))</f>
        <v>666</v>
      </c>
      <c r="AF32" s="228">
        <f>(IF(AF$7="X",VLOOKUP(AF$10,'VK-Hooned-Soojus'!$C:$X,2+$C32,FALSE),0)+IF(AF$6="X",VLOOKUP(AF$10,'VK-Transport'!$C:$X,2+$B32,0))+IF(AF$8="X",VLOOKUP(AF$10,'VK-Elekter'!$C:$X,2+$D32,0))+IF(AF$9="X",VLOOKUP(AF$10,'VK-Biokütused'!$C:$U,2+$E32,0))+IF(AF$5="X",VLOOKUP(AF$10,'VK-Põlevkivi'!$C:$X,2+$G32,0))+IF(AF$4="X",VLOOKUP(AF$10,'VK-Võrgud'!$C:$X,2+$F32,0)))</f>
        <v>2490.6368215830603</v>
      </c>
      <c r="AG32" s="209"/>
      <c r="AH32" s="209">
        <f>IF(AH$7="X",VLOOKUP(AH$10,'VK-Hooned-Soojus'!$C:$X,2+$C32,FALSE),0)+IF(AH$6="X",VLOOKUP(AH$10,'VK-Transport'!$C:$X,2+$B32,0))+IF(AH$8="X",VLOOKUP(AH$10,'VK-Elekter'!$C:$X,2+$D32,0))+IF(AH$9="X",VLOOKUP(AH$10,'VK-Biokütused'!$C:$U,2+$E32,0))+IF(AH$5="X",VLOOKUP(AH$10,'VK-Põlevkivi'!$C:$X,2+$G32,0))+IF(AH$4="X",VLOOKUP(AH$10,'VK-Võrgud'!$C:$X,2+$F32,0))</f>
        <v>11.579999999999998</v>
      </c>
      <c r="AI32" s="209">
        <f>IF(AI$7="X",VLOOKUP(AI$10,'VK-Hooned-Soojus'!$C:$X,2+$C32,FALSE),0)+IF(AI$6="X",VLOOKUP(AI$10,'VK-Transport'!$C:$X,2+$B32,0))+IF(AI$8="X",VLOOKUP(AI$10,'VK-Elekter'!$C:$X,2+$D32,0))+IF(AI$9="X",VLOOKUP(AI$10,'VK-Biokütused'!$C:$U,2+$E32,0))+IF(AI$5="X",VLOOKUP(AI$10,'VK-Põlevkivi'!$C:$X,2+$G32,0))+IF(AI$4="X",VLOOKUP(AI$10,'VK-Võrgud'!$C:$X,2+$F32,0))</f>
        <v>4.45</v>
      </c>
      <c r="AJ32" s="209">
        <f>IF(AJ$7="X",VLOOKUP(AJ$10,'VK-Hooned-Soojus'!$C:$X,2+$C32,FALSE),0)+IF(AJ$6="X",VLOOKUP(AJ$10,'VK-Transport'!$C:$X,2+$B32,0))+IF(AJ$8="X",VLOOKUP(AJ$10,'VK-Elekter'!$C:$X,2+$D32,0))+IF(AJ$9="X",VLOOKUP(AJ$10,'VK-Biokütused'!$C:$U,2+$E32,0))+IF(AJ$5="X",VLOOKUP(AJ$10,'VK-Põlevkivi'!$C:$X,2+$G32,0))+IF(AJ$4="X",VLOOKUP(AJ$10,'VK-Võrgud'!$C:$X,2+$F32,0))</f>
        <v>9.19</v>
      </c>
      <c r="AK32" s="209">
        <f>IF(AK$7="X",VLOOKUP(AK$10,'VK-Hooned-Soojus'!$C:$X,2+$C32,FALSE),0)+IF(AK$6="X",VLOOKUP(AK$10,'VK-Transport'!$C:$X,2+$B32,0))+IF(AK$8="X",VLOOKUP(AK$10,'VK-Elekter'!$C:$X,2+$D32,0))+IF(AK$9="X",VLOOKUP(AK$10,'VK-Biokütused'!$C:$U,2+$E32,0))+IF(AK$5="X",VLOOKUP(AK$10,'VK-Põlevkivi'!$C:$X,2+$G32,0))+IF(AK$4="X",VLOOKUP(AK$10,'VK-Võrgud'!$C:$X,2+$F32,0))</f>
        <v>0.66</v>
      </c>
      <c r="AL32" s="209">
        <f>IF(AL$7="X",VLOOKUP(AL$10,'VK-Hooned-Soojus'!$C:$X,2+$C32,FALSE),0)+IF(AL$6="X",VLOOKUP(AL$10,'VK-Transport'!$C:$X,2+$B32,0))+IF(AL$8="X",VLOOKUP(AL$10,'VK-Elekter'!$C:$X,2+$D32,0))+IF(AL$9="X",VLOOKUP(AL$10,'VK-Biokütused'!$C:$U,2+$E32,0))+IF(AL$5="X",VLOOKUP(AL$10,'VK-Põlevkivi'!$C:$X,2+$G32,0))+IF(AL$4="X",VLOOKUP(AL$10,'VK-Võrgud'!$C:$X,2+$F32,0))</f>
        <v>7.1999999999999993</v>
      </c>
      <c r="AM32" s="209">
        <f>IF(AM$7="X",VLOOKUP(AM$10,'VK-Hooned-Soojus'!$C:$X,2+$C32,FALSE),0)+IF(AM$6="X",VLOOKUP(AM$10,'VK-Transport'!$C:$X,2+$B32,0))+IF(AM$8="X",VLOOKUP(AM$10,'VK-Elekter'!$C:$X,2+$D32,0))+IF(AM$9="X",VLOOKUP(AM$10,'VK-Biokütused'!$C:$U,2+$E32,0))+IF(AM$5="X",VLOOKUP(AM$10,'VK-Põlevkivi'!$C:$X,2+$G32,0))+IF(AM$4="X",VLOOKUP(AM$10,'VK-Võrgud'!$C:$X,2+$F32,0))</f>
        <v>11.9</v>
      </c>
      <c r="AN32" s="209">
        <f>IF(AN$7="X",VLOOKUP(AN$10,'VK-Hooned-Soojus'!$C:$X,2+$C32,FALSE),0)+IF(AN$6="X",VLOOKUP(AN$10,'VK-Transport'!$C:$X,2+$B32,0))+IF(AN$8="X",VLOOKUP(AN$10,'VK-Elekter'!$C:$X,2+$D32,0))+IF(AN$9="X",VLOOKUP(AN$10,'VK-Biokütused'!$C:$U,2+$E32,0))+IF(AN$5="X",VLOOKUP(AN$10,'VK-Põlevkivi'!$C:$X,2+$G32,0))+IF(AN$4="X",VLOOKUP(AN$10,'VK-Võrgud'!$C:$X,2+$F32,0))</f>
        <v>4.8999999999999995</v>
      </c>
      <c r="AO32" s="209">
        <f>IF(AO$7="X",VLOOKUP(AO$10,'VK-Hooned-Soojus'!$C:$X,2+$C32,FALSE),0)+IF(AO$6="X",VLOOKUP(AO$10,'VK-Transport'!$C:$X,2+$B32,0))+IF(AO$8="X",VLOOKUP(AO$10,'VK-Elekter'!$C:$X,2+$D32,0))+IF(AO$9="X",VLOOKUP(AO$10,'VK-Biokütused'!$C:$U,2+$E32,0))+IF(AO$5="X",VLOOKUP(AO$10,'VK-Põlevkivi'!$C:$X,2+$G32,0))+IF(AO$4="X",VLOOKUP(AO$10,'VK-Võrgud'!$C:$X,2+$F32,0))</f>
        <v>12.56</v>
      </c>
      <c r="AP32" s="209">
        <f>IF(AP$7="X",VLOOKUP(AP$10,'VK-Hooned-Soojus'!$C:$X,2+$C32,FALSE),0)+IF(AP$6="X",VLOOKUP(AP$10,'VK-Transport'!$C:$X,2+$B32,0))+IF(AP$8="X",VLOOKUP(AP$10,'VK-Elekter'!$C:$X,2+$D32,0))+IF(AP$9="X",VLOOKUP(AP$10,'VK-Biokütused'!$C:$U,2+$E32,0))+IF(AP$5="X",VLOOKUP(AP$10,'VK-Põlevkivi'!$C:$X,2+$G32,0))+IF(AP$4="X",VLOOKUP(AP$10,'VK-Võrgud'!$C:$X,2+$F32,0))</f>
        <v>6.28</v>
      </c>
      <c r="AQ32" s="320">
        <f t="shared" si="14"/>
        <v>0.25999999999999979</v>
      </c>
      <c r="AR32" s="209">
        <f>IF(AR$7="X",VLOOKUP(AR$10,'VK-Hooned-Soojus'!$C:$X,2+$C32,FALSE),0)+IF(AR$6="X",VLOOKUP(AR$10,'VK-Transport'!$C:$X,2+$B32,0))+IF(AR$8="X",VLOOKUP(AR$10,'VK-Elekter'!$C:$X,2+$D32,0))+IF(AR$9="X",VLOOKUP(AR$10,'VK-Biokütused'!$C:$U,2+$E32,0))+IF(AR$5="X",VLOOKUP(AR$10,'VK-Põlevkivi'!$C:$X,2+$G32,0))+IF(AR$4="X",VLOOKUP(AR$10,'VK-Võrgud'!$C:$X,2+$F32,0))</f>
        <v>2.8899999999999997</v>
      </c>
      <c r="AS32" s="320">
        <f>VLOOKUP("Kütuste tarbimine @ 2030 - UTTEGAAS",'VK-Hooned-Soojus'!$C:$X,2+$C32,FALSE)/0.172+VLOOKUP("Kütuste tarbimine @ 2030 - UTTEGAAS",'VK-Elekter'!$C:$X,2+$D32,FALSE)/0.172-AR32-AU32</f>
        <v>2.8565116279069773</v>
      </c>
      <c r="AT32" s="209">
        <f>IF(AT$7="X",VLOOKUP(AT$10,'VK-Hooned-Soojus'!$C:$X,2+$C32,FALSE),0)+IF(AT$6="X",VLOOKUP(AT$10,'VK-Transport'!$C:$X,2+$B32,0))+IF(AT$8="X",VLOOKUP(AT$10,'VK-Elekter'!$C:$X,2+$D32,0))+IF(AT$9="X",VLOOKUP(AT$10,'VK-Biokütused'!$C:$U,2+$E32,0))+IF(AT$5="X",VLOOKUP(AT$10,'VK-Põlevkivi'!$C:$X,2+$G32,0))+IF(AT$4="X",VLOOKUP(AT$10,'VK-Võrgud'!$C:$X,2+$F32,0))</f>
        <v>12.004929222526066</v>
      </c>
      <c r="AU32" s="229">
        <f>MAX(0,(VLOOKUP("Kütuste tarbimine @ 2030 - UTTEGAAS",'VK-Hooned-Soojus'!$C:$X,2+$C32,FALSE)/0.172+VLOOKUP("Kütuste tarbimine @ 2030 - UTTEGAAS",'VK-Elekter'!$C:$X,2+$D32,FALSE)/0.172)*0.52-VLOOKUP("Kütuste tarbimine @ 2030 - PÕLEVKIVIÕLI",'VK-Hooned-Soojus'!$C:$X,2+$C32,FALSE))</f>
        <v>5.1837209302325586</v>
      </c>
      <c r="AV32" s="209">
        <f>IF(AV$7="X",VLOOKUP(AV$10,'VK-Hooned-Soojus'!$C:$X,2+$C32,FALSE),0)+IF(AV$6="X",VLOOKUP(AV$10,'VK-Transport'!$C:$X,2+$B32,0))+IF(AV$8="X",VLOOKUP(AV$10,'VK-Elekter'!$C:$X,2+$D32,0))+IF(AV$9="X",VLOOKUP(AV$10,'VK-Biokütused'!$C:$U,2+$E32,0))+IF(AV$5="X",VLOOKUP(AV$10,'VK-Põlevkivi'!$C:$X,2+$G32,0))+IF(AV$4="X",VLOOKUP(AV$10,'VK-Võrgud'!$C:$X,2+$F32,0))</f>
        <v>1.1831224847375093</v>
      </c>
      <c r="AW32" s="209">
        <f>IF(AW$7="X",VLOOKUP(AW$10,'VK-Hooned-Soojus'!$C:$X,2+$C32,FALSE),0)+IF(AW$6="X",VLOOKUP(AW$10,'VK-Transport'!$C:$X,2+$B32,0))+IF(AW$8="X",VLOOKUP(AW$10,'VK-Elekter'!$C:$X,2+$D32,0))+IF(AW$9="X",VLOOKUP(AW$10,'VK-Biokütused'!$C:$U,2+$E32,0))+IF(AW$5="X",VLOOKUP(AW$10,'VK-Põlevkivi'!$C:$X,2+$G32,0))+IF(AW$4="X",VLOOKUP(AW$10,'VK-Võrgud'!$C:$X,2+$F32,0))</f>
        <v>0</v>
      </c>
      <c r="AX32" s="229">
        <f t="shared" si="34"/>
        <v>0</v>
      </c>
      <c r="AY32" s="229">
        <f t="shared" si="15"/>
        <v>1.1831224847375093</v>
      </c>
      <c r="AZ32" s="230">
        <f t="shared" si="0"/>
        <v>0.55910168921821746</v>
      </c>
      <c r="BA32" s="209">
        <f>IF(BA$7="X",VLOOKUP(BA$10,'VK-Hooned-Soojus'!$C:$X,2+$C32,FALSE),0)+IF(BA$6="X",VLOOKUP(BA$10,'VK-Transport'!$C:$X,2+$B32,0))+IF(BA$8="X",VLOOKUP(BA$10,'VK-Elekter'!$C:$X,2+$D32,0))+IF(BA$9="X",VLOOKUP(BA$10,'VK-Biokütused'!$C:$U,2+$E32,0))+IF(BA$5="X",VLOOKUP(BA$10,'VK-Põlevkivi'!$C:$X,2+$G32,0))+IF(BA$4="X",VLOOKUP(BA$10,'VK-Võrgud'!$C:$X,2+$F32,0))</f>
        <v>4.2</v>
      </c>
      <c r="BB32" s="209">
        <f>IF(BB$7="X",VLOOKUP(BB$10,'VK-Hooned-Soojus'!$C:$X,2+$C32,FALSE),0)+IF(BB$6="X",VLOOKUP(BB$10,'VK-Transport'!$C:$X,2+$B32,0))+IF(BB$8="X",VLOOKUP(BB$10,'VK-Elekter'!$C:$X,2+$D32,0))+IF(BB$9="X",VLOOKUP(BB$10,'VK-Biokütused'!$C:$U,2+$E32,0))+IF(BB$5="X",VLOOKUP(BB$10,'VK-Põlevkivi'!$C:$X,2+$G32,0))+IF(BB$4="X",VLOOKUP(BB$10,'VK-Võrgud'!$C:$X,2+$F32,0))</f>
        <v>5.1000000000000005</v>
      </c>
      <c r="BC32" s="209">
        <f>IF(BC$7="X",VLOOKUP(BC$10,'VK-Hooned-Soojus'!$C:$X,2+$C32,FALSE),0)+IF(BC$6="X",VLOOKUP(BC$10,'VK-Transport'!$C:$X,2+$B32,0))+IF(BC$8="X",VLOOKUP(BC$10,'VK-Elekter'!$C:$X,2+$D32,0))+IF(BC$9="X",VLOOKUP(BC$10,'VK-Biokütused'!$C:$U,2+$E32,0))+IF(BC$5="X",VLOOKUP(BC$10,'VK-Põlevkivi'!$C:$X,2+$G32,0))+IF(BC$4="X",VLOOKUP(BC$10,'VK-Võrgud'!$C:$X,2+$F32,0))</f>
        <v>6.5993333333333322</v>
      </c>
      <c r="BD32" s="209">
        <f>IF(BD$7="X",VLOOKUP(BD$10,'VK-Hooned-Soojus'!$C:$X,2+$C32,FALSE),0)+IF(BD$6="X",VLOOKUP(BD$10,'VK-Transport'!$C:$X,2+$B32,0))+IF(BD$8="X",VLOOKUP(BD$10,'VK-Elekter'!$C:$X,2+$D32,0))+IF(BD$9="X",VLOOKUP(BD$10,'VK-Biokütused'!$C:$U,2+$E32,0))+IF(BD$5="X",VLOOKUP(BD$10,'VK-Põlevkivi'!$C:$X,2+$G32,0))+IF(BD$4="X",VLOOKUP(BD$10,'VK-Võrgud'!$C:$X,2+$F32,0))</f>
        <v>9.425416666666667</v>
      </c>
      <c r="BE32" s="230"/>
      <c r="BF32" s="229">
        <f t="shared" si="16"/>
        <v>0.34764098244282376</v>
      </c>
      <c r="BG32" s="209" t="e">
        <f>(IF(BG$7="X",VLOOKUP(BG$10,'VK-Hooned-Soojus'!$C:$X,2+$C32,FALSE),0)+IF(BG$6="X",VLOOKUP(BG$10,'VK-Transport'!$C:$X,2+$B32,0))+IF(BG$8="X",VLOOKUP(BG$10,'VK-Elekter'!$C:$X,2+$D32,0))+IF(BG$9="X",VLOOKUP(BG$10,'VK-Biokütused'!$C:$U,2+$E32,0))+IF(BG$5="X",VLOOKUP(BG$10,'VK-Põlevkivi'!$C:$X,2+$G32,0))+IF(BG$4="X",VLOOKUP(BG$10,'VK-Võrgud'!$C:$X,2+$F32,0)))/20</f>
        <v>#N/A</v>
      </c>
      <c r="BH32" s="209">
        <f>(IF(BH$7="X",VLOOKUP(BH$10,'VK-Hooned-Soojus'!$C:$X,2+$C32,FALSE),0)+IF(BH$6="X",VLOOKUP(BH$10,'VK-Transport'!$C:$X,2+$B32,0))+IF(BH$8="X",VLOOKUP(BH$10,'VK-Elekter'!$C:$X,2+$D32,0))+IF(BH$9="X",VLOOKUP(BH$10,'VK-Biokütused'!$C:$U,2+$E32,0))+IF(BH$5="X",VLOOKUP(BH$10,'VK-Põlevkivi'!$C:$X,2+$G32,0))+IF(BH$4="X",VLOOKUP(BH$10,'VK-Võrgud'!$C:$X,2+$F32,0)))/20</f>
        <v>45.08</v>
      </c>
      <c r="BI32" s="209">
        <f>(IF(BI$7="X",VLOOKUP(BI$10,'VK-Hooned-Soojus'!$C:$X,2+$C32,FALSE),0)+IF(BI$6="X",VLOOKUP(BI$10,'VK-Transport'!$C:$X,2+$B32,0))+IF(BI$8="X",VLOOKUP(BI$10,'VK-Elekter'!$C:$X,2+$D32,0))+IF(BI$9="X",VLOOKUP(BI$10,'VK-Biokütused'!$C:$U,2+$E32,0))+IF(BI$5="X",VLOOKUP(BI$10,'VK-Põlevkivi'!$C:$X,2+$G32,0))+IF(BI$4="X",VLOOKUP(BI$10,'VK-Võrgud'!$C:$X,2+$F32,0)))/16</f>
        <v>14.1875</v>
      </c>
      <c r="BJ32" s="209">
        <f>(IF(BJ$7="X",VLOOKUP(BJ$10,'VK-Hooned-Soojus'!$C:$X,2+$C32,FALSE),0)+IF(BJ$6="X",VLOOKUP(BJ$10,'VK-Transport'!$C:$X,2+$B32,0))+IF(BJ$8="X",VLOOKUP(BJ$10,'VK-Elekter'!$C:$X,2+$D32,0))+IF(BJ$9="X",VLOOKUP(BJ$10,'VK-Biokütused'!$C:$U,2+$E32,0))+IF(BJ$5="X",VLOOKUP(BJ$10,'VK-Põlevkivi'!$C:$X,2+$G32,0))+IF(BJ$4="X",VLOOKUP(BJ$10,'VK-Võrgud'!$C:$X,2+$F32,0)))/20</f>
        <v>3.91</v>
      </c>
      <c r="BK32" s="209"/>
      <c r="BL32" s="209"/>
      <c r="BM32" s="209"/>
      <c r="BN32" s="209" t="e">
        <f>(IF(BN$7="X",VLOOKUP(BN$10,'VK-Hooned-Soojus'!$C:$X,2+$C32,FALSE),0)+IF(BN$6="X",VLOOKUP(BN$10,'VK-Transport'!$C:$X,2+$B32,0))+IF(BN$8="X",VLOOKUP(BN$10,'VK-Elekter'!$C:$X,2+$D32,0))+IF(BN$9="X",VLOOKUP(BN$10,'VK-Biokütused'!$C:$U,2+$E32,0))+IF(BN$5="X",VLOOKUP(BN$10,'VK-Põlevkivi'!$C:$X,2+$G32,0))+IF(BN$4="X",VLOOKUP(BN$10,'VK-Võrgud'!$C:$X,2+$F32,0)))/16</f>
        <v>#N/A</v>
      </c>
      <c r="BO32" s="209">
        <f>(IF(BO$7="X",VLOOKUP(BO$10,'VK-Hooned-Soojus'!$C:$X,2+$C32,FALSE),0)+IF(BO$6="X",VLOOKUP(BO$10,'VK-Transport'!$C:$X,2+$B32,0))+IF(BO$8="X",VLOOKUP(BO$10,'VK-Elekter'!$C:$X,2+$D32,0))+IF(BO$9="X",VLOOKUP(BO$10,'VK-Biokütused'!$C:$U,2+$E32,0))+IF(BO$5="X",VLOOKUP(BO$10,'VK-Põlevkivi'!$C:$X,2+$G32,0))+IF(BO$4="X",VLOOKUP(BO$10,'VK-Võrgud'!$C:$X,2+$F32,0)))/16</f>
        <v>496.33125000000001</v>
      </c>
      <c r="BP32" s="209"/>
      <c r="BQ32" s="209">
        <f>(IF(BQ$7="X",VLOOKUP(BQ$10,'VK-Hooned-Soojus'!$C:$X,2+$C32,FALSE),0)+IF(BQ$6="X",VLOOKUP(BQ$10,'VK-Transport'!$C:$X,2+$B32,0))+IF(BQ$8="X",VLOOKUP(BQ$10,'VK-Elekter'!$C:$X,2+$D32,0))+IF(BQ$9="X",VLOOKUP(BQ$10,'VK-Biokütused'!$C:$U,2+$E32,0))+IF(BQ$5="X",VLOOKUP(BQ$10,'VK-Põlevkivi'!$C:$X,2+$G32,0))+IF(BQ$4="X",VLOOKUP(BQ$10,'VK-Võrgud'!$C:$X,2+$F32,0)))/16</f>
        <v>4.7249999999999996</v>
      </c>
      <c r="BR32" s="209">
        <f>(IF(BR$7="X",VLOOKUP(BR$10,'VK-Hooned-Soojus'!$C:$X,2+$C32,FALSE),0)+IF(BR$6="X",VLOOKUP(BR$10,'VK-Transport'!$C:$X,2+$B32,0))+IF(BR$8="X",VLOOKUP(BR$10,'VK-Elekter'!$C:$X,2+$D32,0))+IF(BR$9="X",VLOOKUP(BR$10,'VK-Biokütused'!$C:$U,2+$E32,0))+IF(BR$5="X",VLOOKUP(BR$10,'VK-Põlevkivi'!$C:$X,2+$G32,0))+IF(BR$4="X",VLOOKUP(BR$10,'VK-Võrgud'!$C:$X,2+$F32,0)))/16</f>
        <v>-74.512500000000003</v>
      </c>
      <c r="BS32" s="209">
        <f>(IF(BS$7="X",VLOOKUP(BS$10,'VK-Hooned-Soojus'!$C:$X,2+$C32,FALSE),0)+IF(BS$6="X",VLOOKUP(BS$10,'VK-Transport'!$C:$X,2+$B32,0))+IF(BS$8="X",VLOOKUP(BS$10,'VK-Elekter'!$C:$X,2+$D32,0))+IF(BS$9="X",VLOOKUP(BS$10,'VK-Biokütused'!$C:$U,2+$E32,0))+IF(BS$5="X",VLOOKUP(BS$10,'VK-Põlevkivi'!$C:$X,2+$G32,0))+IF(BS$4="X",VLOOKUP(BS$10,'VK-Võrgud'!$C:$X,2+$F32,0)))/16</f>
        <v>-100.68125000000001</v>
      </c>
      <c r="BT32" s="209"/>
      <c r="BU32" s="209"/>
      <c r="BV32" s="209">
        <f>(IF(BV$7="X",VLOOKUP(BV$10,'VK-Hooned-Soojus'!$C:$X,2+$C32,FALSE),0)+IF(BV$6="X",VLOOKUP(BV$10,'VK-Transport'!$C:$X,2+$B32,0))+IF(BV$8="X",VLOOKUP(BV$10,'VK-Elekter'!$C:$X,2+$D32,0))+IF(BV$9="X",VLOOKUP(BV$10,'VK-Biokütused'!$C:$U,2+$E32,0))+IF(BV$5="X",VLOOKUP(BV$10,'VK-Põlevkivi'!$C:$X,2+$G32,0))+IF(BV$4="X",VLOOKUP(BV$10,'VK-Võrgud'!$C:$X,2+$F32,0)))/16</f>
        <v>0</v>
      </c>
      <c r="BW32" s="209"/>
      <c r="BX32" s="209">
        <f>(IF(BX$7="X",VLOOKUP(BX$10,'VK-Hooned-Soojus'!$C:$X,2+$C32,FALSE),0)+IF(BX$6="X",VLOOKUP(BX$10,'VK-Transport'!$C:$X,2+$B32,0))+IF(BX$8="X",VLOOKUP(BX$10,'VK-Elekter'!$C:$X,2+$D32,0))+IF(BX$9="X",VLOOKUP(BX$10,'VK-Biokütused'!$C:$U,2+$E32,0))+IF(BX$5="X",VLOOKUP(BX$10,'VK-Põlevkivi'!$C:$X,2+$G32,0))+IF(BX$4="X",VLOOKUP(BX$10,'VK-Võrgud'!$C:$X,2+$F32,0)))/16</f>
        <v>-99.4375</v>
      </c>
      <c r="BY32" s="209"/>
      <c r="BZ32" s="209"/>
      <c r="CA32" s="209" t="e">
        <f>(IF(CA$7="X",VLOOKUP(CA$10,'VK-Hooned-Soojus'!$C:$X,2+$C32,FALSE),0)+IF(CA$6="X",VLOOKUP(CA$10,'VK-Transport'!$C:$X,2+$B32,0))+IF(CA$8="X",VLOOKUP(CA$10,'VK-Elekter'!$C:$X,2+$D32,0))+IF(CA$9="X",VLOOKUP(CA$10,'VK-Biokütused'!$C:$U,2+$E32,0))+IF(CA$5="X",VLOOKUP(CA$10,'VK-Põlevkivi'!$C:$X,2+$G32,0))+IF(CA$4="X",VLOOKUP(CA$10,'VK-Võrgud'!$C:$X,2+$F32,0)))/16</f>
        <v>#N/A</v>
      </c>
      <c r="CB32" s="209">
        <f>(IF(CB$7="X",VLOOKUP(CB$10,'VK-Hooned-Soojus'!$C:$X,2+$C32,FALSE),0)+IF(CB$6="X",VLOOKUP(CB$10,'VK-Transport'!$C:$X,2+$B32,0))+IF(CB$8="X",VLOOKUP(CB$10,'VK-Elekter'!$C:$X,2+$D32,0))+IF(CB$9="X",VLOOKUP(CB$10,'VK-Biokütused'!$C:$U,2+$E32,0))+IF(CB$5="X",VLOOKUP(CB$10,'VK-Põlevkivi'!$C:$X,2+$G32,0))+IF(CB$4="X",VLOOKUP(CB$10,'VK-Võrgud'!$C:$X,2+$F32,0)))/16</f>
        <v>0</v>
      </c>
      <c r="CC32" s="209">
        <f>(IF(CC$7="X",VLOOKUP(CC$10,'VK-Hooned-Soojus'!$C:$X,2+$C32,FALSE),0)+IF(CC$6="X",VLOOKUP(CC$10,'VK-Transport'!$C:$X,2+$B32,0))+IF(CC$8="X",VLOOKUP(CC$10,'VK-Elekter'!$C:$X,2+$D32,0))+IF(CC$9="X",VLOOKUP(CC$10,'VK-Biokütused'!$C:$U,2+$E32,0))+IF(CC$5="X",VLOOKUP(CC$10,'VK-Põlevkivi'!$C:$X,2+$G32,0))+IF(CC$4="X",VLOOKUP(CC$10,'VK-Võrgud'!$C:$X,2+$F32,0)))/16</f>
        <v>0</v>
      </c>
      <c r="CD32" s="209"/>
      <c r="CE32" s="209">
        <f>(IF(CE$7="X",VLOOKUP(CE$10,'VK-Hooned-Soojus'!$C:$X,2+$C32,FALSE),0)+IF(CE$6="X",VLOOKUP(CE$10,'VK-Transport'!$C:$X,2+$B32,0))+IF(CE$8="X",VLOOKUP(CE$10,'VK-Elekter'!$C:$X,2+$D32,0))+IF(CE$9="X",VLOOKUP(CE$10,'VK-Biokütused'!$C:$U,2+$E32,0))+IF(CE$5="X",VLOOKUP(CE$10,'VK-Põlevkivi'!$C:$X,2+$G32,0))+IF(CE$4="X",VLOOKUP(CE$10,'VK-Võrgud'!$C:$X,2+$F32,0)))/16</f>
        <v>24.15625</v>
      </c>
      <c r="CF32" s="209"/>
      <c r="CG32" s="209">
        <f>(IF(CG$7="X",VLOOKUP(CG$10,'VK-Hooned-Soojus'!$C:$X,2+$C32,FALSE),0)+IF(CG$6="X",VLOOKUP(CG$10,'VK-Transport'!$C:$X,2+$B32,0))+IF(CG$8="X",VLOOKUP(CG$10,'VK-Elekter'!$C:$X,2+$D32,0))+IF(CG$9="X",VLOOKUP(CG$10,'VK-Biokütused'!$C:$U,2+$E32,0))+IF(CG$5="X",VLOOKUP(CG$10,'VK-Põlevkivi'!$C:$X,2+$G32,0))+IF(CG$4="X",VLOOKUP(CG$10,'VK-Võrgud'!$C:$X,2+$F32,0)))/16</f>
        <v>0</v>
      </c>
      <c r="CH32" s="209">
        <f>(IF(CH$7="X",VLOOKUP(CH$10,'VK-Hooned-Soojus'!$C:$X,2+$C32,FALSE),0)+IF(CH$6="X",VLOOKUP(CH$10,'VK-Transport'!$C:$X,2+$B32,0))+IF(CH$8="X",VLOOKUP(CH$10,'VK-Elekter'!$C:$X,2+$D32,0))+IF(CH$9="X",VLOOKUP(CH$10,'VK-Biokütused'!$C:$U,2+$E32,0))+IF(CH$5="X",VLOOKUP(CH$10,'VK-Põlevkivi'!$C:$X,2+$G32,0))+IF(CH$4="X",VLOOKUP(CH$10,'VK-Võrgud'!$C:$X,2+$F32,0)))/20*0.21</f>
        <v>11.225549999999998</v>
      </c>
      <c r="CI32" s="209"/>
      <c r="CJ32" s="209">
        <f>(IF(CJ$7="X",VLOOKUP(CJ$10,'VK-Hooned-Soojus'!$C:$X,2+$C32,FALSE),0)+IF(CJ$6="X",VLOOKUP(CJ$10,'VK-Transport'!$C:$X,2+$B32,0))+IF(CJ$8="X",VLOOKUP(CJ$10,'VK-Elekter'!$C:$X,2+$D32,0))+IF(CJ$9="X",VLOOKUP(CJ$10,'VK-Biokütused'!$C:$U,2+$E32,0))+IF(CJ$5="X",VLOOKUP(CJ$10,'VK-Põlevkivi'!$C:$X,2+$G32,0))+IF(CJ$4="X",VLOOKUP(CJ$10,'VK-Võrgud'!$C:$X,2+$F32,0)))/1000</f>
        <v>19.294861099430584</v>
      </c>
      <c r="CK32" s="209">
        <f>(IF(CK$7="X",VLOOKUP(CK$10,'VK-Hooned-Soojus'!$C:$X,2+$C32,FALSE),0)+IF(CK$6="X",VLOOKUP(CK$10,'VK-Transport'!$C:$X,2+$B32,0))+IF(CK$8="X",VLOOKUP(CK$10,'VK-Elekter'!$C:$X,2+$D32,0))+IF(CK$9="X",VLOOKUP(CK$10,'VK-Biokütused'!$C:$U,2+$E32,0))+IF(CK$5="X",VLOOKUP(CK$10,'VK-Põlevkivi'!$C:$X,2+$G32,0))+IF(CK$4="X",VLOOKUP(CK$10,'VK-Võrgud'!$C:$X,2+$F32,0)))/1000</f>
        <v>11.875124562278598</v>
      </c>
      <c r="CL32" s="235">
        <f>(IF(CL$7="X",VLOOKUP(CL$10,'VK-Hooned-Soojus'!$C:$X,2+$C32,FALSE),0)+IF(CL$6="X",VLOOKUP(CL$10,'VK-Transport'!$C:$X,2+$B32,0))+IF(CL$8="X",VLOOKUP(CL$10,'VK-Elekter'!$C:$X,2+$D32,0))+IF(CL$9="X",VLOOKUP(CL$10,'VK-Biokütused'!$C:$U,2+$E32,0)))/1000</f>
        <v>9.1478856510938069</v>
      </c>
      <c r="CM32" s="209">
        <f>(IF(CM$7="X",VLOOKUP(CM$10,'VK-Hooned-Soojus'!$C:$X,2+$C32,FALSE),0)+IF(CM$6="X",VLOOKUP(CM$10,'VK-Transport'!$C:$X,2+$B32,0))+IF(CM$8="X",VLOOKUP(CM$10,'VK-Elekter'!$C:$X,2+$D32,0))+IF(CM$9="X",VLOOKUP(CM$10,'VK-Biokütused'!$C:$U,2+$E32,0))+IF(CM$5="X",VLOOKUP(CM$10,'VK-Põlevkivi'!$C:$X,2+$G32,0))+IF(CM$4="X",VLOOKUP(CM$10,'VK-Võrgud'!$C:$X,2+$F32,0)))/1000</f>
        <v>7.8093156794471028</v>
      </c>
      <c r="CN32" s="209">
        <f>(IF(CN$7="X",VLOOKUP(CN$10,'VK-Hooned-Soojus'!$C:$X,2+$C32,FALSE),0)+IF(CN$6="X",VLOOKUP(CN$10,'VK-Transport'!$C:$X,2+$B32,0))+IF(CN$8="X",VLOOKUP(CN$10,'VK-Elekter'!$C:$X,2+$D32,0))+IF(CN$9="X",VLOOKUP(CN$10,'VK-Biokütused'!$C:$U,2+$E32,0))+IF(CN$5="X",VLOOKUP(CN$10,'VK-Põlevkivi'!$C:$X,2+$G32,0))+IF(CN$4="X",VLOOKUP(CN$10,'VK-Võrgud'!$C:$X,2+$F32,0)))/1000</f>
        <v>2.851</v>
      </c>
      <c r="CO32" s="209">
        <f>(IF(CO$7="X",VLOOKUP(CO$10,'VK-Hooned-Soojus'!$C:$X,2+$C32,FALSE),0)+IF(CO$6="X",VLOOKUP(CO$10,'VK-Transport'!$C:$X,2+$B32,0))+IF(CO$8="X",VLOOKUP(CO$10,'VK-Elekter'!$C:$X,2+$D32,0))+IF(CO$9="X",VLOOKUP(CO$10,'VK-Biokütused'!$C:$U,2+$E32,0))+IF(CO$5="X",VLOOKUP(CO$10,'VK-Põlevkivi'!$C:$X,2+$G32,0))+IF(CO$4="X",VLOOKUP(CO$10,'VK-Võrgud'!$C:$X,2+$F32,0)))/1000</f>
        <v>25.299649773285456</v>
      </c>
      <c r="CP32" s="209">
        <f>(IF(CP$7="X",VLOOKUP(CP$10,'VK-Hooned-Soojus'!$C:$X,2+$C32,FALSE),0)+IF(CP$6="X",VLOOKUP(CP$10,'VK-Transport'!$C:$X,2+$B32,0))+IF(CP$8="X",VLOOKUP(CP$10,'VK-Elekter'!$C:$X,2+$D32,0))+IF(CP$9="X",VLOOKUP(CP$10,'VK-Biokütused'!$C:$U,2+$E32,0))+IF(CP$5="X",VLOOKUP(CP$10,'VK-Põlevkivi'!$C:$X,2+$G32,0))+IF(CP$4="X",VLOOKUP(CP$10,'VK-Võrgud'!$C:$X,2+$F32,0)))/1000</f>
        <v>13.443948584295613</v>
      </c>
      <c r="CQ32" s="235">
        <f>(IF(CQ$7="X",VLOOKUP(CQ$10,'VK-Hooned-Soojus'!$C:$X,2+$C32,FALSE),0)+IF(CQ$6="X",VLOOKUP(CQ$10,'VK-Transport'!$C:$X,2+$B32,0))+IF(CQ$8="X",VLOOKUP(CQ$10,'VK-Elekter'!$C:$X,2+$D32,0))+IF(CQ$9="X",VLOOKUP(CQ$10,'VK-Biokütused'!$C:$U,2+$E32,0)))/1000</f>
        <v>10.994907</v>
      </c>
      <c r="CR32" s="209">
        <f>(IF(CR$7="X",VLOOKUP(CR$10,'VK-Hooned-Soojus'!$C:$X,2+$C32,FALSE),0)+IF(CR$6="X",VLOOKUP(CR$10,'VK-Transport'!$C:$X,2+$B32,0))+IF(CR$8="X",VLOOKUP(CR$10,'VK-Elekter'!$C:$X,2+$D32,0))+IF(CR$9="X",VLOOKUP(CR$10,'VK-Biokütused'!$C:$U,2+$E32,0))+IF(CR$5="X",VLOOKUP(CR$10,'VK-Põlevkivi'!$C:$X,2+$G32,0))+IF(CR$4="X",VLOOKUP(CR$10,'VK-Võrgud'!$C:$X,2+$F32,0)))/1000</f>
        <v>7.9057533562748041</v>
      </c>
      <c r="CS32" s="209">
        <f>(IF(CS$7="X",VLOOKUP(CS$10,'VK-Hooned-Soojus'!$C:$X,2+$C32,FALSE),0)+IF(CS$6="X",VLOOKUP(CS$10,'VK-Transport'!$C:$X,2+$B32,0))+IF(CS$8="X",VLOOKUP(CS$10,'VK-Elekter'!$C:$X,2+$D32,0))+IF(CS$9="X",VLOOKUP(CS$10,'VK-Biokütused'!$C:$U,2+$E32,0))+IF(CS$5="X",VLOOKUP(CS$10,'VK-Põlevkivi'!$C:$X,2+$G32,0))+IF(CS$4="X",VLOOKUP(CS$10,'VK-Võrgud'!$C:$X,2+$F32,0)))/1000</f>
        <v>3.966152405121615</v>
      </c>
      <c r="CT32" s="209">
        <f>IF(CT$7="X",VLOOKUP(CT$10,'VK-Hooned-Soojus'!$C:$X,2+$C32,FALSE),0)+IF(CT$6="X",VLOOKUP(CT$10,'VK-Transport'!$C:$X,2+$B32,0))+IF(CT$8="X",VLOOKUP(CT$10,'VK-Elekter'!$C:$X,2+$D32,0))+IF(CT$9="X",VLOOKUP(CT$10,'VK-Biokütused'!$C:$U,2+$E32,0))+IF(CT$5="X",VLOOKUP(CT$10,'VK-Põlevkivi'!$C:$X,2+$G32,0))+IF(CT$4="X",VLOOKUP(CT$10,'VK-Võrgud'!$C:$X,2+$F32,0))</f>
        <v>90</v>
      </c>
      <c r="CU32" s="209">
        <f>IF(CU$7="X",VLOOKUP(CU$10,'VK-Hooned-Soojus'!$C:$X,2+$C32,FALSE),0)+IF(CU$6="X",VLOOKUP(CU$10,'VK-Transport'!$C:$X,2+$B32,0))+IF(CU$8="X",VLOOKUP(CU$10,'VK-Elekter'!$C:$X,2+$D32,0))+IF(CU$9="X",VLOOKUP(CU$10,'VK-Biokütused'!$C:$U,2+$E32,0))+IF(CU$5="X",VLOOKUP(CU$10,'VK-Põlevkivi'!$C:$X,2+$G32,0))+IF(CU$4="X",VLOOKUP(CU$10,'VK-Võrgud'!$C:$X,2+$F32,0))</f>
        <v>0.9337349397590361</v>
      </c>
      <c r="CV32" s="209">
        <f t="shared" si="1"/>
        <v>1</v>
      </c>
      <c r="CW32" s="209">
        <f>(IF(CW$7="X",VLOOKUP(CW$10,'VK-Hooned-Soojus'!$C:$X,2+$C32,FALSE),0)+IF(CW$6="X",VLOOKUP(CW$10,'VK-Transport'!$C:$X,2+$B32,0))+IF(CW$8="X",VLOOKUP(CW$10,'VK-Elekter'!$C:$X,2+$D32,0))+IF(CW$9="X",VLOOKUP(CW$10,'VK-Biokütused'!$C:$U,2+$E32,0))+IF(CW$5="X",VLOOKUP(CW$10,'VK-Põlevkivi'!$C:$X,2+$G32,0))+IF(CW$4="X",VLOOKUP(CW$10,'VK-Võrgud'!$C:$X,2+$F32,0)))/16</f>
        <v>0</v>
      </c>
      <c r="CY32" s="209">
        <f>(IF(CY$7="X",VLOOKUP(CY$10,'VK-Hooned-Soojus'!$C:$X,2+$C32,FALSE),0)+IF(CY$6="X",VLOOKUP(CY$10,'VK-Transport'!$C:$X,2+$B32,0))+IF(CY$8="X",VLOOKUP(CY$10,'VK-Elekter'!$C:$X,2+$D32,0))+IF(CY$9="X",VLOOKUP(CY$10,'VK-Biokütused'!$C:$U,2+$E32,0))+IF(CY$5="X",VLOOKUP(CY$10,'VK-Põlevkivi'!$C:$X,2+$G32,0))+IF(CY$4="X",VLOOKUP(CY$10,'VK-Võrgud'!$C:$X,2+$F32,0)))/1000</f>
        <v>10.933999999999999</v>
      </c>
      <c r="CZ32" s="209">
        <f>(IF(CZ$7="X",VLOOKUP(CZ$10,'VK-Hooned-Soojus'!$C:$X,2+$C32,FALSE),0)+IF(CZ$6="X",VLOOKUP(CZ$10,'VK-Transport'!$C:$X,2+$B32,0))+IF(CZ$8="X",VLOOKUP(CZ$10,'VK-Elekter'!$C:$X,2+$D32,0))+IF(CZ$9="X",VLOOKUP(CZ$10,'VK-Biokütused'!$C:$U,2+$E32,0))+IF(CZ$5="X",VLOOKUP(CZ$10,'VK-Põlevkivi'!$C:$X,2+$G32,0))+IF(CZ$4="X",VLOOKUP(CZ$10,'VK-Võrgud'!$C:$X,2+$F32,0)))</f>
        <v>75</v>
      </c>
      <c r="DA32" s="209">
        <f>(IF(DA$7="X",VLOOKUP(DA$10,'VK-Hooned-Soojus'!$C:$X,2+$C32,FALSE),0)+IF(DA$6="X",VLOOKUP(DA$10,'VK-Transport'!$C:$X,2+$B32,0))+IF(DA$8="X",VLOOKUP(DA$10,'VK-Elekter'!$C:$X,2+$D32,0))+IF(DA$9="X",VLOOKUP(DA$10,'VK-Biokütused'!$C:$U,2+$E32,0))+IF(DA$5="X",VLOOKUP(DA$10,'VK-Põlevkivi'!$C:$X,2+$G32,0))+IF(DA$4="X",VLOOKUP(DA$10,'VK-Võrgud'!$C:$X,2+$F32,0)))/1000</f>
        <v>14.539</v>
      </c>
      <c r="DB32" s="209">
        <f>(IF(DB$7="X",VLOOKUP(DB$10,'VK-Hooned-Soojus'!$C:$X,2+$C32,FALSE),0)+IF(DB$6="X",VLOOKUP(DB$10,'VK-Transport'!$C:$X,2+$B32,0))+IF(DB$8="X",VLOOKUP(DB$10,'VK-Elekter'!$C:$X,2+$D32,0))+IF(DB$9="X",VLOOKUP(DB$10,'VK-Biokütused'!$C:$U,2+$E32,0))+IF(DB$5="X",VLOOKUP(DB$10,'VK-Põlevkivi'!$C:$X,2+$G32,0))+IF(DB$4="X",VLOOKUP(DB$10,'VK-Võrgud'!$C:$X,2+$F32,0)))/1000/3.6</f>
        <v>65.060277777777785</v>
      </c>
      <c r="DC32" s="209">
        <f>(IF(DC$7="X",VLOOKUP(DC$10,'VK-Hooned-Soojus'!$C:$X,2+$C32,FALSE),0)+IF(DC$6="X",VLOOKUP(DC$10,'VK-Transport'!$C:$X,2+$B32,0))+IF(DC$8="X",VLOOKUP(DC$10,'VK-Elekter'!$C:$X,2+$D32,0))+IF(DC$9="X",VLOOKUP(DC$10,'VK-Biokütused'!$C:$U,2+$E32,0))+IF(DC$5="X",VLOOKUP(DC$10,'VK-Põlevkivi'!$C:$X,2+$G32,0))+IF(DC$4="X",VLOOKUP(DC$10,'VK-Võrgud'!$C:$X,2+$F32,0)))/1000000</f>
        <v>5.2315810000000003</v>
      </c>
      <c r="DD32" s="209"/>
      <c r="DE32" s="88">
        <f>VLOOKUP(Tulemused!$BN$12,data!M$7:N$12,2,FALSE)-SUM(L32,M32)</f>
        <v>-2.6566444444444528</v>
      </c>
      <c r="DF32" s="209" t="str">
        <f>IF(AZ32&lt;=VLOOKUP(Tulemused!$BN$15,data!$E$36:$F$39,2,FALSE),"JAH","EI")</f>
        <v>JAH</v>
      </c>
      <c r="DG32" s="209"/>
      <c r="DH32" s="209">
        <f t="shared" si="2"/>
        <v>6.28</v>
      </c>
      <c r="DI32" s="231" t="str">
        <f t="shared" si="17"/>
        <v>EI</v>
      </c>
      <c r="DK32" s="232">
        <f t="shared" si="3"/>
        <v>-998.35676098133979</v>
      </c>
      <c r="DM32" s="233">
        <f t="shared" si="4"/>
        <v>-990.55976001382624</v>
      </c>
      <c r="DN32" s="87">
        <f t="array" ref="DN32">INDEX($A$11:$A$145, SMALL(IF(DM32=$DK$11:$DK$145, MATCH(ROW($DK$11:$DK$145), ROW($DK$11:$DK$145))), SUM(--(DM32=$DM$11:DM32))))</f>
        <v>72</v>
      </c>
      <c r="DP32" s="87" t="e">
        <f t="shared" ca="1" si="18"/>
        <v>#N/A</v>
      </c>
      <c r="DQ32" s="87" t="e">
        <f t="shared" ca="1" si="19"/>
        <v>#N/A</v>
      </c>
      <c r="DR32" s="87">
        <f t="shared" ca="1" si="20"/>
        <v>0</v>
      </c>
      <c r="DS32" s="87" t="e">
        <f t="shared" ca="1" si="21"/>
        <v>#N/A</v>
      </c>
      <c r="DT32" s="87">
        <f t="shared" ca="1" si="22"/>
        <v>0</v>
      </c>
      <c r="DU32" s="87" t="e">
        <f t="shared" ca="1" si="23"/>
        <v>#N/A</v>
      </c>
      <c r="DV32" s="87" t="e">
        <f t="shared" ca="1" si="24"/>
        <v>#N/A</v>
      </c>
      <c r="DW32" s="87">
        <f t="shared" ca="1" si="25"/>
        <v>0</v>
      </c>
      <c r="DX32" s="87">
        <f t="shared" ca="1" si="26"/>
        <v>0</v>
      </c>
      <c r="DZ32" s="87">
        <f t="shared" ca="1" si="35"/>
        <v>0</v>
      </c>
      <c r="EB32" s="87">
        <f t="shared" ca="1" si="27"/>
        <v>0</v>
      </c>
      <c r="EC32" s="87" t="e">
        <f t="shared" ca="1" si="28"/>
        <v>#N/A</v>
      </c>
      <c r="EE32" s="228">
        <f>(IF(EE$7="X",VLOOKUP(EE$10,'VK-Hooned-Soojus'!$C:$X,2+$C32,FALSE),0)+IF(EE$6="X",VLOOKUP(EE$10,'VK-Transport'!$C:$X,2+$B32,0))+IF(EE$8="X",VLOOKUP(EE$10,'VK-Elekter'!$C:$X,2+$D32,0))+IF(EE$9="X",VLOOKUP(EE$10,'VK-Biokütused'!$C:$U,2+$E32,0))+IF(EE$5="X",VLOOKUP(EE$10,'VK-Põlevkivi'!$C:$X,2+$G32,0))+IF(EE$4="X",VLOOKUP(EE$10,'VK-Võrgud'!$C:$X,2+$F32,0)))</f>
        <v>5833.6687322404014</v>
      </c>
      <c r="EF32" s="235">
        <f>(IF(EF$7="X",VLOOKUP(EF$10,'VK-Hooned-Soojus'!$C:$X,2+$C32,FALSE),0)+IF(EF$6="X",VLOOKUP(EF$10,'VK-Transport'!$C:$X,2+$B32,0))+IF(EF$8="X",VLOOKUP(EF$10,'VK-Elekter'!$C:$X,2+$D32,0))+IF(EF$9="X",VLOOKUP(EF$10,'VK-Biokütused'!$C:$U,2+$E32,0)))/1000</f>
        <v>4.9646368215830607</v>
      </c>
      <c r="EG32" s="209">
        <f>(IF(EG$7="X",VLOOKUP(EG$10,'VK-Hooned-Soojus'!$C:$X,2+$C32,FALSE),0)+IF(EG$6="X",VLOOKUP(EG$10,'VK-Transport'!$C:$X,2+$B32,0))+IF(EG$8="X",VLOOKUP(EG$10,'VK-Elekter'!$C:$X,2+$D32,0))+IF(EG$9="X",VLOOKUP(EG$10,'VK-Biokütused'!$C:$U,2+$E32,0))+IF(EG$5="X",VLOOKUP(EG$10,'VK-Põlevkivi'!$C:$X,2+$G32,0))+IF(EG$4="X",VLOOKUP(EG$10,'VK-Võrgud'!$C:$X,2+$F32,0)))</f>
        <v>2.95</v>
      </c>
      <c r="EH32" s="209">
        <f>(IF(EH$7="X",VLOOKUP(EH$10,'VK-Hooned-Soojus'!$C:$X,2+$C32,FALSE),0)+IF(EH$6="X",VLOOKUP(EH$10,'VK-Transport'!$C:$X,2+$B32,0))+IF(EH$8="X",VLOOKUP(EH$10,'VK-Elekter'!$C:$X,2+$D32,0))+IF(EH$9="X",VLOOKUP(EH$10,'VK-Biokütused'!$C:$U,2+$E32,0)))+AR32+AS32+AU32+AX32</f>
        <v>55.618288113695087</v>
      </c>
      <c r="EI32" s="320">
        <f t="shared" si="6"/>
        <v>50.434567183462526</v>
      </c>
      <c r="EJ32" s="322">
        <f t="shared" si="7"/>
        <v>7.7456622103581826E-2</v>
      </c>
      <c r="EK32" s="323">
        <f t="shared" si="29"/>
        <v>0.41245097655919771</v>
      </c>
      <c r="EM32" s="209"/>
      <c r="EN32" s="209">
        <f t="shared" ca="1" si="8"/>
        <v>0</v>
      </c>
      <c r="EO32" s="209"/>
      <c r="EP32" s="234"/>
      <c r="EQ32" s="209">
        <f>(IF(EQ$7="X",VLOOKUP(EQ$10,'VK-Hooned-Soojus'!$C:$X,2+$C32,FALSE),0)+IF(EQ$6="X",VLOOKUP(EQ$10,'VK-Transport'!$C:$X,2+$B32,0))+IF(EQ$8="X",VLOOKUP(EQ$10,'VK-Elekter'!$C:$X,2+$D32,0))+IF(EQ$9="X",VLOOKUP(EQ$10,'VK-Biokütused'!$C:$U,2+$E32,0))+IF(EQ$5="X",VLOOKUP(EQ$10,'VK-Põlevkivi'!$C:$X,2+$G32,0))+IF(EQ$4="X",VLOOKUP(EQ$10,'VK-Võrgud'!$C:$X,2+$F32,0)))/1000</f>
        <v>0.21099999999999999</v>
      </c>
      <c r="ER32" s="209">
        <f>(IF(ER$7="X",VLOOKUP(ER$10,'VK-Hooned-Soojus'!$C:$X,2+$C32,FALSE),0)+IF(ER$6="X",VLOOKUP(ER$10,'VK-Transport'!$C:$X,2+$B32,0))+IF(ER$8="X",VLOOKUP(ER$10,'VK-Elekter'!$C:$X,2+$D32,0))+IF(ER$9="X",VLOOKUP(ER$10,'VK-Biokütused'!$C:$U,2+$E32,0))+IF(ER$5="X",VLOOKUP(ER$10,'VK-Põlevkivi'!$C:$X,2+$G32,0))+IF(ER$4="X",VLOOKUP(ER$10,'VK-Võrgud'!$C:$X,2+$F32,0)))</f>
        <v>0.76300000000000001</v>
      </c>
      <c r="ES32" s="209">
        <f>(IF(ES$7="X",VLOOKUP(ES$10,'VK-Hooned-Soojus'!$C:$X,2+$C32,FALSE),0)+IF(ES$6="X",VLOOKUP(ES$10,'VK-Transport'!$C:$X,2+$B32,0))+IF(ES$8="X",VLOOKUP(ES$10,'VK-Elekter'!$C:$X,2+$D32,0))+IF(ES$9="X",VLOOKUP(ES$10,'VK-Biokütused'!$C:$U,2+$E32,0))+IF(ES$5="X",VLOOKUP(ES$10,'VK-Põlevkivi'!$C:$X,2+$G32,0))+IF(ES$4="X",VLOOKUP(ES$10,'VK-Võrgud'!$C:$X,2+$F32,0)))</f>
        <v>6.28</v>
      </c>
      <c r="ET32" s="209"/>
      <c r="EU32" s="209"/>
      <c r="EV32" s="87">
        <f>'KSH järjestus'!AS25</f>
        <v>1832</v>
      </c>
      <c r="EX32" s="236"/>
      <c r="EY32" s="236"/>
      <c r="EZ32" s="237">
        <f t="shared" si="9"/>
        <v>6.6265060240963902E-2</v>
      </c>
      <c r="FA32" s="209">
        <f>IF(FA$7="X",VLOOKUP(FA$10,'VK-Hooned-Soojus'!$C:$X,2+$C32,FALSE),0)+IF(FA$6="X",VLOOKUP(FA$10,'VK-Transport'!$C:$X,2+$B32,0))+IF(FA$8="X",VLOOKUP(FA$10,'VK-Elekter'!$C:$X,2+$D32,0))+IF(FA$9="X",VLOOKUP(FA$10,'VK-Biokütused'!$C:$U,2+$E32,0))+IF(FA$5="X",VLOOKUP(FA$10,'VK-Põlevkivi'!$C:$X,2+$G32,0))+IF(FA$4="X",VLOOKUP(FA$10,'VK-Võrgud'!$C:$X,2+$F32,0))</f>
        <v>3369.9070000000002</v>
      </c>
      <c r="FB32" s="279">
        <f>(IF(FB$7="X",VLOOKUP(FB$10,'VK-Hooned-Soojus'!$C:$X,2+$C32,FALSE),0)+IF(FB$6="X",VLOOKUP(FB$10,'VK-Transport'!$C:$X,2+$B32,0))+IF(FB$8="X",VLOOKUP(FB$10,'VK-Elekter'!$C:$X,2+$D32,0))+IF(FB$9="X",VLOOKUP(FB$10,'VK-Biokütused'!$C:$U,2+$E32,0))+IF(FB$5="X",VLOOKUP(FB$10,'VK-Põlevkivi'!$C:$X,2+$G32,0))+IF(FB$4="X",VLOOKUP(FB$10,'VK-Võrgud'!$C:$X,2+$F32,0)))/16</f>
        <v>188.74371564980851</v>
      </c>
      <c r="FC32" s="209">
        <f>IF(FC$7="X",VLOOKUP(FC$10,'VK-Hooned-Soojus'!$C:$X,2+$C32,FALSE),0)+IF(FC$6="X",VLOOKUP(FC$10,'VK-Transport'!$C:$X,2+$B32,0))+IF(FC$8="X",VLOOKUP(FC$10,'VK-Elekter'!$C:$X,2+$D32,0))+IF(FC$9="X",VLOOKUP(FC$10,'VK-Biokütused'!$C:$U,2+$E32,0))+IF(FC$5="X",VLOOKUP(FC$10,'VK-Põlevkivi'!$C:$X,2+$G32,0))+IF(FC$4="X",VLOOKUP(FC$10,'VK-Võrgud'!$C:$X,2+$F32,0))</f>
        <v>318.5</v>
      </c>
      <c r="FD32" s="209">
        <f>(IF(FD$7="X",VLOOKUP(FD$10,'VK-Hooned-Soojus'!$C:$X,2+$C32,FALSE),0)+IF(FD$6="X",VLOOKUP(FD$10,'VK-Transport'!$C:$X,2+$B32,0))+IF(FD$8="X",VLOOKUP(FD$10,'VK-Elekter'!$C:$X,2+$D32,0))+IF(FD$9="X",VLOOKUP(FD$10,'VK-Biokütused'!$C:$U,2+$E32,0))+IF(FD$5="X",VLOOKUP(FD$10,'VK-Põlevkivi'!$C:$X,2+$G32,0))+IF(FD$4="X",VLOOKUP(FD$10,'VK-Võrgud'!$C:$X,2+$F32,0)))/16</f>
        <v>188.74371564980851</v>
      </c>
      <c r="FE32" s="209">
        <f>(IF(FE$7="X",VLOOKUP(FE$10,'VK-Hooned-Soojus'!$C:$X,2+$C32,FALSE),0)+IF(FE$6="X",VLOOKUP(FE$10,'VK-Transport'!$C:$X,2+$B32,0))+IF(FE$8="X",VLOOKUP(FE$10,'VK-Elekter'!$C:$X,2+$D32,0))+IF(FE$9="X",VLOOKUP(FE$10,'VK-Biokütused'!$C:$U,2+$E32,0))+IF(FE$5="X",VLOOKUP(FE$10,'VK-Põlevkivi'!$C:$X,2+$G32,0))+IF(FE$4="X",VLOOKUP(FE$10,'VK-Võrgud'!$C:$X,2+$F32,0)))/16</f>
        <v>-36.76</v>
      </c>
      <c r="FF32" s="209">
        <f>(IF(FF$7="X",VLOOKUP(FF$10,'VK-Hooned-Soojus'!$C:$X,2+$C32,FALSE),0)+IF(FF$6="X",VLOOKUP(FF$10,'VK-Transport'!$C:$X,2+$B32,0))+IF(FF$8="X",VLOOKUP(FF$10,'VK-Elekter'!$C:$X,2+$D32,0))+IF(FF$9="X",VLOOKUP(FF$10,'VK-Biokütused'!$C:$U,2+$E32,0))+IF(FF$5="X",VLOOKUP(FF$10,'VK-Põlevkivi'!$C:$X,2+$G32,0))+IF(FF$4="X",VLOOKUP(FF$10,'VK-Võrgud'!$C:$X,2+$F32,0)))/16</f>
        <v>64.993137994723895</v>
      </c>
      <c r="FG32" s="88">
        <f t="shared" ca="1" si="30"/>
        <v>28.233137994723897</v>
      </c>
      <c r="FH32" s="88"/>
      <c r="FI32" s="88"/>
      <c r="FJ32" s="88">
        <f>VLOOKUP(Tulemused!$BN$12,data!M$7:N$12,2,FALSE)-SUM(L32,M32)</f>
        <v>-2.6566444444444528</v>
      </c>
      <c r="FK32" s="209" t="str">
        <f>IF(AZ32&lt;=VLOOKUP(Tulemused!$BN$15,data!$E$36:$F$39,2,FALSE),"JAH","EI")</f>
        <v>JAH</v>
      </c>
      <c r="FL32" s="235">
        <f ca="1">IF(ISNA(MATCH($A32,INDIRECT(VLOOKUP(Tulemused!$BF$11,data!$J$57:$M$71,4,FALSE)))),0,MATCH($A32,INDIRECT(VLOOKUP(Tulemused!$BF$11,data!$J$57:$M$71,4,FALSE))))</f>
        <v>0</v>
      </c>
      <c r="FM32" s="235" t="str">
        <f t="shared" ca="1" si="10"/>
        <v>JAH</v>
      </c>
      <c r="FN32" s="209">
        <f>VLOOKUP(Tulemused!$BN$13,data!$C$132:$D$137,2,FALSE)-KOMBI!R32</f>
        <v>3.0893331784169402</v>
      </c>
      <c r="FO32" s="209"/>
      <c r="FP32" s="209">
        <f>VLOOKUP(Tulemused!$BN$17,NO_x,2,FALSE)-CJ32</f>
        <v>10.143138900569415</v>
      </c>
      <c r="FQ32" s="209">
        <f>VLOOKUP(Tulemused!$BN$18,SO_2,2,FALSE)-CK32</f>
        <v>40.0088754377214</v>
      </c>
      <c r="FR32" s="209">
        <f>VLOOKUP(Tulemused!$BN$19,LOU,2,FALSE)-CN32</f>
        <v>34.229000000000006</v>
      </c>
      <c r="FS32" s="209">
        <f>VLOOKUP(Tulemused!$BN$20,PM_2.5,2,FALSE)-CM32</f>
        <v>9.1056843205528963</v>
      </c>
      <c r="FT32" s="209">
        <f>VLOOKUP(Tulemused!$BN$13,data!$C$132:$D$137,2,FALSE)-FA32/1000</f>
        <v>2.8760630000000007</v>
      </c>
      <c r="FU32" s="209">
        <f>VLOOKUP(Tulemused!$BN$17,NO_x,2,FALSE)-CO32</f>
        <v>4.1383502267145431</v>
      </c>
      <c r="FV32" s="209">
        <f>VLOOKUP(Tulemused!$BN$18,SO_2,2,FALSE)-CP32</f>
        <v>38.440051415704389</v>
      </c>
      <c r="FW32" s="209">
        <f>VLOOKUP(Tulemused!$BN$19,LOU,2,FALSE)-CS32</f>
        <v>33.113847594878393</v>
      </c>
      <c r="FX32" s="209">
        <f>VLOOKUP(Tulemused!$BN$20,PM_2.5,2,FALSE)-CR32</f>
        <v>9.009246643725195</v>
      </c>
      <c r="FY32" s="209">
        <f>VLOOKUP(Tulemused!$BN$14,KHG_2050,2,FALSE)-EF32</f>
        <v>95.035363178416944</v>
      </c>
      <c r="FZ32" s="231" t="str">
        <f t="shared" ca="1" si="31"/>
        <v>EI</v>
      </c>
      <c r="GA32" s="209"/>
      <c r="GB32" s="209"/>
      <c r="GC32" s="209"/>
      <c r="GD32" s="231"/>
      <c r="GE32" s="87">
        <f t="shared" si="11"/>
        <v>1832</v>
      </c>
      <c r="GF32" s="232" t="str">
        <f t="shared" ca="1" si="32"/>
        <v/>
      </c>
      <c r="GH32" s="238" t="e">
        <f t="shared" ca="1" si="12"/>
        <v>#NUM!</v>
      </c>
      <c r="GI32" s="87" t="e">
        <f t="array" aca="1" ref="GI32" ca="1">INDEX($A$11:$A$145, SMALL(IF(GH32=$GF$11:$GF$145, MATCH(ROW($GF$11:$GF$145), ROW($GF$11:$GF$145))), SUM(--(GH32=$GH$11:GH32))))</f>
        <v>#NUM!</v>
      </c>
      <c r="GM32" s="209">
        <f>IF(GM$7="X",VLOOKUP(GM$10,'VK-Hooned-Soojus'!$C:$X,2+$C32,FALSE),0)+IF(GM$6="X",VLOOKUP(GM$10,'VK-Transport'!$C:$X,2+$B32,0))+IF(GM$8="X",VLOOKUP(GM$10,'VK-Elekter'!$C:$X,2+$D32,0))+IF(GM$9="X",VLOOKUP(GM$10,'VK-Biokütused'!$C:$U,2+$E32,0))+IF(GM$5="X",VLOOKUP(GM$10,'VK-Põlevkivi'!$C:$X,2+$G32,0))+IF(GM$4="X",VLOOKUP(GM$10,'VK-Võrgud'!$C:$X,2+$F32,0))</f>
        <v>6.011750640646909</v>
      </c>
      <c r="GN32" s="209">
        <f>IF(GN$7="X",VLOOKUP(GN$10,'VK-Hooned-Soojus'!$C:$X,2+$C32,FALSE),0)+IF(GN$6="X",VLOOKUP(GN$10,'VK-Transport'!$C:$X,2+$B32,0))+IF(GN$8="X",VLOOKUP(GN$10,'VK-Elekter'!$C:$X,2+$D32,0))+IF(GN$9="X",VLOOKUP(GN$10,'VK-Biokütused'!$C:$U,2+$E32,0))+IF(GN$5="X",VLOOKUP(GN$10,'VK-Põlevkivi'!$C:$X,2+$G32,0))+IF(GN$4="X",VLOOKUP(GN$10,'VK-Võrgud'!$C:$X,2+$F32,0))</f>
        <v>3.4528686473995491</v>
      </c>
      <c r="GO32" s="209">
        <f>IF(GO$7="X",VLOOKUP(GO$10,'VK-Hooned-Soojus'!$C:$X,2+$C32,FALSE),0)+IF(GO$6="X",VLOOKUP(GO$10,'VK-Transport'!$C:$X,2+$B32,0))+IF(GO$8="X",VLOOKUP(GO$10,'VK-Elekter'!$C:$X,2+$D32,0))+IF(GO$9="X",VLOOKUP(GO$10,'VK-Biokütused'!$C:$U,2+$E32,0))+IF(GO$5="X",VLOOKUP(GO$10,'VK-Põlevkivi'!$C:$X,2+$G32,0))+IF(GO$4="X",VLOOKUP(GO$10,'VK-Võrgud'!$C:$X,2+$F32,0))</f>
        <v>7.936370010272257</v>
      </c>
      <c r="GP32" s="209">
        <f>IF(GP$7="X",VLOOKUP(GP$10,'VK-Hooned-Soojus'!$C:$X,2+$C32,FALSE),0)+IF(GP$6="X",VLOOKUP(GP$10,'VK-Transport'!$C:$X,2+$B32,0))+IF(GP$8="X",VLOOKUP(GP$10,'VK-Elekter'!$C:$X,2+$D32,0))+IF(GP$9="X",VLOOKUP(GP$10,'VK-Biokütused'!$C:$U,2+$E32,0))+IF(GP$5="X",VLOOKUP(GP$10,'VK-Põlevkivi'!$C:$X,2+$G32,0))+IF(GP$4="X",VLOOKUP(GP$10,'VK-Võrgud'!$C:$X,2+$F32,0))</f>
        <v>9.1527946929596489</v>
      </c>
      <c r="GQ32" s="88">
        <f>IF(GQ$7="X",VLOOKUP(GQ$10,'VK-Hooned-Soojus'!$C:$X,2+$C32,FALSE),0)+IF(GQ$6="X",VLOOKUP(GQ$10,'VK-Transport'!$C:$X,2+$B32,0))+IF(GQ$8="X",VLOOKUP(GQ$10,'VK-Elekter'!$C:$X,2+$D32,0))+IF(GQ$9="X",VLOOKUP(GQ$10,'VK-Biokütused'!$C:$U,2+$E32,0))+IF(GQ$5="X",VLOOKUP(GQ$10,'VK-Põlevkivi'!$C:$X,2+$G32,0))+IF(GQ$4="X",VLOOKUP(GQ$10,'VK-Võrgud'!$C:$X,2+$F32,0))</f>
        <v>0.9682855968523334</v>
      </c>
      <c r="GR32" s="186">
        <f t="shared" si="33"/>
        <v>0.38247848479173396</v>
      </c>
    </row>
    <row r="33" spans="1:200" x14ac:dyDescent="0.2">
      <c r="A33" s="184">
        <v>23</v>
      </c>
      <c r="B33" s="87">
        <v>1</v>
      </c>
      <c r="C33" s="87">
        <v>2</v>
      </c>
      <c r="D33" s="87">
        <v>3</v>
      </c>
      <c r="E33" s="87">
        <v>2</v>
      </c>
      <c r="F33" s="87">
        <f>VLOOKUP(Tulemused!$BF$7,data!$J$6:$K$8,2,FALSE)</f>
        <v>2</v>
      </c>
      <c r="G33" s="87">
        <f>VLOOKUP(data!$H$2,data!$J$12:$K$14,2,FALSE)</f>
        <v>2</v>
      </c>
      <c r="I33" s="209">
        <f>IF(I$7="X",VLOOKUP(I$10,'VK-Hooned-Soojus'!$C:$X,2+$C33,FALSE),0)+IF(I$6="X",VLOOKUP(I$10,'VK-Transport'!$C:$X,2+$B33,0))+IF(I$8="X",VLOOKUP(I$10,'VK-Elekter'!$C:$X,2+$D33,0))+IF(I$9="X",VLOOKUP(I$10,'VK-Biokütused'!$C:$U,2+$E33,0))+IF(I$5="X",VLOOKUP(I$10,'VK-Põlevkivi'!$C:$X,2+$G33,0))+IF(I$4="X",VLOOKUP(I$10,'VK-Võrgud'!$C:$X,2+$F33,0))</f>
        <v>24.79</v>
      </c>
      <c r="J33" s="209">
        <f>IF(J$7="X",VLOOKUP(J$10,'VK-Hooned-Soojus'!$C:$X,2+$C33,FALSE),0)+IF(J$6="X",VLOOKUP(J$10,'VK-Transport'!$C:$X,2+$B33,0))+IF(J$8="X",VLOOKUP(J$10,'VK-Elekter'!$C:$X,2+$D33,0))+IF(J$9="X",VLOOKUP(J$10,'VK-Biokütused'!$C:$U,2+$E33,0))+IF(J$5="X",VLOOKUP(J$10,'VK-Põlevkivi'!$C:$X,2+$G33,0))+IF(J$4="X",VLOOKUP(J$10,'VK-Võrgud'!$C:$X,2+$F33,0))</f>
        <v>13.295833333333334</v>
      </c>
      <c r="K33" s="209">
        <f>IF(K$7="X",VLOOKUP(K$10,'VK-Hooned-Soojus'!$C:$X,2+$C33,FALSE),0)+IF(K$6="X",VLOOKUP(K$10,'VK-Transport'!$C:$X,2+$B33,0))+IF(K$8="X",VLOOKUP(K$10,'VK-Elekter'!$C:$X,2+$D33,0))+IF(K$9="X",VLOOKUP(K$10,'VK-Biokütused'!$C:$U,2+$E33,0))+IF(K$5="X",VLOOKUP(K$10,'VK-Põlevkivi'!$C:$X,2+$G33,0))+IF(K$4="X",VLOOKUP(K$10,'VK-Võrgud'!$C:$X,2+$F33,0))</f>
        <v>15.27</v>
      </c>
      <c r="L33" s="209">
        <f>IF(L$7="X",VLOOKUP(L$10,'VK-Hooned-Soojus'!$C:$X,2+$C33,FALSE),0)+IF(L$6="X",VLOOKUP(L$10,'VK-Transport'!$C:$X,2+$B33,0))+IF(L$8="X",VLOOKUP(L$10,'VK-Elekter'!$C:$X,2+$D33,0))+IF(L$9="X",VLOOKUP(L$10,'VK-Biokütused'!$C:$U,2+$E33,0))+IF(L$5="X",VLOOKUP(L$10,'VK-Põlevkivi'!$C:$X,2+$G33,0))+IF(L$4="X",VLOOKUP(L$10,'VK-Võrgud'!$C:$X,2+$F33,0))</f>
        <v>24.2</v>
      </c>
      <c r="M33" s="209">
        <f>IF(M$7="X",VLOOKUP(M$10,'VK-Hooned-Soojus'!$C:$X,2+$C33,FALSE),0)+IF(M$6="X",VLOOKUP(M$10,'VK-Transport'!$C:$X,2+$B33,0))+IF(M$8="X",VLOOKUP(M$10,'VK-Elekter'!$C:$X,2+$D33,0))+IF(M$9="X",VLOOKUP(M$10,'VK-Biokütused'!$C:$U,2+$E33,0))+IF(M$5="X",VLOOKUP(M$10,'VK-Põlevkivi'!$C:$X,2+$G33,0))+IF(M$4="X",VLOOKUP(M$10,'VK-Võrgud'!$C:$X,2+$F33,0))</f>
        <v>11.289444444444445</v>
      </c>
      <c r="N33" s="209">
        <f>IF(N$7="X",VLOOKUP(N$10,'VK-Hooned-Soojus'!$C:$X,2+$C33,FALSE),0)+IF(N$6="X",VLOOKUP(N$10,'VK-Transport'!$C:$X,2+$B33,0))+IF(N$8="X",VLOOKUP(N$10,'VK-Elekter'!$C:$X,2+$D33,0))+IF(N$9="X",VLOOKUP(N$10,'VK-Biokütused'!$C:$U,2+$E33,0))+IF(N$5="X",VLOOKUP(N$10,'VK-Põlevkivi'!$C:$X,2+$G33,0))+IF(N$4="X",VLOOKUP(N$10,'VK-Võrgud'!$C:$X,2+$F33,0))</f>
        <v>16.09</v>
      </c>
      <c r="O33" s="209">
        <f t="shared" si="13"/>
        <v>38.085833333333333</v>
      </c>
      <c r="P33" s="209"/>
      <c r="Q33" s="209">
        <f>(IF(Q$7="X",VLOOKUP(Q$10,'VK-Hooned-Soojus'!$C:$X,2+$C33,FALSE),0)+IF(Q$6="X",VLOOKUP(Q$10,'VK-Transport'!$C:$X,2+$B33,0))+IF(Q$8="X",VLOOKUP(Q$10,'VK-Elekter'!$C:$X,2+$D33,0))+IF(Q$9="X",VLOOKUP(Q$10,'VK-Biokütused'!$C:$U,2+$E33,0))+IF(Q$5="X",VLOOKUP(Q$10,'VK-Põlevkivi'!$C:$X,2+$G33,0))+IF(Q$4="X",VLOOKUP(Q$10,'VK-Võrgud'!$C:$X,2+$F33,0)))/1000</f>
        <v>5.0650000000000004</v>
      </c>
      <c r="R33" s="209">
        <f>(IF(R$7="X",VLOOKUP(R$10,'VK-Hooned-Soojus'!$C:$X,2+$C33,FALSE),0)+IF(R$6="X",VLOOKUP(R$10,'VK-Transport'!$C:$X,2+$B33,0))+IF(R$8="X",VLOOKUP(R$10,'VK-Elekter'!$C:$X,2+$D33,0))+IF(R$9="X",VLOOKUP(R$10,'VK-Biokütused'!$C:$U,2+$E33,0))+IF(R$5="X",VLOOKUP(R$10,'VK-Põlevkivi'!$C:$X,2+$G33,0))+IF(R$4="X",VLOOKUP(R$10,'VK-Võrgud'!$C:$X,2+$F33,0)))/1000</f>
        <v>3.5341368215830604</v>
      </c>
      <c r="S33" s="226">
        <f>VLOOKUP(S$10,'VK-Hooned-Soojus'!$C:$I,2+$C33,FALSE) + VLOOKUP(S$10,'VK-Transport'!$C:$I,2+$B33,FALSE)+ VLOOKUP(S$10,'VK-Biokütused'!$C:$G,2+$E33,FALSE)+ VLOOKUP(S$10,'VK-Elekter'!$C:$I,2+$D33,FALSE)+ VLOOKUP(S$10,'VK-Põlevkivi'!$C:$I,2+$G33,FALSE)+ VLOOKUP(S$10,'VK-Võrgud'!$C:$I,2+$F33,FALSE)</f>
        <v>1.4219744379142057E-2</v>
      </c>
      <c r="T33" s="226">
        <f>VLOOKUP(T$10,'VK-Hooned-Soojus'!$C:$I,2+$C33,FALSE) + VLOOKUP(T$10,'VK-Transport'!$C:$I,2+$B33,FALSE)+ VLOOKUP(T$10,'VK-Biokütused'!$C:$G,2+$E33,FALSE)+ VLOOKUP(T$10,'VK-Elekter'!$C:$I,2+$D33,FALSE)+ VLOOKUP(T$10,'VK-Põlevkivi'!$C:$I,2+$G33,FALSE)+ VLOOKUP(T$10,'VK-Võrgud'!$C:$I,2+$F33,FALSE)</f>
        <v>-6.7971039265636137E-3</v>
      </c>
      <c r="U33" s="226">
        <f>VLOOKUP(U$10,'VK-Hooned-Soojus'!$C:$I,2+$C33,FALSE) + VLOOKUP(U$10,'VK-Transport'!$C:$I,2+$B33,FALSE)+ VLOOKUP(U$10,'VK-Biokütused'!$C:$G,2+$E33,FALSE)+ VLOOKUP(U$10,'VK-Elekter'!$C:$I,2+$D33,FALSE)+ VLOOKUP(U$10,'VK-Põlevkivi'!$C:$I,2+$G33,FALSE)+ VLOOKUP(U$10,'VK-Võrgud'!$C:$I,2+$F33,FALSE)</f>
        <v>3.4648002853588655E-3</v>
      </c>
      <c r="V33" s="226">
        <f>VLOOKUP(V$10,'VK-Hooned-Soojus'!$C:$I,2+$C33,FALSE) + VLOOKUP(V$10,'VK-Transport'!$C:$I,2+$B33,FALSE)+ VLOOKUP(V$10,'VK-Biokütused'!$C:$G,2+$E33,FALSE)+ VLOOKUP(V$10,'VK-Elekter'!$C:$I,2+$D33,FALSE)+ VLOOKUP(V$10,'VK-Põlevkivi'!$C:$I,2+$G33,FALSE)+ VLOOKUP(V$10,'VK-Võrgud'!$C:$I,2+$F33,FALSE)</f>
        <v>1.0831417271546118E-2</v>
      </c>
      <c r="W33" s="226">
        <f>VLOOKUP(W$10,'VK-Hooned-Soojus'!$C:$I,2+$C33,FALSE) + VLOOKUP(W$10,'VK-Transport'!$C:$I,2+$B33,FALSE)+ VLOOKUP(W$10,'VK-Biokütused'!$C:$G,2+$E33,FALSE)+ VLOOKUP(W$10,'VK-Elekter'!$C:$I,2+$D33,FALSE)+ VLOOKUP(W$10,'VK-Põlevkivi'!$C:$I,2+$G33,FALSE)+ VLOOKUP(W$10,'VK-Võrgud'!$C:$I,2+$F33,FALSE)</f>
        <v>-8.5369022151832834E-3</v>
      </c>
      <c r="X33" s="226">
        <f>VLOOKUP(X$10,'VK-Hooned-Soojus'!$C:$I,2+$C33,FALSE) + VLOOKUP(X$10,'VK-Transport'!$C:$I,2+$B33,FALSE)+ VLOOKUP(X$10,'VK-Biokütused'!$C:$G,2+$E33,FALSE)+ VLOOKUP(X$10,'VK-Elekter'!$C:$I,2+$D33,FALSE)+ VLOOKUP(X$10,'VK-Põlevkivi'!$C:$I,2+$G33,FALSE)+ VLOOKUP(X$10,'VK-Võrgud'!$C:$I,2+$F33,FALSE)</f>
        <v>-9.9566468685400207E-3</v>
      </c>
      <c r="Y33" s="226">
        <f>VLOOKUP(Y$10,'VK-Hooned-Soojus'!$C:$I,2+$C33,FALSE) + VLOOKUP(Y$10,'VK-Transport'!$C:$I,2+$B33,FALSE)+ VLOOKUP(Y$10,'VK-Biokütused'!$C:$G,2+$E33,FALSE)+ VLOOKUP(Y$10,'VK-Elekter'!$C:$I,2+$D33,FALSE)+ VLOOKUP(Y$10,'VK-Põlevkivi'!$C:$I,2+$G33,FALSE)+ VLOOKUP(Y$10,'VK-Võrgud'!$C:$I,2+$F33,FALSE)</f>
        <v>-1.8107930195211272E-2</v>
      </c>
      <c r="Z33" s="227">
        <f>(S33*Tulemused!$Q$9*10+T33*Tulemused!$Q$10*10+KOMBI!U33*Tulemused!$Q$11*10+KOMBI!V33*Tulemused!$Q$12*10)*Tulemused!$Q$8+-(W33*Tulemused!$Q$14*10+KOMBI!X33*Tulemused!$Q$15*10+KOMBI!Y33*Tulemused!$Q$16*10)*Tulemused!$Q$13</f>
        <v>2.5591506673060076</v>
      </c>
      <c r="AA33" s="228">
        <f>(IF(AA$7="X",VLOOKUP(AA$10,'VK-Hooned-Soojus'!$C:$X,2+$C33,FALSE),0)+IF(AA$6="X",VLOOKUP(AA$10,'VK-Transport'!$C:$X,2+$B33,0))+IF(AA$8="X",VLOOKUP(AA$10,'VK-Elekter'!$C:$X,2+$D33,0))+IF(AA$9="X",VLOOKUP(AA$10,'VK-Biokütused'!$C:$U,2+$E33,0))+IF(AA$5="X",VLOOKUP(AA$10,'VK-Põlevkivi'!$C:$X,2+$G33,0))+IF(AA$4="X",VLOOKUP(AA$10,'VK-Võrgud'!$C:$X,2+$F33,0)))</f>
        <v>3728</v>
      </c>
      <c r="AB33" s="228">
        <f>(IF(AB$7="X",VLOOKUP(AB$10,'VK-Hooned-Soojus'!$C:$X,2+$C33,FALSE),0)+IF(AB$6="X",VLOOKUP(AB$10,'VK-Transport'!$C:$X,2+$B33,0))+IF(AB$8="X",VLOOKUP(AB$10,'VK-Elekter'!$C:$X,2+$D33,0))+IF(AB$9="X",VLOOKUP(AB$10,'VK-Biokütused'!$C:$U,2+$E33,0))+IF(AB$5="X",VLOOKUP(AB$10,'VK-Põlevkivi'!$C:$X,2+$G33,0))+IF(AB$4="X",VLOOKUP(AB$10,'VK-Võrgud'!$C:$X,2+$F33,0)))</f>
        <v>1337</v>
      </c>
      <c r="AC33" s="228">
        <f>(IF(AC$7="X",VLOOKUP(AC$10,'VK-Hooned-Soojus'!$C:$X,2+$C33,FALSE),0)+IF(AC$6="X",VLOOKUP(AC$10,'VK-Transport'!$C:$X,2+$B33,0))+IF(AC$8="X",VLOOKUP(AC$10,'VK-Elekter'!$C:$X,2+$D33,0))+IF(AC$9="X",VLOOKUP(AC$10,'VK-Biokütused'!$C:$U,2+$E33,0))+IF(AC$5="X",VLOOKUP(AC$10,'VK-Põlevkivi'!$C:$X,2+$G33,0))+IF(AC$4="X",VLOOKUP(AC$10,'VK-Võrgud'!$C:$X,2+$F33,0)))</f>
        <v>2346</v>
      </c>
      <c r="AD33" s="228">
        <f>(IF(AD$7="X",VLOOKUP(AD$10,'VK-Hooned-Soojus'!$C:$X,2+$C33,FALSE),0)+IF(AD$6="X",VLOOKUP(AD$10,'VK-Transport'!$C:$X,2+$B33,0))+IF(AD$8="X",VLOOKUP(AD$10,'VK-Elekter'!$C:$X,2+$D33,0))+IF(AD$9="X",VLOOKUP(AD$10,'VK-Biokütused'!$C:$U,2+$E33,0))+IF(AD$5="X",VLOOKUP(AD$10,'VK-Põlevkivi'!$C:$X,2+$G33,0))+IF(AD$4="X",VLOOKUP(AD$10,'VK-Võrgud'!$C:$X,2+$F33,0)))</f>
        <v>377.5</v>
      </c>
      <c r="AE33" s="228">
        <f>(IF(AE$7="X",VLOOKUP(AE$10,'VK-Hooned-Soojus'!$C:$X,2+$C33,FALSE),0)+IF(AE$6="X",VLOOKUP(AE$10,'VK-Transport'!$C:$X,2+$B33,0))+IF(AE$8="X",VLOOKUP(AE$10,'VK-Elekter'!$C:$X,2+$D33,0))+IF(AE$9="X",VLOOKUP(AE$10,'VK-Biokütused'!$C:$U,2+$E33,0))+IF(AE$5="X",VLOOKUP(AE$10,'VK-Põlevkivi'!$C:$X,2+$G33,0))+IF(AE$4="X",VLOOKUP(AE$10,'VK-Võrgud'!$C:$X,2+$F33,0)))</f>
        <v>666</v>
      </c>
      <c r="AF33" s="228">
        <f>(IF(AF$7="X",VLOOKUP(AF$10,'VK-Hooned-Soojus'!$C:$X,2+$C33,FALSE),0)+IF(AF$6="X",VLOOKUP(AF$10,'VK-Transport'!$C:$X,2+$B33,0))+IF(AF$8="X",VLOOKUP(AF$10,'VK-Elekter'!$C:$X,2+$D33,0))+IF(AF$9="X",VLOOKUP(AF$10,'VK-Biokütused'!$C:$U,2+$E33,0))+IF(AF$5="X",VLOOKUP(AF$10,'VK-Põlevkivi'!$C:$X,2+$G33,0))+IF(AF$4="X",VLOOKUP(AF$10,'VK-Võrgud'!$C:$X,2+$F33,0)))</f>
        <v>2490.6368215830603</v>
      </c>
      <c r="AG33" s="209"/>
      <c r="AH33" s="209">
        <f>IF(AH$7="X",VLOOKUP(AH$10,'VK-Hooned-Soojus'!$C:$X,2+$C33,FALSE),0)+IF(AH$6="X",VLOOKUP(AH$10,'VK-Transport'!$C:$X,2+$B33,0))+IF(AH$8="X",VLOOKUP(AH$10,'VK-Elekter'!$C:$X,2+$D33,0))+IF(AH$9="X",VLOOKUP(AH$10,'VK-Biokütused'!$C:$U,2+$E33,0))+IF(AH$5="X",VLOOKUP(AH$10,'VK-Põlevkivi'!$C:$X,2+$G33,0))+IF(AH$4="X",VLOOKUP(AH$10,'VK-Võrgud'!$C:$X,2+$F33,0))</f>
        <v>11.579999999999998</v>
      </c>
      <c r="AI33" s="209">
        <f>IF(AI$7="X",VLOOKUP(AI$10,'VK-Hooned-Soojus'!$C:$X,2+$C33,FALSE),0)+IF(AI$6="X",VLOOKUP(AI$10,'VK-Transport'!$C:$X,2+$B33,0))+IF(AI$8="X",VLOOKUP(AI$10,'VK-Elekter'!$C:$X,2+$D33,0))+IF(AI$9="X",VLOOKUP(AI$10,'VK-Biokütused'!$C:$U,2+$E33,0))+IF(AI$5="X",VLOOKUP(AI$10,'VK-Põlevkivi'!$C:$X,2+$G33,0))+IF(AI$4="X",VLOOKUP(AI$10,'VK-Võrgud'!$C:$X,2+$F33,0))</f>
        <v>4.45</v>
      </c>
      <c r="AJ33" s="209">
        <f>IF(AJ$7="X",VLOOKUP(AJ$10,'VK-Hooned-Soojus'!$C:$X,2+$C33,FALSE),0)+IF(AJ$6="X",VLOOKUP(AJ$10,'VK-Transport'!$C:$X,2+$B33,0))+IF(AJ$8="X",VLOOKUP(AJ$10,'VK-Elekter'!$C:$X,2+$D33,0))+IF(AJ$9="X",VLOOKUP(AJ$10,'VK-Biokütused'!$C:$U,2+$E33,0))+IF(AJ$5="X",VLOOKUP(AJ$10,'VK-Põlevkivi'!$C:$X,2+$G33,0))+IF(AJ$4="X",VLOOKUP(AJ$10,'VK-Võrgud'!$C:$X,2+$F33,0))</f>
        <v>9.19</v>
      </c>
      <c r="AK33" s="209">
        <f>IF(AK$7="X",VLOOKUP(AK$10,'VK-Hooned-Soojus'!$C:$X,2+$C33,FALSE),0)+IF(AK$6="X",VLOOKUP(AK$10,'VK-Transport'!$C:$X,2+$B33,0))+IF(AK$8="X",VLOOKUP(AK$10,'VK-Elekter'!$C:$X,2+$D33,0))+IF(AK$9="X",VLOOKUP(AK$10,'VK-Biokütused'!$C:$U,2+$E33,0))+IF(AK$5="X",VLOOKUP(AK$10,'VK-Põlevkivi'!$C:$X,2+$G33,0))+IF(AK$4="X",VLOOKUP(AK$10,'VK-Võrgud'!$C:$X,2+$F33,0))</f>
        <v>0.66</v>
      </c>
      <c r="AL33" s="209">
        <f>IF(AL$7="X",VLOOKUP(AL$10,'VK-Hooned-Soojus'!$C:$X,2+$C33,FALSE),0)+IF(AL$6="X",VLOOKUP(AL$10,'VK-Transport'!$C:$X,2+$B33,0))+IF(AL$8="X",VLOOKUP(AL$10,'VK-Elekter'!$C:$X,2+$D33,0))+IF(AL$9="X",VLOOKUP(AL$10,'VK-Biokütused'!$C:$U,2+$E33,0))+IF(AL$5="X",VLOOKUP(AL$10,'VK-Põlevkivi'!$C:$X,2+$G33,0))+IF(AL$4="X",VLOOKUP(AL$10,'VK-Võrgud'!$C:$X,2+$F33,0))</f>
        <v>7.1999999999999993</v>
      </c>
      <c r="AM33" s="209">
        <f>IF(AM$7="X",VLOOKUP(AM$10,'VK-Hooned-Soojus'!$C:$X,2+$C33,FALSE),0)+IF(AM$6="X",VLOOKUP(AM$10,'VK-Transport'!$C:$X,2+$B33,0))+IF(AM$8="X",VLOOKUP(AM$10,'VK-Elekter'!$C:$X,2+$D33,0))+IF(AM$9="X",VLOOKUP(AM$10,'VK-Biokütused'!$C:$U,2+$E33,0))+IF(AM$5="X",VLOOKUP(AM$10,'VK-Põlevkivi'!$C:$X,2+$G33,0))+IF(AM$4="X",VLOOKUP(AM$10,'VK-Võrgud'!$C:$X,2+$F33,0))</f>
        <v>11.9</v>
      </c>
      <c r="AN33" s="209">
        <f>IF(AN$7="X",VLOOKUP(AN$10,'VK-Hooned-Soojus'!$C:$X,2+$C33,FALSE),0)+IF(AN$6="X",VLOOKUP(AN$10,'VK-Transport'!$C:$X,2+$B33,0))+IF(AN$8="X",VLOOKUP(AN$10,'VK-Elekter'!$C:$X,2+$D33,0))+IF(AN$9="X",VLOOKUP(AN$10,'VK-Biokütused'!$C:$U,2+$E33,0))+IF(AN$5="X",VLOOKUP(AN$10,'VK-Põlevkivi'!$C:$X,2+$G33,0))+IF(AN$4="X",VLOOKUP(AN$10,'VK-Võrgud'!$C:$X,2+$F33,0))</f>
        <v>4.8999999999999995</v>
      </c>
      <c r="AO33" s="209">
        <f>IF(AO$7="X",VLOOKUP(AO$10,'VK-Hooned-Soojus'!$C:$X,2+$C33,FALSE),0)+IF(AO$6="X",VLOOKUP(AO$10,'VK-Transport'!$C:$X,2+$B33,0))+IF(AO$8="X",VLOOKUP(AO$10,'VK-Elekter'!$C:$X,2+$D33,0))+IF(AO$9="X",VLOOKUP(AO$10,'VK-Biokütused'!$C:$U,2+$E33,0))+IF(AO$5="X",VLOOKUP(AO$10,'VK-Põlevkivi'!$C:$X,2+$G33,0))+IF(AO$4="X",VLOOKUP(AO$10,'VK-Võrgud'!$C:$X,2+$F33,0))</f>
        <v>12.56</v>
      </c>
      <c r="AP33" s="209">
        <f>IF(AP$7="X",VLOOKUP(AP$10,'VK-Hooned-Soojus'!$C:$X,2+$C33,FALSE),0)+IF(AP$6="X",VLOOKUP(AP$10,'VK-Transport'!$C:$X,2+$B33,0))+IF(AP$8="X",VLOOKUP(AP$10,'VK-Elekter'!$C:$X,2+$D33,0))+IF(AP$9="X",VLOOKUP(AP$10,'VK-Biokütused'!$C:$U,2+$E33,0))+IF(AP$5="X",VLOOKUP(AP$10,'VK-Põlevkivi'!$C:$X,2+$G33,0))+IF(AP$4="X",VLOOKUP(AP$10,'VK-Võrgud'!$C:$X,2+$F33,0))</f>
        <v>6.28</v>
      </c>
      <c r="AQ33" s="320">
        <f t="shared" si="14"/>
        <v>0.25999999999999979</v>
      </c>
      <c r="AR33" s="209">
        <f>IF(AR$7="X",VLOOKUP(AR$10,'VK-Hooned-Soojus'!$C:$X,2+$C33,FALSE),0)+IF(AR$6="X",VLOOKUP(AR$10,'VK-Transport'!$C:$X,2+$B33,0))+IF(AR$8="X",VLOOKUP(AR$10,'VK-Elekter'!$C:$X,2+$D33,0))+IF(AR$9="X",VLOOKUP(AR$10,'VK-Biokütused'!$C:$U,2+$E33,0))+IF(AR$5="X",VLOOKUP(AR$10,'VK-Põlevkivi'!$C:$X,2+$G33,0))+IF(AR$4="X",VLOOKUP(AR$10,'VK-Võrgud'!$C:$X,2+$F33,0))</f>
        <v>2.8899999999999997</v>
      </c>
      <c r="AS33" s="320">
        <f>VLOOKUP("Kütuste tarbimine @ 2030 - UTTEGAAS",'VK-Hooned-Soojus'!$C:$X,2+$C33,FALSE)/0.172+VLOOKUP("Kütuste tarbimine @ 2030 - UTTEGAAS",'VK-Elekter'!$C:$X,2+$D33,FALSE)/0.172-AR33-AU33</f>
        <v>2.8565116279069773</v>
      </c>
      <c r="AT33" s="209">
        <f>IF(AT$7="X",VLOOKUP(AT$10,'VK-Hooned-Soojus'!$C:$X,2+$C33,FALSE),0)+IF(AT$6="X",VLOOKUP(AT$10,'VK-Transport'!$C:$X,2+$B33,0))+IF(AT$8="X",VLOOKUP(AT$10,'VK-Elekter'!$C:$X,2+$D33,0))+IF(AT$9="X",VLOOKUP(AT$10,'VK-Biokütused'!$C:$U,2+$E33,0))+IF(AT$5="X",VLOOKUP(AT$10,'VK-Põlevkivi'!$C:$X,2+$G33,0))+IF(AT$4="X",VLOOKUP(AT$10,'VK-Võrgud'!$C:$X,2+$F33,0))</f>
        <v>12.004929222526066</v>
      </c>
      <c r="AU33" s="229">
        <f>MAX(0,(VLOOKUP("Kütuste tarbimine @ 2030 - UTTEGAAS",'VK-Hooned-Soojus'!$C:$X,2+$C33,FALSE)/0.172+VLOOKUP("Kütuste tarbimine @ 2030 - UTTEGAAS",'VK-Elekter'!$C:$X,2+$D33,FALSE)/0.172)*0.52-VLOOKUP("Kütuste tarbimine @ 2030 - PÕLEVKIVIÕLI",'VK-Hooned-Soojus'!$C:$X,2+$C33,FALSE))</f>
        <v>5.1837209302325586</v>
      </c>
      <c r="AV33" s="209">
        <f>IF(AV$7="X",VLOOKUP(AV$10,'VK-Hooned-Soojus'!$C:$X,2+$C33,FALSE),0)+IF(AV$6="X",VLOOKUP(AV$10,'VK-Transport'!$C:$X,2+$B33,0))+IF(AV$8="X",VLOOKUP(AV$10,'VK-Elekter'!$C:$X,2+$D33,0))+IF(AV$9="X",VLOOKUP(AV$10,'VK-Biokütused'!$C:$U,2+$E33,0))+IF(AV$5="X",VLOOKUP(AV$10,'VK-Põlevkivi'!$C:$X,2+$G33,0))+IF(AV$4="X",VLOOKUP(AV$10,'VK-Võrgud'!$C:$X,2+$F33,0))</f>
        <v>1.1831224847375093</v>
      </c>
      <c r="AW33" s="209">
        <f>IF(AW$7="X",VLOOKUP(AW$10,'VK-Hooned-Soojus'!$C:$X,2+$C33,FALSE),0)+IF(AW$6="X",VLOOKUP(AW$10,'VK-Transport'!$C:$X,2+$B33,0))+IF(AW$8="X",VLOOKUP(AW$10,'VK-Elekter'!$C:$X,2+$D33,0))+IF(AW$9="X",VLOOKUP(AW$10,'VK-Biokütused'!$C:$U,2+$E33,0))+IF(AW$5="X",VLOOKUP(AW$10,'VK-Põlevkivi'!$C:$X,2+$G33,0))+IF(AW$4="X",VLOOKUP(AW$10,'VK-Võrgud'!$C:$X,2+$F33,0))</f>
        <v>2.141</v>
      </c>
      <c r="AX33" s="229">
        <f t="shared" si="34"/>
        <v>0.95787751526249076</v>
      </c>
      <c r="AY33" s="229">
        <f t="shared" si="15"/>
        <v>0</v>
      </c>
      <c r="AZ33" s="230">
        <f t="shared" si="0"/>
        <v>0.53564312595874219</v>
      </c>
      <c r="BA33" s="209">
        <f>IF(BA$7="X",VLOOKUP(BA$10,'VK-Hooned-Soojus'!$C:$X,2+$C33,FALSE),0)+IF(BA$6="X",VLOOKUP(BA$10,'VK-Transport'!$C:$X,2+$B33,0))+IF(BA$8="X",VLOOKUP(BA$10,'VK-Elekter'!$C:$X,2+$D33,0))+IF(BA$9="X",VLOOKUP(BA$10,'VK-Biokütused'!$C:$U,2+$E33,0))+IF(BA$5="X",VLOOKUP(BA$10,'VK-Põlevkivi'!$C:$X,2+$G33,0))+IF(BA$4="X",VLOOKUP(BA$10,'VK-Võrgud'!$C:$X,2+$F33,0))</f>
        <v>4.2</v>
      </c>
      <c r="BB33" s="209">
        <f>IF(BB$7="X",VLOOKUP(BB$10,'VK-Hooned-Soojus'!$C:$X,2+$C33,FALSE),0)+IF(BB$6="X",VLOOKUP(BB$10,'VK-Transport'!$C:$X,2+$B33,0))+IF(BB$8="X",VLOOKUP(BB$10,'VK-Elekter'!$C:$X,2+$D33,0))+IF(BB$9="X",VLOOKUP(BB$10,'VK-Biokütused'!$C:$U,2+$E33,0))+IF(BB$5="X",VLOOKUP(BB$10,'VK-Põlevkivi'!$C:$X,2+$G33,0))+IF(BB$4="X",VLOOKUP(BB$10,'VK-Võrgud'!$C:$X,2+$F33,0))</f>
        <v>5.1000000000000005</v>
      </c>
      <c r="BC33" s="209">
        <f>IF(BC$7="X",VLOOKUP(BC$10,'VK-Hooned-Soojus'!$C:$X,2+$C33,FALSE),0)+IF(BC$6="X",VLOOKUP(BC$10,'VK-Transport'!$C:$X,2+$B33,0))+IF(BC$8="X",VLOOKUP(BC$10,'VK-Elekter'!$C:$X,2+$D33,0))+IF(BC$9="X",VLOOKUP(BC$10,'VK-Biokütused'!$C:$U,2+$E33,0))+IF(BC$5="X",VLOOKUP(BC$10,'VK-Põlevkivi'!$C:$X,2+$G33,0))+IF(BC$4="X",VLOOKUP(BC$10,'VK-Võrgud'!$C:$X,2+$F33,0))</f>
        <v>6.5993333333333322</v>
      </c>
      <c r="BD33" s="209">
        <f>IF(BD$7="X",VLOOKUP(BD$10,'VK-Hooned-Soojus'!$C:$X,2+$C33,FALSE),0)+IF(BD$6="X",VLOOKUP(BD$10,'VK-Transport'!$C:$X,2+$B33,0))+IF(BD$8="X",VLOOKUP(BD$10,'VK-Elekter'!$C:$X,2+$D33,0))+IF(BD$9="X",VLOOKUP(BD$10,'VK-Biokütused'!$C:$U,2+$E33,0))+IF(BD$5="X",VLOOKUP(BD$10,'VK-Põlevkivi'!$C:$X,2+$G33,0))+IF(BD$4="X",VLOOKUP(BD$10,'VK-Võrgud'!$C:$X,2+$F33,0))</f>
        <v>9.425416666666667</v>
      </c>
      <c r="BE33" s="230"/>
      <c r="BF33" s="229">
        <f t="shared" si="16"/>
        <v>0.34764098244282376</v>
      </c>
      <c r="BG33" s="209" t="e">
        <f>(IF(BG$7="X",VLOOKUP(BG$10,'VK-Hooned-Soojus'!$C:$X,2+$C33,FALSE),0)+IF(BG$6="X",VLOOKUP(BG$10,'VK-Transport'!$C:$X,2+$B33,0))+IF(BG$8="X",VLOOKUP(BG$10,'VK-Elekter'!$C:$X,2+$D33,0))+IF(BG$9="X",VLOOKUP(BG$10,'VK-Biokütused'!$C:$U,2+$E33,0))+IF(BG$5="X",VLOOKUP(BG$10,'VK-Põlevkivi'!$C:$X,2+$G33,0))+IF(BG$4="X",VLOOKUP(BG$10,'VK-Võrgud'!$C:$X,2+$F33,0)))/20</f>
        <v>#N/A</v>
      </c>
      <c r="BH33" s="209">
        <f>(IF(BH$7="X",VLOOKUP(BH$10,'VK-Hooned-Soojus'!$C:$X,2+$C33,FALSE),0)+IF(BH$6="X",VLOOKUP(BH$10,'VK-Transport'!$C:$X,2+$B33,0))+IF(BH$8="X",VLOOKUP(BH$10,'VK-Elekter'!$C:$X,2+$D33,0))+IF(BH$9="X",VLOOKUP(BH$10,'VK-Biokütused'!$C:$U,2+$E33,0))+IF(BH$5="X",VLOOKUP(BH$10,'VK-Põlevkivi'!$C:$X,2+$G33,0))+IF(BH$4="X",VLOOKUP(BH$10,'VK-Võrgud'!$C:$X,2+$F33,0)))/20</f>
        <v>45.08</v>
      </c>
      <c r="BI33" s="209">
        <f>(IF(BI$7="X",VLOOKUP(BI$10,'VK-Hooned-Soojus'!$C:$X,2+$C33,FALSE),0)+IF(BI$6="X",VLOOKUP(BI$10,'VK-Transport'!$C:$X,2+$B33,0))+IF(BI$8="X",VLOOKUP(BI$10,'VK-Elekter'!$C:$X,2+$D33,0))+IF(BI$9="X",VLOOKUP(BI$10,'VK-Biokütused'!$C:$U,2+$E33,0))+IF(BI$5="X",VLOOKUP(BI$10,'VK-Põlevkivi'!$C:$X,2+$G33,0))+IF(BI$4="X",VLOOKUP(BI$10,'VK-Võrgud'!$C:$X,2+$F33,0)))/16</f>
        <v>14.1875</v>
      </c>
      <c r="BJ33" s="209">
        <f>(IF(BJ$7="X",VLOOKUP(BJ$10,'VK-Hooned-Soojus'!$C:$X,2+$C33,FALSE),0)+IF(BJ$6="X",VLOOKUP(BJ$10,'VK-Transport'!$C:$X,2+$B33,0))+IF(BJ$8="X",VLOOKUP(BJ$10,'VK-Elekter'!$C:$X,2+$D33,0))+IF(BJ$9="X",VLOOKUP(BJ$10,'VK-Biokütused'!$C:$U,2+$E33,0))+IF(BJ$5="X",VLOOKUP(BJ$10,'VK-Põlevkivi'!$C:$X,2+$G33,0))+IF(BJ$4="X",VLOOKUP(BJ$10,'VK-Võrgud'!$C:$X,2+$F33,0)))/20</f>
        <v>3.91</v>
      </c>
      <c r="BK33" s="209"/>
      <c r="BL33" s="209"/>
      <c r="BM33" s="209"/>
      <c r="BN33" s="209" t="e">
        <f>(IF(BN$7="X",VLOOKUP(BN$10,'VK-Hooned-Soojus'!$C:$X,2+$C33,FALSE),0)+IF(BN$6="X",VLOOKUP(BN$10,'VK-Transport'!$C:$X,2+$B33,0))+IF(BN$8="X",VLOOKUP(BN$10,'VK-Elekter'!$C:$X,2+$D33,0))+IF(BN$9="X",VLOOKUP(BN$10,'VK-Biokütused'!$C:$U,2+$E33,0))+IF(BN$5="X",VLOOKUP(BN$10,'VK-Põlevkivi'!$C:$X,2+$G33,0))+IF(BN$4="X",VLOOKUP(BN$10,'VK-Võrgud'!$C:$X,2+$F33,0)))/16</f>
        <v>#N/A</v>
      </c>
      <c r="BO33" s="209">
        <f>(IF(BO$7="X",VLOOKUP(BO$10,'VK-Hooned-Soojus'!$C:$X,2+$C33,FALSE),0)+IF(BO$6="X",VLOOKUP(BO$10,'VK-Transport'!$C:$X,2+$B33,0))+IF(BO$8="X",VLOOKUP(BO$10,'VK-Elekter'!$C:$X,2+$D33,0))+IF(BO$9="X",VLOOKUP(BO$10,'VK-Biokütused'!$C:$U,2+$E33,0))+IF(BO$5="X",VLOOKUP(BO$10,'VK-Põlevkivi'!$C:$X,2+$G33,0))+IF(BO$4="X",VLOOKUP(BO$10,'VK-Võrgud'!$C:$X,2+$F33,0)))/16</f>
        <v>496.33125000000001</v>
      </c>
      <c r="BP33" s="209"/>
      <c r="BQ33" s="209">
        <f>(IF(BQ$7="X",VLOOKUP(BQ$10,'VK-Hooned-Soojus'!$C:$X,2+$C33,FALSE),0)+IF(BQ$6="X",VLOOKUP(BQ$10,'VK-Transport'!$C:$X,2+$B33,0))+IF(BQ$8="X",VLOOKUP(BQ$10,'VK-Elekter'!$C:$X,2+$D33,0))+IF(BQ$9="X",VLOOKUP(BQ$10,'VK-Biokütused'!$C:$U,2+$E33,0))+IF(BQ$5="X",VLOOKUP(BQ$10,'VK-Põlevkivi'!$C:$X,2+$G33,0))+IF(BQ$4="X",VLOOKUP(BQ$10,'VK-Võrgud'!$C:$X,2+$F33,0)))/16</f>
        <v>4.7249999999999996</v>
      </c>
      <c r="BR33" s="209">
        <f>(IF(BR$7="X",VLOOKUP(BR$10,'VK-Hooned-Soojus'!$C:$X,2+$C33,FALSE),0)+IF(BR$6="X",VLOOKUP(BR$10,'VK-Transport'!$C:$X,2+$B33,0))+IF(BR$8="X",VLOOKUP(BR$10,'VK-Elekter'!$C:$X,2+$D33,0))+IF(BR$9="X",VLOOKUP(BR$10,'VK-Biokütused'!$C:$U,2+$E33,0))+IF(BR$5="X",VLOOKUP(BR$10,'VK-Põlevkivi'!$C:$X,2+$G33,0))+IF(BR$4="X",VLOOKUP(BR$10,'VK-Võrgud'!$C:$X,2+$F33,0)))/16</f>
        <v>-74.512500000000003</v>
      </c>
      <c r="BS33" s="209">
        <f>(IF(BS$7="X",VLOOKUP(BS$10,'VK-Hooned-Soojus'!$C:$X,2+$C33,FALSE),0)+IF(BS$6="X",VLOOKUP(BS$10,'VK-Transport'!$C:$X,2+$B33,0))+IF(BS$8="X",VLOOKUP(BS$10,'VK-Elekter'!$C:$X,2+$D33,0))+IF(BS$9="X",VLOOKUP(BS$10,'VK-Biokütused'!$C:$U,2+$E33,0))+IF(BS$5="X",VLOOKUP(BS$10,'VK-Põlevkivi'!$C:$X,2+$G33,0))+IF(BS$4="X",VLOOKUP(BS$10,'VK-Võrgud'!$C:$X,2+$F33,0)))/16</f>
        <v>-100.68125000000001</v>
      </c>
      <c r="BT33" s="209"/>
      <c r="BU33" s="209"/>
      <c r="BV33" s="209">
        <f>(IF(BV$7="X",VLOOKUP(BV$10,'VK-Hooned-Soojus'!$C:$X,2+$C33,FALSE),0)+IF(BV$6="X",VLOOKUP(BV$10,'VK-Transport'!$C:$X,2+$B33,0))+IF(BV$8="X",VLOOKUP(BV$10,'VK-Elekter'!$C:$X,2+$D33,0))+IF(BV$9="X",VLOOKUP(BV$10,'VK-Biokütused'!$C:$U,2+$E33,0))+IF(BV$5="X",VLOOKUP(BV$10,'VK-Põlevkivi'!$C:$X,2+$G33,0))+IF(BV$4="X",VLOOKUP(BV$10,'VK-Võrgud'!$C:$X,2+$F33,0)))/16</f>
        <v>0</v>
      </c>
      <c r="BW33" s="209"/>
      <c r="BX33" s="209">
        <f>(IF(BX$7="X",VLOOKUP(BX$10,'VK-Hooned-Soojus'!$C:$X,2+$C33,FALSE),0)+IF(BX$6="X",VLOOKUP(BX$10,'VK-Transport'!$C:$X,2+$B33,0))+IF(BX$8="X",VLOOKUP(BX$10,'VK-Elekter'!$C:$X,2+$D33,0))+IF(BX$9="X",VLOOKUP(BX$10,'VK-Biokütused'!$C:$U,2+$E33,0))+IF(BX$5="X",VLOOKUP(BX$10,'VK-Põlevkivi'!$C:$X,2+$G33,0))+IF(BX$4="X",VLOOKUP(BX$10,'VK-Võrgud'!$C:$X,2+$F33,0)))/16</f>
        <v>-99.4375</v>
      </c>
      <c r="BY33" s="209"/>
      <c r="BZ33" s="209"/>
      <c r="CA33" s="209" t="e">
        <f>(IF(CA$7="X",VLOOKUP(CA$10,'VK-Hooned-Soojus'!$C:$X,2+$C33,FALSE),0)+IF(CA$6="X",VLOOKUP(CA$10,'VK-Transport'!$C:$X,2+$B33,0))+IF(CA$8="X",VLOOKUP(CA$10,'VK-Elekter'!$C:$X,2+$D33,0))+IF(CA$9="X",VLOOKUP(CA$10,'VK-Biokütused'!$C:$U,2+$E33,0))+IF(CA$5="X",VLOOKUP(CA$10,'VK-Põlevkivi'!$C:$X,2+$G33,0))+IF(CA$4="X",VLOOKUP(CA$10,'VK-Võrgud'!$C:$X,2+$F33,0)))/16</f>
        <v>#N/A</v>
      </c>
      <c r="CB33" s="209">
        <f>(IF(CB$7="X",VLOOKUP(CB$10,'VK-Hooned-Soojus'!$C:$X,2+$C33,FALSE),0)+IF(CB$6="X",VLOOKUP(CB$10,'VK-Transport'!$C:$X,2+$B33,0))+IF(CB$8="X",VLOOKUP(CB$10,'VK-Elekter'!$C:$X,2+$D33,0))+IF(CB$9="X",VLOOKUP(CB$10,'VK-Biokütused'!$C:$U,2+$E33,0))+IF(CB$5="X",VLOOKUP(CB$10,'VK-Põlevkivi'!$C:$X,2+$G33,0))+IF(CB$4="X",VLOOKUP(CB$10,'VK-Võrgud'!$C:$X,2+$F33,0)))/16</f>
        <v>0</v>
      </c>
      <c r="CC33" s="209">
        <f>(IF(CC$7="X",VLOOKUP(CC$10,'VK-Hooned-Soojus'!$C:$X,2+$C33,FALSE),0)+IF(CC$6="X",VLOOKUP(CC$10,'VK-Transport'!$C:$X,2+$B33,0))+IF(CC$8="X",VLOOKUP(CC$10,'VK-Elekter'!$C:$X,2+$D33,0))+IF(CC$9="X",VLOOKUP(CC$10,'VK-Biokütused'!$C:$U,2+$E33,0))+IF(CC$5="X",VLOOKUP(CC$10,'VK-Põlevkivi'!$C:$X,2+$G33,0))+IF(CC$4="X",VLOOKUP(CC$10,'VK-Võrgud'!$C:$X,2+$F33,0)))/16</f>
        <v>0</v>
      </c>
      <c r="CD33" s="209"/>
      <c r="CE33" s="209">
        <f>(IF(CE$7="X",VLOOKUP(CE$10,'VK-Hooned-Soojus'!$C:$X,2+$C33,FALSE),0)+IF(CE$6="X",VLOOKUP(CE$10,'VK-Transport'!$C:$X,2+$B33,0))+IF(CE$8="X",VLOOKUP(CE$10,'VK-Elekter'!$C:$X,2+$D33,0))+IF(CE$9="X",VLOOKUP(CE$10,'VK-Biokütused'!$C:$U,2+$E33,0))+IF(CE$5="X",VLOOKUP(CE$10,'VK-Põlevkivi'!$C:$X,2+$G33,0))+IF(CE$4="X",VLOOKUP(CE$10,'VK-Võrgud'!$C:$X,2+$F33,0)))/16</f>
        <v>24.15625</v>
      </c>
      <c r="CF33" s="209"/>
      <c r="CG33" s="209">
        <f>(IF(CG$7="X",VLOOKUP(CG$10,'VK-Hooned-Soojus'!$C:$X,2+$C33,FALSE),0)+IF(CG$6="X",VLOOKUP(CG$10,'VK-Transport'!$C:$X,2+$B33,0))+IF(CG$8="X",VLOOKUP(CG$10,'VK-Elekter'!$C:$X,2+$D33,0))+IF(CG$9="X",VLOOKUP(CG$10,'VK-Biokütused'!$C:$U,2+$E33,0))+IF(CG$5="X",VLOOKUP(CG$10,'VK-Põlevkivi'!$C:$X,2+$G33,0))+IF(CG$4="X",VLOOKUP(CG$10,'VK-Võrgud'!$C:$X,2+$F33,0)))/16</f>
        <v>0</v>
      </c>
      <c r="CH33" s="209">
        <f>(IF(CH$7="X",VLOOKUP(CH$10,'VK-Hooned-Soojus'!$C:$X,2+$C33,FALSE),0)+IF(CH$6="X",VLOOKUP(CH$10,'VK-Transport'!$C:$X,2+$B33,0))+IF(CH$8="X",VLOOKUP(CH$10,'VK-Elekter'!$C:$X,2+$D33,0))+IF(CH$9="X",VLOOKUP(CH$10,'VK-Biokütused'!$C:$U,2+$E33,0))+IF(CH$5="X",VLOOKUP(CH$10,'VK-Põlevkivi'!$C:$X,2+$G33,0))+IF(CH$4="X",VLOOKUP(CH$10,'VK-Võrgud'!$C:$X,2+$F33,0)))/20*0.21</f>
        <v>11.225549999999998</v>
      </c>
      <c r="CI33" s="209"/>
      <c r="CJ33" s="209">
        <f>(IF(CJ$7="X",VLOOKUP(CJ$10,'VK-Hooned-Soojus'!$C:$X,2+$C33,FALSE),0)+IF(CJ$6="X",VLOOKUP(CJ$10,'VK-Transport'!$C:$X,2+$B33,0))+IF(CJ$8="X",VLOOKUP(CJ$10,'VK-Elekter'!$C:$X,2+$D33,0))+IF(CJ$9="X",VLOOKUP(CJ$10,'VK-Biokütused'!$C:$U,2+$E33,0))+IF(CJ$5="X",VLOOKUP(CJ$10,'VK-Põlevkivi'!$C:$X,2+$G33,0))+IF(CJ$4="X",VLOOKUP(CJ$10,'VK-Võrgud'!$C:$X,2+$F33,0)))/1000</f>
        <v>19.294861099430584</v>
      </c>
      <c r="CK33" s="209">
        <f>(IF(CK$7="X",VLOOKUP(CK$10,'VK-Hooned-Soojus'!$C:$X,2+$C33,FALSE),0)+IF(CK$6="X",VLOOKUP(CK$10,'VK-Transport'!$C:$X,2+$B33,0))+IF(CK$8="X",VLOOKUP(CK$10,'VK-Elekter'!$C:$X,2+$D33,0))+IF(CK$9="X",VLOOKUP(CK$10,'VK-Biokütused'!$C:$U,2+$E33,0))+IF(CK$5="X",VLOOKUP(CK$10,'VK-Põlevkivi'!$C:$X,2+$G33,0))+IF(CK$4="X",VLOOKUP(CK$10,'VK-Võrgud'!$C:$X,2+$F33,0)))/1000</f>
        <v>11.875124562278598</v>
      </c>
      <c r="CL33" s="235">
        <f>(IF(CL$7="X",VLOOKUP(CL$10,'VK-Hooned-Soojus'!$C:$X,2+$C33,FALSE),0)+IF(CL$6="X",VLOOKUP(CL$10,'VK-Transport'!$C:$X,2+$B33,0))+IF(CL$8="X",VLOOKUP(CL$10,'VK-Elekter'!$C:$X,2+$D33,0))+IF(CL$9="X",VLOOKUP(CL$10,'VK-Biokütused'!$C:$U,2+$E33,0)))/1000</f>
        <v>9.1478856510938069</v>
      </c>
      <c r="CM33" s="209">
        <f>(IF(CM$7="X",VLOOKUP(CM$10,'VK-Hooned-Soojus'!$C:$X,2+$C33,FALSE),0)+IF(CM$6="X",VLOOKUP(CM$10,'VK-Transport'!$C:$X,2+$B33,0))+IF(CM$8="X",VLOOKUP(CM$10,'VK-Elekter'!$C:$X,2+$D33,0))+IF(CM$9="X",VLOOKUP(CM$10,'VK-Biokütused'!$C:$U,2+$E33,0))+IF(CM$5="X",VLOOKUP(CM$10,'VK-Põlevkivi'!$C:$X,2+$G33,0))+IF(CM$4="X",VLOOKUP(CM$10,'VK-Võrgud'!$C:$X,2+$F33,0)))/1000</f>
        <v>7.8093156794471028</v>
      </c>
      <c r="CN33" s="209">
        <f>(IF(CN$7="X",VLOOKUP(CN$10,'VK-Hooned-Soojus'!$C:$X,2+$C33,FALSE),0)+IF(CN$6="X",VLOOKUP(CN$10,'VK-Transport'!$C:$X,2+$B33,0))+IF(CN$8="X",VLOOKUP(CN$10,'VK-Elekter'!$C:$X,2+$D33,0))+IF(CN$9="X",VLOOKUP(CN$10,'VK-Biokütused'!$C:$U,2+$E33,0))+IF(CN$5="X",VLOOKUP(CN$10,'VK-Põlevkivi'!$C:$X,2+$G33,0))+IF(CN$4="X",VLOOKUP(CN$10,'VK-Võrgud'!$C:$X,2+$F33,0)))/1000</f>
        <v>2.851</v>
      </c>
      <c r="CO33" s="209">
        <f>(IF(CO$7="X",VLOOKUP(CO$10,'VK-Hooned-Soojus'!$C:$X,2+$C33,FALSE),0)+IF(CO$6="X",VLOOKUP(CO$10,'VK-Transport'!$C:$X,2+$B33,0))+IF(CO$8="X",VLOOKUP(CO$10,'VK-Elekter'!$C:$X,2+$D33,0))+IF(CO$9="X",VLOOKUP(CO$10,'VK-Biokütused'!$C:$U,2+$E33,0))+IF(CO$5="X",VLOOKUP(CO$10,'VK-Põlevkivi'!$C:$X,2+$G33,0))+IF(CO$4="X",VLOOKUP(CO$10,'VK-Võrgud'!$C:$X,2+$F33,0)))/1000</f>
        <v>25.299649773285456</v>
      </c>
      <c r="CP33" s="209">
        <f>(IF(CP$7="X",VLOOKUP(CP$10,'VK-Hooned-Soojus'!$C:$X,2+$C33,FALSE),0)+IF(CP$6="X",VLOOKUP(CP$10,'VK-Transport'!$C:$X,2+$B33,0))+IF(CP$8="X",VLOOKUP(CP$10,'VK-Elekter'!$C:$X,2+$D33,0))+IF(CP$9="X",VLOOKUP(CP$10,'VK-Biokütused'!$C:$U,2+$E33,0))+IF(CP$5="X",VLOOKUP(CP$10,'VK-Põlevkivi'!$C:$X,2+$G33,0))+IF(CP$4="X",VLOOKUP(CP$10,'VK-Võrgud'!$C:$X,2+$F33,0)))/1000</f>
        <v>13.443948584295613</v>
      </c>
      <c r="CQ33" s="235">
        <f>(IF(CQ$7="X",VLOOKUP(CQ$10,'VK-Hooned-Soojus'!$C:$X,2+$C33,FALSE),0)+IF(CQ$6="X",VLOOKUP(CQ$10,'VK-Transport'!$C:$X,2+$B33,0))+IF(CQ$8="X",VLOOKUP(CQ$10,'VK-Elekter'!$C:$X,2+$D33,0))+IF(CQ$9="X",VLOOKUP(CQ$10,'VK-Biokütused'!$C:$U,2+$E33,0)))/1000</f>
        <v>10.994907</v>
      </c>
      <c r="CR33" s="209">
        <f>(IF(CR$7="X",VLOOKUP(CR$10,'VK-Hooned-Soojus'!$C:$X,2+$C33,FALSE),0)+IF(CR$6="X",VLOOKUP(CR$10,'VK-Transport'!$C:$X,2+$B33,0))+IF(CR$8="X",VLOOKUP(CR$10,'VK-Elekter'!$C:$X,2+$D33,0))+IF(CR$9="X",VLOOKUP(CR$10,'VK-Biokütused'!$C:$U,2+$E33,0))+IF(CR$5="X",VLOOKUP(CR$10,'VK-Põlevkivi'!$C:$X,2+$G33,0))+IF(CR$4="X",VLOOKUP(CR$10,'VK-Võrgud'!$C:$X,2+$F33,0)))/1000</f>
        <v>7.9057533562748041</v>
      </c>
      <c r="CS33" s="209">
        <f>(IF(CS$7="X",VLOOKUP(CS$10,'VK-Hooned-Soojus'!$C:$X,2+$C33,FALSE),0)+IF(CS$6="X",VLOOKUP(CS$10,'VK-Transport'!$C:$X,2+$B33,0))+IF(CS$8="X",VLOOKUP(CS$10,'VK-Elekter'!$C:$X,2+$D33,0))+IF(CS$9="X",VLOOKUP(CS$10,'VK-Biokütused'!$C:$U,2+$E33,0))+IF(CS$5="X",VLOOKUP(CS$10,'VK-Põlevkivi'!$C:$X,2+$G33,0))+IF(CS$4="X",VLOOKUP(CS$10,'VK-Võrgud'!$C:$X,2+$F33,0)))/1000</f>
        <v>3.966152405121615</v>
      </c>
      <c r="CT33" s="209">
        <f>IF(CT$7="X",VLOOKUP(CT$10,'VK-Hooned-Soojus'!$C:$X,2+$C33,FALSE),0)+IF(CT$6="X",VLOOKUP(CT$10,'VK-Transport'!$C:$X,2+$B33,0))+IF(CT$8="X",VLOOKUP(CT$10,'VK-Elekter'!$C:$X,2+$D33,0))+IF(CT$9="X",VLOOKUP(CT$10,'VK-Biokütused'!$C:$U,2+$E33,0))+IF(CT$5="X",VLOOKUP(CT$10,'VK-Põlevkivi'!$C:$X,2+$G33,0))+IF(CT$4="X",VLOOKUP(CT$10,'VK-Võrgud'!$C:$X,2+$F33,0))</f>
        <v>90</v>
      </c>
      <c r="CU33" s="209">
        <f>IF(CU$7="X",VLOOKUP(CU$10,'VK-Hooned-Soojus'!$C:$X,2+$C33,FALSE),0)+IF(CU$6="X",VLOOKUP(CU$10,'VK-Transport'!$C:$X,2+$B33,0))+IF(CU$8="X",VLOOKUP(CU$10,'VK-Elekter'!$C:$X,2+$D33,0))+IF(CU$9="X",VLOOKUP(CU$10,'VK-Biokütused'!$C:$U,2+$E33,0))+IF(CU$5="X",VLOOKUP(CU$10,'VK-Põlevkivi'!$C:$X,2+$G33,0))+IF(CU$4="X",VLOOKUP(CU$10,'VK-Võrgud'!$C:$X,2+$F33,0))</f>
        <v>0.9337349397590361</v>
      </c>
      <c r="CV33" s="209">
        <f t="shared" si="1"/>
        <v>0.91028830406496797</v>
      </c>
      <c r="CW33" s="209">
        <f>(IF(CW$7="X",VLOOKUP(CW$10,'VK-Hooned-Soojus'!$C:$X,2+$C33,FALSE),0)+IF(CW$6="X",VLOOKUP(CW$10,'VK-Transport'!$C:$X,2+$B33,0))+IF(CW$8="X",VLOOKUP(CW$10,'VK-Elekter'!$C:$X,2+$D33,0))+IF(CW$9="X",VLOOKUP(CW$10,'VK-Biokütused'!$C:$U,2+$E33,0))+IF(CW$5="X",VLOOKUP(CW$10,'VK-Põlevkivi'!$C:$X,2+$G33,0))+IF(CW$4="X",VLOOKUP(CW$10,'VK-Võrgud'!$C:$X,2+$F33,0)))/16</f>
        <v>59.743749999999999</v>
      </c>
      <c r="CY33" s="209">
        <f>(IF(CY$7="X",VLOOKUP(CY$10,'VK-Hooned-Soojus'!$C:$X,2+$C33,FALSE),0)+IF(CY$6="X",VLOOKUP(CY$10,'VK-Transport'!$C:$X,2+$B33,0))+IF(CY$8="X",VLOOKUP(CY$10,'VK-Elekter'!$C:$X,2+$D33,0))+IF(CY$9="X",VLOOKUP(CY$10,'VK-Biokütused'!$C:$U,2+$E33,0))+IF(CY$5="X",VLOOKUP(CY$10,'VK-Põlevkivi'!$C:$X,2+$G33,0))+IF(CY$4="X",VLOOKUP(CY$10,'VK-Võrgud'!$C:$X,2+$F33,0)))/1000</f>
        <v>11.025</v>
      </c>
      <c r="CZ33" s="209">
        <f>(IF(CZ$7="X",VLOOKUP(CZ$10,'VK-Hooned-Soojus'!$C:$X,2+$C33,FALSE),0)+IF(CZ$6="X",VLOOKUP(CZ$10,'VK-Transport'!$C:$X,2+$B33,0))+IF(CZ$8="X",VLOOKUP(CZ$10,'VK-Elekter'!$C:$X,2+$D33,0))+IF(CZ$9="X",VLOOKUP(CZ$10,'VK-Biokütused'!$C:$U,2+$E33,0))+IF(CZ$5="X",VLOOKUP(CZ$10,'VK-Põlevkivi'!$C:$X,2+$G33,0))+IF(CZ$4="X",VLOOKUP(CZ$10,'VK-Võrgud'!$C:$X,2+$F33,0)))</f>
        <v>75.400000000000006</v>
      </c>
      <c r="DA33" s="209">
        <f>(IF(DA$7="X",VLOOKUP(DA$10,'VK-Hooned-Soojus'!$C:$X,2+$C33,FALSE),0)+IF(DA$6="X",VLOOKUP(DA$10,'VK-Transport'!$C:$X,2+$B33,0))+IF(DA$8="X",VLOOKUP(DA$10,'VK-Elekter'!$C:$X,2+$D33,0))+IF(DA$9="X",VLOOKUP(DA$10,'VK-Biokütused'!$C:$U,2+$E33,0))+IF(DA$5="X",VLOOKUP(DA$10,'VK-Põlevkivi'!$C:$X,2+$G33,0))+IF(DA$4="X",VLOOKUP(DA$10,'VK-Võrgud'!$C:$X,2+$F33,0)))/1000</f>
        <v>14.628</v>
      </c>
      <c r="DB33" s="209">
        <f>(IF(DB$7="X",VLOOKUP(DB$10,'VK-Hooned-Soojus'!$C:$X,2+$C33,FALSE),0)+IF(DB$6="X",VLOOKUP(DB$10,'VK-Transport'!$C:$X,2+$B33,0))+IF(DB$8="X",VLOOKUP(DB$10,'VK-Elekter'!$C:$X,2+$D33,0))+IF(DB$9="X",VLOOKUP(DB$10,'VK-Biokütused'!$C:$U,2+$E33,0))+IF(DB$5="X",VLOOKUP(DB$10,'VK-Põlevkivi'!$C:$X,2+$G33,0))+IF(DB$4="X",VLOOKUP(DB$10,'VK-Võrgud'!$C:$X,2+$F33,0)))/1000/3.6</f>
        <v>65.400555555555556</v>
      </c>
      <c r="DC33" s="209">
        <f>(IF(DC$7="X",VLOOKUP(DC$10,'VK-Hooned-Soojus'!$C:$X,2+$C33,FALSE),0)+IF(DC$6="X",VLOOKUP(DC$10,'VK-Transport'!$C:$X,2+$B33,0))+IF(DC$8="X",VLOOKUP(DC$10,'VK-Elekter'!$C:$X,2+$D33,0))+IF(DC$9="X",VLOOKUP(DC$10,'VK-Biokütused'!$C:$U,2+$E33,0))+IF(DC$5="X",VLOOKUP(DC$10,'VK-Põlevkivi'!$C:$X,2+$G33,0))+IF(DC$4="X",VLOOKUP(DC$10,'VK-Võrgud'!$C:$X,2+$F33,0)))/1000000</f>
        <v>5.2648729999999997</v>
      </c>
      <c r="DD33" s="209"/>
      <c r="DE33" s="88">
        <f>VLOOKUP(Tulemused!$BN$12,data!M$7:N$12,2,FALSE)-SUM(L33,M33)</f>
        <v>-2.6566444444444528</v>
      </c>
      <c r="DF33" s="209" t="str">
        <f>IF(AZ33&lt;=VLOOKUP(Tulemused!$BN$15,data!$E$36:$F$39,2,FALSE),"JAH","EI")</f>
        <v>JAH</v>
      </c>
      <c r="DG33" s="209"/>
      <c r="DH33" s="209">
        <f t="shared" si="2"/>
        <v>6.28</v>
      </c>
      <c r="DI33" s="231" t="str">
        <f t="shared" si="17"/>
        <v>EI</v>
      </c>
      <c r="DK33" s="232">
        <f t="shared" si="3"/>
        <v>-997.44084933269403</v>
      </c>
      <c r="DM33" s="233">
        <f t="shared" si="4"/>
        <v>-990.98393385623285</v>
      </c>
      <c r="DN33" s="87">
        <f t="array" ref="DN33">INDEX($A$11:$A$145, SMALL(IF(DM33=$DK$11:$DK$145, MATCH(ROW($DK$11:$DK$145), ROW($DK$11:$DK$145))), SUM(--(DM33=$DM$11:DM33))))</f>
        <v>100</v>
      </c>
      <c r="DP33" s="87" t="e">
        <f t="shared" ca="1" si="18"/>
        <v>#N/A</v>
      </c>
      <c r="DQ33" s="87" t="e">
        <f t="shared" ca="1" si="19"/>
        <v>#N/A</v>
      </c>
      <c r="DR33" s="87">
        <f t="shared" ca="1" si="20"/>
        <v>0</v>
      </c>
      <c r="DS33" s="87" t="e">
        <f t="shared" ca="1" si="21"/>
        <v>#N/A</v>
      </c>
      <c r="DT33" s="87">
        <f t="shared" ca="1" si="22"/>
        <v>0</v>
      </c>
      <c r="DU33" s="87" t="e">
        <f t="shared" ca="1" si="23"/>
        <v>#N/A</v>
      </c>
      <c r="DV33" s="87" t="e">
        <f t="shared" ca="1" si="24"/>
        <v>#N/A</v>
      </c>
      <c r="DW33" s="87">
        <f t="shared" ca="1" si="25"/>
        <v>0</v>
      </c>
      <c r="DX33" s="87">
        <f t="shared" ca="1" si="26"/>
        <v>0</v>
      </c>
      <c r="DZ33" s="87">
        <f t="shared" ca="1" si="35"/>
        <v>0</v>
      </c>
      <c r="EB33" s="87">
        <f t="shared" ca="1" si="27"/>
        <v>0</v>
      </c>
      <c r="EC33" s="87" t="e">
        <f t="shared" ca="1" si="28"/>
        <v>#N/A</v>
      </c>
      <c r="EE33" s="228">
        <f>(IF(EE$7="X",VLOOKUP(EE$10,'VK-Hooned-Soojus'!$C:$X,2+$C33,FALSE),0)+IF(EE$6="X",VLOOKUP(EE$10,'VK-Transport'!$C:$X,2+$B33,0))+IF(EE$8="X",VLOOKUP(EE$10,'VK-Elekter'!$C:$X,2+$D33,0))+IF(EE$9="X",VLOOKUP(EE$10,'VK-Biokütused'!$C:$U,2+$E33,0))+IF(EE$5="X",VLOOKUP(EE$10,'VK-Põlevkivi'!$C:$X,2+$G33,0))+IF(EE$4="X",VLOOKUP(EE$10,'VK-Võrgud'!$C:$X,2+$F33,0)))</f>
        <v>8947.1579780612719</v>
      </c>
      <c r="EF33" s="235">
        <f>(IF(EF$7="X",VLOOKUP(EF$10,'VK-Hooned-Soojus'!$C:$X,2+$C33,FALSE),0)+IF(EF$6="X",VLOOKUP(EF$10,'VK-Transport'!$C:$X,2+$B33,0))+IF(EF$8="X",VLOOKUP(EF$10,'VK-Elekter'!$C:$X,2+$D33,0))+IF(EF$9="X",VLOOKUP(EF$10,'VK-Biokütused'!$C:$U,2+$E33,0)))/1000</f>
        <v>4.9646368215830607</v>
      </c>
      <c r="EG33" s="209">
        <f>(IF(EG$7="X",VLOOKUP(EG$10,'VK-Hooned-Soojus'!$C:$X,2+$C33,FALSE),0)+IF(EG$6="X",VLOOKUP(EG$10,'VK-Transport'!$C:$X,2+$B33,0))+IF(EG$8="X",VLOOKUP(EG$10,'VK-Elekter'!$C:$X,2+$D33,0))+IF(EG$9="X",VLOOKUP(EG$10,'VK-Biokütused'!$C:$U,2+$E33,0))+IF(EG$5="X",VLOOKUP(EG$10,'VK-Põlevkivi'!$C:$X,2+$G33,0))+IF(EG$4="X",VLOOKUP(EG$10,'VK-Võrgud'!$C:$X,2+$F33,0)))</f>
        <v>2.95</v>
      </c>
      <c r="EH33" s="209">
        <f>(IF(EH$7="X",VLOOKUP(EH$10,'VK-Hooned-Soojus'!$C:$X,2+$C33,FALSE),0)+IF(EH$6="X",VLOOKUP(EH$10,'VK-Transport'!$C:$X,2+$B33,0))+IF(EH$8="X",VLOOKUP(EH$10,'VK-Elekter'!$C:$X,2+$D33,0))+IF(EH$9="X",VLOOKUP(EH$10,'VK-Biokütused'!$C:$U,2+$E33,0)))+AR33+AS33+AU33+AX33</f>
        <v>56.576165628957575</v>
      </c>
      <c r="EI33" s="320">
        <f t="shared" si="6"/>
        <v>50.434567183462526</v>
      </c>
      <c r="EJ33" s="322">
        <f t="shared" si="7"/>
        <v>7.7456622103581826E-2</v>
      </c>
      <c r="EK33" s="323">
        <f t="shared" si="29"/>
        <v>0.41245097655919771</v>
      </c>
      <c r="EM33" s="209"/>
      <c r="EN33" s="209">
        <f t="shared" ca="1" si="8"/>
        <v>0</v>
      </c>
      <c r="EO33" s="209"/>
      <c r="EP33" s="234"/>
      <c r="EQ33" s="209">
        <f>(IF(EQ$7="X",VLOOKUP(EQ$10,'VK-Hooned-Soojus'!$C:$X,2+$C33,FALSE),0)+IF(EQ$6="X",VLOOKUP(EQ$10,'VK-Transport'!$C:$X,2+$B33,0))+IF(EQ$8="X",VLOOKUP(EQ$10,'VK-Elekter'!$C:$X,2+$D33,0))+IF(EQ$9="X",VLOOKUP(EQ$10,'VK-Biokütused'!$C:$U,2+$E33,0))+IF(EQ$5="X",VLOOKUP(EQ$10,'VK-Põlevkivi'!$C:$X,2+$G33,0))+IF(EQ$4="X",VLOOKUP(EQ$10,'VK-Võrgud'!$C:$X,2+$F33,0)))/1000</f>
        <v>0.21099999999999999</v>
      </c>
      <c r="ER33" s="209">
        <f>(IF(ER$7="X",VLOOKUP(ER$10,'VK-Hooned-Soojus'!$C:$X,2+$C33,FALSE),0)+IF(ER$6="X",VLOOKUP(ER$10,'VK-Transport'!$C:$X,2+$B33,0))+IF(ER$8="X",VLOOKUP(ER$10,'VK-Elekter'!$C:$X,2+$D33,0))+IF(ER$9="X",VLOOKUP(ER$10,'VK-Biokütused'!$C:$U,2+$E33,0))+IF(ER$5="X",VLOOKUP(ER$10,'VK-Põlevkivi'!$C:$X,2+$G33,0))+IF(ER$4="X",VLOOKUP(ER$10,'VK-Võrgud'!$C:$X,2+$F33,0)))</f>
        <v>0.76300000000000001</v>
      </c>
      <c r="ES33" s="209">
        <f>(IF(ES$7="X",VLOOKUP(ES$10,'VK-Hooned-Soojus'!$C:$X,2+$C33,FALSE),0)+IF(ES$6="X",VLOOKUP(ES$10,'VK-Transport'!$C:$X,2+$B33,0))+IF(ES$8="X",VLOOKUP(ES$10,'VK-Elekter'!$C:$X,2+$D33,0))+IF(ES$9="X",VLOOKUP(ES$10,'VK-Biokütused'!$C:$U,2+$E33,0))+IF(ES$5="X",VLOOKUP(ES$10,'VK-Põlevkivi'!$C:$X,2+$G33,0))+IF(ES$4="X",VLOOKUP(ES$10,'VK-Võrgud'!$C:$X,2+$F33,0)))</f>
        <v>6.28</v>
      </c>
      <c r="ET33" s="209"/>
      <c r="EU33" s="209"/>
      <c r="EV33" s="87">
        <f>'KSH järjestus'!AS26</f>
        <v>1724</v>
      </c>
      <c r="EX33" s="236"/>
      <c r="EY33" s="236"/>
      <c r="EZ33" s="237">
        <f t="shared" si="9"/>
        <v>6.6265060240963902E-2</v>
      </c>
      <c r="FA33" s="209">
        <f>IF(FA$7="X",VLOOKUP(FA$10,'VK-Hooned-Soojus'!$C:$X,2+$C33,FALSE),0)+IF(FA$6="X",VLOOKUP(FA$10,'VK-Transport'!$C:$X,2+$B33,0))+IF(FA$8="X",VLOOKUP(FA$10,'VK-Elekter'!$C:$X,2+$D33,0))+IF(FA$9="X",VLOOKUP(FA$10,'VK-Biokütused'!$C:$U,2+$E33,0))+IF(FA$5="X",VLOOKUP(FA$10,'VK-Põlevkivi'!$C:$X,2+$G33,0))+IF(FA$4="X",VLOOKUP(FA$10,'VK-Võrgud'!$C:$X,2+$F33,0))</f>
        <v>3581.9070000000002</v>
      </c>
      <c r="FB33" s="279">
        <f>(IF(FB$7="X",VLOOKUP(FB$10,'VK-Hooned-Soojus'!$C:$X,2+$C33,FALSE),0)+IF(FB$6="X",VLOOKUP(FB$10,'VK-Transport'!$C:$X,2+$B33,0))+IF(FB$8="X",VLOOKUP(FB$10,'VK-Elekter'!$C:$X,2+$D33,0))+IF(FB$9="X",VLOOKUP(FB$10,'VK-Biokütused'!$C:$U,2+$E33,0))+IF(FB$5="X",VLOOKUP(FB$10,'VK-Põlevkivi'!$C:$X,2+$G33,0))+IF(FB$4="X",VLOOKUP(FB$10,'VK-Võrgud'!$C:$X,2+$F33,0)))/16</f>
        <v>349.22374791907174</v>
      </c>
      <c r="FC33" s="209">
        <f>IF(FC$7="X",VLOOKUP(FC$10,'VK-Hooned-Soojus'!$C:$X,2+$C33,FALSE),0)+IF(FC$6="X",VLOOKUP(FC$10,'VK-Transport'!$C:$X,2+$B33,0))+IF(FC$8="X",VLOOKUP(FC$10,'VK-Elekter'!$C:$X,2+$D33,0))+IF(FC$9="X",VLOOKUP(FC$10,'VK-Biokütused'!$C:$U,2+$E33,0))+IF(FC$5="X",VLOOKUP(FC$10,'VK-Põlevkivi'!$C:$X,2+$G33,0))+IF(FC$4="X",VLOOKUP(FC$10,'VK-Võrgud'!$C:$X,2+$F33,0))</f>
        <v>318.5</v>
      </c>
      <c r="FD33" s="209">
        <f>(IF(FD$7="X",VLOOKUP(FD$10,'VK-Hooned-Soojus'!$C:$X,2+$C33,FALSE),0)+IF(FD$6="X",VLOOKUP(FD$10,'VK-Transport'!$C:$X,2+$B33,0))+IF(FD$8="X",VLOOKUP(FD$10,'VK-Elekter'!$C:$X,2+$D33,0))+IF(FD$9="X",VLOOKUP(FD$10,'VK-Biokütused'!$C:$U,2+$E33,0))+IF(FD$5="X",VLOOKUP(FD$10,'VK-Põlevkivi'!$C:$X,2+$G33,0))+IF(FD$4="X",VLOOKUP(FD$10,'VK-Võrgud'!$C:$X,2+$F33,0)))/16</f>
        <v>349.22374791907174</v>
      </c>
      <c r="FE33" s="209">
        <f>(IF(FE$7="X",VLOOKUP(FE$10,'VK-Hooned-Soojus'!$C:$X,2+$C33,FALSE),0)+IF(FE$6="X",VLOOKUP(FE$10,'VK-Transport'!$C:$X,2+$B33,0))+IF(FE$8="X",VLOOKUP(FE$10,'VK-Elekter'!$C:$X,2+$D33,0))+IF(FE$9="X",VLOOKUP(FE$10,'VK-Biokütused'!$C:$U,2+$E33,0))+IF(FE$5="X",VLOOKUP(FE$10,'VK-Põlevkivi'!$C:$X,2+$G33,0))+IF(FE$4="X",VLOOKUP(FE$10,'VK-Võrgud'!$C:$X,2+$F33,0)))/16</f>
        <v>-51.993219880632097</v>
      </c>
      <c r="FF33" s="209">
        <f>(IF(FF$7="X",VLOOKUP(FF$10,'VK-Hooned-Soojus'!$C:$X,2+$C33,FALSE),0)+IF(FF$6="X",VLOOKUP(FF$10,'VK-Transport'!$C:$X,2+$B33,0))+IF(FF$8="X",VLOOKUP(FF$10,'VK-Elekter'!$C:$X,2+$D33,0))+IF(FF$9="X",VLOOKUP(FF$10,'VK-Biokütused'!$C:$U,2+$E33,0))+IF(FF$5="X",VLOOKUP(FF$10,'VK-Põlevkivi'!$C:$X,2+$G33,0))+IF(FF$4="X",VLOOKUP(FF$10,'VK-Võrgud'!$C:$X,2+$F33,0)))/16</f>
        <v>109.39167990389109</v>
      </c>
      <c r="FG33" s="88">
        <f t="shared" ca="1" si="30"/>
        <v>57.398460023258991</v>
      </c>
      <c r="FH33" s="88"/>
      <c r="FI33" s="88"/>
      <c r="FJ33" s="88">
        <f>VLOOKUP(Tulemused!$BN$12,data!M$7:N$12,2,FALSE)-SUM(L33,M33)</f>
        <v>-2.6566444444444528</v>
      </c>
      <c r="FK33" s="209" t="str">
        <f>IF(AZ33&lt;=VLOOKUP(Tulemused!$BN$15,data!$E$36:$F$39,2,FALSE),"JAH","EI")</f>
        <v>JAH</v>
      </c>
      <c r="FL33" s="235">
        <f ca="1">IF(ISNA(MATCH($A33,INDIRECT(VLOOKUP(Tulemused!$BF$11,data!$J$57:$M$71,4,FALSE)))),0,MATCH($A33,INDIRECT(VLOOKUP(Tulemused!$BF$11,data!$J$57:$M$71,4,FALSE))))</f>
        <v>0</v>
      </c>
      <c r="FM33" s="235" t="str">
        <f t="shared" ca="1" si="10"/>
        <v>JAH</v>
      </c>
      <c r="FN33" s="209">
        <f>VLOOKUP(Tulemused!$BN$13,data!$C$132:$D$137,2,FALSE)-KOMBI!R33</f>
        <v>2.7118331784169403</v>
      </c>
      <c r="FO33" s="209"/>
      <c r="FP33" s="209">
        <f>VLOOKUP(Tulemused!$BN$17,NO_x,2,FALSE)-CJ33</f>
        <v>10.143138900569415</v>
      </c>
      <c r="FQ33" s="209">
        <f>VLOOKUP(Tulemused!$BN$18,SO_2,2,FALSE)-CK33</f>
        <v>40.0088754377214</v>
      </c>
      <c r="FR33" s="209">
        <f>VLOOKUP(Tulemused!$BN$19,LOU,2,FALSE)-CN33</f>
        <v>34.229000000000006</v>
      </c>
      <c r="FS33" s="209">
        <f>VLOOKUP(Tulemused!$BN$20,PM_2.5,2,FALSE)-CM33</f>
        <v>9.1056843205528963</v>
      </c>
      <c r="FT33" s="209">
        <f>VLOOKUP(Tulemused!$BN$13,data!$C$132:$D$137,2,FALSE)-FA33/1000</f>
        <v>2.6640630000000005</v>
      </c>
      <c r="FU33" s="209">
        <f>VLOOKUP(Tulemused!$BN$17,NO_x,2,FALSE)-CO33</f>
        <v>4.1383502267145431</v>
      </c>
      <c r="FV33" s="209">
        <f>VLOOKUP(Tulemused!$BN$18,SO_2,2,FALSE)-CP33</f>
        <v>38.440051415704389</v>
      </c>
      <c r="FW33" s="209">
        <f>VLOOKUP(Tulemused!$BN$19,LOU,2,FALSE)-CS33</f>
        <v>33.113847594878393</v>
      </c>
      <c r="FX33" s="209">
        <f>VLOOKUP(Tulemused!$BN$20,PM_2.5,2,FALSE)-CR33</f>
        <v>9.009246643725195</v>
      </c>
      <c r="FY33" s="209">
        <f>VLOOKUP(Tulemused!$BN$14,KHG_2050,2,FALSE)-EF33</f>
        <v>95.035363178416944</v>
      </c>
      <c r="FZ33" s="231" t="str">
        <f t="shared" ca="1" si="31"/>
        <v>EI</v>
      </c>
      <c r="GA33" s="209"/>
      <c r="GB33" s="209"/>
      <c r="GC33" s="209"/>
      <c r="GD33" s="231"/>
      <c r="GE33" s="87">
        <f t="shared" si="11"/>
        <v>1724</v>
      </c>
      <c r="GF33" s="232" t="str">
        <f t="shared" ca="1" si="32"/>
        <v/>
      </c>
      <c r="GH33" s="238" t="e">
        <f t="shared" ca="1" si="12"/>
        <v>#NUM!</v>
      </c>
      <c r="GI33" s="87" t="e">
        <f t="array" aca="1" ref="GI33" ca="1">INDEX($A$11:$A$145, SMALL(IF(GH33=$GF$11:$GF$145, MATCH(ROW($GF$11:$GF$145), ROW($GF$11:$GF$145))), SUM(--(GH33=$GH$11:GH33))))</f>
        <v>#NUM!</v>
      </c>
      <c r="GM33" s="209">
        <f>IF(GM$7="X",VLOOKUP(GM$10,'VK-Hooned-Soojus'!$C:$X,2+$C33,FALSE),0)+IF(GM$6="X",VLOOKUP(GM$10,'VK-Transport'!$C:$X,2+$B33,0))+IF(GM$8="X",VLOOKUP(GM$10,'VK-Elekter'!$C:$X,2+$D33,0))+IF(GM$9="X",VLOOKUP(GM$10,'VK-Biokütused'!$C:$U,2+$E33,0))+IF(GM$5="X",VLOOKUP(GM$10,'VK-Põlevkivi'!$C:$X,2+$G33,0))+IF(GM$4="X",VLOOKUP(GM$10,'VK-Võrgud'!$C:$X,2+$F33,0))</f>
        <v>6.011750640646909</v>
      </c>
      <c r="GN33" s="209">
        <f>IF(GN$7="X",VLOOKUP(GN$10,'VK-Hooned-Soojus'!$C:$X,2+$C33,FALSE),0)+IF(GN$6="X",VLOOKUP(GN$10,'VK-Transport'!$C:$X,2+$B33,0))+IF(GN$8="X",VLOOKUP(GN$10,'VK-Elekter'!$C:$X,2+$D33,0))+IF(GN$9="X",VLOOKUP(GN$10,'VK-Biokütused'!$C:$U,2+$E33,0))+IF(GN$5="X",VLOOKUP(GN$10,'VK-Põlevkivi'!$C:$X,2+$G33,0))+IF(GN$4="X",VLOOKUP(GN$10,'VK-Võrgud'!$C:$X,2+$F33,0))</f>
        <v>3.4528686473995491</v>
      </c>
      <c r="GO33" s="209">
        <f>IF(GO$7="X",VLOOKUP(GO$10,'VK-Hooned-Soojus'!$C:$X,2+$C33,FALSE),0)+IF(GO$6="X",VLOOKUP(GO$10,'VK-Transport'!$C:$X,2+$B33,0))+IF(GO$8="X",VLOOKUP(GO$10,'VK-Elekter'!$C:$X,2+$D33,0))+IF(GO$9="X",VLOOKUP(GO$10,'VK-Biokütused'!$C:$U,2+$E33,0))+IF(GO$5="X",VLOOKUP(GO$10,'VK-Põlevkivi'!$C:$X,2+$G33,0))+IF(GO$4="X",VLOOKUP(GO$10,'VK-Võrgud'!$C:$X,2+$F33,0))</f>
        <v>7.936370010272257</v>
      </c>
      <c r="GP33" s="209">
        <f>IF(GP$7="X",VLOOKUP(GP$10,'VK-Hooned-Soojus'!$C:$X,2+$C33,FALSE),0)+IF(GP$6="X",VLOOKUP(GP$10,'VK-Transport'!$C:$X,2+$B33,0))+IF(GP$8="X",VLOOKUP(GP$10,'VK-Elekter'!$C:$X,2+$D33,0))+IF(GP$9="X",VLOOKUP(GP$10,'VK-Biokütused'!$C:$U,2+$E33,0))+IF(GP$5="X",VLOOKUP(GP$10,'VK-Põlevkivi'!$C:$X,2+$G33,0))+IF(GP$4="X",VLOOKUP(GP$10,'VK-Võrgud'!$C:$X,2+$F33,0))</f>
        <v>9.1527946929596489</v>
      </c>
      <c r="GQ33" s="88">
        <f>IF(GQ$7="X",VLOOKUP(GQ$10,'VK-Hooned-Soojus'!$C:$X,2+$C33,FALSE),0)+IF(GQ$6="X",VLOOKUP(GQ$10,'VK-Transport'!$C:$X,2+$B33,0))+IF(GQ$8="X",VLOOKUP(GQ$10,'VK-Elekter'!$C:$X,2+$D33,0))+IF(GQ$9="X",VLOOKUP(GQ$10,'VK-Biokütused'!$C:$U,2+$E33,0))+IF(GQ$5="X",VLOOKUP(GQ$10,'VK-Põlevkivi'!$C:$X,2+$G33,0))+IF(GQ$4="X",VLOOKUP(GQ$10,'VK-Võrgud'!$C:$X,2+$F33,0))</f>
        <v>0.9682855968523334</v>
      </c>
      <c r="GR33" s="186">
        <f t="shared" si="33"/>
        <v>0.38247848479173396</v>
      </c>
    </row>
    <row r="34" spans="1:200" x14ac:dyDescent="0.2">
      <c r="A34" s="184">
        <v>24</v>
      </c>
      <c r="B34" s="87">
        <v>1</v>
      </c>
      <c r="C34" s="87">
        <v>2</v>
      </c>
      <c r="D34" s="87">
        <v>3</v>
      </c>
      <c r="E34" s="87">
        <v>3</v>
      </c>
      <c r="F34" s="87">
        <f>VLOOKUP(Tulemused!$BF$7,data!$J$6:$K$8,2,FALSE)</f>
        <v>2</v>
      </c>
      <c r="G34" s="87">
        <f>VLOOKUP(data!$H$2,data!$J$12:$K$14,2,FALSE)</f>
        <v>2</v>
      </c>
      <c r="I34" s="209">
        <f>IF(I$7="X",VLOOKUP(I$10,'VK-Hooned-Soojus'!$C:$X,2+$C34,FALSE),0)+IF(I$6="X",VLOOKUP(I$10,'VK-Transport'!$C:$X,2+$B34,0))+IF(I$8="X",VLOOKUP(I$10,'VK-Elekter'!$C:$X,2+$D34,0))+IF(I$9="X",VLOOKUP(I$10,'VK-Biokütused'!$C:$U,2+$E34,0))+IF(I$5="X",VLOOKUP(I$10,'VK-Põlevkivi'!$C:$X,2+$G34,0))+IF(I$4="X",VLOOKUP(I$10,'VK-Võrgud'!$C:$X,2+$F34,0))</f>
        <v>24.79</v>
      </c>
      <c r="J34" s="209">
        <f>IF(J$7="X",VLOOKUP(J$10,'VK-Hooned-Soojus'!$C:$X,2+$C34,FALSE),0)+IF(J$6="X",VLOOKUP(J$10,'VK-Transport'!$C:$X,2+$B34,0))+IF(J$8="X",VLOOKUP(J$10,'VK-Elekter'!$C:$X,2+$D34,0))+IF(J$9="X",VLOOKUP(J$10,'VK-Biokütused'!$C:$U,2+$E34,0))+IF(J$5="X",VLOOKUP(J$10,'VK-Põlevkivi'!$C:$X,2+$G34,0))+IF(J$4="X",VLOOKUP(J$10,'VK-Võrgud'!$C:$X,2+$F34,0))</f>
        <v>13.295833333333334</v>
      </c>
      <c r="K34" s="209">
        <f>IF(K$7="X",VLOOKUP(K$10,'VK-Hooned-Soojus'!$C:$X,2+$C34,FALSE),0)+IF(K$6="X",VLOOKUP(K$10,'VK-Transport'!$C:$X,2+$B34,0))+IF(K$8="X",VLOOKUP(K$10,'VK-Elekter'!$C:$X,2+$D34,0))+IF(K$9="X",VLOOKUP(K$10,'VK-Biokütused'!$C:$U,2+$E34,0))+IF(K$5="X",VLOOKUP(K$10,'VK-Põlevkivi'!$C:$X,2+$G34,0))+IF(K$4="X",VLOOKUP(K$10,'VK-Võrgud'!$C:$X,2+$F34,0))</f>
        <v>15.27</v>
      </c>
      <c r="L34" s="209">
        <f>IF(L$7="X",VLOOKUP(L$10,'VK-Hooned-Soojus'!$C:$X,2+$C34,FALSE),0)+IF(L$6="X",VLOOKUP(L$10,'VK-Transport'!$C:$X,2+$B34,0))+IF(L$8="X",VLOOKUP(L$10,'VK-Elekter'!$C:$X,2+$D34,0))+IF(L$9="X",VLOOKUP(L$10,'VK-Biokütused'!$C:$U,2+$E34,0))+IF(L$5="X",VLOOKUP(L$10,'VK-Põlevkivi'!$C:$X,2+$G34,0))+IF(L$4="X",VLOOKUP(L$10,'VK-Võrgud'!$C:$X,2+$F34,0))</f>
        <v>24.2</v>
      </c>
      <c r="M34" s="209">
        <f>IF(M$7="X",VLOOKUP(M$10,'VK-Hooned-Soojus'!$C:$X,2+$C34,FALSE),0)+IF(M$6="X",VLOOKUP(M$10,'VK-Transport'!$C:$X,2+$B34,0))+IF(M$8="X",VLOOKUP(M$10,'VK-Elekter'!$C:$X,2+$D34,0))+IF(M$9="X",VLOOKUP(M$10,'VK-Biokütused'!$C:$U,2+$E34,0))+IF(M$5="X",VLOOKUP(M$10,'VK-Põlevkivi'!$C:$X,2+$G34,0))+IF(M$4="X",VLOOKUP(M$10,'VK-Võrgud'!$C:$X,2+$F34,0))</f>
        <v>11.289444444444445</v>
      </c>
      <c r="N34" s="209">
        <f>IF(N$7="X",VLOOKUP(N$10,'VK-Hooned-Soojus'!$C:$X,2+$C34,FALSE),0)+IF(N$6="X",VLOOKUP(N$10,'VK-Transport'!$C:$X,2+$B34,0))+IF(N$8="X",VLOOKUP(N$10,'VK-Elekter'!$C:$X,2+$D34,0))+IF(N$9="X",VLOOKUP(N$10,'VK-Biokütused'!$C:$U,2+$E34,0))+IF(N$5="X",VLOOKUP(N$10,'VK-Põlevkivi'!$C:$X,2+$G34,0))+IF(N$4="X",VLOOKUP(N$10,'VK-Võrgud'!$C:$X,2+$F34,0))</f>
        <v>16.09</v>
      </c>
      <c r="O34" s="209">
        <f t="shared" si="13"/>
        <v>38.085833333333333</v>
      </c>
      <c r="P34" s="209"/>
      <c r="Q34" s="209">
        <f>(IF(Q$7="X",VLOOKUP(Q$10,'VK-Hooned-Soojus'!$C:$X,2+$C34,FALSE),0)+IF(Q$6="X",VLOOKUP(Q$10,'VK-Transport'!$C:$X,2+$B34,0))+IF(Q$8="X",VLOOKUP(Q$10,'VK-Elekter'!$C:$X,2+$D34,0))+IF(Q$9="X",VLOOKUP(Q$10,'VK-Biokütused'!$C:$U,2+$E34,0))+IF(Q$5="X",VLOOKUP(Q$10,'VK-Põlevkivi'!$C:$X,2+$G34,0))+IF(Q$4="X",VLOOKUP(Q$10,'VK-Võrgud'!$C:$X,2+$F34,0)))/1000</f>
        <v>5.0650000000000004</v>
      </c>
      <c r="R34" s="209">
        <f>(IF(R$7="X",VLOOKUP(R$10,'VK-Hooned-Soojus'!$C:$X,2+$C34,FALSE),0)+IF(R$6="X",VLOOKUP(R$10,'VK-Transport'!$C:$X,2+$B34,0))+IF(R$8="X",VLOOKUP(R$10,'VK-Elekter'!$C:$X,2+$D34,0))+IF(R$9="X",VLOOKUP(R$10,'VK-Biokütused'!$C:$U,2+$E34,0))+IF(R$5="X",VLOOKUP(R$10,'VK-Põlevkivi'!$C:$X,2+$G34,0))+IF(R$4="X",VLOOKUP(R$10,'VK-Võrgud'!$C:$X,2+$F34,0)))/1000</f>
        <v>3.7428368215830607</v>
      </c>
      <c r="S34" s="226">
        <f>VLOOKUP(S$10,'VK-Hooned-Soojus'!$C:$I,2+$C34,FALSE) + VLOOKUP(S$10,'VK-Transport'!$C:$I,2+$B34,FALSE)+ VLOOKUP(S$10,'VK-Biokütused'!$C:$G,2+$E34,FALSE)+ VLOOKUP(S$10,'VK-Elekter'!$C:$I,2+$D34,FALSE)+ VLOOKUP(S$10,'VK-Põlevkivi'!$C:$I,2+$G34,FALSE)+ VLOOKUP(S$10,'VK-Võrgud'!$C:$I,2+$F34,FALSE)</f>
        <v>1.8870799757388576E-2</v>
      </c>
      <c r="T34" s="226">
        <f>VLOOKUP(T$10,'VK-Hooned-Soojus'!$C:$I,2+$C34,FALSE) + VLOOKUP(T$10,'VK-Transport'!$C:$I,2+$B34,FALSE)+ VLOOKUP(T$10,'VK-Biokütused'!$C:$G,2+$E34,FALSE)+ VLOOKUP(T$10,'VK-Elekter'!$C:$I,2+$D34,FALSE)+ VLOOKUP(T$10,'VK-Põlevkivi'!$C:$I,2+$G34,FALSE)+ VLOOKUP(T$10,'VK-Võrgud'!$C:$I,2+$F34,FALSE)</f>
        <v>-6.7843381995222269E-3</v>
      </c>
      <c r="U34" s="226">
        <f>VLOOKUP(U$10,'VK-Hooned-Soojus'!$C:$I,2+$C34,FALSE) + VLOOKUP(U$10,'VK-Transport'!$C:$I,2+$B34,FALSE)+ VLOOKUP(U$10,'VK-Biokütused'!$C:$G,2+$E34,FALSE)+ VLOOKUP(U$10,'VK-Elekter'!$C:$I,2+$D34,FALSE)+ VLOOKUP(U$10,'VK-Põlevkivi'!$C:$I,2+$G34,FALSE)+ VLOOKUP(U$10,'VK-Võrgud'!$C:$I,2+$F34,FALSE)</f>
        <v>4.7955901214055963E-3</v>
      </c>
      <c r="V34" s="226">
        <f>VLOOKUP(V$10,'VK-Hooned-Soojus'!$C:$I,2+$C34,FALSE) + VLOOKUP(V$10,'VK-Transport'!$C:$I,2+$B34,FALSE)+ VLOOKUP(V$10,'VK-Biokütused'!$C:$G,2+$E34,FALSE)+ VLOOKUP(V$10,'VK-Elekter'!$C:$I,2+$D34,FALSE)+ VLOOKUP(V$10,'VK-Põlevkivi'!$C:$I,2+$G34,FALSE)+ VLOOKUP(V$10,'VK-Võrgud'!$C:$I,2+$F34,FALSE)</f>
        <v>1.4225280719710975E-2</v>
      </c>
      <c r="W34" s="226">
        <f>VLOOKUP(W$10,'VK-Hooned-Soojus'!$C:$I,2+$C34,FALSE) + VLOOKUP(W$10,'VK-Transport'!$C:$I,2+$B34,FALSE)+ VLOOKUP(W$10,'VK-Biokütused'!$C:$G,2+$E34,FALSE)+ VLOOKUP(W$10,'VK-Elekter'!$C:$I,2+$D34,FALSE)+ VLOOKUP(W$10,'VK-Põlevkivi'!$C:$I,2+$G34,FALSE)+ VLOOKUP(W$10,'VK-Võrgud'!$C:$I,2+$F34,FALSE)</f>
        <v>-4.5574150847373868E-3</v>
      </c>
      <c r="X34" s="226">
        <f>VLOOKUP(X$10,'VK-Hooned-Soojus'!$C:$I,2+$C34,FALSE) + VLOOKUP(X$10,'VK-Transport'!$C:$I,2+$B34,FALSE)+ VLOOKUP(X$10,'VK-Biokütused'!$C:$G,2+$E34,FALSE)+ VLOOKUP(X$10,'VK-Elekter'!$C:$I,2+$D34,FALSE)+ VLOOKUP(X$10,'VK-Põlevkivi'!$C:$I,2+$G34,FALSE)+ VLOOKUP(X$10,'VK-Võrgud'!$C:$I,2+$F34,FALSE)</f>
        <v>-8.6974869522515735E-3</v>
      </c>
      <c r="Y34" s="226">
        <f>VLOOKUP(Y$10,'VK-Hooned-Soojus'!$C:$I,2+$C34,FALSE) + VLOOKUP(Y$10,'VK-Transport'!$C:$I,2+$B34,FALSE)+ VLOOKUP(Y$10,'VK-Biokütused'!$C:$G,2+$E34,FALSE)+ VLOOKUP(Y$10,'VK-Elekter'!$C:$I,2+$D34,FALSE)+ VLOOKUP(Y$10,'VK-Põlevkivi'!$C:$I,2+$G34,FALSE)+ VLOOKUP(Y$10,'VK-Võrgud'!$C:$I,2+$F34,FALSE)</f>
        <v>-1.6647211221985019E-2</v>
      </c>
      <c r="Z34" s="227">
        <f>(S34*Tulemused!$Q$9*10+T34*Tulemused!$Q$10*10+KOMBI!U34*Tulemused!$Q$11*10+KOMBI!V34*Tulemused!$Q$12*10)*Tulemused!$Q$8+-(W34*Tulemused!$Q$14*10+KOMBI!X34*Tulemused!$Q$15*10+KOMBI!Y34*Tulemused!$Q$16*10)*Tulemused!$Q$13</f>
        <v>3.4642503895475349</v>
      </c>
      <c r="AA34" s="228">
        <f>(IF(AA$7="X",VLOOKUP(AA$10,'VK-Hooned-Soojus'!$C:$X,2+$C34,FALSE),0)+IF(AA$6="X",VLOOKUP(AA$10,'VK-Transport'!$C:$X,2+$B34,0))+IF(AA$8="X",VLOOKUP(AA$10,'VK-Elekter'!$C:$X,2+$D34,0))+IF(AA$9="X",VLOOKUP(AA$10,'VK-Biokütused'!$C:$U,2+$E34,0))+IF(AA$5="X",VLOOKUP(AA$10,'VK-Põlevkivi'!$C:$X,2+$G34,0))+IF(AA$4="X",VLOOKUP(AA$10,'VK-Võrgud'!$C:$X,2+$F34,0)))</f>
        <v>3728</v>
      </c>
      <c r="AB34" s="228">
        <f>(IF(AB$7="X",VLOOKUP(AB$10,'VK-Hooned-Soojus'!$C:$X,2+$C34,FALSE),0)+IF(AB$6="X",VLOOKUP(AB$10,'VK-Transport'!$C:$X,2+$B34,0))+IF(AB$8="X",VLOOKUP(AB$10,'VK-Elekter'!$C:$X,2+$D34,0))+IF(AB$9="X",VLOOKUP(AB$10,'VK-Biokütused'!$C:$U,2+$E34,0))+IF(AB$5="X",VLOOKUP(AB$10,'VK-Põlevkivi'!$C:$X,2+$G34,0))+IF(AB$4="X",VLOOKUP(AB$10,'VK-Võrgud'!$C:$X,2+$F34,0)))</f>
        <v>1337</v>
      </c>
      <c r="AC34" s="228">
        <f>(IF(AC$7="X",VLOOKUP(AC$10,'VK-Hooned-Soojus'!$C:$X,2+$C34,FALSE),0)+IF(AC$6="X",VLOOKUP(AC$10,'VK-Transport'!$C:$X,2+$B34,0))+IF(AC$8="X",VLOOKUP(AC$10,'VK-Elekter'!$C:$X,2+$D34,0))+IF(AC$9="X",VLOOKUP(AC$10,'VK-Biokütused'!$C:$U,2+$E34,0))+IF(AC$5="X",VLOOKUP(AC$10,'VK-Põlevkivi'!$C:$X,2+$G34,0))+IF(AC$4="X",VLOOKUP(AC$10,'VK-Võrgud'!$C:$X,2+$F34,0)))</f>
        <v>2346</v>
      </c>
      <c r="AD34" s="228">
        <f>(IF(AD$7="X",VLOOKUP(AD$10,'VK-Hooned-Soojus'!$C:$X,2+$C34,FALSE),0)+IF(AD$6="X",VLOOKUP(AD$10,'VK-Transport'!$C:$X,2+$B34,0))+IF(AD$8="X",VLOOKUP(AD$10,'VK-Elekter'!$C:$X,2+$D34,0))+IF(AD$9="X",VLOOKUP(AD$10,'VK-Biokütused'!$C:$U,2+$E34,0))+IF(AD$5="X",VLOOKUP(AD$10,'VK-Põlevkivi'!$C:$X,2+$G34,0))+IF(AD$4="X",VLOOKUP(AD$10,'VK-Võrgud'!$C:$X,2+$F34,0)))</f>
        <v>586.20000000000005</v>
      </c>
      <c r="AE34" s="228">
        <f>(IF(AE$7="X",VLOOKUP(AE$10,'VK-Hooned-Soojus'!$C:$X,2+$C34,FALSE),0)+IF(AE$6="X",VLOOKUP(AE$10,'VK-Transport'!$C:$X,2+$B34,0))+IF(AE$8="X",VLOOKUP(AE$10,'VK-Elekter'!$C:$X,2+$D34,0))+IF(AE$9="X",VLOOKUP(AE$10,'VK-Biokütused'!$C:$U,2+$E34,0))+IF(AE$5="X",VLOOKUP(AE$10,'VK-Põlevkivi'!$C:$X,2+$G34,0))+IF(AE$4="X",VLOOKUP(AE$10,'VK-Võrgud'!$C:$X,2+$F34,0)))</f>
        <v>666</v>
      </c>
      <c r="AF34" s="228">
        <f>(IF(AF$7="X",VLOOKUP(AF$10,'VK-Hooned-Soojus'!$C:$X,2+$C34,FALSE),0)+IF(AF$6="X",VLOOKUP(AF$10,'VK-Transport'!$C:$X,2+$B34,0))+IF(AF$8="X",VLOOKUP(AF$10,'VK-Elekter'!$C:$X,2+$D34,0))+IF(AF$9="X",VLOOKUP(AF$10,'VK-Biokütused'!$C:$U,2+$E34,0))+IF(AF$5="X",VLOOKUP(AF$10,'VK-Põlevkivi'!$C:$X,2+$G34,0))+IF(AF$4="X",VLOOKUP(AF$10,'VK-Võrgud'!$C:$X,2+$F34,0)))</f>
        <v>2490.6368215830603</v>
      </c>
      <c r="AG34" s="209"/>
      <c r="AH34" s="209">
        <f>IF(AH$7="X",VLOOKUP(AH$10,'VK-Hooned-Soojus'!$C:$X,2+$C34,FALSE),0)+IF(AH$6="X",VLOOKUP(AH$10,'VK-Transport'!$C:$X,2+$B34,0))+IF(AH$8="X",VLOOKUP(AH$10,'VK-Elekter'!$C:$X,2+$D34,0))+IF(AH$9="X",VLOOKUP(AH$10,'VK-Biokütused'!$C:$U,2+$E34,0))+IF(AH$5="X",VLOOKUP(AH$10,'VK-Põlevkivi'!$C:$X,2+$G34,0))+IF(AH$4="X",VLOOKUP(AH$10,'VK-Võrgud'!$C:$X,2+$F34,0))</f>
        <v>11.579999999999998</v>
      </c>
      <c r="AI34" s="209">
        <f>IF(AI$7="X",VLOOKUP(AI$10,'VK-Hooned-Soojus'!$C:$X,2+$C34,FALSE),0)+IF(AI$6="X",VLOOKUP(AI$10,'VK-Transport'!$C:$X,2+$B34,0))+IF(AI$8="X",VLOOKUP(AI$10,'VK-Elekter'!$C:$X,2+$D34,0))+IF(AI$9="X",VLOOKUP(AI$10,'VK-Biokütused'!$C:$U,2+$E34,0))+IF(AI$5="X",VLOOKUP(AI$10,'VK-Põlevkivi'!$C:$X,2+$G34,0))+IF(AI$4="X",VLOOKUP(AI$10,'VK-Võrgud'!$C:$X,2+$F34,0))</f>
        <v>4.45</v>
      </c>
      <c r="AJ34" s="209">
        <f>IF(AJ$7="X",VLOOKUP(AJ$10,'VK-Hooned-Soojus'!$C:$X,2+$C34,FALSE),0)+IF(AJ$6="X",VLOOKUP(AJ$10,'VK-Transport'!$C:$X,2+$B34,0))+IF(AJ$8="X",VLOOKUP(AJ$10,'VK-Elekter'!$C:$X,2+$D34,0))+IF(AJ$9="X",VLOOKUP(AJ$10,'VK-Biokütused'!$C:$U,2+$E34,0))+IF(AJ$5="X",VLOOKUP(AJ$10,'VK-Põlevkivi'!$C:$X,2+$G34,0))+IF(AJ$4="X",VLOOKUP(AJ$10,'VK-Võrgud'!$C:$X,2+$F34,0))</f>
        <v>9.19</v>
      </c>
      <c r="AK34" s="209">
        <f>IF(AK$7="X",VLOOKUP(AK$10,'VK-Hooned-Soojus'!$C:$X,2+$C34,FALSE),0)+IF(AK$6="X",VLOOKUP(AK$10,'VK-Transport'!$C:$X,2+$B34,0))+IF(AK$8="X",VLOOKUP(AK$10,'VK-Elekter'!$C:$X,2+$D34,0))+IF(AK$9="X",VLOOKUP(AK$10,'VK-Biokütused'!$C:$U,2+$E34,0))+IF(AK$5="X",VLOOKUP(AK$10,'VK-Põlevkivi'!$C:$X,2+$G34,0))+IF(AK$4="X",VLOOKUP(AK$10,'VK-Võrgud'!$C:$X,2+$F34,0))</f>
        <v>0.66</v>
      </c>
      <c r="AL34" s="209">
        <f>IF(AL$7="X",VLOOKUP(AL$10,'VK-Hooned-Soojus'!$C:$X,2+$C34,FALSE),0)+IF(AL$6="X",VLOOKUP(AL$10,'VK-Transport'!$C:$X,2+$B34,0))+IF(AL$8="X",VLOOKUP(AL$10,'VK-Elekter'!$C:$X,2+$D34,0))+IF(AL$9="X",VLOOKUP(AL$10,'VK-Biokütused'!$C:$U,2+$E34,0))+IF(AL$5="X",VLOOKUP(AL$10,'VK-Põlevkivi'!$C:$X,2+$G34,0))+IF(AL$4="X",VLOOKUP(AL$10,'VK-Võrgud'!$C:$X,2+$F34,0))</f>
        <v>7.1999999999999993</v>
      </c>
      <c r="AM34" s="209">
        <f>IF(AM$7="X",VLOOKUP(AM$10,'VK-Hooned-Soojus'!$C:$X,2+$C34,FALSE),0)+IF(AM$6="X",VLOOKUP(AM$10,'VK-Transport'!$C:$X,2+$B34,0))+IF(AM$8="X",VLOOKUP(AM$10,'VK-Elekter'!$C:$X,2+$D34,0))+IF(AM$9="X",VLOOKUP(AM$10,'VK-Biokütused'!$C:$U,2+$E34,0))+IF(AM$5="X",VLOOKUP(AM$10,'VK-Põlevkivi'!$C:$X,2+$G34,0))+IF(AM$4="X",VLOOKUP(AM$10,'VK-Võrgud'!$C:$X,2+$F34,0))</f>
        <v>11.9</v>
      </c>
      <c r="AN34" s="209">
        <f>IF(AN$7="X",VLOOKUP(AN$10,'VK-Hooned-Soojus'!$C:$X,2+$C34,FALSE),0)+IF(AN$6="X",VLOOKUP(AN$10,'VK-Transport'!$C:$X,2+$B34,0))+IF(AN$8="X",VLOOKUP(AN$10,'VK-Elekter'!$C:$X,2+$D34,0))+IF(AN$9="X",VLOOKUP(AN$10,'VK-Biokütused'!$C:$U,2+$E34,0))+IF(AN$5="X",VLOOKUP(AN$10,'VK-Põlevkivi'!$C:$X,2+$G34,0))+IF(AN$4="X",VLOOKUP(AN$10,'VK-Võrgud'!$C:$X,2+$F34,0))</f>
        <v>4.8999999999999995</v>
      </c>
      <c r="AO34" s="209">
        <f>IF(AO$7="X",VLOOKUP(AO$10,'VK-Hooned-Soojus'!$C:$X,2+$C34,FALSE),0)+IF(AO$6="X",VLOOKUP(AO$10,'VK-Transport'!$C:$X,2+$B34,0))+IF(AO$8="X",VLOOKUP(AO$10,'VK-Elekter'!$C:$X,2+$D34,0))+IF(AO$9="X",VLOOKUP(AO$10,'VK-Biokütused'!$C:$U,2+$E34,0))+IF(AO$5="X",VLOOKUP(AO$10,'VK-Põlevkivi'!$C:$X,2+$G34,0))+IF(AO$4="X",VLOOKUP(AO$10,'VK-Võrgud'!$C:$X,2+$F34,0))</f>
        <v>12.56</v>
      </c>
      <c r="AP34" s="209">
        <f>IF(AP$7="X",VLOOKUP(AP$10,'VK-Hooned-Soojus'!$C:$X,2+$C34,FALSE),0)+IF(AP$6="X",VLOOKUP(AP$10,'VK-Transport'!$C:$X,2+$B34,0))+IF(AP$8="X",VLOOKUP(AP$10,'VK-Elekter'!$C:$X,2+$D34,0))+IF(AP$9="X",VLOOKUP(AP$10,'VK-Biokütused'!$C:$U,2+$E34,0))+IF(AP$5="X",VLOOKUP(AP$10,'VK-Põlevkivi'!$C:$X,2+$G34,0))+IF(AP$4="X",VLOOKUP(AP$10,'VK-Võrgud'!$C:$X,2+$F34,0))</f>
        <v>6.28</v>
      </c>
      <c r="AQ34" s="320">
        <f t="shared" si="14"/>
        <v>0.25999999999999979</v>
      </c>
      <c r="AR34" s="209">
        <f>IF(AR$7="X",VLOOKUP(AR$10,'VK-Hooned-Soojus'!$C:$X,2+$C34,FALSE),0)+IF(AR$6="X",VLOOKUP(AR$10,'VK-Transport'!$C:$X,2+$B34,0))+IF(AR$8="X",VLOOKUP(AR$10,'VK-Elekter'!$C:$X,2+$D34,0))+IF(AR$9="X",VLOOKUP(AR$10,'VK-Biokütused'!$C:$U,2+$E34,0))+IF(AR$5="X",VLOOKUP(AR$10,'VK-Põlevkivi'!$C:$X,2+$G34,0))+IF(AR$4="X",VLOOKUP(AR$10,'VK-Võrgud'!$C:$X,2+$F34,0))</f>
        <v>2.8899999999999997</v>
      </c>
      <c r="AS34" s="320">
        <f>VLOOKUP("Kütuste tarbimine @ 2030 - UTTEGAAS",'VK-Hooned-Soojus'!$C:$X,2+$C34,FALSE)/0.172+VLOOKUP("Kütuste tarbimine @ 2030 - UTTEGAAS",'VK-Elekter'!$C:$X,2+$D34,FALSE)/0.172-AR34-AU34</f>
        <v>2.8565116279069773</v>
      </c>
      <c r="AT34" s="209">
        <f>IF(AT$7="X",VLOOKUP(AT$10,'VK-Hooned-Soojus'!$C:$X,2+$C34,FALSE),0)+IF(AT$6="X",VLOOKUP(AT$10,'VK-Transport'!$C:$X,2+$B34,0))+IF(AT$8="X",VLOOKUP(AT$10,'VK-Elekter'!$C:$X,2+$D34,0))+IF(AT$9="X",VLOOKUP(AT$10,'VK-Biokütused'!$C:$U,2+$E34,0))+IF(AT$5="X",VLOOKUP(AT$10,'VK-Põlevkivi'!$C:$X,2+$G34,0))+IF(AT$4="X",VLOOKUP(AT$10,'VK-Võrgud'!$C:$X,2+$F34,0))</f>
        <v>12.004929222526066</v>
      </c>
      <c r="AU34" s="229">
        <f>MAX(0,(VLOOKUP("Kütuste tarbimine @ 2030 - UTTEGAAS",'VK-Hooned-Soojus'!$C:$X,2+$C34,FALSE)/0.172+VLOOKUP("Kütuste tarbimine @ 2030 - UTTEGAAS",'VK-Elekter'!$C:$X,2+$D34,FALSE)/0.172)*0.52-VLOOKUP("Kütuste tarbimine @ 2030 - PÕLEVKIVIÕLI",'VK-Hooned-Soojus'!$C:$X,2+$C34,FALSE))</f>
        <v>5.1837209302325586</v>
      </c>
      <c r="AV34" s="209">
        <f>IF(AV$7="X",VLOOKUP(AV$10,'VK-Hooned-Soojus'!$C:$X,2+$C34,FALSE),0)+IF(AV$6="X",VLOOKUP(AV$10,'VK-Transport'!$C:$X,2+$B34,0))+IF(AV$8="X",VLOOKUP(AV$10,'VK-Elekter'!$C:$X,2+$D34,0))+IF(AV$9="X",VLOOKUP(AV$10,'VK-Biokütused'!$C:$U,2+$E34,0))+IF(AV$5="X",VLOOKUP(AV$10,'VK-Põlevkivi'!$C:$X,2+$G34,0))+IF(AV$4="X",VLOOKUP(AV$10,'VK-Võrgud'!$C:$X,2+$F34,0))</f>
        <v>1.1831224847375093</v>
      </c>
      <c r="AW34" s="209">
        <f>IF(AW$7="X",VLOOKUP(AW$10,'VK-Hooned-Soojus'!$C:$X,2+$C34,FALSE),0)+IF(AW$6="X",VLOOKUP(AW$10,'VK-Transport'!$C:$X,2+$B34,0))+IF(AW$8="X",VLOOKUP(AW$10,'VK-Elekter'!$C:$X,2+$D34,0))+IF(AW$9="X",VLOOKUP(AW$10,'VK-Biokütused'!$C:$U,2+$E34,0))+IF(AW$5="X",VLOOKUP(AW$10,'VK-Põlevkivi'!$C:$X,2+$G34,0))+IF(AW$4="X",VLOOKUP(AW$10,'VK-Võrgud'!$C:$X,2+$F34,0))</f>
        <v>4.2799999999999994</v>
      </c>
      <c r="AX34" s="229">
        <f t="shared" si="34"/>
        <v>3.0968775152624901</v>
      </c>
      <c r="AY34" s="229">
        <f t="shared" si="15"/>
        <v>0</v>
      </c>
      <c r="AZ34" s="230">
        <f t="shared" si="0"/>
        <v>0.53564312595874219</v>
      </c>
      <c r="BA34" s="209">
        <f>IF(BA$7="X",VLOOKUP(BA$10,'VK-Hooned-Soojus'!$C:$X,2+$C34,FALSE),0)+IF(BA$6="X",VLOOKUP(BA$10,'VK-Transport'!$C:$X,2+$B34,0))+IF(BA$8="X",VLOOKUP(BA$10,'VK-Elekter'!$C:$X,2+$D34,0))+IF(BA$9="X",VLOOKUP(BA$10,'VK-Biokütused'!$C:$U,2+$E34,0))+IF(BA$5="X",VLOOKUP(BA$10,'VK-Põlevkivi'!$C:$X,2+$G34,0))+IF(BA$4="X",VLOOKUP(BA$10,'VK-Võrgud'!$C:$X,2+$F34,0))</f>
        <v>4.2</v>
      </c>
      <c r="BB34" s="209">
        <f>IF(BB$7="X",VLOOKUP(BB$10,'VK-Hooned-Soojus'!$C:$X,2+$C34,FALSE),0)+IF(BB$6="X",VLOOKUP(BB$10,'VK-Transport'!$C:$X,2+$B34,0))+IF(BB$8="X",VLOOKUP(BB$10,'VK-Elekter'!$C:$X,2+$D34,0))+IF(BB$9="X",VLOOKUP(BB$10,'VK-Biokütused'!$C:$U,2+$E34,0))+IF(BB$5="X",VLOOKUP(BB$10,'VK-Põlevkivi'!$C:$X,2+$G34,0))+IF(BB$4="X",VLOOKUP(BB$10,'VK-Võrgud'!$C:$X,2+$F34,0))</f>
        <v>5.1000000000000005</v>
      </c>
      <c r="BC34" s="209">
        <f>IF(BC$7="X",VLOOKUP(BC$10,'VK-Hooned-Soojus'!$C:$X,2+$C34,FALSE),0)+IF(BC$6="X",VLOOKUP(BC$10,'VK-Transport'!$C:$X,2+$B34,0))+IF(BC$8="X",VLOOKUP(BC$10,'VK-Elekter'!$C:$X,2+$D34,0))+IF(BC$9="X",VLOOKUP(BC$10,'VK-Biokütused'!$C:$U,2+$E34,0))+IF(BC$5="X",VLOOKUP(BC$10,'VK-Põlevkivi'!$C:$X,2+$G34,0))+IF(BC$4="X",VLOOKUP(BC$10,'VK-Võrgud'!$C:$X,2+$F34,0))</f>
        <v>6.5993333333333322</v>
      </c>
      <c r="BD34" s="209">
        <f>IF(BD$7="X",VLOOKUP(BD$10,'VK-Hooned-Soojus'!$C:$X,2+$C34,FALSE),0)+IF(BD$6="X",VLOOKUP(BD$10,'VK-Transport'!$C:$X,2+$B34,0))+IF(BD$8="X",VLOOKUP(BD$10,'VK-Elekter'!$C:$X,2+$D34,0))+IF(BD$9="X",VLOOKUP(BD$10,'VK-Biokütused'!$C:$U,2+$E34,0))+IF(BD$5="X",VLOOKUP(BD$10,'VK-Põlevkivi'!$C:$X,2+$G34,0))+IF(BD$4="X",VLOOKUP(BD$10,'VK-Võrgud'!$C:$X,2+$F34,0))</f>
        <v>9.425416666666667</v>
      </c>
      <c r="BE34" s="230"/>
      <c r="BF34" s="229">
        <f t="shared" si="16"/>
        <v>0.34764098244282376</v>
      </c>
      <c r="BG34" s="209" t="e">
        <f>(IF(BG$7="X",VLOOKUP(BG$10,'VK-Hooned-Soojus'!$C:$X,2+$C34,FALSE),0)+IF(BG$6="X",VLOOKUP(BG$10,'VK-Transport'!$C:$X,2+$B34,0))+IF(BG$8="X",VLOOKUP(BG$10,'VK-Elekter'!$C:$X,2+$D34,0))+IF(BG$9="X",VLOOKUP(BG$10,'VK-Biokütused'!$C:$U,2+$E34,0))+IF(BG$5="X",VLOOKUP(BG$10,'VK-Põlevkivi'!$C:$X,2+$G34,0))+IF(BG$4="X",VLOOKUP(BG$10,'VK-Võrgud'!$C:$X,2+$F34,0)))/20</f>
        <v>#N/A</v>
      </c>
      <c r="BH34" s="209">
        <f>(IF(BH$7="X",VLOOKUP(BH$10,'VK-Hooned-Soojus'!$C:$X,2+$C34,FALSE),0)+IF(BH$6="X",VLOOKUP(BH$10,'VK-Transport'!$C:$X,2+$B34,0))+IF(BH$8="X",VLOOKUP(BH$10,'VK-Elekter'!$C:$X,2+$D34,0))+IF(BH$9="X",VLOOKUP(BH$10,'VK-Biokütused'!$C:$U,2+$E34,0))+IF(BH$5="X",VLOOKUP(BH$10,'VK-Põlevkivi'!$C:$X,2+$G34,0))+IF(BH$4="X",VLOOKUP(BH$10,'VK-Võrgud'!$C:$X,2+$F34,0)))/20</f>
        <v>45.08</v>
      </c>
      <c r="BI34" s="209">
        <f>(IF(BI$7="X",VLOOKUP(BI$10,'VK-Hooned-Soojus'!$C:$X,2+$C34,FALSE),0)+IF(BI$6="X",VLOOKUP(BI$10,'VK-Transport'!$C:$X,2+$B34,0))+IF(BI$8="X",VLOOKUP(BI$10,'VK-Elekter'!$C:$X,2+$D34,0))+IF(BI$9="X",VLOOKUP(BI$10,'VK-Biokütused'!$C:$U,2+$E34,0))+IF(BI$5="X",VLOOKUP(BI$10,'VK-Põlevkivi'!$C:$X,2+$G34,0))+IF(BI$4="X",VLOOKUP(BI$10,'VK-Võrgud'!$C:$X,2+$F34,0)))/16</f>
        <v>14.1875</v>
      </c>
      <c r="BJ34" s="209">
        <f>(IF(BJ$7="X",VLOOKUP(BJ$10,'VK-Hooned-Soojus'!$C:$X,2+$C34,FALSE),0)+IF(BJ$6="X",VLOOKUP(BJ$10,'VK-Transport'!$C:$X,2+$B34,0))+IF(BJ$8="X",VLOOKUP(BJ$10,'VK-Elekter'!$C:$X,2+$D34,0))+IF(BJ$9="X",VLOOKUP(BJ$10,'VK-Biokütused'!$C:$U,2+$E34,0))+IF(BJ$5="X",VLOOKUP(BJ$10,'VK-Põlevkivi'!$C:$X,2+$G34,0))+IF(BJ$4="X",VLOOKUP(BJ$10,'VK-Võrgud'!$C:$X,2+$F34,0)))/20</f>
        <v>3.91</v>
      </c>
      <c r="BK34" s="209"/>
      <c r="BL34" s="209"/>
      <c r="BM34" s="209"/>
      <c r="BN34" s="209" t="e">
        <f>(IF(BN$7="X",VLOOKUP(BN$10,'VK-Hooned-Soojus'!$C:$X,2+$C34,FALSE),0)+IF(BN$6="X",VLOOKUP(BN$10,'VK-Transport'!$C:$X,2+$B34,0))+IF(BN$8="X",VLOOKUP(BN$10,'VK-Elekter'!$C:$X,2+$D34,0))+IF(BN$9="X",VLOOKUP(BN$10,'VK-Biokütused'!$C:$U,2+$E34,0))+IF(BN$5="X",VLOOKUP(BN$10,'VK-Põlevkivi'!$C:$X,2+$G34,0))+IF(BN$4="X",VLOOKUP(BN$10,'VK-Võrgud'!$C:$X,2+$F34,0)))/16</f>
        <v>#N/A</v>
      </c>
      <c r="BO34" s="209">
        <f>(IF(BO$7="X",VLOOKUP(BO$10,'VK-Hooned-Soojus'!$C:$X,2+$C34,FALSE),0)+IF(BO$6="X",VLOOKUP(BO$10,'VK-Transport'!$C:$X,2+$B34,0))+IF(BO$8="X",VLOOKUP(BO$10,'VK-Elekter'!$C:$X,2+$D34,0))+IF(BO$9="X",VLOOKUP(BO$10,'VK-Biokütused'!$C:$U,2+$E34,0))+IF(BO$5="X",VLOOKUP(BO$10,'VK-Põlevkivi'!$C:$X,2+$G34,0))+IF(BO$4="X",VLOOKUP(BO$10,'VK-Võrgud'!$C:$X,2+$F34,0)))/16</f>
        <v>496.33125000000001</v>
      </c>
      <c r="BP34" s="209"/>
      <c r="BQ34" s="209">
        <f>(IF(BQ$7="X",VLOOKUP(BQ$10,'VK-Hooned-Soojus'!$C:$X,2+$C34,FALSE),0)+IF(BQ$6="X",VLOOKUP(BQ$10,'VK-Transport'!$C:$X,2+$B34,0))+IF(BQ$8="X",VLOOKUP(BQ$10,'VK-Elekter'!$C:$X,2+$D34,0))+IF(BQ$9="X",VLOOKUP(BQ$10,'VK-Biokütused'!$C:$U,2+$E34,0))+IF(BQ$5="X",VLOOKUP(BQ$10,'VK-Põlevkivi'!$C:$X,2+$G34,0))+IF(BQ$4="X",VLOOKUP(BQ$10,'VK-Võrgud'!$C:$X,2+$F34,0)))/16</f>
        <v>4.7249999999999996</v>
      </c>
      <c r="BR34" s="209">
        <f>(IF(BR$7="X",VLOOKUP(BR$10,'VK-Hooned-Soojus'!$C:$X,2+$C34,FALSE),0)+IF(BR$6="X",VLOOKUP(BR$10,'VK-Transport'!$C:$X,2+$B34,0))+IF(BR$8="X",VLOOKUP(BR$10,'VK-Elekter'!$C:$X,2+$D34,0))+IF(BR$9="X",VLOOKUP(BR$10,'VK-Biokütused'!$C:$U,2+$E34,0))+IF(BR$5="X",VLOOKUP(BR$10,'VK-Põlevkivi'!$C:$X,2+$G34,0))+IF(BR$4="X",VLOOKUP(BR$10,'VK-Võrgud'!$C:$X,2+$F34,0)))/16</f>
        <v>-74.512500000000003</v>
      </c>
      <c r="BS34" s="209">
        <f>(IF(BS$7="X",VLOOKUP(BS$10,'VK-Hooned-Soojus'!$C:$X,2+$C34,FALSE),0)+IF(BS$6="X",VLOOKUP(BS$10,'VK-Transport'!$C:$X,2+$B34,0))+IF(BS$8="X",VLOOKUP(BS$10,'VK-Elekter'!$C:$X,2+$D34,0))+IF(BS$9="X",VLOOKUP(BS$10,'VK-Biokütused'!$C:$U,2+$E34,0))+IF(BS$5="X",VLOOKUP(BS$10,'VK-Põlevkivi'!$C:$X,2+$G34,0))+IF(BS$4="X",VLOOKUP(BS$10,'VK-Võrgud'!$C:$X,2+$F34,0)))/16</f>
        <v>-100.68125000000001</v>
      </c>
      <c r="BT34" s="209"/>
      <c r="BU34" s="209"/>
      <c r="BV34" s="209">
        <f>(IF(BV$7="X",VLOOKUP(BV$10,'VK-Hooned-Soojus'!$C:$X,2+$C34,FALSE),0)+IF(BV$6="X",VLOOKUP(BV$10,'VK-Transport'!$C:$X,2+$B34,0))+IF(BV$8="X",VLOOKUP(BV$10,'VK-Elekter'!$C:$X,2+$D34,0))+IF(BV$9="X",VLOOKUP(BV$10,'VK-Biokütused'!$C:$U,2+$E34,0))+IF(BV$5="X",VLOOKUP(BV$10,'VK-Põlevkivi'!$C:$X,2+$G34,0))+IF(BV$4="X",VLOOKUP(BV$10,'VK-Võrgud'!$C:$X,2+$F34,0)))/16</f>
        <v>0</v>
      </c>
      <c r="BW34" s="209"/>
      <c r="BX34" s="209">
        <f>(IF(BX$7="X",VLOOKUP(BX$10,'VK-Hooned-Soojus'!$C:$X,2+$C34,FALSE),0)+IF(BX$6="X",VLOOKUP(BX$10,'VK-Transport'!$C:$X,2+$B34,0))+IF(BX$8="X",VLOOKUP(BX$10,'VK-Elekter'!$C:$X,2+$D34,0))+IF(BX$9="X",VLOOKUP(BX$10,'VK-Biokütused'!$C:$U,2+$E34,0))+IF(BX$5="X",VLOOKUP(BX$10,'VK-Põlevkivi'!$C:$X,2+$G34,0))+IF(BX$4="X",VLOOKUP(BX$10,'VK-Võrgud'!$C:$X,2+$F34,0)))/16</f>
        <v>-99.4375</v>
      </c>
      <c r="BY34" s="209"/>
      <c r="BZ34" s="209"/>
      <c r="CA34" s="209" t="e">
        <f>(IF(CA$7="X",VLOOKUP(CA$10,'VK-Hooned-Soojus'!$C:$X,2+$C34,FALSE),0)+IF(CA$6="X",VLOOKUP(CA$10,'VK-Transport'!$C:$X,2+$B34,0))+IF(CA$8="X",VLOOKUP(CA$10,'VK-Elekter'!$C:$X,2+$D34,0))+IF(CA$9="X",VLOOKUP(CA$10,'VK-Biokütused'!$C:$U,2+$E34,0))+IF(CA$5="X",VLOOKUP(CA$10,'VK-Põlevkivi'!$C:$X,2+$G34,0))+IF(CA$4="X",VLOOKUP(CA$10,'VK-Võrgud'!$C:$X,2+$F34,0)))/16</f>
        <v>#N/A</v>
      </c>
      <c r="CB34" s="209">
        <f>(IF(CB$7="X",VLOOKUP(CB$10,'VK-Hooned-Soojus'!$C:$X,2+$C34,FALSE),0)+IF(CB$6="X",VLOOKUP(CB$10,'VK-Transport'!$C:$X,2+$B34,0))+IF(CB$8="X",VLOOKUP(CB$10,'VK-Elekter'!$C:$X,2+$D34,0))+IF(CB$9="X",VLOOKUP(CB$10,'VK-Biokütused'!$C:$U,2+$E34,0))+IF(CB$5="X",VLOOKUP(CB$10,'VK-Põlevkivi'!$C:$X,2+$G34,0))+IF(CB$4="X",VLOOKUP(CB$10,'VK-Võrgud'!$C:$X,2+$F34,0)))/16</f>
        <v>0</v>
      </c>
      <c r="CC34" s="209">
        <f>(IF(CC$7="X",VLOOKUP(CC$10,'VK-Hooned-Soojus'!$C:$X,2+$C34,FALSE),0)+IF(CC$6="X",VLOOKUP(CC$10,'VK-Transport'!$C:$X,2+$B34,0))+IF(CC$8="X",VLOOKUP(CC$10,'VK-Elekter'!$C:$X,2+$D34,0))+IF(CC$9="X",VLOOKUP(CC$10,'VK-Biokütused'!$C:$U,2+$E34,0))+IF(CC$5="X",VLOOKUP(CC$10,'VK-Põlevkivi'!$C:$X,2+$G34,0))+IF(CC$4="X",VLOOKUP(CC$10,'VK-Võrgud'!$C:$X,2+$F34,0)))/16</f>
        <v>0</v>
      </c>
      <c r="CD34" s="209"/>
      <c r="CE34" s="209">
        <f>(IF(CE$7="X",VLOOKUP(CE$10,'VK-Hooned-Soojus'!$C:$X,2+$C34,FALSE),0)+IF(CE$6="X",VLOOKUP(CE$10,'VK-Transport'!$C:$X,2+$B34,0))+IF(CE$8="X",VLOOKUP(CE$10,'VK-Elekter'!$C:$X,2+$D34,0))+IF(CE$9="X",VLOOKUP(CE$10,'VK-Biokütused'!$C:$U,2+$E34,0))+IF(CE$5="X",VLOOKUP(CE$10,'VK-Põlevkivi'!$C:$X,2+$G34,0))+IF(CE$4="X",VLOOKUP(CE$10,'VK-Võrgud'!$C:$X,2+$F34,0)))/16</f>
        <v>24.15625</v>
      </c>
      <c r="CF34" s="209"/>
      <c r="CG34" s="209">
        <f>(IF(CG$7="X",VLOOKUP(CG$10,'VK-Hooned-Soojus'!$C:$X,2+$C34,FALSE),0)+IF(CG$6="X",VLOOKUP(CG$10,'VK-Transport'!$C:$X,2+$B34,0))+IF(CG$8="X",VLOOKUP(CG$10,'VK-Elekter'!$C:$X,2+$D34,0))+IF(CG$9="X",VLOOKUP(CG$10,'VK-Biokütused'!$C:$U,2+$E34,0))+IF(CG$5="X",VLOOKUP(CG$10,'VK-Põlevkivi'!$C:$X,2+$G34,0))+IF(CG$4="X",VLOOKUP(CG$10,'VK-Võrgud'!$C:$X,2+$F34,0)))/16</f>
        <v>0</v>
      </c>
      <c r="CH34" s="209">
        <f>(IF(CH$7="X",VLOOKUP(CH$10,'VK-Hooned-Soojus'!$C:$X,2+$C34,FALSE),0)+IF(CH$6="X",VLOOKUP(CH$10,'VK-Transport'!$C:$X,2+$B34,0))+IF(CH$8="X",VLOOKUP(CH$10,'VK-Elekter'!$C:$X,2+$D34,0))+IF(CH$9="X",VLOOKUP(CH$10,'VK-Biokütused'!$C:$U,2+$E34,0))+IF(CH$5="X",VLOOKUP(CH$10,'VK-Põlevkivi'!$C:$X,2+$G34,0))+IF(CH$4="X",VLOOKUP(CH$10,'VK-Võrgud'!$C:$X,2+$F34,0)))/20*0.21</f>
        <v>11.225549999999998</v>
      </c>
      <c r="CI34" s="209"/>
      <c r="CJ34" s="209">
        <f>(IF(CJ$7="X",VLOOKUP(CJ$10,'VK-Hooned-Soojus'!$C:$X,2+$C34,FALSE),0)+IF(CJ$6="X",VLOOKUP(CJ$10,'VK-Transport'!$C:$X,2+$B34,0))+IF(CJ$8="X",VLOOKUP(CJ$10,'VK-Elekter'!$C:$X,2+$D34,0))+IF(CJ$9="X",VLOOKUP(CJ$10,'VK-Biokütused'!$C:$U,2+$E34,0))+IF(CJ$5="X",VLOOKUP(CJ$10,'VK-Põlevkivi'!$C:$X,2+$G34,0))+IF(CJ$4="X",VLOOKUP(CJ$10,'VK-Võrgud'!$C:$X,2+$F34,0)))/1000</f>
        <v>19.294861099430584</v>
      </c>
      <c r="CK34" s="209">
        <f>(IF(CK$7="X",VLOOKUP(CK$10,'VK-Hooned-Soojus'!$C:$X,2+$C34,FALSE),0)+IF(CK$6="X",VLOOKUP(CK$10,'VK-Transport'!$C:$X,2+$B34,0))+IF(CK$8="X",VLOOKUP(CK$10,'VK-Elekter'!$C:$X,2+$D34,0))+IF(CK$9="X",VLOOKUP(CK$10,'VK-Biokütused'!$C:$U,2+$E34,0))+IF(CK$5="X",VLOOKUP(CK$10,'VK-Põlevkivi'!$C:$X,2+$G34,0))+IF(CK$4="X",VLOOKUP(CK$10,'VK-Võrgud'!$C:$X,2+$F34,0)))/1000</f>
        <v>11.875124562278598</v>
      </c>
      <c r="CL34" s="235">
        <f>(IF(CL$7="X",VLOOKUP(CL$10,'VK-Hooned-Soojus'!$C:$X,2+$C34,FALSE),0)+IF(CL$6="X",VLOOKUP(CL$10,'VK-Transport'!$C:$X,2+$B34,0))+IF(CL$8="X",VLOOKUP(CL$10,'VK-Elekter'!$C:$X,2+$D34,0))+IF(CL$9="X",VLOOKUP(CL$10,'VK-Biokütused'!$C:$U,2+$E34,0)))/1000</f>
        <v>9.1478856510938069</v>
      </c>
      <c r="CM34" s="209">
        <f>(IF(CM$7="X",VLOOKUP(CM$10,'VK-Hooned-Soojus'!$C:$X,2+$C34,FALSE),0)+IF(CM$6="X",VLOOKUP(CM$10,'VK-Transport'!$C:$X,2+$B34,0))+IF(CM$8="X",VLOOKUP(CM$10,'VK-Elekter'!$C:$X,2+$D34,0))+IF(CM$9="X",VLOOKUP(CM$10,'VK-Biokütused'!$C:$U,2+$E34,0))+IF(CM$5="X",VLOOKUP(CM$10,'VK-Põlevkivi'!$C:$X,2+$G34,0))+IF(CM$4="X",VLOOKUP(CM$10,'VK-Võrgud'!$C:$X,2+$F34,0)))/1000</f>
        <v>7.8093156794471028</v>
      </c>
      <c r="CN34" s="209">
        <f>(IF(CN$7="X",VLOOKUP(CN$10,'VK-Hooned-Soojus'!$C:$X,2+$C34,FALSE),0)+IF(CN$6="X",VLOOKUP(CN$10,'VK-Transport'!$C:$X,2+$B34,0))+IF(CN$8="X",VLOOKUP(CN$10,'VK-Elekter'!$C:$X,2+$D34,0))+IF(CN$9="X",VLOOKUP(CN$10,'VK-Biokütused'!$C:$U,2+$E34,0))+IF(CN$5="X",VLOOKUP(CN$10,'VK-Põlevkivi'!$C:$X,2+$G34,0))+IF(CN$4="X",VLOOKUP(CN$10,'VK-Võrgud'!$C:$X,2+$F34,0)))/1000</f>
        <v>2.851</v>
      </c>
      <c r="CO34" s="209">
        <f>(IF(CO$7="X",VLOOKUP(CO$10,'VK-Hooned-Soojus'!$C:$X,2+$C34,FALSE),0)+IF(CO$6="X",VLOOKUP(CO$10,'VK-Transport'!$C:$X,2+$B34,0))+IF(CO$8="X",VLOOKUP(CO$10,'VK-Elekter'!$C:$X,2+$D34,0))+IF(CO$9="X",VLOOKUP(CO$10,'VK-Biokütused'!$C:$U,2+$E34,0))+IF(CO$5="X",VLOOKUP(CO$10,'VK-Põlevkivi'!$C:$X,2+$G34,0))+IF(CO$4="X",VLOOKUP(CO$10,'VK-Võrgud'!$C:$X,2+$F34,0)))/1000</f>
        <v>25.299649773285456</v>
      </c>
      <c r="CP34" s="209">
        <f>(IF(CP$7="X",VLOOKUP(CP$10,'VK-Hooned-Soojus'!$C:$X,2+$C34,FALSE),0)+IF(CP$6="X",VLOOKUP(CP$10,'VK-Transport'!$C:$X,2+$B34,0))+IF(CP$8="X",VLOOKUP(CP$10,'VK-Elekter'!$C:$X,2+$D34,0))+IF(CP$9="X",VLOOKUP(CP$10,'VK-Biokütused'!$C:$U,2+$E34,0))+IF(CP$5="X",VLOOKUP(CP$10,'VK-Põlevkivi'!$C:$X,2+$G34,0))+IF(CP$4="X",VLOOKUP(CP$10,'VK-Võrgud'!$C:$X,2+$F34,0)))/1000</f>
        <v>13.443948584295613</v>
      </c>
      <c r="CQ34" s="235">
        <f>(IF(CQ$7="X",VLOOKUP(CQ$10,'VK-Hooned-Soojus'!$C:$X,2+$C34,FALSE),0)+IF(CQ$6="X",VLOOKUP(CQ$10,'VK-Transport'!$C:$X,2+$B34,0))+IF(CQ$8="X",VLOOKUP(CQ$10,'VK-Elekter'!$C:$X,2+$D34,0))+IF(CQ$9="X",VLOOKUP(CQ$10,'VK-Biokütused'!$C:$U,2+$E34,0)))/1000</f>
        <v>10.994907</v>
      </c>
      <c r="CR34" s="209">
        <f>(IF(CR$7="X",VLOOKUP(CR$10,'VK-Hooned-Soojus'!$C:$X,2+$C34,FALSE),0)+IF(CR$6="X",VLOOKUP(CR$10,'VK-Transport'!$C:$X,2+$B34,0))+IF(CR$8="X",VLOOKUP(CR$10,'VK-Elekter'!$C:$X,2+$D34,0))+IF(CR$9="X",VLOOKUP(CR$10,'VK-Biokütused'!$C:$U,2+$E34,0))+IF(CR$5="X",VLOOKUP(CR$10,'VK-Põlevkivi'!$C:$X,2+$G34,0))+IF(CR$4="X",VLOOKUP(CR$10,'VK-Võrgud'!$C:$X,2+$F34,0)))/1000</f>
        <v>7.9057533562748041</v>
      </c>
      <c r="CS34" s="209">
        <f>(IF(CS$7="X",VLOOKUP(CS$10,'VK-Hooned-Soojus'!$C:$X,2+$C34,FALSE),0)+IF(CS$6="X",VLOOKUP(CS$10,'VK-Transport'!$C:$X,2+$B34,0))+IF(CS$8="X",VLOOKUP(CS$10,'VK-Elekter'!$C:$X,2+$D34,0))+IF(CS$9="X",VLOOKUP(CS$10,'VK-Biokütused'!$C:$U,2+$E34,0))+IF(CS$5="X",VLOOKUP(CS$10,'VK-Põlevkivi'!$C:$X,2+$G34,0))+IF(CS$4="X",VLOOKUP(CS$10,'VK-Võrgud'!$C:$X,2+$F34,0)))/1000</f>
        <v>3.966152405121615</v>
      </c>
      <c r="CT34" s="209">
        <f>IF(CT$7="X",VLOOKUP(CT$10,'VK-Hooned-Soojus'!$C:$X,2+$C34,FALSE),0)+IF(CT$6="X",VLOOKUP(CT$10,'VK-Transport'!$C:$X,2+$B34,0))+IF(CT$8="X",VLOOKUP(CT$10,'VK-Elekter'!$C:$X,2+$D34,0))+IF(CT$9="X",VLOOKUP(CT$10,'VK-Biokütused'!$C:$U,2+$E34,0))+IF(CT$5="X",VLOOKUP(CT$10,'VK-Põlevkivi'!$C:$X,2+$G34,0))+IF(CT$4="X",VLOOKUP(CT$10,'VK-Võrgud'!$C:$X,2+$F34,0))</f>
        <v>90</v>
      </c>
      <c r="CU34" s="209">
        <f>IF(CU$7="X",VLOOKUP(CU$10,'VK-Hooned-Soojus'!$C:$X,2+$C34,FALSE),0)+IF(CU$6="X",VLOOKUP(CU$10,'VK-Transport'!$C:$X,2+$B34,0))+IF(CU$8="X",VLOOKUP(CU$10,'VK-Elekter'!$C:$X,2+$D34,0))+IF(CU$9="X",VLOOKUP(CU$10,'VK-Biokütused'!$C:$U,2+$E34,0))+IF(CU$5="X",VLOOKUP(CU$10,'VK-Põlevkivi'!$C:$X,2+$G34,0))+IF(CU$4="X",VLOOKUP(CU$10,'VK-Võrgud'!$C:$X,2+$F34,0))</f>
        <v>0.9337349397590361</v>
      </c>
      <c r="CV34" s="209">
        <f t="shared" si="1"/>
        <v>0.91028830406496786</v>
      </c>
      <c r="CW34" s="209">
        <f>(IF(CW$7="X",VLOOKUP(CW$10,'VK-Hooned-Soojus'!$C:$X,2+$C34,FALSE),0)+IF(CW$6="X",VLOOKUP(CW$10,'VK-Transport'!$C:$X,2+$B34,0))+IF(CW$8="X",VLOOKUP(CW$10,'VK-Elekter'!$C:$X,2+$D34,0))+IF(CW$9="X",VLOOKUP(CW$10,'VK-Biokütused'!$C:$U,2+$E34,0))+IF(CW$5="X",VLOOKUP(CW$10,'VK-Põlevkivi'!$C:$X,2+$G34,0))+IF(CW$4="X",VLOOKUP(CW$10,'VK-Võrgud'!$C:$X,2+$F34,0)))/16</f>
        <v>126.01875</v>
      </c>
      <c r="CY34" s="209">
        <f>(IF(CY$7="X",VLOOKUP(CY$10,'VK-Hooned-Soojus'!$C:$X,2+$C34,FALSE),0)+IF(CY$6="X",VLOOKUP(CY$10,'VK-Transport'!$C:$X,2+$B34,0))+IF(CY$8="X",VLOOKUP(CY$10,'VK-Elekter'!$C:$X,2+$D34,0))+IF(CY$9="X",VLOOKUP(CY$10,'VK-Biokütused'!$C:$U,2+$E34,0))+IF(CY$5="X",VLOOKUP(CY$10,'VK-Põlevkivi'!$C:$X,2+$G34,0))+IF(CY$4="X",VLOOKUP(CY$10,'VK-Võrgud'!$C:$X,2+$F34,0)))/1000</f>
        <v>11.249000000000001</v>
      </c>
      <c r="CZ34" s="209">
        <f>(IF(CZ$7="X",VLOOKUP(CZ$10,'VK-Hooned-Soojus'!$C:$X,2+$C34,FALSE),0)+IF(CZ$6="X",VLOOKUP(CZ$10,'VK-Transport'!$C:$X,2+$B34,0))+IF(CZ$8="X",VLOOKUP(CZ$10,'VK-Elekter'!$C:$X,2+$D34,0))+IF(CZ$9="X",VLOOKUP(CZ$10,'VK-Biokütused'!$C:$U,2+$E34,0))+IF(CZ$5="X",VLOOKUP(CZ$10,'VK-Põlevkivi'!$C:$X,2+$G34,0))+IF(CZ$4="X",VLOOKUP(CZ$10,'VK-Võrgud'!$C:$X,2+$F34,0)))</f>
        <v>77</v>
      </c>
      <c r="DA34" s="209">
        <f>(IF(DA$7="X",VLOOKUP(DA$10,'VK-Hooned-Soojus'!$C:$X,2+$C34,FALSE),0)+IF(DA$6="X",VLOOKUP(DA$10,'VK-Transport'!$C:$X,2+$B34,0))+IF(DA$8="X",VLOOKUP(DA$10,'VK-Elekter'!$C:$X,2+$D34,0))+IF(DA$9="X",VLOOKUP(DA$10,'VK-Biokütused'!$C:$U,2+$E34,0))+IF(DA$5="X",VLOOKUP(DA$10,'VK-Põlevkivi'!$C:$X,2+$G34,0))+IF(DA$4="X",VLOOKUP(DA$10,'VK-Võrgud'!$C:$X,2+$F34,0)))/1000</f>
        <v>14.88</v>
      </c>
      <c r="DB34" s="209">
        <f>(IF(DB$7="X",VLOOKUP(DB$10,'VK-Hooned-Soojus'!$C:$X,2+$C34,FALSE),0)+IF(DB$6="X",VLOOKUP(DB$10,'VK-Transport'!$C:$X,2+$B34,0))+IF(DB$8="X",VLOOKUP(DB$10,'VK-Elekter'!$C:$X,2+$D34,0))+IF(DB$9="X",VLOOKUP(DB$10,'VK-Biokütused'!$C:$U,2+$E34,0))+IF(DB$5="X",VLOOKUP(DB$10,'VK-Põlevkivi'!$C:$X,2+$G34,0))+IF(DB$4="X",VLOOKUP(DB$10,'VK-Võrgud'!$C:$X,2+$F34,0)))/1000/3.6</f>
        <v>66.308611111111119</v>
      </c>
      <c r="DC34" s="209">
        <f>(IF(DC$7="X",VLOOKUP(DC$10,'VK-Hooned-Soojus'!$C:$X,2+$C34,FALSE),0)+IF(DC$6="X",VLOOKUP(DC$10,'VK-Transport'!$C:$X,2+$B34,0))+IF(DC$8="X",VLOOKUP(DC$10,'VK-Elekter'!$C:$X,2+$D34,0))+IF(DC$9="X",VLOOKUP(DC$10,'VK-Biokütused'!$C:$U,2+$E34,0))+IF(DC$5="X",VLOOKUP(DC$10,'VK-Põlevkivi'!$C:$X,2+$G34,0))+IF(DC$4="X",VLOOKUP(DC$10,'VK-Võrgud'!$C:$X,2+$F34,0)))/1000000</f>
        <v>5.3582179999999999</v>
      </c>
      <c r="DD34" s="209"/>
      <c r="DE34" s="88">
        <f>VLOOKUP(Tulemused!$BN$12,data!M$7:N$12,2,FALSE)-SUM(L34,M34)</f>
        <v>-2.6566444444444528</v>
      </c>
      <c r="DF34" s="209" t="str">
        <f>IF(AZ34&lt;=VLOOKUP(Tulemused!$BN$15,data!$E$36:$F$39,2,FALSE),"JAH","EI")</f>
        <v>JAH</v>
      </c>
      <c r="DG34" s="209"/>
      <c r="DH34" s="209">
        <f t="shared" si="2"/>
        <v>6.28</v>
      </c>
      <c r="DI34" s="231" t="str">
        <f t="shared" si="17"/>
        <v>EI</v>
      </c>
      <c r="DK34" s="232">
        <f t="shared" si="3"/>
        <v>-996.53574961045251</v>
      </c>
      <c r="DM34" s="233">
        <f t="shared" si="4"/>
        <v>-991.17075202114836</v>
      </c>
      <c r="DN34" s="87">
        <f t="array" ref="DN34">INDEX($A$11:$A$145, SMALL(IF(DM34=$DK$11:$DK$145, MATCH(ROW($DK$11:$DK$145), ROW($DK$11:$DK$145))), SUM(--(DM34=$DM$11:DM34))))</f>
        <v>86</v>
      </c>
      <c r="DP34" s="87" t="e">
        <f t="shared" ca="1" si="18"/>
        <v>#N/A</v>
      </c>
      <c r="DQ34" s="87" t="e">
        <f t="shared" ca="1" si="19"/>
        <v>#N/A</v>
      </c>
      <c r="DR34" s="87">
        <f t="shared" ca="1" si="20"/>
        <v>0</v>
      </c>
      <c r="DS34" s="87" t="e">
        <f t="shared" ca="1" si="21"/>
        <v>#N/A</v>
      </c>
      <c r="DT34" s="87">
        <f t="shared" ca="1" si="22"/>
        <v>0</v>
      </c>
      <c r="DU34" s="87" t="e">
        <f t="shared" ca="1" si="23"/>
        <v>#N/A</v>
      </c>
      <c r="DV34" s="87" t="e">
        <f t="shared" ca="1" si="24"/>
        <v>#N/A</v>
      </c>
      <c r="DW34" s="87">
        <f t="shared" ca="1" si="25"/>
        <v>0</v>
      </c>
      <c r="DX34" s="87">
        <f t="shared" ca="1" si="26"/>
        <v>0</v>
      </c>
      <c r="DZ34" s="87">
        <f t="shared" ca="1" si="35"/>
        <v>0</v>
      </c>
      <c r="EB34" s="87">
        <f t="shared" ca="1" si="27"/>
        <v>0</v>
      </c>
      <c r="EC34" s="87" t="e">
        <f t="shared" ca="1" si="28"/>
        <v>#N/A</v>
      </c>
      <c r="EE34" s="228">
        <f>(IF(EE$7="X",VLOOKUP(EE$10,'VK-Hooned-Soojus'!$C:$X,2+$C34,FALSE),0)+IF(EE$6="X",VLOOKUP(EE$10,'VK-Transport'!$C:$X,2+$B34,0))+IF(EE$8="X",VLOOKUP(EE$10,'VK-Elekter'!$C:$X,2+$D34,0))+IF(EE$9="X",VLOOKUP(EE$10,'VK-Biokütused'!$C:$U,2+$E34,0))+IF(EE$5="X",VLOOKUP(EE$10,'VK-Põlevkivi'!$C:$X,2+$G34,0))+IF(EE$4="X",VLOOKUP(EE$10,'VK-Võrgud'!$C:$X,2+$F34,0)))</f>
        <v>12018.74791926012</v>
      </c>
      <c r="EF34" s="235">
        <f>(IF(EF$7="X",VLOOKUP(EF$10,'VK-Hooned-Soojus'!$C:$X,2+$C34,FALSE),0)+IF(EF$6="X",VLOOKUP(EF$10,'VK-Transport'!$C:$X,2+$B34,0))+IF(EF$8="X",VLOOKUP(EF$10,'VK-Elekter'!$C:$X,2+$D34,0))+IF(EF$9="X",VLOOKUP(EF$10,'VK-Biokütused'!$C:$U,2+$E34,0)))/1000</f>
        <v>4.9646368215830607</v>
      </c>
      <c r="EG34" s="209">
        <f>(IF(EG$7="X",VLOOKUP(EG$10,'VK-Hooned-Soojus'!$C:$X,2+$C34,FALSE),0)+IF(EG$6="X",VLOOKUP(EG$10,'VK-Transport'!$C:$X,2+$B34,0))+IF(EG$8="X",VLOOKUP(EG$10,'VK-Elekter'!$C:$X,2+$D34,0))+IF(EG$9="X",VLOOKUP(EG$10,'VK-Biokütused'!$C:$U,2+$E34,0))+IF(EG$5="X",VLOOKUP(EG$10,'VK-Põlevkivi'!$C:$X,2+$G34,0))+IF(EG$4="X",VLOOKUP(EG$10,'VK-Võrgud'!$C:$X,2+$F34,0)))</f>
        <v>2.95</v>
      </c>
      <c r="EH34" s="209">
        <f>(IF(EH$7="X",VLOOKUP(EH$10,'VK-Hooned-Soojus'!$C:$X,2+$C34,FALSE),0)+IF(EH$6="X",VLOOKUP(EH$10,'VK-Transport'!$C:$X,2+$B34,0))+IF(EH$8="X",VLOOKUP(EH$10,'VK-Elekter'!$C:$X,2+$D34,0))+IF(EH$9="X",VLOOKUP(EH$10,'VK-Biokütused'!$C:$U,2+$E34,0)))+AR34+AS34+AU34+AX34</f>
        <v>58.715165628957578</v>
      </c>
      <c r="EI34" s="320">
        <f t="shared" si="6"/>
        <v>50.434567183462526</v>
      </c>
      <c r="EJ34" s="322">
        <f t="shared" si="7"/>
        <v>7.7456622103581826E-2</v>
      </c>
      <c r="EK34" s="323">
        <f t="shared" si="29"/>
        <v>0.41245097655919771</v>
      </c>
      <c r="EM34" s="209"/>
      <c r="EN34" s="209">
        <f t="shared" ca="1" si="8"/>
        <v>0</v>
      </c>
      <c r="EO34" s="209"/>
      <c r="EP34" s="234"/>
      <c r="EQ34" s="209">
        <f>(IF(EQ$7="X",VLOOKUP(EQ$10,'VK-Hooned-Soojus'!$C:$X,2+$C34,FALSE),0)+IF(EQ$6="X",VLOOKUP(EQ$10,'VK-Transport'!$C:$X,2+$B34,0))+IF(EQ$8="X",VLOOKUP(EQ$10,'VK-Elekter'!$C:$X,2+$D34,0))+IF(EQ$9="X",VLOOKUP(EQ$10,'VK-Biokütused'!$C:$U,2+$E34,0))+IF(EQ$5="X",VLOOKUP(EQ$10,'VK-Põlevkivi'!$C:$X,2+$G34,0))+IF(EQ$4="X",VLOOKUP(EQ$10,'VK-Võrgud'!$C:$X,2+$F34,0)))/1000</f>
        <v>0.21099999999999999</v>
      </c>
      <c r="ER34" s="209">
        <f>(IF(ER$7="X",VLOOKUP(ER$10,'VK-Hooned-Soojus'!$C:$X,2+$C34,FALSE),0)+IF(ER$6="X",VLOOKUP(ER$10,'VK-Transport'!$C:$X,2+$B34,0))+IF(ER$8="X",VLOOKUP(ER$10,'VK-Elekter'!$C:$X,2+$D34,0))+IF(ER$9="X",VLOOKUP(ER$10,'VK-Biokütused'!$C:$U,2+$E34,0))+IF(ER$5="X",VLOOKUP(ER$10,'VK-Põlevkivi'!$C:$X,2+$G34,0))+IF(ER$4="X",VLOOKUP(ER$10,'VK-Võrgud'!$C:$X,2+$F34,0)))</f>
        <v>0.76300000000000001</v>
      </c>
      <c r="ES34" s="209">
        <f>(IF(ES$7="X",VLOOKUP(ES$10,'VK-Hooned-Soojus'!$C:$X,2+$C34,FALSE),0)+IF(ES$6="X",VLOOKUP(ES$10,'VK-Transport'!$C:$X,2+$B34,0))+IF(ES$8="X",VLOOKUP(ES$10,'VK-Elekter'!$C:$X,2+$D34,0))+IF(ES$9="X",VLOOKUP(ES$10,'VK-Biokütused'!$C:$U,2+$E34,0))+IF(ES$5="X",VLOOKUP(ES$10,'VK-Põlevkivi'!$C:$X,2+$G34,0))+IF(ES$4="X",VLOOKUP(ES$10,'VK-Võrgud'!$C:$X,2+$F34,0)))</f>
        <v>6.28</v>
      </c>
      <c r="ET34" s="209"/>
      <c r="EU34" s="209"/>
      <c r="EV34" s="87">
        <f>'KSH järjestus'!AS27</f>
        <v>1639</v>
      </c>
      <c r="EX34" s="236"/>
      <c r="EY34" s="236"/>
      <c r="EZ34" s="237">
        <f t="shared" si="9"/>
        <v>6.6265060240963902E-2</v>
      </c>
      <c r="FA34" s="209">
        <f>IF(FA$7="X",VLOOKUP(FA$10,'VK-Hooned-Soojus'!$C:$X,2+$C34,FALSE),0)+IF(FA$6="X",VLOOKUP(FA$10,'VK-Transport'!$C:$X,2+$B34,0))+IF(FA$8="X",VLOOKUP(FA$10,'VK-Elekter'!$C:$X,2+$D34,0))+IF(FA$9="X",VLOOKUP(FA$10,'VK-Biokütused'!$C:$U,2+$E34,0))+IF(FA$5="X",VLOOKUP(FA$10,'VK-Põlevkivi'!$C:$X,2+$G34,0))+IF(FA$4="X",VLOOKUP(FA$10,'VK-Võrgud'!$C:$X,2+$F34,0))</f>
        <v>3658.9070000000002</v>
      </c>
      <c r="FB34" s="279">
        <f>(IF(FB$7="X",VLOOKUP(FB$10,'VK-Hooned-Soojus'!$C:$X,2+$C34,FALSE),0)+IF(FB$6="X",VLOOKUP(FB$10,'VK-Transport'!$C:$X,2+$B34,0))+IF(FB$8="X",VLOOKUP(FB$10,'VK-Elekter'!$C:$X,2+$D34,0))+IF(FB$9="X",VLOOKUP(FB$10,'VK-Biokütused'!$C:$U,2+$E34,0))+IF(FB$5="X",VLOOKUP(FB$10,'VK-Põlevkivi'!$C:$X,2+$G34,0))+IF(FB$4="X",VLOOKUP(FB$10,'VK-Võrgud'!$C:$X,2+$F34,0)))/16</f>
        <v>465.83453893655104</v>
      </c>
      <c r="FC34" s="209">
        <f>IF(FC$7="X",VLOOKUP(FC$10,'VK-Hooned-Soojus'!$C:$X,2+$C34,FALSE),0)+IF(FC$6="X",VLOOKUP(FC$10,'VK-Transport'!$C:$X,2+$B34,0))+IF(FC$8="X",VLOOKUP(FC$10,'VK-Elekter'!$C:$X,2+$D34,0))+IF(FC$9="X",VLOOKUP(FC$10,'VK-Biokütused'!$C:$U,2+$E34,0))+IF(FC$5="X",VLOOKUP(FC$10,'VK-Põlevkivi'!$C:$X,2+$G34,0))+IF(FC$4="X",VLOOKUP(FC$10,'VK-Võrgud'!$C:$X,2+$F34,0))</f>
        <v>318.5</v>
      </c>
      <c r="FD34" s="209">
        <f>(IF(FD$7="X",VLOOKUP(FD$10,'VK-Hooned-Soojus'!$C:$X,2+$C34,FALSE),0)+IF(FD$6="X",VLOOKUP(FD$10,'VK-Transport'!$C:$X,2+$B34,0))+IF(FD$8="X",VLOOKUP(FD$10,'VK-Elekter'!$C:$X,2+$D34,0))+IF(FD$9="X",VLOOKUP(FD$10,'VK-Biokütused'!$C:$U,2+$E34,0))+IF(FD$5="X",VLOOKUP(FD$10,'VK-Põlevkivi'!$C:$X,2+$G34,0))+IF(FD$4="X",VLOOKUP(FD$10,'VK-Võrgud'!$C:$X,2+$F34,0)))/16</f>
        <v>465.83453893655104</v>
      </c>
      <c r="FE34" s="209">
        <f>(IF(FE$7="X",VLOOKUP(FE$10,'VK-Hooned-Soojus'!$C:$X,2+$C34,FALSE),0)+IF(FE$6="X",VLOOKUP(FE$10,'VK-Transport'!$C:$X,2+$B34,0))+IF(FE$8="X",VLOOKUP(FE$10,'VK-Elekter'!$C:$X,2+$D34,0))+IF(FE$9="X",VLOOKUP(FE$10,'VK-Biokütused'!$C:$U,2+$E34,0))+IF(FE$5="X",VLOOKUP(FE$10,'VK-Põlevkivi'!$C:$X,2+$G34,0))+IF(FE$4="X",VLOOKUP(FE$10,'VK-Võrgud'!$C:$X,2+$F34,0)))/16</f>
        <v>-71.100813699091034</v>
      </c>
      <c r="FF34" s="209">
        <f>(IF(FF$7="X",VLOOKUP(FF$10,'VK-Hooned-Soojus'!$C:$X,2+$C34,FALSE),0)+IF(FF$6="X",VLOOKUP(FF$10,'VK-Transport'!$C:$X,2+$B34,0))+IF(FF$8="X",VLOOKUP(FF$10,'VK-Elekter'!$C:$X,2+$D34,0))+IF(FF$9="X",VLOOKUP(FF$10,'VK-Biokütused'!$C:$U,2+$E34,0))+IF(FF$5="X",VLOOKUP(FF$10,'VK-Põlevkivi'!$C:$X,2+$G34,0))+IF(FF$4="X",VLOOKUP(FF$10,'VK-Võrgud'!$C:$X,2+$F34,0)))/16</f>
        <v>145.05368808143496</v>
      </c>
      <c r="FG34" s="88">
        <f t="shared" ca="1" si="30"/>
        <v>73.952874382343921</v>
      </c>
      <c r="FH34" s="88"/>
      <c r="FI34" s="88"/>
      <c r="FJ34" s="88">
        <f>VLOOKUP(Tulemused!$BN$12,data!M$7:N$12,2,FALSE)-SUM(L34,M34)</f>
        <v>-2.6566444444444528</v>
      </c>
      <c r="FK34" s="209" t="str">
        <f>IF(AZ34&lt;=VLOOKUP(Tulemused!$BN$15,data!$E$36:$F$39,2,FALSE),"JAH","EI")</f>
        <v>JAH</v>
      </c>
      <c r="FL34" s="235">
        <f ca="1">IF(ISNA(MATCH($A34,INDIRECT(VLOOKUP(Tulemused!$BF$11,data!$J$57:$M$71,4,FALSE)))),0,MATCH($A34,INDIRECT(VLOOKUP(Tulemused!$BF$11,data!$J$57:$M$71,4,FALSE))))</f>
        <v>0</v>
      </c>
      <c r="FM34" s="235" t="str">
        <f t="shared" ca="1" si="10"/>
        <v>JAH</v>
      </c>
      <c r="FN34" s="209">
        <f>VLOOKUP(Tulemused!$BN$13,data!$C$132:$D$137,2,FALSE)-KOMBI!R34</f>
        <v>2.5031331784169399</v>
      </c>
      <c r="FO34" s="209"/>
      <c r="FP34" s="209">
        <f>VLOOKUP(Tulemused!$BN$17,NO_x,2,FALSE)-CJ34</f>
        <v>10.143138900569415</v>
      </c>
      <c r="FQ34" s="209">
        <f>VLOOKUP(Tulemused!$BN$18,SO_2,2,FALSE)-CK34</f>
        <v>40.0088754377214</v>
      </c>
      <c r="FR34" s="209">
        <f>VLOOKUP(Tulemused!$BN$19,LOU,2,FALSE)-CN34</f>
        <v>34.229000000000006</v>
      </c>
      <c r="FS34" s="209">
        <f>VLOOKUP(Tulemused!$BN$20,PM_2.5,2,FALSE)-CM34</f>
        <v>9.1056843205528963</v>
      </c>
      <c r="FT34" s="209">
        <f>VLOOKUP(Tulemused!$BN$13,data!$C$132:$D$137,2,FALSE)-FA34/1000</f>
        <v>2.5870630000000006</v>
      </c>
      <c r="FU34" s="209">
        <f>VLOOKUP(Tulemused!$BN$17,NO_x,2,FALSE)-CO34</f>
        <v>4.1383502267145431</v>
      </c>
      <c r="FV34" s="209">
        <f>VLOOKUP(Tulemused!$BN$18,SO_2,2,FALSE)-CP34</f>
        <v>38.440051415704389</v>
      </c>
      <c r="FW34" s="209">
        <f>VLOOKUP(Tulemused!$BN$19,LOU,2,FALSE)-CS34</f>
        <v>33.113847594878393</v>
      </c>
      <c r="FX34" s="209">
        <f>VLOOKUP(Tulemused!$BN$20,PM_2.5,2,FALSE)-CR34</f>
        <v>9.009246643725195</v>
      </c>
      <c r="FY34" s="209">
        <f>VLOOKUP(Tulemused!$BN$14,KHG_2050,2,FALSE)-EF34</f>
        <v>95.035363178416944</v>
      </c>
      <c r="FZ34" s="231" t="str">
        <f t="shared" ca="1" si="31"/>
        <v>EI</v>
      </c>
      <c r="GA34" s="209"/>
      <c r="GB34" s="209"/>
      <c r="GC34" s="209"/>
      <c r="GD34" s="231"/>
      <c r="GE34" s="87">
        <f t="shared" si="11"/>
        <v>1639</v>
      </c>
      <c r="GF34" s="232" t="str">
        <f t="shared" ca="1" si="32"/>
        <v/>
      </c>
      <c r="GH34" s="238" t="e">
        <f t="shared" ca="1" si="12"/>
        <v>#NUM!</v>
      </c>
      <c r="GI34" s="87" t="e">
        <f t="array" aca="1" ref="GI34" ca="1">INDEX($A$11:$A$145, SMALL(IF(GH34=$GF$11:$GF$145, MATCH(ROW($GF$11:$GF$145), ROW($GF$11:$GF$145))), SUM(--(GH34=$GH$11:GH34))))</f>
        <v>#NUM!</v>
      </c>
      <c r="GM34" s="209">
        <f>IF(GM$7="X",VLOOKUP(GM$10,'VK-Hooned-Soojus'!$C:$X,2+$C34,FALSE),0)+IF(GM$6="X",VLOOKUP(GM$10,'VK-Transport'!$C:$X,2+$B34,0))+IF(GM$8="X",VLOOKUP(GM$10,'VK-Elekter'!$C:$X,2+$D34,0))+IF(GM$9="X",VLOOKUP(GM$10,'VK-Biokütused'!$C:$U,2+$E34,0))+IF(GM$5="X",VLOOKUP(GM$10,'VK-Põlevkivi'!$C:$X,2+$G34,0))+IF(GM$4="X",VLOOKUP(GM$10,'VK-Võrgud'!$C:$X,2+$F34,0))</f>
        <v>6.011750640646909</v>
      </c>
      <c r="GN34" s="209">
        <f>IF(GN$7="X",VLOOKUP(GN$10,'VK-Hooned-Soojus'!$C:$X,2+$C34,FALSE),0)+IF(GN$6="X",VLOOKUP(GN$10,'VK-Transport'!$C:$X,2+$B34,0))+IF(GN$8="X",VLOOKUP(GN$10,'VK-Elekter'!$C:$X,2+$D34,0))+IF(GN$9="X",VLOOKUP(GN$10,'VK-Biokütused'!$C:$U,2+$E34,0))+IF(GN$5="X",VLOOKUP(GN$10,'VK-Põlevkivi'!$C:$X,2+$G34,0))+IF(GN$4="X",VLOOKUP(GN$10,'VK-Võrgud'!$C:$X,2+$F34,0))</f>
        <v>3.4528686473995491</v>
      </c>
      <c r="GO34" s="209">
        <f>IF(GO$7="X",VLOOKUP(GO$10,'VK-Hooned-Soojus'!$C:$X,2+$C34,FALSE),0)+IF(GO$6="X",VLOOKUP(GO$10,'VK-Transport'!$C:$X,2+$B34,0))+IF(GO$8="X",VLOOKUP(GO$10,'VK-Elekter'!$C:$X,2+$D34,0))+IF(GO$9="X",VLOOKUP(GO$10,'VK-Biokütused'!$C:$U,2+$E34,0))+IF(GO$5="X",VLOOKUP(GO$10,'VK-Põlevkivi'!$C:$X,2+$G34,0))+IF(GO$4="X",VLOOKUP(GO$10,'VK-Võrgud'!$C:$X,2+$F34,0))</f>
        <v>7.936370010272257</v>
      </c>
      <c r="GP34" s="209">
        <f>IF(GP$7="X",VLOOKUP(GP$10,'VK-Hooned-Soojus'!$C:$X,2+$C34,FALSE),0)+IF(GP$6="X",VLOOKUP(GP$10,'VK-Transport'!$C:$X,2+$B34,0))+IF(GP$8="X",VLOOKUP(GP$10,'VK-Elekter'!$C:$X,2+$D34,0))+IF(GP$9="X",VLOOKUP(GP$10,'VK-Biokütused'!$C:$U,2+$E34,0))+IF(GP$5="X",VLOOKUP(GP$10,'VK-Põlevkivi'!$C:$X,2+$G34,0))+IF(GP$4="X",VLOOKUP(GP$10,'VK-Võrgud'!$C:$X,2+$F34,0))</f>
        <v>9.1527946929596489</v>
      </c>
      <c r="GQ34" s="88">
        <f>IF(GQ$7="X",VLOOKUP(GQ$10,'VK-Hooned-Soojus'!$C:$X,2+$C34,FALSE),0)+IF(GQ$6="X",VLOOKUP(GQ$10,'VK-Transport'!$C:$X,2+$B34,0))+IF(GQ$8="X",VLOOKUP(GQ$10,'VK-Elekter'!$C:$X,2+$D34,0))+IF(GQ$9="X",VLOOKUP(GQ$10,'VK-Biokütused'!$C:$U,2+$E34,0))+IF(GQ$5="X",VLOOKUP(GQ$10,'VK-Põlevkivi'!$C:$X,2+$G34,0))+IF(GQ$4="X",VLOOKUP(GQ$10,'VK-Võrgud'!$C:$X,2+$F34,0))</f>
        <v>0.9682855968523334</v>
      </c>
      <c r="GR34" s="186">
        <f t="shared" si="33"/>
        <v>0.38247848479173396</v>
      </c>
    </row>
    <row r="35" spans="1:200" x14ac:dyDescent="0.2">
      <c r="A35" s="184">
        <v>25</v>
      </c>
      <c r="B35" s="87">
        <v>1</v>
      </c>
      <c r="C35" s="87">
        <v>2</v>
      </c>
      <c r="D35" s="87">
        <v>4</v>
      </c>
      <c r="E35" s="87">
        <v>1</v>
      </c>
      <c r="F35" s="87">
        <f>VLOOKUP(Tulemused!$BF$7,data!$J$6:$K$8,2,FALSE)</f>
        <v>2</v>
      </c>
      <c r="G35" s="87">
        <f>VLOOKUP(data!$H$2,data!$J$12:$K$14,2,FALSE)</f>
        <v>2</v>
      </c>
      <c r="I35" s="209">
        <f>IF(I$7="X",VLOOKUP(I$10,'VK-Hooned-Soojus'!$C:$X,2+$C35,FALSE),0)+IF(I$6="X",VLOOKUP(I$10,'VK-Transport'!$C:$X,2+$B35,0))+IF(I$8="X",VLOOKUP(I$10,'VK-Elekter'!$C:$X,2+$D35,0))+IF(I$9="X",VLOOKUP(I$10,'VK-Biokütused'!$C:$U,2+$E35,0))+IF(I$5="X",VLOOKUP(I$10,'VK-Põlevkivi'!$C:$X,2+$G35,0))+IF(I$4="X",VLOOKUP(I$10,'VK-Võrgud'!$C:$X,2+$F35,0))</f>
        <v>24.79</v>
      </c>
      <c r="J35" s="209">
        <f>IF(J$7="X",VLOOKUP(J$10,'VK-Hooned-Soojus'!$C:$X,2+$C35,FALSE),0)+IF(J$6="X",VLOOKUP(J$10,'VK-Transport'!$C:$X,2+$B35,0))+IF(J$8="X",VLOOKUP(J$10,'VK-Elekter'!$C:$X,2+$D35,0))+IF(J$9="X",VLOOKUP(J$10,'VK-Biokütused'!$C:$U,2+$E35,0))+IF(J$5="X",VLOOKUP(J$10,'VK-Põlevkivi'!$C:$X,2+$G35,0))+IF(J$4="X",VLOOKUP(J$10,'VK-Võrgud'!$C:$X,2+$F35,0))</f>
        <v>13.295833333333334</v>
      </c>
      <c r="K35" s="209">
        <f>IF(K$7="X",VLOOKUP(K$10,'VK-Hooned-Soojus'!$C:$X,2+$C35,FALSE),0)+IF(K$6="X",VLOOKUP(K$10,'VK-Transport'!$C:$X,2+$B35,0))+IF(K$8="X",VLOOKUP(K$10,'VK-Elekter'!$C:$X,2+$D35,0))+IF(K$9="X",VLOOKUP(K$10,'VK-Biokütused'!$C:$U,2+$E35,0))+IF(K$5="X",VLOOKUP(K$10,'VK-Põlevkivi'!$C:$X,2+$G35,0))+IF(K$4="X",VLOOKUP(K$10,'VK-Võrgud'!$C:$X,2+$F35,0))</f>
        <v>15.27</v>
      </c>
      <c r="L35" s="209">
        <f>IF(L$7="X",VLOOKUP(L$10,'VK-Hooned-Soojus'!$C:$X,2+$C35,FALSE),0)+IF(L$6="X",VLOOKUP(L$10,'VK-Transport'!$C:$X,2+$B35,0))+IF(L$8="X",VLOOKUP(L$10,'VK-Elekter'!$C:$X,2+$D35,0))+IF(L$9="X",VLOOKUP(L$10,'VK-Biokütused'!$C:$U,2+$E35,0))+IF(L$5="X",VLOOKUP(L$10,'VK-Põlevkivi'!$C:$X,2+$G35,0))+IF(L$4="X",VLOOKUP(L$10,'VK-Võrgud'!$C:$X,2+$F35,0))</f>
        <v>24.2</v>
      </c>
      <c r="M35" s="209">
        <f>IF(M$7="X",VLOOKUP(M$10,'VK-Hooned-Soojus'!$C:$X,2+$C35,FALSE),0)+IF(M$6="X",VLOOKUP(M$10,'VK-Transport'!$C:$X,2+$B35,0))+IF(M$8="X",VLOOKUP(M$10,'VK-Elekter'!$C:$X,2+$D35,0))+IF(M$9="X",VLOOKUP(M$10,'VK-Biokütused'!$C:$U,2+$E35,0))+IF(M$5="X",VLOOKUP(M$10,'VK-Põlevkivi'!$C:$X,2+$G35,0))+IF(M$4="X",VLOOKUP(M$10,'VK-Võrgud'!$C:$X,2+$F35,0))</f>
        <v>11.289444444444445</v>
      </c>
      <c r="N35" s="209">
        <f>IF(N$7="X",VLOOKUP(N$10,'VK-Hooned-Soojus'!$C:$X,2+$C35,FALSE),0)+IF(N$6="X",VLOOKUP(N$10,'VK-Transport'!$C:$X,2+$B35,0))+IF(N$8="X",VLOOKUP(N$10,'VK-Elekter'!$C:$X,2+$D35,0))+IF(N$9="X",VLOOKUP(N$10,'VK-Biokütused'!$C:$U,2+$E35,0))+IF(N$5="X",VLOOKUP(N$10,'VK-Põlevkivi'!$C:$X,2+$G35,0))+IF(N$4="X",VLOOKUP(N$10,'VK-Võrgud'!$C:$X,2+$F35,0))</f>
        <v>16.09</v>
      </c>
      <c r="O35" s="209">
        <f t="shared" si="13"/>
        <v>38.085833333333333</v>
      </c>
      <c r="P35" s="209"/>
      <c r="Q35" s="209">
        <f>(IF(Q$7="X",VLOOKUP(Q$10,'VK-Hooned-Soojus'!$C:$X,2+$C35,FALSE),0)+IF(Q$6="X",VLOOKUP(Q$10,'VK-Transport'!$C:$X,2+$B35,0))+IF(Q$8="X",VLOOKUP(Q$10,'VK-Elekter'!$C:$X,2+$D35,0))+IF(Q$9="X",VLOOKUP(Q$10,'VK-Biokütused'!$C:$U,2+$E35,0))+IF(Q$5="X",VLOOKUP(Q$10,'VK-Põlevkivi'!$C:$X,2+$G35,0))+IF(Q$4="X",VLOOKUP(Q$10,'VK-Võrgud'!$C:$X,2+$F35,0)))/1000</f>
        <v>1.337</v>
      </c>
      <c r="R35" s="209">
        <f>(IF(R$7="X",VLOOKUP(R$10,'VK-Hooned-Soojus'!$C:$X,2+$C35,FALSE),0)+IF(R$6="X",VLOOKUP(R$10,'VK-Transport'!$C:$X,2+$B35,0))+IF(R$8="X",VLOOKUP(R$10,'VK-Elekter'!$C:$X,2+$D35,0))+IF(R$9="X",VLOOKUP(R$10,'VK-Biokütused'!$C:$U,2+$E35,0))+IF(R$5="X",VLOOKUP(R$10,'VK-Põlevkivi'!$C:$X,2+$G35,0))+IF(R$4="X",VLOOKUP(R$10,'VK-Võrgud'!$C:$X,2+$F35,0)))/1000</f>
        <v>3.1566368215830605</v>
      </c>
      <c r="S35" s="226">
        <f>VLOOKUP(S$10,'VK-Hooned-Soojus'!$C:$I,2+$C35,FALSE) + VLOOKUP(S$10,'VK-Transport'!$C:$I,2+$B35,FALSE)+ VLOOKUP(S$10,'VK-Biokütused'!$C:$G,2+$E35,FALSE)+ VLOOKUP(S$10,'VK-Elekter'!$C:$I,2+$D35,FALSE)+ VLOOKUP(S$10,'VK-Põlevkivi'!$C:$I,2+$G35,FALSE)+ VLOOKUP(S$10,'VK-Võrgud'!$C:$I,2+$F35,FALSE)</f>
        <v>5.4738148360032549E-3</v>
      </c>
      <c r="T35" s="226">
        <f>VLOOKUP(T$10,'VK-Hooned-Soojus'!$C:$I,2+$C35,FALSE) + VLOOKUP(T$10,'VK-Transport'!$C:$I,2+$B35,FALSE)+ VLOOKUP(T$10,'VK-Biokütused'!$C:$G,2+$E35,FALSE)+ VLOOKUP(T$10,'VK-Elekter'!$C:$I,2+$D35,FALSE)+ VLOOKUP(T$10,'VK-Põlevkivi'!$C:$I,2+$G35,FALSE)+ VLOOKUP(T$10,'VK-Võrgud'!$C:$I,2+$F35,FALSE)</f>
        <v>-4.000284021285206E-3</v>
      </c>
      <c r="U35" s="226">
        <f>VLOOKUP(U$10,'VK-Hooned-Soojus'!$C:$I,2+$C35,FALSE) + VLOOKUP(U$10,'VK-Transport'!$C:$I,2+$B35,FALSE)+ VLOOKUP(U$10,'VK-Biokütused'!$C:$G,2+$E35,FALSE)+ VLOOKUP(U$10,'VK-Elekter'!$C:$I,2+$D35,FALSE)+ VLOOKUP(U$10,'VK-Põlevkivi'!$C:$I,2+$G35,FALSE)+ VLOOKUP(U$10,'VK-Võrgud'!$C:$I,2+$F35,FALSE)</f>
        <v>-9.6781432578821325E-4</v>
      </c>
      <c r="V35" s="226">
        <f>VLOOKUP(V$10,'VK-Hooned-Soojus'!$C:$I,2+$C35,FALSE) + VLOOKUP(V$10,'VK-Transport'!$C:$I,2+$B35,FALSE)+ VLOOKUP(V$10,'VK-Biokütused'!$C:$G,2+$E35,FALSE)+ VLOOKUP(V$10,'VK-Elekter'!$C:$I,2+$D35,FALSE)+ VLOOKUP(V$10,'VK-Põlevkivi'!$C:$I,2+$G35,FALSE)+ VLOOKUP(V$10,'VK-Võrgud'!$C:$I,2+$F35,FALSE)</f>
        <v>6.458665658180626E-3</v>
      </c>
      <c r="W35" s="226">
        <f>VLOOKUP(W$10,'VK-Hooned-Soojus'!$C:$I,2+$C35,FALSE) + VLOOKUP(W$10,'VK-Transport'!$C:$I,2+$B35,FALSE)+ VLOOKUP(W$10,'VK-Biokütused'!$C:$G,2+$E35,FALSE)+ VLOOKUP(W$10,'VK-Elekter'!$C:$I,2+$D35,FALSE)+ VLOOKUP(W$10,'VK-Põlevkivi'!$C:$I,2+$G35,FALSE)+ VLOOKUP(W$10,'VK-Võrgud'!$C:$I,2+$F35,FALSE)</f>
        <v>-3.3250572196741192E-2</v>
      </c>
      <c r="X35" s="226">
        <f>VLOOKUP(X$10,'VK-Hooned-Soojus'!$C:$I,2+$C35,FALSE) + VLOOKUP(X$10,'VK-Transport'!$C:$I,2+$B35,FALSE)+ VLOOKUP(X$10,'VK-Biokütused'!$C:$G,2+$E35,FALSE)+ VLOOKUP(X$10,'VK-Elekter'!$C:$I,2+$D35,FALSE)+ VLOOKUP(X$10,'VK-Põlevkivi'!$C:$I,2+$G35,FALSE)+ VLOOKUP(X$10,'VK-Võrgud'!$C:$I,2+$F35,FALSE)</f>
        <v>-0.15116484409464648</v>
      </c>
      <c r="Y35" s="226">
        <f>VLOOKUP(Y$10,'VK-Hooned-Soojus'!$C:$I,2+$C35,FALSE) + VLOOKUP(Y$10,'VK-Transport'!$C:$I,2+$B35,FALSE)+ VLOOKUP(Y$10,'VK-Biokütused'!$C:$G,2+$E35,FALSE)+ VLOOKUP(Y$10,'VK-Elekter'!$C:$I,2+$D35,FALSE)+ VLOOKUP(Y$10,'VK-Põlevkivi'!$C:$I,2+$G35,FALSE)+ VLOOKUP(Y$10,'VK-Võrgud'!$C:$I,2+$F35,FALSE)</f>
        <v>-6.8501717178342678E-2</v>
      </c>
      <c r="Z35" s="227">
        <f>(S35*Tulemused!$Q$9*10+T35*Tulemused!$Q$10*10+KOMBI!U35*Tulemused!$Q$11*10+KOMBI!V35*Tulemused!$Q$12*10)*Tulemused!$Q$8+-(W35*Tulemused!$Q$14*10+KOMBI!X35*Tulemused!$Q$15*10+KOMBI!Y35*Tulemused!$Q$16*10)*Tulemused!$Q$13</f>
        <v>5.5379402675966141</v>
      </c>
      <c r="AA35" s="228">
        <f>(IF(AA$7="X",VLOOKUP(AA$10,'VK-Hooned-Soojus'!$C:$X,2+$C35,FALSE),0)+IF(AA$6="X",VLOOKUP(AA$10,'VK-Transport'!$C:$X,2+$B35,0))+IF(AA$8="X",VLOOKUP(AA$10,'VK-Elekter'!$C:$X,2+$D35,0))+IF(AA$9="X",VLOOKUP(AA$10,'VK-Biokütused'!$C:$U,2+$E35,0))+IF(AA$5="X",VLOOKUP(AA$10,'VK-Põlevkivi'!$C:$X,2+$G35,0))+IF(AA$4="X",VLOOKUP(AA$10,'VK-Võrgud'!$C:$X,2+$F35,0)))</f>
        <v>0</v>
      </c>
      <c r="AB35" s="228">
        <f>(IF(AB$7="X",VLOOKUP(AB$10,'VK-Hooned-Soojus'!$C:$X,2+$C35,FALSE),0)+IF(AB$6="X",VLOOKUP(AB$10,'VK-Transport'!$C:$X,2+$B35,0))+IF(AB$8="X",VLOOKUP(AB$10,'VK-Elekter'!$C:$X,2+$D35,0))+IF(AB$9="X",VLOOKUP(AB$10,'VK-Biokütused'!$C:$U,2+$E35,0))+IF(AB$5="X",VLOOKUP(AB$10,'VK-Põlevkivi'!$C:$X,2+$G35,0))+IF(AB$4="X",VLOOKUP(AB$10,'VK-Võrgud'!$C:$X,2+$F35,0)))</f>
        <v>1337</v>
      </c>
      <c r="AC35" s="228">
        <f>(IF(AC$7="X",VLOOKUP(AC$10,'VK-Hooned-Soojus'!$C:$X,2+$C35,FALSE),0)+IF(AC$6="X",VLOOKUP(AC$10,'VK-Transport'!$C:$X,2+$B35,0))+IF(AC$8="X",VLOOKUP(AC$10,'VK-Elekter'!$C:$X,2+$D35,0))+IF(AC$9="X",VLOOKUP(AC$10,'VK-Biokütused'!$C:$U,2+$E35,0))+IF(AC$5="X",VLOOKUP(AC$10,'VK-Põlevkivi'!$C:$X,2+$G35,0))+IF(AC$4="X",VLOOKUP(AC$10,'VK-Võrgud'!$C:$X,2+$F35,0)))</f>
        <v>2346</v>
      </c>
      <c r="AD35" s="228">
        <f>(IF(AD$7="X",VLOOKUP(AD$10,'VK-Hooned-Soojus'!$C:$X,2+$C35,FALSE),0)+IF(AD$6="X",VLOOKUP(AD$10,'VK-Transport'!$C:$X,2+$B35,0))+IF(AD$8="X",VLOOKUP(AD$10,'VK-Elekter'!$C:$X,2+$D35,0))+IF(AD$9="X",VLOOKUP(AD$10,'VK-Biokütused'!$C:$U,2+$E35,0))+IF(AD$5="X",VLOOKUP(AD$10,'VK-Põlevkivi'!$C:$X,2+$G35,0))+IF(AD$4="X",VLOOKUP(AD$10,'VK-Võrgud'!$C:$X,2+$F35,0)))</f>
        <v>0</v>
      </c>
      <c r="AE35" s="228">
        <f>(IF(AE$7="X",VLOOKUP(AE$10,'VK-Hooned-Soojus'!$C:$X,2+$C35,FALSE),0)+IF(AE$6="X",VLOOKUP(AE$10,'VK-Transport'!$C:$X,2+$B35,0))+IF(AE$8="X",VLOOKUP(AE$10,'VK-Elekter'!$C:$X,2+$D35,0))+IF(AE$9="X",VLOOKUP(AE$10,'VK-Biokütused'!$C:$U,2+$E35,0))+IF(AE$5="X",VLOOKUP(AE$10,'VK-Põlevkivi'!$C:$X,2+$G35,0))+IF(AE$4="X",VLOOKUP(AE$10,'VK-Võrgud'!$C:$X,2+$F35,0)))</f>
        <v>666</v>
      </c>
      <c r="AF35" s="228">
        <f>(IF(AF$7="X",VLOOKUP(AF$10,'VK-Hooned-Soojus'!$C:$X,2+$C35,FALSE),0)+IF(AF$6="X",VLOOKUP(AF$10,'VK-Transport'!$C:$X,2+$B35,0))+IF(AF$8="X",VLOOKUP(AF$10,'VK-Elekter'!$C:$X,2+$D35,0))+IF(AF$9="X",VLOOKUP(AF$10,'VK-Biokütused'!$C:$U,2+$E35,0))+IF(AF$5="X",VLOOKUP(AF$10,'VK-Põlevkivi'!$C:$X,2+$G35,0))+IF(AF$4="X",VLOOKUP(AF$10,'VK-Võrgud'!$C:$X,2+$F35,0)))</f>
        <v>2490.6368215830603</v>
      </c>
      <c r="AG35" s="209"/>
      <c r="AH35" s="209">
        <f>IF(AH$7="X",VLOOKUP(AH$10,'VK-Hooned-Soojus'!$C:$X,2+$C35,FALSE),0)+IF(AH$6="X",VLOOKUP(AH$10,'VK-Transport'!$C:$X,2+$B35,0))+IF(AH$8="X",VLOOKUP(AH$10,'VK-Elekter'!$C:$X,2+$D35,0))+IF(AH$9="X",VLOOKUP(AH$10,'VK-Biokütused'!$C:$U,2+$E35,0))+IF(AH$5="X",VLOOKUP(AH$10,'VK-Põlevkivi'!$C:$X,2+$G35,0))+IF(AH$4="X",VLOOKUP(AH$10,'VK-Võrgud'!$C:$X,2+$F35,0))</f>
        <v>0</v>
      </c>
      <c r="AI35" s="209">
        <f>IF(AI$7="X",VLOOKUP(AI$10,'VK-Hooned-Soojus'!$C:$X,2+$C35,FALSE),0)+IF(AI$6="X",VLOOKUP(AI$10,'VK-Transport'!$C:$X,2+$B35,0))+IF(AI$8="X",VLOOKUP(AI$10,'VK-Elekter'!$C:$X,2+$D35,0))+IF(AI$9="X",VLOOKUP(AI$10,'VK-Biokütused'!$C:$U,2+$E35,0))+IF(AI$5="X",VLOOKUP(AI$10,'VK-Põlevkivi'!$C:$X,2+$G35,0))+IF(AI$4="X",VLOOKUP(AI$10,'VK-Võrgud'!$C:$X,2+$F35,0))</f>
        <v>11.489999999999998</v>
      </c>
      <c r="AJ35" s="209">
        <f>IF(AJ$7="X",VLOOKUP(AJ$10,'VK-Hooned-Soojus'!$C:$X,2+$C35,FALSE),0)+IF(AJ$6="X",VLOOKUP(AJ$10,'VK-Transport'!$C:$X,2+$B35,0))+IF(AJ$8="X",VLOOKUP(AJ$10,'VK-Elekter'!$C:$X,2+$D35,0))+IF(AJ$9="X",VLOOKUP(AJ$10,'VK-Biokütused'!$C:$U,2+$E35,0))+IF(AJ$5="X",VLOOKUP(AJ$10,'VK-Põlevkivi'!$C:$X,2+$G35,0))+IF(AJ$4="X",VLOOKUP(AJ$10,'VK-Võrgud'!$C:$X,2+$F35,0))</f>
        <v>0</v>
      </c>
      <c r="AK35" s="209">
        <f>IF(AK$7="X",VLOOKUP(AK$10,'VK-Hooned-Soojus'!$C:$X,2+$C35,FALSE),0)+IF(AK$6="X",VLOOKUP(AK$10,'VK-Transport'!$C:$X,2+$B35,0))+IF(AK$8="X",VLOOKUP(AK$10,'VK-Elekter'!$C:$X,2+$D35,0))+IF(AK$9="X",VLOOKUP(AK$10,'VK-Biokütused'!$C:$U,2+$E35,0))+IF(AK$5="X",VLOOKUP(AK$10,'VK-Põlevkivi'!$C:$X,2+$G35,0))+IF(AK$4="X",VLOOKUP(AK$10,'VK-Võrgud'!$C:$X,2+$F35,0))</f>
        <v>3.65</v>
      </c>
      <c r="AL35" s="209">
        <f>IF(AL$7="X",VLOOKUP(AL$10,'VK-Hooned-Soojus'!$C:$X,2+$C35,FALSE),0)+IF(AL$6="X",VLOOKUP(AL$10,'VK-Transport'!$C:$X,2+$B35,0))+IF(AL$8="X",VLOOKUP(AL$10,'VK-Elekter'!$C:$X,2+$D35,0))+IF(AL$9="X",VLOOKUP(AL$10,'VK-Biokütused'!$C:$U,2+$E35,0))+IF(AL$5="X",VLOOKUP(AL$10,'VK-Põlevkivi'!$C:$X,2+$G35,0))+IF(AL$4="X",VLOOKUP(AL$10,'VK-Võrgud'!$C:$X,2+$F35,0))</f>
        <v>7.1999999999999993</v>
      </c>
      <c r="AM35" s="209">
        <f>IF(AM$7="X",VLOOKUP(AM$10,'VK-Hooned-Soojus'!$C:$X,2+$C35,FALSE),0)+IF(AM$6="X",VLOOKUP(AM$10,'VK-Transport'!$C:$X,2+$B35,0))+IF(AM$8="X",VLOOKUP(AM$10,'VK-Elekter'!$C:$X,2+$D35,0))+IF(AM$9="X",VLOOKUP(AM$10,'VK-Biokütused'!$C:$U,2+$E35,0))+IF(AM$5="X",VLOOKUP(AM$10,'VK-Põlevkivi'!$C:$X,2+$G35,0))+IF(AM$4="X",VLOOKUP(AM$10,'VK-Võrgud'!$C:$X,2+$F35,0))</f>
        <v>11.9</v>
      </c>
      <c r="AN35" s="209">
        <f>IF(AN$7="X",VLOOKUP(AN$10,'VK-Hooned-Soojus'!$C:$X,2+$C35,FALSE),0)+IF(AN$6="X",VLOOKUP(AN$10,'VK-Transport'!$C:$X,2+$B35,0))+IF(AN$8="X",VLOOKUP(AN$10,'VK-Elekter'!$C:$X,2+$D35,0))+IF(AN$9="X",VLOOKUP(AN$10,'VK-Biokütused'!$C:$U,2+$E35,0))+IF(AN$5="X",VLOOKUP(AN$10,'VK-Põlevkivi'!$C:$X,2+$G35,0))+IF(AN$4="X",VLOOKUP(AN$10,'VK-Võrgud'!$C:$X,2+$F35,0))</f>
        <v>4.8999999999999995</v>
      </c>
      <c r="AO35" s="209">
        <f>IF(AO$7="X",VLOOKUP(AO$10,'VK-Hooned-Soojus'!$C:$X,2+$C35,FALSE),0)+IF(AO$6="X",VLOOKUP(AO$10,'VK-Transport'!$C:$X,2+$B35,0))+IF(AO$8="X",VLOOKUP(AO$10,'VK-Elekter'!$C:$X,2+$D35,0))+IF(AO$9="X",VLOOKUP(AO$10,'VK-Biokütused'!$C:$U,2+$E35,0))+IF(AO$5="X",VLOOKUP(AO$10,'VK-Põlevkivi'!$C:$X,2+$G35,0))+IF(AO$4="X",VLOOKUP(AO$10,'VK-Võrgud'!$C:$X,2+$F35,0))</f>
        <v>21.740000000000002</v>
      </c>
      <c r="AP35" s="209">
        <f>IF(AP$7="X",VLOOKUP(AP$10,'VK-Hooned-Soojus'!$C:$X,2+$C35,FALSE),0)+IF(AP$6="X",VLOOKUP(AP$10,'VK-Transport'!$C:$X,2+$B35,0))+IF(AP$8="X",VLOOKUP(AP$10,'VK-Elekter'!$C:$X,2+$D35,0))+IF(AP$9="X",VLOOKUP(AP$10,'VK-Biokütused'!$C:$U,2+$E35,0))+IF(AP$5="X",VLOOKUP(AP$10,'VK-Põlevkivi'!$C:$X,2+$G35,0))+IF(AP$4="X",VLOOKUP(AP$10,'VK-Võrgud'!$C:$X,2+$F35,0))</f>
        <v>10.870000000000001</v>
      </c>
      <c r="AQ35" s="320">
        <f t="shared" si="14"/>
        <v>9.4400000000000013</v>
      </c>
      <c r="AR35" s="209">
        <f>IF(AR$7="X",VLOOKUP(AR$10,'VK-Hooned-Soojus'!$C:$X,2+$C35,FALSE),0)+IF(AR$6="X",VLOOKUP(AR$10,'VK-Transport'!$C:$X,2+$B35,0))+IF(AR$8="X",VLOOKUP(AR$10,'VK-Elekter'!$C:$X,2+$D35,0))+IF(AR$9="X",VLOOKUP(AR$10,'VK-Biokütused'!$C:$U,2+$E35,0))+IF(AR$5="X",VLOOKUP(AR$10,'VK-Põlevkivi'!$C:$X,2+$G35,0))+IF(AR$4="X",VLOOKUP(AR$10,'VK-Võrgud'!$C:$X,2+$F35,0))</f>
        <v>0.5</v>
      </c>
      <c r="AS35" s="320">
        <f>VLOOKUP("Kütuste tarbimine @ 2030 - UTTEGAAS",'VK-Hooned-Soojus'!$C:$X,2+$C35,FALSE)/0.172+VLOOKUP("Kütuste tarbimine @ 2030 - UTTEGAAS",'VK-Elekter'!$C:$X,2+$D35,FALSE)/0.172-AR35-AU35</f>
        <v>-0.5</v>
      </c>
      <c r="AT35" s="209">
        <f>IF(AT$7="X",VLOOKUP(AT$10,'VK-Hooned-Soojus'!$C:$X,2+$C35,FALSE),0)+IF(AT$6="X",VLOOKUP(AT$10,'VK-Transport'!$C:$X,2+$B35,0))+IF(AT$8="X",VLOOKUP(AT$10,'VK-Elekter'!$C:$X,2+$D35,0))+IF(AT$9="X",VLOOKUP(AT$10,'VK-Biokütused'!$C:$U,2+$E35,0))+IF(AT$5="X",VLOOKUP(AT$10,'VK-Põlevkivi'!$C:$X,2+$G35,0))+IF(AT$4="X",VLOOKUP(AT$10,'VK-Võrgud'!$C:$X,2+$F35,0))</f>
        <v>12.004929222526066</v>
      </c>
      <c r="AU35" s="229">
        <f>MAX(0,(VLOOKUP("Kütuste tarbimine @ 2030 - UTTEGAAS",'VK-Hooned-Soojus'!$C:$X,2+$C35,FALSE)/0.172+VLOOKUP("Kütuste tarbimine @ 2030 - UTTEGAAS",'VK-Elekter'!$C:$X,2+$D35,FALSE)/0.172)*0.52-VLOOKUP("Kütuste tarbimine @ 2030 - PÕLEVKIVIÕLI",'VK-Hooned-Soojus'!$C:$X,2+$C35,FALSE))</f>
        <v>0</v>
      </c>
      <c r="AV35" s="209">
        <f>IF(AV$7="X",VLOOKUP(AV$10,'VK-Hooned-Soojus'!$C:$X,2+$C35,FALSE),0)+IF(AV$6="X",VLOOKUP(AV$10,'VK-Transport'!$C:$X,2+$B35,0))+IF(AV$8="X",VLOOKUP(AV$10,'VK-Elekter'!$C:$X,2+$D35,0))+IF(AV$9="X",VLOOKUP(AV$10,'VK-Biokütused'!$C:$U,2+$E35,0))+IF(AV$5="X",VLOOKUP(AV$10,'VK-Põlevkivi'!$C:$X,2+$G35,0))+IF(AV$4="X",VLOOKUP(AV$10,'VK-Võrgud'!$C:$X,2+$F35,0))</f>
        <v>1.1831224847375093</v>
      </c>
      <c r="AW35" s="209">
        <f>IF(AW$7="X",VLOOKUP(AW$10,'VK-Hooned-Soojus'!$C:$X,2+$C35,FALSE),0)+IF(AW$6="X",VLOOKUP(AW$10,'VK-Transport'!$C:$X,2+$B35,0))+IF(AW$8="X",VLOOKUP(AW$10,'VK-Elekter'!$C:$X,2+$D35,0))+IF(AW$9="X",VLOOKUP(AW$10,'VK-Biokütused'!$C:$U,2+$E35,0))+IF(AW$5="X",VLOOKUP(AW$10,'VK-Põlevkivi'!$C:$X,2+$G35,0))+IF(AW$4="X",VLOOKUP(AW$10,'VK-Võrgud'!$C:$X,2+$F35,0))</f>
        <v>0</v>
      </c>
      <c r="AX35" s="229">
        <f t="shared" si="34"/>
        <v>0</v>
      </c>
      <c r="AY35" s="229">
        <f t="shared" si="15"/>
        <v>1.1831224847375093</v>
      </c>
      <c r="AZ35" s="230">
        <f t="shared" si="0"/>
        <v>0.68480964817877188</v>
      </c>
      <c r="BA35" s="209">
        <f>IF(BA$7="X",VLOOKUP(BA$10,'VK-Hooned-Soojus'!$C:$X,2+$C35,FALSE),0)+IF(BA$6="X",VLOOKUP(BA$10,'VK-Transport'!$C:$X,2+$B35,0))+IF(BA$8="X",VLOOKUP(BA$10,'VK-Elekter'!$C:$X,2+$D35,0))+IF(BA$9="X",VLOOKUP(BA$10,'VK-Biokütused'!$C:$U,2+$E35,0))+IF(BA$5="X",VLOOKUP(BA$10,'VK-Põlevkivi'!$C:$X,2+$G35,0))+IF(BA$4="X",VLOOKUP(BA$10,'VK-Võrgud'!$C:$X,2+$F35,0))</f>
        <v>0</v>
      </c>
      <c r="BB35" s="209">
        <f>IF(BB$7="X",VLOOKUP(BB$10,'VK-Hooned-Soojus'!$C:$X,2+$C35,FALSE),0)+IF(BB$6="X",VLOOKUP(BB$10,'VK-Transport'!$C:$X,2+$B35,0))+IF(BB$8="X",VLOOKUP(BB$10,'VK-Elekter'!$C:$X,2+$D35,0))+IF(BB$9="X",VLOOKUP(BB$10,'VK-Biokütused'!$C:$U,2+$E35,0))+IF(BB$5="X",VLOOKUP(BB$10,'VK-Põlevkivi'!$C:$X,2+$G35,0))+IF(BB$4="X",VLOOKUP(BB$10,'VK-Võrgud'!$C:$X,2+$F35,0))</f>
        <v>6.32</v>
      </c>
      <c r="BC35" s="209">
        <f>IF(BC$7="X",VLOOKUP(BC$10,'VK-Hooned-Soojus'!$C:$X,2+$C35,FALSE),0)+IF(BC$6="X",VLOOKUP(BC$10,'VK-Transport'!$C:$X,2+$B35,0))+IF(BC$8="X",VLOOKUP(BC$10,'VK-Elekter'!$C:$X,2+$D35,0))+IF(BC$9="X",VLOOKUP(BC$10,'VK-Biokütused'!$C:$U,2+$E35,0))+IF(BC$5="X",VLOOKUP(BC$10,'VK-Põlevkivi'!$C:$X,2+$G35,0))+IF(BC$4="X",VLOOKUP(BC$10,'VK-Võrgud'!$C:$X,2+$F35,0))</f>
        <v>6.5993333333333322</v>
      </c>
      <c r="BD35" s="209">
        <f>IF(BD$7="X",VLOOKUP(BD$10,'VK-Hooned-Soojus'!$C:$X,2+$C35,FALSE),0)+IF(BD$6="X",VLOOKUP(BD$10,'VK-Transport'!$C:$X,2+$B35,0))+IF(BD$8="X",VLOOKUP(BD$10,'VK-Elekter'!$C:$X,2+$D35,0))+IF(BD$9="X",VLOOKUP(BD$10,'VK-Biokütused'!$C:$U,2+$E35,0))+IF(BD$5="X",VLOOKUP(BD$10,'VK-Põlevkivi'!$C:$X,2+$G35,0))+IF(BD$4="X",VLOOKUP(BD$10,'VK-Võrgud'!$C:$X,2+$F35,0))</f>
        <v>9.425416666666667</v>
      </c>
      <c r="BE35" s="230"/>
      <c r="BF35" s="229">
        <f t="shared" si="16"/>
        <v>0.53973582189892089</v>
      </c>
      <c r="BG35" s="209" t="e">
        <f>(IF(BG$7="X",VLOOKUP(BG$10,'VK-Hooned-Soojus'!$C:$X,2+$C35,FALSE),0)+IF(BG$6="X",VLOOKUP(BG$10,'VK-Transport'!$C:$X,2+$B35,0))+IF(BG$8="X",VLOOKUP(BG$10,'VK-Elekter'!$C:$X,2+$D35,0))+IF(BG$9="X",VLOOKUP(BG$10,'VK-Biokütused'!$C:$U,2+$E35,0))+IF(BG$5="X",VLOOKUP(BG$10,'VK-Põlevkivi'!$C:$X,2+$G35,0))+IF(BG$4="X",VLOOKUP(BG$10,'VK-Võrgud'!$C:$X,2+$F35,0)))/20</f>
        <v>#N/A</v>
      </c>
      <c r="BH35" s="209">
        <f>(IF(BH$7="X",VLOOKUP(BH$10,'VK-Hooned-Soojus'!$C:$X,2+$C35,FALSE),0)+IF(BH$6="X",VLOOKUP(BH$10,'VK-Transport'!$C:$X,2+$B35,0))+IF(BH$8="X",VLOOKUP(BH$10,'VK-Elekter'!$C:$X,2+$D35,0))+IF(BH$9="X",VLOOKUP(BH$10,'VK-Biokütused'!$C:$U,2+$E35,0))+IF(BH$5="X",VLOOKUP(BH$10,'VK-Põlevkivi'!$C:$X,2+$G35,0))+IF(BH$4="X",VLOOKUP(BH$10,'VK-Võrgud'!$C:$X,2+$F35,0)))/20</f>
        <v>45.08</v>
      </c>
      <c r="BI35" s="209">
        <f>(IF(BI$7="X",VLOOKUP(BI$10,'VK-Hooned-Soojus'!$C:$X,2+$C35,FALSE),0)+IF(BI$6="X",VLOOKUP(BI$10,'VK-Transport'!$C:$X,2+$B35,0))+IF(BI$8="X",VLOOKUP(BI$10,'VK-Elekter'!$C:$X,2+$D35,0))+IF(BI$9="X",VLOOKUP(BI$10,'VK-Biokütused'!$C:$U,2+$E35,0))+IF(BI$5="X",VLOOKUP(BI$10,'VK-Põlevkivi'!$C:$X,2+$G35,0))+IF(BI$4="X",VLOOKUP(BI$10,'VK-Võrgud'!$C:$X,2+$F35,0)))/16</f>
        <v>14.1875</v>
      </c>
      <c r="BJ35" s="209">
        <f>(IF(BJ$7="X",VLOOKUP(BJ$10,'VK-Hooned-Soojus'!$C:$X,2+$C35,FALSE),0)+IF(BJ$6="X",VLOOKUP(BJ$10,'VK-Transport'!$C:$X,2+$B35,0))+IF(BJ$8="X",VLOOKUP(BJ$10,'VK-Elekter'!$C:$X,2+$D35,0))+IF(BJ$9="X",VLOOKUP(BJ$10,'VK-Biokütused'!$C:$U,2+$E35,0))+IF(BJ$5="X",VLOOKUP(BJ$10,'VK-Põlevkivi'!$C:$X,2+$G35,0))+IF(BJ$4="X",VLOOKUP(BJ$10,'VK-Võrgud'!$C:$X,2+$F35,0)))/20</f>
        <v>3.91</v>
      </c>
      <c r="BK35" s="209"/>
      <c r="BL35" s="209"/>
      <c r="BM35" s="209"/>
      <c r="BN35" s="209" t="e">
        <f>(IF(BN$7="X",VLOOKUP(BN$10,'VK-Hooned-Soojus'!$C:$X,2+$C35,FALSE),0)+IF(BN$6="X",VLOOKUP(BN$10,'VK-Transport'!$C:$X,2+$B35,0))+IF(BN$8="X",VLOOKUP(BN$10,'VK-Elekter'!$C:$X,2+$D35,0))+IF(BN$9="X",VLOOKUP(BN$10,'VK-Biokütused'!$C:$U,2+$E35,0))+IF(BN$5="X",VLOOKUP(BN$10,'VK-Põlevkivi'!$C:$X,2+$G35,0))+IF(BN$4="X",VLOOKUP(BN$10,'VK-Võrgud'!$C:$X,2+$F35,0)))/16</f>
        <v>#N/A</v>
      </c>
      <c r="BO35" s="209">
        <f>(IF(BO$7="X",VLOOKUP(BO$10,'VK-Hooned-Soojus'!$C:$X,2+$C35,FALSE),0)+IF(BO$6="X",VLOOKUP(BO$10,'VK-Transport'!$C:$X,2+$B35,0))+IF(BO$8="X",VLOOKUP(BO$10,'VK-Elekter'!$C:$X,2+$D35,0))+IF(BO$9="X",VLOOKUP(BO$10,'VK-Biokütused'!$C:$U,2+$E35,0))+IF(BO$5="X",VLOOKUP(BO$10,'VK-Põlevkivi'!$C:$X,2+$G35,0))+IF(BO$4="X",VLOOKUP(BO$10,'VK-Võrgud'!$C:$X,2+$F35,0)))/16</f>
        <v>496.33125000000001</v>
      </c>
      <c r="BP35" s="209"/>
      <c r="BQ35" s="209">
        <f>(IF(BQ$7="X",VLOOKUP(BQ$10,'VK-Hooned-Soojus'!$C:$X,2+$C35,FALSE),0)+IF(BQ$6="X",VLOOKUP(BQ$10,'VK-Transport'!$C:$X,2+$B35,0))+IF(BQ$8="X",VLOOKUP(BQ$10,'VK-Elekter'!$C:$X,2+$D35,0))+IF(BQ$9="X",VLOOKUP(BQ$10,'VK-Biokütused'!$C:$U,2+$E35,0))+IF(BQ$5="X",VLOOKUP(BQ$10,'VK-Põlevkivi'!$C:$X,2+$G35,0))+IF(BQ$4="X",VLOOKUP(BQ$10,'VK-Võrgud'!$C:$X,2+$F35,0)))/16</f>
        <v>4.7249999999999996</v>
      </c>
      <c r="BR35" s="209">
        <f>(IF(BR$7="X",VLOOKUP(BR$10,'VK-Hooned-Soojus'!$C:$X,2+$C35,FALSE),0)+IF(BR$6="X",VLOOKUP(BR$10,'VK-Transport'!$C:$X,2+$B35,0))+IF(BR$8="X",VLOOKUP(BR$10,'VK-Elekter'!$C:$X,2+$D35,0))+IF(BR$9="X",VLOOKUP(BR$10,'VK-Biokütused'!$C:$U,2+$E35,0))+IF(BR$5="X",VLOOKUP(BR$10,'VK-Põlevkivi'!$C:$X,2+$G35,0))+IF(BR$4="X",VLOOKUP(BR$10,'VK-Võrgud'!$C:$X,2+$F35,0)))/16</f>
        <v>-74.512500000000003</v>
      </c>
      <c r="BS35" s="209">
        <f>(IF(BS$7="X",VLOOKUP(BS$10,'VK-Hooned-Soojus'!$C:$X,2+$C35,FALSE),0)+IF(BS$6="X",VLOOKUP(BS$10,'VK-Transport'!$C:$X,2+$B35,0))+IF(BS$8="X",VLOOKUP(BS$10,'VK-Elekter'!$C:$X,2+$D35,0))+IF(BS$9="X",VLOOKUP(BS$10,'VK-Biokütused'!$C:$U,2+$E35,0))+IF(BS$5="X",VLOOKUP(BS$10,'VK-Põlevkivi'!$C:$X,2+$G35,0))+IF(BS$4="X",VLOOKUP(BS$10,'VK-Võrgud'!$C:$X,2+$F35,0)))/16</f>
        <v>-100.68125000000001</v>
      </c>
      <c r="BT35" s="209"/>
      <c r="BU35" s="209"/>
      <c r="BV35" s="209">
        <f>(IF(BV$7="X",VLOOKUP(BV$10,'VK-Hooned-Soojus'!$C:$X,2+$C35,FALSE),0)+IF(BV$6="X",VLOOKUP(BV$10,'VK-Transport'!$C:$X,2+$B35,0))+IF(BV$8="X",VLOOKUP(BV$10,'VK-Elekter'!$C:$X,2+$D35,0))+IF(BV$9="X",VLOOKUP(BV$10,'VK-Biokütused'!$C:$U,2+$E35,0))+IF(BV$5="X",VLOOKUP(BV$10,'VK-Põlevkivi'!$C:$X,2+$G35,0))+IF(BV$4="X",VLOOKUP(BV$10,'VK-Võrgud'!$C:$X,2+$F35,0)))/16</f>
        <v>0</v>
      </c>
      <c r="BW35" s="209"/>
      <c r="BX35" s="209">
        <f>(IF(BX$7="X",VLOOKUP(BX$10,'VK-Hooned-Soojus'!$C:$X,2+$C35,FALSE),0)+IF(BX$6="X",VLOOKUP(BX$10,'VK-Transport'!$C:$X,2+$B35,0))+IF(BX$8="X",VLOOKUP(BX$10,'VK-Elekter'!$C:$X,2+$D35,0))+IF(BX$9="X",VLOOKUP(BX$10,'VK-Biokütused'!$C:$U,2+$E35,0))+IF(BX$5="X",VLOOKUP(BX$10,'VK-Põlevkivi'!$C:$X,2+$G35,0))+IF(BX$4="X",VLOOKUP(BX$10,'VK-Võrgud'!$C:$X,2+$F35,0)))/16</f>
        <v>-19.25</v>
      </c>
      <c r="BY35" s="209"/>
      <c r="BZ35" s="209"/>
      <c r="CA35" s="209" t="e">
        <f>(IF(CA$7="X",VLOOKUP(CA$10,'VK-Hooned-Soojus'!$C:$X,2+$C35,FALSE),0)+IF(CA$6="X",VLOOKUP(CA$10,'VK-Transport'!$C:$X,2+$B35,0))+IF(CA$8="X",VLOOKUP(CA$10,'VK-Elekter'!$C:$X,2+$D35,0))+IF(CA$9="X",VLOOKUP(CA$10,'VK-Biokütused'!$C:$U,2+$E35,0))+IF(CA$5="X",VLOOKUP(CA$10,'VK-Põlevkivi'!$C:$X,2+$G35,0))+IF(CA$4="X",VLOOKUP(CA$10,'VK-Võrgud'!$C:$X,2+$F35,0)))/16</f>
        <v>#N/A</v>
      </c>
      <c r="CB35" s="209">
        <f>(IF(CB$7="X",VLOOKUP(CB$10,'VK-Hooned-Soojus'!$C:$X,2+$C35,FALSE),0)+IF(CB$6="X",VLOOKUP(CB$10,'VK-Transport'!$C:$X,2+$B35,0))+IF(CB$8="X",VLOOKUP(CB$10,'VK-Elekter'!$C:$X,2+$D35,0))+IF(CB$9="X",VLOOKUP(CB$10,'VK-Biokütused'!$C:$U,2+$E35,0))+IF(CB$5="X",VLOOKUP(CB$10,'VK-Põlevkivi'!$C:$X,2+$G35,0))+IF(CB$4="X",VLOOKUP(CB$10,'VK-Võrgud'!$C:$X,2+$F35,0)))/16</f>
        <v>0</v>
      </c>
      <c r="CC35" s="209">
        <f>(IF(CC$7="X",VLOOKUP(CC$10,'VK-Hooned-Soojus'!$C:$X,2+$C35,FALSE),0)+IF(CC$6="X",VLOOKUP(CC$10,'VK-Transport'!$C:$X,2+$B35,0))+IF(CC$8="X",VLOOKUP(CC$10,'VK-Elekter'!$C:$X,2+$D35,0))+IF(CC$9="X",VLOOKUP(CC$10,'VK-Biokütused'!$C:$U,2+$E35,0))+IF(CC$5="X",VLOOKUP(CC$10,'VK-Põlevkivi'!$C:$X,2+$G35,0))+IF(CC$4="X",VLOOKUP(CC$10,'VK-Võrgud'!$C:$X,2+$F35,0)))/16</f>
        <v>0</v>
      </c>
      <c r="CD35" s="209"/>
      <c r="CE35" s="209">
        <f>(IF(CE$7="X",VLOOKUP(CE$10,'VK-Hooned-Soojus'!$C:$X,2+$C35,FALSE),0)+IF(CE$6="X",VLOOKUP(CE$10,'VK-Transport'!$C:$X,2+$B35,0))+IF(CE$8="X",VLOOKUP(CE$10,'VK-Elekter'!$C:$X,2+$D35,0))+IF(CE$9="X",VLOOKUP(CE$10,'VK-Biokütused'!$C:$U,2+$E35,0))+IF(CE$5="X",VLOOKUP(CE$10,'VK-Põlevkivi'!$C:$X,2+$G35,0))+IF(CE$4="X",VLOOKUP(CE$10,'VK-Võrgud'!$C:$X,2+$F35,0)))/16</f>
        <v>24.15625</v>
      </c>
      <c r="CF35" s="209"/>
      <c r="CG35" s="209">
        <f>(IF(CG$7="X",VLOOKUP(CG$10,'VK-Hooned-Soojus'!$C:$X,2+$C35,FALSE),0)+IF(CG$6="X",VLOOKUP(CG$10,'VK-Transport'!$C:$X,2+$B35,0))+IF(CG$8="X",VLOOKUP(CG$10,'VK-Elekter'!$C:$X,2+$D35,0))+IF(CG$9="X",VLOOKUP(CG$10,'VK-Biokütused'!$C:$U,2+$E35,0))+IF(CG$5="X",VLOOKUP(CG$10,'VK-Põlevkivi'!$C:$X,2+$G35,0))+IF(CG$4="X",VLOOKUP(CG$10,'VK-Võrgud'!$C:$X,2+$F35,0)))/16</f>
        <v>0</v>
      </c>
      <c r="CH35" s="209">
        <f>(IF(CH$7="X",VLOOKUP(CH$10,'VK-Hooned-Soojus'!$C:$X,2+$C35,FALSE),0)+IF(CH$6="X",VLOOKUP(CH$10,'VK-Transport'!$C:$X,2+$B35,0))+IF(CH$8="X",VLOOKUP(CH$10,'VK-Elekter'!$C:$X,2+$D35,0))+IF(CH$9="X",VLOOKUP(CH$10,'VK-Biokütused'!$C:$U,2+$E35,0))+IF(CH$5="X",VLOOKUP(CH$10,'VK-Põlevkivi'!$C:$X,2+$G35,0))+IF(CH$4="X",VLOOKUP(CH$10,'VK-Võrgud'!$C:$X,2+$F35,0)))/20*0.21</f>
        <v>11.225549999999998</v>
      </c>
      <c r="CI35" s="209"/>
      <c r="CJ35" s="209">
        <f>(IF(CJ$7="X",VLOOKUP(CJ$10,'VK-Hooned-Soojus'!$C:$X,2+$C35,FALSE),0)+IF(CJ$6="X",VLOOKUP(CJ$10,'VK-Transport'!$C:$X,2+$B35,0))+IF(CJ$8="X",VLOOKUP(CJ$10,'VK-Elekter'!$C:$X,2+$D35,0))+IF(CJ$9="X",VLOOKUP(CJ$10,'VK-Biokütused'!$C:$U,2+$E35,0))+IF(CJ$5="X",VLOOKUP(CJ$10,'VK-Põlevkivi'!$C:$X,2+$G35,0))+IF(CJ$4="X",VLOOKUP(CJ$10,'VK-Võrgud'!$C:$X,2+$F35,0)))/1000</f>
        <v>18.858721793242818</v>
      </c>
      <c r="CK35" s="209">
        <f>(IF(CK$7="X",VLOOKUP(CK$10,'VK-Hooned-Soojus'!$C:$X,2+$C35,FALSE),0)+IF(CK$6="X",VLOOKUP(CK$10,'VK-Transport'!$C:$X,2+$B35,0))+IF(CK$8="X",VLOOKUP(CK$10,'VK-Elekter'!$C:$X,2+$D35,0))+IF(CK$9="X",VLOOKUP(CK$10,'VK-Biokütused'!$C:$U,2+$E35,0))+IF(CK$5="X",VLOOKUP(CK$10,'VK-Põlevkivi'!$C:$X,2+$G35,0))+IF(CK$4="X",VLOOKUP(CK$10,'VK-Võrgud'!$C:$X,2+$F35,0)))/1000</f>
        <v>6.6617453871512238</v>
      </c>
      <c r="CL35" s="235">
        <f>(IF(CL$7="X",VLOOKUP(CL$10,'VK-Hooned-Soojus'!$C:$X,2+$C35,FALSE),0)+IF(CL$6="X",VLOOKUP(CL$10,'VK-Transport'!$C:$X,2+$B35,0))+IF(CL$8="X",VLOOKUP(CL$10,'VK-Elekter'!$C:$X,2+$D35,0))+IF(CL$9="X",VLOOKUP(CL$10,'VK-Biokütused'!$C:$U,2+$E35,0)))/1000</f>
        <v>5.4770005094011811</v>
      </c>
      <c r="CM35" s="209">
        <f>(IF(CM$7="X",VLOOKUP(CM$10,'VK-Hooned-Soojus'!$C:$X,2+$C35,FALSE),0)+IF(CM$6="X",VLOOKUP(CM$10,'VK-Transport'!$C:$X,2+$B35,0))+IF(CM$8="X",VLOOKUP(CM$10,'VK-Elekter'!$C:$X,2+$D35,0))+IF(CM$9="X",VLOOKUP(CM$10,'VK-Biokütused'!$C:$U,2+$E35,0))+IF(CM$5="X",VLOOKUP(CM$10,'VK-Põlevkivi'!$C:$X,2+$G35,0))+IF(CM$4="X",VLOOKUP(CM$10,'VK-Võrgud'!$C:$X,2+$F35,0)))/1000</f>
        <v>7.8388313570900952</v>
      </c>
      <c r="CN35" s="209">
        <f>(IF(CN$7="X",VLOOKUP(CN$10,'VK-Hooned-Soojus'!$C:$X,2+$C35,FALSE),0)+IF(CN$6="X",VLOOKUP(CN$10,'VK-Transport'!$C:$X,2+$B35,0))+IF(CN$8="X",VLOOKUP(CN$10,'VK-Elekter'!$C:$X,2+$D35,0))+IF(CN$9="X",VLOOKUP(CN$10,'VK-Biokütused'!$C:$U,2+$E35,0))+IF(CN$5="X",VLOOKUP(CN$10,'VK-Põlevkivi'!$C:$X,2+$G35,0))+IF(CN$4="X",VLOOKUP(CN$10,'VK-Võrgud'!$C:$X,2+$F35,0)))/1000</f>
        <v>2.851</v>
      </c>
      <c r="CO35" s="209">
        <f>(IF(CO$7="X",VLOOKUP(CO$10,'VK-Hooned-Soojus'!$C:$X,2+$C35,FALSE),0)+IF(CO$6="X",VLOOKUP(CO$10,'VK-Transport'!$C:$X,2+$B35,0))+IF(CO$8="X",VLOOKUP(CO$10,'VK-Elekter'!$C:$X,2+$D35,0))+IF(CO$9="X",VLOOKUP(CO$10,'VK-Biokütused'!$C:$U,2+$E35,0))+IF(CO$5="X",VLOOKUP(CO$10,'VK-Põlevkivi'!$C:$X,2+$G35,0))+IF(CO$4="X",VLOOKUP(CO$10,'VK-Võrgud'!$C:$X,2+$F35,0)))/1000</f>
        <v>24.069649773285455</v>
      </c>
      <c r="CP35" s="209">
        <f>(IF(CP$7="X",VLOOKUP(CP$10,'VK-Hooned-Soojus'!$C:$X,2+$C35,FALSE),0)+IF(CP$6="X",VLOOKUP(CP$10,'VK-Transport'!$C:$X,2+$B35,0))+IF(CP$8="X",VLOOKUP(CP$10,'VK-Elekter'!$C:$X,2+$D35,0))+IF(CP$9="X",VLOOKUP(CP$10,'VK-Biokütused'!$C:$U,2+$E35,0))+IF(CP$5="X",VLOOKUP(CP$10,'VK-Põlevkivi'!$C:$X,2+$G35,0))+IF(CP$4="X",VLOOKUP(CP$10,'VK-Võrgud'!$C:$X,2+$F35,0)))/1000</f>
        <v>6.6599485842956136</v>
      </c>
      <c r="CQ35" s="235">
        <f>(IF(CQ$7="X",VLOOKUP(CQ$10,'VK-Hooned-Soojus'!$C:$X,2+$C35,FALSE),0)+IF(CQ$6="X",VLOOKUP(CQ$10,'VK-Transport'!$C:$X,2+$B35,0))+IF(CQ$8="X",VLOOKUP(CQ$10,'VK-Elekter'!$C:$X,2+$D35,0))+IF(CQ$9="X",VLOOKUP(CQ$10,'VK-Biokütused'!$C:$U,2+$E35,0)))/1000</f>
        <v>5.3929070000000001</v>
      </c>
      <c r="CR35" s="209">
        <f>(IF(CR$7="X",VLOOKUP(CR$10,'VK-Hooned-Soojus'!$C:$X,2+$C35,FALSE),0)+IF(CR$6="X",VLOOKUP(CR$10,'VK-Transport'!$C:$X,2+$B35,0))+IF(CR$8="X",VLOOKUP(CR$10,'VK-Elekter'!$C:$X,2+$D35,0))+IF(CR$9="X",VLOOKUP(CR$10,'VK-Biokütused'!$C:$U,2+$E35,0))+IF(CR$5="X",VLOOKUP(CR$10,'VK-Põlevkivi'!$C:$X,2+$G35,0))+IF(CR$4="X",VLOOKUP(CR$10,'VK-Võrgud'!$C:$X,2+$F35,0)))/1000</f>
        <v>7.8887533562748038</v>
      </c>
      <c r="CS35" s="209">
        <f>(IF(CS$7="X",VLOOKUP(CS$10,'VK-Hooned-Soojus'!$C:$X,2+$C35,FALSE),0)+IF(CS$6="X",VLOOKUP(CS$10,'VK-Transport'!$C:$X,2+$B35,0))+IF(CS$8="X",VLOOKUP(CS$10,'VK-Elekter'!$C:$X,2+$D35,0))+IF(CS$9="X",VLOOKUP(CS$10,'VK-Biokütused'!$C:$U,2+$E35,0))+IF(CS$5="X",VLOOKUP(CS$10,'VK-Põlevkivi'!$C:$X,2+$G35,0))+IF(CS$4="X",VLOOKUP(CS$10,'VK-Võrgud'!$C:$X,2+$F35,0)))/1000</f>
        <v>3.966152405121615</v>
      </c>
      <c r="CT35" s="209">
        <f>IF(CT$7="X",VLOOKUP(CT$10,'VK-Hooned-Soojus'!$C:$X,2+$C35,FALSE),0)+IF(CT$6="X",VLOOKUP(CT$10,'VK-Transport'!$C:$X,2+$B35,0))+IF(CT$8="X",VLOOKUP(CT$10,'VK-Elekter'!$C:$X,2+$D35,0))+IF(CT$9="X",VLOOKUP(CT$10,'VK-Biokütused'!$C:$U,2+$E35,0))+IF(CT$5="X",VLOOKUP(CT$10,'VK-Põlevkivi'!$C:$X,2+$G35,0))+IF(CT$4="X",VLOOKUP(CT$10,'VK-Võrgud'!$C:$X,2+$F35,0))</f>
        <v>90</v>
      </c>
      <c r="CU35" s="209">
        <f>IF(CU$7="X",VLOOKUP(CU$10,'VK-Hooned-Soojus'!$C:$X,2+$C35,FALSE),0)+IF(CU$6="X",VLOOKUP(CU$10,'VK-Transport'!$C:$X,2+$B35,0))+IF(CU$8="X",VLOOKUP(CU$10,'VK-Elekter'!$C:$X,2+$D35,0))+IF(CU$9="X",VLOOKUP(CU$10,'VK-Biokütused'!$C:$U,2+$E35,0))+IF(CU$5="X",VLOOKUP(CU$10,'VK-Põlevkivi'!$C:$X,2+$G35,0))+IF(CU$4="X",VLOOKUP(CU$10,'VK-Võrgud'!$C:$X,2+$F35,0))</f>
        <v>0.63390170511534605</v>
      </c>
      <c r="CV35" s="209">
        <f t="shared" si="1"/>
        <v>1</v>
      </c>
      <c r="CW35" s="209">
        <f>(IF(CW$7="X",VLOOKUP(CW$10,'VK-Hooned-Soojus'!$C:$X,2+$C35,FALSE),0)+IF(CW$6="X",VLOOKUP(CW$10,'VK-Transport'!$C:$X,2+$B35,0))+IF(CW$8="X",VLOOKUP(CW$10,'VK-Elekter'!$C:$X,2+$D35,0))+IF(CW$9="X",VLOOKUP(CW$10,'VK-Biokütused'!$C:$U,2+$E35,0))+IF(CW$5="X",VLOOKUP(CW$10,'VK-Põlevkivi'!$C:$X,2+$G35,0))+IF(CW$4="X",VLOOKUP(CW$10,'VK-Võrgud'!$C:$X,2+$F35,0)))/16</f>
        <v>0</v>
      </c>
      <c r="CY35" s="209">
        <f>(IF(CY$7="X",VLOOKUP(CY$10,'VK-Hooned-Soojus'!$C:$X,2+$C35,FALSE),0)+IF(CY$6="X",VLOOKUP(CY$10,'VK-Transport'!$C:$X,2+$B35,0))+IF(CY$8="X",VLOOKUP(CY$10,'VK-Elekter'!$C:$X,2+$D35,0))+IF(CY$9="X",VLOOKUP(CY$10,'VK-Biokütused'!$C:$U,2+$E35,0))+IF(CY$5="X",VLOOKUP(CY$10,'VK-Põlevkivi'!$C:$X,2+$G35,0))+IF(CY$4="X",VLOOKUP(CY$10,'VK-Võrgud'!$C:$X,2+$F35,0)))/1000</f>
        <v>10.388</v>
      </c>
      <c r="CZ35" s="209">
        <f>(IF(CZ$7="X",VLOOKUP(CZ$10,'VK-Hooned-Soojus'!$C:$X,2+$C35,FALSE),0)+IF(CZ$6="X",VLOOKUP(CZ$10,'VK-Transport'!$C:$X,2+$B35,0))+IF(CZ$8="X",VLOOKUP(CZ$10,'VK-Elekter'!$C:$X,2+$D35,0))+IF(CZ$9="X",VLOOKUP(CZ$10,'VK-Biokütused'!$C:$U,2+$E35,0))+IF(CZ$5="X",VLOOKUP(CZ$10,'VK-Põlevkivi'!$C:$X,2+$G35,0))+IF(CZ$4="X",VLOOKUP(CZ$10,'VK-Võrgud'!$C:$X,2+$F35,0)))</f>
        <v>82</v>
      </c>
      <c r="DA35" s="209">
        <f>(IF(DA$7="X",VLOOKUP(DA$10,'VK-Hooned-Soojus'!$C:$X,2+$C35,FALSE),0)+IF(DA$6="X",VLOOKUP(DA$10,'VK-Transport'!$C:$X,2+$B35,0))+IF(DA$8="X",VLOOKUP(DA$10,'VK-Elekter'!$C:$X,2+$D35,0))+IF(DA$9="X",VLOOKUP(DA$10,'VK-Biokütused'!$C:$U,2+$E35,0))+IF(DA$5="X",VLOOKUP(DA$10,'VK-Põlevkivi'!$C:$X,2+$G35,0))+IF(DA$4="X",VLOOKUP(DA$10,'VK-Võrgud'!$C:$X,2+$F35,0)))/1000</f>
        <v>10.419</v>
      </c>
      <c r="DB35" s="209">
        <f>(IF(DB$7="X",VLOOKUP(DB$10,'VK-Hooned-Soojus'!$C:$X,2+$C35,FALSE),0)+IF(DB$6="X",VLOOKUP(DB$10,'VK-Transport'!$C:$X,2+$B35,0))+IF(DB$8="X",VLOOKUP(DB$10,'VK-Elekter'!$C:$X,2+$D35,0))+IF(DB$9="X",VLOOKUP(DB$10,'VK-Biokütused'!$C:$U,2+$E35,0))+IF(DB$5="X",VLOOKUP(DB$10,'VK-Põlevkivi'!$C:$X,2+$G35,0))+IF(DB$4="X",VLOOKUP(DB$10,'VK-Võrgud'!$C:$X,2+$F35,0)))/1000/3.6</f>
        <v>42.021666666666661</v>
      </c>
      <c r="DC35" s="209">
        <f>(IF(DC$7="X",VLOOKUP(DC$10,'VK-Hooned-Soojus'!$C:$X,2+$C35,FALSE),0)+IF(DC$6="X",VLOOKUP(DC$10,'VK-Transport'!$C:$X,2+$B35,0))+IF(DC$8="X",VLOOKUP(DC$10,'VK-Elekter'!$C:$X,2+$D35,0))+IF(DC$9="X",VLOOKUP(DC$10,'VK-Biokütused'!$C:$U,2+$E35,0))+IF(DC$5="X",VLOOKUP(DC$10,'VK-Põlevkivi'!$C:$X,2+$G35,0))+IF(DC$4="X",VLOOKUP(DC$10,'VK-Võrgud'!$C:$X,2+$F35,0)))/1000000</f>
        <v>4.2615550000000004</v>
      </c>
      <c r="DD35" s="209"/>
      <c r="DE35" s="88">
        <f>VLOOKUP(Tulemused!$BN$12,data!M$7:N$12,2,FALSE)-SUM(L35,M35)</f>
        <v>-2.6566444444444528</v>
      </c>
      <c r="DF35" s="209" t="str">
        <f>IF(AZ35&lt;=VLOOKUP(Tulemused!$BN$15,data!$E$36:$F$39,2,FALSE),"JAH","EI")</f>
        <v>JAH</v>
      </c>
      <c r="DG35" s="209"/>
      <c r="DH35" s="209">
        <f t="shared" si="2"/>
        <v>10.870000000000001</v>
      </c>
      <c r="DI35" s="231" t="str">
        <f t="shared" si="17"/>
        <v>EI</v>
      </c>
      <c r="DK35" s="232">
        <f t="shared" si="3"/>
        <v>-994.46205973240342</v>
      </c>
      <c r="DM35" s="233">
        <f t="shared" si="4"/>
        <v>-991.24834614467193</v>
      </c>
      <c r="DN35" s="87">
        <f t="array" ref="DN35">INDEX($A$11:$A$145, SMALL(IF(DM35=$DK$11:$DK$145, MATCH(ROW($DK$11:$DK$145), ROW($DK$11:$DK$145))), SUM(--(DM35=$DM$11:DM35))))</f>
        <v>120</v>
      </c>
      <c r="DP35" s="87" t="e">
        <f t="shared" ca="1" si="18"/>
        <v>#N/A</v>
      </c>
      <c r="DQ35" s="87" t="e">
        <f t="shared" ca="1" si="19"/>
        <v>#N/A</v>
      </c>
      <c r="DR35" s="87">
        <f t="shared" ca="1" si="20"/>
        <v>0</v>
      </c>
      <c r="DS35" s="87" t="e">
        <f t="shared" ca="1" si="21"/>
        <v>#N/A</v>
      </c>
      <c r="DT35" s="87">
        <f t="shared" ca="1" si="22"/>
        <v>0</v>
      </c>
      <c r="DU35" s="87" t="e">
        <f t="shared" ca="1" si="23"/>
        <v>#N/A</v>
      </c>
      <c r="DV35" s="87" t="e">
        <f t="shared" ca="1" si="24"/>
        <v>#N/A</v>
      </c>
      <c r="DW35" s="87">
        <f t="shared" ca="1" si="25"/>
        <v>0</v>
      </c>
      <c r="DX35" s="87">
        <f t="shared" ca="1" si="26"/>
        <v>0</v>
      </c>
      <c r="DZ35" s="87">
        <f t="shared" ca="1" si="35"/>
        <v>0</v>
      </c>
      <c r="EB35" s="87">
        <f t="shared" ca="1" si="27"/>
        <v>0</v>
      </c>
      <c r="EC35" s="87" t="e">
        <f t="shared" ca="1" si="28"/>
        <v>#N/A</v>
      </c>
      <c r="EE35" s="228">
        <f>(IF(EE$7="X",VLOOKUP(EE$10,'VK-Hooned-Soojus'!$C:$X,2+$C35,FALSE),0)+IF(EE$6="X",VLOOKUP(EE$10,'VK-Transport'!$C:$X,2+$B35,0))+IF(EE$8="X",VLOOKUP(EE$10,'VK-Elekter'!$C:$X,2+$D35,0))+IF(EE$9="X",VLOOKUP(EE$10,'VK-Biokütused'!$C:$U,2+$E35,0))+IF(EE$5="X",VLOOKUP(EE$10,'VK-Põlevkivi'!$C:$X,2+$G35,0))+IF(EE$4="X",VLOOKUP(EE$10,'VK-Võrgud'!$C:$X,2+$F35,0)))</f>
        <v>2868.4178154080514</v>
      </c>
      <c r="EF35" s="235">
        <f>(IF(EF$7="X",VLOOKUP(EF$10,'VK-Hooned-Soojus'!$C:$X,2+$C35,FALSE),0)+IF(EF$6="X",VLOOKUP(EF$10,'VK-Transport'!$C:$X,2+$B35,0))+IF(EF$8="X",VLOOKUP(EF$10,'VK-Elekter'!$C:$X,2+$D35,0))+IF(EF$9="X",VLOOKUP(EF$10,'VK-Biokütused'!$C:$U,2+$E35,0)))/1000</f>
        <v>3.9366368215830603</v>
      </c>
      <c r="EG35" s="209">
        <f>(IF(EG$7="X",VLOOKUP(EG$10,'VK-Hooned-Soojus'!$C:$X,2+$C35,FALSE),0)+IF(EG$6="X",VLOOKUP(EG$10,'VK-Transport'!$C:$X,2+$B35,0))+IF(EG$8="X",VLOOKUP(EG$10,'VK-Elekter'!$C:$X,2+$D35,0))+IF(EG$9="X",VLOOKUP(EG$10,'VK-Biokütused'!$C:$U,2+$E35,0))+IF(EG$5="X",VLOOKUP(EG$10,'VK-Põlevkivi'!$C:$X,2+$G35,0))+IF(EG$4="X",VLOOKUP(EG$10,'VK-Võrgud'!$C:$X,2+$F35,0)))</f>
        <v>0.81</v>
      </c>
      <c r="EH35" s="209">
        <f>(IF(EH$7="X",VLOOKUP(EH$10,'VK-Hooned-Soojus'!$C:$X,2+$C35,FALSE),0)+IF(EH$6="X",VLOOKUP(EH$10,'VK-Transport'!$C:$X,2+$B35,0))+IF(EH$8="X",VLOOKUP(EH$10,'VK-Elekter'!$C:$X,2+$D35,0))+IF(EH$9="X",VLOOKUP(EH$10,'VK-Biokütused'!$C:$U,2+$E35,0)))+AR35+AS35+AU35+AX35</f>
        <v>45.528055555555554</v>
      </c>
      <c r="EI35" s="320">
        <f t="shared" si="6"/>
        <v>45.528055555555554</v>
      </c>
      <c r="EJ35" s="322">
        <f t="shared" si="7"/>
        <v>2.1267750475898739E-2</v>
      </c>
      <c r="EK35" s="323">
        <f t="shared" si="29"/>
        <v>0.44448388468339084</v>
      </c>
      <c r="EM35" s="209"/>
      <c r="EN35" s="209">
        <f t="shared" ca="1" si="8"/>
        <v>0</v>
      </c>
      <c r="EO35" s="209"/>
      <c r="EP35" s="234"/>
      <c r="EQ35" s="209">
        <f>(IF(EQ$7="X",VLOOKUP(EQ$10,'VK-Hooned-Soojus'!$C:$X,2+$C35,FALSE),0)+IF(EQ$6="X",VLOOKUP(EQ$10,'VK-Transport'!$C:$X,2+$B35,0))+IF(EQ$8="X",VLOOKUP(EQ$10,'VK-Elekter'!$C:$X,2+$D35,0))+IF(EQ$9="X",VLOOKUP(EQ$10,'VK-Biokütused'!$C:$U,2+$E35,0))+IF(EQ$5="X",VLOOKUP(EQ$10,'VK-Põlevkivi'!$C:$X,2+$G35,0))+IF(EQ$4="X",VLOOKUP(EQ$10,'VK-Võrgud'!$C:$X,2+$F35,0)))/1000</f>
        <v>0.21099999999999999</v>
      </c>
      <c r="ER35" s="209">
        <f>(IF(ER$7="X",VLOOKUP(ER$10,'VK-Hooned-Soojus'!$C:$X,2+$C35,FALSE),0)+IF(ER$6="X",VLOOKUP(ER$10,'VK-Transport'!$C:$X,2+$B35,0))+IF(ER$8="X",VLOOKUP(ER$10,'VK-Elekter'!$C:$X,2+$D35,0))+IF(ER$9="X",VLOOKUP(ER$10,'VK-Biokütused'!$C:$U,2+$E35,0))+IF(ER$5="X",VLOOKUP(ER$10,'VK-Põlevkivi'!$C:$X,2+$G35,0))+IF(ER$4="X",VLOOKUP(ER$10,'VK-Võrgud'!$C:$X,2+$F35,0)))</f>
        <v>0.76300000000000001</v>
      </c>
      <c r="ES35" s="209">
        <f>(IF(ES$7="X",VLOOKUP(ES$10,'VK-Hooned-Soojus'!$C:$X,2+$C35,FALSE),0)+IF(ES$6="X",VLOOKUP(ES$10,'VK-Transport'!$C:$X,2+$B35,0))+IF(ES$8="X",VLOOKUP(ES$10,'VK-Elekter'!$C:$X,2+$D35,0))+IF(ES$9="X",VLOOKUP(ES$10,'VK-Biokütused'!$C:$U,2+$E35,0))+IF(ES$5="X",VLOOKUP(ES$10,'VK-Põlevkivi'!$C:$X,2+$G35,0))+IF(ES$4="X",VLOOKUP(ES$10,'VK-Võrgud'!$C:$X,2+$F35,0)))</f>
        <v>10.870000000000001</v>
      </c>
      <c r="ET35" s="209"/>
      <c r="EU35" s="209"/>
      <c r="EV35" s="87">
        <f>'KSH järjestus'!AS28</f>
        <v>1732</v>
      </c>
      <c r="EX35" s="236"/>
      <c r="EY35" s="236"/>
      <c r="EZ35" s="237">
        <f t="shared" si="9"/>
        <v>0.36609829488465395</v>
      </c>
      <c r="FA35" s="209">
        <f>IF(FA$7="X",VLOOKUP(FA$10,'VK-Hooned-Soojus'!$C:$X,2+$C35,FALSE),0)+IF(FA$6="X",VLOOKUP(FA$10,'VK-Transport'!$C:$X,2+$B35,0))+IF(FA$8="X",VLOOKUP(FA$10,'VK-Elekter'!$C:$X,2+$D35,0))+IF(FA$9="X",VLOOKUP(FA$10,'VK-Biokütused'!$C:$U,2+$E35,0))+IF(FA$5="X",VLOOKUP(FA$10,'VK-Põlevkivi'!$C:$X,2+$G35,0))+IF(FA$4="X",VLOOKUP(FA$10,'VK-Võrgud'!$C:$X,2+$F35,0))</f>
        <v>3369.9070000000002</v>
      </c>
      <c r="FB35" s="279">
        <f>(IF(FB$7="X",VLOOKUP(FB$10,'VK-Hooned-Soojus'!$C:$X,2+$C35,FALSE),0)+IF(FB$6="X",VLOOKUP(FB$10,'VK-Transport'!$C:$X,2+$B35,0))+IF(FB$8="X",VLOOKUP(FB$10,'VK-Elekter'!$C:$X,2+$D35,0))+IF(FB$9="X",VLOOKUP(FB$10,'VK-Biokütused'!$C:$U,2+$E35,0))+IF(FB$5="X",VLOOKUP(FB$10,'VK-Põlevkivi'!$C:$X,2+$G35,0))+IF(FB$4="X",VLOOKUP(FB$10,'VK-Võrgud'!$C:$X,2+$F35,0)))/16</f>
        <v>131.33335280847101</v>
      </c>
      <c r="FC35" s="209">
        <f>IF(FC$7="X",VLOOKUP(FC$10,'VK-Hooned-Soojus'!$C:$X,2+$C35,FALSE),0)+IF(FC$6="X",VLOOKUP(FC$10,'VK-Transport'!$C:$X,2+$B35,0))+IF(FC$8="X",VLOOKUP(FC$10,'VK-Elekter'!$C:$X,2+$D35,0))+IF(FC$9="X",VLOOKUP(FC$10,'VK-Biokütused'!$C:$U,2+$E35,0))+IF(FC$5="X",VLOOKUP(FC$10,'VK-Põlevkivi'!$C:$X,2+$G35,0))+IF(FC$4="X",VLOOKUP(FC$10,'VK-Võrgud'!$C:$X,2+$F35,0))</f>
        <v>318.60000000000002</v>
      </c>
      <c r="FD35" s="209">
        <f>(IF(FD$7="X",VLOOKUP(FD$10,'VK-Hooned-Soojus'!$C:$X,2+$C35,FALSE),0)+IF(FD$6="X",VLOOKUP(FD$10,'VK-Transport'!$C:$X,2+$B35,0))+IF(FD$8="X",VLOOKUP(FD$10,'VK-Elekter'!$C:$X,2+$D35,0))+IF(FD$9="X",VLOOKUP(FD$10,'VK-Biokütused'!$C:$U,2+$E35,0))+IF(FD$5="X",VLOOKUP(FD$10,'VK-Põlevkivi'!$C:$X,2+$G35,0))+IF(FD$4="X",VLOOKUP(FD$10,'VK-Võrgud'!$C:$X,2+$F35,0)))/16</f>
        <v>131.33335280847101</v>
      </c>
      <c r="FE35" s="209">
        <f>(IF(FE$7="X",VLOOKUP(FE$10,'VK-Hooned-Soojus'!$C:$X,2+$C35,FALSE),0)+IF(FE$6="X",VLOOKUP(FE$10,'VK-Transport'!$C:$X,2+$B35,0))+IF(FE$8="X",VLOOKUP(FE$10,'VK-Elekter'!$C:$X,2+$D35,0))+IF(FE$9="X",VLOOKUP(FE$10,'VK-Biokütused'!$C:$U,2+$E35,0))+IF(FE$5="X",VLOOKUP(FE$10,'VK-Põlevkivi'!$C:$X,2+$G35,0))+IF(FE$4="X",VLOOKUP(FE$10,'VK-Võrgud'!$C:$X,2+$F35,0)))/16</f>
        <v>-36.76</v>
      </c>
      <c r="FF35" s="209">
        <f>(IF(FF$7="X",VLOOKUP(FF$10,'VK-Hooned-Soojus'!$C:$X,2+$C35,FALSE),0)+IF(FF$6="X",VLOOKUP(FF$10,'VK-Transport'!$C:$X,2+$B35,0))+IF(FF$8="X",VLOOKUP(FF$10,'VK-Elekter'!$C:$X,2+$D35,0))+IF(FF$9="X",VLOOKUP(FF$10,'VK-Biokütused'!$C:$U,2+$E35,0))+IF(FF$5="X",VLOOKUP(FF$10,'VK-Põlevkivi'!$C:$X,2+$G35,0))+IF(FF$4="X",VLOOKUP(FF$10,'VK-Võrgud'!$C:$X,2+$F35,0)))/16</f>
        <v>55.366338157424565</v>
      </c>
      <c r="FG35" s="88">
        <f t="shared" ca="1" si="30"/>
        <v>18.606338157424567</v>
      </c>
      <c r="FH35" s="88"/>
      <c r="FI35" s="88"/>
      <c r="FJ35" s="88">
        <f>VLOOKUP(Tulemused!$BN$12,data!M$7:N$12,2,FALSE)-SUM(L35,M35)</f>
        <v>-2.6566444444444528</v>
      </c>
      <c r="FK35" s="209" t="str">
        <f>IF(AZ35&lt;=VLOOKUP(Tulemused!$BN$15,data!$E$36:$F$39,2,FALSE),"JAH","EI")</f>
        <v>JAH</v>
      </c>
      <c r="FL35" s="235">
        <f ca="1">IF(ISNA(MATCH($A35,INDIRECT(VLOOKUP(Tulemused!$BF$11,data!$J$57:$M$71,4,FALSE)))),0,MATCH($A35,INDIRECT(VLOOKUP(Tulemused!$BF$11,data!$J$57:$M$71,4,FALSE))))</f>
        <v>0</v>
      </c>
      <c r="FM35" s="235" t="str">
        <f t="shared" ca="1" si="10"/>
        <v>JAH</v>
      </c>
      <c r="FN35" s="209">
        <f>VLOOKUP(Tulemused!$BN$13,data!$C$132:$D$137,2,FALSE)-KOMBI!R35</f>
        <v>3.0893331784169402</v>
      </c>
      <c r="FO35" s="209"/>
      <c r="FP35" s="209">
        <f>VLOOKUP(Tulemused!$BN$17,NO_x,2,FALSE)-CJ35</f>
        <v>10.579278206757181</v>
      </c>
      <c r="FQ35" s="209">
        <f>VLOOKUP(Tulemused!$BN$18,SO_2,2,FALSE)-CK35</f>
        <v>45.222254612848779</v>
      </c>
      <c r="FR35" s="209">
        <f>VLOOKUP(Tulemused!$BN$19,LOU,2,FALSE)-CN35</f>
        <v>34.229000000000006</v>
      </c>
      <c r="FS35" s="209">
        <f>VLOOKUP(Tulemused!$BN$20,PM_2.5,2,FALSE)-CM35</f>
        <v>9.076168642909904</v>
      </c>
      <c r="FT35" s="209">
        <f>VLOOKUP(Tulemused!$BN$13,data!$C$132:$D$137,2,FALSE)-FA35/1000</f>
        <v>2.8760630000000007</v>
      </c>
      <c r="FU35" s="209">
        <f>VLOOKUP(Tulemused!$BN$17,NO_x,2,FALSE)-CO35</f>
        <v>5.3683502267145435</v>
      </c>
      <c r="FV35" s="209">
        <f>VLOOKUP(Tulemused!$BN$18,SO_2,2,FALSE)-CP35</f>
        <v>45.224051415704388</v>
      </c>
      <c r="FW35" s="209">
        <f>VLOOKUP(Tulemused!$BN$19,LOU,2,FALSE)-CS35</f>
        <v>33.113847594878393</v>
      </c>
      <c r="FX35" s="209">
        <f>VLOOKUP(Tulemused!$BN$20,PM_2.5,2,FALSE)-CR35</f>
        <v>9.0262466437251945</v>
      </c>
      <c r="FY35" s="209">
        <f>VLOOKUP(Tulemused!$BN$14,KHG_2050,2,FALSE)-EF35</f>
        <v>96.063363178416935</v>
      </c>
      <c r="FZ35" s="231" t="str">
        <f t="shared" ca="1" si="31"/>
        <v>EI</v>
      </c>
      <c r="GA35" s="209"/>
      <c r="GB35" s="209"/>
      <c r="GC35" s="209"/>
      <c r="GD35" s="231"/>
      <c r="GE35" s="87">
        <f t="shared" si="11"/>
        <v>1732</v>
      </c>
      <c r="GF35" s="232" t="str">
        <f t="shared" ca="1" si="32"/>
        <v/>
      </c>
      <c r="GH35" s="238" t="e">
        <f t="shared" ca="1" si="12"/>
        <v>#NUM!</v>
      </c>
      <c r="GI35" s="87" t="e">
        <f t="array" aca="1" ref="GI35" ca="1">INDEX($A$11:$A$145, SMALL(IF(GH35=$GF$11:$GF$145, MATCH(ROW($GF$11:$GF$145), ROW($GF$11:$GF$145))), SUM(--(GH35=$GH$11:GH35))))</f>
        <v>#NUM!</v>
      </c>
      <c r="GM35" s="209">
        <f>IF(GM$7="X",VLOOKUP(GM$10,'VK-Hooned-Soojus'!$C:$X,2+$C35,FALSE),0)+IF(GM$6="X",VLOOKUP(GM$10,'VK-Transport'!$C:$X,2+$B35,0))+IF(GM$8="X",VLOOKUP(GM$10,'VK-Elekter'!$C:$X,2+$D35,0))+IF(GM$9="X",VLOOKUP(GM$10,'VK-Biokütused'!$C:$U,2+$E35,0))+IF(GM$5="X",VLOOKUP(GM$10,'VK-Põlevkivi'!$C:$X,2+$G35,0))+IF(GM$4="X",VLOOKUP(GM$10,'VK-Võrgud'!$C:$X,2+$F35,0))</f>
        <v>0</v>
      </c>
      <c r="GN35" s="209">
        <f>IF(GN$7="X",VLOOKUP(GN$10,'VK-Hooned-Soojus'!$C:$X,2+$C35,FALSE),0)+IF(GN$6="X",VLOOKUP(GN$10,'VK-Transport'!$C:$X,2+$B35,0))+IF(GN$8="X",VLOOKUP(GN$10,'VK-Elekter'!$C:$X,2+$D35,0))+IF(GN$9="X",VLOOKUP(GN$10,'VK-Biokütused'!$C:$U,2+$E35,0))+IF(GN$5="X",VLOOKUP(GN$10,'VK-Põlevkivi'!$C:$X,2+$G35,0))+IF(GN$4="X",VLOOKUP(GN$10,'VK-Võrgud'!$C:$X,2+$F35,0))</f>
        <v>7.5434676424145266</v>
      </c>
      <c r="GO35" s="209">
        <f>IF(GO$7="X",VLOOKUP(GO$10,'VK-Hooned-Soojus'!$C:$X,2+$C35,FALSE),0)+IF(GO$6="X",VLOOKUP(GO$10,'VK-Transport'!$C:$X,2+$B35,0))+IF(GO$8="X",VLOOKUP(GO$10,'VK-Elekter'!$C:$X,2+$D35,0))+IF(GO$9="X",VLOOKUP(GO$10,'VK-Biokütused'!$C:$U,2+$E35,0))+IF(GO$5="X",VLOOKUP(GO$10,'VK-Põlevkivi'!$C:$X,2+$G35,0))+IF(GO$4="X",VLOOKUP(GO$10,'VK-Võrgud'!$C:$X,2+$F35,0))</f>
        <v>7.936370010272257</v>
      </c>
      <c r="GP35" s="209">
        <f>IF(GP$7="X",VLOOKUP(GP$10,'VK-Hooned-Soojus'!$C:$X,2+$C35,FALSE),0)+IF(GP$6="X",VLOOKUP(GP$10,'VK-Transport'!$C:$X,2+$B35,0))+IF(GP$8="X",VLOOKUP(GP$10,'VK-Elekter'!$C:$X,2+$D35,0))+IF(GP$9="X",VLOOKUP(GP$10,'VK-Biokütused'!$C:$U,2+$E35,0))+IF(GP$5="X",VLOOKUP(GP$10,'VK-Põlevkivi'!$C:$X,2+$G35,0))+IF(GP$4="X",VLOOKUP(GP$10,'VK-Võrgud'!$C:$X,2+$F35,0))</f>
        <v>9.1527946929596489</v>
      </c>
      <c r="GQ35" s="88">
        <f>IF(GQ$7="X",VLOOKUP(GQ$10,'VK-Hooned-Soojus'!$C:$X,2+$C35,FALSE),0)+IF(GQ$6="X",VLOOKUP(GQ$10,'VK-Transport'!$C:$X,2+$B35,0))+IF(GQ$8="X",VLOOKUP(GQ$10,'VK-Elekter'!$C:$X,2+$D35,0))+IF(GQ$9="X",VLOOKUP(GQ$10,'VK-Biokütused'!$C:$U,2+$E35,0))+IF(GQ$5="X",VLOOKUP(GQ$10,'VK-Põlevkivi'!$C:$X,2+$G35,0))+IF(GQ$4="X",VLOOKUP(GQ$10,'VK-Võrgud'!$C:$X,2+$F35,0))</f>
        <v>0.9682855968523334</v>
      </c>
      <c r="GR35" s="186">
        <f t="shared" si="33"/>
        <v>0.4977408975752996</v>
      </c>
    </row>
    <row r="36" spans="1:200" x14ac:dyDescent="0.2">
      <c r="A36" s="184">
        <v>26</v>
      </c>
      <c r="B36" s="87">
        <v>1</v>
      </c>
      <c r="C36" s="87">
        <v>2</v>
      </c>
      <c r="D36" s="87">
        <v>4</v>
      </c>
      <c r="E36" s="87">
        <v>2</v>
      </c>
      <c r="F36" s="87">
        <f>VLOOKUP(Tulemused!$BF$7,data!$J$6:$K$8,2,FALSE)</f>
        <v>2</v>
      </c>
      <c r="G36" s="87">
        <f>VLOOKUP(data!$H$2,data!$J$12:$K$14,2,FALSE)</f>
        <v>2</v>
      </c>
      <c r="I36" s="209">
        <f>IF(I$7="X",VLOOKUP(I$10,'VK-Hooned-Soojus'!$C:$X,2+$C36,FALSE),0)+IF(I$6="X",VLOOKUP(I$10,'VK-Transport'!$C:$X,2+$B36,0))+IF(I$8="X",VLOOKUP(I$10,'VK-Elekter'!$C:$X,2+$D36,0))+IF(I$9="X",VLOOKUP(I$10,'VK-Biokütused'!$C:$U,2+$E36,0))+IF(I$5="X",VLOOKUP(I$10,'VK-Põlevkivi'!$C:$X,2+$G36,0))+IF(I$4="X",VLOOKUP(I$10,'VK-Võrgud'!$C:$X,2+$F36,0))</f>
        <v>24.79</v>
      </c>
      <c r="J36" s="209">
        <f>IF(J$7="X",VLOOKUP(J$10,'VK-Hooned-Soojus'!$C:$X,2+$C36,FALSE),0)+IF(J$6="X",VLOOKUP(J$10,'VK-Transport'!$C:$X,2+$B36,0))+IF(J$8="X",VLOOKUP(J$10,'VK-Elekter'!$C:$X,2+$D36,0))+IF(J$9="X",VLOOKUP(J$10,'VK-Biokütused'!$C:$U,2+$E36,0))+IF(J$5="X",VLOOKUP(J$10,'VK-Põlevkivi'!$C:$X,2+$G36,0))+IF(J$4="X",VLOOKUP(J$10,'VK-Võrgud'!$C:$X,2+$F36,0))</f>
        <v>13.295833333333334</v>
      </c>
      <c r="K36" s="209">
        <f>IF(K$7="X",VLOOKUP(K$10,'VK-Hooned-Soojus'!$C:$X,2+$C36,FALSE),0)+IF(K$6="X",VLOOKUP(K$10,'VK-Transport'!$C:$X,2+$B36,0))+IF(K$8="X",VLOOKUP(K$10,'VK-Elekter'!$C:$X,2+$D36,0))+IF(K$9="X",VLOOKUP(K$10,'VK-Biokütused'!$C:$U,2+$E36,0))+IF(K$5="X",VLOOKUP(K$10,'VK-Põlevkivi'!$C:$X,2+$G36,0))+IF(K$4="X",VLOOKUP(K$10,'VK-Võrgud'!$C:$X,2+$F36,0))</f>
        <v>15.27</v>
      </c>
      <c r="L36" s="209">
        <f>IF(L$7="X",VLOOKUP(L$10,'VK-Hooned-Soojus'!$C:$X,2+$C36,FALSE),0)+IF(L$6="X",VLOOKUP(L$10,'VK-Transport'!$C:$X,2+$B36,0))+IF(L$8="X",VLOOKUP(L$10,'VK-Elekter'!$C:$X,2+$D36,0))+IF(L$9="X",VLOOKUP(L$10,'VK-Biokütused'!$C:$U,2+$E36,0))+IF(L$5="X",VLOOKUP(L$10,'VK-Põlevkivi'!$C:$X,2+$G36,0))+IF(L$4="X",VLOOKUP(L$10,'VK-Võrgud'!$C:$X,2+$F36,0))</f>
        <v>24.2</v>
      </c>
      <c r="M36" s="209">
        <f>IF(M$7="X",VLOOKUP(M$10,'VK-Hooned-Soojus'!$C:$X,2+$C36,FALSE),0)+IF(M$6="X",VLOOKUP(M$10,'VK-Transport'!$C:$X,2+$B36,0))+IF(M$8="X",VLOOKUP(M$10,'VK-Elekter'!$C:$X,2+$D36,0))+IF(M$9="X",VLOOKUP(M$10,'VK-Biokütused'!$C:$U,2+$E36,0))+IF(M$5="X",VLOOKUP(M$10,'VK-Põlevkivi'!$C:$X,2+$G36,0))+IF(M$4="X",VLOOKUP(M$10,'VK-Võrgud'!$C:$X,2+$F36,0))</f>
        <v>11.289444444444445</v>
      </c>
      <c r="N36" s="209">
        <f>IF(N$7="X",VLOOKUP(N$10,'VK-Hooned-Soojus'!$C:$X,2+$C36,FALSE),0)+IF(N$6="X",VLOOKUP(N$10,'VK-Transport'!$C:$X,2+$B36,0))+IF(N$8="X",VLOOKUP(N$10,'VK-Elekter'!$C:$X,2+$D36,0))+IF(N$9="X",VLOOKUP(N$10,'VK-Biokütused'!$C:$U,2+$E36,0))+IF(N$5="X",VLOOKUP(N$10,'VK-Põlevkivi'!$C:$X,2+$G36,0))+IF(N$4="X",VLOOKUP(N$10,'VK-Võrgud'!$C:$X,2+$F36,0))</f>
        <v>16.09</v>
      </c>
      <c r="O36" s="209">
        <f t="shared" si="13"/>
        <v>38.085833333333333</v>
      </c>
      <c r="P36" s="209"/>
      <c r="Q36" s="209">
        <f>(IF(Q$7="X",VLOOKUP(Q$10,'VK-Hooned-Soojus'!$C:$X,2+$C36,FALSE),0)+IF(Q$6="X",VLOOKUP(Q$10,'VK-Transport'!$C:$X,2+$B36,0))+IF(Q$8="X",VLOOKUP(Q$10,'VK-Elekter'!$C:$X,2+$D36,0))+IF(Q$9="X",VLOOKUP(Q$10,'VK-Biokütused'!$C:$U,2+$E36,0))+IF(Q$5="X",VLOOKUP(Q$10,'VK-Põlevkivi'!$C:$X,2+$G36,0))+IF(Q$4="X",VLOOKUP(Q$10,'VK-Võrgud'!$C:$X,2+$F36,0)))/1000</f>
        <v>1.337</v>
      </c>
      <c r="R36" s="209">
        <f>(IF(R$7="X",VLOOKUP(R$10,'VK-Hooned-Soojus'!$C:$X,2+$C36,FALSE),0)+IF(R$6="X",VLOOKUP(R$10,'VK-Transport'!$C:$X,2+$B36,0))+IF(R$8="X",VLOOKUP(R$10,'VK-Elekter'!$C:$X,2+$D36,0))+IF(R$9="X",VLOOKUP(R$10,'VK-Biokütused'!$C:$U,2+$E36,0))+IF(R$5="X",VLOOKUP(R$10,'VK-Põlevkivi'!$C:$X,2+$G36,0))+IF(R$4="X",VLOOKUP(R$10,'VK-Võrgud'!$C:$X,2+$F36,0)))/1000</f>
        <v>3.5341368215830604</v>
      </c>
      <c r="S36" s="226">
        <f>VLOOKUP(S$10,'VK-Hooned-Soojus'!$C:$I,2+$C36,FALSE) + VLOOKUP(S$10,'VK-Transport'!$C:$I,2+$B36,FALSE)+ VLOOKUP(S$10,'VK-Biokütused'!$C:$G,2+$E36,FALSE)+ VLOOKUP(S$10,'VK-Elekter'!$C:$I,2+$D36,FALSE)+ VLOOKUP(S$10,'VK-Põlevkivi'!$C:$I,2+$G36,FALSE)+ VLOOKUP(S$10,'VK-Võrgud'!$C:$I,2+$F36,FALSE)</f>
        <v>1.1756207922425582E-2</v>
      </c>
      <c r="T36" s="226">
        <f>VLOOKUP(T$10,'VK-Hooned-Soojus'!$C:$I,2+$C36,FALSE) + VLOOKUP(T$10,'VK-Transport'!$C:$I,2+$B36,FALSE)+ VLOOKUP(T$10,'VK-Biokütused'!$C:$G,2+$E36,FALSE)+ VLOOKUP(T$10,'VK-Elekter'!$C:$I,2+$D36,FALSE)+ VLOOKUP(T$10,'VK-Põlevkivi'!$C:$I,2+$G36,FALSE)+ VLOOKUP(T$10,'VK-Võrgud'!$C:$I,2+$F36,FALSE)</f>
        <v>-6.693336870700819E-3</v>
      </c>
      <c r="U36" s="226">
        <f>VLOOKUP(U$10,'VK-Hooned-Soojus'!$C:$I,2+$C36,FALSE) + VLOOKUP(U$10,'VK-Transport'!$C:$I,2+$B36,FALSE)+ VLOOKUP(U$10,'VK-Biokütused'!$C:$G,2+$E36,FALSE)+ VLOOKUP(U$10,'VK-Elekter'!$C:$I,2+$D36,FALSE)+ VLOOKUP(U$10,'VK-Põlevkivi'!$C:$I,2+$G36,FALSE)+ VLOOKUP(U$10,'VK-Võrgud'!$C:$I,2+$F36,FALSE)</f>
        <v>1.5250555355696138E-3</v>
      </c>
      <c r="V36" s="226">
        <f>VLOOKUP(V$10,'VK-Hooned-Soojus'!$C:$I,2+$C36,FALSE) + VLOOKUP(V$10,'VK-Transport'!$C:$I,2+$B36,FALSE)+ VLOOKUP(V$10,'VK-Biokütused'!$C:$G,2+$E36,FALSE)+ VLOOKUP(V$10,'VK-Elekter'!$C:$I,2+$D36,FALSE)+ VLOOKUP(V$10,'VK-Põlevkivi'!$C:$I,2+$G36,FALSE)+ VLOOKUP(V$10,'VK-Võrgud'!$C:$I,2+$F36,FALSE)</f>
        <v>1.0283552202057454E-2</v>
      </c>
      <c r="W36" s="226">
        <f>VLOOKUP(W$10,'VK-Hooned-Soojus'!$C:$I,2+$C36,FALSE) + VLOOKUP(W$10,'VK-Transport'!$C:$I,2+$B36,FALSE)+ VLOOKUP(W$10,'VK-Biokütused'!$C:$G,2+$E36,FALSE)+ VLOOKUP(W$10,'VK-Elekter'!$C:$I,2+$D36,FALSE)+ VLOOKUP(W$10,'VK-Põlevkivi'!$C:$I,2+$G36,FALSE)+ VLOOKUP(W$10,'VK-Võrgud'!$C:$I,2+$F36,FALSE)</f>
        <v>-2.901677318547647E-2</v>
      </c>
      <c r="X36" s="226">
        <f>VLOOKUP(X$10,'VK-Hooned-Soojus'!$C:$I,2+$C36,FALSE) + VLOOKUP(X$10,'VK-Transport'!$C:$I,2+$B36,FALSE)+ VLOOKUP(X$10,'VK-Biokütused'!$C:$G,2+$E36,FALSE)+ VLOOKUP(X$10,'VK-Elekter'!$C:$I,2+$D36,FALSE)+ VLOOKUP(X$10,'VK-Põlevkivi'!$C:$I,2+$G36,FALSE)+ VLOOKUP(X$10,'VK-Võrgud'!$C:$I,2+$F36,FALSE)</f>
        <v>-0.14983123187501093</v>
      </c>
      <c r="Y36" s="226">
        <f>VLOOKUP(Y$10,'VK-Hooned-Soojus'!$C:$I,2+$C36,FALSE) + VLOOKUP(Y$10,'VK-Transport'!$C:$I,2+$B36,FALSE)+ VLOOKUP(Y$10,'VK-Biokütused'!$C:$G,2+$E36,FALSE)+ VLOOKUP(Y$10,'VK-Elekter'!$C:$I,2+$D36,FALSE)+ VLOOKUP(Y$10,'VK-Põlevkivi'!$C:$I,2+$G36,FALSE)+ VLOOKUP(Y$10,'VK-Võrgud'!$C:$I,2+$F36,FALSE)</f>
        <v>-6.7402754378948715E-2</v>
      </c>
      <c r="Z36" s="227">
        <f>(S36*Tulemused!$Q$9*10+T36*Tulemused!$Q$10*10+KOMBI!U36*Tulemused!$Q$11*10+KOMBI!V36*Tulemused!$Q$12*10)*Tulemused!$Q$8+-(W36*Tulemused!$Q$14*10+KOMBI!X36*Tulemused!$Q$15*10+KOMBI!Y36*Tulemused!$Q$16*10)*Tulemused!$Q$13</f>
        <v>6.4538519162424555</v>
      </c>
      <c r="AA36" s="228">
        <f>(IF(AA$7="X",VLOOKUP(AA$10,'VK-Hooned-Soojus'!$C:$X,2+$C36,FALSE),0)+IF(AA$6="X",VLOOKUP(AA$10,'VK-Transport'!$C:$X,2+$B36,0))+IF(AA$8="X",VLOOKUP(AA$10,'VK-Elekter'!$C:$X,2+$D36,0))+IF(AA$9="X",VLOOKUP(AA$10,'VK-Biokütused'!$C:$U,2+$E36,0))+IF(AA$5="X",VLOOKUP(AA$10,'VK-Põlevkivi'!$C:$X,2+$G36,0))+IF(AA$4="X",VLOOKUP(AA$10,'VK-Võrgud'!$C:$X,2+$F36,0)))</f>
        <v>0</v>
      </c>
      <c r="AB36" s="228">
        <f>(IF(AB$7="X",VLOOKUP(AB$10,'VK-Hooned-Soojus'!$C:$X,2+$C36,FALSE),0)+IF(AB$6="X",VLOOKUP(AB$10,'VK-Transport'!$C:$X,2+$B36,0))+IF(AB$8="X",VLOOKUP(AB$10,'VK-Elekter'!$C:$X,2+$D36,0))+IF(AB$9="X",VLOOKUP(AB$10,'VK-Biokütused'!$C:$U,2+$E36,0))+IF(AB$5="X",VLOOKUP(AB$10,'VK-Põlevkivi'!$C:$X,2+$G36,0))+IF(AB$4="X",VLOOKUP(AB$10,'VK-Võrgud'!$C:$X,2+$F36,0)))</f>
        <v>1337</v>
      </c>
      <c r="AC36" s="228">
        <f>(IF(AC$7="X",VLOOKUP(AC$10,'VK-Hooned-Soojus'!$C:$X,2+$C36,FALSE),0)+IF(AC$6="X",VLOOKUP(AC$10,'VK-Transport'!$C:$X,2+$B36,0))+IF(AC$8="X",VLOOKUP(AC$10,'VK-Elekter'!$C:$X,2+$D36,0))+IF(AC$9="X",VLOOKUP(AC$10,'VK-Biokütused'!$C:$U,2+$E36,0))+IF(AC$5="X",VLOOKUP(AC$10,'VK-Põlevkivi'!$C:$X,2+$G36,0))+IF(AC$4="X",VLOOKUP(AC$10,'VK-Võrgud'!$C:$X,2+$F36,0)))</f>
        <v>2346</v>
      </c>
      <c r="AD36" s="228">
        <f>(IF(AD$7="X",VLOOKUP(AD$10,'VK-Hooned-Soojus'!$C:$X,2+$C36,FALSE),0)+IF(AD$6="X",VLOOKUP(AD$10,'VK-Transport'!$C:$X,2+$B36,0))+IF(AD$8="X",VLOOKUP(AD$10,'VK-Elekter'!$C:$X,2+$D36,0))+IF(AD$9="X",VLOOKUP(AD$10,'VK-Biokütused'!$C:$U,2+$E36,0))+IF(AD$5="X",VLOOKUP(AD$10,'VK-Põlevkivi'!$C:$X,2+$G36,0))+IF(AD$4="X",VLOOKUP(AD$10,'VK-Võrgud'!$C:$X,2+$F36,0)))</f>
        <v>377.5</v>
      </c>
      <c r="AE36" s="228">
        <f>(IF(AE$7="X",VLOOKUP(AE$10,'VK-Hooned-Soojus'!$C:$X,2+$C36,FALSE),0)+IF(AE$6="X",VLOOKUP(AE$10,'VK-Transport'!$C:$X,2+$B36,0))+IF(AE$8="X",VLOOKUP(AE$10,'VK-Elekter'!$C:$X,2+$D36,0))+IF(AE$9="X",VLOOKUP(AE$10,'VK-Biokütused'!$C:$U,2+$E36,0))+IF(AE$5="X",VLOOKUP(AE$10,'VK-Põlevkivi'!$C:$X,2+$G36,0))+IF(AE$4="X",VLOOKUP(AE$10,'VK-Võrgud'!$C:$X,2+$F36,0)))</f>
        <v>666</v>
      </c>
      <c r="AF36" s="228">
        <f>(IF(AF$7="X",VLOOKUP(AF$10,'VK-Hooned-Soojus'!$C:$X,2+$C36,FALSE),0)+IF(AF$6="X",VLOOKUP(AF$10,'VK-Transport'!$C:$X,2+$B36,0))+IF(AF$8="X",VLOOKUP(AF$10,'VK-Elekter'!$C:$X,2+$D36,0))+IF(AF$9="X",VLOOKUP(AF$10,'VK-Biokütused'!$C:$U,2+$E36,0))+IF(AF$5="X",VLOOKUP(AF$10,'VK-Põlevkivi'!$C:$X,2+$G36,0))+IF(AF$4="X",VLOOKUP(AF$10,'VK-Võrgud'!$C:$X,2+$F36,0)))</f>
        <v>2490.6368215830603</v>
      </c>
      <c r="AG36" s="209"/>
      <c r="AH36" s="209">
        <f>IF(AH$7="X",VLOOKUP(AH$10,'VK-Hooned-Soojus'!$C:$X,2+$C36,FALSE),0)+IF(AH$6="X",VLOOKUP(AH$10,'VK-Transport'!$C:$X,2+$B36,0))+IF(AH$8="X",VLOOKUP(AH$10,'VK-Elekter'!$C:$X,2+$D36,0))+IF(AH$9="X",VLOOKUP(AH$10,'VK-Biokütused'!$C:$U,2+$E36,0))+IF(AH$5="X",VLOOKUP(AH$10,'VK-Põlevkivi'!$C:$X,2+$G36,0))+IF(AH$4="X",VLOOKUP(AH$10,'VK-Võrgud'!$C:$X,2+$F36,0))</f>
        <v>0</v>
      </c>
      <c r="AI36" s="209">
        <f>IF(AI$7="X",VLOOKUP(AI$10,'VK-Hooned-Soojus'!$C:$X,2+$C36,FALSE),0)+IF(AI$6="X",VLOOKUP(AI$10,'VK-Transport'!$C:$X,2+$B36,0))+IF(AI$8="X",VLOOKUP(AI$10,'VK-Elekter'!$C:$X,2+$D36,0))+IF(AI$9="X",VLOOKUP(AI$10,'VK-Biokütused'!$C:$U,2+$E36,0))+IF(AI$5="X",VLOOKUP(AI$10,'VK-Põlevkivi'!$C:$X,2+$G36,0))+IF(AI$4="X",VLOOKUP(AI$10,'VK-Võrgud'!$C:$X,2+$F36,0))</f>
        <v>11.489999999999998</v>
      </c>
      <c r="AJ36" s="209">
        <f>IF(AJ$7="X",VLOOKUP(AJ$10,'VK-Hooned-Soojus'!$C:$X,2+$C36,FALSE),0)+IF(AJ$6="X",VLOOKUP(AJ$10,'VK-Transport'!$C:$X,2+$B36,0))+IF(AJ$8="X",VLOOKUP(AJ$10,'VK-Elekter'!$C:$X,2+$D36,0))+IF(AJ$9="X",VLOOKUP(AJ$10,'VK-Biokütused'!$C:$U,2+$E36,0))+IF(AJ$5="X",VLOOKUP(AJ$10,'VK-Põlevkivi'!$C:$X,2+$G36,0))+IF(AJ$4="X",VLOOKUP(AJ$10,'VK-Võrgud'!$C:$X,2+$F36,0))</f>
        <v>0</v>
      </c>
      <c r="AK36" s="209">
        <f>IF(AK$7="X",VLOOKUP(AK$10,'VK-Hooned-Soojus'!$C:$X,2+$C36,FALSE),0)+IF(AK$6="X",VLOOKUP(AK$10,'VK-Transport'!$C:$X,2+$B36,0))+IF(AK$8="X",VLOOKUP(AK$10,'VK-Elekter'!$C:$X,2+$D36,0))+IF(AK$9="X",VLOOKUP(AK$10,'VK-Biokütused'!$C:$U,2+$E36,0))+IF(AK$5="X",VLOOKUP(AK$10,'VK-Põlevkivi'!$C:$X,2+$G36,0))+IF(AK$4="X",VLOOKUP(AK$10,'VK-Võrgud'!$C:$X,2+$F36,0))</f>
        <v>3.65</v>
      </c>
      <c r="AL36" s="209">
        <f>IF(AL$7="X",VLOOKUP(AL$10,'VK-Hooned-Soojus'!$C:$X,2+$C36,FALSE),0)+IF(AL$6="X",VLOOKUP(AL$10,'VK-Transport'!$C:$X,2+$B36,0))+IF(AL$8="X",VLOOKUP(AL$10,'VK-Elekter'!$C:$X,2+$D36,0))+IF(AL$9="X",VLOOKUP(AL$10,'VK-Biokütused'!$C:$U,2+$E36,0))+IF(AL$5="X",VLOOKUP(AL$10,'VK-Põlevkivi'!$C:$X,2+$G36,0))+IF(AL$4="X",VLOOKUP(AL$10,'VK-Võrgud'!$C:$X,2+$F36,0))</f>
        <v>7.1999999999999993</v>
      </c>
      <c r="AM36" s="209">
        <f>IF(AM$7="X",VLOOKUP(AM$10,'VK-Hooned-Soojus'!$C:$X,2+$C36,FALSE),0)+IF(AM$6="X",VLOOKUP(AM$10,'VK-Transport'!$C:$X,2+$B36,0))+IF(AM$8="X",VLOOKUP(AM$10,'VK-Elekter'!$C:$X,2+$D36,0))+IF(AM$9="X",VLOOKUP(AM$10,'VK-Biokütused'!$C:$U,2+$E36,0))+IF(AM$5="X",VLOOKUP(AM$10,'VK-Põlevkivi'!$C:$X,2+$G36,0))+IF(AM$4="X",VLOOKUP(AM$10,'VK-Võrgud'!$C:$X,2+$F36,0))</f>
        <v>11.9</v>
      </c>
      <c r="AN36" s="209">
        <f>IF(AN$7="X",VLOOKUP(AN$10,'VK-Hooned-Soojus'!$C:$X,2+$C36,FALSE),0)+IF(AN$6="X",VLOOKUP(AN$10,'VK-Transport'!$C:$X,2+$B36,0))+IF(AN$8="X",VLOOKUP(AN$10,'VK-Elekter'!$C:$X,2+$D36,0))+IF(AN$9="X",VLOOKUP(AN$10,'VK-Biokütused'!$C:$U,2+$E36,0))+IF(AN$5="X",VLOOKUP(AN$10,'VK-Põlevkivi'!$C:$X,2+$G36,0))+IF(AN$4="X",VLOOKUP(AN$10,'VK-Võrgud'!$C:$X,2+$F36,0))</f>
        <v>4.8999999999999995</v>
      </c>
      <c r="AO36" s="209">
        <f>IF(AO$7="X",VLOOKUP(AO$10,'VK-Hooned-Soojus'!$C:$X,2+$C36,FALSE),0)+IF(AO$6="X",VLOOKUP(AO$10,'VK-Transport'!$C:$X,2+$B36,0))+IF(AO$8="X",VLOOKUP(AO$10,'VK-Elekter'!$C:$X,2+$D36,0))+IF(AO$9="X",VLOOKUP(AO$10,'VK-Biokütused'!$C:$U,2+$E36,0))+IF(AO$5="X",VLOOKUP(AO$10,'VK-Põlevkivi'!$C:$X,2+$G36,0))+IF(AO$4="X",VLOOKUP(AO$10,'VK-Võrgud'!$C:$X,2+$F36,0))</f>
        <v>21.740000000000002</v>
      </c>
      <c r="AP36" s="209">
        <f>IF(AP$7="X",VLOOKUP(AP$10,'VK-Hooned-Soojus'!$C:$X,2+$C36,FALSE),0)+IF(AP$6="X",VLOOKUP(AP$10,'VK-Transport'!$C:$X,2+$B36,0))+IF(AP$8="X",VLOOKUP(AP$10,'VK-Elekter'!$C:$X,2+$D36,0))+IF(AP$9="X",VLOOKUP(AP$10,'VK-Biokütused'!$C:$U,2+$E36,0))+IF(AP$5="X",VLOOKUP(AP$10,'VK-Põlevkivi'!$C:$X,2+$G36,0))+IF(AP$4="X",VLOOKUP(AP$10,'VK-Võrgud'!$C:$X,2+$F36,0))</f>
        <v>10.870000000000001</v>
      </c>
      <c r="AQ36" s="320">
        <f t="shared" si="14"/>
        <v>9.4400000000000013</v>
      </c>
      <c r="AR36" s="209">
        <f>IF(AR$7="X",VLOOKUP(AR$10,'VK-Hooned-Soojus'!$C:$X,2+$C36,FALSE),0)+IF(AR$6="X",VLOOKUP(AR$10,'VK-Transport'!$C:$X,2+$B36,0))+IF(AR$8="X",VLOOKUP(AR$10,'VK-Elekter'!$C:$X,2+$D36,0))+IF(AR$9="X",VLOOKUP(AR$10,'VK-Biokütused'!$C:$U,2+$E36,0))+IF(AR$5="X",VLOOKUP(AR$10,'VK-Põlevkivi'!$C:$X,2+$G36,0))+IF(AR$4="X",VLOOKUP(AR$10,'VK-Võrgud'!$C:$X,2+$F36,0))</f>
        <v>0.5</v>
      </c>
      <c r="AS36" s="320">
        <f>VLOOKUP("Kütuste tarbimine @ 2030 - UTTEGAAS",'VK-Hooned-Soojus'!$C:$X,2+$C36,FALSE)/0.172+VLOOKUP("Kütuste tarbimine @ 2030 - UTTEGAAS",'VK-Elekter'!$C:$X,2+$D36,FALSE)/0.172-AR36-AU36</f>
        <v>-0.5</v>
      </c>
      <c r="AT36" s="209">
        <f>IF(AT$7="X",VLOOKUP(AT$10,'VK-Hooned-Soojus'!$C:$X,2+$C36,FALSE),0)+IF(AT$6="X",VLOOKUP(AT$10,'VK-Transport'!$C:$X,2+$B36,0))+IF(AT$8="X",VLOOKUP(AT$10,'VK-Elekter'!$C:$X,2+$D36,0))+IF(AT$9="X",VLOOKUP(AT$10,'VK-Biokütused'!$C:$U,2+$E36,0))+IF(AT$5="X",VLOOKUP(AT$10,'VK-Põlevkivi'!$C:$X,2+$G36,0))+IF(AT$4="X",VLOOKUP(AT$10,'VK-Võrgud'!$C:$X,2+$F36,0))</f>
        <v>12.004929222526066</v>
      </c>
      <c r="AU36" s="229">
        <f>MAX(0,(VLOOKUP("Kütuste tarbimine @ 2030 - UTTEGAAS",'VK-Hooned-Soojus'!$C:$X,2+$C36,FALSE)/0.172+VLOOKUP("Kütuste tarbimine @ 2030 - UTTEGAAS",'VK-Elekter'!$C:$X,2+$D36,FALSE)/0.172)*0.52-VLOOKUP("Kütuste tarbimine @ 2030 - PÕLEVKIVIÕLI",'VK-Hooned-Soojus'!$C:$X,2+$C36,FALSE))</f>
        <v>0</v>
      </c>
      <c r="AV36" s="209">
        <f>IF(AV$7="X",VLOOKUP(AV$10,'VK-Hooned-Soojus'!$C:$X,2+$C36,FALSE),0)+IF(AV$6="X",VLOOKUP(AV$10,'VK-Transport'!$C:$X,2+$B36,0))+IF(AV$8="X",VLOOKUP(AV$10,'VK-Elekter'!$C:$X,2+$D36,0))+IF(AV$9="X",VLOOKUP(AV$10,'VK-Biokütused'!$C:$U,2+$E36,0))+IF(AV$5="X",VLOOKUP(AV$10,'VK-Põlevkivi'!$C:$X,2+$G36,0))+IF(AV$4="X",VLOOKUP(AV$10,'VK-Võrgud'!$C:$X,2+$F36,0))</f>
        <v>1.1831224847375093</v>
      </c>
      <c r="AW36" s="209">
        <f>IF(AW$7="X",VLOOKUP(AW$10,'VK-Hooned-Soojus'!$C:$X,2+$C36,FALSE),0)+IF(AW$6="X",VLOOKUP(AW$10,'VK-Transport'!$C:$X,2+$B36,0))+IF(AW$8="X",VLOOKUP(AW$10,'VK-Elekter'!$C:$X,2+$D36,0))+IF(AW$9="X",VLOOKUP(AW$10,'VK-Biokütused'!$C:$U,2+$E36,0))+IF(AW$5="X",VLOOKUP(AW$10,'VK-Põlevkivi'!$C:$X,2+$G36,0))+IF(AW$4="X",VLOOKUP(AW$10,'VK-Võrgud'!$C:$X,2+$F36,0))</f>
        <v>2.141</v>
      </c>
      <c r="AX36" s="229">
        <f t="shared" si="34"/>
        <v>0.95787751526249076</v>
      </c>
      <c r="AY36" s="229">
        <f t="shared" si="15"/>
        <v>0</v>
      </c>
      <c r="AZ36" s="230">
        <f t="shared" si="0"/>
        <v>0.65882297973223991</v>
      </c>
      <c r="BA36" s="209">
        <f>IF(BA$7="X",VLOOKUP(BA$10,'VK-Hooned-Soojus'!$C:$X,2+$C36,FALSE),0)+IF(BA$6="X",VLOOKUP(BA$10,'VK-Transport'!$C:$X,2+$B36,0))+IF(BA$8="X",VLOOKUP(BA$10,'VK-Elekter'!$C:$X,2+$D36,0))+IF(BA$9="X",VLOOKUP(BA$10,'VK-Biokütused'!$C:$U,2+$E36,0))+IF(BA$5="X",VLOOKUP(BA$10,'VK-Põlevkivi'!$C:$X,2+$G36,0))+IF(BA$4="X",VLOOKUP(BA$10,'VK-Võrgud'!$C:$X,2+$F36,0))</f>
        <v>0</v>
      </c>
      <c r="BB36" s="209">
        <f>IF(BB$7="X",VLOOKUP(BB$10,'VK-Hooned-Soojus'!$C:$X,2+$C36,FALSE),0)+IF(BB$6="X",VLOOKUP(BB$10,'VK-Transport'!$C:$X,2+$B36,0))+IF(BB$8="X",VLOOKUP(BB$10,'VK-Elekter'!$C:$X,2+$D36,0))+IF(BB$9="X",VLOOKUP(BB$10,'VK-Biokütused'!$C:$U,2+$E36,0))+IF(BB$5="X",VLOOKUP(BB$10,'VK-Põlevkivi'!$C:$X,2+$G36,0))+IF(BB$4="X",VLOOKUP(BB$10,'VK-Võrgud'!$C:$X,2+$F36,0))</f>
        <v>6.32</v>
      </c>
      <c r="BC36" s="209">
        <f>IF(BC$7="X",VLOOKUP(BC$10,'VK-Hooned-Soojus'!$C:$X,2+$C36,FALSE),0)+IF(BC$6="X",VLOOKUP(BC$10,'VK-Transport'!$C:$X,2+$B36,0))+IF(BC$8="X",VLOOKUP(BC$10,'VK-Elekter'!$C:$X,2+$D36,0))+IF(BC$9="X",VLOOKUP(BC$10,'VK-Biokütused'!$C:$U,2+$E36,0))+IF(BC$5="X",VLOOKUP(BC$10,'VK-Põlevkivi'!$C:$X,2+$G36,0))+IF(BC$4="X",VLOOKUP(BC$10,'VK-Võrgud'!$C:$X,2+$F36,0))</f>
        <v>6.5993333333333322</v>
      </c>
      <c r="BD36" s="209">
        <f>IF(BD$7="X",VLOOKUP(BD$10,'VK-Hooned-Soojus'!$C:$X,2+$C36,FALSE),0)+IF(BD$6="X",VLOOKUP(BD$10,'VK-Transport'!$C:$X,2+$B36,0))+IF(BD$8="X",VLOOKUP(BD$10,'VK-Elekter'!$C:$X,2+$D36,0))+IF(BD$9="X",VLOOKUP(BD$10,'VK-Biokütused'!$C:$U,2+$E36,0))+IF(BD$5="X",VLOOKUP(BD$10,'VK-Põlevkivi'!$C:$X,2+$G36,0))+IF(BD$4="X",VLOOKUP(BD$10,'VK-Võrgud'!$C:$X,2+$F36,0))</f>
        <v>9.425416666666667</v>
      </c>
      <c r="BE36" s="230"/>
      <c r="BF36" s="229">
        <f t="shared" si="16"/>
        <v>0.53973582189892089</v>
      </c>
      <c r="BG36" s="209" t="e">
        <f>(IF(BG$7="X",VLOOKUP(BG$10,'VK-Hooned-Soojus'!$C:$X,2+$C36,FALSE),0)+IF(BG$6="X",VLOOKUP(BG$10,'VK-Transport'!$C:$X,2+$B36,0))+IF(BG$8="X",VLOOKUP(BG$10,'VK-Elekter'!$C:$X,2+$D36,0))+IF(BG$9="X",VLOOKUP(BG$10,'VK-Biokütused'!$C:$U,2+$E36,0))+IF(BG$5="X",VLOOKUP(BG$10,'VK-Põlevkivi'!$C:$X,2+$G36,0))+IF(BG$4="X",VLOOKUP(BG$10,'VK-Võrgud'!$C:$X,2+$F36,0)))/20</f>
        <v>#N/A</v>
      </c>
      <c r="BH36" s="209">
        <f>(IF(BH$7="X",VLOOKUP(BH$10,'VK-Hooned-Soojus'!$C:$X,2+$C36,FALSE),0)+IF(BH$6="X",VLOOKUP(BH$10,'VK-Transport'!$C:$X,2+$B36,0))+IF(BH$8="X",VLOOKUP(BH$10,'VK-Elekter'!$C:$X,2+$D36,0))+IF(BH$9="X",VLOOKUP(BH$10,'VK-Biokütused'!$C:$U,2+$E36,0))+IF(BH$5="X",VLOOKUP(BH$10,'VK-Põlevkivi'!$C:$X,2+$G36,0))+IF(BH$4="X",VLOOKUP(BH$10,'VK-Võrgud'!$C:$X,2+$F36,0)))/20</f>
        <v>45.08</v>
      </c>
      <c r="BI36" s="209">
        <f>(IF(BI$7="X",VLOOKUP(BI$10,'VK-Hooned-Soojus'!$C:$X,2+$C36,FALSE),0)+IF(BI$6="X",VLOOKUP(BI$10,'VK-Transport'!$C:$X,2+$B36,0))+IF(BI$8="X",VLOOKUP(BI$10,'VK-Elekter'!$C:$X,2+$D36,0))+IF(BI$9="X",VLOOKUP(BI$10,'VK-Biokütused'!$C:$U,2+$E36,0))+IF(BI$5="X",VLOOKUP(BI$10,'VK-Põlevkivi'!$C:$X,2+$G36,0))+IF(BI$4="X",VLOOKUP(BI$10,'VK-Võrgud'!$C:$X,2+$F36,0)))/16</f>
        <v>14.1875</v>
      </c>
      <c r="BJ36" s="209">
        <f>(IF(BJ$7="X",VLOOKUP(BJ$10,'VK-Hooned-Soojus'!$C:$X,2+$C36,FALSE),0)+IF(BJ$6="X",VLOOKUP(BJ$10,'VK-Transport'!$C:$X,2+$B36,0))+IF(BJ$8="X",VLOOKUP(BJ$10,'VK-Elekter'!$C:$X,2+$D36,0))+IF(BJ$9="X",VLOOKUP(BJ$10,'VK-Biokütused'!$C:$U,2+$E36,0))+IF(BJ$5="X",VLOOKUP(BJ$10,'VK-Põlevkivi'!$C:$X,2+$G36,0))+IF(BJ$4="X",VLOOKUP(BJ$10,'VK-Võrgud'!$C:$X,2+$F36,0)))/20</f>
        <v>3.91</v>
      </c>
      <c r="BK36" s="209"/>
      <c r="BL36" s="209"/>
      <c r="BM36" s="209"/>
      <c r="BN36" s="209" t="e">
        <f>(IF(BN$7="X",VLOOKUP(BN$10,'VK-Hooned-Soojus'!$C:$X,2+$C36,FALSE),0)+IF(BN$6="X",VLOOKUP(BN$10,'VK-Transport'!$C:$X,2+$B36,0))+IF(BN$8="X",VLOOKUP(BN$10,'VK-Elekter'!$C:$X,2+$D36,0))+IF(BN$9="X",VLOOKUP(BN$10,'VK-Biokütused'!$C:$U,2+$E36,0))+IF(BN$5="X",VLOOKUP(BN$10,'VK-Põlevkivi'!$C:$X,2+$G36,0))+IF(BN$4="X",VLOOKUP(BN$10,'VK-Võrgud'!$C:$X,2+$F36,0)))/16</f>
        <v>#N/A</v>
      </c>
      <c r="BO36" s="209">
        <f>(IF(BO$7="X",VLOOKUP(BO$10,'VK-Hooned-Soojus'!$C:$X,2+$C36,FALSE),0)+IF(BO$6="X",VLOOKUP(BO$10,'VK-Transport'!$C:$X,2+$B36,0))+IF(BO$8="X",VLOOKUP(BO$10,'VK-Elekter'!$C:$X,2+$D36,0))+IF(BO$9="X",VLOOKUP(BO$10,'VK-Biokütused'!$C:$U,2+$E36,0))+IF(BO$5="X",VLOOKUP(BO$10,'VK-Põlevkivi'!$C:$X,2+$G36,0))+IF(BO$4="X",VLOOKUP(BO$10,'VK-Võrgud'!$C:$X,2+$F36,0)))/16</f>
        <v>496.33125000000001</v>
      </c>
      <c r="BP36" s="209"/>
      <c r="BQ36" s="209">
        <f>(IF(BQ$7="X",VLOOKUP(BQ$10,'VK-Hooned-Soojus'!$C:$X,2+$C36,FALSE),0)+IF(BQ$6="X",VLOOKUP(BQ$10,'VK-Transport'!$C:$X,2+$B36,0))+IF(BQ$8="X",VLOOKUP(BQ$10,'VK-Elekter'!$C:$X,2+$D36,0))+IF(BQ$9="X",VLOOKUP(BQ$10,'VK-Biokütused'!$C:$U,2+$E36,0))+IF(BQ$5="X",VLOOKUP(BQ$10,'VK-Põlevkivi'!$C:$X,2+$G36,0))+IF(BQ$4="X",VLOOKUP(BQ$10,'VK-Võrgud'!$C:$X,2+$F36,0)))/16</f>
        <v>4.7249999999999996</v>
      </c>
      <c r="BR36" s="209">
        <f>(IF(BR$7="X",VLOOKUP(BR$10,'VK-Hooned-Soojus'!$C:$X,2+$C36,FALSE),0)+IF(BR$6="X",VLOOKUP(BR$10,'VK-Transport'!$C:$X,2+$B36,0))+IF(BR$8="X",VLOOKUP(BR$10,'VK-Elekter'!$C:$X,2+$D36,0))+IF(BR$9="X",VLOOKUP(BR$10,'VK-Biokütused'!$C:$U,2+$E36,0))+IF(BR$5="X",VLOOKUP(BR$10,'VK-Põlevkivi'!$C:$X,2+$G36,0))+IF(BR$4="X",VLOOKUP(BR$10,'VK-Võrgud'!$C:$X,2+$F36,0)))/16</f>
        <v>-74.512500000000003</v>
      </c>
      <c r="BS36" s="209">
        <f>(IF(BS$7="X",VLOOKUP(BS$10,'VK-Hooned-Soojus'!$C:$X,2+$C36,FALSE),0)+IF(BS$6="X",VLOOKUP(BS$10,'VK-Transport'!$C:$X,2+$B36,0))+IF(BS$8="X",VLOOKUP(BS$10,'VK-Elekter'!$C:$X,2+$D36,0))+IF(BS$9="X",VLOOKUP(BS$10,'VK-Biokütused'!$C:$U,2+$E36,0))+IF(BS$5="X",VLOOKUP(BS$10,'VK-Põlevkivi'!$C:$X,2+$G36,0))+IF(BS$4="X",VLOOKUP(BS$10,'VK-Võrgud'!$C:$X,2+$F36,0)))/16</f>
        <v>-100.68125000000001</v>
      </c>
      <c r="BT36" s="209"/>
      <c r="BU36" s="209"/>
      <c r="BV36" s="209">
        <f>(IF(BV$7="X",VLOOKUP(BV$10,'VK-Hooned-Soojus'!$C:$X,2+$C36,FALSE),0)+IF(BV$6="X",VLOOKUP(BV$10,'VK-Transport'!$C:$X,2+$B36,0))+IF(BV$8="X",VLOOKUP(BV$10,'VK-Elekter'!$C:$X,2+$D36,0))+IF(BV$9="X",VLOOKUP(BV$10,'VK-Biokütused'!$C:$U,2+$E36,0))+IF(BV$5="X",VLOOKUP(BV$10,'VK-Põlevkivi'!$C:$X,2+$G36,0))+IF(BV$4="X",VLOOKUP(BV$10,'VK-Võrgud'!$C:$X,2+$F36,0)))/16</f>
        <v>0</v>
      </c>
      <c r="BW36" s="209"/>
      <c r="BX36" s="209">
        <f>(IF(BX$7="X",VLOOKUP(BX$10,'VK-Hooned-Soojus'!$C:$X,2+$C36,FALSE),0)+IF(BX$6="X",VLOOKUP(BX$10,'VK-Transport'!$C:$X,2+$B36,0))+IF(BX$8="X",VLOOKUP(BX$10,'VK-Elekter'!$C:$X,2+$D36,0))+IF(BX$9="X",VLOOKUP(BX$10,'VK-Biokütused'!$C:$U,2+$E36,0))+IF(BX$5="X",VLOOKUP(BX$10,'VK-Põlevkivi'!$C:$X,2+$G36,0))+IF(BX$4="X",VLOOKUP(BX$10,'VK-Võrgud'!$C:$X,2+$F36,0)))/16</f>
        <v>-19.25</v>
      </c>
      <c r="BY36" s="209"/>
      <c r="BZ36" s="209"/>
      <c r="CA36" s="209" t="e">
        <f>(IF(CA$7="X",VLOOKUP(CA$10,'VK-Hooned-Soojus'!$C:$X,2+$C36,FALSE),0)+IF(CA$6="X",VLOOKUP(CA$10,'VK-Transport'!$C:$X,2+$B36,0))+IF(CA$8="X",VLOOKUP(CA$10,'VK-Elekter'!$C:$X,2+$D36,0))+IF(CA$9="X",VLOOKUP(CA$10,'VK-Biokütused'!$C:$U,2+$E36,0))+IF(CA$5="X",VLOOKUP(CA$10,'VK-Põlevkivi'!$C:$X,2+$G36,0))+IF(CA$4="X",VLOOKUP(CA$10,'VK-Võrgud'!$C:$X,2+$F36,0)))/16</f>
        <v>#N/A</v>
      </c>
      <c r="CB36" s="209">
        <f>(IF(CB$7="X",VLOOKUP(CB$10,'VK-Hooned-Soojus'!$C:$X,2+$C36,FALSE),0)+IF(CB$6="X",VLOOKUP(CB$10,'VK-Transport'!$C:$X,2+$B36,0))+IF(CB$8="X",VLOOKUP(CB$10,'VK-Elekter'!$C:$X,2+$D36,0))+IF(CB$9="X",VLOOKUP(CB$10,'VK-Biokütused'!$C:$U,2+$E36,0))+IF(CB$5="X",VLOOKUP(CB$10,'VK-Põlevkivi'!$C:$X,2+$G36,0))+IF(CB$4="X",VLOOKUP(CB$10,'VK-Võrgud'!$C:$X,2+$F36,0)))/16</f>
        <v>0</v>
      </c>
      <c r="CC36" s="209">
        <f>(IF(CC$7="X",VLOOKUP(CC$10,'VK-Hooned-Soojus'!$C:$X,2+$C36,FALSE),0)+IF(CC$6="X",VLOOKUP(CC$10,'VK-Transport'!$C:$X,2+$B36,0))+IF(CC$8="X",VLOOKUP(CC$10,'VK-Elekter'!$C:$X,2+$D36,0))+IF(CC$9="X",VLOOKUP(CC$10,'VK-Biokütused'!$C:$U,2+$E36,0))+IF(CC$5="X",VLOOKUP(CC$10,'VK-Põlevkivi'!$C:$X,2+$G36,0))+IF(CC$4="X",VLOOKUP(CC$10,'VK-Võrgud'!$C:$X,2+$F36,0)))/16</f>
        <v>0</v>
      </c>
      <c r="CD36" s="209"/>
      <c r="CE36" s="209">
        <f>(IF(CE$7="X",VLOOKUP(CE$10,'VK-Hooned-Soojus'!$C:$X,2+$C36,FALSE),0)+IF(CE$6="X",VLOOKUP(CE$10,'VK-Transport'!$C:$X,2+$B36,0))+IF(CE$8="X",VLOOKUP(CE$10,'VK-Elekter'!$C:$X,2+$D36,0))+IF(CE$9="X",VLOOKUP(CE$10,'VK-Biokütused'!$C:$U,2+$E36,0))+IF(CE$5="X",VLOOKUP(CE$10,'VK-Põlevkivi'!$C:$X,2+$G36,0))+IF(CE$4="X",VLOOKUP(CE$10,'VK-Võrgud'!$C:$X,2+$F36,0)))/16</f>
        <v>24.15625</v>
      </c>
      <c r="CF36" s="209"/>
      <c r="CG36" s="209">
        <f>(IF(CG$7="X",VLOOKUP(CG$10,'VK-Hooned-Soojus'!$C:$X,2+$C36,FALSE),0)+IF(CG$6="X",VLOOKUP(CG$10,'VK-Transport'!$C:$X,2+$B36,0))+IF(CG$8="X",VLOOKUP(CG$10,'VK-Elekter'!$C:$X,2+$D36,0))+IF(CG$9="X",VLOOKUP(CG$10,'VK-Biokütused'!$C:$U,2+$E36,0))+IF(CG$5="X",VLOOKUP(CG$10,'VK-Põlevkivi'!$C:$X,2+$G36,0))+IF(CG$4="X",VLOOKUP(CG$10,'VK-Võrgud'!$C:$X,2+$F36,0)))/16</f>
        <v>0</v>
      </c>
      <c r="CH36" s="209">
        <f>(IF(CH$7="X",VLOOKUP(CH$10,'VK-Hooned-Soojus'!$C:$X,2+$C36,FALSE),0)+IF(CH$6="X",VLOOKUP(CH$10,'VK-Transport'!$C:$X,2+$B36,0))+IF(CH$8="X",VLOOKUP(CH$10,'VK-Elekter'!$C:$X,2+$D36,0))+IF(CH$9="X",VLOOKUP(CH$10,'VK-Biokütused'!$C:$U,2+$E36,0))+IF(CH$5="X",VLOOKUP(CH$10,'VK-Põlevkivi'!$C:$X,2+$G36,0))+IF(CH$4="X",VLOOKUP(CH$10,'VK-Võrgud'!$C:$X,2+$F36,0)))/20*0.21</f>
        <v>11.225549999999998</v>
      </c>
      <c r="CI36" s="209"/>
      <c r="CJ36" s="209">
        <f>(IF(CJ$7="X",VLOOKUP(CJ$10,'VK-Hooned-Soojus'!$C:$X,2+$C36,FALSE),0)+IF(CJ$6="X",VLOOKUP(CJ$10,'VK-Transport'!$C:$X,2+$B36,0))+IF(CJ$8="X",VLOOKUP(CJ$10,'VK-Elekter'!$C:$X,2+$D36,0))+IF(CJ$9="X",VLOOKUP(CJ$10,'VK-Biokütused'!$C:$U,2+$E36,0))+IF(CJ$5="X",VLOOKUP(CJ$10,'VK-Põlevkivi'!$C:$X,2+$G36,0))+IF(CJ$4="X",VLOOKUP(CJ$10,'VK-Võrgud'!$C:$X,2+$F36,0)))/1000</f>
        <v>18.858721793242818</v>
      </c>
      <c r="CK36" s="209">
        <f>(IF(CK$7="X",VLOOKUP(CK$10,'VK-Hooned-Soojus'!$C:$X,2+$C36,FALSE),0)+IF(CK$6="X",VLOOKUP(CK$10,'VK-Transport'!$C:$X,2+$B36,0))+IF(CK$8="X",VLOOKUP(CK$10,'VK-Elekter'!$C:$X,2+$D36,0))+IF(CK$9="X",VLOOKUP(CK$10,'VK-Biokütused'!$C:$U,2+$E36,0))+IF(CK$5="X",VLOOKUP(CK$10,'VK-Põlevkivi'!$C:$X,2+$G36,0))+IF(CK$4="X",VLOOKUP(CK$10,'VK-Võrgud'!$C:$X,2+$F36,0)))/1000</f>
        <v>6.6617453871512238</v>
      </c>
      <c r="CL36" s="235">
        <f>(IF(CL$7="X",VLOOKUP(CL$10,'VK-Hooned-Soojus'!$C:$X,2+$C36,FALSE),0)+IF(CL$6="X",VLOOKUP(CL$10,'VK-Transport'!$C:$X,2+$B36,0))+IF(CL$8="X",VLOOKUP(CL$10,'VK-Elekter'!$C:$X,2+$D36,0))+IF(CL$9="X",VLOOKUP(CL$10,'VK-Biokütused'!$C:$U,2+$E36,0)))/1000</f>
        <v>5.4770005094011811</v>
      </c>
      <c r="CM36" s="209">
        <f>(IF(CM$7="X",VLOOKUP(CM$10,'VK-Hooned-Soojus'!$C:$X,2+$C36,FALSE),0)+IF(CM$6="X",VLOOKUP(CM$10,'VK-Transport'!$C:$X,2+$B36,0))+IF(CM$8="X",VLOOKUP(CM$10,'VK-Elekter'!$C:$X,2+$D36,0))+IF(CM$9="X",VLOOKUP(CM$10,'VK-Biokütused'!$C:$U,2+$E36,0))+IF(CM$5="X",VLOOKUP(CM$10,'VK-Põlevkivi'!$C:$X,2+$G36,0))+IF(CM$4="X",VLOOKUP(CM$10,'VK-Võrgud'!$C:$X,2+$F36,0)))/1000</f>
        <v>7.8388313570900952</v>
      </c>
      <c r="CN36" s="209">
        <f>(IF(CN$7="X",VLOOKUP(CN$10,'VK-Hooned-Soojus'!$C:$X,2+$C36,FALSE),0)+IF(CN$6="X",VLOOKUP(CN$10,'VK-Transport'!$C:$X,2+$B36,0))+IF(CN$8="X",VLOOKUP(CN$10,'VK-Elekter'!$C:$X,2+$D36,0))+IF(CN$9="X",VLOOKUP(CN$10,'VK-Biokütused'!$C:$U,2+$E36,0))+IF(CN$5="X",VLOOKUP(CN$10,'VK-Põlevkivi'!$C:$X,2+$G36,0))+IF(CN$4="X",VLOOKUP(CN$10,'VK-Võrgud'!$C:$X,2+$F36,0)))/1000</f>
        <v>2.851</v>
      </c>
      <c r="CO36" s="209">
        <f>(IF(CO$7="X",VLOOKUP(CO$10,'VK-Hooned-Soojus'!$C:$X,2+$C36,FALSE),0)+IF(CO$6="X",VLOOKUP(CO$10,'VK-Transport'!$C:$X,2+$B36,0))+IF(CO$8="X",VLOOKUP(CO$10,'VK-Elekter'!$C:$X,2+$D36,0))+IF(CO$9="X",VLOOKUP(CO$10,'VK-Biokütused'!$C:$U,2+$E36,0))+IF(CO$5="X",VLOOKUP(CO$10,'VK-Põlevkivi'!$C:$X,2+$G36,0))+IF(CO$4="X",VLOOKUP(CO$10,'VK-Võrgud'!$C:$X,2+$F36,0)))/1000</f>
        <v>24.069649773285455</v>
      </c>
      <c r="CP36" s="209">
        <f>(IF(CP$7="X",VLOOKUP(CP$10,'VK-Hooned-Soojus'!$C:$X,2+$C36,FALSE),0)+IF(CP$6="X",VLOOKUP(CP$10,'VK-Transport'!$C:$X,2+$B36,0))+IF(CP$8="X",VLOOKUP(CP$10,'VK-Elekter'!$C:$X,2+$D36,0))+IF(CP$9="X",VLOOKUP(CP$10,'VK-Biokütused'!$C:$U,2+$E36,0))+IF(CP$5="X",VLOOKUP(CP$10,'VK-Põlevkivi'!$C:$X,2+$G36,0))+IF(CP$4="X",VLOOKUP(CP$10,'VK-Võrgud'!$C:$X,2+$F36,0)))/1000</f>
        <v>6.6599485842956136</v>
      </c>
      <c r="CQ36" s="235">
        <f>(IF(CQ$7="X",VLOOKUP(CQ$10,'VK-Hooned-Soojus'!$C:$X,2+$C36,FALSE),0)+IF(CQ$6="X",VLOOKUP(CQ$10,'VK-Transport'!$C:$X,2+$B36,0))+IF(CQ$8="X",VLOOKUP(CQ$10,'VK-Elekter'!$C:$X,2+$D36,0))+IF(CQ$9="X",VLOOKUP(CQ$10,'VK-Biokütused'!$C:$U,2+$E36,0)))/1000</f>
        <v>5.3929070000000001</v>
      </c>
      <c r="CR36" s="209">
        <f>(IF(CR$7="X",VLOOKUP(CR$10,'VK-Hooned-Soojus'!$C:$X,2+$C36,FALSE),0)+IF(CR$6="X",VLOOKUP(CR$10,'VK-Transport'!$C:$X,2+$B36,0))+IF(CR$8="X",VLOOKUP(CR$10,'VK-Elekter'!$C:$X,2+$D36,0))+IF(CR$9="X",VLOOKUP(CR$10,'VK-Biokütused'!$C:$U,2+$E36,0))+IF(CR$5="X",VLOOKUP(CR$10,'VK-Põlevkivi'!$C:$X,2+$G36,0))+IF(CR$4="X",VLOOKUP(CR$10,'VK-Võrgud'!$C:$X,2+$F36,0)))/1000</f>
        <v>7.8887533562748038</v>
      </c>
      <c r="CS36" s="209">
        <f>(IF(CS$7="X",VLOOKUP(CS$10,'VK-Hooned-Soojus'!$C:$X,2+$C36,FALSE),0)+IF(CS$6="X",VLOOKUP(CS$10,'VK-Transport'!$C:$X,2+$B36,0))+IF(CS$8="X",VLOOKUP(CS$10,'VK-Elekter'!$C:$X,2+$D36,0))+IF(CS$9="X",VLOOKUP(CS$10,'VK-Biokütused'!$C:$U,2+$E36,0))+IF(CS$5="X",VLOOKUP(CS$10,'VK-Põlevkivi'!$C:$X,2+$G36,0))+IF(CS$4="X",VLOOKUP(CS$10,'VK-Võrgud'!$C:$X,2+$F36,0)))/1000</f>
        <v>3.966152405121615</v>
      </c>
      <c r="CT36" s="209">
        <f>IF(CT$7="X",VLOOKUP(CT$10,'VK-Hooned-Soojus'!$C:$X,2+$C36,FALSE),0)+IF(CT$6="X",VLOOKUP(CT$10,'VK-Transport'!$C:$X,2+$B36,0))+IF(CT$8="X",VLOOKUP(CT$10,'VK-Elekter'!$C:$X,2+$D36,0))+IF(CT$9="X",VLOOKUP(CT$10,'VK-Biokütused'!$C:$U,2+$E36,0))+IF(CT$5="X",VLOOKUP(CT$10,'VK-Põlevkivi'!$C:$X,2+$G36,0))+IF(CT$4="X",VLOOKUP(CT$10,'VK-Võrgud'!$C:$X,2+$F36,0))</f>
        <v>90</v>
      </c>
      <c r="CU36" s="209">
        <f>IF(CU$7="X",VLOOKUP(CU$10,'VK-Hooned-Soojus'!$C:$X,2+$C36,FALSE),0)+IF(CU$6="X",VLOOKUP(CU$10,'VK-Transport'!$C:$X,2+$B36,0))+IF(CU$8="X",VLOOKUP(CU$10,'VK-Elekter'!$C:$X,2+$D36,0))+IF(CU$9="X",VLOOKUP(CU$10,'VK-Biokütused'!$C:$U,2+$E36,0))+IF(CU$5="X",VLOOKUP(CU$10,'VK-Põlevkivi'!$C:$X,2+$G36,0))+IF(CU$4="X",VLOOKUP(CU$10,'VK-Võrgud'!$C:$X,2+$F36,0))</f>
        <v>0.63390170511534605</v>
      </c>
      <c r="CV36" s="209">
        <f t="shared" si="1"/>
        <v>0.91028830406496797</v>
      </c>
      <c r="CW36" s="209">
        <f>(IF(CW$7="X",VLOOKUP(CW$10,'VK-Hooned-Soojus'!$C:$X,2+$C36,FALSE),0)+IF(CW$6="X",VLOOKUP(CW$10,'VK-Transport'!$C:$X,2+$B36,0))+IF(CW$8="X",VLOOKUP(CW$10,'VK-Elekter'!$C:$X,2+$D36,0))+IF(CW$9="X",VLOOKUP(CW$10,'VK-Biokütused'!$C:$U,2+$E36,0))+IF(CW$5="X",VLOOKUP(CW$10,'VK-Põlevkivi'!$C:$X,2+$G36,0))+IF(CW$4="X",VLOOKUP(CW$10,'VK-Võrgud'!$C:$X,2+$F36,0)))/16</f>
        <v>59.743749999999999</v>
      </c>
      <c r="CY36" s="209">
        <f>(IF(CY$7="X",VLOOKUP(CY$10,'VK-Hooned-Soojus'!$C:$X,2+$C36,FALSE),0)+IF(CY$6="X",VLOOKUP(CY$10,'VK-Transport'!$C:$X,2+$B36,0))+IF(CY$8="X",VLOOKUP(CY$10,'VK-Elekter'!$C:$X,2+$D36,0))+IF(CY$9="X",VLOOKUP(CY$10,'VK-Biokütused'!$C:$U,2+$E36,0))+IF(CY$5="X",VLOOKUP(CY$10,'VK-Põlevkivi'!$C:$X,2+$G36,0))+IF(CY$4="X",VLOOKUP(CY$10,'VK-Võrgud'!$C:$X,2+$F36,0)))/1000</f>
        <v>10.478999999999999</v>
      </c>
      <c r="CZ36" s="209">
        <f>(IF(CZ$7="X",VLOOKUP(CZ$10,'VK-Hooned-Soojus'!$C:$X,2+$C36,FALSE),0)+IF(CZ$6="X",VLOOKUP(CZ$10,'VK-Transport'!$C:$X,2+$B36,0))+IF(CZ$8="X",VLOOKUP(CZ$10,'VK-Elekter'!$C:$X,2+$D36,0))+IF(CZ$9="X",VLOOKUP(CZ$10,'VK-Biokütused'!$C:$U,2+$E36,0))+IF(CZ$5="X",VLOOKUP(CZ$10,'VK-Põlevkivi'!$C:$X,2+$G36,0))+IF(CZ$4="X",VLOOKUP(CZ$10,'VK-Võrgud'!$C:$X,2+$F36,0)))</f>
        <v>82.4</v>
      </c>
      <c r="DA36" s="209">
        <f>(IF(DA$7="X",VLOOKUP(DA$10,'VK-Hooned-Soojus'!$C:$X,2+$C36,FALSE),0)+IF(DA$6="X",VLOOKUP(DA$10,'VK-Transport'!$C:$X,2+$B36,0))+IF(DA$8="X",VLOOKUP(DA$10,'VK-Elekter'!$C:$X,2+$D36,0))+IF(DA$9="X",VLOOKUP(DA$10,'VK-Biokütused'!$C:$U,2+$E36,0))+IF(DA$5="X",VLOOKUP(DA$10,'VK-Põlevkivi'!$C:$X,2+$G36,0))+IF(DA$4="X",VLOOKUP(DA$10,'VK-Võrgud'!$C:$X,2+$F36,0)))/1000</f>
        <v>10.507999999999999</v>
      </c>
      <c r="DB36" s="209">
        <f>(IF(DB$7="X",VLOOKUP(DB$10,'VK-Hooned-Soojus'!$C:$X,2+$C36,FALSE),0)+IF(DB$6="X",VLOOKUP(DB$10,'VK-Transport'!$C:$X,2+$B36,0))+IF(DB$8="X",VLOOKUP(DB$10,'VK-Elekter'!$C:$X,2+$D36,0))+IF(DB$9="X",VLOOKUP(DB$10,'VK-Biokütused'!$C:$U,2+$E36,0))+IF(DB$5="X",VLOOKUP(DB$10,'VK-Põlevkivi'!$C:$X,2+$G36,0))+IF(DB$4="X",VLOOKUP(DB$10,'VK-Võrgud'!$C:$X,2+$F36,0)))/1000/3.6</f>
        <v>42.36194444444444</v>
      </c>
      <c r="DC36" s="209">
        <f>(IF(DC$7="X",VLOOKUP(DC$10,'VK-Hooned-Soojus'!$C:$X,2+$C36,FALSE),0)+IF(DC$6="X",VLOOKUP(DC$10,'VK-Transport'!$C:$X,2+$B36,0))+IF(DC$8="X",VLOOKUP(DC$10,'VK-Elekter'!$C:$X,2+$D36,0))+IF(DC$9="X",VLOOKUP(DC$10,'VK-Biokütused'!$C:$U,2+$E36,0))+IF(DC$5="X",VLOOKUP(DC$10,'VK-Põlevkivi'!$C:$X,2+$G36,0))+IF(DC$4="X",VLOOKUP(DC$10,'VK-Võrgud'!$C:$X,2+$F36,0)))/1000000</f>
        <v>4.2948469999999999</v>
      </c>
      <c r="DD36" s="209"/>
      <c r="DE36" s="88">
        <f>VLOOKUP(Tulemused!$BN$12,data!M$7:N$12,2,FALSE)-SUM(L36,M36)</f>
        <v>-2.6566444444444528</v>
      </c>
      <c r="DF36" s="209" t="str">
        <f>IF(AZ36&lt;=VLOOKUP(Tulemused!$BN$15,data!$E$36:$F$39,2,FALSE),"JAH","EI")</f>
        <v>JAH</v>
      </c>
      <c r="DG36" s="209"/>
      <c r="DH36" s="209">
        <f t="shared" si="2"/>
        <v>10.870000000000001</v>
      </c>
      <c r="DI36" s="231" t="str">
        <f t="shared" si="17"/>
        <v>EI</v>
      </c>
      <c r="DK36" s="232">
        <f t="shared" si="3"/>
        <v>-993.54614808375754</v>
      </c>
      <c r="DM36" s="233">
        <f t="shared" si="4"/>
        <v>-991.46485973606775</v>
      </c>
      <c r="DN36" s="87">
        <f t="array" ref="DN36">INDEX($A$11:$A$145, SMALL(IF(DM36=$DK$11:$DK$145, MATCH(ROW($DK$11:$DK$145), ROW($DK$11:$DK$145))), SUM(--(DM36=$DM$11:DM36))))</f>
        <v>71</v>
      </c>
      <c r="DP36" s="87" t="e">
        <f t="shared" ca="1" si="18"/>
        <v>#N/A</v>
      </c>
      <c r="DQ36" s="87" t="e">
        <f t="shared" ca="1" si="19"/>
        <v>#N/A</v>
      </c>
      <c r="DR36" s="87">
        <f t="shared" ca="1" si="20"/>
        <v>0</v>
      </c>
      <c r="DS36" s="87" t="e">
        <f t="shared" ca="1" si="21"/>
        <v>#N/A</v>
      </c>
      <c r="DT36" s="87">
        <f t="shared" ca="1" si="22"/>
        <v>0</v>
      </c>
      <c r="DU36" s="87" t="e">
        <f t="shared" ca="1" si="23"/>
        <v>#N/A</v>
      </c>
      <c r="DV36" s="87" t="e">
        <f t="shared" ca="1" si="24"/>
        <v>#N/A</v>
      </c>
      <c r="DW36" s="87">
        <f t="shared" ca="1" si="25"/>
        <v>0</v>
      </c>
      <c r="DX36" s="87">
        <f t="shared" ca="1" si="26"/>
        <v>0</v>
      </c>
      <c r="DZ36" s="87">
        <f t="shared" ca="1" si="35"/>
        <v>0</v>
      </c>
      <c r="EB36" s="87">
        <f t="shared" ca="1" si="27"/>
        <v>0</v>
      </c>
      <c r="EC36" s="87" t="e">
        <f t="shared" ca="1" si="28"/>
        <v>#N/A</v>
      </c>
      <c r="EE36" s="228">
        <f>(IF(EE$7="X",VLOOKUP(EE$10,'VK-Hooned-Soojus'!$C:$X,2+$C36,FALSE),0)+IF(EE$6="X",VLOOKUP(EE$10,'VK-Transport'!$C:$X,2+$B36,0))+IF(EE$8="X",VLOOKUP(EE$10,'VK-Elekter'!$C:$X,2+$D36,0))+IF(EE$9="X",VLOOKUP(EE$10,'VK-Biokütused'!$C:$U,2+$E36,0))+IF(EE$5="X",VLOOKUP(EE$10,'VK-Põlevkivi'!$C:$X,2+$G36,0))+IF(EE$4="X",VLOOKUP(EE$10,'VK-Võrgud'!$C:$X,2+$F36,0)))</f>
        <v>5981.9070612289215</v>
      </c>
      <c r="EF36" s="235">
        <f>(IF(EF$7="X",VLOOKUP(EF$10,'VK-Hooned-Soojus'!$C:$X,2+$C36,FALSE),0)+IF(EF$6="X",VLOOKUP(EF$10,'VK-Transport'!$C:$X,2+$B36,0))+IF(EF$8="X",VLOOKUP(EF$10,'VK-Elekter'!$C:$X,2+$D36,0))+IF(EF$9="X",VLOOKUP(EF$10,'VK-Biokütused'!$C:$U,2+$E36,0)))/1000</f>
        <v>3.9366368215830603</v>
      </c>
      <c r="EG36" s="209">
        <f>(IF(EG$7="X",VLOOKUP(EG$10,'VK-Hooned-Soojus'!$C:$X,2+$C36,FALSE),0)+IF(EG$6="X",VLOOKUP(EG$10,'VK-Transport'!$C:$X,2+$B36,0))+IF(EG$8="X",VLOOKUP(EG$10,'VK-Elekter'!$C:$X,2+$D36,0))+IF(EG$9="X",VLOOKUP(EG$10,'VK-Biokütused'!$C:$U,2+$E36,0))+IF(EG$5="X",VLOOKUP(EG$10,'VK-Põlevkivi'!$C:$X,2+$G36,0))+IF(EG$4="X",VLOOKUP(EG$10,'VK-Võrgud'!$C:$X,2+$F36,0)))</f>
        <v>0.81</v>
      </c>
      <c r="EH36" s="209">
        <f>(IF(EH$7="X",VLOOKUP(EH$10,'VK-Hooned-Soojus'!$C:$X,2+$C36,FALSE),0)+IF(EH$6="X",VLOOKUP(EH$10,'VK-Transport'!$C:$X,2+$B36,0))+IF(EH$8="X",VLOOKUP(EH$10,'VK-Elekter'!$C:$X,2+$D36,0))+IF(EH$9="X",VLOOKUP(EH$10,'VK-Biokütused'!$C:$U,2+$E36,0)))+AR36+AS36+AU36+AX36</f>
        <v>46.485933070818042</v>
      </c>
      <c r="EI36" s="320">
        <f t="shared" si="6"/>
        <v>45.528055555555554</v>
      </c>
      <c r="EJ36" s="322">
        <f t="shared" si="7"/>
        <v>2.1267750475898739E-2</v>
      </c>
      <c r="EK36" s="323">
        <f t="shared" si="29"/>
        <v>0.44448388468339084</v>
      </c>
      <c r="EM36" s="209"/>
      <c r="EN36" s="209">
        <f t="shared" ca="1" si="8"/>
        <v>0</v>
      </c>
      <c r="EO36" s="209"/>
      <c r="EP36" s="234"/>
      <c r="EQ36" s="209">
        <f>(IF(EQ$7="X",VLOOKUP(EQ$10,'VK-Hooned-Soojus'!$C:$X,2+$C36,FALSE),0)+IF(EQ$6="X",VLOOKUP(EQ$10,'VK-Transport'!$C:$X,2+$B36,0))+IF(EQ$8="X",VLOOKUP(EQ$10,'VK-Elekter'!$C:$X,2+$D36,0))+IF(EQ$9="X",VLOOKUP(EQ$10,'VK-Biokütused'!$C:$U,2+$E36,0))+IF(EQ$5="X",VLOOKUP(EQ$10,'VK-Põlevkivi'!$C:$X,2+$G36,0))+IF(EQ$4="X",VLOOKUP(EQ$10,'VK-Võrgud'!$C:$X,2+$F36,0)))/1000</f>
        <v>0.21099999999999999</v>
      </c>
      <c r="ER36" s="209">
        <f>(IF(ER$7="X",VLOOKUP(ER$10,'VK-Hooned-Soojus'!$C:$X,2+$C36,FALSE),0)+IF(ER$6="X",VLOOKUP(ER$10,'VK-Transport'!$C:$X,2+$B36,0))+IF(ER$8="X",VLOOKUP(ER$10,'VK-Elekter'!$C:$X,2+$D36,0))+IF(ER$9="X",VLOOKUP(ER$10,'VK-Biokütused'!$C:$U,2+$E36,0))+IF(ER$5="X",VLOOKUP(ER$10,'VK-Põlevkivi'!$C:$X,2+$G36,0))+IF(ER$4="X",VLOOKUP(ER$10,'VK-Võrgud'!$C:$X,2+$F36,0)))</f>
        <v>0.76300000000000001</v>
      </c>
      <c r="ES36" s="209">
        <f>(IF(ES$7="X",VLOOKUP(ES$10,'VK-Hooned-Soojus'!$C:$X,2+$C36,FALSE),0)+IF(ES$6="X",VLOOKUP(ES$10,'VK-Transport'!$C:$X,2+$B36,0))+IF(ES$8="X",VLOOKUP(ES$10,'VK-Elekter'!$C:$X,2+$D36,0))+IF(ES$9="X",VLOOKUP(ES$10,'VK-Biokütused'!$C:$U,2+$E36,0))+IF(ES$5="X",VLOOKUP(ES$10,'VK-Põlevkivi'!$C:$X,2+$G36,0))+IF(ES$4="X",VLOOKUP(ES$10,'VK-Võrgud'!$C:$X,2+$F36,0)))</f>
        <v>10.870000000000001</v>
      </c>
      <c r="ET36" s="209"/>
      <c r="EU36" s="209"/>
      <c r="EV36" s="87">
        <f>'KSH järjestus'!AS29</f>
        <v>1647</v>
      </c>
      <c r="EX36" s="236"/>
      <c r="EY36" s="236"/>
      <c r="EZ36" s="237">
        <f t="shared" si="9"/>
        <v>0.36609829488465395</v>
      </c>
      <c r="FA36" s="209">
        <f>IF(FA$7="X",VLOOKUP(FA$10,'VK-Hooned-Soojus'!$C:$X,2+$C36,FALSE),0)+IF(FA$6="X",VLOOKUP(FA$10,'VK-Transport'!$C:$X,2+$B36,0))+IF(FA$8="X",VLOOKUP(FA$10,'VK-Elekter'!$C:$X,2+$D36,0))+IF(FA$9="X",VLOOKUP(FA$10,'VK-Biokütused'!$C:$U,2+$E36,0))+IF(FA$5="X",VLOOKUP(FA$10,'VK-Põlevkivi'!$C:$X,2+$G36,0))+IF(FA$4="X",VLOOKUP(FA$10,'VK-Võrgud'!$C:$X,2+$F36,0))</f>
        <v>3581.9070000000002</v>
      </c>
      <c r="FB36" s="279">
        <f>(IF(FB$7="X",VLOOKUP(FB$10,'VK-Hooned-Soojus'!$C:$X,2+$C36,FALSE),0)+IF(FB$6="X",VLOOKUP(FB$10,'VK-Transport'!$C:$X,2+$B36,0))+IF(FB$8="X",VLOOKUP(FB$10,'VK-Elekter'!$C:$X,2+$D36,0))+IF(FB$9="X",VLOOKUP(FB$10,'VK-Biokütused'!$C:$U,2+$E36,0))+IF(FB$5="X",VLOOKUP(FB$10,'VK-Põlevkivi'!$C:$X,2+$G36,0))+IF(FB$4="X",VLOOKUP(FB$10,'VK-Võrgud'!$C:$X,2+$F36,0)))/16</f>
        <v>291.81338507773421</v>
      </c>
      <c r="FC36" s="209">
        <f>IF(FC$7="X",VLOOKUP(FC$10,'VK-Hooned-Soojus'!$C:$X,2+$C36,FALSE),0)+IF(FC$6="X",VLOOKUP(FC$10,'VK-Transport'!$C:$X,2+$B36,0))+IF(FC$8="X",VLOOKUP(FC$10,'VK-Elekter'!$C:$X,2+$D36,0))+IF(FC$9="X",VLOOKUP(FC$10,'VK-Biokütused'!$C:$U,2+$E36,0))+IF(FC$5="X",VLOOKUP(FC$10,'VK-Põlevkivi'!$C:$X,2+$G36,0))+IF(FC$4="X",VLOOKUP(FC$10,'VK-Võrgud'!$C:$X,2+$F36,0))</f>
        <v>318.60000000000002</v>
      </c>
      <c r="FD36" s="209">
        <f>(IF(FD$7="X",VLOOKUP(FD$10,'VK-Hooned-Soojus'!$C:$X,2+$C36,FALSE),0)+IF(FD$6="X",VLOOKUP(FD$10,'VK-Transport'!$C:$X,2+$B36,0))+IF(FD$8="X",VLOOKUP(FD$10,'VK-Elekter'!$C:$X,2+$D36,0))+IF(FD$9="X",VLOOKUP(FD$10,'VK-Biokütused'!$C:$U,2+$E36,0))+IF(FD$5="X",VLOOKUP(FD$10,'VK-Põlevkivi'!$C:$X,2+$G36,0))+IF(FD$4="X",VLOOKUP(FD$10,'VK-Võrgud'!$C:$X,2+$F36,0)))/16</f>
        <v>291.81338507773421</v>
      </c>
      <c r="FE36" s="209">
        <f>(IF(FE$7="X",VLOOKUP(FE$10,'VK-Hooned-Soojus'!$C:$X,2+$C36,FALSE),0)+IF(FE$6="X",VLOOKUP(FE$10,'VK-Transport'!$C:$X,2+$B36,0))+IF(FE$8="X",VLOOKUP(FE$10,'VK-Elekter'!$C:$X,2+$D36,0))+IF(FE$9="X",VLOOKUP(FE$10,'VK-Biokütused'!$C:$U,2+$E36,0))+IF(FE$5="X",VLOOKUP(FE$10,'VK-Põlevkivi'!$C:$X,2+$G36,0))+IF(FE$4="X",VLOOKUP(FE$10,'VK-Võrgud'!$C:$X,2+$F36,0)))/16</f>
        <v>-51.993219880632097</v>
      </c>
      <c r="FF36" s="209">
        <f>(IF(FF$7="X",VLOOKUP(FF$10,'VK-Hooned-Soojus'!$C:$X,2+$C36,FALSE),0)+IF(FF$6="X",VLOOKUP(FF$10,'VK-Transport'!$C:$X,2+$B36,0))+IF(FF$8="X",VLOOKUP(FF$10,'VK-Elekter'!$C:$X,2+$D36,0))+IF(FF$9="X",VLOOKUP(FF$10,'VK-Biokütused'!$C:$U,2+$E36,0))+IF(FF$5="X",VLOOKUP(FF$10,'VK-Põlevkivi'!$C:$X,2+$G36,0))+IF(FF$4="X",VLOOKUP(FF$10,'VK-Võrgud'!$C:$X,2+$F36,0)))/16</f>
        <v>99.764880066591758</v>
      </c>
      <c r="FG36" s="88">
        <f t="shared" ca="1" si="30"/>
        <v>47.771660185959661</v>
      </c>
      <c r="FH36" s="88"/>
      <c r="FI36" s="88"/>
      <c r="FJ36" s="88">
        <f>VLOOKUP(Tulemused!$BN$12,data!M$7:N$12,2,FALSE)-SUM(L36,M36)</f>
        <v>-2.6566444444444528</v>
      </c>
      <c r="FK36" s="209" t="str">
        <f>IF(AZ36&lt;=VLOOKUP(Tulemused!$BN$15,data!$E$36:$F$39,2,FALSE),"JAH","EI")</f>
        <v>JAH</v>
      </c>
      <c r="FL36" s="235">
        <f ca="1">IF(ISNA(MATCH($A36,INDIRECT(VLOOKUP(Tulemused!$BF$11,data!$J$57:$M$71,4,FALSE)))),0,MATCH($A36,INDIRECT(VLOOKUP(Tulemused!$BF$11,data!$J$57:$M$71,4,FALSE))))</f>
        <v>0</v>
      </c>
      <c r="FM36" s="235" t="str">
        <f t="shared" ca="1" si="10"/>
        <v>JAH</v>
      </c>
      <c r="FN36" s="209">
        <f>VLOOKUP(Tulemused!$BN$13,data!$C$132:$D$137,2,FALSE)-KOMBI!R36</f>
        <v>2.7118331784169403</v>
      </c>
      <c r="FO36" s="209"/>
      <c r="FP36" s="209">
        <f>VLOOKUP(Tulemused!$BN$17,NO_x,2,FALSE)-CJ36</f>
        <v>10.579278206757181</v>
      </c>
      <c r="FQ36" s="209">
        <f>VLOOKUP(Tulemused!$BN$18,SO_2,2,FALSE)-CK36</f>
        <v>45.222254612848779</v>
      </c>
      <c r="FR36" s="209">
        <f>VLOOKUP(Tulemused!$BN$19,LOU,2,FALSE)-CN36</f>
        <v>34.229000000000006</v>
      </c>
      <c r="FS36" s="209">
        <f>VLOOKUP(Tulemused!$BN$20,PM_2.5,2,FALSE)-CM36</f>
        <v>9.076168642909904</v>
      </c>
      <c r="FT36" s="209">
        <f>VLOOKUP(Tulemused!$BN$13,data!$C$132:$D$137,2,FALSE)-FA36/1000</f>
        <v>2.6640630000000005</v>
      </c>
      <c r="FU36" s="209">
        <f>VLOOKUP(Tulemused!$BN$17,NO_x,2,FALSE)-CO36</f>
        <v>5.3683502267145435</v>
      </c>
      <c r="FV36" s="209">
        <f>VLOOKUP(Tulemused!$BN$18,SO_2,2,FALSE)-CP36</f>
        <v>45.224051415704388</v>
      </c>
      <c r="FW36" s="209">
        <f>VLOOKUP(Tulemused!$BN$19,LOU,2,FALSE)-CS36</f>
        <v>33.113847594878393</v>
      </c>
      <c r="FX36" s="209">
        <f>VLOOKUP(Tulemused!$BN$20,PM_2.5,2,FALSE)-CR36</f>
        <v>9.0262466437251945</v>
      </c>
      <c r="FY36" s="209">
        <f>VLOOKUP(Tulemused!$BN$14,KHG_2050,2,FALSE)-EF36</f>
        <v>96.063363178416935</v>
      </c>
      <c r="FZ36" s="231" t="str">
        <f t="shared" ca="1" si="31"/>
        <v>EI</v>
      </c>
      <c r="GA36" s="209"/>
      <c r="GB36" s="209"/>
      <c r="GC36" s="209"/>
      <c r="GD36" s="231"/>
      <c r="GE36" s="87">
        <f t="shared" si="11"/>
        <v>1647</v>
      </c>
      <c r="GF36" s="232" t="str">
        <f t="shared" ca="1" si="32"/>
        <v/>
      </c>
      <c r="GH36" s="238" t="e">
        <f t="shared" ca="1" si="12"/>
        <v>#NUM!</v>
      </c>
      <c r="GI36" s="87" t="e">
        <f t="array" aca="1" ref="GI36" ca="1">INDEX($A$11:$A$145, SMALL(IF(GH36=$GF$11:$GF$145, MATCH(ROW($GF$11:$GF$145), ROW($GF$11:$GF$145))), SUM(--(GH36=$GH$11:GH36))))</f>
        <v>#NUM!</v>
      </c>
      <c r="GM36" s="209">
        <f>IF(GM$7="X",VLOOKUP(GM$10,'VK-Hooned-Soojus'!$C:$X,2+$C36,FALSE),0)+IF(GM$6="X",VLOOKUP(GM$10,'VK-Transport'!$C:$X,2+$B36,0))+IF(GM$8="X",VLOOKUP(GM$10,'VK-Elekter'!$C:$X,2+$D36,0))+IF(GM$9="X",VLOOKUP(GM$10,'VK-Biokütused'!$C:$U,2+$E36,0))+IF(GM$5="X",VLOOKUP(GM$10,'VK-Põlevkivi'!$C:$X,2+$G36,0))+IF(GM$4="X",VLOOKUP(GM$10,'VK-Võrgud'!$C:$X,2+$F36,0))</f>
        <v>0</v>
      </c>
      <c r="GN36" s="209">
        <f>IF(GN$7="X",VLOOKUP(GN$10,'VK-Hooned-Soojus'!$C:$X,2+$C36,FALSE),0)+IF(GN$6="X",VLOOKUP(GN$10,'VK-Transport'!$C:$X,2+$B36,0))+IF(GN$8="X",VLOOKUP(GN$10,'VK-Elekter'!$C:$X,2+$D36,0))+IF(GN$9="X",VLOOKUP(GN$10,'VK-Biokütused'!$C:$U,2+$E36,0))+IF(GN$5="X",VLOOKUP(GN$10,'VK-Põlevkivi'!$C:$X,2+$G36,0))+IF(GN$4="X",VLOOKUP(GN$10,'VK-Võrgud'!$C:$X,2+$F36,0))</f>
        <v>7.5434676424145266</v>
      </c>
      <c r="GO36" s="209">
        <f>IF(GO$7="X",VLOOKUP(GO$10,'VK-Hooned-Soojus'!$C:$X,2+$C36,FALSE),0)+IF(GO$6="X",VLOOKUP(GO$10,'VK-Transport'!$C:$X,2+$B36,0))+IF(GO$8="X",VLOOKUP(GO$10,'VK-Elekter'!$C:$X,2+$D36,0))+IF(GO$9="X",VLOOKUP(GO$10,'VK-Biokütused'!$C:$U,2+$E36,0))+IF(GO$5="X",VLOOKUP(GO$10,'VK-Põlevkivi'!$C:$X,2+$G36,0))+IF(GO$4="X",VLOOKUP(GO$10,'VK-Võrgud'!$C:$X,2+$F36,0))</f>
        <v>7.936370010272257</v>
      </c>
      <c r="GP36" s="209">
        <f>IF(GP$7="X",VLOOKUP(GP$10,'VK-Hooned-Soojus'!$C:$X,2+$C36,FALSE),0)+IF(GP$6="X",VLOOKUP(GP$10,'VK-Transport'!$C:$X,2+$B36,0))+IF(GP$8="X",VLOOKUP(GP$10,'VK-Elekter'!$C:$X,2+$D36,0))+IF(GP$9="X",VLOOKUP(GP$10,'VK-Biokütused'!$C:$U,2+$E36,0))+IF(GP$5="X",VLOOKUP(GP$10,'VK-Põlevkivi'!$C:$X,2+$G36,0))+IF(GP$4="X",VLOOKUP(GP$10,'VK-Võrgud'!$C:$X,2+$F36,0))</f>
        <v>9.1527946929596489</v>
      </c>
      <c r="GQ36" s="88">
        <f>IF(GQ$7="X",VLOOKUP(GQ$10,'VK-Hooned-Soojus'!$C:$X,2+$C36,FALSE),0)+IF(GQ$6="X",VLOOKUP(GQ$10,'VK-Transport'!$C:$X,2+$B36,0))+IF(GQ$8="X",VLOOKUP(GQ$10,'VK-Elekter'!$C:$X,2+$D36,0))+IF(GQ$9="X",VLOOKUP(GQ$10,'VK-Biokütused'!$C:$U,2+$E36,0))+IF(GQ$5="X",VLOOKUP(GQ$10,'VK-Põlevkivi'!$C:$X,2+$G36,0))+IF(GQ$4="X",VLOOKUP(GQ$10,'VK-Võrgud'!$C:$X,2+$F36,0))</f>
        <v>0.9682855968523334</v>
      </c>
      <c r="GR36" s="186">
        <f t="shared" si="33"/>
        <v>0.4977408975752996</v>
      </c>
    </row>
    <row r="37" spans="1:200" x14ac:dyDescent="0.2">
      <c r="A37" s="184">
        <v>27</v>
      </c>
      <c r="B37" s="87">
        <v>1</v>
      </c>
      <c r="C37" s="87">
        <v>2</v>
      </c>
      <c r="D37" s="87">
        <v>4</v>
      </c>
      <c r="E37" s="87">
        <v>3</v>
      </c>
      <c r="F37" s="87">
        <f>VLOOKUP(Tulemused!$BF$7,data!$J$6:$K$8,2,FALSE)</f>
        <v>2</v>
      </c>
      <c r="G37" s="87">
        <f>VLOOKUP(data!$H$2,data!$J$12:$K$14,2,FALSE)</f>
        <v>2</v>
      </c>
      <c r="I37" s="209">
        <f>IF(I$7="X",VLOOKUP(I$10,'VK-Hooned-Soojus'!$C:$X,2+$C37,FALSE),0)+IF(I$6="X",VLOOKUP(I$10,'VK-Transport'!$C:$X,2+$B37,0))+IF(I$8="X",VLOOKUP(I$10,'VK-Elekter'!$C:$X,2+$D37,0))+IF(I$9="X",VLOOKUP(I$10,'VK-Biokütused'!$C:$U,2+$E37,0))+IF(I$5="X",VLOOKUP(I$10,'VK-Põlevkivi'!$C:$X,2+$G37,0))+IF(I$4="X",VLOOKUP(I$10,'VK-Võrgud'!$C:$X,2+$F37,0))</f>
        <v>24.79</v>
      </c>
      <c r="J37" s="209">
        <f>IF(J$7="X",VLOOKUP(J$10,'VK-Hooned-Soojus'!$C:$X,2+$C37,FALSE),0)+IF(J$6="X",VLOOKUP(J$10,'VK-Transport'!$C:$X,2+$B37,0))+IF(J$8="X",VLOOKUP(J$10,'VK-Elekter'!$C:$X,2+$D37,0))+IF(J$9="X",VLOOKUP(J$10,'VK-Biokütused'!$C:$U,2+$E37,0))+IF(J$5="X",VLOOKUP(J$10,'VK-Põlevkivi'!$C:$X,2+$G37,0))+IF(J$4="X",VLOOKUP(J$10,'VK-Võrgud'!$C:$X,2+$F37,0))</f>
        <v>13.295833333333334</v>
      </c>
      <c r="K37" s="209">
        <f>IF(K$7="X",VLOOKUP(K$10,'VK-Hooned-Soojus'!$C:$X,2+$C37,FALSE),0)+IF(K$6="X",VLOOKUP(K$10,'VK-Transport'!$C:$X,2+$B37,0))+IF(K$8="X",VLOOKUP(K$10,'VK-Elekter'!$C:$X,2+$D37,0))+IF(K$9="X",VLOOKUP(K$10,'VK-Biokütused'!$C:$U,2+$E37,0))+IF(K$5="X",VLOOKUP(K$10,'VK-Põlevkivi'!$C:$X,2+$G37,0))+IF(K$4="X",VLOOKUP(K$10,'VK-Võrgud'!$C:$X,2+$F37,0))</f>
        <v>15.27</v>
      </c>
      <c r="L37" s="209">
        <f>IF(L$7="X",VLOOKUP(L$10,'VK-Hooned-Soojus'!$C:$X,2+$C37,FALSE),0)+IF(L$6="X",VLOOKUP(L$10,'VK-Transport'!$C:$X,2+$B37,0))+IF(L$8="X",VLOOKUP(L$10,'VK-Elekter'!$C:$X,2+$D37,0))+IF(L$9="X",VLOOKUP(L$10,'VK-Biokütused'!$C:$U,2+$E37,0))+IF(L$5="X",VLOOKUP(L$10,'VK-Põlevkivi'!$C:$X,2+$G37,0))+IF(L$4="X",VLOOKUP(L$10,'VK-Võrgud'!$C:$X,2+$F37,0))</f>
        <v>24.2</v>
      </c>
      <c r="M37" s="209">
        <f>IF(M$7="X",VLOOKUP(M$10,'VK-Hooned-Soojus'!$C:$X,2+$C37,FALSE),0)+IF(M$6="X",VLOOKUP(M$10,'VK-Transport'!$C:$X,2+$B37,0))+IF(M$8="X",VLOOKUP(M$10,'VK-Elekter'!$C:$X,2+$D37,0))+IF(M$9="X",VLOOKUP(M$10,'VK-Biokütused'!$C:$U,2+$E37,0))+IF(M$5="X",VLOOKUP(M$10,'VK-Põlevkivi'!$C:$X,2+$G37,0))+IF(M$4="X",VLOOKUP(M$10,'VK-Võrgud'!$C:$X,2+$F37,0))</f>
        <v>11.289444444444445</v>
      </c>
      <c r="N37" s="209">
        <f>IF(N$7="X",VLOOKUP(N$10,'VK-Hooned-Soojus'!$C:$X,2+$C37,FALSE),0)+IF(N$6="X",VLOOKUP(N$10,'VK-Transport'!$C:$X,2+$B37,0))+IF(N$8="X",VLOOKUP(N$10,'VK-Elekter'!$C:$X,2+$D37,0))+IF(N$9="X",VLOOKUP(N$10,'VK-Biokütused'!$C:$U,2+$E37,0))+IF(N$5="X",VLOOKUP(N$10,'VK-Põlevkivi'!$C:$X,2+$G37,0))+IF(N$4="X",VLOOKUP(N$10,'VK-Võrgud'!$C:$X,2+$F37,0))</f>
        <v>16.09</v>
      </c>
      <c r="O37" s="209">
        <f t="shared" si="13"/>
        <v>38.085833333333333</v>
      </c>
      <c r="P37" s="209"/>
      <c r="Q37" s="209">
        <f>(IF(Q$7="X",VLOOKUP(Q$10,'VK-Hooned-Soojus'!$C:$X,2+$C37,FALSE),0)+IF(Q$6="X",VLOOKUP(Q$10,'VK-Transport'!$C:$X,2+$B37,0))+IF(Q$8="X",VLOOKUP(Q$10,'VK-Elekter'!$C:$X,2+$D37,0))+IF(Q$9="X",VLOOKUP(Q$10,'VK-Biokütused'!$C:$U,2+$E37,0))+IF(Q$5="X",VLOOKUP(Q$10,'VK-Põlevkivi'!$C:$X,2+$G37,0))+IF(Q$4="X",VLOOKUP(Q$10,'VK-Võrgud'!$C:$X,2+$F37,0)))/1000</f>
        <v>1.337</v>
      </c>
      <c r="R37" s="209">
        <f>(IF(R$7="X",VLOOKUP(R$10,'VK-Hooned-Soojus'!$C:$X,2+$C37,FALSE),0)+IF(R$6="X",VLOOKUP(R$10,'VK-Transport'!$C:$X,2+$B37,0))+IF(R$8="X",VLOOKUP(R$10,'VK-Elekter'!$C:$X,2+$D37,0))+IF(R$9="X",VLOOKUP(R$10,'VK-Biokütused'!$C:$U,2+$E37,0))+IF(R$5="X",VLOOKUP(R$10,'VK-Põlevkivi'!$C:$X,2+$G37,0))+IF(R$4="X",VLOOKUP(R$10,'VK-Võrgud'!$C:$X,2+$F37,0)))/1000</f>
        <v>3.7428368215830607</v>
      </c>
      <c r="S37" s="226">
        <f>VLOOKUP(S$10,'VK-Hooned-Soojus'!$C:$I,2+$C37,FALSE) + VLOOKUP(S$10,'VK-Transport'!$C:$I,2+$B37,FALSE)+ VLOOKUP(S$10,'VK-Biokütused'!$C:$G,2+$E37,FALSE)+ VLOOKUP(S$10,'VK-Elekter'!$C:$I,2+$D37,FALSE)+ VLOOKUP(S$10,'VK-Põlevkivi'!$C:$I,2+$G37,FALSE)+ VLOOKUP(S$10,'VK-Võrgud'!$C:$I,2+$F37,FALSE)</f>
        <v>1.64072633006721E-2</v>
      </c>
      <c r="T37" s="226">
        <f>VLOOKUP(T$10,'VK-Hooned-Soojus'!$C:$I,2+$C37,FALSE) + VLOOKUP(T$10,'VK-Transport'!$C:$I,2+$B37,FALSE)+ VLOOKUP(T$10,'VK-Biokütused'!$C:$G,2+$E37,FALSE)+ VLOOKUP(T$10,'VK-Elekter'!$C:$I,2+$D37,FALSE)+ VLOOKUP(T$10,'VK-Põlevkivi'!$C:$I,2+$G37,FALSE)+ VLOOKUP(T$10,'VK-Võrgud'!$C:$I,2+$F37,FALSE)</f>
        <v>-6.680571143659433E-3</v>
      </c>
      <c r="U37" s="226">
        <f>VLOOKUP(U$10,'VK-Hooned-Soojus'!$C:$I,2+$C37,FALSE) + VLOOKUP(U$10,'VK-Transport'!$C:$I,2+$B37,FALSE)+ VLOOKUP(U$10,'VK-Biokütused'!$C:$G,2+$E37,FALSE)+ VLOOKUP(U$10,'VK-Elekter'!$C:$I,2+$D37,FALSE)+ VLOOKUP(U$10,'VK-Põlevkivi'!$C:$I,2+$G37,FALSE)+ VLOOKUP(U$10,'VK-Võrgud'!$C:$I,2+$F37,FALSE)</f>
        <v>2.8558453716163446E-3</v>
      </c>
      <c r="V37" s="226">
        <f>VLOOKUP(V$10,'VK-Hooned-Soojus'!$C:$I,2+$C37,FALSE) + VLOOKUP(V$10,'VK-Transport'!$C:$I,2+$B37,FALSE)+ VLOOKUP(V$10,'VK-Biokütused'!$C:$G,2+$E37,FALSE)+ VLOOKUP(V$10,'VK-Elekter'!$C:$I,2+$D37,FALSE)+ VLOOKUP(V$10,'VK-Põlevkivi'!$C:$I,2+$G37,FALSE)+ VLOOKUP(V$10,'VK-Võrgud'!$C:$I,2+$F37,FALSE)</f>
        <v>1.367741565022231E-2</v>
      </c>
      <c r="W37" s="226">
        <f>VLOOKUP(W$10,'VK-Hooned-Soojus'!$C:$I,2+$C37,FALSE) + VLOOKUP(W$10,'VK-Transport'!$C:$I,2+$B37,FALSE)+ VLOOKUP(W$10,'VK-Biokütused'!$C:$G,2+$E37,FALSE)+ VLOOKUP(W$10,'VK-Elekter'!$C:$I,2+$D37,FALSE)+ VLOOKUP(W$10,'VK-Põlevkivi'!$C:$I,2+$G37,FALSE)+ VLOOKUP(W$10,'VK-Võrgud'!$C:$I,2+$F37,FALSE)</f>
        <v>-2.5037286055030573E-2</v>
      </c>
      <c r="X37" s="226">
        <f>VLOOKUP(X$10,'VK-Hooned-Soojus'!$C:$I,2+$C37,FALSE) + VLOOKUP(X$10,'VK-Transport'!$C:$I,2+$B37,FALSE)+ VLOOKUP(X$10,'VK-Biokütused'!$C:$G,2+$E37,FALSE)+ VLOOKUP(X$10,'VK-Elekter'!$C:$I,2+$D37,FALSE)+ VLOOKUP(X$10,'VK-Põlevkivi'!$C:$I,2+$G37,FALSE)+ VLOOKUP(X$10,'VK-Võrgud'!$C:$I,2+$F37,FALSE)</f>
        <v>-0.14857207195872249</v>
      </c>
      <c r="Y37" s="226">
        <f>VLOOKUP(Y$10,'VK-Hooned-Soojus'!$C:$I,2+$C37,FALSE) + VLOOKUP(Y$10,'VK-Transport'!$C:$I,2+$B37,FALSE)+ VLOOKUP(Y$10,'VK-Biokütused'!$C:$G,2+$E37,FALSE)+ VLOOKUP(Y$10,'VK-Elekter'!$C:$I,2+$D37,FALSE)+ VLOOKUP(Y$10,'VK-Põlevkivi'!$C:$I,2+$G37,FALSE)+ VLOOKUP(Y$10,'VK-Võrgud'!$C:$I,2+$F37,FALSE)</f>
        <v>-6.5942035405722466E-2</v>
      </c>
      <c r="Z37" s="227">
        <f>(S37*Tulemused!$Q$9*10+T37*Tulemused!$Q$10*10+KOMBI!U37*Tulemused!$Q$11*10+KOMBI!V37*Tulemused!$Q$12*10)*Tulemused!$Q$8+-(W37*Tulemused!$Q$14*10+KOMBI!X37*Tulemused!$Q$15*10+KOMBI!Y37*Tulemused!$Q$16*10)*Tulemused!$Q$13</f>
        <v>7.3589516384839833</v>
      </c>
      <c r="AA37" s="228">
        <f>(IF(AA$7="X",VLOOKUP(AA$10,'VK-Hooned-Soojus'!$C:$X,2+$C37,FALSE),0)+IF(AA$6="X",VLOOKUP(AA$10,'VK-Transport'!$C:$X,2+$B37,0))+IF(AA$8="X",VLOOKUP(AA$10,'VK-Elekter'!$C:$X,2+$D37,0))+IF(AA$9="X",VLOOKUP(AA$10,'VK-Biokütused'!$C:$U,2+$E37,0))+IF(AA$5="X",VLOOKUP(AA$10,'VK-Põlevkivi'!$C:$X,2+$G37,0))+IF(AA$4="X",VLOOKUP(AA$10,'VK-Võrgud'!$C:$X,2+$F37,0)))</f>
        <v>0</v>
      </c>
      <c r="AB37" s="228">
        <f>(IF(AB$7="X",VLOOKUP(AB$10,'VK-Hooned-Soojus'!$C:$X,2+$C37,FALSE),0)+IF(AB$6="X",VLOOKUP(AB$10,'VK-Transport'!$C:$X,2+$B37,0))+IF(AB$8="X",VLOOKUP(AB$10,'VK-Elekter'!$C:$X,2+$D37,0))+IF(AB$9="X",VLOOKUP(AB$10,'VK-Biokütused'!$C:$U,2+$E37,0))+IF(AB$5="X",VLOOKUP(AB$10,'VK-Põlevkivi'!$C:$X,2+$G37,0))+IF(AB$4="X",VLOOKUP(AB$10,'VK-Võrgud'!$C:$X,2+$F37,0)))</f>
        <v>1337</v>
      </c>
      <c r="AC37" s="228">
        <f>(IF(AC$7="X",VLOOKUP(AC$10,'VK-Hooned-Soojus'!$C:$X,2+$C37,FALSE),0)+IF(AC$6="X",VLOOKUP(AC$10,'VK-Transport'!$C:$X,2+$B37,0))+IF(AC$8="X",VLOOKUP(AC$10,'VK-Elekter'!$C:$X,2+$D37,0))+IF(AC$9="X",VLOOKUP(AC$10,'VK-Biokütused'!$C:$U,2+$E37,0))+IF(AC$5="X",VLOOKUP(AC$10,'VK-Põlevkivi'!$C:$X,2+$G37,0))+IF(AC$4="X",VLOOKUP(AC$10,'VK-Võrgud'!$C:$X,2+$F37,0)))</f>
        <v>2346</v>
      </c>
      <c r="AD37" s="228">
        <f>(IF(AD$7="X",VLOOKUP(AD$10,'VK-Hooned-Soojus'!$C:$X,2+$C37,FALSE),0)+IF(AD$6="X",VLOOKUP(AD$10,'VK-Transport'!$C:$X,2+$B37,0))+IF(AD$8="X",VLOOKUP(AD$10,'VK-Elekter'!$C:$X,2+$D37,0))+IF(AD$9="X",VLOOKUP(AD$10,'VK-Biokütused'!$C:$U,2+$E37,0))+IF(AD$5="X",VLOOKUP(AD$10,'VK-Põlevkivi'!$C:$X,2+$G37,0))+IF(AD$4="X",VLOOKUP(AD$10,'VK-Võrgud'!$C:$X,2+$F37,0)))</f>
        <v>586.20000000000005</v>
      </c>
      <c r="AE37" s="228">
        <f>(IF(AE$7="X",VLOOKUP(AE$10,'VK-Hooned-Soojus'!$C:$X,2+$C37,FALSE),0)+IF(AE$6="X",VLOOKUP(AE$10,'VK-Transport'!$C:$X,2+$B37,0))+IF(AE$8="X",VLOOKUP(AE$10,'VK-Elekter'!$C:$X,2+$D37,0))+IF(AE$9="X",VLOOKUP(AE$10,'VK-Biokütused'!$C:$U,2+$E37,0))+IF(AE$5="X",VLOOKUP(AE$10,'VK-Põlevkivi'!$C:$X,2+$G37,0))+IF(AE$4="X",VLOOKUP(AE$10,'VK-Võrgud'!$C:$X,2+$F37,0)))</f>
        <v>666</v>
      </c>
      <c r="AF37" s="228">
        <f>(IF(AF$7="X",VLOOKUP(AF$10,'VK-Hooned-Soojus'!$C:$X,2+$C37,FALSE),0)+IF(AF$6="X",VLOOKUP(AF$10,'VK-Transport'!$C:$X,2+$B37,0))+IF(AF$8="X",VLOOKUP(AF$10,'VK-Elekter'!$C:$X,2+$D37,0))+IF(AF$9="X",VLOOKUP(AF$10,'VK-Biokütused'!$C:$U,2+$E37,0))+IF(AF$5="X",VLOOKUP(AF$10,'VK-Põlevkivi'!$C:$X,2+$G37,0))+IF(AF$4="X",VLOOKUP(AF$10,'VK-Võrgud'!$C:$X,2+$F37,0)))</f>
        <v>2490.6368215830603</v>
      </c>
      <c r="AG37" s="209"/>
      <c r="AH37" s="209">
        <f>IF(AH$7="X",VLOOKUP(AH$10,'VK-Hooned-Soojus'!$C:$X,2+$C37,FALSE),0)+IF(AH$6="X",VLOOKUP(AH$10,'VK-Transport'!$C:$X,2+$B37,0))+IF(AH$8="X",VLOOKUP(AH$10,'VK-Elekter'!$C:$X,2+$D37,0))+IF(AH$9="X",VLOOKUP(AH$10,'VK-Biokütused'!$C:$U,2+$E37,0))+IF(AH$5="X",VLOOKUP(AH$10,'VK-Põlevkivi'!$C:$X,2+$G37,0))+IF(AH$4="X",VLOOKUP(AH$10,'VK-Võrgud'!$C:$X,2+$F37,0))</f>
        <v>0</v>
      </c>
      <c r="AI37" s="209">
        <f>IF(AI$7="X",VLOOKUP(AI$10,'VK-Hooned-Soojus'!$C:$X,2+$C37,FALSE),0)+IF(AI$6="X",VLOOKUP(AI$10,'VK-Transport'!$C:$X,2+$B37,0))+IF(AI$8="X",VLOOKUP(AI$10,'VK-Elekter'!$C:$X,2+$D37,0))+IF(AI$9="X",VLOOKUP(AI$10,'VK-Biokütused'!$C:$U,2+$E37,0))+IF(AI$5="X",VLOOKUP(AI$10,'VK-Põlevkivi'!$C:$X,2+$G37,0))+IF(AI$4="X",VLOOKUP(AI$10,'VK-Võrgud'!$C:$X,2+$F37,0))</f>
        <v>11.489999999999998</v>
      </c>
      <c r="AJ37" s="209">
        <f>IF(AJ$7="X",VLOOKUP(AJ$10,'VK-Hooned-Soojus'!$C:$X,2+$C37,FALSE),0)+IF(AJ$6="X",VLOOKUP(AJ$10,'VK-Transport'!$C:$X,2+$B37,0))+IF(AJ$8="X",VLOOKUP(AJ$10,'VK-Elekter'!$C:$X,2+$D37,0))+IF(AJ$9="X",VLOOKUP(AJ$10,'VK-Biokütused'!$C:$U,2+$E37,0))+IF(AJ$5="X",VLOOKUP(AJ$10,'VK-Põlevkivi'!$C:$X,2+$G37,0))+IF(AJ$4="X",VLOOKUP(AJ$10,'VK-Võrgud'!$C:$X,2+$F37,0))</f>
        <v>0</v>
      </c>
      <c r="AK37" s="209">
        <f>IF(AK$7="X",VLOOKUP(AK$10,'VK-Hooned-Soojus'!$C:$X,2+$C37,FALSE),0)+IF(AK$6="X",VLOOKUP(AK$10,'VK-Transport'!$C:$X,2+$B37,0))+IF(AK$8="X",VLOOKUP(AK$10,'VK-Elekter'!$C:$X,2+$D37,0))+IF(AK$9="X",VLOOKUP(AK$10,'VK-Biokütused'!$C:$U,2+$E37,0))+IF(AK$5="X",VLOOKUP(AK$10,'VK-Põlevkivi'!$C:$X,2+$G37,0))+IF(AK$4="X",VLOOKUP(AK$10,'VK-Võrgud'!$C:$X,2+$F37,0))</f>
        <v>3.65</v>
      </c>
      <c r="AL37" s="209">
        <f>IF(AL$7="X",VLOOKUP(AL$10,'VK-Hooned-Soojus'!$C:$X,2+$C37,FALSE),0)+IF(AL$6="X",VLOOKUP(AL$10,'VK-Transport'!$C:$X,2+$B37,0))+IF(AL$8="X",VLOOKUP(AL$10,'VK-Elekter'!$C:$X,2+$D37,0))+IF(AL$9="X",VLOOKUP(AL$10,'VK-Biokütused'!$C:$U,2+$E37,0))+IF(AL$5="X",VLOOKUP(AL$10,'VK-Põlevkivi'!$C:$X,2+$G37,0))+IF(AL$4="X",VLOOKUP(AL$10,'VK-Võrgud'!$C:$X,2+$F37,0))</f>
        <v>7.1999999999999993</v>
      </c>
      <c r="AM37" s="209">
        <f>IF(AM$7="X",VLOOKUP(AM$10,'VK-Hooned-Soojus'!$C:$X,2+$C37,FALSE),0)+IF(AM$6="X",VLOOKUP(AM$10,'VK-Transport'!$C:$X,2+$B37,0))+IF(AM$8="X",VLOOKUP(AM$10,'VK-Elekter'!$C:$X,2+$D37,0))+IF(AM$9="X",VLOOKUP(AM$10,'VK-Biokütused'!$C:$U,2+$E37,0))+IF(AM$5="X",VLOOKUP(AM$10,'VK-Põlevkivi'!$C:$X,2+$G37,0))+IF(AM$4="X",VLOOKUP(AM$10,'VK-Võrgud'!$C:$X,2+$F37,0))</f>
        <v>11.9</v>
      </c>
      <c r="AN37" s="209">
        <f>IF(AN$7="X",VLOOKUP(AN$10,'VK-Hooned-Soojus'!$C:$X,2+$C37,FALSE),0)+IF(AN$6="X",VLOOKUP(AN$10,'VK-Transport'!$C:$X,2+$B37,0))+IF(AN$8="X",VLOOKUP(AN$10,'VK-Elekter'!$C:$X,2+$D37,0))+IF(AN$9="X",VLOOKUP(AN$10,'VK-Biokütused'!$C:$U,2+$E37,0))+IF(AN$5="X",VLOOKUP(AN$10,'VK-Põlevkivi'!$C:$X,2+$G37,0))+IF(AN$4="X",VLOOKUP(AN$10,'VK-Võrgud'!$C:$X,2+$F37,0))</f>
        <v>4.8999999999999995</v>
      </c>
      <c r="AO37" s="209">
        <f>IF(AO$7="X",VLOOKUP(AO$10,'VK-Hooned-Soojus'!$C:$X,2+$C37,FALSE),0)+IF(AO$6="X",VLOOKUP(AO$10,'VK-Transport'!$C:$X,2+$B37,0))+IF(AO$8="X",VLOOKUP(AO$10,'VK-Elekter'!$C:$X,2+$D37,0))+IF(AO$9="X",VLOOKUP(AO$10,'VK-Biokütused'!$C:$U,2+$E37,0))+IF(AO$5="X",VLOOKUP(AO$10,'VK-Põlevkivi'!$C:$X,2+$G37,0))+IF(AO$4="X",VLOOKUP(AO$10,'VK-Võrgud'!$C:$X,2+$F37,0))</f>
        <v>21.740000000000002</v>
      </c>
      <c r="AP37" s="209">
        <f>IF(AP$7="X",VLOOKUP(AP$10,'VK-Hooned-Soojus'!$C:$X,2+$C37,FALSE),0)+IF(AP$6="X",VLOOKUP(AP$10,'VK-Transport'!$C:$X,2+$B37,0))+IF(AP$8="X",VLOOKUP(AP$10,'VK-Elekter'!$C:$X,2+$D37,0))+IF(AP$9="X",VLOOKUP(AP$10,'VK-Biokütused'!$C:$U,2+$E37,0))+IF(AP$5="X",VLOOKUP(AP$10,'VK-Põlevkivi'!$C:$X,2+$G37,0))+IF(AP$4="X",VLOOKUP(AP$10,'VK-Võrgud'!$C:$X,2+$F37,0))</f>
        <v>10.870000000000001</v>
      </c>
      <c r="AQ37" s="320">
        <f t="shared" si="14"/>
        <v>9.4400000000000013</v>
      </c>
      <c r="AR37" s="209">
        <f>IF(AR$7="X",VLOOKUP(AR$10,'VK-Hooned-Soojus'!$C:$X,2+$C37,FALSE),0)+IF(AR$6="X",VLOOKUP(AR$10,'VK-Transport'!$C:$X,2+$B37,0))+IF(AR$8="X",VLOOKUP(AR$10,'VK-Elekter'!$C:$X,2+$D37,0))+IF(AR$9="X",VLOOKUP(AR$10,'VK-Biokütused'!$C:$U,2+$E37,0))+IF(AR$5="X",VLOOKUP(AR$10,'VK-Põlevkivi'!$C:$X,2+$G37,0))+IF(AR$4="X",VLOOKUP(AR$10,'VK-Võrgud'!$C:$X,2+$F37,0))</f>
        <v>0.5</v>
      </c>
      <c r="AS37" s="320">
        <f>VLOOKUP("Kütuste tarbimine @ 2030 - UTTEGAAS",'VK-Hooned-Soojus'!$C:$X,2+$C37,FALSE)/0.172+VLOOKUP("Kütuste tarbimine @ 2030 - UTTEGAAS",'VK-Elekter'!$C:$X,2+$D37,FALSE)/0.172-AR37-AU37</f>
        <v>-0.5</v>
      </c>
      <c r="AT37" s="209">
        <f>IF(AT$7="X",VLOOKUP(AT$10,'VK-Hooned-Soojus'!$C:$X,2+$C37,FALSE),0)+IF(AT$6="X",VLOOKUP(AT$10,'VK-Transport'!$C:$X,2+$B37,0))+IF(AT$8="X",VLOOKUP(AT$10,'VK-Elekter'!$C:$X,2+$D37,0))+IF(AT$9="X",VLOOKUP(AT$10,'VK-Biokütused'!$C:$U,2+$E37,0))+IF(AT$5="X",VLOOKUP(AT$10,'VK-Põlevkivi'!$C:$X,2+$G37,0))+IF(AT$4="X",VLOOKUP(AT$10,'VK-Võrgud'!$C:$X,2+$F37,0))</f>
        <v>12.004929222526066</v>
      </c>
      <c r="AU37" s="229">
        <f>MAX(0,(VLOOKUP("Kütuste tarbimine @ 2030 - UTTEGAAS",'VK-Hooned-Soojus'!$C:$X,2+$C37,FALSE)/0.172+VLOOKUP("Kütuste tarbimine @ 2030 - UTTEGAAS",'VK-Elekter'!$C:$X,2+$D37,FALSE)/0.172)*0.52-VLOOKUP("Kütuste tarbimine @ 2030 - PÕLEVKIVIÕLI",'VK-Hooned-Soojus'!$C:$X,2+$C37,FALSE))</f>
        <v>0</v>
      </c>
      <c r="AV37" s="209">
        <f>IF(AV$7="X",VLOOKUP(AV$10,'VK-Hooned-Soojus'!$C:$X,2+$C37,FALSE),0)+IF(AV$6="X",VLOOKUP(AV$10,'VK-Transport'!$C:$X,2+$B37,0))+IF(AV$8="X",VLOOKUP(AV$10,'VK-Elekter'!$C:$X,2+$D37,0))+IF(AV$9="X",VLOOKUP(AV$10,'VK-Biokütused'!$C:$U,2+$E37,0))+IF(AV$5="X",VLOOKUP(AV$10,'VK-Põlevkivi'!$C:$X,2+$G37,0))+IF(AV$4="X",VLOOKUP(AV$10,'VK-Võrgud'!$C:$X,2+$F37,0))</f>
        <v>1.1831224847375093</v>
      </c>
      <c r="AW37" s="209">
        <f>IF(AW$7="X",VLOOKUP(AW$10,'VK-Hooned-Soojus'!$C:$X,2+$C37,FALSE),0)+IF(AW$6="X",VLOOKUP(AW$10,'VK-Transport'!$C:$X,2+$B37,0))+IF(AW$8="X",VLOOKUP(AW$10,'VK-Elekter'!$C:$X,2+$D37,0))+IF(AW$9="X",VLOOKUP(AW$10,'VK-Biokütused'!$C:$U,2+$E37,0))+IF(AW$5="X",VLOOKUP(AW$10,'VK-Põlevkivi'!$C:$X,2+$G37,0))+IF(AW$4="X",VLOOKUP(AW$10,'VK-Võrgud'!$C:$X,2+$F37,0))</f>
        <v>4.2799999999999994</v>
      </c>
      <c r="AX37" s="229">
        <f t="shared" si="34"/>
        <v>3.0968775152624901</v>
      </c>
      <c r="AY37" s="229">
        <f t="shared" si="15"/>
        <v>0</v>
      </c>
      <c r="AZ37" s="230">
        <f t="shared" si="0"/>
        <v>0.65882297973223991</v>
      </c>
      <c r="BA37" s="209">
        <f>IF(BA$7="X",VLOOKUP(BA$10,'VK-Hooned-Soojus'!$C:$X,2+$C37,FALSE),0)+IF(BA$6="X",VLOOKUP(BA$10,'VK-Transport'!$C:$X,2+$B37,0))+IF(BA$8="X",VLOOKUP(BA$10,'VK-Elekter'!$C:$X,2+$D37,0))+IF(BA$9="X",VLOOKUP(BA$10,'VK-Biokütused'!$C:$U,2+$E37,0))+IF(BA$5="X",VLOOKUP(BA$10,'VK-Põlevkivi'!$C:$X,2+$G37,0))+IF(BA$4="X",VLOOKUP(BA$10,'VK-Võrgud'!$C:$X,2+$F37,0))</f>
        <v>0</v>
      </c>
      <c r="BB37" s="209">
        <f>IF(BB$7="X",VLOOKUP(BB$10,'VK-Hooned-Soojus'!$C:$X,2+$C37,FALSE),0)+IF(BB$6="X",VLOOKUP(BB$10,'VK-Transport'!$C:$X,2+$B37,0))+IF(BB$8="X",VLOOKUP(BB$10,'VK-Elekter'!$C:$X,2+$D37,0))+IF(BB$9="X",VLOOKUP(BB$10,'VK-Biokütused'!$C:$U,2+$E37,0))+IF(BB$5="X",VLOOKUP(BB$10,'VK-Põlevkivi'!$C:$X,2+$G37,0))+IF(BB$4="X",VLOOKUP(BB$10,'VK-Võrgud'!$C:$X,2+$F37,0))</f>
        <v>6.32</v>
      </c>
      <c r="BC37" s="209">
        <f>IF(BC$7="X",VLOOKUP(BC$10,'VK-Hooned-Soojus'!$C:$X,2+$C37,FALSE),0)+IF(BC$6="X",VLOOKUP(BC$10,'VK-Transport'!$C:$X,2+$B37,0))+IF(BC$8="X",VLOOKUP(BC$10,'VK-Elekter'!$C:$X,2+$D37,0))+IF(BC$9="X",VLOOKUP(BC$10,'VK-Biokütused'!$C:$U,2+$E37,0))+IF(BC$5="X",VLOOKUP(BC$10,'VK-Põlevkivi'!$C:$X,2+$G37,0))+IF(BC$4="X",VLOOKUP(BC$10,'VK-Võrgud'!$C:$X,2+$F37,0))</f>
        <v>6.5993333333333322</v>
      </c>
      <c r="BD37" s="209">
        <f>IF(BD$7="X",VLOOKUP(BD$10,'VK-Hooned-Soojus'!$C:$X,2+$C37,FALSE),0)+IF(BD$6="X",VLOOKUP(BD$10,'VK-Transport'!$C:$X,2+$B37,0))+IF(BD$8="X",VLOOKUP(BD$10,'VK-Elekter'!$C:$X,2+$D37,0))+IF(BD$9="X",VLOOKUP(BD$10,'VK-Biokütused'!$C:$U,2+$E37,0))+IF(BD$5="X",VLOOKUP(BD$10,'VK-Põlevkivi'!$C:$X,2+$G37,0))+IF(BD$4="X",VLOOKUP(BD$10,'VK-Võrgud'!$C:$X,2+$F37,0))</f>
        <v>9.425416666666667</v>
      </c>
      <c r="BE37" s="230"/>
      <c r="BF37" s="229">
        <f t="shared" si="16"/>
        <v>0.53973582189892089</v>
      </c>
      <c r="BG37" s="209" t="e">
        <f>(IF(BG$7="X",VLOOKUP(BG$10,'VK-Hooned-Soojus'!$C:$X,2+$C37,FALSE),0)+IF(BG$6="X",VLOOKUP(BG$10,'VK-Transport'!$C:$X,2+$B37,0))+IF(BG$8="X",VLOOKUP(BG$10,'VK-Elekter'!$C:$X,2+$D37,0))+IF(BG$9="X",VLOOKUP(BG$10,'VK-Biokütused'!$C:$U,2+$E37,0))+IF(BG$5="X",VLOOKUP(BG$10,'VK-Põlevkivi'!$C:$X,2+$G37,0))+IF(BG$4="X",VLOOKUP(BG$10,'VK-Võrgud'!$C:$X,2+$F37,0)))/20</f>
        <v>#N/A</v>
      </c>
      <c r="BH37" s="209">
        <f>(IF(BH$7="X",VLOOKUP(BH$10,'VK-Hooned-Soojus'!$C:$X,2+$C37,FALSE),0)+IF(BH$6="X",VLOOKUP(BH$10,'VK-Transport'!$C:$X,2+$B37,0))+IF(BH$8="X",VLOOKUP(BH$10,'VK-Elekter'!$C:$X,2+$D37,0))+IF(BH$9="X",VLOOKUP(BH$10,'VK-Biokütused'!$C:$U,2+$E37,0))+IF(BH$5="X",VLOOKUP(BH$10,'VK-Põlevkivi'!$C:$X,2+$G37,0))+IF(BH$4="X",VLOOKUP(BH$10,'VK-Võrgud'!$C:$X,2+$F37,0)))/20</f>
        <v>45.08</v>
      </c>
      <c r="BI37" s="209">
        <f>(IF(BI$7="X",VLOOKUP(BI$10,'VK-Hooned-Soojus'!$C:$X,2+$C37,FALSE),0)+IF(BI$6="X",VLOOKUP(BI$10,'VK-Transport'!$C:$X,2+$B37,0))+IF(BI$8="X",VLOOKUP(BI$10,'VK-Elekter'!$C:$X,2+$D37,0))+IF(BI$9="X",VLOOKUP(BI$10,'VK-Biokütused'!$C:$U,2+$E37,0))+IF(BI$5="X",VLOOKUP(BI$10,'VK-Põlevkivi'!$C:$X,2+$G37,0))+IF(BI$4="X",VLOOKUP(BI$10,'VK-Võrgud'!$C:$X,2+$F37,0)))/16</f>
        <v>14.1875</v>
      </c>
      <c r="BJ37" s="209">
        <f>(IF(BJ$7="X",VLOOKUP(BJ$10,'VK-Hooned-Soojus'!$C:$X,2+$C37,FALSE),0)+IF(BJ$6="X",VLOOKUP(BJ$10,'VK-Transport'!$C:$X,2+$B37,0))+IF(BJ$8="X",VLOOKUP(BJ$10,'VK-Elekter'!$C:$X,2+$D37,0))+IF(BJ$9="X",VLOOKUP(BJ$10,'VK-Biokütused'!$C:$U,2+$E37,0))+IF(BJ$5="X",VLOOKUP(BJ$10,'VK-Põlevkivi'!$C:$X,2+$G37,0))+IF(BJ$4="X",VLOOKUP(BJ$10,'VK-Võrgud'!$C:$X,2+$F37,0)))/20</f>
        <v>3.91</v>
      </c>
      <c r="BK37" s="209"/>
      <c r="BL37" s="209"/>
      <c r="BM37" s="209"/>
      <c r="BN37" s="209" t="e">
        <f>(IF(BN$7="X",VLOOKUP(BN$10,'VK-Hooned-Soojus'!$C:$X,2+$C37,FALSE),0)+IF(BN$6="X",VLOOKUP(BN$10,'VK-Transport'!$C:$X,2+$B37,0))+IF(BN$8="X",VLOOKUP(BN$10,'VK-Elekter'!$C:$X,2+$D37,0))+IF(BN$9="X",VLOOKUP(BN$10,'VK-Biokütused'!$C:$U,2+$E37,0))+IF(BN$5="X",VLOOKUP(BN$10,'VK-Põlevkivi'!$C:$X,2+$G37,0))+IF(BN$4="X",VLOOKUP(BN$10,'VK-Võrgud'!$C:$X,2+$F37,0)))/16</f>
        <v>#N/A</v>
      </c>
      <c r="BO37" s="209">
        <f>(IF(BO$7="X",VLOOKUP(BO$10,'VK-Hooned-Soojus'!$C:$X,2+$C37,FALSE),0)+IF(BO$6="X",VLOOKUP(BO$10,'VK-Transport'!$C:$X,2+$B37,0))+IF(BO$8="X",VLOOKUP(BO$10,'VK-Elekter'!$C:$X,2+$D37,0))+IF(BO$9="X",VLOOKUP(BO$10,'VK-Biokütused'!$C:$U,2+$E37,0))+IF(BO$5="X",VLOOKUP(BO$10,'VK-Põlevkivi'!$C:$X,2+$G37,0))+IF(BO$4="X",VLOOKUP(BO$10,'VK-Võrgud'!$C:$X,2+$F37,0)))/16</f>
        <v>496.33125000000001</v>
      </c>
      <c r="BP37" s="209"/>
      <c r="BQ37" s="209">
        <f>(IF(BQ$7="X",VLOOKUP(BQ$10,'VK-Hooned-Soojus'!$C:$X,2+$C37,FALSE),0)+IF(BQ$6="X",VLOOKUP(BQ$10,'VK-Transport'!$C:$X,2+$B37,0))+IF(BQ$8="X",VLOOKUP(BQ$10,'VK-Elekter'!$C:$X,2+$D37,0))+IF(BQ$9="X",VLOOKUP(BQ$10,'VK-Biokütused'!$C:$U,2+$E37,0))+IF(BQ$5="X",VLOOKUP(BQ$10,'VK-Põlevkivi'!$C:$X,2+$G37,0))+IF(BQ$4="X",VLOOKUP(BQ$10,'VK-Võrgud'!$C:$X,2+$F37,0)))/16</f>
        <v>4.7249999999999996</v>
      </c>
      <c r="BR37" s="209">
        <f>(IF(BR$7="X",VLOOKUP(BR$10,'VK-Hooned-Soojus'!$C:$X,2+$C37,FALSE),0)+IF(BR$6="X",VLOOKUP(BR$10,'VK-Transport'!$C:$X,2+$B37,0))+IF(BR$8="X",VLOOKUP(BR$10,'VK-Elekter'!$C:$X,2+$D37,0))+IF(BR$9="X",VLOOKUP(BR$10,'VK-Biokütused'!$C:$U,2+$E37,0))+IF(BR$5="X",VLOOKUP(BR$10,'VK-Põlevkivi'!$C:$X,2+$G37,0))+IF(BR$4="X",VLOOKUP(BR$10,'VK-Võrgud'!$C:$X,2+$F37,0)))/16</f>
        <v>-74.512500000000003</v>
      </c>
      <c r="BS37" s="209">
        <f>(IF(BS$7="X",VLOOKUP(BS$10,'VK-Hooned-Soojus'!$C:$X,2+$C37,FALSE),0)+IF(BS$6="X",VLOOKUP(BS$10,'VK-Transport'!$C:$X,2+$B37,0))+IF(BS$8="X",VLOOKUP(BS$10,'VK-Elekter'!$C:$X,2+$D37,0))+IF(BS$9="X",VLOOKUP(BS$10,'VK-Biokütused'!$C:$U,2+$E37,0))+IF(BS$5="X",VLOOKUP(BS$10,'VK-Põlevkivi'!$C:$X,2+$G37,0))+IF(BS$4="X",VLOOKUP(BS$10,'VK-Võrgud'!$C:$X,2+$F37,0)))/16</f>
        <v>-100.68125000000001</v>
      </c>
      <c r="BT37" s="209"/>
      <c r="BU37" s="209"/>
      <c r="BV37" s="209">
        <f>(IF(BV$7="X",VLOOKUP(BV$10,'VK-Hooned-Soojus'!$C:$X,2+$C37,FALSE),0)+IF(BV$6="X",VLOOKUP(BV$10,'VK-Transport'!$C:$X,2+$B37,0))+IF(BV$8="X",VLOOKUP(BV$10,'VK-Elekter'!$C:$X,2+$D37,0))+IF(BV$9="X",VLOOKUP(BV$10,'VK-Biokütused'!$C:$U,2+$E37,0))+IF(BV$5="X",VLOOKUP(BV$10,'VK-Põlevkivi'!$C:$X,2+$G37,0))+IF(BV$4="X",VLOOKUP(BV$10,'VK-Võrgud'!$C:$X,2+$F37,0)))/16</f>
        <v>0</v>
      </c>
      <c r="BW37" s="209"/>
      <c r="BX37" s="209">
        <f>(IF(BX$7="X",VLOOKUP(BX$10,'VK-Hooned-Soojus'!$C:$X,2+$C37,FALSE),0)+IF(BX$6="X",VLOOKUP(BX$10,'VK-Transport'!$C:$X,2+$B37,0))+IF(BX$8="X",VLOOKUP(BX$10,'VK-Elekter'!$C:$X,2+$D37,0))+IF(BX$9="X",VLOOKUP(BX$10,'VK-Biokütused'!$C:$U,2+$E37,0))+IF(BX$5="X",VLOOKUP(BX$10,'VK-Põlevkivi'!$C:$X,2+$G37,0))+IF(BX$4="X",VLOOKUP(BX$10,'VK-Võrgud'!$C:$X,2+$F37,0)))/16</f>
        <v>-19.25</v>
      </c>
      <c r="BY37" s="209"/>
      <c r="BZ37" s="209"/>
      <c r="CA37" s="209" t="e">
        <f>(IF(CA$7="X",VLOOKUP(CA$10,'VK-Hooned-Soojus'!$C:$X,2+$C37,FALSE),0)+IF(CA$6="X",VLOOKUP(CA$10,'VK-Transport'!$C:$X,2+$B37,0))+IF(CA$8="X",VLOOKUP(CA$10,'VK-Elekter'!$C:$X,2+$D37,0))+IF(CA$9="X",VLOOKUP(CA$10,'VK-Biokütused'!$C:$U,2+$E37,0))+IF(CA$5="X",VLOOKUP(CA$10,'VK-Põlevkivi'!$C:$X,2+$G37,0))+IF(CA$4="X",VLOOKUP(CA$10,'VK-Võrgud'!$C:$X,2+$F37,0)))/16</f>
        <v>#N/A</v>
      </c>
      <c r="CB37" s="209">
        <f>(IF(CB$7="X",VLOOKUP(CB$10,'VK-Hooned-Soojus'!$C:$X,2+$C37,FALSE),0)+IF(CB$6="X",VLOOKUP(CB$10,'VK-Transport'!$C:$X,2+$B37,0))+IF(CB$8="X",VLOOKUP(CB$10,'VK-Elekter'!$C:$X,2+$D37,0))+IF(CB$9="X",VLOOKUP(CB$10,'VK-Biokütused'!$C:$U,2+$E37,0))+IF(CB$5="X",VLOOKUP(CB$10,'VK-Põlevkivi'!$C:$X,2+$G37,0))+IF(CB$4="X",VLOOKUP(CB$10,'VK-Võrgud'!$C:$X,2+$F37,0)))/16</f>
        <v>0</v>
      </c>
      <c r="CC37" s="209">
        <f>(IF(CC$7="X",VLOOKUP(CC$10,'VK-Hooned-Soojus'!$C:$X,2+$C37,FALSE),0)+IF(CC$6="X",VLOOKUP(CC$10,'VK-Transport'!$C:$X,2+$B37,0))+IF(CC$8="X",VLOOKUP(CC$10,'VK-Elekter'!$C:$X,2+$D37,0))+IF(CC$9="X",VLOOKUP(CC$10,'VK-Biokütused'!$C:$U,2+$E37,0))+IF(CC$5="X",VLOOKUP(CC$10,'VK-Põlevkivi'!$C:$X,2+$G37,0))+IF(CC$4="X",VLOOKUP(CC$10,'VK-Võrgud'!$C:$X,2+$F37,0)))/16</f>
        <v>0</v>
      </c>
      <c r="CD37" s="209"/>
      <c r="CE37" s="209">
        <f>(IF(CE$7="X",VLOOKUP(CE$10,'VK-Hooned-Soojus'!$C:$X,2+$C37,FALSE),0)+IF(CE$6="X",VLOOKUP(CE$10,'VK-Transport'!$C:$X,2+$B37,0))+IF(CE$8="X",VLOOKUP(CE$10,'VK-Elekter'!$C:$X,2+$D37,0))+IF(CE$9="X",VLOOKUP(CE$10,'VK-Biokütused'!$C:$U,2+$E37,0))+IF(CE$5="X",VLOOKUP(CE$10,'VK-Põlevkivi'!$C:$X,2+$G37,0))+IF(CE$4="X",VLOOKUP(CE$10,'VK-Võrgud'!$C:$X,2+$F37,0)))/16</f>
        <v>24.15625</v>
      </c>
      <c r="CF37" s="209"/>
      <c r="CG37" s="209">
        <f>(IF(CG$7="X",VLOOKUP(CG$10,'VK-Hooned-Soojus'!$C:$X,2+$C37,FALSE),0)+IF(CG$6="X",VLOOKUP(CG$10,'VK-Transport'!$C:$X,2+$B37,0))+IF(CG$8="X",VLOOKUP(CG$10,'VK-Elekter'!$C:$X,2+$D37,0))+IF(CG$9="X",VLOOKUP(CG$10,'VK-Biokütused'!$C:$U,2+$E37,0))+IF(CG$5="X",VLOOKUP(CG$10,'VK-Põlevkivi'!$C:$X,2+$G37,0))+IF(CG$4="X",VLOOKUP(CG$10,'VK-Võrgud'!$C:$X,2+$F37,0)))/16</f>
        <v>0</v>
      </c>
      <c r="CH37" s="209">
        <f>(IF(CH$7="X",VLOOKUP(CH$10,'VK-Hooned-Soojus'!$C:$X,2+$C37,FALSE),0)+IF(CH$6="X",VLOOKUP(CH$10,'VK-Transport'!$C:$X,2+$B37,0))+IF(CH$8="X",VLOOKUP(CH$10,'VK-Elekter'!$C:$X,2+$D37,0))+IF(CH$9="X",VLOOKUP(CH$10,'VK-Biokütused'!$C:$U,2+$E37,0))+IF(CH$5="X",VLOOKUP(CH$10,'VK-Põlevkivi'!$C:$X,2+$G37,0))+IF(CH$4="X",VLOOKUP(CH$10,'VK-Võrgud'!$C:$X,2+$F37,0)))/20*0.21</f>
        <v>11.225549999999998</v>
      </c>
      <c r="CI37" s="209"/>
      <c r="CJ37" s="209">
        <f>(IF(CJ$7="X",VLOOKUP(CJ$10,'VK-Hooned-Soojus'!$C:$X,2+$C37,FALSE),0)+IF(CJ$6="X",VLOOKUP(CJ$10,'VK-Transport'!$C:$X,2+$B37,0))+IF(CJ$8="X",VLOOKUP(CJ$10,'VK-Elekter'!$C:$X,2+$D37,0))+IF(CJ$9="X",VLOOKUP(CJ$10,'VK-Biokütused'!$C:$U,2+$E37,0))+IF(CJ$5="X",VLOOKUP(CJ$10,'VK-Põlevkivi'!$C:$X,2+$G37,0))+IF(CJ$4="X",VLOOKUP(CJ$10,'VK-Võrgud'!$C:$X,2+$F37,0)))/1000</f>
        <v>18.858721793242818</v>
      </c>
      <c r="CK37" s="209">
        <f>(IF(CK$7="X",VLOOKUP(CK$10,'VK-Hooned-Soojus'!$C:$X,2+$C37,FALSE),0)+IF(CK$6="X",VLOOKUP(CK$10,'VK-Transport'!$C:$X,2+$B37,0))+IF(CK$8="X",VLOOKUP(CK$10,'VK-Elekter'!$C:$X,2+$D37,0))+IF(CK$9="X",VLOOKUP(CK$10,'VK-Biokütused'!$C:$U,2+$E37,0))+IF(CK$5="X",VLOOKUP(CK$10,'VK-Põlevkivi'!$C:$X,2+$G37,0))+IF(CK$4="X",VLOOKUP(CK$10,'VK-Võrgud'!$C:$X,2+$F37,0)))/1000</f>
        <v>6.6617453871512238</v>
      </c>
      <c r="CL37" s="235">
        <f>(IF(CL$7="X",VLOOKUP(CL$10,'VK-Hooned-Soojus'!$C:$X,2+$C37,FALSE),0)+IF(CL$6="X",VLOOKUP(CL$10,'VK-Transport'!$C:$X,2+$B37,0))+IF(CL$8="X",VLOOKUP(CL$10,'VK-Elekter'!$C:$X,2+$D37,0))+IF(CL$9="X",VLOOKUP(CL$10,'VK-Biokütused'!$C:$U,2+$E37,0)))/1000</f>
        <v>5.4770005094011811</v>
      </c>
      <c r="CM37" s="209">
        <f>(IF(CM$7="X",VLOOKUP(CM$10,'VK-Hooned-Soojus'!$C:$X,2+$C37,FALSE),0)+IF(CM$6="X",VLOOKUP(CM$10,'VK-Transport'!$C:$X,2+$B37,0))+IF(CM$8="X",VLOOKUP(CM$10,'VK-Elekter'!$C:$X,2+$D37,0))+IF(CM$9="X",VLOOKUP(CM$10,'VK-Biokütused'!$C:$U,2+$E37,0))+IF(CM$5="X",VLOOKUP(CM$10,'VK-Põlevkivi'!$C:$X,2+$G37,0))+IF(CM$4="X",VLOOKUP(CM$10,'VK-Võrgud'!$C:$X,2+$F37,0)))/1000</f>
        <v>7.8388313570900952</v>
      </c>
      <c r="CN37" s="209">
        <f>(IF(CN$7="X",VLOOKUP(CN$10,'VK-Hooned-Soojus'!$C:$X,2+$C37,FALSE),0)+IF(CN$6="X",VLOOKUP(CN$10,'VK-Transport'!$C:$X,2+$B37,0))+IF(CN$8="X",VLOOKUP(CN$10,'VK-Elekter'!$C:$X,2+$D37,0))+IF(CN$9="X",VLOOKUP(CN$10,'VK-Biokütused'!$C:$U,2+$E37,0))+IF(CN$5="X",VLOOKUP(CN$10,'VK-Põlevkivi'!$C:$X,2+$G37,0))+IF(CN$4="X",VLOOKUP(CN$10,'VK-Võrgud'!$C:$X,2+$F37,0)))/1000</f>
        <v>2.851</v>
      </c>
      <c r="CO37" s="209">
        <f>(IF(CO$7="X",VLOOKUP(CO$10,'VK-Hooned-Soojus'!$C:$X,2+$C37,FALSE),0)+IF(CO$6="X",VLOOKUP(CO$10,'VK-Transport'!$C:$X,2+$B37,0))+IF(CO$8="X",VLOOKUP(CO$10,'VK-Elekter'!$C:$X,2+$D37,0))+IF(CO$9="X",VLOOKUP(CO$10,'VK-Biokütused'!$C:$U,2+$E37,0))+IF(CO$5="X",VLOOKUP(CO$10,'VK-Põlevkivi'!$C:$X,2+$G37,0))+IF(CO$4="X",VLOOKUP(CO$10,'VK-Võrgud'!$C:$X,2+$F37,0)))/1000</f>
        <v>24.069649773285455</v>
      </c>
      <c r="CP37" s="209">
        <f>(IF(CP$7="X",VLOOKUP(CP$10,'VK-Hooned-Soojus'!$C:$X,2+$C37,FALSE),0)+IF(CP$6="X",VLOOKUP(CP$10,'VK-Transport'!$C:$X,2+$B37,0))+IF(CP$8="X",VLOOKUP(CP$10,'VK-Elekter'!$C:$X,2+$D37,0))+IF(CP$9="X",VLOOKUP(CP$10,'VK-Biokütused'!$C:$U,2+$E37,0))+IF(CP$5="X",VLOOKUP(CP$10,'VK-Põlevkivi'!$C:$X,2+$G37,0))+IF(CP$4="X",VLOOKUP(CP$10,'VK-Võrgud'!$C:$X,2+$F37,0)))/1000</f>
        <v>6.6599485842956136</v>
      </c>
      <c r="CQ37" s="235">
        <f>(IF(CQ$7="X",VLOOKUP(CQ$10,'VK-Hooned-Soojus'!$C:$X,2+$C37,FALSE),0)+IF(CQ$6="X",VLOOKUP(CQ$10,'VK-Transport'!$C:$X,2+$B37,0))+IF(CQ$8="X",VLOOKUP(CQ$10,'VK-Elekter'!$C:$X,2+$D37,0))+IF(CQ$9="X",VLOOKUP(CQ$10,'VK-Biokütused'!$C:$U,2+$E37,0)))/1000</f>
        <v>5.3929070000000001</v>
      </c>
      <c r="CR37" s="209">
        <f>(IF(CR$7="X",VLOOKUP(CR$10,'VK-Hooned-Soojus'!$C:$X,2+$C37,FALSE),0)+IF(CR$6="X",VLOOKUP(CR$10,'VK-Transport'!$C:$X,2+$B37,0))+IF(CR$8="X",VLOOKUP(CR$10,'VK-Elekter'!$C:$X,2+$D37,0))+IF(CR$9="X",VLOOKUP(CR$10,'VK-Biokütused'!$C:$U,2+$E37,0))+IF(CR$5="X",VLOOKUP(CR$10,'VK-Põlevkivi'!$C:$X,2+$G37,0))+IF(CR$4="X",VLOOKUP(CR$10,'VK-Võrgud'!$C:$X,2+$F37,0)))/1000</f>
        <v>7.8887533562748038</v>
      </c>
      <c r="CS37" s="209">
        <f>(IF(CS$7="X",VLOOKUP(CS$10,'VK-Hooned-Soojus'!$C:$X,2+$C37,FALSE),0)+IF(CS$6="X",VLOOKUP(CS$10,'VK-Transport'!$C:$X,2+$B37,0))+IF(CS$8="X",VLOOKUP(CS$10,'VK-Elekter'!$C:$X,2+$D37,0))+IF(CS$9="X",VLOOKUP(CS$10,'VK-Biokütused'!$C:$U,2+$E37,0))+IF(CS$5="X",VLOOKUP(CS$10,'VK-Põlevkivi'!$C:$X,2+$G37,0))+IF(CS$4="X",VLOOKUP(CS$10,'VK-Võrgud'!$C:$X,2+$F37,0)))/1000</f>
        <v>3.966152405121615</v>
      </c>
      <c r="CT37" s="209">
        <f>IF(CT$7="X",VLOOKUP(CT$10,'VK-Hooned-Soojus'!$C:$X,2+$C37,FALSE),0)+IF(CT$6="X",VLOOKUP(CT$10,'VK-Transport'!$C:$X,2+$B37,0))+IF(CT$8="X",VLOOKUP(CT$10,'VK-Elekter'!$C:$X,2+$D37,0))+IF(CT$9="X",VLOOKUP(CT$10,'VK-Biokütused'!$C:$U,2+$E37,0))+IF(CT$5="X",VLOOKUP(CT$10,'VK-Põlevkivi'!$C:$X,2+$G37,0))+IF(CT$4="X",VLOOKUP(CT$10,'VK-Võrgud'!$C:$X,2+$F37,0))</f>
        <v>90</v>
      </c>
      <c r="CU37" s="209">
        <f>IF(CU$7="X",VLOOKUP(CU$10,'VK-Hooned-Soojus'!$C:$X,2+$C37,FALSE),0)+IF(CU$6="X",VLOOKUP(CU$10,'VK-Transport'!$C:$X,2+$B37,0))+IF(CU$8="X",VLOOKUP(CU$10,'VK-Elekter'!$C:$X,2+$D37,0))+IF(CU$9="X",VLOOKUP(CU$10,'VK-Biokütused'!$C:$U,2+$E37,0))+IF(CU$5="X",VLOOKUP(CU$10,'VK-Põlevkivi'!$C:$X,2+$G37,0))+IF(CU$4="X",VLOOKUP(CU$10,'VK-Võrgud'!$C:$X,2+$F37,0))</f>
        <v>0.63390170511534605</v>
      </c>
      <c r="CV37" s="209">
        <f t="shared" si="1"/>
        <v>0.91028830406496786</v>
      </c>
      <c r="CW37" s="209">
        <f>(IF(CW$7="X",VLOOKUP(CW$10,'VK-Hooned-Soojus'!$C:$X,2+$C37,FALSE),0)+IF(CW$6="X",VLOOKUP(CW$10,'VK-Transport'!$C:$X,2+$B37,0))+IF(CW$8="X",VLOOKUP(CW$10,'VK-Elekter'!$C:$X,2+$D37,0))+IF(CW$9="X",VLOOKUP(CW$10,'VK-Biokütused'!$C:$U,2+$E37,0))+IF(CW$5="X",VLOOKUP(CW$10,'VK-Põlevkivi'!$C:$X,2+$G37,0))+IF(CW$4="X",VLOOKUP(CW$10,'VK-Võrgud'!$C:$X,2+$F37,0)))/16</f>
        <v>126.01875</v>
      </c>
      <c r="CY37" s="209">
        <f>(IF(CY$7="X",VLOOKUP(CY$10,'VK-Hooned-Soojus'!$C:$X,2+$C37,FALSE),0)+IF(CY$6="X",VLOOKUP(CY$10,'VK-Transport'!$C:$X,2+$B37,0))+IF(CY$8="X",VLOOKUP(CY$10,'VK-Elekter'!$C:$X,2+$D37,0))+IF(CY$9="X",VLOOKUP(CY$10,'VK-Biokütused'!$C:$U,2+$E37,0))+IF(CY$5="X",VLOOKUP(CY$10,'VK-Põlevkivi'!$C:$X,2+$G37,0))+IF(CY$4="X",VLOOKUP(CY$10,'VK-Võrgud'!$C:$X,2+$F37,0)))/1000</f>
        <v>10.702999999999999</v>
      </c>
      <c r="CZ37" s="209">
        <f>(IF(CZ$7="X",VLOOKUP(CZ$10,'VK-Hooned-Soojus'!$C:$X,2+$C37,FALSE),0)+IF(CZ$6="X",VLOOKUP(CZ$10,'VK-Transport'!$C:$X,2+$B37,0))+IF(CZ$8="X",VLOOKUP(CZ$10,'VK-Elekter'!$C:$X,2+$D37,0))+IF(CZ$9="X",VLOOKUP(CZ$10,'VK-Biokütused'!$C:$U,2+$E37,0))+IF(CZ$5="X",VLOOKUP(CZ$10,'VK-Põlevkivi'!$C:$X,2+$G37,0))+IF(CZ$4="X",VLOOKUP(CZ$10,'VK-Võrgud'!$C:$X,2+$F37,0)))</f>
        <v>84</v>
      </c>
      <c r="DA37" s="209">
        <f>(IF(DA$7="X",VLOOKUP(DA$10,'VK-Hooned-Soojus'!$C:$X,2+$C37,FALSE),0)+IF(DA$6="X",VLOOKUP(DA$10,'VK-Transport'!$C:$X,2+$B37,0))+IF(DA$8="X",VLOOKUP(DA$10,'VK-Elekter'!$C:$X,2+$D37,0))+IF(DA$9="X",VLOOKUP(DA$10,'VK-Biokütused'!$C:$U,2+$E37,0))+IF(DA$5="X",VLOOKUP(DA$10,'VK-Põlevkivi'!$C:$X,2+$G37,0))+IF(DA$4="X",VLOOKUP(DA$10,'VK-Võrgud'!$C:$X,2+$F37,0)))/1000</f>
        <v>10.76</v>
      </c>
      <c r="DB37" s="209">
        <f>(IF(DB$7="X",VLOOKUP(DB$10,'VK-Hooned-Soojus'!$C:$X,2+$C37,FALSE),0)+IF(DB$6="X",VLOOKUP(DB$10,'VK-Transport'!$C:$X,2+$B37,0))+IF(DB$8="X",VLOOKUP(DB$10,'VK-Elekter'!$C:$X,2+$D37,0))+IF(DB$9="X",VLOOKUP(DB$10,'VK-Biokütused'!$C:$U,2+$E37,0))+IF(DB$5="X",VLOOKUP(DB$10,'VK-Põlevkivi'!$C:$X,2+$G37,0))+IF(DB$4="X",VLOOKUP(DB$10,'VK-Võrgud'!$C:$X,2+$F37,0)))/1000/3.6</f>
        <v>43.269999999999996</v>
      </c>
      <c r="DC37" s="209">
        <f>(IF(DC$7="X",VLOOKUP(DC$10,'VK-Hooned-Soojus'!$C:$X,2+$C37,FALSE),0)+IF(DC$6="X",VLOOKUP(DC$10,'VK-Transport'!$C:$X,2+$B37,0))+IF(DC$8="X",VLOOKUP(DC$10,'VK-Elekter'!$C:$X,2+$D37,0))+IF(DC$9="X",VLOOKUP(DC$10,'VK-Biokütused'!$C:$U,2+$E37,0))+IF(DC$5="X",VLOOKUP(DC$10,'VK-Põlevkivi'!$C:$X,2+$G37,0))+IF(DC$4="X",VLOOKUP(DC$10,'VK-Võrgud'!$C:$X,2+$F37,0)))/1000000</f>
        <v>4.3881920000000001</v>
      </c>
      <c r="DD37" s="209"/>
      <c r="DE37" s="88">
        <f>VLOOKUP(Tulemused!$BN$12,data!M$7:N$12,2,FALSE)-SUM(L37,M37)</f>
        <v>-2.6566444444444528</v>
      </c>
      <c r="DF37" s="209" t="str">
        <f>IF(AZ37&lt;=VLOOKUP(Tulemused!$BN$15,data!$E$36:$F$39,2,FALSE),"JAH","EI")</f>
        <v>JAH</v>
      </c>
      <c r="DG37" s="209"/>
      <c r="DH37" s="209">
        <f t="shared" si="2"/>
        <v>10.870000000000001</v>
      </c>
      <c r="DI37" s="231" t="str">
        <f t="shared" si="17"/>
        <v>EI</v>
      </c>
      <c r="DK37" s="232">
        <f t="shared" si="3"/>
        <v>-992.64104836151603</v>
      </c>
      <c r="DM37" s="233">
        <f t="shared" si="4"/>
        <v>-991.46565463421132</v>
      </c>
      <c r="DN37" s="87">
        <f t="array" ref="DN37">INDEX($A$11:$A$145, SMALL(IF(DM37=$DK$11:$DK$145, MATCH(ROW($DK$11:$DK$145), ROW($DK$11:$DK$145))), SUM(--(DM37=$DM$11:DM37))))</f>
        <v>57</v>
      </c>
      <c r="DP37" s="87" t="e">
        <f t="shared" ca="1" si="18"/>
        <v>#N/A</v>
      </c>
      <c r="DQ37" s="87" t="e">
        <f t="shared" ca="1" si="19"/>
        <v>#N/A</v>
      </c>
      <c r="DR37" s="87">
        <f t="shared" ca="1" si="20"/>
        <v>0</v>
      </c>
      <c r="DS37" s="87" t="e">
        <f t="shared" ca="1" si="21"/>
        <v>#N/A</v>
      </c>
      <c r="DT37" s="87">
        <f t="shared" ca="1" si="22"/>
        <v>0</v>
      </c>
      <c r="DU37" s="87" t="e">
        <f t="shared" ca="1" si="23"/>
        <v>#N/A</v>
      </c>
      <c r="DV37" s="87" t="e">
        <f t="shared" ca="1" si="24"/>
        <v>#N/A</v>
      </c>
      <c r="DW37" s="87">
        <f t="shared" ca="1" si="25"/>
        <v>0</v>
      </c>
      <c r="DX37" s="87">
        <f t="shared" ca="1" si="26"/>
        <v>0</v>
      </c>
      <c r="DZ37" s="87">
        <f t="shared" ca="1" si="35"/>
        <v>0</v>
      </c>
      <c r="EB37" s="87">
        <f t="shared" ca="1" si="27"/>
        <v>0</v>
      </c>
      <c r="EC37" s="87" t="e">
        <f t="shared" ca="1" si="28"/>
        <v>#N/A</v>
      </c>
      <c r="EE37" s="228">
        <f>(IF(EE$7="X",VLOOKUP(EE$10,'VK-Hooned-Soojus'!$C:$X,2+$C37,FALSE),0)+IF(EE$6="X",VLOOKUP(EE$10,'VK-Transport'!$C:$X,2+$B37,0))+IF(EE$8="X",VLOOKUP(EE$10,'VK-Elekter'!$C:$X,2+$D37,0))+IF(EE$9="X",VLOOKUP(EE$10,'VK-Biokütused'!$C:$U,2+$E37,0))+IF(EE$5="X",VLOOKUP(EE$10,'VK-Põlevkivi'!$C:$X,2+$G37,0))+IF(EE$4="X",VLOOKUP(EE$10,'VK-Võrgud'!$C:$X,2+$F37,0)))</f>
        <v>9053.49700242777</v>
      </c>
      <c r="EF37" s="235">
        <f>(IF(EF$7="X",VLOOKUP(EF$10,'VK-Hooned-Soojus'!$C:$X,2+$C37,FALSE),0)+IF(EF$6="X",VLOOKUP(EF$10,'VK-Transport'!$C:$X,2+$B37,0))+IF(EF$8="X",VLOOKUP(EF$10,'VK-Elekter'!$C:$X,2+$D37,0))+IF(EF$9="X",VLOOKUP(EF$10,'VK-Biokütused'!$C:$U,2+$E37,0)))/1000</f>
        <v>3.9366368215830603</v>
      </c>
      <c r="EG37" s="209">
        <f>(IF(EG$7="X",VLOOKUP(EG$10,'VK-Hooned-Soojus'!$C:$X,2+$C37,FALSE),0)+IF(EG$6="X",VLOOKUP(EG$10,'VK-Transport'!$C:$X,2+$B37,0))+IF(EG$8="X",VLOOKUP(EG$10,'VK-Elekter'!$C:$X,2+$D37,0))+IF(EG$9="X",VLOOKUP(EG$10,'VK-Biokütused'!$C:$U,2+$E37,0))+IF(EG$5="X",VLOOKUP(EG$10,'VK-Põlevkivi'!$C:$X,2+$G37,0))+IF(EG$4="X",VLOOKUP(EG$10,'VK-Võrgud'!$C:$X,2+$F37,0)))</f>
        <v>0.81</v>
      </c>
      <c r="EH37" s="209">
        <f>(IF(EH$7="X",VLOOKUP(EH$10,'VK-Hooned-Soojus'!$C:$X,2+$C37,FALSE),0)+IF(EH$6="X",VLOOKUP(EH$10,'VK-Transport'!$C:$X,2+$B37,0))+IF(EH$8="X",VLOOKUP(EH$10,'VK-Elekter'!$C:$X,2+$D37,0))+IF(EH$9="X",VLOOKUP(EH$10,'VK-Biokütused'!$C:$U,2+$E37,0)))+AR37+AS37+AU37+AX37</f>
        <v>48.624933070818045</v>
      </c>
      <c r="EI37" s="320">
        <f t="shared" si="6"/>
        <v>45.528055555555554</v>
      </c>
      <c r="EJ37" s="322">
        <f t="shared" si="7"/>
        <v>2.1267750475898739E-2</v>
      </c>
      <c r="EK37" s="323">
        <f t="shared" si="29"/>
        <v>0.44448388468339084</v>
      </c>
      <c r="EM37" s="209"/>
      <c r="EN37" s="209">
        <f t="shared" ca="1" si="8"/>
        <v>0</v>
      </c>
      <c r="EO37" s="209"/>
      <c r="EP37" s="234"/>
      <c r="EQ37" s="209">
        <f>(IF(EQ$7="X",VLOOKUP(EQ$10,'VK-Hooned-Soojus'!$C:$X,2+$C37,FALSE),0)+IF(EQ$6="X",VLOOKUP(EQ$10,'VK-Transport'!$C:$X,2+$B37,0))+IF(EQ$8="X",VLOOKUP(EQ$10,'VK-Elekter'!$C:$X,2+$D37,0))+IF(EQ$9="X",VLOOKUP(EQ$10,'VK-Biokütused'!$C:$U,2+$E37,0))+IF(EQ$5="X",VLOOKUP(EQ$10,'VK-Põlevkivi'!$C:$X,2+$G37,0))+IF(EQ$4="X",VLOOKUP(EQ$10,'VK-Võrgud'!$C:$X,2+$F37,0)))/1000</f>
        <v>0.21099999999999999</v>
      </c>
      <c r="ER37" s="209">
        <f>(IF(ER$7="X",VLOOKUP(ER$10,'VK-Hooned-Soojus'!$C:$X,2+$C37,FALSE),0)+IF(ER$6="X",VLOOKUP(ER$10,'VK-Transport'!$C:$X,2+$B37,0))+IF(ER$8="X",VLOOKUP(ER$10,'VK-Elekter'!$C:$X,2+$D37,0))+IF(ER$9="X",VLOOKUP(ER$10,'VK-Biokütused'!$C:$U,2+$E37,0))+IF(ER$5="X",VLOOKUP(ER$10,'VK-Põlevkivi'!$C:$X,2+$G37,0))+IF(ER$4="X",VLOOKUP(ER$10,'VK-Võrgud'!$C:$X,2+$F37,0)))</f>
        <v>0.76300000000000001</v>
      </c>
      <c r="ES37" s="209">
        <f>(IF(ES$7="X",VLOOKUP(ES$10,'VK-Hooned-Soojus'!$C:$X,2+$C37,FALSE),0)+IF(ES$6="X",VLOOKUP(ES$10,'VK-Transport'!$C:$X,2+$B37,0))+IF(ES$8="X",VLOOKUP(ES$10,'VK-Elekter'!$C:$X,2+$D37,0))+IF(ES$9="X",VLOOKUP(ES$10,'VK-Biokütused'!$C:$U,2+$E37,0))+IF(ES$5="X",VLOOKUP(ES$10,'VK-Põlevkivi'!$C:$X,2+$G37,0))+IF(ES$4="X",VLOOKUP(ES$10,'VK-Võrgud'!$C:$X,2+$F37,0)))</f>
        <v>10.870000000000001</v>
      </c>
      <c r="ET37" s="209"/>
      <c r="EU37" s="209"/>
      <c r="EV37" s="87">
        <f>'KSH järjestus'!AS30</f>
        <v>1551</v>
      </c>
      <c r="EX37" s="236"/>
      <c r="EY37" s="236"/>
      <c r="EZ37" s="237">
        <f t="shared" si="9"/>
        <v>0.36609829488465395</v>
      </c>
      <c r="FA37" s="209">
        <f>IF(FA$7="X",VLOOKUP(FA$10,'VK-Hooned-Soojus'!$C:$X,2+$C37,FALSE),0)+IF(FA$6="X",VLOOKUP(FA$10,'VK-Transport'!$C:$X,2+$B37,0))+IF(FA$8="X",VLOOKUP(FA$10,'VK-Elekter'!$C:$X,2+$D37,0))+IF(FA$9="X",VLOOKUP(FA$10,'VK-Biokütused'!$C:$U,2+$E37,0))+IF(FA$5="X",VLOOKUP(FA$10,'VK-Põlevkivi'!$C:$X,2+$G37,0))+IF(FA$4="X",VLOOKUP(FA$10,'VK-Võrgud'!$C:$X,2+$F37,0))</f>
        <v>3658.9070000000002</v>
      </c>
      <c r="FB37" s="279">
        <f>(IF(FB$7="X",VLOOKUP(FB$10,'VK-Hooned-Soojus'!$C:$X,2+$C37,FALSE),0)+IF(FB$6="X",VLOOKUP(FB$10,'VK-Transport'!$C:$X,2+$B37,0))+IF(FB$8="X",VLOOKUP(FB$10,'VK-Elekter'!$C:$X,2+$D37,0))+IF(FB$9="X",VLOOKUP(FB$10,'VK-Biokütused'!$C:$U,2+$E37,0))+IF(FB$5="X",VLOOKUP(FB$10,'VK-Põlevkivi'!$C:$X,2+$G37,0))+IF(FB$4="X",VLOOKUP(FB$10,'VK-Võrgud'!$C:$X,2+$F37,0)))/16</f>
        <v>408.42417609521351</v>
      </c>
      <c r="FC37" s="209">
        <f>IF(FC$7="X",VLOOKUP(FC$10,'VK-Hooned-Soojus'!$C:$X,2+$C37,FALSE),0)+IF(FC$6="X",VLOOKUP(FC$10,'VK-Transport'!$C:$X,2+$B37,0))+IF(FC$8="X",VLOOKUP(FC$10,'VK-Elekter'!$C:$X,2+$D37,0))+IF(FC$9="X",VLOOKUP(FC$10,'VK-Biokütused'!$C:$U,2+$E37,0))+IF(FC$5="X",VLOOKUP(FC$10,'VK-Põlevkivi'!$C:$X,2+$G37,0))+IF(FC$4="X",VLOOKUP(FC$10,'VK-Võrgud'!$C:$X,2+$F37,0))</f>
        <v>318.60000000000002</v>
      </c>
      <c r="FD37" s="209">
        <f>(IF(FD$7="X",VLOOKUP(FD$10,'VK-Hooned-Soojus'!$C:$X,2+$C37,FALSE),0)+IF(FD$6="X",VLOOKUP(FD$10,'VK-Transport'!$C:$X,2+$B37,0))+IF(FD$8="X",VLOOKUP(FD$10,'VK-Elekter'!$C:$X,2+$D37,0))+IF(FD$9="X",VLOOKUP(FD$10,'VK-Biokütused'!$C:$U,2+$E37,0))+IF(FD$5="X",VLOOKUP(FD$10,'VK-Põlevkivi'!$C:$X,2+$G37,0))+IF(FD$4="X",VLOOKUP(FD$10,'VK-Võrgud'!$C:$X,2+$F37,0)))/16</f>
        <v>408.42417609521351</v>
      </c>
      <c r="FE37" s="209">
        <f>(IF(FE$7="X",VLOOKUP(FE$10,'VK-Hooned-Soojus'!$C:$X,2+$C37,FALSE),0)+IF(FE$6="X",VLOOKUP(FE$10,'VK-Transport'!$C:$X,2+$B37,0))+IF(FE$8="X",VLOOKUP(FE$10,'VK-Elekter'!$C:$X,2+$D37,0))+IF(FE$9="X",VLOOKUP(FE$10,'VK-Biokütused'!$C:$U,2+$E37,0))+IF(FE$5="X",VLOOKUP(FE$10,'VK-Põlevkivi'!$C:$X,2+$G37,0))+IF(FE$4="X",VLOOKUP(FE$10,'VK-Võrgud'!$C:$X,2+$F37,0)))/16</f>
        <v>-71.100813699091034</v>
      </c>
      <c r="FF37" s="209">
        <f>(IF(FF$7="X",VLOOKUP(FF$10,'VK-Hooned-Soojus'!$C:$X,2+$C37,FALSE),0)+IF(FF$6="X",VLOOKUP(FF$10,'VK-Transport'!$C:$X,2+$B37,0))+IF(FF$8="X",VLOOKUP(FF$10,'VK-Elekter'!$C:$X,2+$D37,0))+IF(FF$9="X",VLOOKUP(FF$10,'VK-Biokütused'!$C:$U,2+$E37,0))+IF(FF$5="X",VLOOKUP(FF$10,'VK-Põlevkivi'!$C:$X,2+$G37,0))+IF(FF$4="X",VLOOKUP(FF$10,'VK-Võrgud'!$C:$X,2+$F37,0)))/16</f>
        <v>135.42688824413563</v>
      </c>
      <c r="FG37" s="88">
        <f t="shared" ca="1" si="30"/>
        <v>64.326074545044591</v>
      </c>
      <c r="FH37" s="88"/>
      <c r="FI37" s="88"/>
      <c r="FJ37" s="88">
        <f>VLOOKUP(Tulemused!$BN$12,data!M$7:N$12,2,FALSE)-SUM(L37,M37)</f>
        <v>-2.6566444444444528</v>
      </c>
      <c r="FK37" s="209" t="str">
        <f>IF(AZ37&lt;=VLOOKUP(Tulemused!$BN$15,data!$E$36:$F$39,2,FALSE),"JAH","EI")</f>
        <v>JAH</v>
      </c>
      <c r="FL37" s="235">
        <f ca="1">IF(ISNA(MATCH($A37,INDIRECT(VLOOKUP(Tulemused!$BF$11,data!$J$57:$M$71,4,FALSE)))),0,MATCH($A37,INDIRECT(VLOOKUP(Tulemused!$BF$11,data!$J$57:$M$71,4,FALSE))))</f>
        <v>0</v>
      </c>
      <c r="FM37" s="235" t="str">
        <f t="shared" ca="1" si="10"/>
        <v>JAH</v>
      </c>
      <c r="FN37" s="209">
        <f>VLOOKUP(Tulemused!$BN$13,data!$C$132:$D$137,2,FALSE)-KOMBI!R37</f>
        <v>2.5031331784169399</v>
      </c>
      <c r="FO37" s="209"/>
      <c r="FP37" s="209">
        <f>VLOOKUP(Tulemused!$BN$17,NO_x,2,FALSE)-CJ37</f>
        <v>10.579278206757181</v>
      </c>
      <c r="FQ37" s="209">
        <f>VLOOKUP(Tulemused!$BN$18,SO_2,2,FALSE)-CK37</f>
        <v>45.222254612848779</v>
      </c>
      <c r="FR37" s="209">
        <f>VLOOKUP(Tulemused!$BN$19,LOU,2,FALSE)-CN37</f>
        <v>34.229000000000006</v>
      </c>
      <c r="FS37" s="209">
        <f>VLOOKUP(Tulemused!$BN$20,PM_2.5,2,FALSE)-CM37</f>
        <v>9.076168642909904</v>
      </c>
      <c r="FT37" s="209">
        <f>VLOOKUP(Tulemused!$BN$13,data!$C$132:$D$137,2,FALSE)-FA37/1000</f>
        <v>2.5870630000000006</v>
      </c>
      <c r="FU37" s="209">
        <f>VLOOKUP(Tulemused!$BN$17,NO_x,2,FALSE)-CO37</f>
        <v>5.3683502267145435</v>
      </c>
      <c r="FV37" s="209">
        <f>VLOOKUP(Tulemused!$BN$18,SO_2,2,FALSE)-CP37</f>
        <v>45.224051415704388</v>
      </c>
      <c r="FW37" s="209">
        <f>VLOOKUP(Tulemused!$BN$19,LOU,2,FALSE)-CS37</f>
        <v>33.113847594878393</v>
      </c>
      <c r="FX37" s="209">
        <f>VLOOKUP(Tulemused!$BN$20,PM_2.5,2,FALSE)-CR37</f>
        <v>9.0262466437251945</v>
      </c>
      <c r="FY37" s="209">
        <f>VLOOKUP(Tulemused!$BN$14,KHG_2050,2,FALSE)-EF37</f>
        <v>96.063363178416935</v>
      </c>
      <c r="FZ37" s="231" t="str">
        <f t="shared" ca="1" si="31"/>
        <v>EI</v>
      </c>
      <c r="GA37" s="209"/>
      <c r="GB37" s="209"/>
      <c r="GC37" s="209"/>
      <c r="GD37" s="231"/>
      <c r="GE37" s="87">
        <f t="shared" si="11"/>
        <v>1551</v>
      </c>
      <c r="GF37" s="232" t="str">
        <f t="shared" ca="1" si="32"/>
        <v/>
      </c>
      <c r="GH37" s="238" t="e">
        <f t="shared" ca="1" si="12"/>
        <v>#NUM!</v>
      </c>
      <c r="GI37" s="87" t="e">
        <f t="array" aca="1" ref="GI37" ca="1">INDEX($A$11:$A$145, SMALL(IF(GH37=$GF$11:$GF$145, MATCH(ROW($GF$11:$GF$145), ROW($GF$11:$GF$145))), SUM(--(GH37=$GH$11:GH37))))</f>
        <v>#NUM!</v>
      </c>
      <c r="GM37" s="209">
        <f>IF(GM$7="X",VLOOKUP(GM$10,'VK-Hooned-Soojus'!$C:$X,2+$C37,FALSE),0)+IF(GM$6="X",VLOOKUP(GM$10,'VK-Transport'!$C:$X,2+$B37,0))+IF(GM$8="X",VLOOKUP(GM$10,'VK-Elekter'!$C:$X,2+$D37,0))+IF(GM$9="X",VLOOKUP(GM$10,'VK-Biokütused'!$C:$U,2+$E37,0))+IF(GM$5="X",VLOOKUP(GM$10,'VK-Põlevkivi'!$C:$X,2+$G37,0))+IF(GM$4="X",VLOOKUP(GM$10,'VK-Võrgud'!$C:$X,2+$F37,0))</f>
        <v>0</v>
      </c>
      <c r="GN37" s="209">
        <f>IF(GN$7="X",VLOOKUP(GN$10,'VK-Hooned-Soojus'!$C:$X,2+$C37,FALSE),0)+IF(GN$6="X",VLOOKUP(GN$10,'VK-Transport'!$C:$X,2+$B37,0))+IF(GN$8="X",VLOOKUP(GN$10,'VK-Elekter'!$C:$X,2+$D37,0))+IF(GN$9="X",VLOOKUP(GN$10,'VK-Biokütused'!$C:$U,2+$E37,0))+IF(GN$5="X",VLOOKUP(GN$10,'VK-Põlevkivi'!$C:$X,2+$G37,0))+IF(GN$4="X",VLOOKUP(GN$10,'VK-Võrgud'!$C:$X,2+$F37,0))</f>
        <v>7.5434676424145266</v>
      </c>
      <c r="GO37" s="209">
        <f>IF(GO$7="X",VLOOKUP(GO$10,'VK-Hooned-Soojus'!$C:$X,2+$C37,FALSE),0)+IF(GO$6="X",VLOOKUP(GO$10,'VK-Transport'!$C:$X,2+$B37,0))+IF(GO$8="X",VLOOKUP(GO$10,'VK-Elekter'!$C:$X,2+$D37,0))+IF(GO$9="X",VLOOKUP(GO$10,'VK-Biokütused'!$C:$U,2+$E37,0))+IF(GO$5="X",VLOOKUP(GO$10,'VK-Põlevkivi'!$C:$X,2+$G37,0))+IF(GO$4="X",VLOOKUP(GO$10,'VK-Võrgud'!$C:$X,2+$F37,0))</f>
        <v>7.936370010272257</v>
      </c>
      <c r="GP37" s="209">
        <f>IF(GP$7="X",VLOOKUP(GP$10,'VK-Hooned-Soojus'!$C:$X,2+$C37,FALSE),0)+IF(GP$6="X",VLOOKUP(GP$10,'VK-Transport'!$C:$X,2+$B37,0))+IF(GP$8="X",VLOOKUP(GP$10,'VK-Elekter'!$C:$X,2+$D37,0))+IF(GP$9="X",VLOOKUP(GP$10,'VK-Biokütused'!$C:$U,2+$E37,0))+IF(GP$5="X",VLOOKUP(GP$10,'VK-Põlevkivi'!$C:$X,2+$G37,0))+IF(GP$4="X",VLOOKUP(GP$10,'VK-Võrgud'!$C:$X,2+$F37,0))</f>
        <v>9.1527946929596489</v>
      </c>
      <c r="GQ37" s="88">
        <f>IF(GQ$7="X",VLOOKUP(GQ$10,'VK-Hooned-Soojus'!$C:$X,2+$C37,FALSE),0)+IF(GQ$6="X",VLOOKUP(GQ$10,'VK-Transport'!$C:$X,2+$B37,0))+IF(GQ$8="X",VLOOKUP(GQ$10,'VK-Elekter'!$C:$X,2+$D37,0))+IF(GQ$9="X",VLOOKUP(GQ$10,'VK-Biokütused'!$C:$U,2+$E37,0))+IF(GQ$5="X",VLOOKUP(GQ$10,'VK-Põlevkivi'!$C:$X,2+$G37,0))+IF(GQ$4="X",VLOOKUP(GQ$10,'VK-Võrgud'!$C:$X,2+$F37,0))</f>
        <v>0.9682855968523334</v>
      </c>
      <c r="GR37" s="186">
        <f t="shared" si="33"/>
        <v>0.4977408975752996</v>
      </c>
    </row>
    <row r="38" spans="1:200" x14ac:dyDescent="0.2">
      <c r="A38" s="184">
        <v>28</v>
      </c>
      <c r="B38" s="87">
        <v>1</v>
      </c>
      <c r="C38" s="87">
        <v>2</v>
      </c>
      <c r="D38" s="87">
        <v>5</v>
      </c>
      <c r="E38" s="87">
        <v>1</v>
      </c>
      <c r="F38" s="87">
        <f>VLOOKUP(Tulemused!$BF$7,data!$J$6:$K$8,2,FALSE)</f>
        <v>2</v>
      </c>
      <c r="G38" s="87">
        <f>VLOOKUP(data!$H$2,data!$J$12:$K$14,2,FALSE)</f>
        <v>2</v>
      </c>
      <c r="I38" s="209">
        <f>IF(I$7="X",VLOOKUP(I$10,'VK-Hooned-Soojus'!$C:$X,2+$C38,FALSE),0)+IF(I$6="X",VLOOKUP(I$10,'VK-Transport'!$C:$X,2+$B38,0))+IF(I$8="X",VLOOKUP(I$10,'VK-Elekter'!$C:$X,2+$D38,0))+IF(I$9="X",VLOOKUP(I$10,'VK-Biokütused'!$C:$U,2+$E38,0))+IF(I$5="X",VLOOKUP(I$10,'VK-Põlevkivi'!$C:$X,2+$G38,0))+IF(I$4="X",VLOOKUP(I$10,'VK-Võrgud'!$C:$X,2+$F38,0))</f>
        <v>24.79</v>
      </c>
      <c r="J38" s="209">
        <f>IF(J$7="X",VLOOKUP(J$10,'VK-Hooned-Soojus'!$C:$X,2+$C38,FALSE),0)+IF(J$6="X",VLOOKUP(J$10,'VK-Transport'!$C:$X,2+$B38,0))+IF(J$8="X",VLOOKUP(J$10,'VK-Elekter'!$C:$X,2+$D38,0))+IF(J$9="X",VLOOKUP(J$10,'VK-Biokütused'!$C:$U,2+$E38,0))+IF(J$5="X",VLOOKUP(J$10,'VK-Põlevkivi'!$C:$X,2+$G38,0))+IF(J$4="X",VLOOKUP(J$10,'VK-Võrgud'!$C:$X,2+$F38,0))</f>
        <v>13.295833333333334</v>
      </c>
      <c r="K38" s="209">
        <f>IF(K$7="X",VLOOKUP(K$10,'VK-Hooned-Soojus'!$C:$X,2+$C38,FALSE),0)+IF(K$6="X",VLOOKUP(K$10,'VK-Transport'!$C:$X,2+$B38,0))+IF(K$8="X",VLOOKUP(K$10,'VK-Elekter'!$C:$X,2+$D38,0))+IF(K$9="X",VLOOKUP(K$10,'VK-Biokütused'!$C:$U,2+$E38,0))+IF(K$5="X",VLOOKUP(K$10,'VK-Põlevkivi'!$C:$X,2+$G38,0))+IF(K$4="X",VLOOKUP(K$10,'VK-Võrgud'!$C:$X,2+$F38,0))</f>
        <v>15.27</v>
      </c>
      <c r="L38" s="209">
        <f>IF(L$7="X",VLOOKUP(L$10,'VK-Hooned-Soojus'!$C:$X,2+$C38,FALSE),0)+IF(L$6="X",VLOOKUP(L$10,'VK-Transport'!$C:$X,2+$B38,0))+IF(L$8="X",VLOOKUP(L$10,'VK-Elekter'!$C:$X,2+$D38,0))+IF(L$9="X",VLOOKUP(L$10,'VK-Biokütused'!$C:$U,2+$E38,0))+IF(L$5="X",VLOOKUP(L$10,'VK-Põlevkivi'!$C:$X,2+$G38,0))+IF(L$4="X",VLOOKUP(L$10,'VK-Võrgud'!$C:$X,2+$F38,0))</f>
        <v>24.2</v>
      </c>
      <c r="M38" s="209">
        <f>IF(M$7="X",VLOOKUP(M$10,'VK-Hooned-Soojus'!$C:$X,2+$C38,FALSE),0)+IF(M$6="X",VLOOKUP(M$10,'VK-Transport'!$C:$X,2+$B38,0))+IF(M$8="X",VLOOKUP(M$10,'VK-Elekter'!$C:$X,2+$D38,0))+IF(M$9="X",VLOOKUP(M$10,'VK-Biokütused'!$C:$U,2+$E38,0))+IF(M$5="X",VLOOKUP(M$10,'VK-Põlevkivi'!$C:$X,2+$G38,0))+IF(M$4="X",VLOOKUP(M$10,'VK-Võrgud'!$C:$X,2+$F38,0))</f>
        <v>11.289444444444445</v>
      </c>
      <c r="N38" s="209">
        <f>IF(N$7="X",VLOOKUP(N$10,'VK-Hooned-Soojus'!$C:$X,2+$C38,FALSE),0)+IF(N$6="X",VLOOKUP(N$10,'VK-Transport'!$C:$X,2+$B38,0))+IF(N$8="X",VLOOKUP(N$10,'VK-Elekter'!$C:$X,2+$D38,0))+IF(N$9="X",VLOOKUP(N$10,'VK-Biokütused'!$C:$U,2+$E38,0))+IF(N$5="X",VLOOKUP(N$10,'VK-Põlevkivi'!$C:$X,2+$G38,0))+IF(N$4="X",VLOOKUP(N$10,'VK-Võrgud'!$C:$X,2+$F38,0))</f>
        <v>16.09</v>
      </c>
      <c r="O38" s="209">
        <f t="shared" si="13"/>
        <v>38.085833333333333</v>
      </c>
      <c r="P38" s="209"/>
      <c r="Q38" s="209">
        <f>(IF(Q$7="X",VLOOKUP(Q$10,'VK-Hooned-Soojus'!$C:$X,2+$C38,FALSE),0)+IF(Q$6="X",VLOOKUP(Q$10,'VK-Transport'!$C:$X,2+$B38,0))+IF(Q$8="X",VLOOKUP(Q$10,'VK-Elekter'!$C:$X,2+$D38,0))+IF(Q$9="X",VLOOKUP(Q$10,'VK-Biokütused'!$C:$U,2+$E38,0))+IF(Q$5="X",VLOOKUP(Q$10,'VK-Põlevkivi'!$C:$X,2+$G38,0))+IF(Q$4="X",VLOOKUP(Q$10,'VK-Võrgud'!$C:$X,2+$F38,0)))/1000</f>
        <v>6.0640000000000001</v>
      </c>
      <c r="R38" s="209">
        <f>(IF(R$7="X",VLOOKUP(R$10,'VK-Hooned-Soojus'!$C:$X,2+$C38,FALSE),0)+IF(R$6="X",VLOOKUP(R$10,'VK-Transport'!$C:$X,2+$B38,0))+IF(R$8="X",VLOOKUP(R$10,'VK-Elekter'!$C:$X,2+$D38,0))+IF(R$9="X",VLOOKUP(R$10,'VK-Biokütused'!$C:$U,2+$E38,0))+IF(R$5="X",VLOOKUP(R$10,'VK-Põlevkivi'!$C:$X,2+$G38,0))+IF(R$4="X",VLOOKUP(R$10,'VK-Võrgud'!$C:$X,2+$F38,0)))/1000</f>
        <v>3.1566368215830605</v>
      </c>
      <c r="S38" s="226">
        <f>VLOOKUP(S$10,'VK-Hooned-Soojus'!$C:$I,2+$C38,FALSE) + VLOOKUP(S$10,'VK-Transport'!$C:$I,2+$B38,FALSE)+ VLOOKUP(S$10,'VK-Biokütused'!$C:$G,2+$E38,FALSE)+ VLOOKUP(S$10,'VK-Elekter'!$C:$I,2+$D38,FALSE)+ VLOOKUP(S$10,'VK-Põlevkivi'!$C:$I,2+$G38,FALSE)+ VLOOKUP(S$10,'VK-Võrgud'!$C:$I,2+$F38,FALSE)</f>
        <v>2.0458495093973631E-2</v>
      </c>
      <c r="T38" s="226">
        <f>VLOOKUP(T$10,'VK-Hooned-Soojus'!$C:$I,2+$C38,FALSE) + VLOOKUP(T$10,'VK-Transport'!$C:$I,2+$B38,FALSE)+ VLOOKUP(T$10,'VK-Biokütused'!$C:$G,2+$E38,FALSE)+ VLOOKUP(T$10,'VK-Elekter'!$C:$I,2+$D38,FALSE)+ VLOOKUP(T$10,'VK-Põlevkivi'!$C:$I,2+$G38,FALSE)+ VLOOKUP(T$10,'VK-Võrgud'!$C:$I,2+$F38,FALSE)</f>
        <v>4.3290694550797435E-3</v>
      </c>
      <c r="U38" s="226">
        <f>VLOOKUP(U$10,'VK-Hooned-Soojus'!$C:$I,2+$C38,FALSE) + VLOOKUP(U$10,'VK-Transport'!$C:$I,2+$B38,FALSE)+ VLOOKUP(U$10,'VK-Biokütused'!$C:$G,2+$E38,FALSE)+ VLOOKUP(U$10,'VK-Elekter'!$C:$I,2+$D38,FALSE)+ VLOOKUP(U$10,'VK-Põlevkivi'!$C:$I,2+$G38,FALSE)+ VLOOKUP(U$10,'VK-Võrgud'!$C:$I,2+$F38,FALSE)</f>
        <v>8.7708396066117078E-3</v>
      </c>
      <c r="V38" s="226">
        <f>VLOOKUP(V$10,'VK-Hooned-Soojus'!$C:$I,2+$C38,FALSE) + VLOOKUP(V$10,'VK-Transport'!$C:$I,2+$B38,FALSE)+ VLOOKUP(V$10,'VK-Biokütused'!$C:$G,2+$E38,FALSE)+ VLOOKUP(V$10,'VK-Elekter'!$C:$I,2+$D38,FALSE)+ VLOOKUP(V$10,'VK-Põlevkivi'!$C:$I,2+$G38,FALSE)+ VLOOKUP(V$10,'VK-Võrgud'!$C:$I,2+$F38,FALSE)</f>
        <v>1.1981677030479844E-2</v>
      </c>
      <c r="W38" s="226">
        <f>VLOOKUP(W$10,'VK-Hooned-Soojus'!$C:$I,2+$C38,FALSE) + VLOOKUP(W$10,'VK-Transport'!$C:$I,2+$B38,FALSE)+ VLOOKUP(W$10,'VK-Biokütused'!$C:$G,2+$E38,FALSE)+ VLOOKUP(W$10,'VK-Elekter'!$C:$I,2+$D38,FALSE)+ VLOOKUP(W$10,'VK-Põlevkivi'!$C:$I,2+$G38,FALSE)+ VLOOKUP(W$10,'VK-Võrgud'!$C:$I,2+$F38,FALSE)</f>
        <v>-2.9957567754624308E-3</v>
      </c>
      <c r="X38" s="226">
        <f>VLOOKUP(X$10,'VK-Hooned-Soojus'!$C:$I,2+$C38,FALSE) + VLOOKUP(X$10,'VK-Transport'!$C:$I,2+$B38,FALSE)+ VLOOKUP(X$10,'VK-Biokütused'!$C:$G,2+$E38,FALSE)+ VLOOKUP(X$10,'VK-Elekter'!$C:$I,2+$D38,FALSE)+ VLOOKUP(X$10,'VK-Põlevkivi'!$C:$I,2+$G38,FALSE)+ VLOOKUP(X$10,'VK-Võrgud'!$C:$I,2+$F38,FALSE)</f>
        <v>7.7224972560020894E-2</v>
      </c>
      <c r="Y38" s="226">
        <f>VLOOKUP(Y$10,'VK-Hooned-Soojus'!$C:$I,2+$C38,FALSE) + VLOOKUP(Y$10,'VK-Transport'!$C:$I,2+$B38,FALSE)+ VLOOKUP(Y$10,'VK-Biokütused'!$C:$G,2+$E38,FALSE)+ VLOOKUP(Y$10,'VK-Elekter'!$C:$I,2+$D38,FALSE)+ VLOOKUP(Y$10,'VK-Põlevkivi'!$C:$I,2+$G38,FALSE)+ VLOOKUP(Y$10,'VK-Võrgud'!$C:$I,2+$F38,FALSE)</f>
        <v>7.5393485343176636E-2</v>
      </c>
      <c r="Z38" s="227">
        <f>(S38*Tulemused!$Q$9*10+T38*Tulemused!$Q$10*10+KOMBI!U38*Tulemused!$Q$11*10+KOMBI!V38*Tulemused!$Q$12*10)*Tulemused!$Q$8+-(W38*Tulemused!$Q$14*10+KOMBI!X38*Tulemused!$Q$15*10+KOMBI!Y38*Tulemused!$Q$16*10)*Tulemused!$Q$13</f>
        <v>2.546621987885104</v>
      </c>
      <c r="AA38" s="228">
        <f>(IF(AA$7="X",VLOOKUP(AA$10,'VK-Hooned-Soojus'!$C:$X,2+$C38,FALSE),0)+IF(AA$6="X",VLOOKUP(AA$10,'VK-Transport'!$C:$X,2+$B38,0))+IF(AA$8="X",VLOOKUP(AA$10,'VK-Elekter'!$C:$X,2+$D38,0))+IF(AA$9="X",VLOOKUP(AA$10,'VK-Biokütused'!$C:$U,2+$E38,0))+IF(AA$5="X",VLOOKUP(AA$10,'VK-Põlevkivi'!$C:$X,2+$G38,0))+IF(AA$4="X",VLOOKUP(AA$10,'VK-Võrgud'!$C:$X,2+$F38,0)))</f>
        <v>4727</v>
      </c>
      <c r="AB38" s="228">
        <f>(IF(AB$7="X",VLOOKUP(AB$10,'VK-Hooned-Soojus'!$C:$X,2+$C38,FALSE),0)+IF(AB$6="X",VLOOKUP(AB$10,'VK-Transport'!$C:$X,2+$B38,0))+IF(AB$8="X",VLOOKUP(AB$10,'VK-Elekter'!$C:$X,2+$D38,0))+IF(AB$9="X",VLOOKUP(AB$10,'VK-Biokütused'!$C:$U,2+$E38,0))+IF(AB$5="X",VLOOKUP(AB$10,'VK-Põlevkivi'!$C:$X,2+$G38,0))+IF(AB$4="X",VLOOKUP(AB$10,'VK-Võrgud'!$C:$X,2+$F38,0)))</f>
        <v>1337</v>
      </c>
      <c r="AC38" s="228">
        <f>(IF(AC$7="X",VLOOKUP(AC$10,'VK-Hooned-Soojus'!$C:$X,2+$C38,FALSE),0)+IF(AC$6="X",VLOOKUP(AC$10,'VK-Transport'!$C:$X,2+$B38,0))+IF(AC$8="X",VLOOKUP(AC$10,'VK-Elekter'!$C:$X,2+$D38,0))+IF(AC$9="X",VLOOKUP(AC$10,'VK-Biokütused'!$C:$U,2+$E38,0))+IF(AC$5="X",VLOOKUP(AC$10,'VK-Põlevkivi'!$C:$X,2+$G38,0))+IF(AC$4="X",VLOOKUP(AC$10,'VK-Võrgud'!$C:$X,2+$F38,0)))</f>
        <v>2346</v>
      </c>
      <c r="AD38" s="228">
        <f>(IF(AD$7="X",VLOOKUP(AD$10,'VK-Hooned-Soojus'!$C:$X,2+$C38,FALSE),0)+IF(AD$6="X",VLOOKUP(AD$10,'VK-Transport'!$C:$X,2+$B38,0))+IF(AD$8="X",VLOOKUP(AD$10,'VK-Elekter'!$C:$X,2+$D38,0))+IF(AD$9="X",VLOOKUP(AD$10,'VK-Biokütused'!$C:$U,2+$E38,0))+IF(AD$5="X",VLOOKUP(AD$10,'VK-Põlevkivi'!$C:$X,2+$G38,0))+IF(AD$4="X",VLOOKUP(AD$10,'VK-Võrgud'!$C:$X,2+$F38,0)))</f>
        <v>0</v>
      </c>
      <c r="AE38" s="228">
        <f>(IF(AE$7="X",VLOOKUP(AE$10,'VK-Hooned-Soojus'!$C:$X,2+$C38,FALSE),0)+IF(AE$6="X",VLOOKUP(AE$10,'VK-Transport'!$C:$X,2+$B38,0))+IF(AE$8="X",VLOOKUP(AE$10,'VK-Elekter'!$C:$X,2+$D38,0))+IF(AE$9="X",VLOOKUP(AE$10,'VK-Biokütused'!$C:$U,2+$E38,0))+IF(AE$5="X",VLOOKUP(AE$10,'VK-Põlevkivi'!$C:$X,2+$G38,0))+IF(AE$4="X",VLOOKUP(AE$10,'VK-Võrgud'!$C:$X,2+$F38,0)))</f>
        <v>666</v>
      </c>
      <c r="AF38" s="228">
        <f>(IF(AF$7="X",VLOOKUP(AF$10,'VK-Hooned-Soojus'!$C:$X,2+$C38,FALSE),0)+IF(AF$6="X",VLOOKUP(AF$10,'VK-Transport'!$C:$X,2+$B38,0))+IF(AF$8="X",VLOOKUP(AF$10,'VK-Elekter'!$C:$X,2+$D38,0))+IF(AF$9="X",VLOOKUP(AF$10,'VK-Biokütused'!$C:$U,2+$E38,0))+IF(AF$5="X",VLOOKUP(AF$10,'VK-Põlevkivi'!$C:$X,2+$G38,0))+IF(AF$4="X",VLOOKUP(AF$10,'VK-Võrgud'!$C:$X,2+$F38,0)))</f>
        <v>2490.6368215830603</v>
      </c>
      <c r="AG38" s="209"/>
      <c r="AH38" s="209">
        <f>IF(AH$7="X",VLOOKUP(AH$10,'VK-Hooned-Soojus'!$C:$X,2+$C38,FALSE),0)+IF(AH$6="X",VLOOKUP(AH$10,'VK-Transport'!$C:$X,2+$B38,0))+IF(AH$8="X",VLOOKUP(AH$10,'VK-Elekter'!$C:$X,2+$D38,0))+IF(AH$9="X",VLOOKUP(AH$10,'VK-Biokütused'!$C:$U,2+$E38,0))+IF(AH$5="X",VLOOKUP(AH$10,'VK-Põlevkivi'!$C:$X,2+$G38,0))+IF(AH$4="X",VLOOKUP(AH$10,'VK-Võrgud'!$C:$X,2+$F38,0))</f>
        <v>17.400000000000002</v>
      </c>
      <c r="AI38" s="209">
        <f>IF(AI$7="X",VLOOKUP(AI$10,'VK-Hooned-Soojus'!$C:$X,2+$C38,FALSE),0)+IF(AI$6="X",VLOOKUP(AI$10,'VK-Transport'!$C:$X,2+$B38,0))+IF(AI$8="X",VLOOKUP(AI$10,'VK-Elekter'!$C:$X,2+$D38,0))+IF(AI$9="X",VLOOKUP(AI$10,'VK-Biokütused'!$C:$U,2+$E38,0))+IF(AI$5="X",VLOOKUP(AI$10,'VK-Põlevkivi'!$C:$X,2+$G38,0))+IF(AI$4="X",VLOOKUP(AI$10,'VK-Võrgud'!$C:$X,2+$F38,0))</f>
        <v>2.3100000000000005</v>
      </c>
      <c r="AJ38" s="209">
        <f>IF(AJ$7="X",VLOOKUP(AJ$10,'VK-Hooned-Soojus'!$C:$X,2+$C38,FALSE),0)+IF(AJ$6="X",VLOOKUP(AJ$10,'VK-Transport'!$C:$X,2+$B38,0))+IF(AJ$8="X",VLOOKUP(AJ$10,'VK-Elekter'!$C:$X,2+$D38,0))+IF(AJ$9="X",VLOOKUP(AJ$10,'VK-Biokütused'!$C:$U,2+$E38,0))+IF(AJ$5="X",VLOOKUP(AJ$10,'VK-Põlevkivi'!$C:$X,2+$G38,0))+IF(AJ$4="X",VLOOKUP(AJ$10,'VK-Võrgud'!$C:$X,2+$F38,0))</f>
        <v>4.59</v>
      </c>
      <c r="AK38" s="209">
        <f>IF(AK$7="X",VLOOKUP(AK$10,'VK-Hooned-Soojus'!$C:$X,2+$C38,FALSE),0)+IF(AK$6="X",VLOOKUP(AK$10,'VK-Transport'!$C:$X,2+$B38,0))+IF(AK$8="X",VLOOKUP(AK$10,'VK-Elekter'!$C:$X,2+$D38,0))+IF(AK$9="X",VLOOKUP(AK$10,'VK-Biokütused'!$C:$U,2+$E38,0))+IF(AK$5="X",VLOOKUP(AK$10,'VK-Põlevkivi'!$C:$X,2+$G38,0))+IF(AK$4="X",VLOOKUP(AK$10,'VK-Võrgud'!$C:$X,2+$F38,0))</f>
        <v>-0.41</v>
      </c>
      <c r="AL38" s="209">
        <f>IF(AL$7="X",VLOOKUP(AL$10,'VK-Hooned-Soojus'!$C:$X,2+$C38,FALSE),0)+IF(AL$6="X",VLOOKUP(AL$10,'VK-Transport'!$C:$X,2+$B38,0))+IF(AL$8="X",VLOOKUP(AL$10,'VK-Elekter'!$C:$X,2+$D38,0))+IF(AL$9="X",VLOOKUP(AL$10,'VK-Biokütused'!$C:$U,2+$E38,0))+IF(AL$5="X",VLOOKUP(AL$10,'VK-Põlevkivi'!$C:$X,2+$G38,0))+IF(AL$4="X",VLOOKUP(AL$10,'VK-Võrgud'!$C:$X,2+$F38,0))</f>
        <v>7.1999999999999993</v>
      </c>
      <c r="AM38" s="209">
        <f>IF(AM$7="X",VLOOKUP(AM$10,'VK-Hooned-Soojus'!$C:$X,2+$C38,FALSE),0)+IF(AM$6="X",VLOOKUP(AM$10,'VK-Transport'!$C:$X,2+$B38,0))+IF(AM$8="X",VLOOKUP(AM$10,'VK-Elekter'!$C:$X,2+$D38,0))+IF(AM$9="X",VLOOKUP(AM$10,'VK-Biokütused'!$C:$U,2+$E38,0))+IF(AM$5="X",VLOOKUP(AM$10,'VK-Põlevkivi'!$C:$X,2+$G38,0))+IF(AM$4="X",VLOOKUP(AM$10,'VK-Võrgud'!$C:$X,2+$F38,0))</f>
        <v>11.9</v>
      </c>
      <c r="AN38" s="209">
        <f>IF(AN$7="X",VLOOKUP(AN$10,'VK-Hooned-Soojus'!$C:$X,2+$C38,FALSE),0)+IF(AN$6="X",VLOOKUP(AN$10,'VK-Transport'!$C:$X,2+$B38,0))+IF(AN$8="X",VLOOKUP(AN$10,'VK-Elekter'!$C:$X,2+$D38,0))+IF(AN$9="X",VLOOKUP(AN$10,'VK-Biokütused'!$C:$U,2+$E38,0))+IF(AN$5="X",VLOOKUP(AN$10,'VK-Põlevkivi'!$C:$X,2+$G38,0))+IF(AN$4="X",VLOOKUP(AN$10,'VK-Võrgud'!$C:$X,2+$F38,0))</f>
        <v>4.8999999999999995</v>
      </c>
      <c r="AO38" s="209">
        <f>IF(AO$7="X",VLOOKUP(AO$10,'VK-Hooned-Soojus'!$C:$X,2+$C38,FALSE),0)+IF(AO$6="X",VLOOKUP(AO$10,'VK-Transport'!$C:$X,2+$B38,0))+IF(AO$8="X",VLOOKUP(AO$10,'VK-Elekter'!$C:$X,2+$D38,0))+IF(AO$9="X",VLOOKUP(AO$10,'VK-Biokütused'!$C:$U,2+$E38,0))+IF(AO$5="X",VLOOKUP(AO$10,'VK-Põlevkivi'!$C:$X,2+$G38,0))+IF(AO$4="X",VLOOKUP(AO$10,'VK-Võrgud'!$C:$X,2+$F38,0))</f>
        <v>12.56</v>
      </c>
      <c r="AP38" s="209">
        <f>IF(AP$7="X",VLOOKUP(AP$10,'VK-Hooned-Soojus'!$C:$X,2+$C38,FALSE),0)+IF(AP$6="X",VLOOKUP(AP$10,'VK-Transport'!$C:$X,2+$B38,0))+IF(AP$8="X",VLOOKUP(AP$10,'VK-Elekter'!$C:$X,2+$D38,0))+IF(AP$9="X",VLOOKUP(AP$10,'VK-Biokütused'!$C:$U,2+$E38,0))+IF(AP$5="X",VLOOKUP(AP$10,'VK-Põlevkivi'!$C:$X,2+$G38,0))+IF(AP$4="X",VLOOKUP(AP$10,'VK-Võrgud'!$C:$X,2+$F38,0))</f>
        <v>6.28</v>
      </c>
      <c r="AQ38" s="320">
        <f t="shared" si="14"/>
        <v>0.25999999999999979</v>
      </c>
      <c r="AR38" s="209">
        <f>IF(AR$7="X",VLOOKUP(AR$10,'VK-Hooned-Soojus'!$C:$X,2+$C38,FALSE),0)+IF(AR$6="X",VLOOKUP(AR$10,'VK-Transport'!$C:$X,2+$B38,0))+IF(AR$8="X",VLOOKUP(AR$10,'VK-Elekter'!$C:$X,2+$D38,0))+IF(AR$9="X",VLOOKUP(AR$10,'VK-Biokütused'!$C:$U,2+$E38,0))+IF(AR$5="X",VLOOKUP(AR$10,'VK-Põlevkivi'!$C:$X,2+$G38,0))+IF(AR$4="X",VLOOKUP(AR$10,'VK-Võrgud'!$C:$X,2+$F38,0))</f>
        <v>13.309999999999999</v>
      </c>
      <c r="AS38" s="235">
        <f>'VK-Põlevkivi'!$F$8-AR38-AU38</f>
        <v>14.298622986547709</v>
      </c>
      <c r="AT38" s="209">
        <f>IF(AT$7="X",VLOOKUP(AT$10,'VK-Hooned-Soojus'!$C:$X,2+$C38,FALSE),0)+IF(AT$6="X",VLOOKUP(AT$10,'VK-Transport'!$C:$X,2+$B38,0))+IF(AT$8="X",VLOOKUP(AT$10,'VK-Elekter'!$C:$X,2+$D38,0))+IF(AT$9="X",VLOOKUP(AT$10,'VK-Biokütused'!$C:$U,2+$E38,0))+IF(AT$5="X",VLOOKUP(AT$10,'VK-Põlevkivi'!$C:$X,2+$G38,0))+IF(AT$4="X",VLOOKUP(AT$10,'VK-Võrgud'!$C:$X,2+$F38,0))</f>
        <v>12.004929222526066</v>
      </c>
      <c r="AU38" s="235">
        <f>'VK-Põlevkivi'!$F$9-VLOOKUP("Kütuste tarbimine @ 2030 - PÕLEVKIVIÕLI",'VK-Hooned-Soojus'!$C:$X,2+$C38,FALSE)</f>
        <v>28.928043680118964</v>
      </c>
      <c r="AV38" s="209">
        <f>IF(AV$7="X",VLOOKUP(AV$10,'VK-Hooned-Soojus'!$C:$X,2+$C38,FALSE),0)+IF(AV$6="X",VLOOKUP(AV$10,'VK-Transport'!$C:$X,2+$B38,0))+IF(AV$8="X",VLOOKUP(AV$10,'VK-Elekter'!$C:$X,2+$D38,0))+IF(AV$9="X",VLOOKUP(AV$10,'VK-Biokütused'!$C:$U,2+$E38,0))+IF(AV$5="X",VLOOKUP(AV$10,'VK-Põlevkivi'!$C:$X,2+$G38,0))+IF(AV$4="X",VLOOKUP(AV$10,'VK-Võrgud'!$C:$X,2+$F38,0))</f>
        <v>1.1831224847375093</v>
      </c>
      <c r="AW38" s="209">
        <f>IF(AW$7="X",VLOOKUP(AW$10,'VK-Hooned-Soojus'!$C:$X,2+$C38,FALSE),0)+IF(AW$6="X",VLOOKUP(AW$10,'VK-Transport'!$C:$X,2+$B38,0))+IF(AW$8="X",VLOOKUP(AW$10,'VK-Elekter'!$C:$X,2+$D38,0))+IF(AW$9="X",VLOOKUP(AW$10,'VK-Biokütused'!$C:$U,2+$E38,0))+IF(AW$5="X",VLOOKUP(AW$10,'VK-Põlevkivi'!$C:$X,2+$G38,0))+IF(AW$4="X",VLOOKUP(AW$10,'VK-Võrgud'!$C:$X,2+$F38,0))</f>
        <v>0</v>
      </c>
      <c r="AX38" s="229">
        <f t="shared" si="34"/>
        <v>0</v>
      </c>
      <c r="AY38" s="229">
        <f t="shared" si="15"/>
        <v>1.1831224847375093</v>
      </c>
      <c r="AZ38" s="230">
        <f t="shared" si="0"/>
        <v>0.35345494134005595</v>
      </c>
      <c r="BA38" s="209">
        <f>IF(BA$7="X",VLOOKUP(BA$10,'VK-Hooned-Soojus'!$C:$X,2+$C38,FALSE),0)+IF(BA$6="X",VLOOKUP(BA$10,'VK-Transport'!$C:$X,2+$B38,0))+IF(BA$8="X",VLOOKUP(BA$10,'VK-Elekter'!$C:$X,2+$D38,0))+IF(BA$9="X",VLOOKUP(BA$10,'VK-Biokütused'!$C:$U,2+$E38,0))+IF(BA$5="X",VLOOKUP(BA$10,'VK-Põlevkivi'!$C:$X,2+$G38,0))+IF(BA$4="X",VLOOKUP(BA$10,'VK-Võrgud'!$C:$X,2+$F38,0))</f>
        <v>7.41</v>
      </c>
      <c r="BB38" s="209">
        <f>IF(BB$7="X",VLOOKUP(BB$10,'VK-Hooned-Soojus'!$C:$X,2+$C38,FALSE),0)+IF(BB$6="X",VLOOKUP(BB$10,'VK-Transport'!$C:$X,2+$B38,0))+IF(BB$8="X",VLOOKUP(BB$10,'VK-Elekter'!$C:$X,2+$D38,0))+IF(BB$9="X",VLOOKUP(BB$10,'VK-Biokütused'!$C:$U,2+$E38,0))+IF(BB$5="X",VLOOKUP(BB$10,'VK-Põlevkivi'!$C:$X,2+$G38,0))+IF(BB$4="X",VLOOKUP(BB$10,'VK-Võrgud'!$C:$X,2+$F38,0))</f>
        <v>2.96</v>
      </c>
      <c r="BC38" s="209">
        <f>IF(BC$7="X",VLOOKUP(BC$10,'VK-Hooned-Soojus'!$C:$X,2+$C38,FALSE),0)+IF(BC$6="X",VLOOKUP(BC$10,'VK-Transport'!$C:$X,2+$B38,0))+IF(BC$8="X",VLOOKUP(BC$10,'VK-Elekter'!$C:$X,2+$D38,0))+IF(BC$9="X",VLOOKUP(BC$10,'VK-Biokütused'!$C:$U,2+$E38,0))+IF(BC$5="X",VLOOKUP(BC$10,'VK-Põlevkivi'!$C:$X,2+$G38,0))+IF(BC$4="X",VLOOKUP(BC$10,'VK-Võrgud'!$C:$X,2+$F38,0))</f>
        <v>6.5993333333333322</v>
      </c>
      <c r="BD38" s="209">
        <f>IF(BD$7="X",VLOOKUP(BD$10,'VK-Hooned-Soojus'!$C:$X,2+$C38,FALSE),0)+IF(BD$6="X",VLOOKUP(BD$10,'VK-Transport'!$C:$X,2+$B38,0))+IF(BD$8="X",VLOOKUP(BD$10,'VK-Elekter'!$C:$X,2+$D38,0))+IF(BD$9="X",VLOOKUP(BD$10,'VK-Biokütused'!$C:$U,2+$E38,0))+IF(BD$5="X",VLOOKUP(BD$10,'VK-Põlevkivi'!$C:$X,2+$G38,0))+IF(BD$4="X",VLOOKUP(BD$10,'VK-Võrgud'!$C:$X,2+$F38,0))</f>
        <v>9.425416666666667</v>
      </c>
      <c r="BE38" s="230"/>
      <c r="BF38" s="229">
        <f t="shared" si="16"/>
        <v>0.23719430378475931</v>
      </c>
      <c r="BG38" s="209" t="e">
        <f>(IF(BG$7="X",VLOOKUP(BG$10,'VK-Hooned-Soojus'!$C:$X,2+$C38,FALSE),0)+IF(BG$6="X",VLOOKUP(BG$10,'VK-Transport'!$C:$X,2+$B38,0))+IF(BG$8="X",VLOOKUP(BG$10,'VK-Elekter'!$C:$X,2+$D38,0))+IF(BG$9="X",VLOOKUP(BG$10,'VK-Biokütused'!$C:$U,2+$E38,0))+IF(BG$5="X",VLOOKUP(BG$10,'VK-Põlevkivi'!$C:$X,2+$G38,0))+IF(BG$4="X",VLOOKUP(BG$10,'VK-Võrgud'!$C:$X,2+$F38,0)))/20</f>
        <v>#N/A</v>
      </c>
      <c r="BH38" s="209">
        <f>(IF(BH$7="X",VLOOKUP(BH$10,'VK-Hooned-Soojus'!$C:$X,2+$C38,FALSE),0)+IF(BH$6="X",VLOOKUP(BH$10,'VK-Transport'!$C:$X,2+$B38,0))+IF(BH$8="X",VLOOKUP(BH$10,'VK-Elekter'!$C:$X,2+$D38,0))+IF(BH$9="X",VLOOKUP(BH$10,'VK-Biokütused'!$C:$U,2+$E38,0))+IF(BH$5="X",VLOOKUP(BH$10,'VK-Põlevkivi'!$C:$X,2+$G38,0))+IF(BH$4="X",VLOOKUP(BH$10,'VK-Võrgud'!$C:$X,2+$F38,0)))/20</f>
        <v>45.08</v>
      </c>
      <c r="BI38" s="209">
        <f>(IF(BI$7="X",VLOOKUP(BI$10,'VK-Hooned-Soojus'!$C:$X,2+$C38,FALSE),0)+IF(BI$6="X",VLOOKUP(BI$10,'VK-Transport'!$C:$X,2+$B38,0))+IF(BI$8="X",VLOOKUP(BI$10,'VK-Elekter'!$C:$X,2+$D38,0))+IF(BI$9="X",VLOOKUP(BI$10,'VK-Biokütused'!$C:$U,2+$E38,0))+IF(BI$5="X",VLOOKUP(BI$10,'VK-Põlevkivi'!$C:$X,2+$G38,0))+IF(BI$4="X",VLOOKUP(BI$10,'VK-Võrgud'!$C:$X,2+$F38,0)))/16</f>
        <v>14.1875</v>
      </c>
      <c r="BJ38" s="209">
        <f>(IF(BJ$7="X",VLOOKUP(BJ$10,'VK-Hooned-Soojus'!$C:$X,2+$C38,FALSE),0)+IF(BJ$6="X",VLOOKUP(BJ$10,'VK-Transport'!$C:$X,2+$B38,0))+IF(BJ$8="X",VLOOKUP(BJ$10,'VK-Elekter'!$C:$X,2+$D38,0))+IF(BJ$9="X",VLOOKUP(BJ$10,'VK-Biokütused'!$C:$U,2+$E38,0))+IF(BJ$5="X",VLOOKUP(BJ$10,'VK-Põlevkivi'!$C:$X,2+$G38,0))+IF(BJ$4="X",VLOOKUP(BJ$10,'VK-Võrgud'!$C:$X,2+$F38,0)))/20</f>
        <v>3.91</v>
      </c>
      <c r="BK38" s="209"/>
      <c r="BL38" s="209"/>
      <c r="BM38" s="209"/>
      <c r="BN38" s="209" t="e">
        <f>(IF(BN$7="X",VLOOKUP(BN$10,'VK-Hooned-Soojus'!$C:$X,2+$C38,FALSE),0)+IF(BN$6="X",VLOOKUP(BN$10,'VK-Transport'!$C:$X,2+$B38,0))+IF(BN$8="X",VLOOKUP(BN$10,'VK-Elekter'!$C:$X,2+$D38,0))+IF(BN$9="X",VLOOKUP(BN$10,'VK-Biokütused'!$C:$U,2+$E38,0))+IF(BN$5="X",VLOOKUP(BN$10,'VK-Põlevkivi'!$C:$X,2+$G38,0))+IF(BN$4="X",VLOOKUP(BN$10,'VK-Võrgud'!$C:$X,2+$F38,0)))/16</f>
        <v>#N/A</v>
      </c>
      <c r="BO38" s="209">
        <f>(IF(BO$7="X",VLOOKUP(BO$10,'VK-Hooned-Soojus'!$C:$X,2+$C38,FALSE),0)+IF(BO$6="X",VLOOKUP(BO$10,'VK-Transport'!$C:$X,2+$B38,0))+IF(BO$8="X",VLOOKUP(BO$10,'VK-Elekter'!$C:$X,2+$D38,0))+IF(BO$9="X",VLOOKUP(BO$10,'VK-Biokütused'!$C:$U,2+$E38,0))+IF(BO$5="X",VLOOKUP(BO$10,'VK-Põlevkivi'!$C:$X,2+$G38,0))+IF(BO$4="X",VLOOKUP(BO$10,'VK-Võrgud'!$C:$X,2+$F38,0)))/16</f>
        <v>496.33125000000001</v>
      </c>
      <c r="BP38" s="209"/>
      <c r="BQ38" s="209">
        <f>(IF(BQ$7="X",VLOOKUP(BQ$10,'VK-Hooned-Soojus'!$C:$X,2+$C38,FALSE),0)+IF(BQ$6="X",VLOOKUP(BQ$10,'VK-Transport'!$C:$X,2+$B38,0))+IF(BQ$8="X",VLOOKUP(BQ$10,'VK-Elekter'!$C:$X,2+$D38,0))+IF(BQ$9="X",VLOOKUP(BQ$10,'VK-Biokütused'!$C:$U,2+$E38,0))+IF(BQ$5="X",VLOOKUP(BQ$10,'VK-Põlevkivi'!$C:$X,2+$G38,0))+IF(BQ$4="X",VLOOKUP(BQ$10,'VK-Võrgud'!$C:$X,2+$F38,0)))/16</f>
        <v>4.7249999999999996</v>
      </c>
      <c r="BR38" s="209">
        <f>(IF(BR$7="X",VLOOKUP(BR$10,'VK-Hooned-Soojus'!$C:$X,2+$C38,FALSE),0)+IF(BR$6="X",VLOOKUP(BR$10,'VK-Transport'!$C:$X,2+$B38,0))+IF(BR$8="X",VLOOKUP(BR$10,'VK-Elekter'!$C:$X,2+$D38,0))+IF(BR$9="X",VLOOKUP(BR$10,'VK-Biokütused'!$C:$U,2+$E38,0))+IF(BR$5="X",VLOOKUP(BR$10,'VK-Põlevkivi'!$C:$X,2+$G38,0))+IF(BR$4="X",VLOOKUP(BR$10,'VK-Võrgud'!$C:$X,2+$F38,0)))/16</f>
        <v>-74.512500000000003</v>
      </c>
      <c r="BS38" s="209">
        <f>(IF(BS$7="X",VLOOKUP(BS$10,'VK-Hooned-Soojus'!$C:$X,2+$C38,FALSE),0)+IF(BS$6="X",VLOOKUP(BS$10,'VK-Transport'!$C:$X,2+$B38,0))+IF(BS$8="X",VLOOKUP(BS$10,'VK-Elekter'!$C:$X,2+$D38,0))+IF(BS$9="X",VLOOKUP(BS$10,'VK-Biokütused'!$C:$U,2+$E38,0))+IF(BS$5="X",VLOOKUP(BS$10,'VK-Põlevkivi'!$C:$X,2+$G38,0))+IF(BS$4="X",VLOOKUP(BS$10,'VK-Võrgud'!$C:$X,2+$F38,0)))/16</f>
        <v>-100.68125000000001</v>
      </c>
      <c r="BT38" s="209"/>
      <c r="BU38" s="209"/>
      <c r="BV38" s="209">
        <f>(IF(BV$7="X",VLOOKUP(BV$10,'VK-Hooned-Soojus'!$C:$X,2+$C38,FALSE),0)+IF(BV$6="X",VLOOKUP(BV$10,'VK-Transport'!$C:$X,2+$B38,0))+IF(BV$8="X",VLOOKUP(BV$10,'VK-Elekter'!$C:$X,2+$D38,0))+IF(BV$9="X",VLOOKUP(BV$10,'VK-Biokütused'!$C:$U,2+$E38,0))+IF(BV$5="X",VLOOKUP(BV$10,'VK-Põlevkivi'!$C:$X,2+$G38,0))+IF(BV$4="X",VLOOKUP(BV$10,'VK-Võrgud'!$C:$X,2+$F38,0)))/16</f>
        <v>0</v>
      </c>
      <c r="BW38" s="209"/>
      <c r="BX38" s="209">
        <f>(IF(BX$7="X",VLOOKUP(BX$10,'VK-Hooned-Soojus'!$C:$X,2+$C38,FALSE),0)+IF(BX$6="X",VLOOKUP(BX$10,'VK-Transport'!$C:$X,2+$B38,0))+IF(BX$8="X",VLOOKUP(BX$10,'VK-Elekter'!$C:$X,2+$D38,0))+IF(BX$9="X",VLOOKUP(BX$10,'VK-Biokütused'!$C:$U,2+$E38,0))+IF(BX$5="X",VLOOKUP(BX$10,'VK-Põlevkivi'!$C:$X,2+$G38,0))+IF(BX$4="X",VLOOKUP(BX$10,'VK-Võrgud'!$C:$X,2+$F38,0)))/16</f>
        <v>-145.125</v>
      </c>
      <c r="BY38" s="209"/>
      <c r="BZ38" s="209"/>
      <c r="CA38" s="209" t="e">
        <f>(IF(CA$7="X",VLOOKUP(CA$10,'VK-Hooned-Soojus'!$C:$X,2+$C38,FALSE),0)+IF(CA$6="X",VLOOKUP(CA$10,'VK-Transport'!$C:$X,2+$B38,0))+IF(CA$8="X",VLOOKUP(CA$10,'VK-Elekter'!$C:$X,2+$D38,0))+IF(CA$9="X",VLOOKUP(CA$10,'VK-Biokütused'!$C:$U,2+$E38,0))+IF(CA$5="X",VLOOKUP(CA$10,'VK-Põlevkivi'!$C:$X,2+$G38,0))+IF(CA$4="X",VLOOKUP(CA$10,'VK-Võrgud'!$C:$X,2+$F38,0)))/16</f>
        <v>#N/A</v>
      </c>
      <c r="CB38" s="209">
        <f>(IF(CB$7="X",VLOOKUP(CB$10,'VK-Hooned-Soojus'!$C:$X,2+$C38,FALSE),0)+IF(CB$6="X",VLOOKUP(CB$10,'VK-Transport'!$C:$X,2+$B38,0))+IF(CB$8="X",VLOOKUP(CB$10,'VK-Elekter'!$C:$X,2+$D38,0))+IF(CB$9="X",VLOOKUP(CB$10,'VK-Biokütused'!$C:$U,2+$E38,0))+IF(CB$5="X",VLOOKUP(CB$10,'VK-Põlevkivi'!$C:$X,2+$G38,0))+IF(CB$4="X",VLOOKUP(CB$10,'VK-Võrgud'!$C:$X,2+$F38,0)))/16</f>
        <v>0</v>
      </c>
      <c r="CC38" s="209">
        <f>(IF(CC$7="X",VLOOKUP(CC$10,'VK-Hooned-Soojus'!$C:$X,2+$C38,FALSE),0)+IF(CC$6="X",VLOOKUP(CC$10,'VK-Transport'!$C:$X,2+$B38,0))+IF(CC$8="X",VLOOKUP(CC$10,'VK-Elekter'!$C:$X,2+$D38,0))+IF(CC$9="X",VLOOKUP(CC$10,'VK-Biokütused'!$C:$U,2+$E38,0))+IF(CC$5="X",VLOOKUP(CC$10,'VK-Põlevkivi'!$C:$X,2+$G38,0))+IF(CC$4="X",VLOOKUP(CC$10,'VK-Võrgud'!$C:$X,2+$F38,0)))/16</f>
        <v>0</v>
      </c>
      <c r="CD38" s="209"/>
      <c r="CE38" s="209">
        <f>(IF(CE$7="X",VLOOKUP(CE$10,'VK-Hooned-Soojus'!$C:$X,2+$C38,FALSE),0)+IF(CE$6="X",VLOOKUP(CE$10,'VK-Transport'!$C:$X,2+$B38,0))+IF(CE$8="X",VLOOKUP(CE$10,'VK-Elekter'!$C:$X,2+$D38,0))+IF(CE$9="X",VLOOKUP(CE$10,'VK-Biokütused'!$C:$U,2+$E38,0))+IF(CE$5="X",VLOOKUP(CE$10,'VK-Põlevkivi'!$C:$X,2+$G38,0))+IF(CE$4="X",VLOOKUP(CE$10,'VK-Võrgud'!$C:$X,2+$F38,0)))/16</f>
        <v>24.15625</v>
      </c>
      <c r="CF38" s="209"/>
      <c r="CG38" s="209">
        <f>(IF(CG$7="X",VLOOKUP(CG$10,'VK-Hooned-Soojus'!$C:$X,2+$C38,FALSE),0)+IF(CG$6="X",VLOOKUP(CG$10,'VK-Transport'!$C:$X,2+$B38,0))+IF(CG$8="X",VLOOKUP(CG$10,'VK-Elekter'!$C:$X,2+$D38,0))+IF(CG$9="X",VLOOKUP(CG$10,'VK-Biokütused'!$C:$U,2+$E38,0))+IF(CG$5="X",VLOOKUP(CG$10,'VK-Põlevkivi'!$C:$X,2+$G38,0))+IF(CG$4="X",VLOOKUP(CG$10,'VK-Võrgud'!$C:$X,2+$F38,0)))/16</f>
        <v>0</v>
      </c>
      <c r="CH38" s="209">
        <f>(IF(CH$7="X",VLOOKUP(CH$10,'VK-Hooned-Soojus'!$C:$X,2+$C38,FALSE),0)+IF(CH$6="X",VLOOKUP(CH$10,'VK-Transport'!$C:$X,2+$B38,0))+IF(CH$8="X",VLOOKUP(CH$10,'VK-Elekter'!$C:$X,2+$D38,0))+IF(CH$9="X",VLOOKUP(CH$10,'VK-Biokütused'!$C:$U,2+$E38,0))+IF(CH$5="X",VLOOKUP(CH$10,'VK-Põlevkivi'!$C:$X,2+$G38,0))+IF(CH$4="X",VLOOKUP(CH$10,'VK-Võrgud'!$C:$X,2+$F38,0)))/20*0.21</f>
        <v>11.225549999999998</v>
      </c>
      <c r="CI38" s="209"/>
      <c r="CJ38" s="209">
        <f>(IF(CJ$7="X",VLOOKUP(CJ$10,'VK-Hooned-Soojus'!$C:$X,2+$C38,FALSE),0)+IF(CJ$6="X",VLOOKUP(CJ$10,'VK-Transport'!$C:$X,2+$B38,0))+IF(CJ$8="X",VLOOKUP(CJ$10,'VK-Elekter'!$C:$X,2+$D38,0))+IF(CJ$9="X",VLOOKUP(CJ$10,'VK-Biokütused'!$C:$U,2+$E38,0))+IF(CJ$5="X",VLOOKUP(CJ$10,'VK-Põlevkivi'!$C:$X,2+$G38,0))+IF(CJ$4="X",VLOOKUP(CJ$10,'VK-Võrgud'!$C:$X,2+$F38,0)))/1000</f>
        <v>23.757000000000001</v>
      </c>
      <c r="CK38" s="209">
        <f>(IF(CK$7="X",VLOOKUP(CK$10,'VK-Hooned-Soojus'!$C:$X,2+$C38,FALSE),0)+IF(CK$6="X",VLOOKUP(CK$10,'VK-Transport'!$C:$X,2+$B38,0))+IF(CK$8="X",VLOOKUP(CK$10,'VK-Elekter'!$C:$X,2+$D38,0))+IF(CK$9="X",VLOOKUP(CK$10,'VK-Biokütused'!$C:$U,2+$E38,0))+IF(CK$5="X",VLOOKUP(CK$10,'VK-Põlevkivi'!$C:$X,2+$G38,0))+IF(CK$4="X",VLOOKUP(CK$10,'VK-Võrgud'!$C:$X,2+$F38,0)))/1000</f>
        <v>38.49371614017182</v>
      </c>
      <c r="CL38" s="209">
        <f>(IF(CL$7="X",VLOOKUP(CL$10,'VK-Hooned-Soojus'!$C:$X,2+$C38,FALSE),0)+IF(CL$6="X",VLOOKUP(CL$10,'VK-Transport'!$C:$X,2+$B38,0))+IF(CL$8="X",VLOOKUP(CL$10,'VK-Elekter'!$C:$X,2+$D38,0))+IF(CL$9="X",VLOOKUP(CL$10,'VK-Biokütused'!$C:$U,2+$E38,0))+IF(CL$5="X",VLOOKUP(CL$10,'VK-Põlevkivi'!$C:$X,2+$G38,0))+IF(CL$4="X",VLOOKUP(CL$10,'VK-Võrgud'!$C:$X,2+$F38,0)))/1000</f>
        <v>12.486233270393459</v>
      </c>
      <c r="CM38" s="209">
        <f>(IF(CM$7="X",VLOOKUP(CM$10,'VK-Hooned-Soojus'!$C:$X,2+$C38,FALSE),0)+IF(CM$6="X",VLOOKUP(CM$10,'VK-Transport'!$C:$X,2+$B38,0))+IF(CM$8="X",VLOOKUP(CM$10,'VK-Elekter'!$C:$X,2+$D38,0))+IF(CM$9="X",VLOOKUP(CM$10,'VK-Biokütused'!$C:$U,2+$E38,0))+IF(CM$5="X",VLOOKUP(CM$10,'VK-Põlevkivi'!$C:$X,2+$G38,0))+IF(CM$4="X",VLOOKUP(CM$10,'VK-Võrgud'!$C:$X,2+$F38,0)))/1000</f>
        <v>7.7549896156049165</v>
      </c>
      <c r="CN38" s="209">
        <f>(IF(CN$7="X",VLOOKUP(CN$10,'VK-Hooned-Soojus'!$C:$X,2+$C38,FALSE),0)+IF(CN$6="X",VLOOKUP(CN$10,'VK-Transport'!$C:$X,2+$B38,0))+IF(CN$8="X",VLOOKUP(CN$10,'VK-Elekter'!$C:$X,2+$D38,0))+IF(CN$9="X",VLOOKUP(CN$10,'VK-Biokütused'!$C:$U,2+$E38,0))+IF(CN$5="X",VLOOKUP(CN$10,'VK-Põlevkivi'!$C:$X,2+$G38,0))+IF(CN$4="X",VLOOKUP(CN$10,'VK-Võrgud'!$C:$X,2+$F38,0)))/1000</f>
        <v>2.851</v>
      </c>
      <c r="CO38" s="209">
        <f>(IF(CO$7="X",VLOOKUP(CO$10,'VK-Hooned-Soojus'!$C:$X,2+$C38,FALSE),0)+IF(CO$6="X",VLOOKUP(CO$10,'VK-Transport'!$C:$X,2+$B38,0))+IF(CO$8="X",VLOOKUP(CO$10,'VK-Elekter'!$C:$X,2+$D38,0))+IF(CO$9="X",VLOOKUP(CO$10,'VK-Biokütused'!$C:$U,2+$E38,0))+IF(CO$5="X",VLOOKUP(CO$10,'VK-Põlevkivi'!$C:$X,2+$G38,0))+IF(CO$4="X",VLOOKUP(CO$10,'VK-Võrgud'!$C:$X,2+$F38,0)))/1000</f>
        <v>30.645649773285456</v>
      </c>
      <c r="CP38" s="209">
        <f>(IF(CP$7="X",VLOOKUP(CP$10,'VK-Hooned-Soojus'!$C:$X,2+$C38,FALSE),0)+IF(CP$6="X",VLOOKUP(CP$10,'VK-Transport'!$C:$X,2+$B38,0))+IF(CP$8="X",VLOOKUP(CP$10,'VK-Elekter'!$C:$X,2+$D38,0))+IF(CP$9="X",VLOOKUP(CP$10,'VK-Biokütused'!$C:$U,2+$E38,0))+IF(CP$5="X",VLOOKUP(CP$10,'VK-Põlevkivi'!$C:$X,2+$G38,0))+IF(CP$4="X",VLOOKUP(CP$10,'VK-Võrgud'!$C:$X,2+$F38,0)))/1000</f>
        <v>32.340430478599885</v>
      </c>
      <c r="CQ38" s="209">
        <f>(IF(CQ$7="X",VLOOKUP(CQ$10,'VK-Hooned-Soojus'!$C:$X,2+$C38,FALSE),0)+IF(CQ$6="X",VLOOKUP(CQ$10,'VK-Transport'!$C:$X,2+$B38,0))+IF(CQ$8="X",VLOOKUP(CQ$10,'VK-Elekter'!$C:$X,2+$D38,0))+IF(CQ$9="X",VLOOKUP(CQ$10,'VK-Biokütused'!$C:$U,2+$E38,0))+IF(CQ$5="X",VLOOKUP(CQ$10,'VK-Põlevkivi'!$C:$X,2+$G38,0))+IF(CQ$4="X",VLOOKUP(CQ$10,'VK-Võrgud'!$C:$X,2+$F38,0)))/1000</f>
        <v>17.367906999999999</v>
      </c>
      <c r="CR38" s="209">
        <f>(IF(CR$7="X",VLOOKUP(CR$10,'VK-Hooned-Soojus'!$C:$X,2+$C38,FALSE),0)+IF(CR$6="X",VLOOKUP(CR$10,'VK-Transport'!$C:$X,2+$B38,0))+IF(CR$8="X",VLOOKUP(CR$10,'VK-Elekter'!$C:$X,2+$D38,0))+IF(CR$9="X",VLOOKUP(CR$10,'VK-Biokütused'!$C:$U,2+$E38,0))+IF(CR$5="X",VLOOKUP(CR$10,'VK-Põlevkivi'!$C:$X,2+$G38,0))+IF(CR$4="X",VLOOKUP(CR$10,'VK-Võrgud'!$C:$X,2+$F38,0)))/1000</f>
        <v>8.2197533562748024</v>
      </c>
      <c r="CS38" s="209">
        <f>(IF(CS$7="X",VLOOKUP(CS$10,'VK-Hooned-Soojus'!$C:$X,2+$C38,FALSE),0)+IF(CS$6="X",VLOOKUP(CS$10,'VK-Transport'!$C:$X,2+$B38,0))+IF(CS$8="X",VLOOKUP(CS$10,'VK-Elekter'!$C:$X,2+$D38,0))+IF(CS$9="X",VLOOKUP(CS$10,'VK-Biokütused'!$C:$U,2+$E38,0))+IF(CS$5="X",VLOOKUP(CS$10,'VK-Põlevkivi'!$C:$X,2+$G38,0))+IF(CS$4="X",VLOOKUP(CS$10,'VK-Võrgud'!$C:$X,2+$F38,0)))/1000</f>
        <v>3.966152405121615</v>
      </c>
      <c r="CT38" s="209">
        <f>IF(CT$7="X",VLOOKUP(CT$10,'VK-Hooned-Soojus'!$C:$X,2+$C38,FALSE),0)+IF(CT$6="X",VLOOKUP(CT$10,'VK-Transport'!$C:$X,2+$B38,0))+IF(CT$8="X",VLOOKUP(CT$10,'VK-Elekter'!$C:$X,2+$D38,0))+IF(CT$9="X",VLOOKUP(CT$10,'VK-Biokütused'!$C:$U,2+$E38,0))+IF(CT$5="X",VLOOKUP(CT$10,'VK-Põlevkivi'!$C:$X,2+$G38,0))+IF(CT$4="X",VLOOKUP(CT$10,'VK-Võrgud'!$C:$X,2+$F38,0))</f>
        <v>90</v>
      </c>
      <c r="CU38" s="209">
        <f>IF(CU$7="X",VLOOKUP(CU$10,'VK-Hooned-Soojus'!$C:$X,2+$C38,FALSE),0)+IF(CU$6="X",VLOOKUP(CU$10,'VK-Transport'!$C:$X,2+$B38,0))+IF(CU$8="X",VLOOKUP(CU$10,'VK-Elekter'!$C:$X,2+$D38,0))+IF(CU$9="X",VLOOKUP(CU$10,'VK-Biokütused'!$C:$U,2+$E38,0))+IF(CU$5="X",VLOOKUP(CU$10,'VK-Põlevkivi'!$C:$X,2+$G38,0))+IF(CU$4="X",VLOOKUP(CU$10,'VK-Võrgud'!$C:$X,2+$F38,0))</f>
        <v>1</v>
      </c>
      <c r="CV38" s="209">
        <f t="shared" si="1"/>
        <v>1</v>
      </c>
      <c r="CW38" s="209">
        <f>(IF(CW$7="X",VLOOKUP(CW$10,'VK-Hooned-Soojus'!$C:$X,2+$C38,FALSE),0)+IF(CW$6="X",VLOOKUP(CW$10,'VK-Transport'!$C:$X,2+$B38,0))+IF(CW$8="X",VLOOKUP(CW$10,'VK-Elekter'!$C:$X,2+$D38,0))+IF(CW$9="X",VLOOKUP(CW$10,'VK-Biokütused'!$C:$U,2+$E38,0))+IF(CW$5="X",VLOOKUP(CW$10,'VK-Põlevkivi'!$C:$X,2+$G38,0))+IF(CW$4="X",VLOOKUP(CW$10,'VK-Võrgud'!$C:$X,2+$F38,0)))/16</f>
        <v>0</v>
      </c>
      <c r="CY38" s="209">
        <f>(IF(CY$7="X",VLOOKUP(CY$10,'VK-Hooned-Soojus'!$C:$X,2+$C38,FALSE),0)+IF(CY$6="X",VLOOKUP(CY$10,'VK-Transport'!$C:$X,2+$B38,0))+IF(CY$8="X",VLOOKUP(CY$10,'VK-Elekter'!$C:$X,2+$D38,0))+IF(CY$9="X",VLOOKUP(CY$10,'VK-Biokütused'!$C:$U,2+$E38,0))+IF(CY$5="X",VLOOKUP(CY$10,'VK-Põlevkivi'!$C:$X,2+$G38,0))+IF(CY$4="X",VLOOKUP(CY$10,'VK-Võrgud'!$C:$X,2+$F38,0)))/1000</f>
        <v>11.885999999999999</v>
      </c>
      <c r="CZ38" s="209">
        <f>(IF(CZ$7="X",VLOOKUP(CZ$10,'VK-Hooned-Soojus'!$C:$X,2+$C38,FALSE),0)+IF(CZ$6="X",VLOOKUP(CZ$10,'VK-Transport'!$C:$X,2+$B38,0))+IF(CZ$8="X",VLOOKUP(CZ$10,'VK-Elekter'!$C:$X,2+$D38,0))+IF(CZ$9="X",VLOOKUP(CZ$10,'VK-Biokütused'!$C:$U,2+$E38,0))+IF(CZ$5="X",VLOOKUP(CZ$10,'VK-Põlevkivi'!$C:$X,2+$G38,0))+IF(CZ$4="X",VLOOKUP(CZ$10,'VK-Võrgud'!$C:$X,2+$F38,0)))</f>
        <v>98</v>
      </c>
      <c r="DA38" s="209">
        <f>(IF(DA$7="X",VLOOKUP(DA$10,'VK-Hooned-Soojus'!$C:$X,2+$C38,FALSE),0)+IF(DA$6="X",VLOOKUP(DA$10,'VK-Transport'!$C:$X,2+$B38,0))+IF(DA$8="X",VLOOKUP(DA$10,'VK-Elekter'!$C:$X,2+$D38,0))+IF(DA$9="X",VLOOKUP(DA$10,'VK-Biokütused'!$C:$U,2+$E38,0))+IF(DA$5="X",VLOOKUP(DA$10,'VK-Põlevkivi'!$C:$X,2+$G38,0))+IF(DA$4="X",VLOOKUP(DA$10,'VK-Võrgud'!$C:$X,2+$F38,0)))/1000</f>
        <v>17.079999999999998</v>
      </c>
      <c r="DB38" s="209">
        <f>(IF(DB$7="X",VLOOKUP(DB$10,'VK-Hooned-Soojus'!$C:$X,2+$C38,FALSE),0)+IF(DB$6="X",VLOOKUP(DB$10,'VK-Transport'!$C:$X,2+$B38,0))+IF(DB$8="X",VLOOKUP(DB$10,'VK-Elekter'!$C:$X,2+$D38,0))+IF(DB$9="X",VLOOKUP(DB$10,'VK-Biokütused'!$C:$U,2+$E38,0))+IF(DB$5="X",VLOOKUP(DB$10,'VK-Põlevkivi'!$C:$X,2+$G38,0))+IF(DB$4="X",VLOOKUP(DB$10,'VK-Võrgud'!$C:$X,2+$F38,0)))/1000/3.6</f>
        <v>138.7813888888889</v>
      </c>
      <c r="DC38" s="209">
        <f>(IF(DC$7="X",VLOOKUP(DC$10,'VK-Hooned-Soojus'!$C:$X,2+$C38,FALSE),0)+IF(DC$6="X",VLOOKUP(DC$10,'VK-Transport'!$C:$X,2+$B38,0))+IF(DC$8="X",VLOOKUP(DC$10,'VK-Elekter'!$C:$X,2+$D38,0))+IF(DC$9="X",VLOOKUP(DC$10,'VK-Biokütused'!$C:$U,2+$E38,0))+IF(DC$5="X",VLOOKUP(DC$10,'VK-Põlevkivi'!$C:$X,2+$G38,0))+IF(DC$4="X",VLOOKUP(DC$10,'VK-Võrgud'!$C:$X,2+$F38,0)))/1000000</f>
        <v>7.5743869999999998</v>
      </c>
      <c r="DD38" s="209"/>
      <c r="DE38" s="88">
        <f>VLOOKUP(Tulemused!$BN$12,data!M$7:N$12,2,FALSE)-SUM(L38,M38)</f>
        <v>-2.6566444444444528</v>
      </c>
      <c r="DF38" s="209" t="str">
        <f>IF(AZ38&lt;=VLOOKUP(Tulemused!$BN$15,data!$E$36:$F$39,2,FALSE),"JAH","EI")</f>
        <v>JAH</v>
      </c>
      <c r="DG38" s="209"/>
      <c r="DH38" s="209">
        <f t="shared" si="2"/>
        <v>6.28</v>
      </c>
      <c r="DI38" s="231" t="str">
        <f t="shared" si="17"/>
        <v>EI</v>
      </c>
      <c r="DK38" s="232">
        <f t="shared" si="3"/>
        <v>-997.45337801211485</v>
      </c>
      <c r="DM38" s="233">
        <f t="shared" si="4"/>
        <v>-992.08666366979412</v>
      </c>
      <c r="DN38" s="87">
        <f t="array" ref="DN38">INDEX($A$11:$A$145, SMALL(IF(DM38=$DK$11:$DK$145, MATCH(ROW($DK$11:$DK$145), ROW($DK$11:$DK$145))), SUM(--(DM38=$DM$11:DM38))))</f>
        <v>85</v>
      </c>
      <c r="DP38" s="87" t="e">
        <f t="shared" ca="1" si="18"/>
        <v>#N/A</v>
      </c>
      <c r="DQ38" s="87" t="e">
        <f t="shared" ca="1" si="19"/>
        <v>#N/A</v>
      </c>
      <c r="DR38" s="87">
        <f t="shared" ca="1" si="20"/>
        <v>0</v>
      </c>
      <c r="DS38" s="87" t="e">
        <f t="shared" ca="1" si="21"/>
        <v>#N/A</v>
      </c>
      <c r="DT38" s="87">
        <f t="shared" ca="1" si="22"/>
        <v>0</v>
      </c>
      <c r="DU38" s="87" t="e">
        <f t="shared" ca="1" si="23"/>
        <v>#N/A</v>
      </c>
      <c r="DV38" s="87" t="e">
        <f t="shared" ca="1" si="24"/>
        <v>#N/A</v>
      </c>
      <c r="DW38" s="87">
        <f t="shared" ca="1" si="25"/>
        <v>0</v>
      </c>
      <c r="DX38" s="87">
        <f t="shared" ca="1" si="26"/>
        <v>0</v>
      </c>
      <c r="DZ38" s="87">
        <f t="shared" ca="1" si="35"/>
        <v>0</v>
      </c>
      <c r="EB38" s="87">
        <f t="shared" ca="1" si="27"/>
        <v>0</v>
      </c>
      <c r="EC38" s="87" t="e">
        <f t="shared" ca="1" si="28"/>
        <v>#N/A</v>
      </c>
      <c r="EE38" s="228">
        <f>(IF(EE$7="X",VLOOKUP(EE$10,'VK-Hooned-Soojus'!$C:$X,2+$C38,FALSE),0)+IF(EE$6="X",VLOOKUP(EE$10,'VK-Transport'!$C:$X,2+$B38,0))+IF(EE$8="X",VLOOKUP(EE$10,'VK-Elekter'!$C:$X,2+$D38,0))+IF(EE$9="X",VLOOKUP(EE$10,'VK-Biokütused'!$C:$U,2+$E38,0))+IF(EE$5="X",VLOOKUP(EE$10,'VK-Põlevkivi'!$C:$X,2+$G38,0))+IF(EE$4="X",VLOOKUP(EE$10,'VK-Võrgud'!$C:$X,2+$F38,0)))</f>
        <v>5642.4158746440698</v>
      </c>
      <c r="EF38" s="209">
        <f>(IF(EF$7="X",VLOOKUP(EF$10,'VK-Hooned-Soojus'!$C:$X,2+$C38,FALSE),0)+IF(EF$6="X",VLOOKUP(EF$10,'VK-Transport'!$C:$X,2+$B38,0))+IF(EF$8="X",VLOOKUP(EF$10,'VK-Elekter'!$C:$X,2+$D38,0))+IF(EF$9="X",VLOOKUP(EF$10,'VK-Biokütused'!$C:$U,2+$E38,0))+IF(EF$5="X",VLOOKUP(EF$10,'VK-Põlevkivi'!$C:$X,2+$G38,0))+IF(EF$4="X",VLOOKUP(EF$10,'VK-Võrgud'!$C:$X,2+$F38,0)))/1000</f>
        <v>9.4406368215830607</v>
      </c>
      <c r="EG38" s="209">
        <f>(IF(EG$7="X",VLOOKUP(EG$10,'VK-Hooned-Soojus'!$C:$X,2+$C38,FALSE),0)+IF(EG$6="X",VLOOKUP(EG$10,'VK-Transport'!$C:$X,2+$B38,0))+IF(EG$8="X",VLOOKUP(EG$10,'VK-Elekter'!$C:$X,2+$D38,0))+IF(EG$9="X",VLOOKUP(EG$10,'VK-Biokütused'!$C:$U,2+$E38,0))+IF(EG$5="X",VLOOKUP(EG$10,'VK-Põlevkivi'!$C:$X,2+$G38,0))+IF(EG$4="X",VLOOKUP(EG$10,'VK-Võrgud'!$C:$X,2+$F38,0)))</f>
        <v>0.81</v>
      </c>
      <c r="EH38" s="209">
        <f>(IF(EH$7="X",VLOOKUP(EH$10,'VK-Hooned-Soojus'!$C:$X,2+$C38,FALSE),0)+IF(EH$6="X",VLOOKUP(EH$10,'VK-Transport'!$C:$X,2+$B38,0))+IF(EH$8="X",VLOOKUP(EH$10,'VK-Elekter'!$C:$X,2+$D38,0))+IF(EH$9="X",VLOOKUP(EH$10,'VK-Biokütused'!$C:$U,2+$E38,0)))+AR38+AS38+AU38+AX38</f>
        <v>93.824722222222221</v>
      </c>
      <c r="EI38" s="320">
        <f t="shared" si="6"/>
        <v>64.89667854210326</v>
      </c>
      <c r="EJ38" s="322">
        <f t="shared" si="7"/>
        <v>2.1267750475898739E-2</v>
      </c>
      <c r="EK38" s="323">
        <f t="shared" si="29"/>
        <v>0.35626210493151461</v>
      </c>
      <c r="EM38" s="209"/>
      <c r="EN38" s="209">
        <f t="shared" ca="1" si="8"/>
        <v>0</v>
      </c>
      <c r="EO38" s="209"/>
      <c r="EP38" s="234"/>
      <c r="EQ38" s="209">
        <f>(IF(EQ$7="X",VLOOKUP(EQ$10,'VK-Hooned-Soojus'!$C:$X,2+$C38,FALSE),0)+IF(EQ$6="X",VLOOKUP(EQ$10,'VK-Transport'!$C:$X,2+$B38,0))+IF(EQ$8="X",VLOOKUP(EQ$10,'VK-Elekter'!$C:$X,2+$D38,0))+IF(EQ$9="X",VLOOKUP(EQ$10,'VK-Biokütused'!$C:$U,2+$E38,0))+IF(EQ$5="X",VLOOKUP(EQ$10,'VK-Põlevkivi'!$C:$X,2+$G38,0))+IF(EQ$4="X",VLOOKUP(EQ$10,'VK-Võrgud'!$C:$X,2+$F38,0)))/1000</f>
        <v>0.21099999999999999</v>
      </c>
      <c r="ER38" s="209">
        <f>(IF(ER$7="X",VLOOKUP(ER$10,'VK-Hooned-Soojus'!$C:$X,2+$C38,FALSE),0)+IF(ER$6="X",VLOOKUP(ER$10,'VK-Transport'!$C:$X,2+$B38,0))+IF(ER$8="X",VLOOKUP(ER$10,'VK-Elekter'!$C:$X,2+$D38,0))+IF(ER$9="X",VLOOKUP(ER$10,'VK-Biokütused'!$C:$U,2+$E38,0))+IF(ER$5="X",VLOOKUP(ER$10,'VK-Põlevkivi'!$C:$X,2+$G38,0))+IF(ER$4="X",VLOOKUP(ER$10,'VK-Võrgud'!$C:$X,2+$F38,0)))</f>
        <v>0.76300000000000001</v>
      </c>
      <c r="ES38" s="209">
        <f>(IF(ES$7="X",VLOOKUP(ES$10,'VK-Hooned-Soojus'!$C:$X,2+$C38,FALSE),0)+IF(ES$6="X",VLOOKUP(ES$10,'VK-Transport'!$C:$X,2+$B38,0))+IF(ES$8="X",VLOOKUP(ES$10,'VK-Elekter'!$C:$X,2+$D38,0))+IF(ES$9="X",VLOOKUP(ES$10,'VK-Biokütused'!$C:$U,2+$E38,0))+IF(ES$5="X",VLOOKUP(ES$10,'VK-Põlevkivi'!$C:$X,2+$G38,0))+IF(ES$4="X",VLOOKUP(ES$10,'VK-Võrgud'!$C:$X,2+$F38,0)))</f>
        <v>6.28</v>
      </c>
      <c r="ET38" s="209"/>
      <c r="EU38" s="209"/>
      <c r="EV38" s="87">
        <f>'KSH järjestus'!AS31</f>
        <v>1986</v>
      </c>
      <c r="EX38" s="236"/>
      <c r="EY38" s="236"/>
      <c r="EZ38" s="237">
        <f t="shared" si="9"/>
        <v>0</v>
      </c>
      <c r="FA38" s="209">
        <f>IF(FA$7="X",VLOOKUP(FA$10,'VK-Hooned-Soojus'!$C:$X,2+$C38,FALSE),0)+IF(FA$6="X",VLOOKUP(FA$10,'VK-Transport'!$C:$X,2+$B38,0))+IF(FA$8="X",VLOOKUP(FA$10,'VK-Elekter'!$C:$X,2+$D38,0))+IF(FA$9="X",VLOOKUP(FA$10,'VK-Biokütused'!$C:$U,2+$E38,0))+IF(FA$5="X",VLOOKUP(FA$10,'VK-Põlevkivi'!$C:$X,2+$G38,0))+IF(FA$4="X",VLOOKUP(FA$10,'VK-Võrgud'!$C:$X,2+$F38,0))</f>
        <v>3369.9070000000002</v>
      </c>
      <c r="FB38" s="279">
        <f>(IF(FB$7="X",VLOOKUP(FB$10,'VK-Hooned-Soojus'!$C:$X,2+$C38,FALSE),0)+IF(FB$6="X",VLOOKUP(FB$10,'VK-Transport'!$C:$X,2+$B38,0))+IF(FB$8="X",VLOOKUP(FB$10,'VK-Elekter'!$C:$X,2+$D38,0))+IF(FB$9="X",VLOOKUP(FB$10,'VK-Biokütused'!$C:$U,2+$E38,0))+IF(FB$5="X",VLOOKUP(FB$10,'VK-Põlevkivi'!$C:$X,2+$G38,0))+IF(FB$4="X",VLOOKUP(FB$10,'VK-Võrgud'!$C:$X,2+$F38,0)))/16</f>
        <v>551.54682750227312</v>
      </c>
      <c r="FC38" s="209">
        <f>IF(FC$7="X",VLOOKUP(FC$10,'VK-Hooned-Soojus'!$C:$X,2+$C38,FALSE),0)+IF(FC$6="X",VLOOKUP(FC$10,'VK-Transport'!$C:$X,2+$B38,0))+IF(FC$8="X",VLOOKUP(FC$10,'VK-Elekter'!$C:$X,2+$D38,0))+IF(FC$9="X",VLOOKUP(FC$10,'VK-Biokütused'!$C:$U,2+$E38,0))+IF(FC$5="X",VLOOKUP(FC$10,'VK-Põlevkivi'!$C:$X,2+$G38,0))+IF(FC$4="X",VLOOKUP(FC$10,'VK-Võrgud'!$C:$X,2+$F38,0))</f>
        <v>318.40000000000003</v>
      </c>
      <c r="FD38" s="209">
        <f>(IF(FD$7="X",VLOOKUP(FD$10,'VK-Hooned-Soojus'!$C:$X,2+$C38,FALSE),0)+IF(FD$6="X",VLOOKUP(FD$10,'VK-Transport'!$C:$X,2+$B38,0))+IF(FD$8="X",VLOOKUP(FD$10,'VK-Elekter'!$C:$X,2+$D38,0))+IF(FD$9="X",VLOOKUP(FD$10,'VK-Biokütused'!$C:$U,2+$E38,0))+IF(FD$5="X",VLOOKUP(FD$10,'VK-Põlevkivi'!$C:$X,2+$G38,0))+IF(FD$4="X",VLOOKUP(FD$10,'VK-Võrgud'!$C:$X,2+$F38,0)))/16</f>
        <v>551.54682750227312</v>
      </c>
      <c r="FE38" s="209">
        <f>(IF(FE$7="X",VLOOKUP(FE$10,'VK-Hooned-Soojus'!$C:$X,2+$C38,FALSE),0)+IF(FE$6="X",VLOOKUP(FE$10,'VK-Transport'!$C:$X,2+$B38,0))+IF(FE$8="X",VLOOKUP(FE$10,'VK-Elekter'!$C:$X,2+$D38,0))+IF(FE$9="X",VLOOKUP(FE$10,'VK-Biokütused'!$C:$U,2+$E38,0))+IF(FE$5="X",VLOOKUP(FE$10,'VK-Põlevkivi'!$C:$X,2+$G38,0))+IF(FE$4="X",VLOOKUP(FE$10,'VK-Võrgud'!$C:$X,2+$F38,0)))/16</f>
        <v>-36.76</v>
      </c>
      <c r="FF38" s="209">
        <f>(IF(FF$7="X",VLOOKUP(FF$10,'VK-Hooned-Soojus'!$C:$X,2+$C38,FALSE),0)+IF(FF$6="X",VLOOKUP(FF$10,'VK-Transport'!$C:$X,2+$B38,0))+IF(FF$8="X",VLOOKUP(FF$10,'VK-Elekter'!$C:$X,2+$D38,0))+IF(FF$9="X",VLOOKUP(FF$10,'VK-Biokütused'!$C:$U,2+$E38,0))+IF(FF$5="X",VLOOKUP(FF$10,'VK-Põlevkivi'!$C:$X,2+$G38,0))+IF(FF$4="X",VLOOKUP(FF$10,'VK-Võrgud'!$C:$X,2+$F38,0)))/16</f>
        <v>148.20415895314605</v>
      </c>
      <c r="FG38" s="88">
        <f t="shared" ca="1" si="30"/>
        <v>111.44415895314606</v>
      </c>
      <c r="FH38" s="88"/>
      <c r="FI38" s="88"/>
      <c r="FJ38" s="88">
        <f>VLOOKUP(Tulemused!$BN$12,data!M$7:N$12,2,FALSE)-SUM(L38,M38)</f>
        <v>-2.6566444444444528</v>
      </c>
      <c r="FK38" s="209" t="str">
        <f>IF(AZ38&lt;=VLOOKUP(Tulemused!$BN$15,data!$E$36:$F$39,2,FALSE),"JAH","EI")</f>
        <v>JAH</v>
      </c>
      <c r="FL38" s="235">
        <f ca="1">IF(ISNA(MATCH($A38,INDIRECT(VLOOKUP(Tulemused!$BF$11,data!$J$57:$M$71,4,FALSE)))),0,MATCH($A38,INDIRECT(VLOOKUP(Tulemused!$BF$11,data!$J$57:$M$71,4,FALSE))))</f>
        <v>0</v>
      </c>
      <c r="FM38" s="235" t="str">
        <f t="shared" ca="1" si="10"/>
        <v>JAH</v>
      </c>
      <c r="FN38" s="209">
        <f>VLOOKUP(Tulemused!$BN$13,data!$C$132:$D$137,2,FALSE)-KOMBI!R38</f>
        <v>3.0893331784169402</v>
      </c>
      <c r="FO38" s="209"/>
      <c r="FP38" s="209">
        <f>VLOOKUP(Tulemused!$BN$17,NO_x,2,FALSE)-CJ38</f>
        <v>5.6809999999999974</v>
      </c>
      <c r="FQ38" s="209">
        <f>VLOOKUP(Tulemused!$BN$18,SO_2,2,FALSE)-CK38</f>
        <v>13.39028385982818</v>
      </c>
      <c r="FR38" s="209">
        <f>VLOOKUP(Tulemused!$BN$19,LOU,2,FALSE)-CN38</f>
        <v>34.229000000000006</v>
      </c>
      <c r="FS38" s="209">
        <f>VLOOKUP(Tulemused!$BN$20,PM_2.5,2,FALSE)-CM38</f>
        <v>9.1600103843950826</v>
      </c>
      <c r="FT38" s="209">
        <f>VLOOKUP(Tulemused!$BN$13,data!$C$132:$D$137,2,FALSE)-FA38/1000</f>
        <v>2.8760630000000007</v>
      </c>
      <c r="FU38" s="209">
        <f>VLOOKUP(Tulemused!$BN$17,NO_x,2,FALSE)-CO38</f>
        <v>-1.207649773285457</v>
      </c>
      <c r="FV38" s="209">
        <f>VLOOKUP(Tulemused!$BN$18,SO_2,2,FALSE)-CP38</f>
        <v>19.543569521400116</v>
      </c>
      <c r="FW38" s="209">
        <f>VLOOKUP(Tulemused!$BN$19,LOU,2,FALSE)-CS38</f>
        <v>33.113847594878393</v>
      </c>
      <c r="FX38" s="209">
        <f>VLOOKUP(Tulemused!$BN$20,PM_2.5,2,FALSE)-CR38</f>
        <v>8.6952466437251967</v>
      </c>
      <c r="FY38" s="209">
        <f>VLOOKUP(Tulemused!$BN$14,KHG_2050,2,FALSE)-EF38</f>
        <v>90.559363178416945</v>
      </c>
      <c r="FZ38" s="231" t="str">
        <f t="shared" ca="1" si="31"/>
        <v>EI</v>
      </c>
      <c r="GA38" s="209"/>
      <c r="GB38" s="209"/>
      <c r="GC38" s="209"/>
      <c r="GD38" s="231"/>
      <c r="GE38" s="87">
        <f t="shared" si="11"/>
        <v>1986</v>
      </c>
      <c r="GF38" s="232" t="str">
        <f t="shared" ca="1" si="32"/>
        <v/>
      </c>
      <c r="GH38" s="238" t="e">
        <f t="shared" ca="1" si="12"/>
        <v>#NUM!</v>
      </c>
      <c r="GI38" s="87" t="e">
        <f t="array" aca="1" ref="GI38" ca="1">INDEX($A$11:$A$145, SMALL(IF(GH38=$GF$11:$GF$145, MATCH(ROW($GF$11:$GF$145), ROW($GF$11:$GF$145))), SUM(--(GH38=$GH$11:GH38))))</f>
        <v>#NUM!</v>
      </c>
      <c r="GM38" s="209">
        <f>IF(GM$7="X",VLOOKUP(GM$10,'VK-Hooned-Soojus'!$C:$X,2+$C38,FALSE),0)+IF(GM$6="X",VLOOKUP(GM$10,'VK-Transport'!$C:$X,2+$B38,0))+IF(GM$8="X",VLOOKUP(GM$10,'VK-Elekter'!$C:$X,2+$D38,0))+IF(GM$9="X",VLOOKUP(GM$10,'VK-Biokütused'!$C:$U,2+$E38,0))+IF(GM$5="X",VLOOKUP(GM$10,'VK-Põlevkivi'!$C:$X,2+$G38,0))+IF(GM$4="X",VLOOKUP(GM$10,'VK-Võrgud'!$C:$X,2+$F38,0))</f>
        <v>11.189888530766083</v>
      </c>
      <c r="GN38" s="209">
        <f>IF(GN$7="X",VLOOKUP(GN$10,'VK-Hooned-Soojus'!$C:$X,2+$C38,FALSE),0)+IF(GN$6="X",VLOOKUP(GN$10,'VK-Transport'!$C:$X,2+$B38,0))+IF(GN$8="X",VLOOKUP(GN$10,'VK-Elekter'!$C:$X,2+$D38,0))+IF(GN$9="X",VLOOKUP(GN$10,'VK-Biokütused'!$C:$U,2+$E38,0))+IF(GN$5="X",VLOOKUP(GN$10,'VK-Põlevkivi'!$C:$X,2+$G38,0))+IF(GN$4="X",VLOOKUP(GN$10,'VK-Võrgud'!$C:$X,2+$F38,0))</f>
        <v>2.9930837725682502</v>
      </c>
      <c r="GO38" s="209">
        <f>IF(GO$7="X",VLOOKUP(GO$10,'VK-Hooned-Soojus'!$C:$X,2+$C38,FALSE),0)+IF(GO$6="X",VLOOKUP(GO$10,'VK-Transport'!$C:$X,2+$B38,0))+IF(GO$8="X",VLOOKUP(GO$10,'VK-Elekter'!$C:$X,2+$D38,0))+IF(GO$9="X",VLOOKUP(GO$10,'VK-Biokütused'!$C:$U,2+$E38,0))+IF(GO$5="X",VLOOKUP(GO$10,'VK-Põlevkivi'!$C:$X,2+$G38,0))+IF(GO$4="X",VLOOKUP(GO$10,'VK-Võrgud'!$C:$X,2+$F38,0))</f>
        <v>7.936370010272257</v>
      </c>
      <c r="GP38" s="209">
        <f>IF(GP$7="X",VLOOKUP(GP$10,'VK-Hooned-Soojus'!$C:$X,2+$C38,FALSE),0)+IF(GP$6="X",VLOOKUP(GP$10,'VK-Transport'!$C:$X,2+$B38,0))+IF(GP$8="X",VLOOKUP(GP$10,'VK-Elekter'!$C:$X,2+$D38,0))+IF(GP$9="X",VLOOKUP(GP$10,'VK-Biokütused'!$C:$U,2+$E38,0))+IF(GP$5="X",VLOOKUP(GP$10,'VK-Põlevkivi'!$C:$X,2+$G38,0))+IF(GP$4="X",VLOOKUP(GP$10,'VK-Võrgud'!$C:$X,2+$F38,0))</f>
        <v>9.1527946929596489</v>
      </c>
      <c r="GQ38" s="88">
        <f>IF(GQ$7="X",VLOOKUP(GQ$10,'VK-Hooned-Soojus'!$C:$X,2+$C38,FALSE),0)+IF(GQ$6="X",VLOOKUP(GQ$10,'VK-Transport'!$C:$X,2+$B38,0))+IF(GQ$8="X",VLOOKUP(GQ$10,'VK-Elekter'!$C:$X,2+$D38,0))+IF(GQ$9="X",VLOOKUP(GQ$10,'VK-Biokütused'!$C:$U,2+$E38,0))+IF(GQ$5="X",VLOOKUP(GQ$10,'VK-Põlevkivi'!$C:$X,2+$G38,0))+IF(GQ$4="X",VLOOKUP(GQ$10,'VK-Võrgud'!$C:$X,2+$F38,0))</f>
        <v>0.9682855968523334</v>
      </c>
      <c r="GR38" s="186">
        <f t="shared" si="33"/>
        <v>0.36952294598212954</v>
      </c>
    </row>
    <row r="39" spans="1:200" x14ac:dyDescent="0.2">
      <c r="A39" s="184">
        <v>29</v>
      </c>
      <c r="B39" s="87">
        <v>1</v>
      </c>
      <c r="C39" s="87">
        <v>2</v>
      </c>
      <c r="D39" s="87">
        <v>5</v>
      </c>
      <c r="E39" s="87">
        <v>2</v>
      </c>
      <c r="F39" s="87">
        <f>VLOOKUP(Tulemused!$BF$7,data!$J$6:$K$8,2,FALSE)</f>
        <v>2</v>
      </c>
      <c r="G39" s="87">
        <f>VLOOKUP(data!$H$2,data!$J$12:$K$14,2,FALSE)</f>
        <v>2</v>
      </c>
      <c r="I39" s="209">
        <f>IF(I$7="X",VLOOKUP(I$10,'VK-Hooned-Soojus'!$C:$X,2+$C39,FALSE),0)+IF(I$6="X",VLOOKUP(I$10,'VK-Transport'!$C:$X,2+$B39,0))+IF(I$8="X",VLOOKUP(I$10,'VK-Elekter'!$C:$X,2+$D39,0))+IF(I$9="X",VLOOKUP(I$10,'VK-Biokütused'!$C:$U,2+$E39,0))+IF(I$5="X",VLOOKUP(I$10,'VK-Põlevkivi'!$C:$X,2+$G39,0))+IF(I$4="X",VLOOKUP(I$10,'VK-Võrgud'!$C:$X,2+$F39,0))</f>
        <v>24.79</v>
      </c>
      <c r="J39" s="209">
        <f>IF(J$7="X",VLOOKUP(J$10,'VK-Hooned-Soojus'!$C:$X,2+$C39,FALSE),0)+IF(J$6="X",VLOOKUP(J$10,'VK-Transport'!$C:$X,2+$B39,0))+IF(J$8="X",VLOOKUP(J$10,'VK-Elekter'!$C:$X,2+$D39,0))+IF(J$9="X",VLOOKUP(J$10,'VK-Biokütused'!$C:$U,2+$E39,0))+IF(J$5="X",VLOOKUP(J$10,'VK-Põlevkivi'!$C:$X,2+$G39,0))+IF(J$4="X",VLOOKUP(J$10,'VK-Võrgud'!$C:$X,2+$F39,0))</f>
        <v>13.295833333333334</v>
      </c>
      <c r="K39" s="209">
        <f>IF(K$7="X",VLOOKUP(K$10,'VK-Hooned-Soojus'!$C:$X,2+$C39,FALSE),0)+IF(K$6="X",VLOOKUP(K$10,'VK-Transport'!$C:$X,2+$B39,0))+IF(K$8="X",VLOOKUP(K$10,'VK-Elekter'!$C:$X,2+$D39,0))+IF(K$9="X",VLOOKUP(K$10,'VK-Biokütused'!$C:$U,2+$E39,0))+IF(K$5="X",VLOOKUP(K$10,'VK-Põlevkivi'!$C:$X,2+$G39,0))+IF(K$4="X",VLOOKUP(K$10,'VK-Võrgud'!$C:$X,2+$F39,0))</f>
        <v>15.27</v>
      </c>
      <c r="L39" s="209">
        <f>IF(L$7="X",VLOOKUP(L$10,'VK-Hooned-Soojus'!$C:$X,2+$C39,FALSE),0)+IF(L$6="X",VLOOKUP(L$10,'VK-Transport'!$C:$X,2+$B39,0))+IF(L$8="X",VLOOKUP(L$10,'VK-Elekter'!$C:$X,2+$D39,0))+IF(L$9="X",VLOOKUP(L$10,'VK-Biokütused'!$C:$U,2+$E39,0))+IF(L$5="X",VLOOKUP(L$10,'VK-Põlevkivi'!$C:$X,2+$G39,0))+IF(L$4="X",VLOOKUP(L$10,'VK-Võrgud'!$C:$X,2+$F39,0))</f>
        <v>24.2</v>
      </c>
      <c r="M39" s="209">
        <f>IF(M$7="X",VLOOKUP(M$10,'VK-Hooned-Soojus'!$C:$X,2+$C39,FALSE),0)+IF(M$6="X",VLOOKUP(M$10,'VK-Transport'!$C:$X,2+$B39,0))+IF(M$8="X",VLOOKUP(M$10,'VK-Elekter'!$C:$X,2+$D39,0))+IF(M$9="X",VLOOKUP(M$10,'VK-Biokütused'!$C:$U,2+$E39,0))+IF(M$5="X",VLOOKUP(M$10,'VK-Põlevkivi'!$C:$X,2+$G39,0))+IF(M$4="X",VLOOKUP(M$10,'VK-Võrgud'!$C:$X,2+$F39,0))</f>
        <v>11.289444444444445</v>
      </c>
      <c r="N39" s="209">
        <f>IF(N$7="X",VLOOKUP(N$10,'VK-Hooned-Soojus'!$C:$X,2+$C39,FALSE),0)+IF(N$6="X",VLOOKUP(N$10,'VK-Transport'!$C:$X,2+$B39,0))+IF(N$8="X",VLOOKUP(N$10,'VK-Elekter'!$C:$X,2+$D39,0))+IF(N$9="X",VLOOKUP(N$10,'VK-Biokütused'!$C:$U,2+$E39,0))+IF(N$5="X",VLOOKUP(N$10,'VK-Põlevkivi'!$C:$X,2+$G39,0))+IF(N$4="X",VLOOKUP(N$10,'VK-Võrgud'!$C:$X,2+$F39,0))</f>
        <v>16.09</v>
      </c>
      <c r="O39" s="209">
        <f t="shared" si="13"/>
        <v>38.085833333333333</v>
      </c>
      <c r="P39" s="209"/>
      <c r="Q39" s="209">
        <f>(IF(Q$7="X",VLOOKUP(Q$10,'VK-Hooned-Soojus'!$C:$X,2+$C39,FALSE),0)+IF(Q$6="X",VLOOKUP(Q$10,'VK-Transport'!$C:$X,2+$B39,0))+IF(Q$8="X",VLOOKUP(Q$10,'VK-Elekter'!$C:$X,2+$D39,0))+IF(Q$9="X",VLOOKUP(Q$10,'VK-Biokütused'!$C:$U,2+$E39,0))+IF(Q$5="X",VLOOKUP(Q$10,'VK-Põlevkivi'!$C:$X,2+$G39,0))+IF(Q$4="X",VLOOKUP(Q$10,'VK-Võrgud'!$C:$X,2+$F39,0)))/1000</f>
        <v>6.0640000000000001</v>
      </c>
      <c r="R39" s="209">
        <f>(IF(R$7="X",VLOOKUP(R$10,'VK-Hooned-Soojus'!$C:$X,2+$C39,FALSE),0)+IF(R$6="X",VLOOKUP(R$10,'VK-Transport'!$C:$X,2+$B39,0))+IF(R$8="X",VLOOKUP(R$10,'VK-Elekter'!$C:$X,2+$D39,0))+IF(R$9="X",VLOOKUP(R$10,'VK-Biokütused'!$C:$U,2+$E39,0))+IF(R$5="X",VLOOKUP(R$10,'VK-Põlevkivi'!$C:$X,2+$G39,0))+IF(R$4="X",VLOOKUP(R$10,'VK-Võrgud'!$C:$X,2+$F39,0)))/1000</f>
        <v>3.5341368215830604</v>
      </c>
      <c r="S39" s="226">
        <f>VLOOKUP(S$10,'VK-Hooned-Soojus'!$C:$I,2+$C39,FALSE) + VLOOKUP(S$10,'VK-Transport'!$C:$I,2+$B39,FALSE)+ VLOOKUP(S$10,'VK-Biokütused'!$C:$G,2+$E39,FALSE)+ VLOOKUP(S$10,'VK-Elekter'!$C:$I,2+$D39,FALSE)+ VLOOKUP(S$10,'VK-Põlevkivi'!$C:$I,2+$G39,FALSE)+ VLOOKUP(S$10,'VK-Võrgud'!$C:$I,2+$F39,FALSE)</f>
        <v>2.6740888180395959E-2</v>
      </c>
      <c r="T39" s="226">
        <f>VLOOKUP(T$10,'VK-Hooned-Soojus'!$C:$I,2+$C39,FALSE) + VLOOKUP(T$10,'VK-Transport'!$C:$I,2+$B39,FALSE)+ VLOOKUP(T$10,'VK-Biokütused'!$C:$G,2+$E39,FALSE)+ VLOOKUP(T$10,'VK-Elekter'!$C:$I,2+$D39,FALSE)+ VLOOKUP(T$10,'VK-Põlevkivi'!$C:$I,2+$G39,FALSE)+ VLOOKUP(T$10,'VK-Võrgud'!$C:$I,2+$F39,FALSE)</f>
        <v>1.6360166056641296E-3</v>
      </c>
      <c r="U39" s="226">
        <f>VLOOKUP(U$10,'VK-Hooned-Soojus'!$C:$I,2+$C39,FALSE) + VLOOKUP(U$10,'VK-Transport'!$C:$I,2+$B39,FALSE)+ VLOOKUP(U$10,'VK-Biokütused'!$C:$G,2+$E39,FALSE)+ VLOOKUP(U$10,'VK-Elekter'!$C:$I,2+$D39,FALSE)+ VLOOKUP(U$10,'VK-Põlevkivi'!$C:$I,2+$G39,FALSE)+ VLOOKUP(U$10,'VK-Võrgud'!$C:$I,2+$F39,FALSE)</f>
        <v>1.1263709467969535E-2</v>
      </c>
      <c r="V39" s="226">
        <f>VLOOKUP(V$10,'VK-Hooned-Soojus'!$C:$I,2+$C39,FALSE) + VLOOKUP(V$10,'VK-Transport'!$C:$I,2+$B39,FALSE)+ VLOOKUP(V$10,'VK-Biokütused'!$C:$G,2+$E39,FALSE)+ VLOOKUP(V$10,'VK-Elekter'!$C:$I,2+$D39,FALSE)+ VLOOKUP(V$10,'VK-Põlevkivi'!$C:$I,2+$G39,FALSE)+ VLOOKUP(V$10,'VK-Võrgud'!$C:$I,2+$F39,FALSE)</f>
        <v>1.5806563574356673E-2</v>
      </c>
      <c r="W39" s="226">
        <f>VLOOKUP(W$10,'VK-Hooned-Soojus'!$C:$I,2+$C39,FALSE) + VLOOKUP(W$10,'VK-Transport'!$C:$I,2+$B39,FALSE)+ VLOOKUP(W$10,'VK-Biokütused'!$C:$G,2+$E39,FALSE)+ VLOOKUP(W$10,'VK-Elekter'!$C:$I,2+$D39,FALSE)+ VLOOKUP(W$10,'VK-Põlevkivi'!$C:$I,2+$G39,FALSE)+ VLOOKUP(W$10,'VK-Võrgud'!$C:$I,2+$F39,FALSE)</f>
        <v>1.2380422358022908E-3</v>
      </c>
      <c r="X39" s="226">
        <f>VLOOKUP(X$10,'VK-Hooned-Soojus'!$C:$I,2+$C39,FALSE) + VLOOKUP(X$10,'VK-Transport'!$C:$I,2+$B39,FALSE)+ VLOOKUP(X$10,'VK-Biokütused'!$C:$G,2+$E39,FALSE)+ VLOOKUP(X$10,'VK-Elekter'!$C:$I,2+$D39,FALSE)+ VLOOKUP(X$10,'VK-Põlevkivi'!$C:$I,2+$G39,FALSE)+ VLOOKUP(X$10,'VK-Võrgud'!$C:$I,2+$F39,FALSE)</f>
        <v>7.8558584779656451E-2</v>
      </c>
      <c r="Y39" s="226">
        <f>VLOOKUP(Y$10,'VK-Hooned-Soojus'!$C:$I,2+$C39,FALSE) + VLOOKUP(Y$10,'VK-Transport'!$C:$I,2+$B39,FALSE)+ VLOOKUP(Y$10,'VK-Biokütused'!$C:$G,2+$E39,FALSE)+ VLOOKUP(Y$10,'VK-Elekter'!$C:$I,2+$D39,FALSE)+ VLOOKUP(Y$10,'VK-Põlevkivi'!$C:$I,2+$G39,FALSE)+ VLOOKUP(Y$10,'VK-Võrgud'!$C:$I,2+$F39,FALSE)</f>
        <v>7.6492448142570585E-2</v>
      </c>
      <c r="Z39" s="227">
        <f>(S39*Tulemused!$Q$9*10+T39*Tulemused!$Q$10*10+KOMBI!U39*Tulemused!$Q$11*10+KOMBI!V39*Tulemused!$Q$12*10)*Tulemused!$Q$8+-(W39*Tulemused!$Q$14*10+KOMBI!X39*Tulemused!$Q$15*10+KOMBI!Y39*Tulemused!$Q$16*10)*Tulemused!$Q$13</f>
        <v>3.4625336365309458</v>
      </c>
      <c r="AA39" s="228">
        <f>(IF(AA$7="X",VLOOKUP(AA$10,'VK-Hooned-Soojus'!$C:$X,2+$C39,FALSE),0)+IF(AA$6="X",VLOOKUP(AA$10,'VK-Transport'!$C:$X,2+$B39,0))+IF(AA$8="X",VLOOKUP(AA$10,'VK-Elekter'!$C:$X,2+$D39,0))+IF(AA$9="X",VLOOKUP(AA$10,'VK-Biokütused'!$C:$U,2+$E39,0))+IF(AA$5="X",VLOOKUP(AA$10,'VK-Põlevkivi'!$C:$X,2+$G39,0))+IF(AA$4="X",VLOOKUP(AA$10,'VK-Võrgud'!$C:$X,2+$F39,0)))</f>
        <v>4727</v>
      </c>
      <c r="AB39" s="228">
        <f>(IF(AB$7="X",VLOOKUP(AB$10,'VK-Hooned-Soojus'!$C:$X,2+$C39,FALSE),0)+IF(AB$6="X",VLOOKUP(AB$10,'VK-Transport'!$C:$X,2+$B39,0))+IF(AB$8="X",VLOOKUP(AB$10,'VK-Elekter'!$C:$X,2+$D39,0))+IF(AB$9="X",VLOOKUP(AB$10,'VK-Biokütused'!$C:$U,2+$E39,0))+IF(AB$5="X",VLOOKUP(AB$10,'VK-Põlevkivi'!$C:$X,2+$G39,0))+IF(AB$4="X",VLOOKUP(AB$10,'VK-Võrgud'!$C:$X,2+$F39,0)))</f>
        <v>1337</v>
      </c>
      <c r="AC39" s="228">
        <f>(IF(AC$7="X",VLOOKUP(AC$10,'VK-Hooned-Soojus'!$C:$X,2+$C39,FALSE),0)+IF(AC$6="X",VLOOKUP(AC$10,'VK-Transport'!$C:$X,2+$B39,0))+IF(AC$8="X",VLOOKUP(AC$10,'VK-Elekter'!$C:$X,2+$D39,0))+IF(AC$9="X",VLOOKUP(AC$10,'VK-Biokütused'!$C:$U,2+$E39,0))+IF(AC$5="X",VLOOKUP(AC$10,'VK-Põlevkivi'!$C:$X,2+$G39,0))+IF(AC$4="X",VLOOKUP(AC$10,'VK-Võrgud'!$C:$X,2+$F39,0)))</f>
        <v>2346</v>
      </c>
      <c r="AD39" s="228">
        <f>(IF(AD$7="X",VLOOKUP(AD$10,'VK-Hooned-Soojus'!$C:$X,2+$C39,FALSE),0)+IF(AD$6="X",VLOOKUP(AD$10,'VK-Transport'!$C:$X,2+$B39,0))+IF(AD$8="X",VLOOKUP(AD$10,'VK-Elekter'!$C:$X,2+$D39,0))+IF(AD$9="X",VLOOKUP(AD$10,'VK-Biokütused'!$C:$U,2+$E39,0))+IF(AD$5="X",VLOOKUP(AD$10,'VK-Põlevkivi'!$C:$X,2+$G39,0))+IF(AD$4="X",VLOOKUP(AD$10,'VK-Võrgud'!$C:$X,2+$F39,0)))</f>
        <v>377.5</v>
      </c>
      <c r="AE39" s="228">
        <f>(IF(AE$7="X",VLOOKUP(AE$10,'VK-Hooned-Soojus'!$C:$X,2+$C39,FALSE),0)+IF(AE$6="X",VLOOKUP(AE$10,'VK-Transport'!$C:$X,2+$B39,0))+IF(AE$8="X",VLOOKUP(AE$10,'VK-Elekter'!$C:$X,2+$D39,0))+IF(AE$9="X",VLOOKUP(AE$10,'VK-Biokütused'!$C:$U,2+$E39,0))+IF(AE$5="X",VLOOKUP(AE$10,'VK-Põlevkivi'!$C:$X,2+$G39,0))+IF(AE$4="X",VLOOKUP(AE$10,'VK-Võrgud'!$C:$X,2+$F39,0)))</f>
        <v>666</v>
      </c>
      <c r="AF39" s="228">
        <f>(IF(AF$7="X",VLOOKUP(AF$10,'VK-Hooned-Soojus'!$C:$X,2+$C39,FALSE),0)+IF(AF$6="X",VLOOKUP(AF$10,'VK-Transport'!$C:$X,2+$B39,0))+IF(AF$8="X",VLOOKUP(AF$10,'VK-Elekter'!$C:$X,2+$D39,0))+IF(AF$9="X",VLOOKUP(AF$10,'VK-Biokütused'!$C:$U,2+$E39,0))+IF(AF$5="X",VLOOKUP(AF$10,'VK-Põlevkivi'!$C:$X,2+$G39,0))+IF(AF$4="X",VLOOKUP(AF$10,'VK-Võrgud'!$C:$X,2+$F39,0)))</f>
        <v>2490.6368215830603</v>
      </c>
      <c r="AG39" s="209"/>
      <c r="AH39" s="209">
        <f>IF(AH$7="X",VLOOKUP(AH$10,'VK-Hooned-Soojus'!$C:$X,2+$C39,FALSE),0)+IF(AH$6="X",VLOOKUP(AH$10,'VK-Transport'!$C:$X,2+$B39,0))+IF(AH$8="X",VLOOKUP(AH$10,'VK-Elekter'!$C:$X,2+$D39,0))+IF(AH$9="X",VLOOKUP(AH$10,'VK-Biokütused'!$C:$U,2+$E39,0))+IF(AH$5="X",VLOOKUP(AH$10,'VK-Põlevkivi'!$C:$X,2+$G39,0))+IF(AH$4="X",VLOOKUP(AH$10,'VK-Võrgud'!$C:$X,2+$F39,0))</f>
        <v>17.400000000000002</v>
      </c>
      <c r="AI39" s="209">
        <f>IF(AI$7="X",VLOOKUP(AI$10,'VK-Hooned-Soojus'!$C:$X,2+$C39,FALSE),0)+IF(AI$6="X",VLOOKUP(AI$10,'VK-Transport'!$C:$X,2+$B39,0))+IF(AI$8="X",VLOOKUP(AI$10,'VK-Elekter'!$C:$X,2+$D39,0))+IF(AI$9="X",VLOOKUP(AI$10,'VK-Biokütused'!$C:$U,2+$E39,0))+IF(AI$5="X",VLOOKUP(AI$10,'VK-Põlevkivi'!$C:$X,2+$G39,0))+IF(AI$4="X",VLOOKUP(AI$10,'VK-Võrgud'!$C:$X,2+$F39,0))</f>
        <v>2.3100000000000005</v>
      </c>
      <c r="AJ39" s="209">
        <f>IF(AJ$7="X",VLOOKUP(AJ$10,'VK-Hooned-Soojus'!$C:$X,2+$C39,FALSE),0)+IF(AJ$6="X",VLOOKUP(AJ$10,'VK-Transport'!$C:$X,2+$B39,0))+IF(AJ$8="X",VLOOKUP(AJ$10,'VK-Elekter'!$C:$X,2+$D39,0))+IF(AJ$9="X",VLOOKUP(AJ$10,'VK-Biokütused'!$C:$U,2+$E39,0))+IF(AJ$5="X",VLOOKUP(AJ$10,'VK-Põlevkivi'!$C:$X,2+$G39,0))+IF(AJ$4="X",VLOOKUP(AJ$10,'VK-Võrgud'!$C:$X,2+$F39,0))</f>
        <v>4.59</v>
      </c>
      <c r="AK39" s="209">
        <f>IF(AK$7="X",VLOOKUP(AK$10,'VK-Hooned-Soojus'!$C:$X,2+$C39,FALSE),0)+IF(AK$6="X",VLOOKUP(AK$10,'VK-Transport'!$C:$X,2+$B39,0))+IF(AK$8="X",VLOOKUP(AK$10,'VK-Elekter'!$C:$X,2+$D39,0))+IF(AK$9="X",VLOOKUP(AK$10,'VK-Biokütused'!$C:$U,2+$E39,0))+IF(AK$5="X",VLOOKUP(AK$10,'VK-Põlevkivi'!$C:$X,2+$G39,0))+IF(AK$4="X",VLOOKUP(AK$10,'VK-Võrgud'!$C:$X,2+$F39,0))</f>
        <v>-0.41</v>
      </c>
      <c r="AL39" s="209">
        <f>IF(AL$7="X",VLOOKUP(AL$10,'VK-Hooned-Soojus'!$C:$X,2+$C39,FALSE),0)+IF(AL$6="X",VLOOKUP(AL$10,'VK-Transport'!$C:$X,2+$B39,0))+IF(AL$8="X",VLOOKUP(AL$10,'VK-Elekter'!$C:$X,2+$D39,0))+IF(AL$9="X",VLOOKUP(AL$10,'VK-Biokütused'!$C:$U,2+$E39,0))+IF(AL$5="X",VLOOKUP(AL$10,'VK-Põlevkivi'!$C:$X,2+$G39,0))+IF(AL$4="X",VLOOKUP(AL$10,'VK-Võrgud'!$C:$X,2+$F39,0))</f>
        <v>7.1999999999999993</v>
      </c>
      <c r="AM39" s="209">
        <f>IF(AM$7="X",VLOOKUP(AM$10,'VK-Hooned-Soojus'!$C:$X,2+$C39,FALSE),0)+IF(AM$6="X",VLOOKUP(AM$10,'VK-Transport'!$C:$X,2+$B39,0))+IF(AM$8="X",VLOOKUP(AM$10,'VK-Elekter'!$C:$X,2+$D39,0))+IF(AM$9="X",VLOOKUP(AM$10,'VK-Biokütused'!$C:$U,2+$E39,0))+IF(AM$5="X",VLOOKUP(AM$10,'VK-Põlevkivi'!$C:$X,2+$G39,0))+IF(AM$4="X",VLOOKUP(AM$10,'VK-Võrgud'!$C:$X,2+$F39,0))</f>
        <v>11.9</v>
      </c>
      <c r="AN39" s="209">
        <f>IF(AN$7="X",VLOOKUP(AN$10,'VK-Hooned-Soojus'!$C:$X,2+$C39,FALSE),0)+IF(AN$6="X",VLOOKUP(AN$10,'VK-Transport'!$C:$X,2+$B39,0))+IF(AN$8="X",VLOOKUP(AN$10,'VK-Elekter'!$C:$X,2+$D39,0))+IF(AN$9="X",VLOOKUP(AN$10,'VK-Biokütused'!$C:$U,2+$E39,0))+IF(AN$5="X",VLOOKUP(AN$10,'VK-Põlevkivi'!$C:$X,2+$G39,0))+IF(AN$4="X",VLOOKUP(AN$10,'VK-Võrgud'!$C:$X,2+$F39,0))</f>
        <v>4.8999999999999995</v>
      </c>
      <c r="AO39" s="209">
        <f>IF(AO$7="X",VLOOKUP(AO$10,'VK-Hooned-Soojus'!$C:$X,2+$C39,FALSE),0)+IF(AO$6="X",VLOOKUP(AO$10,'VK-Transport'!$C:$X,2+$B39,0))+IF(AO$8="X",VLOOKUP(AO$10,'VK-Elekter'!$C:$X,2+$D39,0))+IF(AO$9="X",VLOOKUP(AO$10,'VK-Biokütused'!$C:$U,2+$E39,0))+IF(AO$5="X",VLOOKUP(AO$10,'VK-Põlevkivi'!$C:$X,2+$G39,0))+IF(AO$4="X",VLOOKUP(AO$10,'VK-Võrgud'!$C:$X,2+$F39,0))</f>
        <v>12.56</v>
      </c>
      <c r="AP39" s="209">
        <f>IF(AP$7="X",VLOOKUP(AP$10,'VK-Hooned-Soojus'!$C:$X,2+$C39,FALSE),0)+IF(AP$6="X",VLOOKUP(AP$10,'VK-Transport'!$C:$X,2+$B39,0))+IF(AP$8="X",VLOOKUP(AP$10,'VK-Elekter'!$C:$X,2+$D39,0))+IF(AP$9="X",VLOOKUP(AP$10,'VK-Biokütused'!$C:$U,2+$E39,0))+IF(AP$5="X",VLOOKUP(AP$10,'VK-Põlevkivi'!$C:$X,2+$G39,0))+IF(AP$4="X",VLOOKUP(AP$10,'VK-Võrgud'!$C:$X,2+$F39,0))</f>
        <v>6.28</v>
      </c>
      <c r="AQ39" s="320">
        <f t="shared" si="14"/>
        <v>0.25999999999999979</v>
      </c>
      <c r="AR39" s="209">
        <f>IF(AR$7="X",VLOOKUP(AR$10,'VK-Hooned-Soojus'!$C:$X,2+$C39,FALSE),0)+IF(AR$6="X",VLOOKUP(AR$10,'VK-Transport'!$C:$X,2+$B39,0))+IF(AR$8="X",VLOOKUP(AR$10,'VK-Elekter'!$C:$X,2+$D39,0))+IF(AR$9="X",VLOOKUP(AR$10,'VK-Biokütused'!$C:$U,2+$E39,0))+IF(AR$5="X",VLOOKUP(AR$10,'VK-Põlevkivi'!$C:$X,2+$G39,0))+IF(AR$4="X",VLOOKUP(AR$10,'VK-Võrgud'!$C:$X,2+$F39,0))</f>
        <v>13.309999999999999</v>
      </c>
      <c r="AS39" s="235">
        <f>'VK-Põlevkivi'!$F$8-AR39-AU39</f>
        <v>14.298622986547709</v>
      </c>
      <c r="AT39" s="209">
        <f>IF(AT$7="X",VLOOKUP(AT$10,'VK-Hooned-Soojus'!$C:$X,2+$C39,FALSE),0)+IF(AT$6="X",VLOOKUP(AT$10,'VK-Transport'!$C:$X,2+$B39,0))+IF(AT$8="X",VLOOKUP(AT$10,'VK-Elekter'!$C:$X,2+$D39,0))+IF(AT$9="X",VLOOKUP(AT$10,'VK-Biokütused'!$C:$U,2+$E39,0))+IF(AT$5="X",VLOOKUP(AT$10,'VK-Põlevkivi'!$C:$X,2+$G39,0))+IF(AT$4="X",VLOOKUP(AT$10,'VK-Võrgud'!$C:$X,2+$F39,0))</f>
        <v>12.004929222526066</v>
      </c>
      <c r="AU39" s="235">
        <f>'VK-Põlevkivi'!$F$9-VLOOKUP("Kütuste tarbimine @ 2030 - PÕLEVKIVIÕLI",'VK-Hooned-Soojus'!$C:$X,2+$C39,FALSE)</f>
        <v>28.928043680118964</v>
      </c>
      <c r="AV39" s="209">
        <f>IF(AV$7="X",VLOOKUP(AV$10,'VK-Hooned-Soojus'!$C:$X,2+$C39,FALSE),0)+IF(AV$6="X",VLOOKUP(AV$10,'VK-Transport'!$C:$X,2+$B39,0))+IF(AV$8="X",VLOOKUP(AV$10,'VK-Elekter'!$C:$X,2+$D39,0))+IF(AV$9="X",VLOOKUP(AV$10,'VK-Biokütused'!$C:$U,2+$E39,0))+IF(AV$5="X",VLOOKUP(AV$10,'VK-Põlevkivi'!$C:$X,2+$G39,0))+IF(AV$4="X",VLOOKUP(AV$10,'VK-Võrgud'!$C:$X,2+$F39,0))</f>
        <v>1.1831224847375093</v>
      </c>
      <c r="AW39" s="209">
        <f>IF(AW$7="X",VLOOKUP(AW$10,'VK-Hooned-Soojus'!$C:$X,2+$C39,FALSE),0)+IF(AW$6="X",VLOOKUP(AW$10,'VK-Transport'!$C:$X,2+$B39,0))+IF(AW$8="X",VLOOKUP(AW$10,'VK-Elekter'!$C:$X,2+$D39,0))+IF(AW$9="X",VLOOKUP(AW$10,'VK-Biokütused'!$C:$U,2+$E39,0))+IF(AW$5="X",VLOOKUP(AW$10,'VK-Põlevkivi'!$C:$X,2+$G39,0))+IF(AW$4="X",VLOOKUP(AW$10,'VK-Võrgud'!$C:$X,2+$F39,0))</f>
        <v>2.141</v>
      </c>
      <c r="AX39" s="229">
        <f t="shared" si="34"/>
        <v>0.95787751526249076</v>
      </c>
      <c r="AY39" s="229">
        <f t="shared" si="15"/>
        <v>0</v>
      </c>
      <c r="AZ39" s="230">
        <f t="shared" si="0"/>
        <v>0.3352240778919377</v>
      </c>
      <c r="BA39" s="209">
        <f>IF(BA$7="X",VLOOKUP(BA$10,'VK-Hooned-Soojus'!$C:$X,2+$C39,FALSE),0)+IF(BA$6="X",VLOOKUP(BA$10,'VK-Transport'!$C:$X,2+$B39,0))+IF(BA$8="X",VLOOKUP(BA$10,'VK-Elekter'!$C:$X,2+$D39,0))+IF(BA$9="X",VLOOKUP(BA$10,'VK-Biokütused'!$C:$U,2+$E39,0))+IF(BA$5="X",VLOOKUP(BA$10,'VK-Põlevkivi'!$C:$X,2+$G39,0))+IF(BA$4="X",VLOOKUP(BA$10,'VK-Võrgud'!$C:$X,2+$F39,0))</f>
        <v>7.41</v>
      </c>
      <c r="BB39" s="209">
        <f>IF(BB$7="X",VLOOKUP(BB$10,'VK-Hooned-Soojus'!$C:$X,2+$C39,FALSE),0)+IF(BB$6="X",VLOOKUP(BB$10,'VK-Transport'!$C:$X,2+$B39,0))+IF(BB$8="X",VLOOKUP(BB$10,'VK-Elekter'!$C:$X,2+$D39,0))+IF(BB$9="X",VLOOKUP(BB$10,'VK-Biokütused'!$C:$U,2+$E39,0))+IF(BB$5="X",VLOOKUP(BB$10,'VK-Põlevkivi'!$C:$X,2+$G39,0))+IF(BB$4="X",VLOOKUP(BB$10,'VK-Võrgud'!$C:$X,2+$F39,0))</f>
        <v>2.96</v>
      </c>
      <c r="BC39" s="209">
        <f>IF(BC$7="X",VLOOKUP(BC$10,'VK-Hooned-Soojus'!$C:$X,2+$C39,FALSE),0)+IF(BC$6="X",VLOOKUP(BC$10,'VK-Transport'!$C:$X,2+$B39,0))+IF(BC$8="X",VLOOKUP(BC$10,'VK-Elekter'!$C:$X,2+$D39,0))+IF(BC$9="X",VLOOKUP(BC$10,'VK-Biokütused'!$C:$U,2+$E39,0))+IF(BC$5="X",VLOOKUP(BC$10,'VK-Põlevkivi'!$C:$X,2+$G39,0))+IF(BC$4="X",VLOOKUP(BC$10,'VK-Võrgud'!$C:$X,2+$F39,0))</f>
        <v>6.5993333333333322</v>
      </c>
      <c r="BD39" s="209">
        <f>IF(BD$7="X",VLOOKUP(BD$10,'VK-Hooned-Soojus'!$C:$X,2+$C39,FALSE),0)+IF(BD$6="X",VLOOKUP(BD$10,'VK-Transport'!$C:$X,2+$B39,0))+IF(BD$8="X",VLOOKUP(BD$10,'VK-Elekter'!$C:$X,2+$D39,0))+IF(BD$9="X",VLOOKUP(BD$10,'VK-Biokütused'!$C:$U,2+$E39,0))+IF(BD$5="X",VLOOKUP(BD$10,'VK-Põlevkivi'!$C:$X,2+$G39,0))+IF(BD$4="X",VLOOKUP(BD$10,'VK-Võrgud'!$C:$X,2+$F39,0))</f>
        <v>9.425416666666667</v>
      </c>
      <c r="BE39" s="230"/>
      <c r="BF39" s="229">
        <f t="shared" si="16"/>
        <v>0.23719430378475931</v>
      </c>
      <c r="BG39" s="209" t="e">
        <f>(IF(BG$7="X",VLOOKUP(BG$10,'VK-Hooned-Soojus'!$C:$X,2+$C39,FALSE),0)+IF(BG$6="X",VLOOKUP(BG$10,'VK-Transport'!$C:$X,2+$B39,0))+IF(BG$8="X",VLOOKUP(BG$10,'VK-Elekter'!$C:$X,2+$D39,0))+IF(BG$9="X",VLOOKUP(BG$10,'VK-Biokütused'!$C:$U,2+$E39,0))+IF(BG$5="X",VLOOKUP(BG$10,'VK-Põlevkivi'!$C:$X,2+$G39,0))+IF(BG$4="X",VLOOKUP(BG$10,'VK-Võrgud'!$C:$X,2+$F39,0)))/20</f>
        <v>#N/A</v>
      </c>
      <c r="BH39" s="209">
        <f>(IF(BH$7="X",VLOOKUP(BH$10,'VK-Hooned-Soojus'!$C:$X,2+$C39,FALSE),0)+IF(BH$6="X",VLOOKUP(BH$10,'VK-Transport'!$C:$X,2+$B39,0))+IF(BH$8="X",VLOOKUP(BH$10,'VK-Elekter'!$C:$X,2+$D39,0))+IF(BH$9="X",VLOOKUP(BH$10,'VK-Biokütused'!$C:$U,2+$E39,0))+IF(BH$5="X",VLOOKUP(BH$10,'VK-Põlevkivi'!$C:$X,2+$G39,0))+IF(BH$4="X",VLOOKUP(BH$10,'VK-Võrgud'!$C:$X,2+$F39,0)))/20</f>
        <v>45.08</v>
      </c>
      <c r="BI39" s="209">
        <f>(IF(BI$7="X",VLOOKUP(BI$10,'VK-Hooned-Soojus'!$C:$X,2+$C39,FALSE),0)+IF(BI$6="X",VLOOKUP(BI$10,'VK-Transport'!$C:$X,2+$B39,0))+IF(BI$8="X",VLOOKUP(BI$10,'VK-Elekter'!$C:$X,2+$D39,0))+IF(BI$9="X",VLOOKUP(BI$10,'VK-Biokütused'!$C:$U,2+$E39,0))+IF(BI$5="X",VLOOKUP(BI$10,'VK-Põlevkivi'!$C:$X,2+$G39,0))+IF(BI$4="X",VLOOKUP(BI$10,'VK-Võrgud'!$C:$X,2+$F39,0)))/16</f>
        <v>14.1875</v>
      </c>
      <c r="BJ39" s="209">
        <f>(IF(BJ$7="X",VLOOKUP(BJ$10,'VK-Hooned-Soojus'!$C:$X,2+$C39,FALSE),0)+IF(BJ$6="X",VLOOKUP(BJ$10,'VK-Transport'!$C:$X,2+$B39,0))+IF(BJ$8="X",VLOOKUP(BJ$10,'VK-Elekter'!$C:$X,2+$D39,0))+IF(BJ$9="X",VLOOKUP(BJ$10,'VK-Biokütused'!$C:$U,2+$E39,0))+IF(BJ$5="X",VLOOKUP(BJ$10,'VK-Põlevkivi'!$C:$X,2+$G39,0))+IF(BJ$4="X",VLOOKUP(BJ$10,'VK-Võrgud'!$C:$X,2+$F39,0)))/20</f>
        <v>3.91</v>
      </c>
      <c r="BK39" s="209"/>
      <c r="BL39" s="209"/>
      <c r="BM39" s="209"/>
      <c r="BN39" s="209" t="e">
        <f>(IF(BN$7="X",VLOOKUP(BN$10,'VK-Hooned-Soojus'!$C:$X,2+$C39,FALSE),0)+IF(BN$6="X",VLOOKUP(BN$10,'VK-Transport'!$C:$X,2+$B39,0))+IF(BN$8="X",VLOOKUP(BN$10,'VK-Elekter'!$C:$X,2+$D39,0))+IF(BN$9="X",VLOOKUP(BN$10,'VK-Biokütused'!$C:$U,2+$E39,0))+IF(BN$5="X",VLOOKUP(BN$10,'VK-Põlevkivi'!$C:$X,2+$G39,0))+IF(BN$4="X",VLOOKUP(BN$10,'VK-Võrgud'!$C:$X,2+$F39,0)))/16</f>
        <v>#N/A</v>
      </c>
      <c r="BO39" s="209">
        <f>(IF(BO$7="X",VLOOKUP(BO$10,'VK-Hooned-Soojus'!$C:$X,2+$C39,FALSE),0)+IF(BO$6="X",VLOOKUP(BO$10,'VK-Transport'!$C:$X,2+$B39,0))+IF(BO$8="X",VLOOKUP(BO$10,'VK-Elekter'!$C:$X,2+$D39,0))+IF(BO$9="X",VLOOKUP(BO$10,'VK-Biokütused'!$C:$U,2+$E39,0))+IF(BO$5="X",VLOOKUP(BO$10,'VK-Põlevkivi'!$C:$X,2+$G39,0))+IF(BO$4="X",VLOOKUP(BO$10,'VK-Võrgud'!$C:$X,2+$F39,0)))/16</f>
        <v>496.33125000000001</v>
      </c>
      <c r="BP39" s="209"/>
      <c r="BQ39" s="209">
        <f>(IF(BQ$7="X",VLOOKUP(BQ$10,'VK-Hooned-Soojus'!$C:$X,2+$C39,FALSE),0)+IF(BQ$6="X",VLOOKUP(BQ$10,'VK-Transport'!$C:$X,2+$B39,0))+IF(BQ$8="X",VLOOKUP(BQ$10,'VK-Elekter'!$C:$X,2+$D39,0))+IF(BQ$9="X",VLOOKUP(BQ$10,'VK-Biokütused'!$C:$U,2+$E39,0))+IF(BQ$5="X",VLOOKUP(BQ$10,'VK-Põlevkivi'!$C:$X,2+$G39,0))+IF(BQ$4="X",VLOOKUP(BQ$10,'VK-Võrgud'!$C:$X,2+$F39,0)))/16</f>
        <v>4.7249999999999996</v>
      </c>
      <c r="BR39" s="209">
        <f>(IF(BR$7="X",VLOOKUP(BR$10,'VK-Hooned-Soojus'!$C:$X,2+$C39,FALSE),0)+IF(BR$6="X",VLOOKUP(BR$10,'VK-Transport'!$C:$X,2+$B39,0))+IF(BR$8="X",VLOOKUP(BR$10,'VK-Elekter'!$C:$X,2+$D39,0))+IF(BR$9="X",VLOOKUP(BR$10,'VK-Biokütused'!$C:$U,2+$E39,0))+IF(BR$5="X",VLOOKUP(BR$10,'VK-Põlevkivi'!$C:$X,2+$G39,0))+IF(BR$4="X",VLOOKUP(BR$10,'VK-Võrgud'!$C:$X,2+$F39,0)))/16</f>
        <v>-74.512500000000003</v>
      </c>
      <c r="BS39" s="209">
        <f>(IF(BS$7="X",VLOOKUP(BS$10,'VK-Hooned-Soojus'!$C:$X,2+$C39,FALSE),0)+IF(BS$6="X",VLOOKUP(BS$10,'VK-Transport'!$C:$X,2+$B39,0))+IF(BS$8="X",VLOOKUP(BS$10,'VK-Elekter'!$C:$X,2+$D39,0))+IF(BS$9="X",VLOOKUP(BS$10,'VK-Biokütused'!$C:$U,2+$E39,0))+IF(BS$5="X",VLOOKUP(BS$10,'VK-Põlevkivi'!$C:$X,2+$G39,0))+IF(BS$4="X",VLOOKUP(BS$10,'VK-Võrgud'!$C:$X,2+$F39,0)))/16</f>
        <v>-100.68125000000001</v>
      </c>
      <c r="BT39" s="209"/>
      <c r="BU39" s="209"/>
      <c r="BV39" s="209">
        <f>(IF(BV$7="X",VLOOKUP(BV$10,'VK-Hooned-Soojus'!$C:$X,2+$C39,FALSE),0)+IF(BV$6="X",VLOOKUP(BV$10,'VK-Transport'!$C:$X,2+$B39,0))+IF(BV$8="X",VLOOKUP(BV$10,'VK-Elekter'!$C:$X,2+$D39,0))+IF(BV$9="X",VLOOKUP(BV$10,'VK-Biokütused'!$C:$U,2+$E39,0))+IF(BV$5="X",VLOOKUP(BV$10,'VK-Põlevkivi'!$C:$X,2+$G39,0))+IF(BV$4="X",VLOOKUP(BV$10,'VK-Võrgud'!$C:$X,2+$F39,0)))/16</f>
        <v>0</v>
      </c>
      <c r="BW39" s="209"/>
      <c r="BX39" s="209">
        <f>(IF(BX$7="X",VLOOKUP(BX$10,'VK-Hooned-Soojus'!$C:$X,2+$C39,FALSE),0)+IF(BX$6="X",VLOOKUP(BX$10,'VK-Transport'!$C:$X,2+$B39,0))+IF(BX$8="X",VLOOKUP(BX$10,'VK-Elekter'!$C:$X,2+$D39,0))+IF(BX$9="X",VLOOKUP(BX$10,'VK-Biokütused'!$C:$U,2+$E39,0))+IF(BX$5="X",VLOOKUP(BX$10,'VK-Põlevkivi'!$C:$X,2+$G39,0))+IF(BX$4="X",VLOOKUP(BX$10,'VK-Võrgud'!$C:$X,2+$F39,0)))/16</f>
        <v>-145.125</v>
      </c>
      <c r="BY39" s="209"/>
      <c r="BZ39" s="209"/>
      <c r="CA39" s="209" t="e">
        <f>(IF(CA$7="X",VLOOKUP(CA$10,'VK-Hooned-Soojus'!$C:$X,2+$C39,FALSE),0)+IF(CA$6="X",VLOOKUP(CA$10,'VK-Transport'!$C:$X,2+$B39,0))+IF(CA$8="X",VLOOKUP(CA$10,'VK-Elekter'!$C:$X,2+$D39,0))+IF(CA$9="X",VLOOKUP(CA$10,'VK-Biokütused'!$C:$U,2+$E39,0))+IF(CA$5="X",VLOOKUP(CA$10,'VK-Põlevkivi'!$C:$X,2+$G39,0))+IF(CA$4="X",VLOOKUP(CA$10,'VK-Võrgud'!$C:$X,2+$F39,0)))/16</f>
        <v>#N/A</v>
      </c>
      <c r="CB39" s="209">
        <f>(IF(CB$7="X",VLOOKUP(CB$10,'VK-Hooned-Soojus'!$C:$X,2+$C39,FALSE),0)+IF(CB$6="X",VLOOKUP(CB$10,'VK-Transport'!$C:$X,2+$B39,0))+IF(CB$8="X",VLOOKUP(CB$10,'VK-Elekter'!$C:$X,2+$D39,0))+IF(CB$9="X",VLOOKUP(CB$10,'VK-Biokütused'!$C:$U,2+$E39,0))+IF(CB$5="X",VLOOKUP(CB$10,'VK-Põlevkivi'!$C:$X,2+$G39,0))+IF(CB$4="X",VLOOKUP(CB$10,'VK-Võrgud'!$C:$X,2+$F39,0)))/16</f>
        <v>0</v>
      </c>
      <c r="CC39" s="209">
        <f>(IF(CC$7="X",VLOOKUP(CC$10,'VK-Hooned-Soojus'!$C:$X,2+$C39,FALSE),0)+IF(CC$6="X",VLOOKUP(CC$10,'VK-Transport'!$C:$X,2+$B39,0))+IF(CC$8="X",VLOOKUP(CC$10,'VK-Elekter'!$C:$X,2+$D39,0))+IF(CC$9="X",VLOOKUP(CC$10,'VK-Biokütused'!$C:$U,2+$E39,0))+IF(CC$5="X",VLOOKUP(CC$10,'VK-Põlevkivi'!$C:$X,2+$G39,0))+IF(CC$4="X",VLOOKUP(CC$10,'VK-Võrgud'!$C:$X,2+$F39,0)))/16</f>
        <v>0</v>
      </c>
      <c r="CD39" s="209"/>
      <c r="CE39" s="209">
        <f>(IF(CE$7="X",VLOOKUP(CE$10,'VK-Hooned-Soojus'!$C:$X,2+$C39,FALSE),0)+IF(CE$6="X",VLOOKUP(CE$10,'VK-Transport'!$C:$X,2+$B39,0))+IF(CE$8="X",VLOOKUP(CE$10,'VK-Elekter'!$C:$X,2+$D39,0))+IF(CE$9="X",VLOOKUP(CE$10,'VK-Biokütused'!$C:$U,2+$E39,0))+IF(CE$5="X",VLOOKUP(CE$10,'VK-Põlevkivi'!$C:$X,2+$G39,0))+IF(CE$4="X",VLOOKUP(CE$10,'VK-Võrgud'!$C:$X,2+$F39,0)))/16</f>
        <v>24.15625</v>
      </c>
      <c r="CF39" s="209"/>
      <c r="CG39" s="209">
        <f>(IF(CG$7="X",VLOOKUP(CG$10,'VK-Hooned-Soojus'!$C:$X,2+$C39,FALSE),0)+IF(CG$6="X",VLOOKUP(CG$10,'VK-Transport'!$C:$X,2+$B39,0))+IF(CG$8="X",VLOOKUP(CG$10,'VK-Elekter'!$C:$X,2+$D39,0))+IF(CG$9="X",VLOOKUP(CG$10,'VK-Biokütused'!$C:$U,2+$E39,0))+IF(CG$5="X",VLOOKUP(CG$10,'VK-Põlevkivi'!$C:$X,2+$G39,0))+IF(CG$4="X",VLOOKUP(CG$10,'VK-Võrgud'!$C:$X,2+$F39,0)))/16</f>
        <v>0</v>
      </c>
      <c r="CH39" s="209">
        <f>(IF(CH$7="X",VLOOKUP(CH$10,'VK-Hooned-Soojus'!$C:$X,2+$C39,FALSE),0)+IF(CH$6="X",VLOOKUP(CH$10,'VK-Transport'!$C:$X,2+$B39,0))+IF(CH$8="X",VLOOKUP(CH$10,'VK-Elekter'!$C:$X,2+$D39,0))+IF(CH$9="X",VLOOKUP(CH$10,'VK-Biokütused'!$C:$U,2+$E39,0))+IF(CH$5="X",VLOOKUP(CH$10,'VK-Põlevkivi'!$C:$X,2+$G39,0))+IF(CH$4="X",VLOOKUP(CH$10,'VK-Võrgud'!$C:$X,2+$F39,0)))/20*0.21</f>
        <v>11.225549999999998</v>
      </c>
      <c r="CI39" s="209"/>
      <c r="CJ39" s="209">
        <f>(IF(CJ$7="X",VLOOKUP(CJ$10,'VK-Hooned-Soojus'!$C:$X,2+$C39,FALSE),0)+IF(CJ$6="X",VLOOKUP(CJ$10,'VK-Transport'!$C:$X,2+$B39,0))+IF(CJ$8="X",VLOOKUP(CJ$10,'VK-Elekter'!$C:$X,2+$D39,0))+IF(CJ$9="X",VLOOKUP(CJ$10,'VK-Biokütused'!$C:$U,2+$E39,0))+IF(CJ$5="X",VLOOKUP(CJ$10,'VK-Põlevkivi'!$C:$X,2+$G39,0))+IF(CJ$4="X",VLOOKUP(CJ$10,'VK-Võrgud'!$C:$X,2+$F39,0)))/1000</f>
        <v>23.757000000000001</v>
      </c>
      <c r="CK39" s="209">
        <f>(IF(CK$7="X",VLOOKUP(CK$10,'VK-Hooned-Soojus'!$C:$X,2+$C39,FALSE),0)+IF(CK$6="X",VLOOKUP(CK$10,'VK-Transport'!$C:$X,2+$B39,0))+IF(CK$8="X",VLOOKUP(CK$10,'VK-Elekter'!$C:$X,2+$D39,0))+IF(CK$9="X",VLOOKUP(CK$10,'VK-Biokütused'!$C:$U,2+$E39,0))+IF(CK$5="X",VLOOKUP(CK$10,'VK-Põlevkivi'!$C:$X,2+$G39,0))+IF(CK$4="X",VLOOKUP(CK$10,'VK-Võrgud'!$C:$X,2+$F39,0)))/1000</f>
        <v>38.49371614017182</v>
      </c>
      <c r="CL39" s="209">
        <f>(IF(CL$7="X",VLOOKUP(CL$10,'VK-Hooned-Soojus'!$C:$X,2+$C39,FALSE),0)+IF(CL$6="X",VLOOKUP(CL$10,'VK-Transport'!$C:$X,2+$B39,0))+IF(CL$8="X",VLOOKUP(CL$10,'VK-Elekter'!$C:$X,2+$D39,0))+IF(CL$9="X",VLOOKUP(CL$10,'VK-Biokütused'!$C:$U,2+$E39,0))+IF(CL$5="X",VLOOKUP(CL$10,'VK-Põlevkivi'!$C:$X,2+$G39,0))+IF(CL$4="X",VLOOKUP(CL$10,'VK-Võrgud'!$C:$X,2+$F39,0)))/1000</f>
        <v>12.486233270393459</v>
      </c>
      <c r="CM39" s="209">
        <f>(IF(CM$7="X",VLOOKUP(CM$10,'VK-Hooned-Soojus'!$C:$X,2+$C39,FALSE),0)+IF(CM$6="X",VLOOKUP(CM$10,'VK-Transport'!$C:$X,2+$B39,0))+IF(CM$8="X",VLOOKUP(CM$10,'VK-Elekter'!$C:$X,2+$D39,0))+IF(CM$9="X",VLOOKUP(CM$10,'VK-Biokütused'!$C:$U,2+$E39,0))+IF(CM$5="X",VLOOKUP(CM$10,'VK-Põlevkivi'!$C:$X,2+$G39,0))+IF(CM$4="X",VLOOKUP(CM$10,'VK-Võrgud'!$C:$X,2+$F39,0)))/1000</f>
        <v>7.7549896156049165</v>
      </c>
      <c r="CN39" s="209">
        <f>(IF(CN$7="X",VLOOKUP(CN$10,'VK-Hooned-Soojus'!$C:$X,2+$C39,FALSE),0)+IF(CN$6="X",VLOOKUP(CN$10,'VK-Transport'!$C:$X,2+$B39,0))+IF(CN$8="X",VLOOKUP(CN$10,'VK-Elekter'!$C:$X,2+$D39,0))+IF(CN$9="X",VLOOKUP(CN$10,'VK-Biokütused'!$C:$U,2+$E39,0))+IF(CN$5="X",VLOOKUP(CN$10,'VK-Põlevkivi'!$C:$X,2+$G39,0))+IF(CN$4="X",VLOOKUP(CN$10,'VK-Võrgud'!$C:$X,2+$F39,0)))/1000</f>
        <v>2.851</v>
      </c>
      <c r="CO39" s="209">
        <f>(IF(CO$7="X",VLOOKUP(CO$10,'VK-Hooned-Soojus'!$C:$X,2+$C39,FALSE),0)+IF(CO$6="X",VLOOKUP(CO$10,'VK-Transport'!$C:$X,2+$B39,0))+IF(CO$8="X",VLOOKUP(CO$10,'VK-Elekter'!$C:$X,2+$D39,0))+IF(CO$9="X",VLOOKUP(CO$10,'VK-Biokütused'!$C:$U,2+$E39,0))+IF(CO$5="X",VLOOKUP(CO$10,'VK-Põlevkivi'!$C:$X,2+$G39,0))+IF(CO$4="X",VLOOKUP(CO$10,'VK-Võrgud'!$C:$X,2+$F39,0)))/1000</f>
        <v>30.645649773285456</v>
      </c>
      <c r="CP39" s="209">
        <f>(IF(CP$7="X",VLOOKUP(CP$10,'VK-Hooned-Soojus'!$C:$X,2+$C39,FALSE),0)+IF(CP$6="X",VLOOKUP(CP$10,'VK-Transport'!$C:$X,2+$B39,0))+IF(CP$8="X",VLOOKUP(CP$10,'VK-Elekter'!$C:$X,2+$D39,0))+IF(CP$9="X",VLOOKUP(CP$10,'VK-Biokütused'!$C:$U,2+$E39,0))+IF(CP$5="X",VLOOKUP(CP$10,'VK-Põlevkivi'!$C:$X,2+$G39,0))+IF(CP$4="X",VLOOKUP(CP$10,'VK-Võrgud'!$C:$X,2+$F39,0)))/1000</f>
        <v>32.340430478599885</v>
      </c>
      <c r="CQ39" s="209">
        <f>(IF(CQ$7="X",VLOOKUP(CQ$10,'VK-Hooned-Soojus'!$C:$X,2+$C39,FALSE),0)+IF(CQ$6="X",VLOOKUP(CQ$10,'VK-Transport'!$C:$X,2+$B39,0))+IF(CQ$8="X",VLOOKUP(CQ$10,'VK-Elekter'!$C:$X,2+$D39,0))+IF(CQ$9="X",VLOOKUP(CQ$10,'VK-Biokütused'!$C:$U,2+$E39,0))+IF(CQ$5="X",VLOOKUP(CQ$10,'VK-Põlevkivi'!$C:$X,2+$G39,0))+IF(CQ$4="X",VLOOKUP(CQ$10,'VK-Võrgud'!$C:$X,2+$F39,0)))/1000</f>
        <v>17.367906999999999</v>
      </c>
      <c r="CR39" s="209">
        <f>(IF(CR$7="X",VLOOKUP(CR$10,'VK-Hooned-Soojus'!$C:$X,2+$C39,FALSE),0)+IF(CR$6="X",VLOOKUP(CR$10,'VK-Transport'!$C:$X,2+$B39,0))+IF(CR$8="X",VLOOKUP(CR$10,'VK-Elekter'!$C:$X,2+$D39,0))+IF(CR$9="X",VLOOKUP(CR$10,'VK-Biokütused'!$C:$U,2+$E39,0))+IF(CR$5="X",VLOOKUP(CR$10,'VK-Põlevkivi'!$C:$X,2+$G39,0))+IF(CR$4="X",VLOOKUP(CR$10,'VK-Võrgud'!$C:$X,2+$F39,0)))/1000</f>
        <v>8.2197533562748024</v>
      </c>
      <c r="CS39" s="209">
        <f>(IF(CS$7="X",VLOOKUP(CS$10,'VK-Hooned-Soojus'!$C:$X,2+$C39,FALSE),0)+IF(CS$6="X",VLOOKUP(CS$10,'VK-Transport'!$C:$X,2+$B39,0))+IF(CS$8="X",VLOOKUP(CS$10,'VK-Elekter'!$C:$X,2+$D39,0))+IF(CS$9="X",VLOOKUP(CS$10,'VK-Biokütused'!$C:$U,2+$E39,0))+IF(CS$5="X",VLOOKUP(CS$10,'VK-Põlevkivi'!$C:$X,2+$G39,0))+IF(CS$4="X",VLOOKUP(CS$10,'VK-Võrgud'!$C:$X,2+$F39,0)))/1000</f>
        <v>3.966152405121615</v>
      </c>
      <c r="CT39" s="209">
        <f>IF(CT$7="X",VLOOKUP(CT$10,'VK-Hooned-Soojus'!$C:$X,2+$C39,FALSE),0)+IF(CT$6="X",VLOOKUP(CT$10,'VK-Transport'!$C:$X,2+$B39,0))+IF(CT$8="X",VLOOKUP(CT$10,'VK-Elekter'!$C:$X,2+$D39,0))+IF(CT$9="X",VLOOKUP(CT$10,'VK-Biokütused'!$C:$U,2+$E39,0))+IF(CT$5="X",VLOOKUP(CT$10,'VK-Põlevkivi'!$C:$X,2+$G39,0))+IF(CT$4="X",VLOOKUP(CT$10,'VK-Võrgud'!$C:$X,2+$F39,0))</f>
        <v>90</v>
      </c>
      <c r="CU39" s="209">
        <f>IF(CU$7="X",VLOOKUP(CU$10,'VK-Hooned-Soojus'!$C:$X,2+$C39,FALSE),0)+IF(CU$6="X",VLOOKUP(CU$10,'VK-Transport'!$C:$X,2+$B39,0))+IF(CU$8="X",VLOOKUP(CU$10,'VK-Elekter'!$C:$X,2+$D39,0))+IF(CU$9="X",VLOOKUP(CU$10,'VK-Biokütused'!$C:$U,2+$E39,0))+IF(CU$5="X",VLOOKUP(CU$10,'VK-Põlevkivi'!$C:$X,2+$G39,0))+IF(CU$4="X",VLOOKUP(CU$10,'VK-Võrgud'!$C:$X,2+$F39,0))</f>
        <v>1</v>
      </c>
      <c r="CV39" s="209">
        <f t="shared" si="1"/>
        <v>0.91028830406496797</v>
      </c>
      <c r="CW39" s="209">
        <f>(IF(CW$7="X",VLOOKUP(CW$10,'VK-Hooned-Soojus'!$C:$X,2+$C39,FALSE),0)+IF(CW$6="X",VLOOKUP(CW$10,'VK-Transport'!$C:$X,2+$B39,0))+IF(CW$8="X",VLOOKUP(CW$10,'VK-Elekter'!$C:$X,2+$D39,0))+IF(CW$9="X",VLOOKUP(CW$10,'VK-Biokütused'!$C:$U,2+$E39,0))+IF(CW$5="X",VLOOKUP(CW$10,'VK-Põlevkivi'!$C:$X,2+$G39,0))+IF(CW$4="X",VLOOKUP(CW$10,'VK-Võrgud'!$C:$X,2+$F39,0)))/16</f>
        <v>59.743749999999999</v>
      </c>
      <c r="CY39" s="209">
        <f>(IF(CY$7="X",VLOOKUP(CY$10,'VK-Hooned-Soojus'!$C:$X,2+$C39,FALSE),0)+IF(CY$6="X",VLOOKUP(CY$10,'VK-Transport'!$C:$X,2+$B39,0))+IF(CY$8="X",VLOOKUP(CY$10,'VK-Elekter'!$C:$X,2+$D39,0))+IF(CY$9="X",VLOOKUP(CY$10,'VK-Biokütused'!$C:$U,2+$E39,0))+IF(CY$5="X",VLOOKUP(CY$10,'VK-Põlevkivi'!$C:$X,2+$G39,0))+IF(CY$4="X",VLOOKUP(CY$10,'VK-Võrgud'!$C:$X,2+$F39,0)))/1000</f>
        <v>11.977</v>
      </c>
      <c r="CZ39" s="209">
        <f>(IF(CZ$7="X",VLOOKUP(CZ$10,'VK-Hooned-Soojus'!$C:$X,2+$C39,FALSE),0)+IF(CZ$6="X",VLOOKUP(CZ$10,'VK-Transport'!$C:$X,2+$B39,0))+IF(CZ$8="X",VLOOKUP(CZ$10,'VK-Elekter'!$C:$X,2+$D39,0))+IF(CZ$9="X",VLOOKUP(CZ$10,'VK-Biokütused'!$C:$U,2+$E39,0))+IF(CZ$5="X",VLOOKUP(CZ$10,'VK-Põlevkivi'!$C:$X,2+$G39,0))+IF(CZ$4="X",VLOOKUP(CZ$10,'VK-Võrgud'!$C:$X,2+$F39,0)))</f>
        <v>98.4</v>
      </c>
      <c r="DA39" s="209">
        <f>(IF(DA$7="X",VLOOKUP(DA$10,'VK-Hooned-Soojus'!$C:$X,2+$C39,FALSE),0)+IF(DA$6="X",VLOOKUP(DA$10,'VK-Transport'!$C:$X,2+$B39,0))+IF(DA$8="X",VLOOKUP(DA$10,'VK-Elekter'!$C:$X,2+$D39,0))+IF(DA$9="X",VLOOKUP(DA$10,'VK-Biokütused'!$C:$U,2+$E39,0))+IF(DA$5="X",VLOOKUP(DA$10,'VK-Põlevkivi'!$C:$X,2+$G39,0))+IF(DA$4="X",VLOOKUP(DA$10,'VK-Võrgud'!$C:$X,2+$F39,0)))/1000</f>
        <v>17.169</v>
      </c>
      <c r="DB39" s="209">
        <f>(IF(DB$7="X",VLOOKUP(DB$10,'VK-Hooned-Soojus'!$C:$X,2+$C39,FALSE),0)+IF(DB$6="X",VLOOKUP(DB$10,'VK-Transport'!$C:$X,2+$B39,0))+IF(DB$8="X",VLOOKUP(DB$10,'VK-Elekter'!$C:$X,2+$D39,0))+IF(DB$9="X",VLOOKUP(DB$10,'VK-Biokütused'!$C:$U,2+$E39,0))+IF(DB$5="X",VLOOKUP(DB$10,'VK-Põlevkivi'!$C:$X,2+$G39,0))+IF(DB$4="X",VLOOKUP(DB$10,'VK-Võrgud'!$C:$X,2+$F39,0)))/1000/3.6</f>
        <v>139.12166666666667</v>
      </c>
      <c r="DC39" s="209">
        <f>(IF(DC$7="X",VLOOKUP(DC$10,'VK-Hooned-Soojus'!$C:$X,2+$C39,FALSE),0)+IF(DC$6="X",VLOOKUP(DC$10,'VK-Transport'!$C:$X,2+$B39,0))+IF(DC$8="X",VLOOKUP(DC$10,'VK-Elekter'!$C:$X,2+$D39,0))+IF(DC$9="X",VLOOKUP(DC$10,'VK-Biokütused'!$C:$U,2+$E39,0))+IF(DC$5="X",VLOOKUP(DC$10,'VK-Põlevkivi'!$C:$X,2+$G39,0))+IF(DC$4="X",VLOOKUP(DC$10,'VK-Võrgud'!$C:$X,2+$F39,0)))/1000000</f>
        <v>7.6076790000000001</v>
      </c>
      <c r="DD39" s="209"/>
      <c r="DE39" s="88">
        <f>VLOOKUP(Tulemused!$BN$12,data!M$7:N$12,2,FALSE)-SUM(L39,M39)</f>
        <v>-2.6566444444444528</v>
      </c>
      <c r="DF39" s="209" t="str">
        <f>IF(AZ39&lt;=VLOOKUP(Tulemused!$BN$15,data!$E$36:$F$39,2,FALSE),"JAH","EI")</f>
        <v>JAH</v>
      </c>
      <c r="DG39" s="209"/>
      <c r="DH39" s="209">
        <f t="shared" si="2"/>
        <v>6.28</v>
      </c>
      <c r="DI39" s="231" t="str">
        <f t="shared" si="17"/>
        <v>EI</v>
      </c>
      <c r="DK39" s="232">
        <f t="shared" si="3"/>
        <v>-996.53746636346909</v>
      </c>
      <c r="DM39" s="233">
        <f t="shared" si="4"/>
        <v>-992.15172911389686</v>
      </c>
      <c r="DN39" s="87">
        <f t="array" ref="DN39">INDEX($A$11:$A$145, SMALL(IF(DM39=$DK$11:$DK$145, MATCH(ROW($DK$11:$DK$145), ROW($DK$11:$DK$145))), SUM(--(DM39=$DM$11:DM39))))</f>
        <v>114</v>
      </c>
      <c r="DP39" s="87" t="e">
        <f t="shared" ca="1" si="18"/>
        <v>#N/A</v>
      </c>
      <c r="DQ39" s="87" t="e">
        <f t="shared" ca="1" si="19"/>
        <v>#N/A</v>
      </c>
      <c r="DR39" s="87">
        <f t="shared" ca="1" si="20"/>
        <v>0</v>
      </c>
      <c r="DS39" s="87" t="e">
        <f t="shared" ca="1" si="21"/>
        <v>#N/A</v>
      </c>
      <c r="DT39" s="87">
        <f t="shared" ca="1" si="22"/>
        <v>0</v>
      </c>
      <c r="DU39" s="87" t="e">
        <f t="shared" ca="1" si="23"/>
        <v>#N/A</v>
      </c>
      <c r="DV39" s="87" t="e">
        <f t="shared" ca="1" si="24"/>
        <v>#N/A</v>
      </c>
      <c r="DW39" s="87">
        <f t="shared" ca="1" si="25"/>
        <v>0</v>
      </c>
      <c r="DX39" s="87">
        <f t="shared" ca="1" si="26"/>
        <v>0</v>
      </c>
      <c r="DZ39" s="87">
        <f t="shared" ca="1" si="35"/>
        <v>0</v>
      </c>
      <c r="EB39" s="87">
        <f t="shared" ca="1" si="27"/>
        <v>0</v>
      </c>
      <c r="EC39" s="87" t="e">
        <f t="shared" ca="1" si="28"/>
        <v>#N/A</v>
      </c>
      <c r="EE39" s="228">
        <f>(IF(EE$7="X",VLOOKUP(EE$10,'VK-Hooned-Soojus'!$C:$X,2+$C39,FALSE),0)+IF(EE$6="X",VLOOKUP(EE$10,'VK-Transport'!$C:$X,2+$B39,0))+IF(EE$8="X",VLOOKUP(EE$10,'VK-Elekter'!$C:$X,2+$D39,0))+IF(EE$9="X",VLOOKUP(EE$10,'VK-Biokütused'!$C:$U,2+$E39,0))+IF(EE$5="X",VLOOKUP(EE$10,'VK-Põlevkivi'!$C:$X,2+$G39,0))+IF(EE$4="X",VLOOKUP(EE$10,'VK-Võrgud'!$C:$X,2+$F39,0)))</f>
        <v>8755.9051204649386</v>
      </c>
      <c r="EF39" s="209">
        <f>(IF(EF$7="X",VLOOKUP(EF$10,'VK-Hooned-Soojus'!$C:$X,2+$C39,FALSE),0)+IF(EF$6="X",VLOOKUP(EF$10,'VK-Transport'!$C:$X,2+$B39,0))+IF(EF$8="X",VLOOKUP(EF$10,'VK-Elekter'!$C:$X,2+$D39,0))+IF(EF$9="X",VLOOKUP(EF$10,'VK-Biokütused'!$C:$U,2+$E39,0))+IF(EF$5="X",VLOOKUP(EF$10,'VK-Põlevkivi'!$C:$X,2+$G39,0))+IF(EF$4="X",VLOOKUP(EF$10,'VK-Võrgud'!$C:$X,2+$F39,0)))/1000</f>
        <v>9.4406368215830607</v>
      </c>
      <c r="EG39" s="209">
        <f>(IF(EG$7="X",VLOOKUP(EG$10,'VK-Hooned-Soojus'!$C:$X,2+$C39,FALSE),0)+IF(EG$6="X",VLOOKUP(EG$10,'VK-Transport'!$C:$X,2+$B39,0))+IF(EG$8="X",VLOOKUP(EG$10,'VK-Elekter'!$C:$X,2+$D39,0))+IF(EG$9="X",VLOOKUP(EG$10,'VK-Biokütused'!$C:$U,2+$E39,0))+IF(EG$5="X",VLOOKUP(EG$10,'VK-Põlevkivi'!$C:$X,2+$G39,0))+IF(EG$4="X",VLOOKUP(EG$10,'VK-Võrgud'!$C:$X,2+$F39,0)))</f>
        <v>0.81</v>
      </c>
      <c r="EH39" s="209">
        <f>(IF(EH$7="X",VLOOKUP(EH$10,'VK-Hooned-Soojus'!$C:$X,2+$C39,FALSE),0)+IF(EH$6="X",VLOOKUP(EH$10,'VK-Transport'!$C:$X,2+$B39,0))+IF(EH$8="X",VLOOKUP(EH$10,'VK-Elekter'!$C:$X,2+$D39,0))+IF(EH$9="X",VLOOKUP(EH$10,'VK-Biokütused'!$C:$U,2+$E39,0)))+AR39+AS39+AU39+AX39</f>
        <v>94.782599737484716</v>
      </c>
      <c r="EI39" s="320">
        <f t="shared" si="6"/>
        <v>64.89667854210326</v>
      </c>
      <c r="EJ39" s="322">
        <f t="shared" si="7"/>
        <v>2.1267750475898739E-2</v>
      </c>
      <c r="EK39" s="323">
        <f t="shared" si="29"/>
        <v>0.35626210493151461</v>
      </c>
      <c r="EM39" s="209"/>
      <c r="EN39" s="209">
        <f t="shared" ca="1" si="8"/>
        <v>0</v>
      </c>
      <c r="EO39" s="209"/>
      <c r="EP39" s="234"/>
      <c r="EQ39" s="209">
        <f>(IF(EQ$7="X",VLOOKUP(EQ$10,'VK-Hooned-Soojus'!$C:$X,2+$C39,FALSE),0)+IF(EQ$6="X",VLOOKUP(EQ$10,'VK-Transport'!$C:$X,2+$B39,0))+IF(EQ$8="X",VLOOKUP(EQ$10,'VK-Elekter'!$C:$X,2+$D39,0))+IF(EQ$9="X",VLOOKUP(EQ$10,'VK-Biokütused'!$C:$U,2+$E39,0))+IF(EQ$5="X",VLOOKUP(EQ$10,'VK-Põlevkivi'!$C:$X,2+$G39,0))+IF(EQ$4="X",VLOOKUP(EQ$10,'VK-Võrgud'!$C:$X,2+$F39,0)))/1000</f>
        <v>0.21099999999999999</v>
      </c>
      <c r="ER39" s="209">
        <f>(IF(ER$7="X",VLOOKUP(ER$10,'VK-Hooned-Soojus'!$C:$X,2+$C39,FALSE),0)+IF(ER$6="X",VLOOKUP(ER$10,'VK-Transport'!$C:$X,2+$B39,0))+IF(ER$8="X",VLOOKUP(ER$10,'VK-Elekter'!$C:$X,2+$D39,0))+IF(ER$9="X",VLOOKUP(ER$10,'VK-Biokütused'!$C:$U,2+$E39,0))+IF(ER$5="X",VLOOKUP(ER$10,'VK-Põlevkivi'!$C:$X,2+$G39,0))+IF(ER$4="X",VLOOKUP(ER$10,'VK-Võrgud'!$C:$X,2+$F39,0)))</f>
        <v>0.76300000000000001</v>
      </c>
      <c r="ES39" s="209">
        <f>(IF(ES$7="X",VLOOKUP(ES$10,'VK-Hooned-Soojus'!$C:$X,2+$C39,FALSE),0)+IF(ES$6="X",VLOOKUP(ES$10,'VK-Transport'!$C:$X,2+$B39,0))+IF(ES$8="X",VLOOKUP(ES$10,'VK-Elekter'!$C:$X,2+$D39,0))+IF(ES$9="X",VLOOKUP(ES$10,'VK-Biokütused'!$C:$U,2+$E39,0))+IF(ES$5="X",VLOOKUP(ES$10,'VK-Põlevkivi'!$C:$X,2+$G39,0))+IF(ES$4="X",VLOOKUP(ES$10,'VK-Võrgud'!$C:$X,2+$F39,0)))</f>
        <v>6.28</v>
      </c>
      <c r="ET39" s="209"/>
      <c r="EU39" s="209"/>
      <c r="EV39" s="87">
        <f>'KSH järjestus'!AS32</f>
        <v>1902</v>
      </c>
      <c r="EX39" s="236"/>
      <c r="EY39" s="236"/>
      <c r="EZ39" s="237">
        <f t="shared" si="9"/>
        <v>0</v>
      </c>
      <c r="FA39" s="209">
        <f>IF(FA$7="X",VLOOKUP(FA$10,'VK-Hooned-Soojus'!$C:$X,2+$C39,FALSE),0)+IF(FA$6="X",VLOOKUP(FA$10,'VK-Transport'!$C:$X,2+$B39,0))+IF(FA$8="X",VLOOKUP(FA$10,'VK-Elekter'!$C:$X,2+$D39,0))+IF(FA$9="X",VLOOKUP(FA$10,'VK-Biokütused'!$C:$U,2+$E39,0))+IF(FA$5="X",VLOOKUP(FA$10,'VK-Põlevkivi'!$C:$X,2+$G39,0))+IF(FA$4="X",VLOOKUP(FA$10,'VK-Võrgud'!$C:$X,2+$F39,0))</f>
        <v>3581.9070000000002</v>
      </c>
      <c r="FB39" s="279">
        <f>(IF(FB$7="X",VLOOKUP(FB$10,'VK-Hooned-Soojus'!$C:$X,2+$C39,FALSE),0)+IF(FB$6="X",VLOOKUP(FB$10,'VK-Transport'!$C:$X,2+$B39,0))+IF(FB$8="X",VLOOKUP(FB$10,'VK-Elekter'!$C:$X,2+$D39,0))+IF(FB$9="X",VLOOKUP(FB$10,'VK-Biokütused'!$C:$U,2+$E39,0))+IF(FB$5="X",VLOOKUP(FB$10,'VK-Põlevkivi'!$C:$X,2+$G39,0))+IF(FB$4="X",VLOOKUP(FB$10,'VK-Võrgud'!$C:$X,2+$F39,0)))/16</f>
        <v>712.02685977153635</v>
      </c>
      <c r="FC39" s="209">
        <f>IF(FC$7="X",VLOOKUP(FC$10,'VK-Hooned-Soojus'!$C:$X,2+$C39,FALSE),0)+IF(FC$6="X",VLOOKUP(FC$10,'VK-Transport'!$C:$X,2+$B39,0))+IF(FC$8="X",VLOOKUP(FC$10,'VK-Elekter'!$C:$X,2+$D39,0))+IF(FC$9="X",VLOOKUP(FC$10,'VK-Biokütused'!$C:$U,2+$E39,0))+IF(FC$5="X",VLOOKUP(FC$10,'VK-Põlevkivi'!$C:$X,2+$G39,0))+IF(FC$4="X",VLOOKUP(FC$10,'VK-Võrgud'!$C:$X,2+$F39,0))</f>
        <v>318.40000000000003</v>
      </c>
      <c r="FD39" s="209">
        <f>(IF(FD$7="X",VLOOKUP(FD$10,'VK-Hooned-Soojus'!$C:$X,2+$C39,FALSE),0)+IF(FD$6="X",VLOOKUP(FD$10,'VK-Transport'!$C:$X,2+$B39,0))+IF(FD$8="X",VLOOKUP(FD$10,'VK-Elekter'!$C:$X,2+$D39,0))+IF(FD$9="X",VLOOKUP(FD$10,'VK-Biokütused'!$C:$U,2+$E39,0))+IF(FD$5="X",VLOOKUP(FD$10,'VK-Põlevkivi'!$C:$X,2+$G39,0))+IF(FD$4="X",VLOOKUP(FD$10,'VK-Võrgud'!$C:$X,2+$F39,0)))/16</f>
        <v>712.02685977153635</v>
      </c>
      <c r="FE39" s="209">
        <f>(IF(FE$7="X",VLOOKUP(FE$10,'VK-Hooned-Soojus'!$C:$X,2+$C39,FALSE),0)+IF(FE$6="X",VLOOKUP(FE$10,'VK-Transport'!$C:$X,2+$B39,0))+IF(FE$8="X",VLOOKUP(FE$10,'VK-Elekter'!$C:$X,2+$D39,0))+IF(FE$9="X",VLOOKUP(FE$10,'VK-Biokütused'!$C:$U,2+$E39,0))+IF(FE$5="X",VLOOKUP(FE$10,'VK-Põlevkivi'!$C:$X,2+$G39,0))+IF(FE$4="X",VLOOKUP(FE$10,'VK-Võrgud'!$C:$X,2+$F39,0)))/16</f>
        <v>-51.993219880632097</v>
      </c>
      <c r="FF39" s="209">
        <f>(IF(FF$7="X",VLOOKUP(FF$10,'VK-Hooned-Soojus'!$C:$X,2+$C39,FALSE),0)+IF(FF$6="X",VLOOKUP(FF$10,'VK-Transport'!$C:$X,2+$B39,0))+IF(FF$8="X",VLOOKUP(FF$10,'VK-Elekter'!$C:$X,2+$D39,0))+IF(FF$9="X",VLOOKUP(FF$10,'VK-Biokütused'!$C:$U,2+$E39,0))+IF(FF$5="X",VLOOKUP(FF$10,'VK-Põlevkivi'!$C:$X,2+$G39,0))+IF(FF$4="X",VLOOKUP(FF$10,'VK-Võrgud'!$C:$X,2+$F39,0)))/16</f>
        <v>192.60270086231324</v>
      </c>
      <c r="FG39" s="88">
        <f t="shared" ca="1" si="30"/>
        <v>140.60948098168114</v>
      </c>
      <c r="FH39" s="88"/>
      <c r="FI39" s="88"/>
      <c r="FJ39" s="88">
        <f>VLOOKUP(Tulemused!$BN$12,data!M$7:N$12,2,FALSE)-SUM(L39,M39)</f>
        <v>-2.6566444444444528</v>
      </c>
      <c r="FK39" s="209" t="str">
        <f>IF(AZ39&lt;=VLOOKUP(Tulemused!$BN$15,data!$E$36:$F$39,2,FALSE),"JAH","EI")</f>
        <v>JAH</v>
      </c>
      <c r="FL39" s="235">
        <f ca="1">IF(ISNA(MATCH($A39,INDIRECT(VLOOKUP(Tulemused!$BF$11,data!$J$57:$M$71,4,FALSE)))),0,MATCH($A39,INDIRECT(VLOOKUP(Tulemused!$BF$11,data!$J$57:$M$71,4,FALSE))))</f>
        <v>0</v>
      </c>
      <c r="FM39" s="235" t="str">
        <f t="shared" ca="1" si="10"/>
        <v>JAH</v>
      </c>
      <c r="FN39" s="209">
        <f>VLOOKUP(Tulemused!$BN$13,data!$C$132:$D$137,2,FALSE)-KOMBI!R39</f>
        <v>2.7118331784169403</v>
      </c>
      <c r="FO39" s="209"/>
      <c r="FP39" s="209">
        <f>VLOOKUP(Tulemused!$BN$17,NO_x,2,FALSE)-CJ39</f>
        <v>5.6809999999999974</v>
      </c>
      <c r="FQ39" s="209">
        <f>VLOOKUP(Tulemused!$BN$18,SO_2,2,FALSE)-CK39</f>
        <v>13.39028385982818</v>
      </c>
      <c r="FR39" s="209">
        <f>VLOOKUP(Tulemused!$BN$19,LOU,2,FALSE)-CN39</f>
        <v>34.229000000000006</v>
      </c>
      <c r="FS39" s="209">
        <f>VLOOKUP(Tulemused!$BN$20,PM_2.5,2,FALSE)-CM39</f>
        <v>9.1600103843950826</v>
      </c>
      <c r="FT39" s="209">
        <f>VLOOKUP(Tulemused!$BN$13,data!$C$132:$D$137,2,FALSE)-FA39/1000</f>
        <v>2.6640630000000005</v>
      </c>
      <c r="FU39" s="209">
        <f>VLOOKUP(Tulemused!$BN$17,NO_x,2,FALSE)-CO39</f>
        <v>-1.207649773285457</v>
      </c>
      <c r="FV39" s="209">
        <f>VLOOKUP(Tulemused!$BN$18,SO_2,2,FALSE)-CP39</f>
        <v>19.543569521400116</v>
      </c>
      <c r="FW39" s="209">
        <f>VLOOKUP(Tulemused!$BN$19,LOU,2,FALSE)-CS39</f>
        <v>33.113847594878393</v>
      </c>
      <c r="FX39" s="209">
        <f>VLOOKUP(Tulemused!$BN$20,PM_2.5,2,FALSE)-CR39</f>
        <v>8.6952466437251967</v>
      </c>
      <c r="FY39" s="209">
        <f>VLOOKUP(Tulemused!$BN$14,KHG_2050,2,FALSE)-EF39</f>
        <v>90.559363178416945</v>
      </c>
      <c r="FZ39" s="231" t="str">
        <f t="shared" ca="1" si="31"/>
        <v>EI</v>
      </c>
      <c r="GA39" s="209"/>
      <c r="GB39" s="209"/>
      <c r="GC39" s="209"/>
      <c r="GD39" s="231"/>
      <c r="GE39" s="87">
        <f t="shared" si="11"/>
        <v>1902</v>
      </c>
      <c r="GF39" s="232" t="str">
        <f t="shared" ca="1" si="32"/>
        <v/>
      </c>
      <c r="GH39" s="238" t="e">
        <f t="shared" ca="1" si="12"/>
        <v>#NUM!</v>
      </c>
      <c r="GI39" s="87" t="e">
        <f t="array" aca="1" ref="GI39" ca="1">INDEX($A$11:$A$145, SMALL(IF(GH39=$GF$11:$GF$145, MATCH(ROW($GF$11:$GF$145), ROW($GF$11:$GF$145))), SUM(--(GH39=$GH$11:GH39))))</f>
        <v>#NUM!</v>
      </c>
      <c r="GM39" s="209">
        <f>IF(GM$7="X",VLOOKUP(GM$10,'VK-Hooned-Soojus'!$C:$X,2+$C39,FALSE),0)+IF(GM$6="X",VLOOKUP(GM$10,'VK-Transport'!$C:$X,2+$B39,0))+IF(GM$8="X",VLOOKUP(GM$10,'VK-Elekter'!$C:$X,2+$D39,0))+IF(GM$9="X",VLOOKUP(GM$10,'VK-Biokütused'!$C:$U,2+$E39,0))+IF(GM$5="X",VLOOKUP(GM$10,'VK-Põlevkivi'!$C:$X,2+$G39,0))+IF(GM$4="X",VLOOKUP(GM$10,'VK-Võrgud'!$C:$X,2+$F39,0))</f>
        <v>11.189888530766083</v>
      </c>
      <c r="GN39" s="209">
        <f>IF(GN$7="X",VLOOKUP(GN$10,'VK-Hooned-Soojus'!$C:$X,2+$C39,FALSE),0)+IF(GN$6="X",VLOOKUP(GN$10,'VK-Transport'!$C:$X,2+$B39,0))+IF(GN$8="X",VLOOKUP(GN$10,'VK-Elekter'!$C:$X,2+$D39,0))+IF(GN$9="X",VLOOKUP(GN$10,'VK-Biokütused'!$C:$U,2+$E39,0))+IF(GN$5="X",VLOOKUP(GN$10,'VK-Põlevkivi'!$C:$X,2+$G39,0))+IF(GN$4="X",VLOOKUP(GN$10,'VK-Võrgud'!$C:$X,2+$F39,0))</f>
        <v>2.9930837725682502</v>
      </c>
      <c r="GO39" s="209">
        <f>IF(GO$7="X",VLOOKUP(GO$10,'VK-Hooned-Soojus'!$C:$X,2+$C39,FALSE),0)+IF(GO$6="X",VLOOKUP(GO$10,'VK-Transport'!$C:$X,2+$B39,0))+IF(GO$8="X",VLOOKUP(GO$10,'VK-Elekter'!$C:$X,2+$D39,0))+IF(GO$9="X",VLOOKUP(GO$10,'VK-Biokütused'!$C:$U,2+$E39,0))+IF(GO$5="X",VLOOKUP(GO$10,'VK-Põlevkivi'!$C:$X,2+$G39,0))+IF(GO$4="X",VLOOKUP(GO$10,'VK-Võrgud'!$C:$X,2+$F39,0))</f>
        <v>7.936370010272257</v>
      </c>
      <c r="GP39" s="209">
        <f>IF(GP$7="X",VLOOKUP(GP$10,'VK-Hooned-Soojus'!$C:$X,2+$C39,FALSE),0)+IF(GP$6="X",VLOOKUP(GP$10,'VK-Transport'!$C:$X,2+$B39,0))+IF(GP$8="X",VLOOKUP(GP$10,'VK-Elekter'!$C:$X,2+$D39,0))+IF(GP$9="X",VLOOKUP(GP$10,'VK-Biokütused'!$C:$U,2+$E39,0))+IF(GP$5="X",VLOOKUP(GP$10,'VK-Põlevkivi'!$C:$X,2+$G39,0))+IF(GP$4="X",VLOOKUP(GP$10,'VK-Võrgud'!$C:$X,2+$F39,0))</f>
        <v>9.1527946929596489</v>
      </c>
      <c r="GQ39" s="88">
        <f>IF(GQ$7="X",VLOOKUP(GQ$10,'VK-Hooned-Soojus'!$C:$X,2+$C39,FALSE),0)+IF(GQ$6="X",VLOOKUP(GQ$10,'VK-Transport'!$C:$X,2+$B39,0))+IF(GQ$8="X",VLOOKUP(GQ$10,'VK-Elekter'!$C:$X,2+$D39,0))+IF(GQ$9="X",VLOOKUP(GQ$10,'VK-Biokütused'!$C:$U,2+$E39,0))+IF(GQ$5="X",VLOOKUP(GQ$10,'VK-Põlevkivi'!$C:$X,2+$G39,0))+IF(GQ$4="X",VLOOKUP(GQ$10,'VK-Võrgud'!$C:$X,2+$F39,0))</f>
        <v>0.9682855968523334</v>
      </c>
      <c r="GR39" s="186">
        <f t="shared" si="33"/>
        <v>0.36952294598212954</v>
      </c>
    </row>
    <row r="40" spans="1:200" x14ac:dyDescent="0.2">
      <c r="A40" s="184">
        <v>30</v>
      </c>
      <c r="B40" s="87">
        <v>1</v>
      </c>
      <c r="C40" s="87">
        <v>2</v>
      </c>
      <c r="D40" s="87">
        <v>5</v>
      </c>
      <c r="E40" s="87">
        <v>3</v>
      </c>
      <c r="F40" s="87">
        <f>VLOOKUP(Tulemused!$BF$7,data!$J$6:$K$8,2,FALSE)</f>
        <v>2</v>
      </c>
      <c r="G40" s="87">
        <f>VLOOKUP(data!$H$2,data!$J$12:$K$14,2,FALSE)</f>
        <v>2</v>
      </c>
      <c r="I40" s="209">
        <f>IF(I$7="X",VLOOKUP(I$10,'VK-Hooned-Soojus'!$C:$X,2+$C40,FALSE),0)+IF(I$6="X",VLOOKUP(I$10,'VK-Transport'!$C:$X,2+$B40,0))+IF(I$8="X",VLOOKUP(I$10,'VK-Elekter'!$C:$X,2+$D40,0))+IF(I$9="X",VLOOKUP(I$10,'VK-Biokütused'!$C:$U,2+$E40,0))+IF(I$5="X",VLOOKUP(I$10,'VK-Põlevkivi'!$C:$X,2+$G40,0))+IF(I$4="X",VLOOKUP(I$10,'VK-Võrgud'!$C:$X,2+$F40,0))</f>
        <v>24.79</v>
      </c>
      <c r="J40" s="209">
        <f>IF(J$7="X",VLOOKUP(J$10,'VK-Hooned-Soojus'!$C:$X,2+$C40,FALSE),0)+IF(J$6="X",VLOOKUP(J$10,'VK-Transport'!$C:$X,2+$B40,0))+IF(J$8="X",VLOOKUP(J$10,'VK-Elekter'!$C:$X,2+$D40,0))+IF(J$9="X",VLOOKUP(J$10,'VK-Biokütused'!$C:$U,2+$E40,0))+IF(J$5="X",VLOOKUP(J$10,'VK-Põlevkivi'!$C:$X,2+$G40,0))+IF(J$4="X",VLOOKUP(J$10,'VK-Võrgud'!$C:$X,2+$F40,0))</f>
        <v>13.295833333333334</v>
      </c>
      <c r="K40" s="209">
        <f>IF(K$7="X",VLOOKUP(K$10,'VK-Hooned-Soojus'!$C:$X,2+$C40,FALSE),0)+IF(K$6="X",VLOOKUP(K$10,'VK-Transport'!$C:$X,2+$B40,0))+IF(K$8="X",VLOOKUP(K$10,'VK-Elekter'!$C:$X,2+$D40,0))+IF(K$9="X",VLOOKUP(K$10,'VK-Biokütused'!$C:$U,2+$E40,0))+IF(K$5="X",VLOOKUP(K$10,'VK-Põlevkivi'!$C:$X,2+$G40,0))+IF(K$4="X",VLOOKUP(K$10,'VK-Võrgud'!$C:$X,2+$F40,0))</f>
        <v>15.27</v>
      </c>
      <c r="L40" s="209">
        <f>IF(L$7="X",VLOOKUP(L$10,'VK-Hooned-Soojus'!$C:$X,2+$C40,FALSE),0)+IF(L$6="X",VLOOKUP(L$10,'VK-Transport'!$C:$X,2+$B40,0))+IF(L$8="X",VLOOKUP(L$10,'VK-Elekter'!$C:$X,2+$D40,0))+IF(L$9="X",VLOOKUP(L$10,'VK-Biokütused'!$C:$U,2+$E40,0))+IF(L$5="X",VLOOKUP(L$10,'VK-Põlevkivi'!$C:$X,2+$G40,0))+IF(L$4="X",VLOOKUP(L$10,'VK-Võrgud'!$C:$X,2+$F40,0))</f>
        <v>24.2</v>
      </c>
      <c r="M40" s="209">
        <f>IF(M$7="X",VLOOKUP(M$10,'VK-Hooned-Soojus'!$C:$X,2+$C40,FALSE),0)+IF(M$6="X",VLOOKUP(M$10,'VK-Transport'!$C:$X,2+$B40,0))+IF(M$8="X",VLOOKUP(M$10,'VK-Elekter'!$C:$X,2+$D40,0))+IF(M$9="X",VLOOKUP(M$10,'VK-Biokütused'!$C:$U,2+$E40,0))+IF(M$5="X",VLOOKUP(M$10,'VK-Põlevkivi'!$C:$X,2+$G40,0))+IF(M$4="X",VLOOKUP(M$10,'VK-Võrgud'!$C:$X,2+$F40,0))</f>
        <v>11.289444444444445</v>
      </c>
      <c r="N40" s="209">
        <f>IF(N$7="X",VLOOKUP(N$10,'VK-Hooned-Soojus'!$C:$X,2+$C40,FALSE),0)+IF(N$6="X",VLOOKUP(N$10,'VK-Transport'!$C:$X,2+$B40,0))+IF(N$8="X",VLOOKUP(N$10,'VK-Elekter'!$C:$X,2+$D40,0))+IF(N$9="X",VLOOKUP(N$10,'VK-Biokütused'!$C:$U,2+$E40,0))+IF(N$5="X",VLOOKUP(N$10,'VK-Põlevkivi'!$C:$X,2+$G40,0))+IF(N$4="X",VLOOKUP(N$10,'VK-Võrgud'!$C:$X,2+$F40,0))</f>
        <v>16.09</v>
      </c>
      <c r="O40" s="209">
        <f t="shared" si="13"/>
        <v>38.085833333333333</v>
      </c>
      <c r="P40" s="209"/>
      <c r="Q40" s="209">
        <f>(IF(Q$7="X",VLOOKUP(Q$10,'VK-Hooned-Soojus'!$C:$X,2+$C40,FALSE),0)+IF(Q$6="X",VLOOKUP(Q$10,'VK-Transport'!$C:$X,2+$B40,0))+IF(Q$8="X",VLOOKUP(Q$10,'VK-Elekter'!$C:$X,2+$D40,0))+IF(Q$9="X",VLOOKUP(Q$10,'VK-Biokütused'!$C:$U,2+$E40,0))+IF(Q$5="X",VLOOKUP(Q$10,'VK-Põlevkivi'!$C:$X,2+$G40,0))+IF(Q$4="X",VLOOKUP(Q$10,'VK-Võrgud'!$C:$X,2+$F40,0)))/1000</f>
        <v>6.0640000000000001</v>
      </c>
      <c r="R40" s="209">
        <f>(IF(R$7="X",VLOOKUP(R$10,'VK-Hooned-Soojus'!$C:$X,2+$C40,FALSE),0)+IF(R$6="X",VLOOKUP(R$10,'VK-Transport'!$C:$X,2+$B40,0))+IF(R$8="X",VLOOKUP(R$10,'VK-Elekter'!$C:$X,2+$D40,0))+IF(R$9="X",VLOOKUP(R$10,'VK-Biokütused'!$C:$U,2+$E40,0))+IF(R$5="X",VLOOKUP(R$10,'VK-Põlevkivi'!$C:$X,2+$G40,0))+IF(R$4="X",VLOOKUP(R$10,'VK-Võrgud'!$C:$X,2+$F40,0)))/1000</f>
        <v>3.7428368215830607</v>
      </c>
      <c r="S40" s="226">
        <f>VLOOKUP(S$10,'VK-Hooned-Soojus'!$C:$I,2+$C40,FALSE) + VLOOKUP(S$10,'VK-Transport'!$C:$I,2+$B40,FALSE)+ VLOOKUP(S$10,'VK-Biokütused'!$C:$G,2+$E40,FALSE)+ VLOOKUP(S$10,'VK-Elekter'!$C:$I,2+$D40,FALSE)+ VLOOKUP(S$10,'VK-Põlevkivi'!$C:$I,2+$G40,FALSE)+ VLOOKUP(S$10,'VK-Võrgud'!$C:$I,2+$F40,FALSE)</f>
        <v>3.1391943558642478E-2</v>
      </c>
      <c r="T40" s="226">
        <f>VLOOKUP(T$10,'VK-Hooned-Soojus'!$C:$I,2+$C40,FALSE) + VLOOKUP(T$10,'VK-Transport'!$C:$I,2+$B40,FALSE)+ VLOOKUP(T$10,'VK-Biokütused'!$C:$G,2+$E40,FALSE)+ VLOOKUP(T$10,'VK-Elekter'!$C:$I,2+$D40,FALSE)+ VLOOKUP(T$10,'VK-Põlevkivi'!$C:$I,2+$G40,FALSE)+ VLOOKUP(T$10,'VK-Võrgud'!$C:$I,2+$F40,FALSE)</f>
        <v>1.6487823327055156E-3</v>
      </c>
      <c r="U40" s="226">
        <f>VLOOKUP(U$10,'VK-Hooned-Soojus'!$C:$I,2+$C40,FALSE) + VLOOKUP(U$10,'VK-Transport'!$C:$I,2+$B40,FALSE)+ VLOOKUP(U$10,'VK-Biokütused'!$C:$G,2+$E40,FALSE)+ VLOOKUP(U$10,'VK-Elekter'!$C:$I,2+$D40,FALSE)+ VLOOKUP(U$10,'VK-Põlevkivi'!$C:$I,2+$G40,FALSE)+ VLOOKUP(U$10,'VK-Võrgud'!$C:$I,2+$F40,FALSE)</f>
        <v>1.2594499304016266E-2</v>
      </c>
      <c r="V40" s="226">
        <f>VLOOKUP(V$10,'VK-Hooned-Soojus'!$C:$I,2+$C40,FALSE) + VLOOKUP(V$10,'VK-Transport'!$C:$I,2+$B40,FALSE)+ VLOOKUP(V$10,'VK-Biokütused'!$C:$G,2+$E40,FALSE)+ VLOOKUP(V$10,'VK-Elekter'!$C:$I,2+$D40,FALSE)+ VLOOKUP(V$10,'VK-Põlevkivi'!$C:$I,2+$G40,FALSE)+ VLOOKUP(V$10,'VK-Võrgud'!$C:$I,2+$F40,FALSE)</f>
        <v>1.9200427022521529E-2</v>
      </c>
      <c r="W40" s="226">
        <f>VLOOKUP(W$10,'VK-Hooned-Soojus'!$C:$I,2+$C40,FALSE) + VLOOKUP(W$10,'VK-Transport'!$C:$I,2+$B40,FALSE)+ VLOOKUP(W$10,'VK-Biokütused'!$C:$G,2+$E40,FALSE)+ VLOOKUP(W$10,'VK-Elekter'!$C:$I,2+$D40,FALSE)+ VLOOKUP(W$10,'VK-Põlevkivi'!$C:$I,2+$G40,FALSE)+ VLOOKUP(W$10,'VK-Võrgud'!$C:$I,2+$F40,FALSE)</f>
        <v>5.2175293662481883E-3</v>
      </c>
      <c r="X40" s="226">
        <f>VLOOKUP(X$10,'VK-Hooned-Soojus'!$C:$I,2+$C40,FALSE) + VLOOKUP(X$10,'VK-Transport'!$C:$I,2+$B40,FALSE)+ VLOOKUP(X$10,'VK-Biokütused'!$C:$G,2+$E40,FALSE)+ VLOOKUP(X$10,'VK-Elekter'!$C:$I,2+$D40,FALSE)+ VLOOKUP(X$10,'VK-Põlevkivi'!$C:$I,2+$G40,FALSE)+ VLOOKUP(X$10,'VK-Võrgud'!$C:$I,2+$F40,FALSE)</f>
        <v>7.9817744695944909E-2</v>
      </c>
      <c r="Y40" s="226">
        <f>VLOOKUP(Y$10,'VK-Hooned-Soojus'!$C:$I,2+$C40,FALSE) + VLOOKUP(Y$10,'VK-Transport'!$C:$I,2+$B40,FALSE)+ VLOOKUP(Y$10,'VK-Biokütused'!$C:$G,2+$E40,FALSE)+ VLOOKUP(Y$10,'VK-Elekter'!$C:$I,2+$D40,FALSE)+ VLOOKUP(Y$10,'VK-Põlevkivi'!$C:$I,2+$G40,FALSE)+ VLOOKUP(Y$10,'VK-Võrgud'!$C:$I,2+$F40,FALSE)</f>
        <v>7.7953167115796834E-2</v>
      </c>
      <c r="Z40" s="227">
        <f>(S40*Tulemused!$Q$9*10+T40*Tulemused!$Q$10*10+KOMBI!U40*Tulemused!$Q$11*10+KOMBI!V40*Tulemused!$Q$12*10)*Tulemused!$Q$8+-(W40*Tulemused!$Q$14*10+KOMBI!X40*Tulemused!$Q$15*10+KOMBI!Y40*Tulemused!$Q$16*10)*Tulemused!$Q$13</f>
        <v>4.3676333587724727</v>
      </c>
      <c r="AA40" s="228">
        <f>(IF(AA$7="X",VLOOKUP(AA$10,'VK-Hooned-Soojus'!$C:$X,2+$C40,FALSE),0)+IF(AA$6="X",VLOOKUP(AA$10,'VK-Transport'!$C:$X,2+$B40,0))+IF(AA$8="X",VLOOKUP(AA$10,'VK-Elekter'!$C:$X,2+$D40,0))+IF(AA$9="X",VLOOKUP(AA$10,'VK-Biokütused'!$C:$U,2+$E40,0))+IF(AA$5="X",VLOOKUP(AA$10,'VK-Põlevkivi'!$C:$X,2+$G40,0))+IF(AA$4="X",VLOOKUP(AA$10,'VK-Võrgud'!$C:$X,2+$F40,0)))</f>
        <v>4727</v>
      </c>
      <c r="AB40" s="228">
        <f>(IF(AB$7="X",VLOOKUP(AB$10,'VK-Hooned-Soojus'!$C:$X,2+$C40,FALSE),0)+IF(AB$6="X",VLOOKUP(AB$10,'VK-Transport'!$C:$X,2+$B40,0))+IF(AB$8="X",VLOOKUP(AB$10,'VK-Elekter'!$C:$X,2+$D40,0))+IF(AB$9="X",VLOOKUP(AB$10,'VK-Biokütused'!$C:$U,2+$E40,0))+IF(AB$5="X",VLOOKUP(AB$10,'VK-Põlevkivi'!$C:$X,2+$G40,0))+IF(AB$4="X",VLOOKUP(AB$10,'VK-Võrgud'!$C:$X,2+$F40,0)))</f>
        <v>1337</v>
      </c>
      <c r="AC40" s="228">
        <f>(IF(AC$7="X",VLOOKUP(AC$10,'VK-Hooned-Soojus'!$C:$X,2+$C40,FALSE),0)+IF(AC$6="X",VLOOKUP(AC$10,'VK-Transport'!$C:$X,2+$B40,0))+IF(AC$8="X",VLOOKUP(AC$10,'VK-Elekter'!$C:$X,2+$D40,0))+IF(AC$9="X",VLOOKUP(AC$10,'VK-Biokütused'!$C:$U,2+$E40,0))+IF(AC$5="X",VLOOKUP(AC$10,'VK-Põlevkivi'!$C:$X,2+$G40,0))+IF(AC$4="X",VLOOKUP(AC$10,'VK-Võrgud'!$C:$X,2+$F40,0)))</f>
        <v>2346</v>
      </c>
      <c r="AD40" s="228">
        <f>(IF(AD$7="X",VLOOKUP(AD$10,'VK-Hooned-Soojus'!$C:$X,2+$C40,FALSE),0)+IF(AD$6="X",VLOOKUP(AD$10,'VK-Transport'!$C:$X,2+$B40,0))+IF(AD$8="X",VLOOKUP(AD$10,'VK-Elekter'!$C:$X,2+$D40,0))+IF(AD$9="X",VLOOKUP(AD$10,'VK-Biokütused'!$C:$U,2+$E40,0))+IF(AD$5="X",VLOOKUP(AD$10,'VK-Põlevkivi'!$C:$X,2+$G40,0))+IF(AD$4="X",VLOOKUP(AD$10,'VK-Võrgud'!$C:$X,2+$F40,0)))</f>
        <v>586.20000000000005</v>
      </c>
      <c r="AE40" s="228">
        <f>(IF(AE$7="X",VLOOKUP(AE$10,'VK-Hooned-Soojus'!$C:$X,2+$C40,FALSE),0)+IF(AE$6="X",VLOOKUP(AE$10,'VK-Transport'!$C:$X,2+$B40,0))+IF(AE$8="X",VLOOKUP(AE$10,'VK-Elekter'!$C:$X,2+$D40,0))+IF(AE$9="X",VLOOKUP(AE$10,'VK-Biokütused'!$C:$U,2+$E40,0))+IF(AE$5="X",VLOOKUP(AE$10,'VK-Põlevkivi'!$C:$X,2+$G40,0))+IF(AE$4="X",VLOOKUP(AE$10,'VK-Võrgud'!$C:$X,2+$F40,0)))</f>
        <v>666</v>
      </c>
      <c r="AF40" s="228">
        <f>(IF(AF$7="X",VLOOKUP(AF$10,'VK-Hooned-Soojus'!$C:$X,2+$C40,FALSE),0)+IF(AF$6="X",VLOOKUP(AF$10,'VK-Transport'!$C:$X,2+$B40,0))+IF(AF$8="X",VLOOKUP(AF$10,'VK-Elekter'!$C:$X,2+$D40,0))+IF(AF$9="X",VLOOKUP(AF$10,'VK-Biokütused'!$C:$U,2+$E40,0))+IF(AF$5="X",VLOOKUP(AF$10,'VK-Põlevkivi'!$C:$X,2+$G40,0))+IF(AF$4="X",VLOOKUP(AF$10,'VK-Võrgud'!$C:$X,2+$F40,0)))</f>
        <v>2490.6368215830603</v>
      </c>
      <c r="AG40" s="209"/>
      <c r="AH40" s="209">
        <f>IF(AH$7="X",VLOOKUP(AH$10,'VK-Hooned-Soojus'!$C:$X,2+$C40,FALSE),0)+IF(AH$6="X",VLOOKUP(AH$10,'VK-Transport'!$C:$X,2+$B40,0))+IF(AH$8="X",VLOOKUP(AH$10,'VK-Elekter'!$C:$X,2+$D40,0))+IF(AH$9="X",VLOOKUP(AH$10,'VK-Biokütused'!$C:$U,2+$E40,0))+IF(AH$5="X",VLOOKUP(AH$10,'VK-Põlevkivi'!$C:$X,2+$G40,0))+IF(AH$4="X",VLOOKUP(AH$10,'VK-Võrgud'!$C:$X,2+$F40,0))</f>
        <v>17.400000000000002</v>
      </c>
      <c r="AI40" s="209">
        <f>IF(AI$7="X",VLOOKUP(AI$10,'VK-Hooned-Soojus'!$C:$X,2+$C40,FALSE),0)+IF(AI$6="X",VLOOKUP(AI$10,'VK-Transport'!$C:$X,2+$B40,0))+IF(AI$8="X",VLOOKUP(AI$10,'VK-Elekter'!$C:$X,2+$D40,0))+IF(AI$9="X",VLOOKUP(AI$10,'VK-Biokütused'!$C:$U,2+$E40,0))+IF(AI$5="X",VLOOKUP(AI$10,'VK-Põlevkivi'!$C:$X,2+$G40,0))+IF(AI$4="X",VLOOKUP(AI$10,'VK-Võrgud'!$C:$X,2+$F40,0))</f>
        <v>2.3100000000000005</v>
      </c>
      <c r="AJ40" s="209">
        <f>IF(AJ$7="X",VLOOKUP(AJ$10,'VK-Hooned-Soojus'!$C:$X,2+$C40,FALSE),0)+IF(AJ$6="X",VLOOKUP(AJ$10,'VK-Transport'!$C:$X,2+$B40,0))+IF(AJ$8="X",VLOOKUP(AJ$10,'VK-Elekter'!$C:$X,2+$D40,0))+IF(AJ$9="X",VLOOKUP(AJ$10,'VK-Biokütused'!$C:$U,2+$E40,0))+IF(AJ$5="X",VLOOKUP(AJ$10,'VK-Põlevkivi'!$C:$X,2+$G40,0))+IF(AJ$4="X",VLOOKUP(AJ$10,'VK-Võrgud'!$C:$X,2+$F40,0))</f>
        <v>4.59</v>
      </c>
      <c r="AK40" s="209">
        <f>IF(AK$7="X",VLOOKUP(AK$10,'VK-Hooned-Soojus'!$C:$X,2+$C40,FALSE),0)+IF(AK$6="X",VLOOKUP(AK$10,'VK-Transport'!$C:$X,2+$B40,0))+IF(AK$8="X",VLOOKUP(AK$10,'VK-Elekter'!$C:$X,2+$D40,0))+IF(AK$9="X",VLOOKUP(AK$10,'VK-Biokütused'!$C:$U,2+$E40,0))+IF(AK$5="X",VLOOKUP(AK$10,'VK-Põlevkivi'!$C:$X,2+$G40,0))+IF(AK$4="X",VLOOKUP(AK$10,'VK-Võrgud'!$C:$X,2+$F40,0))</f>
        <v>-0.41</v>
      </c>
      <c r="AL40" s="209">
        <f>IF(AL$7="X",VLOOKUP(AL$10,'VK-Hooned-Soojus'!$C:$X,2+$C40,FALSE),0)+IF(AL$6="X",VLOOKUP(AL$10,'VK-Transport'!$C:$X,2+$B40,0))+IF(AL$8="X",VLOOKUP(AL$10,'VK-Elekter'!$C:$X,2+$D40,0))+IF(AL$9="X",VLOOKUP(AL$10,'VK-Biokütused'!$C:$U,2+$E40,0))+IF(AL$5="X",VLOOKUP(AL$10,'VK-Põlevkivi'!$C:$X,2+$G40,0))+IF(AL$4="X",VLOOKUP(AL$10,'VK-Võrgud'!$C:$X,2+$F40,0))</f>
        <v>7.1999999999999993</v>
      </c>
      <c r="AM40" s="209">
        <f>IF(AM$7="X",VLOOKUP(AM$10,'VK-Hooned-Soojus'!$C:$X,2+$C40,FALSE),0)+IF(AM$6="X",VLOOKUP(AM$10,'VK-Transport'!$C:$X,2+$B40,0))+IF(AM$8="X",VLOOKUP(AM$10,'VK-Elekter'!$C:$X,2+$D40,0))+IF(AM$9="X",VLOOKUP(AM$10,'VK-Biokütused'!$C:$U,2+$E40,0))+IF(AM$5="X",VLOOKUP(AM$10,'VK-Põlevkivi'!$C:$X,2+$G40,0))+IF(AM$4="X",VLOOKUP(AM$10,'VK-Võrgud'!$C:$X,2+$F40,0))</f>
        <v>11.9</v>
      </c>
      <c r="AN40" s="209">
        <f>IF(AN$7="X",VLOOKUP(AN$10,'VK-Hooned-Soojus'!$C:$X,2+$C40,FALSE),0)+IF(AN$6="X",VLOOKUP(AN$10,'VK-Transport'!$C:$X,2+$B40,0))+IF(AN$8="X",VLOOKUP(AN$10,'VK-Elekter'!$C:$X,2+$D40,0))+IF(AN$9="X",VLOOKUP(AN$10,'VK-Biokütused'!$C:$U,2+$E40,0))+IF(AN$5="X",VLOOKUP(AN$10,'VK-Põlevkivi'!$C:$X,2+$G40,0))+IF(AN$4="X",VLOOKUP(AN$10,'VK-Võrgud'!$C:$X,2+$F40,0))</f>
        <v>4.8999999999999995</v>
      </c>
      <c r="AO40" s="209">
        <f>IF(AO$7="X",VLOOKUP(AO$10,'VK-Hooned-Soojus'!$C:$X,2+$C40,FALSE),0)+IF(AO$6="X",VLOOKUP(AO$10,'VK-Transport'!$C:$X,2+$B40,0))+IF(AO$8="X",VLOOKUP(AO$10,'VK-Elekter'!$C:$X,2+$D40,0))+IF(AO$9="X",VLOOKUP(AO$10,'VK-Biokütused'!$C:$U,2+$E40,0))+IF(AO$5="X",VLOOKUP(AO$10,'VK-Põlevkivi'!$C:$X,2+$G40,0))+IF(AO$4="X",VLOOKUP(AO$10,'VK-Võrgud'!$C:$X,2+$F40,0))</f>
        <v>12.56</v>
      </c>
      <c r="AP40" s="209">
        <f>IF(AP$7="X",VLOOKUP(AP$10,'VK-Hooned-Soojus'!$C:$X,2+$C40,FALSE),0)+IF(AP$6="X",VLOOKUP(AP$10,'VK-Transport'!$C:$X,2+$B40,0))+IF(AP$8="X",VLOOKUP(AP$10,'VK-Elekter'!$C:$X,2+$D40,0))+IF(AP$9="X",VLOOKUP(AP$10,'VK-Biokütused'!$C:$U,2+$E40,0))+IF(AP$5="X",VLOOKUP(AP$10,'VK-Põlevkivi'!$C:$X,2+$G40,0))+IF(AP$4="X",VLOOKUP(AP$10,'VK-Võrgud'!$C:$X,2+$F40,0))</f>
        <v>6.28</v>
      </c>
      <c r="AQ40" s="320">
        <f t="shared" si="14"/>
        <v>0.25999999999999979</v>
      </c>
      <c r="AR40" s="209">
        <f>IF(AR$7="X",VLOOKUP(AR$10,'VK-Hooned-Soojus'!$C:$X,2+$C40,FALSE),0)+IF(AR$6="X",VLOOKUP(AR$10,'VK-Transport'!$C:$X,2+$B40,0))+IF(AR$8="X",VLOOKUP(AR$10,'VK-Elekter'!$C:$X,2+$D40,0))+IF(AR$9="X",VLOOKUP(AR$10,'VK-Biokütused'!$C:$U,2+$E40,0))+IF(AR$5="X",VLOOKUP(AR$10,'VK-Põlevkivi'!$C:$X,2+$G40,0))+IF(AR$4="X",VLOOKUP(AR$10,'VK-Võrgud'!$C:$X,2+$F40,0))</f>
        <v>13.309999999999999</v>
      </c>
      <c r="AS40" s="235">
        <f>'VK-Põlevkivi'!$F$8-AR40-AU40</f>
        <v>14.298622986547709</v>
      </c>
      <c r="AT40" s="209">
        <f>IF(AT$7="X",VLOOKUP(AT$10,'VK-Hooned-Soojus'!$C:$X,2+$C40,FALSE),0)+IF(AT$6="X",VLOOKUP(AT$10,'VK-Transport'!$C:$X,2+$B40,0))+IF(AT$8="X",VLOOKUP(AT$10,'VK-Elekter'!$C:$X,2+$D40,0))+IF(AT$9="X",VLOOKUP(AT$10,'VK-Biokütused'!$C:$U,2+$E40,0))+IF(AT$5="X",VLOOKUP(AT$10,'VK-Põlevkivi'!$C:$X,2+$G40,0))+IF(AT$4="X",VLOOKUP(AT$10,'VK-Võrgud'!$C:$X,2+$F40,0))</f>
        <v>12.004929222526066</v>
      </c>
      <c r="AU40" s="235">
        <f>'VK-Põlevkivi'!$F$9-VLOOKUP("Kütuste tarbimine @ 2030 - PÕLEVKIVIÕLI",'VK-Hooned-Soojus'!$C:$X,2+$C40,FALSE)</f>
        <v>28.928043680118964</v>
      </c>
      <c r="AV40" s="209">
        <f>IF(AV$7="X",VLOOKUP(AV$10,'VK-Hooned-Soojus'!$C:$X,2+$C40,FALSE),0)+IF(AV$6="X",VLOOKUP(AV$10,'VK-Transport'!$C:$X,2+$B40,0))+IF(AV$8="X",VLOOKUP(AV$10,'VK-Elekter'!$C:$X,2+$D40,0))+IF(AV$9="X",VLOOKUP(AV$10,'VK-Biokütused'!$C:$U,2+$E40,0))+IF(AV$5="X",VLOOKUP(AV$10,'VK-Põlevkivi'!$C:$X,2+$G40,0))+IF(AV$4="X",VLOOKUP(AV$10,'VK-Võrgud'!$C:$X,2+$F40,0))</f>
        <v>1.1831224847375093</v>
      </c>
      <c r="AW40" s="209">
        <f>IF(AW$7="X",VLOOKUP(AW$10,'VK-Hooned-Soojus'!$C:$X,2+$C40,FALSE),0)+IF(AW$6="X",VLOOKUP(AW$10,'VK-Transport'!$C:$X,2+$B40,0))+IF(AW$8="X",VLOOKUP(AW$10,'VK-Elekter'!$C:$X,2+$D40,0))+IF(AW$9="X",VLOOKUP(AW$10,'VK-Biokütused'!$C:$U,2+$E40,0))+IF(AW$5="X",VLOOKUP(AW$10,'VK-Põlevkivi'!$C:$X,2+$G40,0))+IF(AW$4="X",VLOOKUP(AW$10,'VK-Võrgud'!$C:$X,2+$F40,0))</f>
        <v>4.2799999999999994</v>
      </c>
      <c r="AX40" s="229">
        <f t="shared" si="34"/>
        <v>3.0968775152624901</v>
      </c>
      <c r="AY40" s="229">
        <f t="shared" si="15"/>
        <v>0</v>
      </c>
      <c r="AZ40" s="230">
        <f t="shared" si="0"/>
        <v>0.3352240778919377</v>
      </c>
      <c r="BA40" s="209">
        <f>IF(BA$7="X",VLOOKUP(BA$10,'VK-Hooned-Soojus'!$C:$X,2+$C40,FALSE),0)+IF(BA$6="X",VLOOKUP(BA$10,'VK-Transport'!$C:$X,2+$B40,0))+IF(BA$8="X",VLOOKUP(BA$10,'VK-Elekter'!$C:$X,2+$D40,0))+IF(BA$9="X",VLOOKUP(BA$10,'VK-Biokütused'!$C:$U,2+$E40,0))+IF(BA$5="X",VLOOKUP(BA$10,'VK-Põlevkivi'!$C:$X,2+$G40,0))+IF(BA$4="X",VLOOKUP(BA$10,'VK-Võrgud'!$C:$X,2+$F40,0))</f>
        <v>7.41</v>
      </c>
      <c r="BB40" s="209">
        <f>IF(BB$7="X",VLOOKUP(BB$10,'VK-Hooned-Soojus'!$C:$X,2+$C40,FALSE),0)+IF(BB$6="X",VLOOKUP(BB$10,'VK-Transport'!$C:$X,2+$B40,0))+IF(BB$8="X",VLOOKUP(BB$10,'VK-Elekter'!$C:$X,2+$D40,0))+IF(BB$9="X",VLOOKUP(BB$10,'VK-Biokütused'!$C:$U,2+$E40,0))+IF(BB$5="X",VLOOKUP(BB$10,'VK-Põlevkivi'!$C:$X,2+$G40,0))+IF(BB$4="X",VLOOKUP(BB$10,'VK-Võrgud'!$C:$X,2+$F40,0))</f>
        <v>2.96</v>
      </c>
      <c r="BC40" s="209">
        <f>IF(BC$7="X",VLOOKUP(BC$10,'VK-Hooned-Soojus'!$C:$X,2+$C40,FALSE),0)+IF(BC$6="X",VLOOKUP(BC$10,'VK-Transport'!$C:$X,2+$B40,0))+IF(BC$8="X",VLOOKUP(BC$10,'VK-Elekter'!$C:$X,2+$D40,0))+IF(BC$9="X",VLOOKUP(BC$10,'VK-Biokütused'!$C:$U,2+$E40,0))+IF(BC$5="X",VLOOKUP(BC$10,'VK-Põlevkivi'!$C:$X,2+$G40,0))+IF(BC$4="X",VLOOKUP(BC$10,'VK-Võrgud'!$C:$X,2+$F40,0))</f>
        <v>6.5993333333333322</v>
      </c>
      <c r="BD40" s="209">
        <f>IF(BD$7="X",VLOOKUP(BD$10,'VK-Hooned-Soojus'!$C:$X,2+$C40,FALSE),0)+IF(BD$6="X",VLOOKUP(BD$10,'VK-Transport'!$C:$X,2+$B40,0))+IF(BD$8="X",VLOOKUP(BD$10,'VK-Elekter'!$C:$X,2+$D40,0))+IF(BD$9="X",VLOOKUP(BD$10,'VK-Biokütused'!$C:$U,2+$E40,0))+IF(BD$5="X",VLOOKUP(BD$10,'VK-Põlevkivi'!$C:$X,2+$G40,0))+IF(BD$4="X",VLOOKUP(BD$10,'VK-Võrgud'!$C:$X,2+$F40,0))</f>
        <v>9.425416666666667</v>
      </c>
      <c r="BE40" s="230"/>
      <c r="BF40" s="229">
        <f t="shared" si="16"/>
        <v>0.23719430378475931</v>
      </c>
      <c r="BG40" s="209" t="e">
        <f>(IF(BG$7="X",VLOOKUP(BG$10,'VK-Hooned-Soojus'!$C:$X,2+$C40,FALSE),0)+IF(BG$6="X",VLOOKUP(BG$10,'VK-Transport'!$C:$X,2+$B40,0))+IF(BG$8="X",VLOOKUP(BG$10,'VK-Elekter'!$C:$X,2+$D40,0))+IF(BG$9="X",VLOOKUP(BG$10,'VK-Biokütused'!$C:$U,2+$E40,0))+IF(BG$5="X",VLOOKUP(BG$10,'VK-Põlevkivi'!$C:$X,2+$G40,0))+IF(BG$4="X",VLOOKUP(BG$10,'VK-Võrgud'!$C:$X,2+$F40,0)))/20</f>
        <v>#N/A</v>
      </c>
      <c r="BH40" s="209">
        <f>(IF(BH$7="X",VLOOKUP(BH$10,'VK-Hooned-Soojus'!$C:$X,2+$C40,FALSE),0)+IF(BH$6="X",VLOOKUP(BH$10,'VK-Transport'!$C:$X,2+$B40,0))+IF(BH$8="X",VLOOKUP(BH$10,'VK-Elekter'!$C:$X,2+$D40,0))+IF(BH$9="X",VLOOKUP(BH$10,'VK-Biokütused'!$C:$U,2+$E40,0))+IF(BH$5="X",VLOOKUP(BH$10,'VK-Põlevkivi'!$C:$X,2+$G40,0))+IF(BH$4="X",VLOOKUP(BH$10,'VK-Võrgud'!$C:$X,2+$F40,0)))/20</f>
        <v>45.08</v>
      </c>
      <c r="BI40" s="209">
        <f>(IF(BI$7="X",VLOOKUP(BI$10,'VK-Hooned-Soojus'!$C:$X,2+$C40,FALSE),0)+IF(BI$6="X",VLOOKUP(BI$10,'VK-Transport'!$C:$X,2+$B40,0))+IF(BI$8="X",VLOOKUP(BI$10,'VK-Elekter'!$C:$X,2+$D40,0))+IF(BI$9="X",VLOOKUP(BI$10,'VK-Biokütused'!$C:$U,2+$E40,0))+IF(BI$5="X",VLOOKUP(BI$10,'VK-Põlevkivi'!$C:$X,2+$G40,0))+IF(BI$4="X",VLOOKUP(BI$10,'VK-Võrgud'!$C:$X,2+$F40,0)))/16</f>
        <v>14.1875</v>
      </c>
      <c r="BJ40" s="209">
        <f>(IF(BJ$7="X",VLOOKUP(BJ$10,'VK-Hooned-Soojus'!$C:$X,2+$C40,FALSE),0)+IF(BJ$6="X",VLOOKUP(BJ$10,'VK-Transport'!$C:$X,2+$B40,0))+IF(BJ$8="X",VLOOKUP(BJ$10,'VK-Elekter'!$C:$X,2+$D40,0))+IF(BJ$9="X",VLOOKUP(BJ$10,'VK-Biokütused'!$C:$U,2+$E40,0))+IF(BJ$5="X",VLOOKUP(BJ$10,'VK-Põlevkivi'!$C:$X,2+$G40,0))+IF(BJ$4="X",VLOOKUP(BJ$10,'VK-Võrgud'!$C:$X,2+$F40,0)))/20</f>
        <v>3.91</v>
      </c>
      <c r="BK40" s="209"/>
      <c r="BL40" s="209"/>
      <c r="BM40" s="209"/>
      <c r="BN40" s="209" t="e">
        <f>(IF(BN$7="X",VLOOKUP(BN$10,'VK-Hooned-Soojus'!$C:$X,2+$C40,FALSE),0)+IF(BN$6="X",VLOOKUP(BN$10,'VK-Transport'!$C:$X,2+$B40,0))+IF(BN$8="X",VLOOKUP(BN$10,'VK-Elekter'!$C:$X,2+$D40,0))+IF(BN$9="X",VLOOKUP(BN$10,'VK-Biokütused'!$C:$U,2+$E40,0))+IF(BN$5="X",VLOOKUP(BN$10,'VK-Põlevkivi'!$C:$X,2+$G40,0))+IF(BN$4="X",VLOOKUP(BN$10,'VK-Võrgud'!$C:$X,2+$F40,0)))/16</f>
        <v>#N/A</v>
      </c>
      <c r="BO40" s="209">
        <f>(IF(BO$7="X",VLOOKUP(BO$10,'VK-Hooned-Soojus'!$C:$X,2+$C40,FALSE),0)+IF(BO$6="X",VLOOKUP(BO$10,'VK-Transport'!$C:$X,2+$B40,0))+IF(BO$8="X",VLOOKUP(BO$10,'VK-Elekter'!$C:$X,2+$D40,0))+IF(BO$9="X",VLOOKUP(BO$10,'VK-Biokütused'!$C:$U,2+$E40,0))+IF(BO$5="X",VLOOKUP(BO$10,'VK-Põlevkivi'!$C:$X,2+$G40,0))+IF(BO$4="X",VLOOKUP(BO$10,'VK-Võrgud'!$C:$X,2+$F40,0)))/16</f>
        <v>496.33125000000001</v>
      </c>
      <c r="BP40" s="209"/>
      <c r="BQ40" s="209">
        <f>(IF(BQ$7="X",VLOOKUP(BQ$10,'VK-Hooned-Soojus'!$C:$X,2+$C40,FALSE),0)+IF(BQ$6="X",VLOOKUP(BQ$10,'VK-Transport'!$C:$X,2+$B40,0))+IF(BQ$8="X",VLOOKUP(BQ$10,'VK-Elekter'!$C:$X,2+$D40,0))+IF(BQ$9="X",VLOOKUP(BQ$10,'VK-Biokütused'!$C:$U,2+$E40,0))+IF(BQ$5="X",VLOOKUP(BQ$10,'VK-Põlevkivi'!$C:$X,2+$G40,0))+IF(BQ$4="X",VLOOKUP(BQ$10,'VK-Võrgud'!$C:$X,2+$F40,0)))/16</f>
        <v>4.7249999999999996</v>
      </c>
      <c r="BR40" s="209">
        <f>(IF(BR$7="X",VLOOKUP(BR$10,'VK-Hooned-Soojus'!$C:$X,2+$C40,FALSE),0)+IF(BR$6="X",VLOOKUP(BR$10,'VK-Transport'!$C:$X,2+$B40,0))+IF(BR$8="X",VLOOKUP(BR$10,'VK-Elekter'!$C:$X,2+$D40,0))+IF(BR$9="X",VLOOKUP(BR$10,'VK-Biokütused'!$C:$U,2+$E40,0))+IF(BR$5="X",VLOOKUP(BR$10,'VK-Põlevkivi'!$C:$X,2+$G40,0))+IF(BR$4="X",VLOOKUP(BR$10,'VK-Võrgud'!$C:$X,2+$F40,0)))/16</f>
        <v>-74.512500000000003</v>
      </c>
      <c r="BS40" s="209">
        <f>(IF(BS$7="X",VLOOKUP(BS$10,'VK-Hooned-Soojus'!$C:$X,2+$C40,FALSE),0)+IF(BS$6="X",VLOOKUP(BS$10,'VK-Transport'!$C:$X,2+$B40,0))+IF(BS$8="X",VLOOKUP(BS$10,'VK-Elekter'!$C:$X,2+$D40,0))+IF(BS$9="X",VLOOKUP(BS$10,'VK-Biokütused'!$C:$U,2+$E40,0))+IF(BS$5="X",VLOOKUP(BS$10,'VK-Põlevkivi'!$C:$X,2+$G40,0))+IF(BS$4="X",VLOOKUP(BS$10,'VK-Võrgud'!$C:$X,2+$F40,0)))/16</f>
        <v>-100.68125000000001</v>
      </c>
      <c r="BT40" s="209"/>
      <c r="BU40" s="209"/>
      <c r="BV40" s="209">
        <f>(IF(BV$7="X",VLOOKUP(BV$10,'VK-Hooned-Soojus'!$C:$X,2+$C40,FALSE),0)+IF(BV$6="X",VLOOKUP(BV$10,'VK-Transport'!$C:$X,2+$B40,0))+IF(BV$8="X",VLOOKUP(BV$10,'VK-Elekter'!$C:$X,2+$D40,0))+IF(BV$9="X",VLOOKUP(BV$10,'VK-Biokütused'!$C:$U,2+$E40,0))+IF(BV$5="X",VLOOKUP(BV$10,'VK-Põlevkivi'!$C:$X,2+$G40,0))+IF(BV$4="X",VLOOKUP(BV$10,'VK-Võrgud'!$C:$X,2+$F40,0)))/16</f>
        <v>0</v>
      </c>
      <c r="BW40" s="209"/>
      <c r="BX40" s="209">
        <f>(IF(BX$7="X",VLOOKUP(BX$10,'VK-Hooned-Soojus'!$C:$X,2+$C40,FALSE),0)+IF(BX$6="X",VLOOKUP(BX$10,'VK-Transport'!$C:$X,2+$B40,0))+IF(BX$8="X",VLOOKUP(BX$10,'VK-Elekter'!$C:$X,2+$D40,0))+IF(BX$9="X",VLOOKUP(BX$10,'VK-Biokütused'!$C:$U,2+$E40,0))+IF(BX$5="X",VLOOKUP(BX$10,'VK-Põlevkivi'!$C:$X,2+$G40,0))+IF(BX$4="X",VLOOKUP(BX$10,'VK-Võrgud'!$C:$X,2+$F40,0)))/16</f>
        <v>-145.125</v>
      </c>
      <c r="BY40" s="209"/>
      <c r="BZ40" s="209"/>
      <c r="CA40" s="209" t="e">
        <f>(IF(CA$7="X",VLOOKUP(CA$10,'VK-Hooned-Soojus'!$C:$X,2+$C40,FALSE),0)+IF(CA$6="X",VLOOKUP(CA$10,'VK-Transport'!$C:$X,2+$B40,0))+IF(CA$8="X",VLOOKUP(CA$10,'VK-Elekter'!$C:$X,2+$D40,0))+IF(CA$9="X",VLOOKUP(CA$10,'VK-Biokütused'!$C:$U,2+$E40,0))+IF(CA$5="X",VLOOKUP(CA$10,'VK-Põlevkivi'!$C:$X,2+$G40,0))+IF(CA$4="X",VLOOKUP(CA$10,'VK-Võrgud'!$C:$X,2+$F40,0)))/16</f>
        <v>#N/A</v>
      </c>
      <c r="CB40" s="209">
        <f>(IF(CB$7="X",VLOOKUP(CB$10,'VK-Hooned-Soojus'!$C:$X,2+$C40,FALSE),0)+IF(CB$6="X",VLOOKUP(CB$10,'VK-Transport'!$C:$X,2+$B40,0))+IF(CB$8="X",VLOOKUP(CB$10,'VK-Elekter'!$C:$X,2+$D40,0))+IF(CB$9="X",VLOOKUP(CB$10,'VK-Biokütused'!$C:$U,2+$E40,0))+IF(CB$5="X",VLOOKUP(CB$10,'VK-Põlevkivi'!$C:$X,2+$G40,0))+IF(CB$4="X",VLOOKUP(CB$10,'VK-Võrgud'!$C:$X,2+$F40,0)))/16</f>
        <v>0</v>
      </c>
      <c r="CC40" s="209">
        <f>(IF(CC$7="X",VLOOKUP(CC$10,'VK-Hooned-Soojus'!$C:$X,2+$C40,FALSE),0)+IF(CC$6="X",VLOOKUP(CC$10,'VK-Transport'!$C:$X,2+$B40,0))+IF(CC$8="X",VLOOKUP(CC$10,'VK-Elekter'!$C:$X,2+$D40,0))+IF(CC$9="X",VLOOKUP(CC$10,'VK-Biokütused'!$C:$U,2+$E40,0))+IF(CC$5="X",VLOOKUP(CC$10,'VK-Põlevkivi'!$C:$X,2+$G40,0))+IF(CC$4="X",VLOOKUP(CC$10,'VK-Võrgud'!$C:$X,2+$F40,0)))/16</f>
        <v>0</v>
      </c>
      <c r="CD40" s="209"/>
      <c r="CE40" s="209">
        <f>(IF(CE$7="X",VLOOKUP(CE$10,'VK-Hooned-Soojus'!$C:$X,2+$C40,FALSE),0)+IF(CE$6="X",VLOOKUP(CE$10,'VK-Transport'!$C:$X,2+$B40,0))+IF(CE$8="X",VLOOKUP(CE$10,'VK-Elekter'!$C:$X,2+$D40,0))+IF(CE$9="X",VLOOKUP(CE$10,'VK-Biokütused'!$C:$U,2+$E40,0))+IF(CE$5="X",VLOOKUP(CE$10,'VK-Põlevkivi'!$C:$X,2+$G40,0))+IF(CE$4="X",VLOOKUP(CE$10,'VK-Võrgud'!$C:$X,2+$F40,0)))/16</f>
        <v>24.15625</v>
      </c>
      <c r="CF40" s="209"/>
      <c r="CG40" s="209">
        <f>(IF(CG$7="X",VLOOKUP(CG$10,'VK-Hooned-Soojus'!$C:$X,2+$C40,FALSE),0)+IF(CG$6="X",VLOOKUP(CG$10,'VK-Transport'!$C:$X,2+$B40,0))+IF(CG$8="X",VLOOKUP(CG$10,'VK-Elekter'!$C:$X,2+$D40,0))+IF(CG$9="X",VLOOKUP(CG$10,'VK-Biokütused'!$C:$U,2+$E40,0))+IF(CG$5="X",VLOOKUP(CG$10,'VK-Põlevkivi'!$C:$X,2+$G40,0))+IF(CG$4="X",VLOOKUP(CG$10,'VK-Võrgud'!$C:$X,2+$F40,0)))/16</f>
        <v>0</v>
      </c>
      <c r="CH40" s="209">
        <f>(IF(CH$7="X",VLOOKUP(CH$10,'VK-Hooned-Soojus'!$C:$X,2+$C40,FALSE),0)+IF(CH$6="X",VLOOKUP(CH$10,'VK-Transport'!$C:$X,2+$B40,0))+IF(CH$8="X",VLOOKUP(CH$10,'VK-Elekter'!$C:$X,2+$D40,0))+IF(CH$9="X",VLOOKUP(CH$10,'VK-Biokütused'!$C:$U,2+$E40,0))+IF(CH$5="X",VLOOKUP(CH$10,'VK-Põlevkivi'!$C:$X,2+$G40,0))+IF(CH$4="X",VLOOKUP(CH$10,'VK-Võrgud'!$C:$X,2+$F40,0)))/20*0.21</f>
        <v>11.225549999999998</v>
      </c>
      <c r="CI40" s="209"/>
      <c r="CJ40" s="209">
        <f>(IF(CJ$7="X",VLOOKUP(CJ$10,'VK-Hooned-Soojus'!$C:$X,2+$C40,FALSE),0)+IF(CJ$6="X",VLOOKUP(CJ$10,'VK-Transport'!$C:$X,2+$B40,0))+IF(CJ$8="X",VLOOKUP(CJ$10,'VK-Elekter'!$C:$X,2+$D40,0))+IF(CJ$9="X",VLOOKUP(CJ$10,'VK-Biokütused'!$C:$U,2+$E40,0))+IF(CJ$5="X",VLOOKUP(CJ$10,'VK-Põlevkivi'!$C:$X,2+$G40,0))+IF(CJ$4="X",VLOOKUP(CJ$10,'VK-Võrgud'!$C:$X,2+$F40,0)))/1000</f>
        <v>23.757000000000001</v>
      </c>
      <c r="CK40" s="209">
        <f>(IF(CK$7="X",VLOOKUP(CK$10,'VK-Hooned-Soojus'!$C:$X,2+$C40,FALSE),0)+IF(CK$6="X",VLOOKUP(CK$10,'VK-Transport'!$C:$X,2+$B40,0))+IF(CK$8="X",VLOOKUP(CK$10,'VK-Elekter'!$C:$X,2+$D40,0))+IF(CK$9="X",VLOOKUP(CK$10,'VK-Biokütused'!$C:$U,2+$E40,0))+IF(CK$5="X",VLOOKUP(CK$10,'VK-Põlevkivi'!$C:$X,2+$G40,0))+IF(CK$4="X",VLOOKUP(CK$10,'VK-Võrgud'!$C:$X,2+$F40,0)))/1000</f>
        <v>38.49371614017182</v>
      </c>
      <c r="CL40" s="209">
        <f>(IF(CL$7="X",VLOOKUP(CL$10,'VK-Hooned-Soojus'!$C:$X,2+$C40,FALSE),0)+IF(CL$6="X",VLOOKUP(CL$10,'VK-Transport'!$C:$X,2+$B40,0))+IF(CL$8="X",VLOOKUP(CL$10,'VK-Elekter'!$C:$X,2+$D40,0))+IF(CL$9="X",VLOOKUP(CL$10,'VK-Biokütused'!$C:$U,2+$E40,0))+IF(CL$5="X",VLOOKUP(CL$10,'VK-Põlevkivi'!$C:$X,2+$G40,0))+IF(CL$4="X",VLOOKUP(CL$10,'VK-Võrgud'!$C:$X,2+$F40,0)))/1000</f>
        <v>12.486233270393459</v>
      </c>
      <c r="CM40" s="209">
        <f>(IF(CM$7="X",VLOOKUP(CM$10,'VK-Hooned-Soojus'!$C:$X,2+$C40,FALSE),0)+IF(CM$6="X",VLOOKUP(CM$10,'VK-Transport'!$C:$X,2+$B40,0))+IF(CM$8="X",VLOOKUP(CM$10,'VK-Elekter'!$C:$X,2+$D40,0))+IF(CM$9="X",VLOOKUP(CM$10,'VK-Biokütused'!$C:$U,2+$E40,0))+IF(CM$5="X",VLOOKUP(CM$10,'VK-Põlevkivi'!$C:$X,2+$G40,0))+IF(CM$4="X",VLOOKUP(CM$10,'VK-Võrgud'!$C:$X,2+$F40,0)))/1000</f>
        <v>7.7549896156049165</v>
      </c>
      <c r="CN40" s="209">
        <f>(IF(CN$7="X",VLOOKUP(CN$10,'VK-Hooned-Soojus'!$C:$X,2+$C40,FALSE),0)+IF(CN$6="X",VLOOKUP(CN$10,'VK-Transport'!$C:$X,2+$B40,0))+IF(CN$8="X",VLOOKUP(CN$10,'VK-Elekter'!$C:$X,2+$D40,0))+IF(CN$9="X",VLOOKUP(CN$10,'VK-Biokütused'!$C:$U,2+$E40,0))+IF(CN$5="X",VLOOKUP(CN$10,'VK-Põlevkivi'!$C:$X,2+$G40,0))+IF(CN$4="X",VLOOKUP(CN$10,'VK-Võrgud'!$C:$X,2+$F40,0)))/1000</f>
        <v>2.851</v>
      </c>
      <c r="CO40" s="209">
        <f>(IF(CO$7="X",VLOOKUP(CO$10,'VK-Hooned-Soojus'!$C:$X,2+$C40,FALSE),0)+IF(CO$6="X",VLOOKUP(CO$10,'VK-Transport'!$C:$X,2+$B40,0))+IF(CO$8="X",VLOOKUP(CO$10,'VK-Elekter'!$C:$X,2+$D40,0))+IF(CO$9="X",VLOOKUP(CO$10,'VK-Biokütused'!$C:$U,2+$E40,0))+IF(CO$5="X",VLOOKUP(CO$10,'VK-Põlevkivi'!$C:$X,2+$G40,0))+IF(CO$4="X",VLOOKUP(CO$10,'VK-Võrgud'!$C:$X,2+$F40,0)))/1000</f>
        <v>30.645649773285456</v>
      </c>
      <c r="CP40" s="209">
        <f>(IF(CP$7="X",VLOOKUP(CP$10,'VK-Hooned-Soojus'!$C:$X,2+$C40,FALSE),0)+IF(CP$6="X",VLOOKUP(CP$10,'VK-Transport'!$C:$X,2+$B40,0))+IF(CP$8="X",VLOOKUP(CP$10,'VK-Elekter'!$C:$X,2+$D40,0))+IF(CP$9="X",VLOOKUP(CP$10,'VK-Biokütused'!$C:$U,2+$E40,0))+IF(CP$5="X",VLOOKUP(CP$10,'VK-Põlevkivi'!$C:$X,2+$G40,0))+IF(CP$4="X",VLOOKUP(CP$10,'VK-Võrgud'!$C:$X,2+$F40,0)))/1000</f>
        <v>32.340430478599885</v>
      </c>
      <c r="CQ40" s="209">
        <f>(IF(CQ$7="X",VLOOKUP(CQ$10,'VK-Hooned-Soojus'!$C:$X,2+$C40,FALSE),0)+IF(CQ$6="X",VLOOKUP(CQ$10,'VK-Transport'!$C:$X,2+$B40,0))+IF(CQ$8="X",VLOOKUP(CQ$10,'VK-Elekter'!$C:$X,2+$D40,0))+IF(CQ$9="X",VLOOKUP(CQ$10,'VK-Biokütused'!$C:$U,2+$E40,0))+IF(CQ$5="X",VLOOKUP(CQ$10,'VK-Põlevkivi'!$C:$X,2+$G40,0))+IF(CQ$4="X",VLOOKUP(CQ$10,'VK-Võrgud'!$C:$X,2+$F40,0)))/1000</f>
        <v>17.367906999999999</v>
      </c>
      <c r="CR40" s="209">
        <f>(IF(CR$7="X",VLOOKUP(CR$10,'VK-Hooned-Soojus'!$C:$X,2+$C40,FALSE),0)+IF(CR$6="X",VLOOKUP(CR$10,'VK-Transport'!$C:$X,2+$B40,0))+IF(CR$8="X",VLOOKUP(CR$10,'VK-Elekter'!$C:$X,2+$D40,0))+IF(CR$9="X",VLOOKUP(CR$10,'VK-Biokütused'!$C:$U,2+$E40,0))+IF(CR$5="X",VLOOKUP(CR$10,'VK-Põlevkivi'!$C:$X,2+$G40,0))+IF(CR$4="X",VLOOKUP(CR$10,'VK-Võrgud'!$C:$X,2+$F40,0)))/1000</f>
        <v>8.2197533562748024</v>
      </c>
      <c r="CS40" s="209">
        <f>(IF(CS$7="X",VLOOKUP(CS$10,'VK-Hooned-Soojus'!$C:$X,2+$C40,FALSE),0)+IF(CS$6="X",VLOOKUP(CS$10,'VK-Transport'!$C:$X,2+$B40,0))+IF(CS$8="X",VLOOKUP(CS$10,'VK-Elekter'!$C:$X,2+$D40,0))+IF(CS$9="X",VLOOKUP(CS$10,'VK-Biokütused'!$C:$U,2+$E40,0))+IF(CS$5="X",VLOOKUP(CS$10,'VK-Põlevkivi'!$C:$X,2+$G40,0))+IF(CS$4="X",VLOOKUP(CS$10,'VK-Võrgud'!$C:$X,2+$F40,0)))/1000</f>
        <v>3.966152405121615</v>
      </c>
      <c r="CT40" s="209">
        <f>IF(CT$7="X",VLOOKUP(CT$10,'VK-Hooned-Soojus'!$C:$X,2+$C40,FALSE),0)+IF(CT$6="X",VLOOKUP(CT$10,'VK-Transport'!$C:$X,2+$B40,0))+IF(CT$8="X",VLOOKUP(CT$10,'VK-Elekter'!$C:$X,2+$D40,0))+IF(CT$9="X",VLOOKUP(CT$10,'VK-Biokütused'!$C:$U,2+$E40,0))+IF(CT$5="X",VLOOKUP(CT$10,'VK-Põlevkivi'!$C:$X,2+$G40,0))+IF(CT$4="X",VLOOKUP(CT$10,'VK-Võrgud'!$C:$X,2+$F40,0))</f>
        <v>90</v>
      </c>
      <c r="CU40" s="209">
        <f>IF(CU$7="X",VLOOKUP(CU$10,'VK-Hooned-Soojus'!$C:$X,2+$C40,FALSE),0)+IF(CU$6="X",VLOOKUP(CU$10,'VK-Transport'!$C:$X,2+$B40,0))+IF(CU$8="X",VLOOKUP(CU$10,'VK-Elekter'!$C:$X,2+$D40,0))+IF(CU$9="X",VLOOKUP(CU$10,'VK-Biokütused'!$C:$U,2+$E40,0))+IF(CU$5="X",VLOOKUP(CU$10,'VK-Põlevkivi'!$C:$X,2+$G40,0))+IF(CU$4="X",VLOOKUP(CU$10,'VK-Võrgud'!$C:$X,2+$F40,0))</f>
        <v>1</v>
      </c>
      <c r="CV40" s="209">
        <f t="shared" si="1"/>
        <v>0.91028830406496786</v>
      </c>
      <c r="CW40" s="209">
        <f>(IF(CW$7="X",VLOOKUP(CW$10,'VK-Hooned-Soojus'!$C:$X,2+$C40,FALSE),0)+IF(CW$6="X",VLOOKUP(CW$10,'VK-Transport'!$C:$X,2+$B40,0))+IF(CW$8="X",VLOOKUP(CW$10,'VK-Elekter'!$C:$X,2+$D40,0))+IF(CW$9="X",VLOOKUP(CW$10,'VK-Biokütused'!$C:$U,2+$E40,0))+IF(CW$5="X",VLOOKUP(CW$10,'VK-Põlevkivi'!$C:$X,2+$G40,0))+IF(CW$4="X",VLOOKUP(CW$10,'VK-Võrgud'!$C:$X,2+$F40,0)))/16</f>
        <v>126.01875</v>
      </c>
      <c r="CY40" s="209">
        <f>(IF(CY$7="X",VLOOKUP(CY$10,'VK-Hooned-Soojus'!$C:$X,2+$C40,FALSE),0)+IF(CY$6="X",VLOOKUP(CY$10,'VK-Transport'!$C:$X,2+$B40,0))+IF(CY$8="X",VLOOKUP(CY$10,'VK-Elekter'!$C:$X,2+$D40,0))+IF(CY$9="X",VLOOKUP(CY$10,'VK-Biokütused'!$C:$U,2+$E40,0))+IF(CY$5="X",VLOOKUP(CY$10,'VK-Põlevkivi'!$C:$X,2+$G40,0))+IF(CY$4="X",VLOOKUP(CY$10,'VK-Võrgud'!$C:$X,2+$F40,0)))/1000</f>
        <v>12.201000000000001</v>
      </c>
      <c r="CZ40" s="209">
        <f>(IF(CZ$7="X",VLOOKUP(CZ$10,'VK-Hooned-Soojus'!$C:$X,2+$C40,FALSE),0)+IF(CZ$6="X",VLOOKUP(CZ$10,'VK-Transport'!$C:$X,2+$B40,0))+IF(CZ$8="X",VLOOKUP(CZ$10,'VK-Elekter'!$C:$X,2+$D40,0))+IF(CZ$9="X",VLOOKUP(CZ$10,'VK-Biokütused'!$C:$U,2+$E40,0))+IF(CZ$5="X",VLOOKUP(CZ$10,'VK-Põlevkivi'!$C:$X,2+$G40,0))+IF(CZ$4="X",VLOOKUP(CZ$10,'VK-Võrgud'!$C:$X,2+$F40,0)))</f>
        <v>100</v>
      </c>
      <c r="DA40" s="209">
        <f>(IF(DA$7="X",VLOOKUP(DA$10,'VK-Hooned-Soojus'!$C:$X,2+$C40,FALSE),0)+IF(DA$6="X",VLOOKUP(DA$10,'VK-Transport'!$C:$X,2+$B40,0))+IF(DA$8="X",VLOOKUP(DA$10,'VK-Elekter'!$C:$X,2+$D40,0))+IF(DA$9="X",VLOOKUP(DA$10,'VK-Biokütused'!$C:$U,2+$E40,0))+IF(DA$5="X",VLOOKUP(DA$10,'VK-Põlevkivi'!$C:$X,2+$G40,0))+IF(DA$4="X",VLOOKUP(DA$10,'VK-Võrgud'!$C:$X,2+$F40,0)))/1000</f>
        <v>17.420999999999999</v>
      </c>
      <c r="DB40" s="209">
        <f>(IF(DB$7="X",VLOOKUP(DB$10,'VK-Hooned-Soojus'!$C:$X,2+$C40,FALSE),0)+IF(DB$6="X",VLOOKUP(DB$10,'VK-Transport'!$C:$X,2+$B40,0))+IF(DB$8="X",VLOOKUP(DB$10,'VK-Elekter'!$C:$X,2+$D40,0))+IF(DB$9="X",VLOOKUP(DB$10,'VK-Biokütused'!$C:$U,2+$E40,0))+IF(DB$5="X",VLOOKUP(DB$10,'VK-Põlevkivi'!$C:$X,2+$G40,0))+IF(DB$4="X",VLOOKUP(DB$10,'VK-Võrgud'!$C:$X,2+$F40,0)))/1000/3.6</f>
        <v>140.02972222222223</v>
      </c>
      <c r="DC40" s="209">
        <f>(IF(DC$7="X",VLOOKUP(DC$10,'VK-Hooned-Soojus'!$C:$X,2+$C40,FALSE),0)+IF(DC$6="X",VLOOKUP(DC$10,'VK-Transport'!$C:$X,2+$B40,0))+IF(DC$8="X",VLOOKUP(DC$10,'VK-Elekter'!$C:$X,2+$D40,0))+IF(DC$9="X",VLOOKUP(DC$10,'VK-Biokütused'!$C:$U,2+$E40,0))+IF(DC$5="X",VLOOKUP(DC$10,'VK-Põlevkivi'!$C:$X,2+$G40,0))+IF(DC$4="X",VLOOKUP(DC$10,'VK-Võrgud'!$C:$X,2+$F40,0)))/1000000</f>
        <v>7.7010240000000003</v>
      </c>
      <c r="DD40" s="209"/>
      <c r="DE40" s="88">
        <f>VLOOKUP(Tulemused!$BN$12,data!M$7:N$12,2,FALSE)-SUM(L40,M40)</f>
        <v>-2.6566444444444528</v>
      </c>
      <c r="DF40" s="209" t="str">
        <f>IF(AZ40&lt;=VLOOKUP(Tulemused!$BN$15,data!$E$36:$F$39,2,FALSE),"JAH","EI")</f>
        <v>JAH</v>
      </c>
      <c r="DG40" s="209"/>
      <c r="DH40" s="209">
        <f t="shared" si="2"/>
        <v>6.28</v>
      </c>
      <c r="DI40" s="231" t="str">
        <f t="shared" si="17"/>
        <v>EI</v>
      </c>
      <c r="DK40" s="232">
        <f t="shared" si="3"/>
        <v>-995.63236664122758</v>
      </c>
      <c r="DM40" s="233">
        <f t="shared" si="4"/>
        <v>-992.15344586691344</v>
      </c>
      <c r="DN40" s="87">
        <f t="array" ref="DN40">INDEX($A$11:$A$145, SMALL(IF(DM40=$DK$11:$DK$145, MATCH(ROW($DK$11:$DK$145), ROW($DK$11:$DK$145))), SUM(--(DM40=$DM$11:DM40))))</f>
        <v>119</v>
      </c>
      <c r="DP40" s="87" t="e">
        <f t="shared" ca="1" si="18"/>
        <v>#N/A</v>
      </c>
      <c r="DQ40" s="87" t="e">
        <f t="shared" ca="1" si="19"/>
        <v>#N/A</v>
      </c>
      <c r="DR40" s="87">
        <f t="shared" ca="1" si="20"/>
        <v>0</v>
      </c>
      <c r="DS40" s="87" t="e">
        <f t="shared" ca="1" si="21"/>
        <v>#N/A</v>
      </c>
      <c r="DT40" s="87">
        <f t="shared" ca="1" si="22"/>
        <v>0</v>
      </c>
      <c r="DU40" s="87" t="e">
        <f t="shared" ca="1" si="23"/>
        <v>#N/A</v>
      </c>
      <c r="DV40" s="87" t="e">
        <f t="shared" ca="1" si="24"/>
        <v>#N/A</v>
      </c>
      <c r="DW40" s="87">
        <f t="shared" ca="1" si="25"/>
        <v>0</v>
      </c>
      <c r="DX40" s="87">
        <f t="shared" ca="1" si="26"/>
        <v>0</v>
      </c>
      <c r="DZ40" s="87">
        <f t="shared" ca="1" si="35"/>
        <v>0</v>
      </c>
      <c r="EB40" s="87">
        <f t="shared" ca="1" si="27"/>
        <v>0</v>
      </c>
      <c r="EC40" s="87" t="e">
        <f t="shared" ca="1" si="28"/>
        <v>#N/A</v>
      </c>
      <c r="EE40" s="228">
        <f>(IF(EE$7="X",VLOOKUP(EE$10,'VK-Hooned-Soojus'!$C:$X,2+$C40,FALSE),0)+IF(EE$6="X",VLOOKUP(EE$10,'VK-Transport'!$C:$X,2+$B40,0))+IF(EE$8="X",VLOOKUP(EE$10,'VK-Elekter'!$C:$X,2+$D40,0))+IF(EE$9="X",VLOOKUP(EE$10,'VK-Biokütused'!$C:$U,2+$E40,0))+IF(EE$5="X",VLOOKUP(EE$10,'VK-Põlevkivi'!$C:$X,2+$G40,0))+IF(EE$4="X",VLOOKUP(EE$10,'VK-Võrgud'!$C:$X,2+$F40,0)))</f>
        <v>11827.495061663789</v>
      </c>
      <c r="EF40" s="209">
        <f>(IF(EF$7="X",VLOOKUP(EF$10,'VK-Hooned-Soojus'!$C:$X,2+$C40,FALSE),0)+IF(EF$6="X",VLOOKUP(EF$10,'VK-Transport'!$C:$X,2+$B40,0))+IF(EF$8="X",VLOOKUP(EF$10,'VK-Elekter'!$C:$X,2+$D40,0))+IF(EF$9="X",VLOOKUP(EF$10,'VK-Biokütused'!$C:$U,2+$E40,0))+IF(EF$5="X",VLOOKUP(EF$10,'VK-Põlevkivi'!$C:$X,2+$G40,0))+IF(EF$4="X",VLOOKUP(EF$10,'VK-Võrgud'!$C:$X,2+$F40,0)))/1000</f>
        <v>9.4406368215830607</v>
      </c>
      <c r="EG40" s="209">
        <f>(IF(EG$7="X",VLOOKUP(EG$10,'VK-Hooned-Soojus'!$C:$X,2+$C40,FALSE),0)+IF(EG$6="X",VLOOKUP(EG$10,'VK-Transport'!$C:$X,2+$B40,0))+IF(EG$8="X",VLOOKUP(EG$10,'VK-Elekter'!$C:$X,2+$D40,0))+IF(EG$9="X",VLOOKUP(EG$10,'VK-Biokütused'!$C:$U,2+$E40,0))+IF(EG$5="X",VLOOKUP(EG$10,'VK-Põlevkivi'!$C:$X,2+$G40,0))+IF(EG$4="X",VLOOKUP(EG$10,'VK-Võrgud'!$C:$X,2+$F40,0)))</f>
        <v>0.81</v>
      </c>
      <c r="EH40" s="209">
        <f>(IF(EH$7="X",VLOOKUP(EH$10,'VK-Hooned-Soojus'!$C:$X,2+$C40,FALSE),0)+IF(EH$6="X",VLOOKUP(EH$10,'VK-Transport'!$C:$X,2+$B40,0))+IF(EH$8="X",VLOOKUP(EH$10,'VK-Elekter'!$C:$X,2+$D40,0))+IF(EH$9="X",VLOOKUP(EH$10,'VK-Biokütused'!$C:$U,2+$E40,0)))+AR40+AS40+AU40+AX40</f>
        <v>96.921599737484712</v>
      </c>
      <c r="EI40" s="320">
        <f t="shared" si="6"/>
        <v>64.89667854210326</v>
      </c>
      <c r="EJ40" s="322">
        <f t="shared" si="7"/>
        <v>2.1267750475898739E-2</v>
      </c>
      <c r="EK40" s="323">
        <f t="shared" si="29"/>
        <v>0.35626210493151461</v>
      </c>
      <c r="EM40" s="209"/>
      <c r="EN40" s="209">
        <f t="shared" ca="1" si="8"/>
        <v>0</v>
      </c>
      <c r="EO40" s="209"/>
      <c r="EP40" s="234"/>
      <c r="EQ40" s="209">
        <f>(IF(EQ$7="X",VLOOKUP(EQ$10,'VK-Hooned-Soojus'!$C:$X,2+$C40,FALSE),0)+IF(EQ$6="X",VLOOKUP(EQ$10,'VK-Transport'!$C:$X,2+$B40,0))+IF(EQ$8="X",VLOOKUP(EQ$10,'VK-Elekter'!$C:$X,2+$D40,0))+IF(EQ$9="X",VLOOKUP(EQ$10,'VK-Biokütused'!$C:$U,2+$E40,0))+IF(EQ$5="X",VLOOKUP(EQ$10,'VK-Põlevkivi'!$C:$X,2+$G40,0))+IF(EQ$4="X",VLOOKUP(EQ$10,'VK-Võrgud'!$C:$X,2+$F40,0)))/1000</f>
        <v>0.21099999999999999</v>
      </c>
      <c r="ER40" s="209">
        <f>(IF(ER$7="X",VLOOKUP(ER$10,'VK-Hooned-Soojus'!$C:$X,2+$C40,FALSE),0)+IF(ER$6="X",VLOOKUP(ER$10,'VK-Transport'!$C:$X,2+$B40,0))+IF(ER$8="X",VLOOKUP(ER$10,'VK-Elekter'!$C:$X,2+$D40,0))+IF(ER$9="X",VLOOKUP(ER$10,'VK-Biokütused'!$C:$U,2+$E40,0))+IF(ER$5="X",VLOOKUP(ER$10,'VK-Põlevkivi'!$C:$X,2+$G40,0))+IF(ER$4="X",VLOOKUP(ER$10,'VK-Võrgud'!$C:$X,2+$F40,0)))</f>
        <v>0.76300000000000001</v>
      </c>
      <c r="ES40" s="209">
        <f>(IF(ES$7="X",VLOOKUP(ES$10,'VK-Hooned-Soojus'!$C:$X,2+$C40,FALSE),0)+IF(ES$6="X",VLOOKUP(ES$10,'VK-Transport'!$C:$X,2+$B40,0))+IF(ES$8="X",VLOOKUP(ES$10,'VK-Elekter'!$C:$X,2+$D40,0))+IF(ES$9="X",VLOOKUP(ES$10,'VK-Biokütused'!$C:$U,2+$E40,0))+IF(ES$5="X",VLOOKUP(ES$10,'VK-Põlevkivi'!$C:$X,2+$G40,0))+IF(ES$4="X",VLOOKUP(ES$10,'VK-Võrgud'!$C:$X,2+$F40,0)))</f>
        <v>6.28</v>
      </c>
      <c r="ET40" s="209"/>
      <c r="EU40" s="209"/>
      <c r="EV40" s="87">
        <f>'KSH järjestus'!AS33</f>
        <v>1842</v>
      </c>
      <c r="EX40" s="236"/>
      <c r="EY40" s="236"/>
      <c r="EZ40" s="237">
        <f t="shared" si="9"/>
        <v>0</v>
      </c>
      <c r="FA40" s="209">
        <f>IF(FA$7="X",VLOOKUP(FA$10,'VK-Hooned-Soojus'!$C:$X,2+$C40,FALSE),0)+IF(FA$6="X",VLOOKUP(FA$10,'VK-Transport'!$C:$X,2+$B40,0))+IF(FA$8="X",VLOOKUP(FA$10,'VK-Elekter'!$C:$X,2+$D40,0))+IF(FA$9="X",VLOOKUP(FA$10,'VK-Biokütused'!$C:$U,2+$E40,0))+IF(FA$5="X",VLOOKUP(FA$10,'VK-Põlevkivi'!$C:$X,2+$G40,0))+IF(FA$4="X",VLOOKUP(FA$10,'VK-Võrgud'!$C:$X,2+$F40,0))</f>
        <v>3658.9070000000002</v>
      </c>
      <c r="FB40" s="279">
        <f>(IF(FB$7="X",VLOOKUP(FB$10,'VK-Hooned-Soojus'!$C:$X,2+$C40,FALSE),0)+IF(FB$6="X",VLOOKUP(FB$10,'VK-Transport'!$C:$X,2+$B40,0))+IF(FB$8="X",VLOOKUP(FB$10,'VK-Elekter'!$C:$X,2+$D40,0))+IF(FB$9="X",VLOOKUP(FB$10,'VK-Biokütused'!$C:$U,2+$E40,0))+IF(FB$5="X",VLOOKUP(FB$10,'VK-Põlevkivi'!$C:$X,2+$G40,0))+IF(FB$4="X",VLOOKUP(FB$10,'VK-Võrgud'!$C:$X,2+$F40,0)))/16</f>
        <v>828.63765078901565</v>
      </c>
      <c r="FC40" s="209">
        <f>IF(FC$7="X",VLOOKUP(FC$10,'VK-Hooned-Soojus'!$C:$X,2+$C40,FALSE),0)+IF(FC$6="X",VLOOKUP(FC$10,'VK-Transport'!$C:$X,2+$B40,0))+IF(FC$8="X",VLOOKUP(FC$10,'VK-Elekter'!$C:$X,2+$D40,0))+IF(FC$9="X",VLOOKUP(FC$10,'VK-Biokütused'!$C:$U,2+$E40,0))+IF(FC$5="X",VLOOKUP(FC$10,'VK-Põlevkivi'!$C:$X,2+$G40,0))+IF(FC$4="X",VLOOKUP(FC$10,'VK-Võrgud'!$C:$X,2+$F40,0))</f>
        <v>318.40000000000003</v>
      </c>
      <c r="FD40" s="209">
        <f>(IF(FD$7="X",VLOOKUP(FD$10,'VK-Hooned-Soojus'!$C:$X,2+$C40,FALSE),0)+IF(FD$6="X",VLOOKUP(FD$10,'VK-Transport'!$C:$X,2+$B40,0))+IF(FD$8="X",VLOOKUP(FD$10,'VK-Elekter'!$C:$X,2+$D40,0))+IF(FD$9="X",VLOOKUP(FD$10,'VK-Biokütused'!$C:$U,2+$E40,0))+IF(FD$5="X",VLOOKUP(FD$10,'VK-Põlevkivi'!$C:$X,2+$G40,0))+IF(FD$4="X",VLOOKUP(FD$10,'VK-Võrgud'!$C:$X,2+$F40,0)))/16</f>
        <v>828.63765078901565</v>
      </c>
      <c r="FE40" s="209">
        <f>(IF(FE$7="X",VLOOKUP(FE$10,'VK-Hooned-Soojus'!$C:$X,2+$C40,FALSE),0)+IF(FE$6="X",VLOOKUP(FE$10,'VK-Transport'!$C:$X,2+$B40,0))+IF(FE$8="X",VLOOKUP(FE$10,'VK-Elekter'!$C:$X,2+$D40,0))+IF(FE$9="X",VLOOKUP(FE$10,'VK-Biokütused'!$C:$U,2+$E40,0))+IF(FE$5="X",VLOOKUP(FE$10,'VK-Põlevkivi'!$C:$X,2+$G40,0))+IF(FE$4="X",VLOOKUP(FE$10,'VK-Võrgud'!$C:$X,2+$F40,0)))/16</f>
        <v>-71.100813699091034</v>
      </c>
      <c r="FF40" s="209">
        <f>(IF(FF$7="X",VLOOKUP(FF$10,'VK-Hooned-Soojus'!$C:$X,2+$C40,FALSE),0)+IF(FF$6="X",VLOOKUP(FF$10,'VK-Transport'!$C:$X,2+$B40,0))+IF(FF$8="X",VLOOKUP(FF$10,'VK-Elekter'!$C:$X,2+$D40,0))+IF(FF$9="X",VLOOKUP(FF$10,'VK-Biokütused'!$C:$U,2+$E40,0))+IF(FF$5="X",VLOOKUP(FF$10,'VK-Põlevkivi'!$C:$X,2+$G40,0))+IF(FF$4="X",VLOOKUP(FF$10,'VK-Võrgud'!$C:$X,2+$F40,0)))/16</f>
        <v>228.26470903985711</v>
      </c>
      <c r="FG40" s="88">
        <f t="shared" ca="1" si="30"/>
        <v>157.16389534076609</v>
      </c>
      <c r="FH40" s="88"/>
      <c r="FI40" s="88"/>
      <c r="FJ40" s="88">
        <f>VLOOKUP(Tulemused!$BN$12,data!M$7:N$12,2,FALSE)-SUM(L40,M40)</f>
        <v>-2.6566444444444528</v>
      </c>
      <c r="FK40" s="209" t="str">
        <f>IF(AZ40&lt;=VLOOKUP(Tulemused!$BN$15,data!$E$36:$F$39,2,FALSE),"JAH","EI")</f>
        <v>JAH</v>
      </c>
      <c r="FL40" s="235">
        <f ca="1">IF(ISNA(MATCH($A40,INDIRECT(VLOOKUP(Tulemused!$BF$11,data!$J$57:$M$71,4,FALSE)))),0,MATCH($A40,INDIRECT(VLOOKUP(Tulemused!$BF$11,data!$J$57:$M$71,4,FALSE))))</f>
        <v>0</v>
      </c>
      <c r="FM40" s="235" t="str">
        <f t="shared" ca="1" si="10"/>
        <v>JAH</v>
      </c>
      <c r="FN40" s="209">
        <f>VLOOKUP(Tulemused!$BN$13,data!$C$132:$D$137,2,FALSE)-KOMBI!R40</f>
        <v>2.5031331784169399</v>
      </c>
      <c r="FO40" s="209"/>
      <c r="FP40" s="209">
        <f>VLOOKUP(Tulemused!$BN$17,NO_x,2,FALSE)-CJ40</f>
        <v>5.6809999999999974</v>
      </c>
      <c r="FQ40" s="209">
        <f>VLOOKUP(Tulemused!$BN$18,SO_2,2,FALSE)-CK40</f>
        <v>13.39028385982818</v>
      </c>
      <c r="FR40" s="209">
        <f>VLOOKUP(Tulemused!$BN$19,LOU,2,FALSE)-CN40</f>
        <v>34.229000000000006</v>
      </c>
      <c r="FS40" s="209">
        <f>VLOOKUP(Tulemused!$BN$20,PM_2.5,2,FALSE)-CM40</f>
        <v>9.1600103843950826</v>
      </c>
      <c r="FT40" s="209">
        <f>VLOOKUP(Tulemused!$BN$13,data!$C$132:$D$137,2,FALSE)-FA40/1000</f>
        <v>2.5870630000000006</v>
      </c>
      <c r="FU40" s="209">
        <f>VLOOKUP(Tulemused!$BN$17,NO_x,2,FALSE)-CO40</f>
        <v>-1.207649773285457</v>
      </c>
      <c r="FV40" s="209">
        <f>VLOOKUP(Tulemused!$BN$18,SO_2,2,FALSE)-CP40</f>
        <v>19.543569521400116</v>
      </c>
      <c r="FW40" s="209">
        <f>VLOOKUP(Tulemused!$BN$19,LOU,2,FALSE)-CS40</f>
        <v>33.113847594878393</v>
      </c>
      <c r="FX40" s="209">
        <f>VLOOKUP(Tulemused!$BN$20,PM_2.5,2,FALSE)-CR40</f>
        <v>8.6952466437251967</v>
      </c>
      <c r="FY40" s="209">
        <f>VLOOKUP(Tulemused!$BN$14,KHG_2050,2,FALSE)-EF40</f>
        <v>90.559363178416945</v>
      </c>
      <c r="FZ40" s="231" t="str">
        <f t="shared" ca="1" si="31"/>
        <v>EI</v>
      </c>
      <c r="GA40" s="209"/>
      <c r="GB40" s="209"/>
      <c r="GC40" s="209"/>
      <c r="GD40" s="231"/>
      <c r="GE40" s="87">
        <f t="shared" si="11"/>
        <v>1842</v>
      </c>
      <c r="GF40" s="232" t="str">
        <f t="shared" ca="1" si="32"/>
        <v/>
      </c>
      <c r="GH40" s="238" t="e">
        <f t="shared" ca="1" si="12"/>
        <v>#NUM!</v>
      </c>
      <c r="GI40" s="87" t="e">
        <f t="array" aca="1" ref="GI40" ca="1">INDEX($A$11:$A$145, SMALL(IF(GH40=$GF$11:$GF$145, MATCH(ROW($GF$11:$GF$145), ROW($GF$11:$GF$145))), SUM(--(GH40=$GH$11:GH40))))</f>
        <v>#NUM!</v>
      </c>
      <c r="GM40" s="209">
        <f>IF(GM$7="X",VLOOKUP(GM$10,'VK-Hooned-Soojus'!$C:$X,2+$C40,FALSE),0)+IF(GM$6="X",VLOOKUP(GM$10,'VK-Transport'!$C:$X,2+$B40,0))+IF(GM$8="X",VLOOKUP(GM$10,'VK-Elekter'!$C:$X,2+$D40,0))+IF(GM$9="X",VLOOKUP(GM$10,'VK-Biokütused'!$C:$U,2+$E40,0))+IF(GM$5="X",VLOOKUP(GM$10,'VK-Põlevkivi'!$C:$X,2+$G40,0))+IF(GM$4="X",VLOOKUP(GM$10,'VK-Võrgud'!$C:$X,2+$F40,0))</f>
        <v>11.189888530766083</v>
      </c>
      <c r="GN40" s="209">
        <f>IF(GN$7="X",VLOOKUP(GN$10,'VK-Hooned-Soojus'!$C:$X,2+$C40,FALSE),0)+IF(GN$6="X",VLOOKUP(GN$10,'VK-Transport'!$C:$X,2+$B40,0))+IF(GN$8="X",VLOOKUP(GN$10,'VK-Elekter'!$C:$X,2+$D40,0))+IF(GN$9="X",VLOOKUP(GN$10,'VK-Biokütused'!$C:$U,2+$E40,0))+IF(GN$5="X",VLOOKUP(GN$10,'VK-Põlevkivi'!$C:$X,2+$G40,0))+IF(GN$4="X",VLOOKUP(GN$10,'VK-Võrgud'!$C:$X,2+$F40,0))</f>
        <v>2.9930837725682502</v>
      </c>
      <c r="GO40" s="209">
        <f>IF(GO$7="X",VLOOKUP(GO$10,'VK-Hooned-Soojus'!$C:$X,2+$C40,FALSE),0)+IF(GO$6="X",VLOOKUP(GO$10,'VK-Transport'!$C:$X,2+$B40,0))+IF(GO$8="X",VLOOKUP(GO$10,'VK-Elekter'!$C:$X,2+$D40,0))+IF(GO$9="X",VLOOKUP(GO$10,'VK-Biokütused'!$C:$U,2+$E40,0))+IF(GO$5="X",VLOOKUP(GO$10,'VK-Põlevkivi'!$C:$X,2+$G40,0))+IF(GO$4="X",VLOOKUP(GO$10,'VK-Võrgud'!$C:$X,2+$F40,0))</f>
        <v>7.936370010272257</v>
      </c>
      <c r="GP40" s="209">
        <f>IF(GP$7="X",VLOOKUP(GP$10,'VK-Hooned-Soojus'!$C:$X,2+$C40,FALSE),0)+IF(GP$6="X",VLOOKUP(GP$10,'VK-Transport'!$C:$X,2+$B40,0))+IF(GP$8="X",VLOOKUP(GP$10,'VK-Elekter'!$C:$X,2+$D40,0))+IF(GP$9="X",VLOOKUP(GP$10,'VK-Biokütused'!$C:$U,2+$E40,0))+IF(GP$5="X",VLOOKUP(GP$10,'VK-Põlevkivi'!$C:$X,2+$G40,0))+IF(GP$4="X",VLOOKUP(GP$10,'VK-Võrgud'!$C:$X,2+$F40,0))</f>
        <v>9.1527946929596489</v>
      </c>
      <c r="GQ40" s="88">
        <f>IF(GQ$7="X",VLOOKUP(GQ$10,'VK-Hooned-Soojus'!$C:$X,2+$C40,FALSE),0)+IF(GQ$6="X",VLOOKUP(GQ$10,'VK-Transport'!$C:$X,2+$B40,0))+IF(GQ$8="X",VLOOKUP(GQ$10,'VK-Elekter'!$C:$X,2+$D40,0))+IF(GQ$9="X",VLOOKUP(GQ$10,'VK-Biokütused'!$C:$U,2+$E40,0))+IF(GQ$5="X",VLOOKUP(GQ$10,'VK-Põlevkivi'!$C:$X,2+$G40,0))+IF(GQ$4="X",VLOOKUP(GQ$10,'VK-Võrgud'!$C:$X,2+$F40,0))</f>
        <v>0.9682855968523334</v>
      </c>
      <c r="GR40" s="186">
        <f t="shared" si="33"/>
        <v>0.36952294598212954</v>
      </c>
    </row>
    <row r="41" spans="1:200" x14ac:dyDescent="0.2">
      <c r="A41" s="184">
        <v>31</v>
      </c>
      <c r="B41" s="87">
        <v>1</v>
      </c>
      <c r="C41" s="87">
        <v>3</v>
      </c>
      <c r="D41" s="87">
        <v>1</v>
      </c>
      <c r="E41" s="87">
        <v>1</v>
      </c>
      <c r="F41" s="87">
        <f>VLOOKUP(Tulemused!$BF$7,data!$J$6:$K$8,2,FALSE)</f>
        <v>2</v>
      </c>
      <c r="G41" s="87">
        <f>VLOOKUP(data!$H$2,data!$J$12:$K$14,2,FALSE)</f>
        <v>2</v>
      </c>
      <c r="I41" s="209">
        <f>IF(I$7="X",VLOOKUP(I$10,'VK-Hooned-Soojus'!$C:$X,2+$C41,FALSE),0)+IF(I$6="X",VLOOKUP(I$10,'VK-Transport'!$C:$X,2+$B41,0))+IF(I$8="X",VLOOKUP(I$10,'VK-Elekter'!$C:$X,2+$D41,0))+IF(I$9="X",VLOOKUP(I$10,'VK-Biokütused'!$C:$U,2+$E41,0))+IF(I$5="X",VLOOKUP(I$10,'VK-Põlevkivi'!$C:$X,2+$G41,0))+IF(I$4="X",VLOOKUP(I$10,'VK-Võrgud'!$C:$X,2+$F41,0))</f>
        <v>23.490000000000002</v>
      </c>
      <c r="J41" s="209">
        <f>IF(J$7="X",VLOOKUP(J$10,'VK-Hooned-Soojus'!$C:$X,2+$C41,FALSE),0)+IF(J$6="X",VLOOKUP(J$10,'VK-Transport'!$C:$X,2+$B41,0))+IF(J$8="X",VLOOKUP(J$10,'VK-Elekter'!$C:$X,2+$D41,0))+IF(J$9="X",VLOOKUP(J$10,'VK-Biokütused'!$C:$U,2+$E41,0))+IF(J$5="X",VLOOKUP(J$10,'VK-Põlevkivi'!$C:$X,2+$G41,0))+IF(J$4="X",VLOOKUP(J$10,'VK-Võrgud'!$C:$X,2+$F41,0))</f>
        <v>13.295833333333334</v>
      </c>
      <c r="K41" s="209">
        <f>IF(K$7="X",VLOOKUP(K$10,'VK-Hooned-Soojus'!$C:$X,2+$C41,FALSE),0)+IF(K$6="X",VLOOKUP(K$10,'VK-Transport'!$C:$X,2+$B41,0))+IF(K$8="X",VLOOKUP(K$10,'VK-Elekter'!$C:$X,2+$D41,0))+IF(K$9="X",VLOOKUP(K$10,'VK-Biokütused'!$C:$U,2+$E41,0))+IF(K$5="X",VLOOKUP(K$10,'VK-Põlevkivi'!$C:$X,2+$G41,0))+IF(K$4="X",VLOOKUP(K$10,'VK-Võrgud'!$C:$X,2+$F41,0))</f>
        <v>13.780000000000001</v>
      </c>
      <c r="L41" s="209">
        <f>IF(L$7="X",VLOOKUP(L$10,'VK-Hooned-Soojus'!$C:$X,2+$C41,FALSE),0)+IF(L$6="X",VLOOKUP(L$10,'VK-Transport'!$C:$X,2+$B41,0))+IF(L$8="X",VLOOKUP(L$10,'VK-Elekter'!$C:$X,2+$D41,0))+IF(L$9="X",VLOOKUP(L$10,'VK-Biokütused'!$C:$U,2+$E41,0))+IF(L$5="X",VLOOKUP(L$10,'VK-Põlevkivi'!$C:$X,2+$G41,0))+IF(L$4="X",VLOOKUP(L$10,'VK-Võrgud'!$C:$X,2+$F41,0))</f>
        <v>23.75</v>
      </c>
      <c r="M41" s="209">
        <f>IF(M$7="X",VLOOKUP(M$10,'VK-Hooned-Soojus'!$C:$X,2+$C41,FALSE),0)+IF(M$6="X",VLOOKUP(M$10,'VK-Transport'!$C:$X,2+$B41,0))+IF(M$8="X",VLOOKUP(M$10,'VK-Elekter'!$C:$X,2+$D41,0))+IF(M$9="X",VLOOKUP(M$10,'VK-Biokütused'!$C:$U,2+$E41,0))+IF(M$5="X",VLOOKUP(M$10,'VK-Põlevkivi'!$C:$X,2+$G41,0))+IF(M$4="X",VLOOKUP(M$10,'VK-Võrgud'!$C:$X,2+$F41,0))</f>
        <v>11.289444444444445</v>
      </c>
      <c r="N41" s="209">
        <f>IF(N$7="X",VLOOKUP(N$10,'VK-Hooned-Soojus'!$C:$X,2+$C41,FALSE),0)+IF(N$6="X",VLOOKUP(N$10,'VK-Transport'!$C:$X,2+$B41,0))+IF(N$8="X",VLOOKUP(N$10,'VK-Elekter'!$C:$X,2+$D41,0))+IF(N$9="X",VLOOKUP(N$10,'VK-Biokütused'!$C:$U,2+$E41,0))+IF(N$5="X",VLOOKUP(N$10,'VK-Põlevkivi'!$C:$X,2+$G41,0))+IF(N$4="X",VLOOKUP(N$10,'VK-Võrgud'!$C:$X,2+$F41,0))</f>
        <v>15.25</v>
      </c>
      <c r="O41" s="209">
        <f t="shared" si="13"/>
        <v>36.785833333333336</v>
      </c>
      <c r="P41" s="209"/>
      <c r="Q41" s="209">
        <f>(IF(Q$7="X",VLOOKUP(Q$10,'VK-Hooned-Soojus'!$C:$X,2+$C41,FALSE),0)+IF(Q$6="X",VLOOKUP(Q$10,'VK-Transport'!$C:$X,2+$B41,0))+IF(Q$8="X",VLOOKUP(Q$10,'VK-Elekter'!$C:$X,2+$D41,0))+IF(Q$9="X",VLOOKUP(Q$10,'VK-Biokütused'!$C:$U,2+$E41,0))+IF(Q$5="X",VLOOKUP(Q$10,'VK-Põlevkivi'!$C:$X,2+$G41,0))+IF(Q$4="X",VLOOKUP(Q$10,'VK-Võrgud'!$C:$X,2+$F41,0)))/1000</f>
        <v>4.9059999999999997</v>
      </c>
      <c r="R41" s="209">
        <f>(IF(R$7="X",VLOOKUP(R$10,'VK-Hooned-Soojus'!$C:$X,2+$C41,FALSE),0)+IF(R$6="X",VLOOKUP(R$10,'VK-Transport'!$C:$X,2+$B41,0))+IF(R$8="X",VLOOKUP(R$10,'VK-Elekter'!$C:$X,2+$D41,0))+IF(R$9="X",VLOOKUP(R$10,'VK-Biokütused'!$C:$U,2+$E41,0))+IF(R$5="X",VLOOKUP(R$10,'VK-Põlevkivi'!$C:$X,2+$G41,0))+IF(R$4="X",VLOOKUP(R$10,'VK-Võrgud'!$C:$X,2+$F41,0)))/1000</f>
        <v>2.9976368215830602</v>
      </c>
      <c r="S41" s="226">
        <f>VLOOKUP(S$10,'VK-Hooned-Soojus'!$C:$I,2+$C41,FALSE) + VLOOKUP(S$10,'VK-Transport'!$C:$I,2+$B41,FALSE)+ VLOOKUP(S$10,'VK-Biokütused'!$C:$G,2+$E41,FALSE)+ VLOOKUP(S$10,'VK-Elekter'!$C:$I,2+$D41,FALSE)+ VLOOKUP(S$10,'VK-Põlevkivi'!$C:$I,2+$G41,FALSE)+ VLOOKUP(S$10,'VK-Võrgud'!$C:$I,2+$F41,FALSE)</f>
        <v>4.654388185135392E-3</v>
      </c>
      <c r="T41" s="226">
        <f>VLOOKUP(T$10,'VK-Hooned-Soojus'!$C:$I,2+$C41,FALSE) + VLOOKUP(T$10,'VK-Transport'!$C:$I,2+$B41,FALSE)+ VLOOKUP(T$10,'VK-Biokütused'!$C:$G,2+$E41,FALSE)+ VLOOKUP(T$10,'VK-Elekter'!$C:$I,2+$D41,FALSE)+ VLOOKUP(T$10,'VK-Põlevkivi'!$C:$I,2+$G41,FALSE)+ VLOOKUP(T$10,'VK-Võrgud'!$C:$I,2+$F41,FALSE)</f>
        <v>-4.1375627086678857E-3</v>
      </c>
      <c r="U41" s="226">
        <f>VLOOKUP(U$10,'VK-Hooned-Soojus'!$C:$I,2+$C41,FALSE) + VLOOKUP(U$10,'VK-Transport'!$C:$I,2+$B41,FALSE)+ VLOOKUP(U$10,'VK-Biokütused'!$C:$G,2+$E41,FALSE)+ VLOOKUP(U$10,'VK-Elekter'!$C:$I,2+$D41,FALSE)+ VLOOKUP(U$10,'VK-Põlevkivi'!$C:$I,2+$G41,FALSE)+ VLOOKUP(U$10,'VK-Võrgud'!$C:$I,2+$F41,FALSE)</f>
        <v>-3.171495426866594E-3</v>
      </c>
      <c r="V41" s="226">
        <f>VLOOKUP(V$10,'VK-Hooned-Soojus'!$C:$I,2+$C41,FALSE) + VLOOKUP(V$10,'VK-Transport'!$C:$I,2+$B41,FALSE)+ VLOOKUP(V$10,'VK-Biokütused'!$C:$G,2+$E41,FALSE)+ VLOOKUP(V$10,'VK-Elekter'!$C:$I,2+$D41,FALSE)+ VLOOKUP(V$10,'VK-Põlevkivi'!$C:$I,2+$G41,FALSE)+ VLOOKUP(V$10,'VK-Võrgud'!$C:$I,2+$F41,FALSE)</f>
        <v>7.8606338593886476E-3</v>
      </c>
      <c r="W41" s="226">
        <f>VLOOKUP(W$10,'VK-Hooned-Soojus'!$C:$I,2+$C41,FALSE) + VLOOKUP(W$10,'VK-Transport'!$C:$I,2+$B41,FALSE)+ VLOOKUP(W$10,'VK-Biokütused'!$C:$G,2+$E41,FALSE)+ VLOOKUP(W$10,'VK-Elekter'!$C:$I,2+$D41,FALSE)+ VLOOKUP(W$10,'VK-Põlevkivi'!$C:$I,2+$G41,FALSE)+ VLOOKUP(W$10,'VK-Võrgud'!$C:$I,2+$F41,FALSE)</f>
        <v>-2.1560123171907759E-2</v>
      </c>
      <c r="X41" s="226">
        <f>VLOOKUP(X$10,'VK-Hooned-Soojus'!$C:$I,2+$C41,FALSE) + VLOOKUP(X$10,'VK-Transport'!$C:$I,2+$B41,FALSE)+ VLOOKUP(X$10,'VK-Biokütused'!$C:$G,2+$E41,FALSE)+ VLOOKUP(X$10,'VK-Elekter'!$C:$I,2+$D41,FALSE)+ VLOOKUP(X$10,'VK-Põlevkivi'!$C:$I,2+$G41,FALSE)+ VLOOKUP(X$10,'VK-Võrgud'!$C:$I,2+$F41,FALSE)</f>
        <v>-1.8678242133685109E-2</v>
      </c>
      <c r="Y41" s="226">
        <f>VLOOKUP(Y$10,'VK-Hooned-Soojus'!$C:$I,2+$C41,FALSE) + VLOOKUP(Y$10,'VK-Transport'!$C:$I,2+$B41,FALSE)+ VLOOKUP(Y$10,'VK-Biokütused'!$C:$G,2+$E41,FALSE)+ VLOOKUP(Y$10,'VK-Elekter'!$C:$I,2+$D41,FALSE)+ VLOOKUP(Y$10,'VK-Põlevkivi'!$C:$I,2+$G41,FALSE)+ VLOOKUP(Y$10,'VK-Võrgud'!$C:$I,2+$F41,FALSE)</f>
        <v>-3.3253681720014201E-2</v>
      </c>
      <c r="Z41" s="227">
        <f>(S41*Tulemused!$Q$9*10+T41*Tulemused!$Q$10*10+KOMBI!U41*Tulemused!$Q$11*10+KOMBI!V41*Tulemused!$Q$12*10)*Tulemused!$Q$8+-(W41*Tulemused!$Q$14*10+KOMBI!X41*Tulemused!$Q$15*10+KOMBI!Y41*Tulemused!$Q$16*10)*Tulemused!$Q$13</f>
        <v>1.2589475044111165</v>
      </c>
      <c r="AA41" s="228">
        <f>(IF(AA$7="X",VLOOKUP(AA$10,'VK-Hooned-Soojus'!$C:$X,2+$C41,FALSE),0)+IF(AA$6="X",VLOOKUP(AA$10,'VK-Transport'!$C:$X,2+$B41,0))+IF(AA$8="X",VLOOKUP(AA$10,'VK-Elekter'!$C:$X,2+$D41,0))+IF(AA$9="X",VLOOKUP(AA$10,'VK-Biokütused'!$C:$U,2+$E41,0))+IF(AA$5="X",VLOOKUP(AA$10,'VK-Põlevkivi'!$C:$X,2+$G41,0))+IF(AA$4="X",VLOOKUP(AA$10,'VK-Võrgud'!$C:$X,2+$F41,0)))</f>
        <v>3729</v>
      </c>
      <c r="AB41" s="228">
        <f>(IF(AB$7="X",VLOOKUP(AB$10,'VK-Hooned-Soojus'!$C:$X,2+$C41,FALSE),0)+IF(AB$6="X",VLOOKUP(AB$10,'VK-Transport'!$C:$X,2+$B41,0))+IF(AB$8="X",VLOOKUP(AB$10,'VK-Elekter'!$C:$X,2+$D41,0))+IF(AB$9="X",VLOOKUP(AB$10,'VK-Biokütused'!$C:$U,2+$E41,0))+IF(AB$5="X",VLOOKUP(AB$10,'VK-Põlevkivi'!$C:$X,2+$G41,0))+IF(AB$4="X",VLOOKUP(AB$10,'VK-Võrgud'!$C:$X,2+$F41,0)))</f>
        <v>1177</v>
      </c>
      <c r="AC41" s="228">
        <f>(IF(AC$7="X",VLOOKUP(AC$10,'VK-Hooned-Soojus'!$C:$X,2+$C41,FALSE),0)+IF(AC$6="X",VLOOKUP(AC$10,'VK-Transport'!$C:$X,2+$B41,0))+IF(AC$8="X",VLOOKUP(AC$10,'VK-Elekter'!$C:$X,2+$D41,0))+IF(AC$9="X",VLOOKUP(AC$10,'VK-Biokütused'!$C:$U,2+$E41,0))+IF(AC$5="X",VLOOKUP(AC$10,'VK-Põlevkivi'!$C:$X,2+$G41,0))+IF(AC$4="X",VLOOKUP(AC$10,'VK-Võrgud'!$C:$X,2+$F41,0)))</f>
        <v>2346</v>
      </c>
      <c r="AD41" s="228">
        <f>(IF(AD$7="X",VLOOKUP(AD$10,'VK-Hooned-Soojus'!$C:$X,2+$C41,FALSE),0)+IF(AD$6="X",VLOOKUP(AD$10,'VK-Transport'!$C:$X,2+$B41,0))+IF(AD$8="X",VLOOKUP(AD$10,'VK-Elekter'!$C:$X,2+$D41,0))+IF(AD$9="X",VLOOKUP(AD$10,'VK-Biokütused'!$C:$U,2+$E41,0))+IF(AD$5="X",VLOOKUP(AD$10,'VK-Põlevkivi'!$C:$X,2+$G41,0))+IF(AD$4="X",VLOOKUP(AD$10,'VK-Võrgud'!$C:$X,2+$F41,0)))</f>
        <v>0</v>
      </c>
      <c r="AE41" s="228">
        <f>(IF(AE$7="X",VLOOKUP(AE$10,'VK-Hooned-Soojus'!$C:$X,2+$C41,FALSE),0)+IF(AE$6="X",VLOOKUP(AE$10,'VK-Transport'!$C:$X,2+$B41,0))+IF(AE$8="X",VLOOKUP(AE$10,'VK-Elekter'!$C:$X,2+$D41,0))+IF(AE$9="X",VLOOKUP(AE$10,'VK-Biokütused'!$C:$U,2+$E41,0))+IF(AE$5="X",VLOOKUP(AE$10,'VK-Põlevkivi'!$C:$X,2+$G41,0))+IF(AE$4="X",VLOOKUP(AE$10,'VK-Võrgud'!$C:$X,2+$F41,0)))</f>
        <v>507</v>
      </c>
      <c r="AF41" s="228">
        <f>(IF(AF$7="X",VLOOKUP(AF$10,'VK-Hooned-Soojus'!$C:$X,2+$C41,FALSE),0)+IF(AF$6="X",VLOOKUP(AF$10,'VK-Transport'!$C:$X,2+$B41,0))+IF(AF$8="X",VLOOKUP(AF$10,'VK-Elekter'!$C:$X,2+$D41,0))+IF(AF$9="X",VLOOKUP(AF$10,'VK-Biokütused'!$C:$U,2+$E41,0))+IF(AF$5="X",VLOOKUP(AF$10,'VK-Põlevkivi'!$C:$X,2+$G41,0))+IF(AF$4="X",VLOOKUP(AF$10,'VK-Võrgud'!$C:$X,2+$F41,0)))</f>
        <v>2490.6368215830603</v>
      </c>
      <c r="AG41" s="209"/>
      <c r="AH41" s="209">
        <f>IF(AH$7="X",VLOOKUP(AH$10,'VK-Hooned-Soojus'!$C:$X,2+$C41,FALSE),0)+IF(AH$6="X",VLOOKUP(AH$10,'VK-Transport'!$C:$X,2+$B41,0))+IF(AH$8="X",VLOOKUP(AH$10,'VK-Elekter'!$C:$X,2+$D41,0))+IF(AH$9="X",VLOOKUP(AH$10,'VK-Biokütused'!$C:$U,2+$E41,0))+IF(AH$5="X",VLOOKUP(AH$10,'VK-Põlevkivi'!$C:$X,2+$G41,0))+IF(AH$4="X",VLOOKUP(AH$10,'VK-Võrgud'!$C:$X,2+$F41,0))</f>
        <v>11.629999999999999</v>
      </c>
      <c r="AI41" s="209">
        <f>IF(AI$7="X",VLOOKUP(AI$10,'VK-Hooned-Soojus'!$C:$X,2+$C41,FALSE),0)+IF(AI$6="X",VLOOKUP(AI$10,'VK-Transport'!$C:$X,2+$B41,0))+IF(AI$8="X",VLOOKUP(AI$10,'VK-Elekter'!$C:$X,2+$D41,0))+IF(AI$9="X",VLOOKUP(AI$10,'VK-Biokütused'!$C:$U,2+$E41,0))+IF(AI$5="X",VLOOKUP(AI$10,'VK-Põlevkivi'!$C:$X,2+$G41,0))+IF(AI$4="X",VLOOKUP(AI$10,'VK-Võrgud'!$C:$X,2+$F41,0))</f>
        <v>2.3100000000000005</v>
      </c>
      <c r="AJ41" s="209">
        <f>IF(AJ$7="X",VLOOKUP(AJ$10,'VK-Hooned-Soojus'!$C:$X,2+$C41,FALSE),0)+IF(AJ$6="X",VLOOKUP(AJ$10,'VK-Transport'!$C:$X,2+$B41,0))+IF(AJ$8="X",VLOOKUP(AJ$10,'VK-Elekter'!$C:$X,2+$D41,0))+IF(AJ$9="X",VLOOKUP(AJ$10,'VK-Biokütused'!$C:$U,2+$E41,0))+IF(AJ$5="X",VLOOKUP(AJ$10,'VK-Põlevkivi'!$C:$X,2+$G41,0))+IF(AJ$4="X",VLOOKUP(AJ$10,'VK-Võrgud'!$C:$X,2+$F41,0))</f>
        <v>9.24</v>
      </c>
      <c r="AK41" s="209">
        <f>IF(AK$7="X",VLOOKUP(AK$10,'VK-Hooned-Soojus'!$C:$X,2+$C41,FALSE),0)+IF(AK$6="X",VLOOKUP(AK$10,'VK-Transport'!$C:$X,2+$B41,0))+IF(AK$8="X",VLOOKUP(AK$10,'VK-Elekter'!$C:$X,2+$D41,0))+IF(AK$9="X",VLOOKUP(AK$10,'VK-Biokütused'!$C:$U,2+$E41,0))+IF(AK$5="X",VLOOKUP(AK$10,'VK-Põlevkivi'!$C:$X,2+$G41,0))+IF(AK$4="X",VLOOKUP(AK$10,'VK-Võrgud'!$C:$X,2+$F41,0))</f>
        <v>2.78</v>
      </c>
      <c r="AL41" s="209">
        <f>IF(AL$7="X",VLOOKUP(AL$10,'VK-Hooned-Soojus'!$C:$X,2+$C41,FALSE),0)+IF(AL$6="X",VLOOKUP(AL$10,'VK-Transport'!$C:$X,2+$B41,0))+IF(AL$8="X",VLOOKUP(AL$10,'VK-Elekter'!$C:$X,2+$D41,0))+IF(AL$9="X",VLOOKUP(AL$10,'VK-Biokütused'!$C:$U,2+$E41,0))+IF(AL$5="X",VLOOKUP(AL$10,'VK-Põlevkivi'!$C:$X,2+$G41,0))+IF(AL$4="X",VLOOKUP(AL$10,'VK-Võrgud'!$C:$X,2+$F41,0))</f>
        <v>7.1</v>
      </c>
      <c r="AM41" s="209">
        <f>IF(AM$7="X",VLOOKUP(AM$10,'VK-Hooned-Soojus'!$C:$X,2+$C41,FALSE),0)+IF(AM$6="X",VLOOKUP(AM$10,'VK-Transport'!$C:$X,2+$B41,0))+IF(AM$8="X",VLOOKUP(AM$10,'VK-Elekter'!$C:$X,2+$D41,0))+IF(AM$9="X",VLOOKUP(AM$10,'VK-Biokütused'!$C:$U,2+$E41,0))+IF(AM$5="X",VLOOKUP(AM$10,'VK-Põlevkivi'!$C:$X,2+$G41,0))+IF(AM$4="X",VLOOKUP(AM$10,'VK-Võrgud'!$C:$X,2+$F41,0))</f>
        <v>11.5</v>
      </c>
      <c r="AN41" s="209">
        <f>IF(AN$7="X",VLOOKUP(AN$10,'VK-Hooned-Soojus'!$C:$X,2+$C41,FALSE),0)+IF(AN$6="X",VLOOKUP(AN$10,'VK-Transport'!$C:$X,2+$B41,0))+IF(AN$8="X",VLOOKUP(AN$10,'VK-Elekter'!$C:$X,2+$D41,0))+IF(AN$9="X",VLOOKUP(AN$10,'VK-Biokütused'!$C:$U,2+$E41,0))+IF(AN$5="X",VLOOKUP(AN$10,'VK-Põlevkivi'!$C:$X,2+$G41,0))+IF(AN$4="X",VLOOKUP(AN$10,'VK-Võrgud'!$C:$X,2+$F41,0))</f>
        <v>4.0999999999999996</v>
      </c>
      <c r="AO41" s="209">
        <f>IF(AO$7="X",VLOOKUP(AO$10,'VK-Hooned-Soojus'!$C:$X,2+$C41,FALSE),0)+IF(AO$6="X",VLOOKUP(AO$10,'VK-Transport'!$C:$X,2+$B41,0))+IF(AO$8="X",VLOOKUP(AO$10,'VK-Elekter'!$C:$X,2+$D41,0))+IF(AO$9="X",VLOOKUP(AO$10,'VK-Biokütused'!$C:$U,2+$E41,0))+IF(AO$5="X",VLOOKUP(AO$10,'VK-Põlevkivi'!$C:$X,2+$G41,0))+IF(AO$4="X",VLOOKUP(AO$10,'VK-Võrgud'!$C:$X,2+$F41,0))</f>
        <v>12.16</v>
      </c>
      <c r="AP41" s="209">
        <f>IF(AP$7="X",VLOOKUP(AP$10,'VK-Hooned-Soojus'!$C:$X,2+$C41,FALSE),0)+IF(AP$6="X",VLOOKUP(AP$10,'VK-Transport'!$C:$X,2+$B41,0))+IF(AP$8="X",VLOOKUP(AP$10,'VK-Elekter'!$C:$X,2+$D41,0))+IF(AP$9="X",VLOOKUP(AP$10,'VK-Biokütused'!$C:$U,2+$E41,0))+IF(AP$5="X",VLOOKUP(AP$10,'VK-Põlevkivi'!$C:$X,2+$G41,0))+IF(AP$4="X",VLOOKUP(AP$10,'VK-Võrgud'!$C:$X,2+$F41,0))</f>
        <v>6.08</v>
      </c>
      <c r="AQ41" s="320">
        <f t="shared" si="14"/>
        <v>0</v>
      </c>
      <c r="AR41" s="209">
        <f>IF(AR$7="X",VLOOKUP(AR$10,'VK-Hooned-Soojus'!$C:$X,2+$C41,FALSE),0)+IF(AR$6="X",VLOOKUP(AR$10,'VK-Transport'!$C:$X,2+$B41,0))+IF(AR$8="X",VLOOKUP(AR$10,'VK-Elekter'!$C:$X,2+$D41,0))+IF(AR$9="X",VLOOKUP(AR$10,'VK-Biokütused'!$C:$U,2+$E41,0))+IF(AR$5="X",VLOOKUP(AR$10,'VK-Põlevkivi'!$C:$X,2+$G41,0))+IF(AR$4="X",VLOOKUP(AR$10,'VK-Võrgud'!$C:$X,2+$F41,0))</f>
        <v>2.3899999999999997</v>
      </c>
      <c r="AS41" s="320">
        <f>VLOOKUP("Kütuste tarbimine @ 2030 - UTTEGAAS",'VK-Hooned-Soojus'!$C:$X,2+$C41,FALSE)/0.172+VLOOKUP("Kütuste tarbimine @ 2030 - UTTEGAAS",'VK-Elekter'!$C:$X,2+$D41,FALSE)/0.172-AR41-AU41</f>
        <v>2.8565116279069773</v>
      </c>
      <c r="AT41" s="209">
        <f>IF(AT$7="X",VLOOKUP(AT$10,'VK-Hooned-Soojus'!$C:$X,2+$C41,FALSE),0)+IF(AT$6="X",VLOOKUP(AT$10,'VK-Transport'!$C:$X,2+$B41,0))+IF(AT$8="X",VLOOKUP(AT$10,'VK-Elekter'!$C:$X,2+$D41,0))+IF(AT$9="X",VLOOKUP(AT$10,'VK-Biokütused'!$C:$U,2+$E41,0))+IF(AT$5="X",VLOOKUP(AT$10,'VK-Põlevkivi'!$C:$X,2+$G41,0))+IF(AT$4="X",VLOOKUP(AT$10,'VK-Võrgud'!$C:$X,2+$F41,0))</f>
        <v>12.004929222526066</v>
      </c>
      <c r="AU41" s="229">
        <f>MAX(0,(VLOOKUP("Kütuste tarbimine @ 2030 - UTTEGAAS",'VK-Hooned-Soojus'!$C:$X,2+$C41,FALSE)/0.172+VLOOKUP("Kütuste tarbimine @ 2030 - UTTEGAAS",'VK-Elekter'!$C:$X,2+$D41,FALSE)/0.172)*0.52-VLOOKUP("Kütuste tarbimine @ 2030 - PÕLEVKIVIÕLI",'VK-Hooned-Soojus'!$C:$X,2+$C41,FALSE))</f>
        <v>5.6837209302325586</v>
      </c>
      <c r="AV41" s="209">
        <f>IF(AV$7="X",VLOOKUP(AV$10,'VK-Hooned-Soojus'!$C:$X,2+$C41,FALSE),0)+IF(AV$6="X",VLOOKUP(AV$10,'VK-Transport'!$C:$X,2+$B41,0))+IF(AV$8="X",VLOOKUP(AV$10,'VK-Elekter'!$C:$X,2+$D41,0))+IF(AV$9="X",VLOOKUP(AV$10,'VK-Biokütused'!$C:$U,2+$E41,0))+IF(AV$5="X",VLOOKUP(AV$10,'VK-Põlevkivi'!$C:$X,2+$G41,0))+IF(AV$4="X",VLOOKUP(AV$10,'VK-Võrgud'!$C:$X,2+$F41,0))</f>
        <v>1.1831224847375093</v>
      </c>
      <c r="AW41" s="209">
        <f>IF(AW$7="X",VLOOKUP(AW$10,'VK-Hooned-Soojus'!$C:$X,2+$C41,FALSE),0)+IF(AW$6="X",VLOOKUP(AW$10,'VK-Transport'!$C:$X,2+$B41,0))+IF(AW$8="X",VLOOKUP(AW$10,'VK-Elekter'!$C:$X,2+$D41,0))+IF(AW$9="X",VLOOKUP(AW$10,'VK-Biokütused'!$C:$U,2+$E41,0))+IF(AW$5="X",VLOOKUP(AW$10,'VK-Põlevkivi'!$C:$X,2+$G41,0))+IF(AW$4="X",VLOOKUP(AW$10,'VK-Võrgud'!$C:$X,2+$F41,0))</f>
        <v>0</v>
      </c>
      <c r="AX41" s="229">
        <f t="shared" si="34"/>
        <v>0</v>
      </c>
      <c r="AY41" s="229">
        <f t="shared" si="15"/>
        <v>1.1831224847375093</v>
      </c>
      <c r="AZ41" s="230">
        <f t="shared" si="0"/>
        <v>0.60224622150185692</v>
      </c>
      <c r="BA41" s="209">
        <f>IF(BA$7="X",VLOOKUP(BA$10,'VK-Hooned-Soojus'!$C:$X,2+$C41,FALSE),0)+IF(BA$6="X",VLOOKUP(BA$10,'VK-Transport'!$C:$X,2+$B41,0))+IF(BA$8="X",VLOOKUP(BA$10,'VK-Elekter'!$C:$X,2+$D41,0))+IF(BA$9="X",VLOOKUP(BA$10,'VK-Biokütused'!$C:$U,2+$E41,0))+IF(BA$5="X",VLOOKUP(BA$10,'VK-Põlevkivi'!$C:$X,2+$G41,0))+IF(BA$4="X",VLOOKUP(BA$10,'VK-Võrgud'!$C:$X,2+$F41,0))</f>
        <v>4.25</v>
      </c>
      <c r="BB41" s="209">
        <f>IF(BB$7="X",VLOOKUP(BB$10,'VK-Hooned-Soojus'!$C:$X,2+$C41,FALSE),0)+IF(BB$6="X",VLOOKUP(BB$10,'VK-Transport'!$C:$X,2+$B41,0))+IF(BB$8="X",VLOOKUP(BB$10,'VK-Elekter'!$C:$X,2+$D41,0))+IF(BB$9="X",VLOOKUP(BB$10,'VK-Biokütused'!$C:$U,2+$E41,0))+IF(BB$5="X",VLOOKUP(BB$10,'VK-Põlevkivi'!$C:$X,2+$G41,0))+IF(BB$4="X",VLOOKUP(BB$10,'VK-Võrgud'!$C:$X,2+$F41,0))</f>
        <v>2.93</v>
      </c>
      <c r="BC41" s="209">
        <f>IF(BC$7="X",VLOOKUP(BC$10,'VK-Hooned-Soojus'!$C:$X,2+$C41,FALSE),0)+IF(BC$6="X",VLOOKUP(BC$10,'VK-Transport'!$C:$X,2+$B41,0))+IF(BC$8="X",VLOOKUP(BC$10,'VK-Elekter'!$C:$X,2+$D41,0))+IF(BC$9="X",VLOOKUP(BC$10,'VK-Biokütused'!$C:$U,2+$E41,0))+IF(BC$5="X",VLOOKUP(BC$10,'VK-Põlevkivi'!$C:$X,2+$G41,0))+IF(BC$4="X",VLOOKUP(BC$10,'VK-Võrgud'!$C:$X,2+$F41,0))</f>
        <v>5.2376666666666667</v>
      </c>
      <c r="BD41" s="209">
        <f>IF(BD$7="X",VLOOKUP(BD$10,'VK-Hooned-Soojus'!$C:$X,2+$C41,FALSE),0)+IF(BD$6="X",VLOOKUP(BD$10,'VK-Transport'!$C:$X,2+$B41,0))+IF(BD$8="X",VLOOKUP(BD$10,'VK-Elekter'!$C:$X,2+$D41,0))+IF(BD$9="X",VLOOKUP(BD$10,'VK-Biokütused'!$C:$U,2+$E41,0))+IF(BD$5="X",VLOOKUP(BD$10,'VK-Põlevkivi'!$C:$X,2+$G41,0))+IF(BD$4="X",VLOOKUP(BD$10,'VK-Võrgud'!$C:$X,2+$F41,0))</f>
        <v>9.1105555555555569</v>
      </c>
      <c r="BE41" s="230"/>
      <c r="BF41" s="229">
        <f t="shared" si="16"/>
        <v>0.30809115034793855</v>
      </c>
      <c r="BG41" s="209" t="e">
        <f>(IF(BG$7="X",VLOOKUP(BG$10,'VK-Hooned-Soojus'!$C:$X,2+$C41,FALSE),0)+IF(BG$6="X",VLOOKUP(BG$10,'VK-Transport'!$C:$X,2+$B41,0))+IF(BG$8="X",VLOOKUP(BG$10,'VK-Elekter'!$C:$X,2+$D41,0))+IF(BG$9="X",VLOOKUP(BG$10,'VK-Biokütused'!$C:$U,2+$E41,0))+IF(BG$5="X",VLOOKUP(BG$10,'VK-Põlevkivi'!$C:$X,2+$G41,0))+IF(BG$4="X",VLOOKUP(BG$10,'VK-Võrgud'!$C:$X,2+$F41,0)))/20</f>
        <v>#N/A</v>
      </c>
      <c r="BH41" s="209">
        <f>(IF(BH$7="X",VLOOKUP(BH$10,'VK-Hooned-Soojus'!$C:$X,2+$C41,FALSE),0)+IF(BH$6="X",VLOOKUP(BH$10,'VK-Transport'!$C:$X,2+$B41,0))+IF(BH$8="X",VLOOKUP(BH$10,'VK-Elekter'!$C:$X,2+$D41,0))+IF(BH$9="X",VLOOKUP(BH$10,'VK-Biokütused'!$C:$U,2+$E41,0))+IF(BH$5="X",VLOOKUP(BH$10,'VK-Põlevkivi'!$C:$X,2+$G41,0))+IF(BH$4="X",VLOOKUP(BH$10,'VK-Võrgud'!$C:$X,2+$F41,0)))/20</f>
        <v>84.204999999999998</v>
      </c>
      <c r="BI41" s="209">
        <f>(IF(BI$7="X",VLOOKUP(BI$10,'VK-Hooned-Soojus'!$C:$X,2+$C41,FALSE),0)+IF(BI$6="X",VLOOKUP(BI$10,'VK-Transport'!$C:$X,2+$B41,0))+IF(BI$8="X",VLOOKUP(BI$10,'VK-Elekter'!$C:$X,2+$D41,0))+IF(BI$9="X",VLOOKUP(BI$10,'VK-Biokütused'!$C:$U,2+$E41,0))+IF(BI$5="X",VLOOKUP(BI$10,'VK-Põlevkivi'!$C:$X,2+$G41,0))+IF(BI$4="X",VLOOKUP(BI$10,'VK-Võrgud'!$C:$X,2+$F41,0)))/16</f>
        <v>8.9375</v>
      </c>
      <c r="BJ41" s="209">
        <f>(IF(BJ$7="X",VLOOKUP(BJ$10,'VK-Hooned-Soojus'!$C:$X,2+$C41,FALSE),0)+IF(BJ$6="X",VLOOKUP(BJ$10,'VK-Transport'!$C:$X,2+$B41,0))+IF(BJ$8="X",VLOOKUP(BJ$10,'VK-Elekter'!$C:$X,2+$D41,0))+IF(BJ$9="X",VLOOKUP(BJ$10,'VK-Biokütused'!$C:$U,2+$E41,0))+IF(BJ$5="X",VLOOKUP(BJ$10,'VK-Põlevkivi'!$C:$X,2+$G41,0))+IF(BJ$4="X",VLOOKUP(BJ$10,'VK-Võrgud'!$C:$X,2+$F41,0)))/20</f>
        <v>5.33</v>
      </c>
      <c r="BK41" s="209"/>
      <c r="BL41" s="209"/>
      <c r="BM41" s="209"/>
      <c r="BN41" s="209" t="e">
        <f>(IF(BN$7="X",VLOOKUP(BN$10,'VK-Hooned-Soojus'!$C:$X,2+$C41,FALSE),0)+IF(BN$6="X",VLOOKUP(BN$10,'VK-Transport'!$C:$X,2+$B41,0))+IF(BN$8="X",VLOOKUP(BN$10,'VK-Elekter'!$C:$X,2+$D41,0))+IF(BN$9="X",VLOOKUP(BN$10,'VK-Biokütused'!$C:$U,2+$E41,0))+IF(BN$5="X",VLOOKUP(BN$10,'VK-Põlevkivi'!$C:$X,2+$G41,0))+IF(BN$4="X",VLOOKUP(BN$10,'VK-Võrgud'!$C:$X,2+$F41,0)))/16</f>
        <v>#N/A</v>
      </c>
      <c r="BO41" s="209">
        <f>(IF(BO$7="X",VLOOKUP(BO$10,'VK-Hooned-Soojus'!$C:$X,2+$C41,FALSE),0)+IF(BO$6="X",VLOOKUP(BO$10,'VK-Transport'!$C:$X,2+$B41,0))+IF(BO$8="X",VLOOKUP(BO$10,'VK-Elekter'!$C:$X,2+$D41,0))+IF(BO$9="X",VLOOKUP(BO$10,'VK-Biokütused'!$C:$U,2+$E41,0))+IF(BO$5="X",VLOOKUP(BO$10,'VK-Põlevkivi'!$C:$X,2+$G41,0))+IF(BO$4="X",VLOOKUP(BO$10,'VK-Võrgud'!$C:$X,2+$F41,0)))/16</f>
        <v>496.33125000000001</v>
      </c>
      <c r="BP41" s="209"/>
      <c r="BQ41" s="209">
        <f>(IF(BQ$7="X",VLOOKUP(BQ$10,'VK-Hooned-Soojus'!$C:$X,2+$C41,FALSE),0)+IF(BQ$6="X",VLOOKUP(BQ$10,'VK-Transport'!$C:$X,2+$B41,0))+IF(BQ$8="X",VLOOKUP(BQ$10,'VK-Elekter'!$C:$X,2+$D41,0))+IF(BQ$9="X",VLOOKUP(BQ$10,'VK-Biokütused'!$C:$U,2+$E41,0))+IF(BQ$5="X",VLOOKUP(BQ$10,'VK-Põlevkivi'!$C:$X,2+$G41,0))+IF(BQ$4="X",VLOOKUP(BQ$10,'VK-Võrgud'!$C:$X,2+$F41,0)))/16</f>
        <v>4.7249999999999996</v>
      </c>
      <c r="BR41" s="209">
        <f>(IF(BR$7="X",VLOOKUP(BR$10,'VK-Hooned-Soojus'!$C:$X,2+$C41,FALSE),0)+IF(BR$6="X",VLOOKUP(BR$10,'VK-Transport'!$C:$X,2+$B41,0))+IF(BR$8="X",VLOOKUP(BR$10,'VK-Elekter'!$C:$X,2+$D41,0))+IF(BR$9="X",VLOOKUP(BR$10,'VK-Biokütused'!$C:$U,2+$E41,0))+IF(BR$5="X",VLOOKUP(BR$10,'VK-Põlevkivi'!$C:$X,2+$G41,0))+IF(BR$4="X",VLOOKUP(BR$10,'VK-Võrgud'!$C:$X,2+$F41,0)))/16</f>
        <v>-74.512500000000003</v>
      </c>
      <c r="BS41" s="209">
        <f>(IF(BS$7="X",VLOOKUP(BS$10,'VK-Hooned-Soojus'!$C:$X,2+$C41,FALSE),0)+IF(BS$6="X",VLOOKUP(BS$10,'VK-Transport'!$C:$X,2+$B41,0))+IF(BS$8="X",VLOOKUP(BS$10,'VK-Elekter'!$C:$X,2+$D41,0))+IF(BS$9="X",VLOOKUP(BS$10,'VK-Biokütused'!$C:$U,2+$E41,0))+IF(BS$5="X",VLOOKUP(BS$10,'VK-Põlevkivi'!$C:$X,2+$G41,0))+IF(BS$4="X",VLOOKUP(BS$10,'VK-Võrgud'!$C:$X,2+$F41,0)))/16</f>
        <v>-100.68125000000001</v>
      </c>
      <c r="BT41" s="209"/>
      <c r="BU41" s="209"/>
      <c r="BV41" s="209">
        <f>(IF(BV$7="X",VLOOKUP(BV$10,'VK-Hooned-Soojus'!$C:$X,2+$C41,FALSE),0)+IF(BV$6="X",VLOOKUP(BV$10,'VK-Transport'!$C:$X,2+$B41,0))+IF(BV$8="X",VLOOKUP(BV$10,'VK-Elekter'!$C:$X,2+$D41,0))+IF(BV$9="X",VLOOKUP(BV$10,'VK-Biokütused'!$C:$U,2+$E41,0))+IF(BV$5="X",VLOOKUP(BV$10,'VK-Põlevkivi'!$C:$X,2+$G41,0))+IF(BV$4="X",VLOOKUP(BV$10,'VK-Võrgud'!$C:$X,2+$F41,0)))/16</f>
        <v>0</v>
      </c>
      <c r="BW41" s="209"/>
      <c r="BX41" s="209">
        <f>(IF(BX$7="X",VLOOKUP(BX$10,'VK-Hooned-Soojus'!$C:$X,2+$C41,FALSE),0)+IF(BX$6="X",VLOOKUP(BX$10,'VK-Transport'!$C:$X,2+$B41,0))+IF(BX$8="X",VLOOKUP(BX$10,'VK-Elekter'!$C:$X,2+$D41,0))+IF(BX$9="X",VLOOKUP(BX$10,'VK-Biokütused'!$C:$U,2+$E41,0))+IF(BX$5="X",VLOOKUP(BX$10,'VK-Põlevkivi'!$C:$X,2+$G41,0))+IF(BX$4="X",VLOOKUP(BX$10,'VK-Võrgud'!$C:$X,2+$F41,0)))/16</f>
        <v>-99.6875</v>
      </c>
      <c r="BY41" s="209"/>
      <c r="BZ41" s="209"/>
      <c r="CA41" s="209" t="e">
        <f>(IF(CA$7="X",VLOOKUP(CA$10,'VK-Hooned-Soojus'!$C:$X,2+$C41,FALSE),0)+IF(CA$6="X",VLOOKUP(CA$10,'VK-Transport'!$C:$X,2+$B41,0))+IF(CA$8="X",VLOOKUP(CA$10,'VK-Elekter'!$C:$X,2+$D41,0))+IF(CA$9="X",VLOOKUP(CA$10,'VK-Biokütused'!$C:$U,2+$E41,0))+IF(CA$5="X",VLOOKUP(CA$10,'VK-Põlevkivi'!$C:$X,2+$G41,0))+IF(CA$4="X",VLOOKUP(CA$10,'VK-Võrgud'!$C:$X,2+$F41,0)))/16</f>
        <v>#N/A</v>
      </c>
      <c r="CB41" s="209">
        <f>(IF(CB$7="X",VLOOKUP(CB$10,'VK-Hooned-Soojus'!$C:$X,2+$C41,FALSE),0)+IF(CB$6="X",VLOOKUP(CB$10,'VK-Transport'!$C:$X,2+$B41,0))+IF(CB$8="X",VLOOKUP(CB$10,'VK-Elekter'!$C:$X,2+$D41,0))+IF(CB$9="X",VLOOKUP(CB$10,'VK-Biokütused'!$C:$U,2+$E41,0))+IF(CB$5="X",VLOOKUP(CB$10,'VK-Põlevkivi'!$C:$X,2+$G41,0))+IF(CB$4="X",VLOOKUP(CB$10,'VK-Võrgud'!$C:$X,2+$F41,0)))/16</f>
        <v>0</v>
      </c>
      <c r="CC41" s="209">
        <f>(IF(CC$7="X",VLOOKUP(CC$10,'VK-Hooned-Soojus'!$C:$X,2+$C41,FALSE),0)+IF(CC$6="X",VLOOKUP(CC$10,'VK-Transport'!$C:$X,2+$B41,0))+IF(CC$8="X",VLOOKUP(CC$10,'VK-Elekter'!$C:$X,2+$D41,0))+IF(CC$9="X",VLOOKUP(CC$10,'VK-Biokütused'!$C:$U,2+$E41,0))+IF(CC$5="X",VLOOKUP(CC$10,'VK-Põlevkivi'!$C:$X,2+$G41,0))+IF(CC$4="X",VLOOKUP(CC$10,'VK-Võrgud'!$C:$X,2+$F41,0)))/16</f>
        <v>0</v>
      </c>
      <c r="CD41" s="209"/>
      <c r="CE41" s="209">
        <f>(IF(CE$7="X",VLOOKUP(CE$10,'VK-Hooned-Soojus'!$C:$X,2+$C41,FALSE),0)+IF(CE$6="X",VLOOKUP(CE$10,'VK-Transport'!$C:$X,2+$B41,0))+IF(CE$8="X",VLOOKUP(CE$10,'VK-Elekter'!$C:$X,2+$D41,0))+IF(CE$9="X",VLOOKUP(CE$10,'VK-Biokütused'!$C:$U,2+$E41,0))+IF(CE$5="X",VLOOKUP(CE$10,'VK-Põlevkivi'!$C:$X,2+$G41,0))+IF(CE$4="X",VLOOKUP(CE$10,'VK-Võrgud'!$C:$X,2+$F41,0)))/16</f>
        <v>24.15625</v>
      </c>
      <c r="CF41" s="209"/>
      <c r="CG41" s="209">
        <f>(IF(CG$7="X",VLOOKUP(CG$10,'VK-Hooned-Soojus'!$C:$X,2+$C41,FALSE),0)+IF(CG$6="X",VLOOKUP(CG$10,'VK-Transport'!$C:$X,2+$B41,0))+IF(CG$8="X",VLOOKUP(CG$10,'VK-Elekter'!$C:$X,2+$D41,0))+IF(CG$9="X",VLOOKUP(CG$10,'VK-Biokütused'!$C:$U,2+$E41,0))+IF(CG$5="X",VLOOKUP(CG$10,'VK-Põlevkivi'!$C:$X,2+$G41,0))+IF(CG$4="X",VLOOKUP(CG$10,'VK-Võrgud'!$C:$X,2+$F41,0)))/16</f>
        <v>0</v>
      </c>
      <c r="CH41" s="209">
        <f>(IF(CH$7="X",VLOOKUP(CH$10,'VK-Hooned-Soojus'!$C:$X,2+$C41,FALSE),0)+IF(CH$6="X",VLOOKUP(CH$10,'VK-Transport'!$C:$X,2+$B41,0))+IF(CH$8="X",VLOOKUP(CH$10,'VK-Elekter'!$C:$X,2+$D41,0))+IF(CH$9="X",VLOOKUP(CH$10,'VK-Biokütused'!$C:$U,2+$E41,0))+IF(CH$5="X",VLOOKUP(CH$10,'VK-Põlevkivi'!$C:$X,2+$G41,0))+IF(CH$4="X",VLOOKUP(CH$10,'VK-Võrgud'!$C:$X,2+$F41,0)))/20*0.21</f>
        <v>26.9178</v>
      </c>
      <c r="CI41" s="209"/>
      <c r="CJ41" s="209">
        <f>(IF(CJ$7="X",VLOOKUP(CJ$10,'VK-Hooned-Soojus'!$C:$X,2+$C41,FALSE),0)+IF(CJ$6="X",VLOOKUP(CJ$10,'VK-Transport'!$C:$X,2+$B41,0))+IF(CJ$8="X",VLOOKUP(CJ$10,'VK-Elekter'!$C:$X,2+$D41,0))+IF(CJ$9="X",VLOOKUP(CJ$10,'VK-Biokütused'!$C:$U,2+$E41,0))+IF(CJ$5="X",VLOOKUP(CJ$10,'VK-Põlevkivi'!$C:$X,2+$G41,0))+IF(CJ$4="X",VLOOKUP(CJ$10,'VK-Võrgud'!$C:$X,2+$F41,0)))/1000</f>
        <v>18.587</v>
      </c>
      <c r="CK41" s="209">
        <f>(IF(CK$7="X",VLOOKUP(CK$10,'VK-Hooned-Soojus'!$C:$X,2+$C41,FALSE),0)+IF(CK$6="X",VLOOKUP(CK$10,'VK-Transport'!$C:$X,2+$B41,0))+IF(CK$8="X",VLOOKUP(CK$10,'VK-Elekter'!$C:$X,2+$D41,0))+IF(CK$9="X",VLOOKUP(CK$10,'VK-Biokütused'!$C:$U,2+$E41,0))+IF(CK$5="X",VLOOKUP(CK$10,'VK-Põlevkivi'!$C:$X,2+$G41,0))+IF(CK$4="X",VLOOKUP(CK$10,'VK-Võrgud'!$C:$X,2+$F41,0)))/1000</f>
        <v>11.22654313437131</v>
      </c>
      <c r="CL41" s="235">
        <f>(IF(CL$7="X",VLOOKUP(CL$10,'VK-Hooned-Soojus'!$C:$X,2+$C41,FALSE),0)+IF(CL$6="X",VLOOKUP(CL$10,'VK-Transport'!$C:$X,2+$B41,0))+IF(CL$8="X",VLOOKUP(CL$10,'VK-Elekter'!$C:$X,2+$D41,0))+IF(CL$9="X",VLOOKUP(CL$10,'VK-Biokütused'!$C:$U,2+$E41,0)))/1000</f>
        <v>8.8042332703934587</v>
      </c>
      <c r="CM41" s="209">
        <f>(IF(CM$7="X",VLOOKUP(CM$10,'VK-Hooned-Soojus'!$C:$X,2+$C41,FALSE),0)+IF(CM$6="X",VLOOKUP(CM$10,'VK-Transport'!$C:$X,2+$B41,0))+IF(CM$8="X",VLOOKUP(CM$10,'VK-Elekter'!$C:$X,2+$D41,0))+IF(CM$9="X",VLOOKUP(CM$10,'VK-Biokütused'!$C:$U,2+$E41,0))+IF(CM$5="X",VLOOKUP(CM$10,'VK-Põlevkivi'!$C:$X,2+$G41,0))+IF(CM$4="X",VLOOKUP(CM$10,'VK-Võrgud'!$C:$X,2+$F41,0)))/1000</f>
        <v>7.61</v>
      </c>
      <c r="CN41" s="209">
        <f>(IF(CN$7="X",VLOOKUP(CN$10,'VK-Hooned-Soojus'!$C:$X,2+$C41,FALSE),0)+IF(CN$6="X",VLOOKUP(CN$10,'VK-Transport'!$C:$X,2+$B41,0))+IF(CN$8="X",VLOOKUP(CN$10,'VK-Elekter'!$C:$X,2+$D41,0))+IF(CN$9="X",VLOOKUP(CN$10,'VK-Biokütused'!$C:$U,2+$E41,0))+IF(CN$5="X",VLOOKUP(CN$10,'VK-Põlevkivi'!$C:$X,2+$G41,0))+IF(CN$4="X",VLOOKUP(CN$10,'VK-Võrgud'!$C:$X,2+$F41,0)))/1000</f>
        <v>2.7559999999999998</v>
      </c>
      <c r="CO41" s="209">
        <f>(IF(CO$7="X",VLOOKUP(CO$10,'VK-Hooned-Soojus'!$C:$X,2+$C41,FALSE),0)+IF(CO$6="X",VLOOKUP(CO$10,'VK-Transport'!$C:$X,2+$B41,0))+IF(CO$8="X",VLOOKUP(CO$10,'VK-Elekter'!$C:$X,2+$D41,0))+IF(CO$9="X",VLOOKUP(CO$10,'VK-Biokütused'!$C:$U,2+$E41,0))+IF(CO$5="X",VLOOKUP(CO$10,'VK-Põlevkivi'!$C:$X,2+$G41,0))+IF(CO$4="X",VLOOKUP(CO$10,'VK-Võrgud'!$C:$X,2+$F41,0)))/1000</f>
        <v>25.115649773285455</v>
      </c>
      <c r="CP41" s="209">
        <f>(IF(CP$7="X",VLOOKUP(CP$10,'VK-Hooned-Soojus'!$C:$X,2+$C41,FALSE),0)+IF(CP$6="X",VLOOKUP(CP$10,'VK-Transport'!$C:$X,2+$B41,0))+IF(CP$8="X",VLOOKUP(CP$10,'VK-Elekter'!$C:$X,2+$D41,0))+IF(CP$9="X",VLOOKUP(CP$10,'VK-Biokütused'!$C:$U,2+$E41,0))+IF(CP$5="X",VLOOKUP(CP$10,'VK-Põlevkivi'!$C:$X,2+$G41,0))+IF(CP$4="X",VLOOKUP(CP$10,'VK-Võrgud'!$C:$X,2+$F41,0)))/1000</f>
        <v>13.407948584295612</v>
      </c>
      <c r="CQ41" s="235">
        <f>(IF(CQ$7="X",VLOOKUP(CQ$10,'VK-Hooned-Soojus'!$C:$X,2+$C41,FALSE),0)+IF(CQ$6="X",VLOOKUP(CQ$10,'VK-Transport'!$C:$X,2+$B41,0))+IF(CQ$8="X",VLOOKUP(CQ$10,'VK-Elekter'!$C:$X,2+$D41,0))+IF(CQ$9="X",VLOOKUP(CQ$10,'VK-Biokütused'!$C:$U,2+$E41,0)))/1000</f>
        <v>10.885907</v>
      </c>
      <c r="CR41" s="209">
        <f>(IF(CR$7="X",VLOOKUP(CR$10,'VK-Hooned-Soojus'!$C:$X,2+$C41,FALSE),0)+IF(CR$6="X",VLOOKUP(CR$10,'VK-Transport'!$C:$X,2+$B41,0))+IF(CR$8="X",VLOOKUP(CR$10,'VK-Elekter'!$C:$X,2+$D41,0))+IF(CR$9="X",VLOOKUP(CR$10,'VK-Biokütused'!$C:$U,2+$E41,0))+IF(CR$5="X",VLOOKUP(CR$10,'VK-Põlevkivi'!$C:$X,2+$G41,0))+IF(CR$4="X",VLOOKUP(CR$10,'VK-Võrgud'!$C:$X,2+$F41,0)))/1000</f>
        <v>7.7207533562748036</v>
      </c>
      <c r="CS41" s="209">
        <f>(IF(CS$7="X",VLOOKUP(CS$10,'VK-Hooned-Soojus'!$C:$X,2+$C41,FALSE),0)+IF(CS$6="X",VLOOKUP(CS$10,'VK-Transport'!$C:$X,2+$B41,0))+IF(CS$8="X",VLOOKUP(CS$10,'VK-Elekter'!$C:$X,2+$D41,0))+IF(CS$9="X",VLOOKUP(CS$10,'VK-Biokütused'!$C:$U,2+$E41,0))+IF(CS$5="X",VLOOKUP(CS$10,'VK-Põlevkivi'!$C:$X,2+$G41,0))+IF(CS$4="X",VLOOKUP(CS$10,'VK-Võrgud'!$C:$X,2+$F41,0)))/1000</f>
        <v>3.9161524051216152</v>
      </c>
      <c r="CT41" s="209">
        <f>IF(CT$7="X",VLOOKUP(CT$10,'VK-Hooned-Soojus'!$C:$X,2+$C41,FALSE),0)+IF(CT$6="X",VLOOKUP(CT$10,'VK-Transport'!$C:$X,2+$B41,0))+IF(CT$8="X",VLOOKUP(CT$10,'VK-Elekter'!$C:$X,2+$D41,0))+IF(CT$9="X",VLOOKUP(CT$10,'VK-Biokütused'!$C:$U,2+$E41,0))+IF(CT$5="X",VLOOKUP(CT$10,'VK-Põlevkivi'!$C:$X,2+$G41,0))+IF(CT$4="X",VLOOKUP(CT$10,'VK-Võrgud'!$C:$X,2+$F41,0))</f>
        <v>90</v>
      </c>
      <c r="CU41" s="209">
        <f>IF(CU$7="X",VLOOKUP(CU$10,'VK-Hooned-Soojus'!$C:$X,2+$C41,FALSE),0)+IF(CU$6="X",VLOOKUP(CU$10,'VK-Transport'!$C:$X,2+$B41,0))+IF(CU$8="X",VLOOKUP(CU$10,'VK-Elekter'!$C:$X,2+$D41,0))+IF(CU$9="X",VLOOKUP(CU$10,'VK-Biokütused'!$C:$U,2+$E41,0))+IF(CU$5="X",VLOOKUP(CU$10,'VK-Põlevkivi'!$C:$X,2+$G41,0))+IF(CU$4="X",VLOOKUP(CU$10,'VK-Võrgud'!$C:$X,2+$F41,0))</f>
        <v>0.72088353413654627</v>
      </c>
      <c r="CV41" s="209">
        <f t="shared" si="1"/>
        <v>1</v>
      </c>
      <c r="CW41" s="209">
        <f>(IF(CW$7="X",VLOOKUP(CW$10,'VK-Hooned-Soojus'!$C:$X,2+$C41,FALSE),0)+IF(CW$6="X",VLOOKUP(CW$10,'VK-Transport'!$C:$X,2+$B41,0))+IF(CW$8="X",VLOOKUP(CW$10,'VK-Elekter'!$C:$X,2+$D41,0))+IF(CW$9="X",VLOOKUP(CW$10,'VK-Biokütused'!$C:$U,2+$E41,0))+IF(CW$5="X",VLOOKUP(CW$10,'VK-Põlevkivi'!$C:$X,2+$G41,0))+IF(CW$4="X",VLOOKUP(CW$10,'VK-Võrgud'!$C:$X,2+$F41,0)))/16</f>
        <v>0</v>
      </c>
      <c r="CY41" s="209">
        <f>(IF(CY$7="X",VLOOKUP(CY$10,'VK-Hooned-Soojus'!$C:$X,2+$C41,FALSE),0)+IF(CY$6="X",VLOOKUP(CY$10,'VK-Transport'!$C:$X,2+$B41,0))+IF(CY$8="X",VLOOKUP(CY$10,'VK-Elekter'!$C:$X,2+$D41,0))+IF(CY$9="X",VLOOKUP(CY$10,'VK-Biokütused'!$C:$U,2+$E41,0))+IF(CY$5="X",VLOOKUP(CY$10,'VK-Põlevkivi'!$C:$X,2+$G41,0))+IF(CY$4="X",VLOOKUP(CY$10,'VK-Võrgud'!$C:$X,2+$F41,0)))/1000</f>
        <v>10.722</v>
      </c>
      <c r="CZ41" s="209">
        <f>(IF(CZ$7="X",VLOOKUP(CZ$10,'VK-Hooned-Soojus'!$C:$X,2+$C41,FALSE),0)+IF(CZ$6="X",VLOOKUP(CZ$10,'VK-Transport'!$C:$X,2+$B41,0))+IF(CZ$8="X",VLOOKUP(CZ$10,'VK-Elekter'!$C:$X,2+$D41,0))+IF(CZ$9="X",VLOOKUP(CZ$10,'VK-Biokütused'!$C:$U,2+$E41,0))+IF(CZ$5="X",VLOOKUP(CZ$10,'VK-Põlevkivi'!$C:$X,2+$G41,0))+IF(CZ$4="X",VLOOKUP(CZ$10,'VK-Võrgud'!$C:$X,2+$F41,0)))</f>
        <v>75</v>
      </c>
      <c r="DA41" s="209">
        <f>(IF(DA$7="X",VLOOKUP(DA$10,'VK-Hooned-Soojus'!$C:$X,2+$C41,FALSE),0)+IF(DA$6="X",VLOOKUP(DA$10,'VK-Transport'!$C:$X,2+$B41,0))+IF(DA$8="X",VLOOKUP(DA$10,'VK-Elekter'!$C:$X,2+$D41,0))+IF(DA$9="X",VLOOKUP(DA$10,'VK-Biokütused'!$C:$U,2+$E41,0))+IF(DA$5="X",VLOOKUP(DA$10,'VK-Põlevkivi'!$C:$X,2+$G41,0))+IF(DA$4="X",VLOOKUP(DA$10,'VK-Võrgud'!$C:$X,2+$F41,0)))/1000</f>
        <v>14.282</v>
      </c>
      <c r="DB41" s="209">
        <f>(IF(DB$7="X",VLOOKUP(DB$10,'VK-Hooned-Soojus'!$C:$X,2+$C41,FALSE),0)+IF(DB$6="X",VLOOKUP(DB$10,'VK-Transport'!$C:$X,2+$B41,0))+IF(DB$8="X",VLOOKUP(DB$10,'VK-Elekter'!$C:$X,2+$D41,0))+IF(DB$9="X",VLOOKUP(DB$10,'VK-Biokütused'!$C:$U,2+$E41,0))+IF(DB$5="X",VLOOKUP(DB$10,'VK-Põlevkivi'!$C:$X,2+$G41,0))+IF(DB$4="X",VLOOKUP(DB$10,'VK-Võrgud'!$C:$X,2+$F41,0)))/1000/3.6</f>
        <v>63.828888888888883</v>
      </c>
      <c r="DC41" s="209">
        <f>(IF(DC$7="X",VLOOKUP(DC$10,'VK-Hooned-Soojus'!$C:$X,2+$C41,FALSE),0)+IF(DC$6="X",VLOOKUP(DC$10,'VK-Transport'!$C:$X,2+$B41,0))+IF(DC$8="X",VLOOKUP(DC$10,'VK-Elekter'!$C:$X,2+$D41,0))+IF(DC$9="X",VLOOKUP(DC$10,'VK-Biokütused'!$C:$U,2+$E41,0))+IF(DC$5="X",VLOOKUP(DC$10,'VK-Põlevkivi'!$C:$X,2+$G41,0))+IF(DC$4="X",VLOOKUP(DC$10,'VK-Võrgud'!$C:$X,2+$F41,0)))/1000000</f>
        <v>5.1440950000000001</v>
      </c>
      <c r="DD41" s="209"/>
      <c r="DE41" s="88">
        <f>VLOOKUP(Tulemused!$BN$12,data!M$7:N$12,2,FALSE)-SUM(L41,M41)</f>
        <v>-2.20664444444445</v>
      </c>
      <c r="DF41" s="209" t="str">
        <f>IF(AZ41&lt;=VLOOKUP(Tulemused!$BN$15,data!$E$36:$F$39,2,FALSE),"JAH","EI")</f>
        <v>JAH</v>
      </c>
      <c r="DG41" s="209"/>
      <c r="DH41" s="209">
        <f t="shared" si="2"/>
        <v>6.08</v>
      </c>
      <c r="DI41" s="231" t="str">
        <f t="shared" si="17"/>
        <v>EI</v>
      </c>
      <c r="DK41" s="232">
        <f t="shared" si="3"/>
        <v>-998.74105249558886</v>
      </c>
      <c r="DM41" s="233">
        <f t="shared" si="4"/>
        <v>-992.15424076505701</v>
      </c>
      <c r="DN41" s="87">
        <f t="array" ref="DN41">INDEX($A$11:$A$145, SMALL(IF(DM41=$DK$11:$DK$145, MATCH(ROW($DK$11:$DK$145), ROW($DK$11:$DK$145))), SUM(--(DM41=$DM$11:DM41))))</f>
        <v>105</v>
      </c>
      <c r="DP41" s="87" t="e">
        <f t="shared" ca="1" si="18"/>
        <v>#N/A</v>
      </c>
      <c r="DQ41" s="87" t="e">
        <f t="shared" ca="1" si="19"/>
        <v>#N/A</v>
      </c>
      <c r="DR41" s="87">
        <f t="shared" ca="1" si="20"/>
        <v>0</v>
      </c>
      <c r="DS41" s="87" t="e">
        <f t="shared" ca="1" si="21"/>
        <v>#N/A</v>
      </c>
      <c r="DT41" s="87">
        <f t="shared" ca="1" si="22"/>
        <v>0</v>
      </c>
      <c r="DU41" s="87" t="e">
        <f t="shared" ca="1" si="23"/>
        <v>#N/A</v>
      </c>
      <c r="DV41" s="87" t="e">
        <f t="shared" ca="1" si="24"/>
        <v>#N/A</v>
      </c>
      <c r="DW41" s="87">
        <f t="shared" ca="1" si="25"/>
        <v>0</v>
      </c>
      <c r="DX41" s="87">
        <f t="shared" ca="1" si="26"/>
        <v>0</v>
      </c>
      <c r="DZ41" s="87">
        <f t="shared" ca="1" si="35"/>
        <v>0</v>
      </c>
      <c r="EB41" s="87">
        <f t="shared" ca="1" si="27"/>
        <v>0</v>
      </c>
      <c r="EC41" s="87" t="e">
        <f t="shared" ca="1" si="28"/>
        <v>#N/A</v>
      </c>
      <c r="EE41" s="228">
        <f>(IF(EE$7="X",VLOOKUP(EE$10,'VK-Hooned-Soojus'!$C:$X,2+$C41,FALSE),0)+IF(EE$6="X",VLOOKUP(EE$10,'VK-Transport'!$C:$X,2+$B41,0))+IF(EE$8="X",VLOOKUP(EE$10,'VK-Elekter'!$C:$X,2+$D41,0))+IF(EE$9="X",VLOOKUP(EE$10,'VK-Biokütused'!$C:$U,2+$E41,0))+IF(EE$5="X",VLOOKUP(EE$10,'VK-Põlevkivi'!$C:$X,2+$G41,0))+IF(EE$4="X",VLOOKUP(EE$10,'VK-Võrgud'!$C:$X,2+$F41,0)))</f>
        <v>2966.2647748832655</v>
      </c>
      <c r="EF41" s="235">
        <f>(IF(EF$7="X",VLOOKUP(EF$10,'VK-Hooned-Soojus'!$C:$X,2+$C41,FALSE),0)+IF(EF$6="X",VLOOKUP(EF$10,'VK-Transport'!$C:$X,2+$B41,0))+IF(EF$8="X",VLOOKUP(EF$10,'VK-Elekter'!$C:$X,2+$D41,0))+IF(EF$9="X",VLOOKUP(EF$10,'VK-Biokütused'!$C:$U,2+$E41,0)))/1000</f>
        <v>4.6846368215830605</v>
      </c>
      <c r="EG41" s="209">
        <f>(IF(EG$7="X",VLOOKUP(EG$10,'VK-Hooned-Soojus'!$C:$X,2+$C41,FALSE),0)+IF(EG$6="X",VLOOKUP(EG$10,'VK-Transport'!$C:$X,2+$B41,0))+IF(EG$8="X",VLOOKUP(EG$10,'VK-Elekter'!$C:$X,2+$D41,0))+IF(EG$9="X",VLOOKUP(EG$10,'VK-Biokütused'!$C:$U,2+$E41,0))+IF(EG$5="X",VLOOKUP(EG$10,'VK-Põlevkivi'!$C:$X,2+$G41,0))+IF(EG$4="X",VLOOKUP(EG$10,'VK-Võrgud'!$C:$X,2+$F41,0)))</f>
        <v>0.81</v>
      </c>
      <c r="EH41" s="209">
        <f>(IF(EH$7="X",VLOOKUP(EH$10,'VK-Hooned-Soojus'!$C:$X,2+$C41,FALSE),0)+IF(EH$6="X",VLOOKUP(EH$10,'VK-Transport'!$C:$X,2+$B41,0))+IF(EH$8="X",VLOOKUP(EH$10,'VK-Elekter'!$C:$X,2+$D41,0))+IF(EH$9="X",VLOOKUP(EH$10,'VK-Biokütused'!$C:$U,2+$E41,0)))+AR41+AS41+AU41+AX41</f>
        <v>54.348288113695091</v>
      </c>
      <c r="EI41" s="320">
        <f t="shared" si="6"/>
        <v>48.66456718346253</v>
      </c>
      <c r="EJ41" s="322">
        <f t="shared" si="7"/>
        <v>2.201934621570804E-2</v>
      </c>
      <c r="EK41" s="323">
        <f t="shared" si="29"/>
        <v>0.35947746298057853</v>
      </c>
      <c r="EM41" s="209"/>
      <c r="EN41" s="209">
        <f t="shared" ca="1" si="8"/>
        <v>0</v>
      </c>
      <c r="EO41" s="209"/>
      <c r="EP41" s="234"/>
      <c r="EQ41" s="209">
        <f>(IF(EQ$7="X",VLOOKUP(EQ$10,'VK-Hooned-Soojus'!$C:$X,2+$C41,FALSE),0)+IF(EQ$6="X",VLOOKUP(EQ$10,'VK-Transport'!$C:$X,2+$B41,0))+IF(EQ$8="X",VLOOKUP(EQ$10,'VK-Elekter'!$C:$X,2+$D41,0))+IF(EQ$9="X",VLOOKUP(EQ$10,'VK-Biokütused'!$C:$U,2+$E41,0))+IF(EQ$5="X",VLOOKUP(EQ$10,'VK-Põlevkivi'!$C:$X,2+$G41,0))+IF(EQ$4="X",VLOOKUP(EQ$10,'VK-Võrgud'!$C:$X,2+$F41,0)))/1000</f>
        <v>0.19900000000000001</v>
      </c>
      <c r="ER41" s="209">
        <f>(IF(ER$7="X",VLOOKUP(ER$10,'VK-Hooned-Soojus'!$C:$X,2+$C41,FALSE),0)+IF(ER$6="X",VLOOKUP(ER$10,'VK-Transport'!$C:$X,2+$B41,0))+IF(ER$8="X",VLOOKUP(ER$10,'VK-Elekter'!$C:$X,2+$D41,0))+IF(ER$9="X",VLOOKUP(ER$10,'VK-Biokütused'!$C:$U,2+$E41,0))+IF(ER$5="X",VLOOKUP(ER$10,'VK-Põlevkivi'!$C:$X,2+$G41,0))+IF(ER$4="X",VLOOKUP(ER$10,'VK-Võrgud'!$C:$X,2+$F41,0)))</f>
        <v>0.72299999999999998</v>
      </c>
      <c r="ES41" s="209">
        <f>(IF(ES$7="X",VLOOKUP(ES$10,'VK-Hooned-Soojus'!$C:$X,2+$C41,FALSE),0)+IF(ES$6="X",VLOOKUP(ES$10,'VK-Transport'!$C:$X,2+$B41,0))+IF(ES$8="X",VLOOKUP(ES$10,'VK-Elekter'!$C:$X,2+$D41,0))+IF(ES$9="X",VLOOKUP(ES$10,'VK-Biokütused'!$C:$U,2+$E41,0))+IF(ES$5="X",VLOOKUP(ES$10,'VK-Põlevkivi'!$C:$X,2+$G41,0))+IF(ES$4="X",VLOOKUP(ES$10,'VK-Võrgud'!$C:$X,2+$F41,0)))</f>
        <v>6.08</v>
      </c>
      <c r="ET41" s="209"/>
      <c r="EU41" s="209"/>
      <c r="EV41" s="87">
        <f>'KSH järjestus'!AS34</f>
        <v>1722</v>
      </c>
      <c r="EX41" s="236"/>
      <c r="EY41" s="236"/>
      <c r="EZ41" s="237">
        <f t="shared" si="9"/>
        <v>0.27911646586345373</v>
      </c>
      <c r="FA41" s="209">
        <f>IF(FA$7="X",VLOOKUP(FA$10,'VK-Hooned-Soojus'!$C:$X,2+$C41,FALSE),0)+IF(FA$6="X",VLOOKUP(FA$10,'VK-Transport'!$C:$X,2+$B41,0))+IF(FA$8="X",VLOOKUP(FA$10,'VK-Elekter'!$C:$X,2+$D41,0))+IF(FA$9="X",VLOOKUP(FA$10,'VK-Biokütused'!$C:$U,2+$E41,0))+IF(FA$5="X",VLOOKUP(FA$10,'VK-Põlevkivi'!$C:$X,2+$G41,0))+IF(FA$4="X",VLOOKUP(FA$10,'VK-Võrgud'!$C:$X,2+$F41,0))</f>
        <v>3367.9070000000002</v>
      </c>
      <c r="FB41" s="279">
        <f>(IF(FB$7="X",VLOOKUP(FB$10,'VK-Hooned-Soojus'!$C:$X,2+$C41,FALSE),0)+IF(FB$6="X",VLOOKUP(FB$10,'VK-Transport'!$C:$X,2+$B41,0))+IF(FB$8="X",VLOOKUP(FB$10,'VK-Elekter'!$C:$X,2+$D41,0))+IF(FB$9="X",VLOOKUP(FB$10,'VK-Biokütused'!$C:$U,2+$E41,0))+IF(FB$5="X",VLOOKUP(FB$10,'VK-Põlevkivi'!$C:$X,2+$G41,0))+IF(FB$4="X",VLOOKUP(FB$10,'VK-Võrgud'!$C:$X,2+$F41,0)))/16</f>
        <v>115.3222244139892</v>
      </c>
      <c r="FC41" s="209">
        <f>IF(FC$7="X",VLOOKUP(FC$10,'VK-Hooned-Soojus'!$C:$X,2+$C41,FALSE),0)+IF(FC$6="X",VLOOKUP(FC$10,'VK-Transport'!$C:$X,2+$B41,0))+IF(FC$8="X",VLOOKUP(FC$10,'VK-Elekter'!$C:$X,2+$D41,0))+IF(FC$9="X",VLOOKUP(FC$10,'VK-Biokütused'!$C:$U,2+$E41,0))+IF(FC$5="X",VLOOKUP(FC$10,'VK-Põlevkivi'!$C:$X,2+$G41,0))+IF(FC$4="X",VLOOKUP(FC$10,'VK-Võrgud'!$C:$X,2+$F41,0))</f>
        <v>309.09999999999997</v>
      </c>
      <c r="FD41" s="209">
        <f>(IF(FD$7="X",VLOOKUP(FD$10,'VK-Hooned-Soojus'!$C:$X,2+$C41,FALSE),0)+IF(FD$6="X",VLOOKUP(FD$10,'VK-Transport'!$C:$X,2+$B41,0))+IF(FD$8="X",VLOOKUP(FD$10,'VK-Elekter'!$C:$X,2+$D41,0))+IF(FD$9="X",VLOOKUP(FD$10,'VK-Biokütused'!$C:$U,2+$E41,0))+IF(FD$5="X",VLOOKUP(FD$10,'VK-Põlevkivi'!$C:$X,2+$G41,0))+IF(FD$4="X",VLOOKUP(FD$10,'VK-Võrgud'!$C:$X,2+$F41,0)))/16</f>
        <v>115.3222244139892</v>
      </c>
      <c r="FE41" s="209">
        <f>(IF(FE$7="X",VLOOKUP(FE$10,'VK-Hooned-Soojus'!$C:$X,2+$C41,FALSE),0)+IF(FE$6="X",VLOOKUP(FE$10,'VK-Transport'!$C:$X,2+$B41,0))+IF(FE$8="X",VLOOKUP(FE$10,'VK-Elekter'!$C:$X,2+$D41,0))+IF(FE$9="X",VLOOKUP(FE$10,'VK-Biokütused'!$C:$U,2+$E41,0))+IF(FE$5="X",VLOOKUP(FE$10,'VK-Põlevkivi'!$C:$X,2+$G41,0))+IF(FE$4="X",VLOOKUP(FE$10,'VK-Võrgud'!$C:$X,2+$F41,0)))/16</f>
        <v>-122.42</v>
      </c>
      <c r="FF41" s="209">
        <f>(IF(FF$7="X",VLOOKUP(FF$10,'VK-Hooned-Soojus'!$C:$X,2+$C41,FALSE),0)+IF(FF$6="X",VLOOKUP(FF$10,'VK-Transport'!$C:$X,2+$B41,0))+IF(FF$8="X",VLOOKUP(FF$10,'VK-Elekter'!$C:$X,2+$D41,0))+IF(FF$9="X",VLOOKUP(FF$10,'VK-Biokütused'!$C:$U,2+$E41,0))+IF(FF$5="X",VLOOKUP(FF$10,'VK-Põlevkivi'!$C:$X,2+$G41,0))+IF(FF$4="X",VLOOKUP(FF$10,'VK-Võrgud'!$C:$X,2+$F41,0)))/16</f>
        <v>60.458471998107477</v>
      </c>
      <c r="FG41" s="88">
        <f t="shared" ca="1" si="30"/>
        <v>-61.961528001892525</v>
      </c>
      <c r="FH41" s="88"/>
      <c r="FI41" s="88"/>
      <c r="FJ41" s="88">
        <f>VLOOKUP(Tulemused!$BN$12,data!M$7:N$12,2,FALSE)-SUM(L41,M41)</f>
        <v>-2.20664444444445</v>
      </c>
      <c r="FK41" s="209" t="str">
        <f>IF(AZ41&lt;=VLOOKUP(Tulemused!$BN$15,data!$E$36:$F$39,2,FALSE),"JAH","EI")</f>
        <v>JAH</v>
      </c>
      <c r="FL41" s="235">
        <f ca="1">IF(ISNA(MATCH($A41,INDIRECT(VLOOKUP(Tulemused!$BF$11,data!$J$57:$M$71,4,FALSE)))),0,MATCH($A41,INDIRECT(VLOOKUP(Tulemused!$BF$11,data!$J$57:$M$71,4,FALSE))))</f>
        <v>0</v>
      </c>
      <c r="FM41" s="235" t="str">
        <f t="shared" ca="1" si="10"/>
        <v>JAH</v>
      </c>
      <c r="FN41" s="209">
        <f>VLOOKUP(Tulemused!$BN$13,data!$C$132:$D$137,2,FALSE)-KOMBI!R41</f>
        <v>3.2483331784169405</v>
      </c>
      <c r="FO41" s="209"/>
      <c r="FP41" s="209">
        <f>VLOOKUP(Tulemused!$BN$17,NO_x,2,FALSE)-CJ41</f>
        <v>10.850999999999999</v>
      </c>
      <c r="FQ41" s="209">
        <f>VLOOKUP(Tulemused!$BN$18,SO_2,2,FALSE)-CK41</f>
        <v>40.657456865628689</v>
      </c>
      <c r="FR41" s="209">
        <f>VLOOKUP(Tulemused!$BN$19,LOU,2,FALSE)-CN41</f>
        <v>34.324000000000005</v>
      </c>
      <c r="FS41" s="209">
        <f>VLOOKUP(Tulemused!$BN$20,PM_2.5,2,FALSE)-CM41</f>
        <v>9.3049999999999997</v>
      </c>
      <c r="FT41" s="209">
        <f>VLOOKUP(Tulemused!$BN$13,data!$C$132:$D$137,2,FALSE)-FA41/1000</f>
        <v>2.8780630000000005</v>
      </c>
      <c r="FU41" s="209">
        <f>VLOOKUP(Tulemused!$BN$17,NO_x,2,FALSE)-CO41</f>
        <v>4.3223502267145442</v>
      </c>
      <c r="FV41" s="209">
        <f>VLOOKUP(Tulemused!$BN$18,SO_2,2,FALSE)-CP41</f>
        <v>38.47605141570439</v>
      </c>
      <c r="FW41" s="209">
        <f>VLOOKUP(Tulemused!$BN$19,LOU,2,FALSE)-CS41</f>
        <v>33.163847594878391</v>
      </c>
      <c r="FX41" s="209">
        <f>VLOOKUP(Tulemused!$BN$20,PM_2.5,2,FALSE)-CR41</f>
        <v>9.1942466437251955</v>
      </c>
      <c r="FY41" s="209">
        <f>VLOOKUP(Tulemused!$BN$14,KHG_2050,2,FALSE)-EF41</f>
        <v>95.315363178416945</v>
      </c>
      <c r="FZ41" s="231" t="str">
        <f t="shared" ca="1" si="31"/>
        <v>EI</v>
      </c>
      <c r="GA41" s="209"/>
      <c r="GB41" s="209"/>
      <c r="GC41" s="209"/>
      <c r="GD41" s="231"/>
      <c r="GE41" s="87">
        <f t="shared" si="11"/>
        <v>1722</v>
      </c>
      <c r="GF41" s="232" t="str">
        <f t="shared" ca="1" si="32"/>
        <v/>
      </c>
      <c r="GH41" s="238" t="e">
        <f t="shared" ca="1" si="12"/>
        <v>#NUM!</v>
      </c>
      <c r="GI41" s="87" t="e">
        <f t="array" aca="1" ref="GI41" ca="1">INDEX($A$11:$A$145, SMALL(IF(GH41=$GF$11:$GF$145, MATCH(ROW($GF$11:$GF$145), ROW($GF$11:$GF$145))), SUM(--(GH41=$GH$11:GH41))))</f>
        <v>#NUM!</v>
      </c>
      <c r="GM41" s="209">
        <f>IF(GM$7="X",VLOOKUP(GM$10,'VK-Hooned-Soojus'!$C:$X,2+$C41,FALSE),0)+IF(GM$6="X",VLOOKUP(GM$10,'VK-Transport'!$C:$X,2+$B41,0))+IF(GM$8="X",VLOOKUP(GM$10,'VK-Elekter'!$C:$X,2+$D41,0))+IF(GM$9="X",VLOOKUP(GM$10,'VK-Biokütused'!$C:$U,2+$E41,0))+IF(GM$5="X",VLOOKUP(GM$10,'VK-Põlevkivi'!$C:$X,2+$G41,0))+IF(GM$4="X",VLOOKUP(GM$10,'VK-Võrgud'!$C:$X,2+$F41,0))</f>
        <v>6.012827991027228</v>
      </c>
      <c r="GN41" s="209">
        <f>IF(GN$7="X",VLOOKUP(GN$10,'VK-Hooned-Soojus'!$C:$X,2+$C41,FALSE),0)+IF(GN$6="X",VLOOKUP(GN$10,'VK-Transport'!$C:$X,2+$B41,0))+IF(GN$8="X",VLOOKUP(GN$10,'VK-Elekter'!$C:$X,2+$D41,0))+IF(GN$9="X",VLOOKUP(GN$10,'VK-Biokütused'!$C:$U,2+$E41,0))+IF(GN$5="X",VLOOKUP(GN$10,'VK-Põlevkivi'!$C:$X,2+$G41,0))+IF(GN$4="X",VLOOKUP(GN$10,'VK-Võrgud'!$C:$X,2+$F41,0))</f>
        <v>3.4467619395011728</v>
      </c>
      <c r="GO41" s="209">
        <f>IF(GO$7="X",VLOOKUP(GO$10,'VK-Hooned-Soojus'!$C:$X,2+$C41,FALSE),0)+IF(GO$6="X",VLOOKUP(GO$10,'VK-Transport'!$C:$X,2+$B41,0))+IF(GO$8="X",VLOOKUP(GO$10,'VK-Elekter'!$C:$X,2+$D41,0))+IF(GO$9="X",VLOOKUP(GO$10,'VK-Biokütused'!$C:$U,2+$E41,0))+IF(GO$5="X",VLOOKUP(GO$10,'VK-Põlevkivi'!$C:$X,2+$G41,0))+IF(GO$4="X",VLOOKUP(GO$10,'VK-Võrgud'!$C:$X,2+$F41,0))</f>
        <v>7.5763700102722566</v>
      </c>
      <c r="GP41" s="209">
        <f>IF(GP$7="X",VLOOKUP(GP$10,'VK-Hooned-Soojus'!$C:$X,2+$C41,FALSE),0)+IF(GP$6="X",VLOOKUP(GP$10,'VK-Transport'!$C:$X,2+$B41,0))+IF(GP$8="X",VLOOKUP(GP$10,'VK-Elekter'!$C:$X,2+$D41,0))+IF(GP$9="X",VLOOKUP(GP$10,'VK-Biokütused'!$C:$U,2+$E41,0))+IF(GP$5="X",VLOOKUP(GP$10,'VK-Põlevkivi'!$C:$X,2+$G41,0))+IF(GP$4="X",VLOOKUP(GP$10,'VK-Võrgud'!$C:$X,2+$F41,0))</f>
        <v>8.9326558040707589</v>
      </c>
      <c r="GQ41" s="88">
        <f>IF(GQ$7="X",VLOOKUP(GQ$10,'VK-Hooned-Soojus'!$C:$X,2+$C41,FALSE),0)+IF(GQ$6="X",VLOOKUP(GQ$10,'VK-Transport'!$C:$X,2+$B41,0))+IF(GQ$8="X",VLOOKUP(GQ$10,'VK-Elekter'!$C:$X,2+$D41,0))+IF(GQ$9="X",VLOOKUP(GQ$10,'VK-Biokütused'!$C:$U,2+$E41,0))+IF(GQ$5="X",VLOOKUP(GQ$10,'VK-Põlevkivi'!$C:$X,2+$G41,0))+IF(GQ$4="X",VLOOKUP(GQ$10,'VK-Võrgud'!$C:$X,2+$F41,0))</f>
        <v>0.9682855968523334</v>
      </c>
      <c r="GR41" s="186">
        <f t="shared" si="33"/>
        <v>0.3809336464106115</v>
      </c>
    </row>
    <row r="42" spans="1:200" x14ac:dyDescent="0.2">
      <c r="A42" s="184">
        <v>32</v>
      </c>
      <c r="B42" s="87">
        <v>1</v>
      </c>
      <c r="C42" s="87">
        <v>3</v>
      </c>
      <c r="D42" s="87">
        <v>1</v>
      </c>
      <c r="E42" s="87">
        <v>2</v>
      </c>
      <c r="F42" s="87">
        <f>VLOOKUP(Tulemused!$BF$7,data!$J$6:$K$8,2,FALSE)</f>
        <v>2</v>
      </c>
      <c r="G42" s="87">
        <f>VLOOKUP(data!$H$2,data!$J$12:$K$14,2,FALSE)</f>
        <v>2</v>
      </c>
      <c r="I42" s="209">
        <f>IF(I$7="X",VLOOKUP(I$10,'VK-Hooned-Soojus'!$C:$X,2+$C42,FALSE),0)+IF(I$6="X",VLOOKUP(I$10,'VK-Transport'!$C:$X,2+$B42,0))+IF(I$8="X",VLOOKUP(I$10,'VK-Elekter'!$C:$X,2+$D42,0))+IF(I$9="X",VLOOKUP(I$10,'VK-Biokütused'!$C:$U,2+$E42,0))+IF(I$5="X",VLOOKUP(I$10,'VK-Põlevkivi'!$C:$X,2+$G42,0))+IF(I$4="X",VLOOKUP(I$10,'VK-Võrgud'!$C:$X,2+$F42,0))</f>
        <v>23.490000000000002</v>
      </c>
      <c r="J42" s="209">
        <f>IF(J$7="X",VLOOKUP(J$10,'VK-Hooned-Soojus'!$C:$X,2+$C42,FALSE),0)+IF(J$6="X",VLOOKUP(J$10,'VK-Transport'!$C:$X,2+$B42,0))+IF(J$8="X",VLOOKUP(J$10,'VK-Elekter'!$C:$X,2+$D42,0))+IF(J$9="X",VLOOKUP(J$10,'VK-Biokütused'!$C:$U,2+$E42,0))+IF(J$5="X",VLOOKUP(J$10,'VK-Põlevkivi'!$C:$X,2+$G42,0))+IF(J$4="X",VLOOKUP(J$10,'VK-Võrgud'!$C:$X,2+$F42,0))</f>
        <v>13.295833333333334</v>
      </c>
      <c r="K42" s="209">
        <f>IF(K$7="X",VLOOKUP(K$10,'VK-Hooned-Soojus'!$C:$X,2+$C42,FALSE),0)+IF(K$6="X",VLOOKUP(K$10,'VK-Transport'!$C:$X,2+$B42,0))+IF(K$8="X",VLOOKUP(K$10,'VK-Elekter'!$C:$X,2+$D42,0))+IF(K$9="X",VLOOKUP(K$10,'VK-Biokütused'!$C:$U,2+$E42,0))+IF(K$5="X",VLOOKUP(K$10,'VK-Põlevkivi'!$C:$X,2+$G42,0))+IF(K$4="X",VLOOKUP(K$10,'VK-Võrgud'!$C:$X,2+$F42,0))</f>
        <v>13.780000000000001</v>
      </c>
      <c r="L42" s="209">
        <f>IF(L$7="X",VLOOKUP(L$10,'VK-Hooned-Soojus'!$C:$X,2+$C42,FALSE),0)+IF(L$6="X",VLOOKUP(L$10,'VK-Transport'!$C:$X,2+$B42,0))+IF(L$8="X",VLOOKUP(L$10,'VK-Elekter'!$C:$X,2+$D42,0))+IF(L$9="X",VLOOKUP(L$10,'VK-Biokütused'!$C:$U,2+$E42,0))+IF(L$5="X",VLOOKUP(L$10,'VK-Põlevkivi'!$C:$X,2+$G42,0))+IF(L$4="X",VLOOKUP(L$10,'VK-Võrgud'!$C:$X,2+$F42,0))</f>
        <v>23.75</v>
      </c>
      <c r="M42" s="209">
        <f>IF(M$7="X",VLOOKUP(M$10,'VK-Hooned-Soojus'!$C:$X,2+$C42,FALSE),0)+IF(M$6="X",VLOOKUP(M$10,'VK-Transport'!$C:$X,2+$B42,0))+IF(M$8="X",VLOOKUP(M$10,'VK-Elekter'!$C:$X,2+$D42,0))+IF(M$9="X",VLOOKUP(M$10,'VK-Biokütused'!$C:$U,2+$E42,0))+IF(M$5="X",VLOOKUP(M$10,'VK-Põlevkivi'!$C:$X,2+$G42,0))+IF(M$4="X",VLOOKUP(M$10,'VK-Võrgud'!$C:$X,2+$F42,0))</f>
        <v>11.289444444444445</v>
      </c>
      <c r="N42" s="209">
        <f>IF(N$7="X",VLOOKUP(N$10,'VK-Hooned-Soojus'!$C:$X,2+$C42,FALSE),0)+IF(N$6="X",VLOOKUP(N$10,'VK-Transport'!$C:$X,2+$B42,0))+IF(N$8="X",VLOOKUP(N$10,'VK-Elekter'!$C:$X,2+$D42,0))+IF(N$9="X",VLOOKUP(N$10,'VK-Biokütused'!$C:$U,2+$E42,0))+IF(N$5="X",VLOOKUP(N$10,'VK-Põlevkivi'!$C:$X,2+$G42,0))+IF(N$4="X",VLOOKUP(N$10,'VK-Võrgud'!$C:$X,2+$F42,0))</f>
        <v>15.25</v>
      </c>
      <c r="O42" s="209">
        <f t="shared" si="13"/>
        <v>36.785833333333336</v>
      </c>
      <c r="P42" s="209"/>
      <c r="Q42" s="209">
        <f>(IF(Q$7="X",VLOOKUP(Q$10,'VK-Hooned-Soojus'!$C:$X,2+$C42,FALSE),0)+IF(Q$6="X",VLOOKUP(Q$10,'VK-Transport'!$C:$X,2+$B42,0))+IF(Q$8="X",VLOOKUP(Q$10,'VK-Elekter'!$C:$X,2+$D42,0))+IF(Q$9="X",VLOOKUP(Q$10,'VK-Biokütused'!$C:$U,2+$E42,0))+IF(Q$5="X",VLOOKUP(Q$10,'VK-Põlevkivi'!$C:$X,2+$G42,0))+IF(Q$4="X",VLOOKUP(Q$10,'VK-Võrgud'!$C:$X,2+$F42,0)))/1000</f>
        <v>4.9059999999999997</v>
      </c>
      <c r="R42" s="209">
        <f>(IF(R$7="X",VLOOKUP(R$10,'VK-Hooned-Soojus'!$C:$X,2+$C42,FALSE),0)+IF(R$6="X",VLOOKUP(R$10,'VK-Transport'!$C:$X,2+$B42,0))+IF(R$8="X",VLOOKUP(R$10,'VK-Elekter'!$C:$X,2+$D42,0))+IF(R$9="X",VLOOKUP(R$10,'VK-Biokütused'!$C:$U,2+$E42,0))+IF(R$5="X",VLOOKUP(R$10,'VK-Põlevkivi'!$C:$X,2+$G42,0))+IF(R$4="X",VLOOKUP(R$10,'VK-Võrgud'!$C:$X,2+$F42,0)))/1000</f>
        <v>3.3751368215830602</v>
      </c>
      <c r="S42" s="226">
        <f>VLOOKUP(S$10,'VK-Hooned-Soojus'!$C:$I,2+$C42,FALSE) + VLOOKUP(S$10,'VK-Transport'!$C:$I,2+$B42,FALSE)+ VLOOKUP(S$10,'VK-Biokütused'!$C:$G,2+$E42,FALSE)+ VLOOKUP(S$10,'VK-Elekter'!$C:$I,2+$D42,FALSE)+ VLOOKUP(S$10,'VK-Põlevkivi'!$C:$I,2+$G42,FALSE)+ VLOOKUP(S$10,'VK-Võrgud'!$C:$I,2+$F42,FALSE)</f>
        <v>1.093678127155772E-2</v>
      </c>
      <c r="T42" s="226">
        <f>VLOOKUP(T$10,'VK-Hooned-Soojus'!$C:$I,2+$C42,FALSE) + VLOOKUP(T$10,'VK-Transport'!$C:$I,2+$B42,FALSE)+ VLOOKUP(T$10,'VK-Biokütused'!$C:$G,2+$E42,FALSE)+ VLOOKUP(T$10,'VK-Elekter'!$C:$I,2+$D42,FALSE)+ VLOOKUP(T$10,'VK-Põlevkivi'!$C:$I,2+$G42,FALSE)+ VLOOKUP(T$10,'VK-Võrgud'!$C:$I,2+$F42,FALSE)</f>
        <v>-6.8306155580834995E-3</v>
      </c>
      <c r="U42" s="226">
        <f>VLOOKUP(U$10,'VK-Hooned-Soojus'!$C:$I,2+$C42,FALSE) + VLOOKUP(U$10,'VK-Transport'!$C:$I,2+$B42,FALSE)+ VLOOKUP(U$10,'VK-Biokütused'!$C:$G,2+$E42,FALSE)+ VLOOKUP(U$10,'VK-Elekter'!$C:$I,2+$D42,FALSE)+ VLOOKUP(U$10,'VK-Põlevkivi'!$C:$I,2+$G42,FALSE)+ VLOOKUP(U$10,'VK-Võrgud'!$C:$I,2+$F42,FALSE)</f>
        <v>-6.7862556550876696E-4</v>
      </c>
      <c r="V42" s="226">
        <f>VLOOKUP(V$10,'VK-Hooned-Soojus'!$C:$I,2+$C42,FALSE) + VLOOKUP(V$10,'VK-Transport'!$C:$I,2+$B42,FALSE)+ VLOOKUP(V$10,'VK-Biokütused'!$C:$G,2+$E42,FALSE)+ VLOOKUP(V$10,'VK-Elekter'!$C:$I,2+$D42,FALSE)+ VLOOKUP(V$10,'VK-Põlevkivi'!$C:$I,2+$G42,FALSE)+ VLOOKUP(V$10,'VK-Võrgud'!$C:$I,2+$F42,FALSE)</f>
        <v>1.1685520403265476E-2</v>
      </c>
      <c r="W42" s="226">
        <f>VLOOKUP(W$10,'VK-Hooned-Soojus'!$C:$I,2+$C42,FALSE) + VLOOKUP(W$10,'VK-Transport'!$C:$I,2+$B42,FALSE)+ VLOOKUP(W$10,'VK-Biokütused'!$C:$G,2+$E42,FALSE)+ VLOOKUP(W$10,'VK-Elekter'!$C:$I,2+$D42,FALSE)+ VLOOKUP(W$10,'VK-Põlevkivi'!$C:$I,2+$G42,FALSE)+ VLOOKUP(W$10,'VK-Võrgud'!$C:$I,2+$F42,FALSE)</f>
        <v>-1.7326324160643038E-2</v>
      </c>
      <c r="X42" s="226">
        <f>VLOOKUP(X$10,'VK-Hooned-Soojus'!$C:$I,2+$C42,FALSE) + VLOOKUP(X$10,'VK-Transport'!$C:$I,2+$B42,FALSE)+ VLOOKUP(X$10,'VK-Biokütused'!$C:$G,2+$E42,FALSE)+ VLOOKUP(X$10,'VK-Elekter'!$C:$I,2+$D42,FALSE)+ VLOOKUP(X$10,'VK-Põlevkivi'!$C:$I,2+$G42,FALSE)+ VLOOKUP(X$10,'VK-Võrgud'!$C:$I,2+$F42,FALSE)</f>
        <v>-1.7344629914049548E-2</v>
      </c>
      <c r="Y42" s="226">
        <f>VLOOKUP(Y$10,'VK-Hooned-Soojus'!$C:$I,2+$C42,FALSE) + VLOOKUP(Y$10,'VK-Transport'!$C:$I,2+$B42,FALSE)+ VLOOKUP(Y$10,'VK-Biokütused'!$C:$G,2+$E42,FALSE)+ VLOOKUP(Y$10,'VK-Elekter'!$C:$I,2+$D42,FALSE)+ VLOOKUP(Y$10,'VK-Põlevkivi'!$C:$I,2+$G42,FALSE)+ VLOOKUP(Y$10,'VK-Võrgud'!$C:$I,2+$F42,FALSE)</f>
        <v>-3.2154718920620246E-2</v>
      </c>
      <c r="Z42" s="227">
        <f>(S42*Tulemused!$Q$9*10+T42*Tulemused!$Q$10*10+KOMBI!U42*Tulemused!$Q$11*10+KOMBI!V42*Tulemused!$Q$12*10)*Tulemused!$Q$8+-(W42*Tulemused!$Q$14*10+KOMBI!X42*Tulemused!$Q$15*10+KOMBI!Y42*Tulemused!$Q$16*10)*Tulemused!$Q$13</f>
        <v>2.1748591530569574</v>
      </c>
      <c r="AA42" s="228">
        <f>(IF(AA$7="X",VLOOKUP(AA$10,'VK-Hooned-Soojus'!$C:$X,2+$C42,FALSE),0)+IF(AA$6="X",VLOOKUP(AA$10,'VK-Transport'!$C:$X,2+$B42,0))+IF(AA$8="X",VLOOKUP(AA$10,'VK-Elekter'!$C:$X,2+$D42,0))+IF(AA$9="X",VLOOKUP(AA$10,'VK-Biokütused'!$C:$U,2+$E42,0))+IF(AA$5="X",VLOOKUP(AA$10,'VK-Põlevkivi'!$C:$X,2+$G42,0))+IF(AA$4="X",VLOOKUP(AA$10,'VK-Võrgud'!$C:$X,2+$F42,0)))</f>
        <v>3729</v>
      </c>
      <c r="AB42" s="228">
        <f>(IF(AB$7="X",VLOOKUP(AB$10,'VK-Hooned-Soojus'!$C:$X,2+$C42,FALSE),0)+IF(AB$6="X",VLOOKUP(AB$10,'VK-Transport'!$C:$X,2+$B42,0))+IF(AB$8="X",VLOOKUP(AB$10,'VK-Elekter'!$C:$X,2+$D42,0))+IF(AB$9="X",VLOOKUP(AB$10,'VK-Biokütused'!$C:$U,2+$E42,0))+IF(AB$5="X",VLOOKUP(AB$10,'VK-Põlevkivi'!$C:$X,2+$G42,0))+IF(AB$4="X",VLOOKUP(AB$10,'VK-Võrgud'!$C:$X,2+$F42,0)))</f>
        <v>1177</v>
      </c>
      <c r="AC42" s="228">
        <f>(IF(AC$7="X",VLOOKUP(AC$10,'VK-Hooned-Soojus'!$C:$X,2+$C42,FALSE),0)+IF(AC$6="X",VLOOKUP(AC$10,'VK-Transport'!$C:$X,2+$B42,0))+IF(AC$8="X",VLOOKUP(AC$10,'VK-Elekter'!$C:$X,2+$D42,0))+IF(AC$9="X",VLOOKUP(AC$10,'VK-Biokütused'!$C:$U,2+$E42,0))+IF(AC$5="X",VLOOKUP(AC$10,'VK-Põlevkivi'!$C:$X,2+$G42,0))+IF(AC$4="X",VLOOKUP(AC$10,'VK-Võrgud'!$C:$X,2+$F42,0)))</f>
        <v>2346</v>
      </c>
      <c r="AD42" s="228">
        <f>(IF(AD$7="X",VLOOKUP(AD$10,'VK-Hooned-Soojus'!$C:$X,2+$C42,FALSE),0)+IF(AD$6="X",VLOOKUP(AD$10,'VK-Transport'!$C:$X,2+$B42,0))+IF(AD$8="X",VLOOKUP(AD$10,'VK-Elekter'!$C:$X,2+$D42,0))+IF(AD$9="X",VLOOKUP(AD$10,'VK-Biokütused'!$C:$U,2+$E42,0))+IF(AD$5="X",VLOOKUP(AD$10,'VK-Põlevkivi'!$C:$X,2+$G42,0))+IF(AD$4="X",VLOOKUP(AD$10,'VK-Võrgud'!$C:$X,2+$F42,0)))</f>
        <v>377.5</v>
      </c>
      <c r="AE42" s="228">
        <f>(IF(AE$7="X",VLOOKUP(AE$10,'VK-Hooned-Soojus'!$C:$X,2+$C42,FALSE),0)+IF(AE$6="X",VLOOKUP(AE$10,'VK-Transport'!$C:$X,2+$B42,0))+IF(AE$8="X",VLOOKUP(AE$10,'VK-Elekter'!$C:$X,2+$D42,0))+IF(AE$9="X",VLOOKUP(AE$10,'VK-Biokütused'!$C:$U,2+$E42,0))+IF(AE$5="X",VLOOKUP(AE$10,'VK-Põlevkivi'!$C:$X,2+$G42,0))+IF(AE$4="X",VLOOKUP(AE$10,'VK-Võrgud'!$C:$X,2+$F42,0)))</f>
        <v>507</v>
      </c>
      <c r="AF42" s="228">
        <f>(IF(AF$7="X",VLOOKUP(AF$10,'VK-Hooned-Soojus'!$C:$X,2+$C42,FALSE),0)+IF(AF$6="X",VLOOKUP(AF$10,'VK-Transport'!$C:$X,2+$B42,0))+IF(AF$8="X",VLOOKUP(AF$10,'VK-Elekter'!$C:$X,2+$D42,0))+IF(AF$9="X",VLOOKUP(AF$10,'VK-Biokütused'!$C:$U,2+$E42,0))+IF(AF$5="X",VLOOKUP(AF$10,'VK-Põlevkivi'!$C:$X,2+$G42,0))+IF(AF$4="X",VLOOKUP(AF$10,'VK-Võrgud'!$C:$X,2+$F42,0)))</f>
        <v>2490.6368215830603</v>
      </c>
      <c r="AG42" s="209"/>
      <c r="AH42" s="209">
        <f>IF(AH$7="X",VLOOKUP(AH$10,'VK-Hooned-Soojus'!$C:$X,2+$C42,FALSE),0)+IF(AH$6="X",VLOOKUP(AH$10,'VK-Transport'!$C:$X,2+$B42,0))+IF(AH$8="X",VLOOKUP(AH$10,'VK-Elekter'!$C:$X,2+$D42,0))+IF(AH$9="X",VLOOKUP(AH$10,'VK-Biokütused'!$C:$U,2+$E42,0))+IF(AH$5="X",VLOOKUP(AH$10,'VK-Põlevkivi'!$C:$X,2+$G42,0))+IF(AH$4="X",VLOOKUP(AH$10,'VK-Võrgud'!$C:$X,2+$F42,0))</f>
        <v>11.629999999999999</v>
      </c>
      <c r="AI42" s="209">
        <f>IF(AI$7="X",VLOOKUP(AI$10,'VK-Hooned-Soojus'!$C:$X,2+$C42,FALSE),0)+IF(AI$6="X",VLOOKUP(AI$10,'VK-Transport'!$C:$X,2+$B42,0))+IF(AI$8="X",VLOOKUP(AI$10,'VK-Elekter'!$C:$X,2+$D42,0))+IF(AI$9="X",VLOOKUP(AI$10,'VK-Biokütused'!$C:$U,2+$E42,0))+IF(AI$5="X",VLOOKUP(AI$10,'VK-Põlevkivi'!$C:$X,2+$G42,0))+IF(AI$4="X",VLOOKUP(AI$10,'VK-Võrgud'!$C:$X,2+$F42,0))</f>
        <v>2.3100000000000005</v>
      </c>
      <c r="AJ42" s="209">
        <f>IF(AJ$7="X",VLOOKUP(AJ$10,'VK-Hooned-Soojus'!$C:$X,2+$C42,FALSE),0)+IF(AJ$6="X",VLOOKUP(AJ$10,'VK-Transport'!$C:$X,2+$B42,0))+IF(AJ$8="X",VLOOKUP(AJ$10,'VK-Elekter'!$C:$X,2+$D42,0))+IF(AJ$9="X",VLOOKUP(AJ$10,'VK-Biokütused'!$C:$U,2+$E42,0))+IF(AJ$5="X",VLOOKUP(AJ$10,'VK-Põlevkivi'!$C:$X,2+$G42,0))+IF(AJ$4="X",VLOOKUP(AJ$10,'VK-Võrgud'!$C:$X,2+$F42,0))</f>
        <v>9.24</v>
      </c>
      <c r="AK42" s="209">
        <f>IF(AK$7="X",VLOOKUP(AK$10,'VK-Hooned-Soojus'!$C:$X,2+$C42,FALSE),0)+IF(AK$6="X",VLOOKUP(AK$10,'VK-Transport'!$C:$X,2+$B42,0))+IF(AK$8="X",VLOOKUP(AK$10,'VK-Elekter'!$C:$X,2+$D42,0))+IF(AK$9="X",VLOOKUP(AK$10,'VK-Biokütused'!$C:$U,2+$E42,0))+IF(AK$5="X",VLOOKUP(AK$10,'VK-Põlevkivi'!$C:$X,2+$G42,0))+IF(AK$4="X",VLOOKUP(AK$10,'VK-Võrgud'!$C:$X,2+$F42,0))</f>
        <v>2.78</v>
      </c>
      <c r="AL42" s="209">
        <f>IF(AL$7="X",VLOOKUP(AL$10,'VK-Hooned-Soojus'!$C:$X,2+$C42,FALSE),0)+IF(AL$6="X",VLOOKUP(AL$10,'VK-Transport'!$C:$X,2+$B42,0))+IF(AL$8="X",VLOOKUP(AL$10,'VK-Elekter'!$C:$X,2+$D42,0))+IF(AL$9="X",VLOOKUP(AL$10,'VK-Biokütused'!$C:$U,2+$E42,0))+IF(AL$5="X",VLOOKUP(AL$10,'VK-Põlevkivi'!$C:$X,2+$G42,0))+IF(AL$4="X",VLOOKUP(AL$10,'VK-Võrgud'!$C:$X,2+$F42,0))</f>
        <v>7.1</v>
      </c>
      <c r="AM42" s="209">
        <f>IF(AM$7="X",VLOOKUP(AM$10,'VK-Hooned-Soojus'!$C:$X,2+$C42,FALSE),0)+IF(AM$6="X",VLOOKUP(AM$10,'VK-Transport'!$C:$X,2+$B42,0))+IF(AM$8="X",VLOOKUP(AM$10,'VK-Elekter'!$C:$X,2+$D42,0))+IF(AM$9="X",VLOOKUP(AM$10,'VK-Biokütused'!$C:$U,2+$E42,0))+IF(AM$5="X",VLOOKUP(AM$10,'VK-Põlevkivi'!$C:$X,2+$G42,0))+IF(AM$4="X",VLOOKUP(AM$10,'VK-Võrgud'!$C:$X,2+$F42,0))</f>
        <v>11.5</v>
      </c>
      <c r="AN42" s="209">
        <f>IF(AN$7="X",VLOOKUP(AN$10,'VK-Hooned-Soojus'!$C:$X,2+$C42,FALSE),0)+IF(AN$6="X",VLOOKUP(AN$10,'VK-Transport'!$C:$X,2+$B42,0))+IF(AN$8="X",VLOOKUP(AN$10,'VK-Elekter'!$C:$X,2+$D42,0))+IF(AN$9="X",VLOOKUP(AN$10,'VK-Biokütused'!$C:$U,2+$E42,0))+IF(AN$5="X",VLOOKUP(AN$10,'VK-Põlevkivi'!$C:$X,2+$G42,0))+IF(AN$4="X",VLOOKUP(AN$10,'VK-Võrgud'!$C:$X,2+$F42,0))</f>
        <v>4.0999999999999996</v>
      </c>
      <c r="AO42" s="209">
        <f>IF(AO$7="X",VLOOKUP(AO$10,'VK-Hooned-Soojus'!$C:$X,2+$C42,FALSE),0)+IF(AO$6="X",VLOOKUP(AO$10,'VK-Transport'!$C:$X,2+$B42,0))+IF(AO$8="X",VLOOKUP(AO$10,'VK-Elekter'!$C:$X,2+$D42,0))+IF(AO$9="X",VLOOKUP(AO$10,'VK-Biokütused'!$C:$U,2+$E42,0))+IF(AO$5="X",VLOOKUP(AO$10,'VK-Põlevkivi'!$C:$X,2+$G42,0))+IF(AO$4="X",VLOOKUP(AO$10,'VK-Võrgud'!$C:$X,2+$F42,0))</f>
        <v>12.16</v>
      </c>
      <c r="AP42" s="209">
        <f>IF(AP$7="X",VLOOKUP(AP$10,'VK-Hooned-Soojus'!$C:$X,2+$C42,FALSE),0)+IF(AP$6="X",VLOOKUP(AP$10,'VK-Transport'!$C:$X,2+$B42,0))+IF(AP$8="X",VLOOKUP(AP$10,'VK-Elekter'!$C:$X,2+$D42,0))+IF(AP$9="X",VLOOKUP(AP$10,'VK-Biokütused'!$C:$U,2+$E42,0))+IF(AP$5="X",VLOOKUP(AP$10,'VK-Põlevkivi'!$C:$X,2+$G42,0))+IF(AP$4="X",VLOOKUP(AP$10,'VK-Võrgud'!$C:$X,2+$F42,0))</f>
        <v>6.08</v>
      </c>
      <c r="AQ42" s="320">
        <f t="shared" si="14"/>
        <v>0</v>
      </c>
      <c r="AR42" s="209">
        <f>IF(AR$7="X",VLOOKUP(AR$10,'VK-Hooned-Soojus'!$C:$X,2+$C42,FALSE),0)+IF(AR$6="X",VLOOKUP(AR$10,'VK-Transport'!$C:$X,2+$B42,0))+IF(AR$8="X",VLOOKUP(AR$10,'VK-Elekter'!$C:$X,2+$D42,0))+IF(AR$9="X",VLOOKUP(AR$10,'VK-Biokütused'!$C:$U,2+$E42,0))+IF(AR$5="X",VLOOKUP(AR$10,'VK-Põlevkivi'!$C:$X,2+$G42,0))+IF(AR$4="X",VLOOKUP(AR$10,'VK-Võrgud'!$C:$X,2+$F42,0))</f>
        <v>2.3899999999999997</v>
      </c>
      <c r="AS42" s="320">
        <f>VLOOKUP("Kütuste tarbimine @ 2030 - UTTEGAAS",'VK-Hooned-Soojus'!$C:$X,2+$C42,FALSE)/0.172+VLOOKUP("Kütuste tarbimine @ 2030 - UTTEGAAS",'VK-Elekter'!$C:$X,2+$D42,FALSE)/0.172-AR42-AU42</f>
        <v>2.8565116279069773</v>
      </c>
      <c r="AT42" s="209">
        <f>IF(AT$7="X",VLOOKUP(AT$10,'VK-Hooned-Soojus'!$C:$X,2+$C42,FALSE),0)+IF(AT$6="X",VLOOKUP(AT$10,'VK-Transport'!$C:$X,2+$B42,0))+IF(AT$8="X",VLOOKUP(AT$10,'VK-Elekter'!$C:$X,2+$D42,0))+IF(AT$9="X",VLOOKUP(AT$10,'VK-Biokütused'!$C:$U,2+$E42,0))+IF(AT$5="X",VLOOKUP(AT$10,'VK-Põlevkivi'!$C:$X,2+$G42,0))+IF(AT$4="X",VLOOKUP(AT$10,'VK-Võrgud'!$C:$X,2+$F42,0))</f>
        <v>12.004929222526066</v>
      </c>
      <c r="AU42" s="229">
        <f>MAX(0,(VLOOKUP("Kütuste tarbimine @ 2030 - UTTEGAAS",'VK-Hooned-Soojus'!$C:$X,2+$C42,FALSE)/0.172+VLOOKUP("Kütuste tarbimine @ 2030 - UTTEGAAS",'VK-Elekter'!$C:$X,2+$D42,FALSE)/0.172)*0.52-VLOOKUP("Kütuste tarbimine @ 2030 - PÕLEVKIVIÕLI",'VK-Hooned-Soojus'!$C:$X,2+$C42,FALSE))</f>
        <v>5.6837209302325586</v>
      </c>
      <c r="AV42" s="209">
        <f>IF(AV$7="X",VLOOKUP(AV$10,'VK-Hooned-Soojus'!$C:$X,2+$C42,FALSE),0)+IF(AV$6="X",VLOOKUP(AV$10,'VK-Transport'!$C:$X,2+$B42,0))+IF(AV$8="X",VLOOKUP(AV$10,'VK-Elekter'!$C:$X,2+$D42,0))+IF(AV$9="X",VLOOKUP(AV$10,'VK-Biokütused'!$C:$U,2+$E42,0))+IF(AV$5="X",VLOOKUP(AV$10,'VK-Põlevkivi'!$C:$X,2+$G42,0))+IF(AV$4="X",VLOOKUP(AV$10,'VK-Võrgud'!$C:$X,2+$F42,0))</f>
        <v>1.1831224847375093</v>
      </c>
      <c r="AW42" s="209">
        <f>IF(AW$7="X",VLOOKUP(AW$10,'VK-Hooned-Soojus'!$C:$X,2+$C42,FALSE),0)+IF(AW$6="X",VLOOKUP(AW$10,'VK-Transport'!$C:$X,2+$B42,0))+IF(AW$8="X",VLOOKUP(AW$10,'VK-Elekter'!$C:$X,2+$D42,0))+IF(AW$9="X",VLOOKUP(AW$10,'VK-Biokütused'!$C:$U,2+$E42,0))+IF(AW$5="X",VLOOKUP(AW$10,'VK-Põlevkivi'!$C:$X,2+$G42,0))+IF(AW$4="X",VLOOKUP(AW$10,'VK-Võrgud'!$C:$X,2+$F42,0))</f>
        <v>2.141</v>
      </c>
      <c r="AX42" s="229">
        <f t="shared" si="34"/>
        <v>0.95787751526249076</v>
      </c>
      <c r="AY42" s="229">
        <f t="shared" si="15"/>
        <v>0</v>
      </c>
      <c r="AZ42" s="230">
        <f t="shared" si="0"/>
        <v>0.57793443670210298</v>
      </c>
      <c r="BA42" s="209">
        <f>IF(BA$7="X",VLOOKUP(BA$10,'VK-Hooned-Soojus'!$C:$X,2+$C42,FALSE),0)+IF(BA$6="X",VLOOKUP(BA$10,'VK-Transport'!$C:$X,2+$B42,0))+IF(BA$8="X",VLOOKUP(BA$10,'VK-Elekter'!$C:$X,2+$D42,0))+IF(BA$9="X",VLOOKUP(BA$10,'VK-Biokütused'!$C:$U,2+$E42,0))+IF(BA$5="X",VLOOKUP(BA$10,'VK-Põlevkivi'!$C:$X,2+$G42,0))+IF(BA$4="X",VLOOKUP(BA$10,'VK-Võrgud'!$C:$X,2+$F42,0))</f>
        <v>4.25</v>
      </c>
      <c r="BB42" s="209">
        <f>IF(BB$7="X",VLOOKUP(BB$10,'VK-Hooned-Soojus'!$C:$X,2+$C42,FALSE),0)+IF(BB$6="X",VLOOKUP(BB$10,'VK-Transport'!$C:$X,2+$B42,0))+IF(BB$8="X",VLOOKUP(BB$10,'VK-Elekter'!$C:$X,2+$D42,0))+IF(BB$9="X",VLOOKUP(BB$10,'VK-Biokütused'!$C:$U,2+$E42,0))+IF(BB$5="X",VLOOKUP(BB$10,'VK-Põlevkivi'!$C:$X,2+$G42,0))+IF(BB$4="X",VLOOKUP(BB$10,'VK-Võrgud'!$C:$X,2+$F42,0))</f>
        <v>2.93</v>
      </c>
      <c r="BC42" s="209">
        <f>IF(BC$7="X",VLOOKUP(BC$10,'VK-Hooned-Soojus'!$C:$X,2+$C42,FALSE),0)+IF(BC$6="X",VLOOKUP(BC$10,'VK-Transport'!$C:$X,2+$B42,0))+IF(BC$8="X",VLOOKUP(BC$10,'VK-Elekter'!$C:$X,2+$D42,0))+IF(BC$9="X",VLOOKUP(BC$10,'VK-Biokütused'!$C:$U,2+$E42,0))+IF(BC$5="X",VLOOKUP(BC$10,'VK-Põlevkivi'!$C:$X,2+$G42,0))+IF(BC$4="X",VLOOKUP(BC$10,'VK-Võrgud'!$C:$X,2+$F42,0))</f>
        <v>5.2376666666666667</v>
      </c>
      <c r="BD42" s="209">
        <f>IF(BD$7="X",VLOOKUP(BD$10,'VK-Hooned-Soojus'!$C:$X,2+$C42,FALSE),0)+IF(BD$6="X",VLOOKUP(BD$10,'VK-Transport'!$C:$X,2+$B42,0))+IF(BD$8="X",VLOOKUP(BD$10,'VK-Elekter'!$C:$X,2+$D42,0))+IF(BD$9="X",VLOOKUP(BD$10,'VK-Biokütused'!$C:$U,2+$E42,0))+IF(BD$5="X",VLOOKUP(BD$10,'VK-Põlevkivi'!$C:$X,2+$G42,0))+IF(BD$4="X",VLOOKUP(BD$10,'VK-Võrgud'!$C:$X,2+$F42,0))</f>
        <v>9.1105555555555569</v>
      </c>
      <c r="BE42" s="230"/>
      <c r="BF42" s="229">
        <f t="shared" si="16"/>
        <v>0.30809115034793855</v>
      </c>
      <c r="BG42" s="209" t="e">
        <f>(IF(BG$7="X",VLOOKUP(BG$10,'VK-Hooned-Soojus'!$C:$X,2+$C42,FALSE),0)+IF(BG$6="X",VLOOKUP(BG$10,'VK-Transport'!$C:$X,2+$B42,0))+IF(BG$8="X",VLOOKUP(BG$10,'VK-Elekter'!$C:$X,2+$D42,0))+IF(BG$9="X",VLOOKUP(BG$10,'VK-Biokütused'!$C:$U,2+$E42,0))+IF(BG$5="X",VLOOKUP(BG$10,'VK-Põlevkivi'!$C:$X,2+$G42,0))+IF(BG$4="X",VLOOKUP(BG$10,'VK-Võrgud'!$C:$X,2+$F42,0)))/20</f>
        <v>#N/A</v>
      </c>
      <c r="BH42" s="209">
        <f>(IF(BH$7="X",VLOOKUP(BH$10,'VK-Hooned-Soojus'!$C:$X,2+$C42,FALSE),0)+IF(BH$6="X",VLOOKUP(BH$10,'VK-Transport'!$C:$X,2+$B42,0))+IF(BH$8="X",VLOOKUP(BH$10,'VK-Elekter'!$C:$X,2+$D42,0))+IF(BH$9="X",VLOOKUP(BH$10,'VK-Biokütused'!$C:$U,2+$E42,0))+IF(BH$5="X",VLOOKUP(BH$10,'VK-Põlevkivi'!$C:$X,2+$G42,0))+IF(BH$4="X",VLOOKUP(BH$10,'VK-Võrgud'!$C:$X,2+$F42,0)))/20</f>
        <v>84.204999999999998</v>
      </c>
      <c r="BI42" s="209">
        <f>(IF(BI$7="X",VLOOKUP(BI$10,'VK-Hooned-Soojus'!$C:$X,2+$C42,FALSE),0)+IF(BI$6="X",VLOOKUP(BI$10,'VK-Transport'!$C:$X,2+$B42,0))+IF(BI$8="X",VLOOKUP(BI$10,'VK-Elekter'!$C:$X,2+$D42,0))+IF(BI$9="X",VLOOKUP(BI$10,'VK-Biokütused'!$C:$U,2+$E42,0))+IF(BI$5="X",VLOOKUP(BI$10,'VK-Põlevkivi'!$C:$X,2+$G42,0))+IF(BI$4="X",VLOOKUP(BI$10,'VK-Võrgud'!$C:$X,2+$F42,0)))/16</f>
        <v>8.9375</v>
      </c>
      <c r="BJ42" s="209">
        <f>(IF(BJ$7="X",VLOOKUP(BJ$10,'VK-Hooned-Soojus'!$C:$X,2+$C42,FALSE),0)+IF(BJ$6="X",VLOOKUP(BJ$10,'VK-Transport'!$C:$X,2+$B42,0))+IF(BJ$8="X",VLOOKUP(BJ$10,'VK-Elekter'!$C:$X,2+$D42,0))+IF(BJ$9="X",VLOOKUP(BJ$10,'VK-Biokütused'!$C:$U,2+$E42,0))+IF(BJ$5="X",VLOOKUP(BJ$10,'VK-Põlevkivi'!$C:$X,2+$G42,0))+IF(BJ$4="X",VLOOKUP(BJ$10,'VK-Võrgud'!$C:$X,2+$F42,0)))/20</f>
        <v>5.33</v>
      </c>
      <c r="BK42" s="209"/>
      <c r="BL42" s="209"/>
      <c r="BM42" s="209"/>
      <c r="BN42" s="209" t="e">
        <f>(IF(BN$7="X",VLOOKUP(BN$10,'VK-Hooned-Soojus'!$C:$X,2+$C42,FALSE),0)+IF(BN$6="X",VLOOKUP(BN$10,'VK-Transport'!$C:$X,2+$B42,0))+IF(BN$8="X",VLOOKUP(BN$10,'VK-Elekter'!$C:$X,2+$D42,0))+IF(BN$9="X",VLOOKUP(BN$10,'VK-Biokütused'!$C:$U,2+$E42,0))+IF(BN$5="X",VLOOKUP(BN$10,'VK-Põlevkivi'!$C:$X,2+$G42,0))+IF(BN$4="X",VLOOKUP(BN$10,'VK-Võrgud'!$C:$X,2+$F42,0)))/16</f>
        <v>#N/A</v>
      </c>
      <c r="BO42" s="209">
        <f>(IF(BO$7="X",VLOOKUP(BO$10,'VK-Hooned-Soojus'!$C:$X,2+$C42,FALSE),0)+IF(BO$6="X",VLOOKUP(BO$10,'VK-Transport'!$C:$X,2+$B42,0))+IF(BO$8="X",VLOOKUP(BO$10,'VK-Elekter'!$C:$X,2+$D42,0))+IF(BO$9="X",VLOOKUP(BO$10,'VK-Biokütused'!$C:$U,2+$E42,0))+IF(BO$5="X",VLOOKUP(BO$10,'VK-Põlevkivi'!$C:$X,2+$G42,0))+IF(BO$4="X",VLOOKUP(BO$10,'VK-Võrgud'!$C:$X,2+$F42,0)))/16</f>
        <v>496.33125000000001</v>
      </c>
      <c r="BP42" s="209"/>
      <c r="BQ42" s="209">
        <f>(IF(BQ$7="X",VLOOKUP(BQ$10,'VK-Hooned-Soojus'!$C:$X,2+$C42,FALSE),0)+IF(BQ$6="X",VLOOKUP(BQ$10,'VK-Transport'!$C:$X,2+$B42,0))+IF(BQ$8="X",VLOOKUP(BQ$10,'VK-Elekter'!$C:$X,2+$D42,0))+IF(BQ$9="X",VLOOKUP(BQ$10,'VK-Biokütused'!$C:$U,2+$E42,0))+IF(BQ$5="X",VLOOKUP(BQ$10,'VK-Põlevkivi'!$C:$X,2+$G42,0))+IF(BQ$4="X",VLOOKUP(BQ$10,'VK-Võrgud'!$C:$X,2+$F42,0)))/16</f>
        <v>4.7249999999999996</v>
      </c>
      <c r="BR42" s="209">
        <f>(IF(BR$7="X",VLOOKUP(BR$10,'VK-Hooned-Soojus'!$C:$X,2+$C42,FALSE),0)+IF(BR$6="X",VLOOKUP(BR$10,'VK-Transport'!$C:$X,2+$B42,0))+IF(BR$8="X",VLOOKUP(BR$10,'VK-Elekter'!$C:$X,2+$D42,0))+IF(BR$9="X",VLOOKUP(BR$10,'VK-Biokütused'!$C:$U,2+$E42,0))+IF(BR$5="X",VLOOKUP(BR$10,'VK-Põlevkivi'!$C:$X,2+$G42,0))+IF(BR$4="X",VLOOKUP(BR$10,'VK-Võrgud'!$C:$X,2+$F42,0)))/16</f>
        <v>-74.512500000000003</v>
      </c>
      <c r="BS42" s="209">
        <f>(IF(BS$7="X",VLOOKUP(BS$10,'VK-Hooned-Soojus'!$C:$X,2+$C42,FALSE),0)+IF(BS$6="X",VLOOKUP(BS$10,'VK-Transport'!$C:$X,2+$B42,0))+IF(BS$8="X",VLOOKUP(BS$10,'VK-Elekter'!$C:$X,2+$D42,0))+IF(BS$9="X",VLOOKUP(BS$10,'VK-Biokütused'!$C:$U,2+$E42,0))+IF(BS$5="X",VLOOKUP(BS$10,'VK-Põlevkivi'!$C:$X,2+$G42,0))+IF(BS$4="X",VLOOKUP(BS$10,'VK-Võrgud'!$C:$X,2+$F42,0)))/16</f>
        <v>-100.68125000000001</v>
      </c>
      <c r="BT42" s="209"/>
      <c r="BU42" s="209"/>
      <c r="BV42" s="209">
        <f>(IF(BV$7="X",VLOOKUP(BV$10,'VK-Hooned-Soojus'!$C:$X,2+$C42,FALSE),0)+IF(BV$6="X",VLOOKUP(BV$10,'VK-Transport'!$C:$X,2+$B42,0))+IF(BV$8="X",VLOOKUP(BV$10,'VK-Elekter'!$C:$X,2+$D42,0))+IF(BV$9="X",VLOOKUP(BV$10,'VK-Biokütused'!$C:$U,2+$E42,0))+IF(BV$5="X",VLOOKUP(BV$10,'VK-Põlevkivi'!$C:$X,2+$G42,0))+IF(BV$4="X",VLOOKUP(BV$10,'VK-Võrgud'!$C:$X,2+$F42,0)))/16</f>
        <v>0</v>
      </c>
      <c r="BW42" s="209"/>
      <c r="BX42" s="209">
        <f>(IF(BX$7="X",VLOOKUP(BX$10,'VK-Hooned-Soojus'!$C:$X,2+$C42,FALSE),0)+IF(BX$6="X",VLOOKUP(BX$10,'VK-Transport'!$C:$X,2+$B42,0))+IF(BX$8="X",VLOOKUP(BX$10,'VK-Elekter'!$C:$X,2+$D42,0))+IF(BX$9="X",VLOOKUP(BX$10,'VK-Biokütused'!$C:$U,2+$E42,0))+IF(BX$5="X",VLOOKUP(BX$10,'VK-Põlevkivi'!$C:$X,2+$G42,0))+IF(BX$4="X",VLOOKUP(BX$10,'VK-Võrgud'!$C:$X,2+$F42,0)))/16</f>
        <v>-99.6875</v>
      </c>
      <c r="BY42" s="209"/>
      <c r="BZ42" s="209"/>
      <c r="CA42" s="209" t="e">
        <f>(IF(CA$7="X",VLOOKUP(CA$10,'VK-Hooned-Soojus'!$C:$X,2+$C42,FALSE),0)+IF(CA$6="X",VLOOKUP(CA$10,'VK-Transport'!$C:$X,2+$B42,0))+IF(CA$8="X",VLOOKUP(CA$10,'VK-Elekter'!$C:$X,2+$D42,0))+IF(CA$9="X",VLOOKUP(CA$10,'VK-Biokütused'!$C:$U,2+$E42,0))+IF(CA$5="X",VLOOKUP(CA$10,'VK-Põlevkivi'!$C:$X,2+$G42,0))+IF(CA$4="X",VLOOKUP(CA$10,'VK-Võrgud'!$C:$X,2+$F42,0)))/16</f>
        <v>#N/A</v>
      </c>
      <c r="CB42" s="209">
        <f>(IF(CB$7="X",VLOOKUP(CB$10,'VK-Hooned-Soojus'!$C:$X,2+$C42,FALSE),0)+IF(CB$6="X",VLOOKUP(CB$10,'VK-Transport'!$C:$X,2+$B42,0))+IF(CB$8="X",VLOOKUP(CB$10,'VK-Elekter'!$C:$X,2+$D42,0))+IF(CB$9="X",VLOOKUP(CB$10,'VK-Biokütused'!$C:$U,2+$E42,0))+IF(CB$5="X",VLOOKUP(CB$10,'VK-Põlevkivi'!$C:$X,2+$G42,0))+IF(CB$4="X",VLOOKUP(CB$10,'VK-Võrgud'!$C:$X,2+$F42,0)))/16</f>
        <v>0</v>
      </c>
      <c r="CC42" s="209">
        <f>(IF(CC$7="X",VLOOKUP(CC$10,'VK-Hooned-Soojus'!$C:$X,2+$C42,FALSE),0)+IF(CC$6="X",VLOOKUP(CC$10,'VK-Transport'!$C:$X,2+$B42,0))+IF(CC$8="X",VLOOKUP(CC$10,'VK-Elekter'!$C:$X,2+$D42,0))+IF(CC$9="X",VLOOKUP(CC$10,'VK-Biokütused'!$C:$U,2+$E42,0))+IF(CC$5="X",VLOOKUP(CC$10,'VK-Põlevkivi'!$C:$X,2+$G42,0))+IF(CC$4="X",VLOOKUP(CC$10,'VK-Võrgud'!$C:$X,2+$F42,0)))/16</f>
        <v>0</v>
      </c>
      <c r="CD42" s="209"/>
      <c r="CE42" s="209">
        <f>(IF(CE$7="X",VLOOKUP(CE$10,'VK-Hooned-Soojus'!$C:$X,2+$C42,FALSE),0)+IF(CE$6="X",VLOOKUP(CE$10,'VK-Transport'!$C:$X,2+$B42,0))+IF(CE$8="X",VLOOKUP(CE$10,'VK-Elekter'!$C:$X,2+$D42,0))+IF(CE$9="X",VLOOKUP(CE$10,'VK-Biokütused'!$C:$U,2+$E42,0))+IF(CE$5="X",VLOOKUP(CE$10,'VK-Põlevkivi'!$C:$X,2+$G42,0))+IF(CE$4="X",VLOOKUP(CE$10,'VK-Võrgud'!$C:$X,2+$F42,0)))/16</f>
        <v>24.15625</v>
      </c>
      <c r="CF42" s="209"/>
      <c r="CG42" s="209">
        <f>(IF(CG$7="X",VLOOKUP(CG$10,'VK-Hooned-Soojus'!$C:$X,2+$C42,FALSE),0)+IF(CG$6="X",VLOOKUP(CG$10,'VK-Transport'!$C:$X,2+$B42,0))+IF(CG$8="X",VLOOKUP(CG$10,'VK-Elekter'!$C:$X,2+$D42,0))+IF(CG$9="X",VLOOKUP(CG$10,'VK-Biokütused'!$C:$U,2+$E42,0))+IF(CG$5="X",VLOOKUP(CG$10,'VK-Põlevkivi'!$C:$X,2+$G42,0))+IF(CG$4="X",VLOOKUP(CG$10,'VK-Võrgud'!$C:$X,2+$F42,0)))/16</f>
        <v>0</v>
      </c>
      <c r="CH42" s="209">
        <f>(IF(CH$7="X",VLOOKUP(CH$10,'VK-Hooned-Soojus'!$C:$X,2+$C42,FALSE),0)+IF(CH$6="X",VLOOKUP(CH$10,'VK-Transport'!$C:$X,2+$B42,0))+IF(CH$8="X",VLOOKUP(CH$10,'VK-Elekter'!$C:$X,2+$D42,0))+IF(CH$9="X",VLOOKUP(CH$10,'VK-Biokütused'!$C:$U,2+$E42,0))+IF(CH$5="X",VLOOKUP(CH$10,'VK-Põlevkivi'!$C:$X,2+$G42,0))+IF(CH$4="X",VLOOKUP(CH$10,'VK-Võrgud'!$C:$X,2+$F42,0)))/20*0.21</f>
        <v>26.9178</v>
      </c>
      <c r="CI42" s="209"/>
      <c r="CJ42" s="209">
        <f>(IF(CJ$7="X",VLOOKUP(CJ$10,'VK-Hooned-Soojus'!$C:$X,2+$C42,FALSE),0)+IF(CJ$6="X",VLOOKUP(CJ$10,'VK-Transport'!$C:$X,2+$B42,0))+IF(CJ$8="X",VLOOKUP(CJ$10,'VK-Elekter'!$C:$X,2+$D42,0))+IF(CJ$9="X",VLOOKUP(CJ$10,'VK-Biokütused'!$C:$U,2+$E42,0))+IF(CJ$5="X",VLOOKUP(CJ$10,'VK-Põlevkivi'!$C:$X,2+$G42,0))+IF(CJ$4="X",VLOOKUP(CJ$10,'VK-Võrgud'!$C:$X,2+$F42,0)))/1000</f>
        <v>18.587</v>
      </c>
      <c r="CK42" s="209">
        <f>(IF(CK$7="X",VLOOKUP(CK$10,'VK-Hooned-Soojus'!$C:$X,2+$C42,FALSE),0)+IF(CK$6="X",VLOOKUP(CK$10,'VK-Transport'!$C:$X,2+$B42,0))+IF(CK$8="X",VLOOKUP(CK$10,'VK-Elekter'!$C:$X,2+$D42,0))+IF(CK$9="X",VLOOKUP(CK$10,'VK-Biokütused'!$C:$U,2+$E42,0))+IF(CK$5="X",VLOOKUP(CK$10,'VK-Põlevkivi'!$C:$X,2+$G42,0))+IF(CK$4="X",VLOOKUP(CK$10,'VK-Võrgud'!$C:$X,2+$F42,0)))/1000</f>
        <v>11.22654313437131</v>
      </c>
      <c r="CL42" s="235">
        <f>(IF(CL$7="X",VLOOKUP(CL$10,'VK-Hooned-Soojus'!$C:$X,2+$C42,FALSE),0)+IF(CL$6="X",VLOOKUP(CL$10,'VK-Transport'!$C:$X,2+$B42,0))+IF(CL$8="X",VLOOKUP(CL$10,'VK-Elekter'!$C:$X,2+$D42,0))+IF(CL$9="X",VLOOKUP(CL$10,'VK-Biokütused'!$C:$U,2+$E42,0)))/1000</f>
        <v>8.8042332703934587</v>
      </c>
      <c r="CM42" s="209">
        <f>(IF(CM$7="X",VLOOKUP(CM$10,'VK-Hooned-Soojus'!$C:$X,2+$C42,FALSE),0)+IF(CM$6="X",VLOOKUP(CM$10,'VK-Transport'!$C:$X,2+$B42,0))+IF(CM$8="X",VLOOKUP(CM$10,'VK-Elekter'!$C:$X,2+$D42,0))+IF(CM$9="X",VLOOKUP(CM$10,'VK-Biokütused'!$C:$U,2+$E42,0))+IF(CM$5="X",VLOOKUP(CM$10,'VK-Põlevkivi'!$C:$X,2+$G42,0))+IF(CM$4="X",VLOOKUP(CM$10,'VK-Võrgud'!$C:$X,2+$F42,0)))/1000</f>
        <v>7.61</v>
      </c>
      <c r="CN42" s="209">
        <f>(IF(CN$7="X",VLOOKUP(CN$10,'VK-Hooned-Soojus'!$C:$X,2+$C42,FALSE),0)+IF(CN$6="X",VLOOKUP(CN$10,'VK-Transport'!$C:$X,2+$B42,0))+IF(CN$8="X",VLOOKUP(CN$10,'VK-Elekter'!$C:$X,2+$D42,0))+IF(CN$9="X",VLOOKUP(CN$10,'VK-Biokütused'!$C:$U,2+$E42,0))+IF(CN$5="X",VLOOKUP(CN$10,'VK-Põlevkivi'!$C:$X,2+$G42,0))+IF(CN$4="X",VLOOKUP(CN$10,'VK-Võrgud'!$C:$X,2+$F42,0)))/1000</f>
        <v>2.7559999999999998</v>
      </c>
      <c r="CO42" s="209">
        <f>(IF(CO$7="X",VLOOKUP(CO$10,'VK-Hooned-Soojus'!$C:$X,2+$C42,FALSE),0)+IF(CO$6="X",VLOOKUP(CO$10,'VK-Transport'!$C:$X,2+$B42,0))+IF(CO$8="X",VLOOKUP(CO$10,'VK-Elekter'!$C:$X,2+$D42,0))+IF(CO$9="X",VLOOKUP(CO$10,'VK-Biokütused'!$C:$U,2+$E42,0))+IF(CO$5="X",VLOOKUP(CO$10,'VK-Põlevkivi'!$C:$X,2+$G42,0))+IF(CO$4="X",VLOOKUP(CO$10,'VK-Võrgud'!$C:$X,2+$F42,0)))/1000</f>
        <v>25.115649773285455</v>
      </c>
      <c r="CP42" s="209">
        <f>(IF(CP$7="X",VLOOKUP(CP$10,'VK-Hooned-Soojus'!$C:$X,2+$C42,FALSE),0)+IF(CP$6="X",VLOOKUP(CP$10,'VK-Transport'!$C:$X,2+$B42,0))+IF(CP$8="X",VLOOKUP(CP$10,'VK-Elekter'!$C:$X,2+$D42,0))+IF(CP$9="X",VLOOKUP(CP$10,'VK-Biokütused'!$C:$U,2+$E42,0))+IF(CP$5="X",VLOOKUP(CP$10,'VK-Põlevkivi'!$C:$X,2+$G42,0))+IF(CP$4="X",VLOOKUP(CP$10,'VK-Võrgud'!$C:$X,2+$F42,0)))/1000</f>
        <v>13.407948584295612</v>
      </c>
      <c r="CQ42" s="235">
        <f>(IF(CQ$7="X",VLOOKUP(CQ$10,'VK-Hooned-Soojus'!$C:$X,2+$C42,FALSE),0)+IF(CQ$6="X",VLOOKUP(CQ$10,'VK-Transport'!$C:$X,2+$B42,0))+IF(CQ$8="X",VLOOKUP(CQ$10,'VK-Elekter'!$C:$X,2+$D42,0))+IF(CQ$9="X",VLOOKUP(CQ$10,'VK-Biokütused'!$C:$U,2+$E42,0)))/1000</f>
        <v>10.885907</v>
      </c>
      <c r="CR42" s="209">
        <f>(IF(CR$7="X",VLOOKUP(CR$10,'VK-Hooned-Soojus'!$C:$X,2+$C42,FALSE),0)+IF(CR$6="X",VLOOKUP(CR$10,'VK-Transport'!$C:$X,2+$B42,0))+IF(CR$8="X",VLOOKUP(CR$10,'VK-Elekter'!$C:$X,2+$D42,0))+IF(CR$9="X",VLOOKUP(CR$10,'VK-Biokütused'!$C:$U,2+$E42,0))+IF(CR$5="X",VLOOKUP(CR$10,'VK-Põlevkivi'!$C:$X,2+$G42,0))+IF(CR$4="X",VLOOKUP(CR$10,'VK-Võrgud'!$C:$X,2+$F42,0)))/1000</f>
        <v>7.7207533562748036</v>
      </c>
      <c r="CS42" s="209">
        <f>(IF(CS$7="X",VLOOKUP(CS$10,'VK-Hooned-Soojus'!$C:$X,2+$C42,FALSE),0)+IF(CS$6="X",VLOOKUP(CS$10,'VK-Transport'!$C:$X,2+$B42,0))+IF(CS$8="X",VLOOKUP(CS$10,'VK-Elekter'!$C:$X,2+$D42,0))+IF(CS$9="X",VLOOKUP(CS$10,'VK-Biokütused'!$C:$U,2+$E42,0))+IF(CS$5="X",VLOOKUP(CS$10,'VK-Põlevkivi'!$C:$X,2+$G42,0))+IF(CS$4="X",VLOOKUP(CS$10,'VK-Võrgud'!$C:$X,2+$F42,0)))/1000</f>
        <v>3.9161524051216152</v>
      </c>
      <c r="CT42" s="209">
        <f>IF(CT$7="X",VLOOKUP(CT$10,'VK-Hooned-Soojus'!$C:$X,2+$C42,FALSE),0)+IF(CT$6="X",VLOOKUP(CT$10,'VK-Transport'!$C:$X,2+$B42,0))+IF(CT$8="X",VLOOKUP(CT$10,'VK-Elekter'!$C:$X,2+$D42,0))+IF(CT$9="X",VLOOKUP(CT$10,'VK-Biokütused'!$C:$U,2+$E42,0))+IF(CT$5="X",VLOOKUP(CT$10,'VK-Põlevkivi'!$C:$X,2+$G42,0))+IF(CT$4="X",VLOOKUP(CT$10,'VK-Võrgud'!$C:$X,2+$F42,0))</f>
        <v>90</v>
      </c>
      <c r="CU42" s="209">
        <f>IF(CU$7="X",VLOOKUP(CU$10,'VK-Hooned-Soojus'!$C:$X,2+$C42,FALSE),0)+IF(CU$6="X",VLOOKUP(CU$10,'VK-Transport'!$C:$X,2+$B42,0))+IF(CU$8="X",VLOOKUP(CU$10,'VK-Elekter'!$C:$X,2+$D42,0))+IF(CU$9="X",VLOOKUP(CU$10,'VK-Biokütused'!$C:$U,2+$E42,0))+IF(CU$5="X",VLOOKUP(CU$10,'VK-Põlevkivi'!$C:$X,2+$G42,0))+IF(CU$4="X",VLOOKUP(CU$10,'VK-Võrgud'!$C:$X,2+$F42,0))</f>
        <v>0.72088353413654627</v>
      </c>
      <c r="CV42" s="209">
        <f t="shared" si="1"/>
        <v>0.91028830406496797</v>
      </c>
      <c r="CW42" s="209">
        <f>(IF(CW$7="X",VLOOKUP(CW$10,'VK-Hooned-Soojus'!$C:$X,2+$C42,FALSE),0)+IF(CW$6="X",VLOOKUP(CW$10,'VK-Transport'!$C:$X,2+$B42,0))+IF(CW$8="X",VLOOKUP(CW$10,'VK-Elekter'!$C:$X,2+$D42,0))+IF(CW$9="X",VLOOKUP(CW$10,'VK-Biokütused'!$C:$U,2+$E42,0))+IF(CW$5="X",VLOOKUP(CW$10,'VK-Põlevkivi'!$C:$X,2+$G42,0))+IF(CW$4="X",VLOOKUP(CW$10,'VK-Võrgud'!$C:$X,2+$F42,0)))/16</f>
        <v>59.743749999999999</v>
      </c>
      <c r="CY42" s="209">
        <f>(IF(CY$7="X",VLOOKUP(CY$10,'VK-Hooned-Soojus'!$C:$X,2+$C42,FALSE),0)+IF(CY$6="X",VLOOKUP(CY$10,'VK-Transport'!$C:$X,2+$B42,0))+IF(CY$8="X",VLOOKUP(CY$10,'VK-Elekter'!$C:$X,2+$D42,0))+IF(CY$9="X",VLOOKUP(CY$10,'VK-Biokütused'!$C:$U,2+$E42,0))+IF(CY$5="X",VLOOKUP(CY$10,'VK-Põlevkivi'!$C:$X,2+$G42,0))+IF(CY$4="X",VLOOKUP(CY$10,'VK-Võrgud'!$C:$X,2+$F42,0)))/1000</f>
        <v>10.813000000000001</v>
      </c>
      <c r="CZ42" s="209">
        <f>(IF(CZ$7="X",VLOOKUP(CZ$10,'VK-Hooned-Soojus'!$C:$X,2+$C42,FALSE),0)+IF(CZ$6="X",VLOOKUP(CZ$10,'VK-Transport'!$C:$X,2+$B42,0))+IF(CZ$8="X",VLOOKUP(CZ$10,'VK-Elekter'!$C:$X,2+$D42,0))+IF(CZ$9="X",VLOOKUP(CZ$10,'VK-Biokütused'!$C:$U,2+$E42,0))+IF(CZ$5="X",VLOOKUP(CZ$10,'VK-Põlevkivi'!$C:$X,2+$G42,0))+IF(CZ$4="X",VLOOKUP(CZ$10,'VK-Võrgud'!$C:$X,2+$F42,0)))</f>
        <v>75.400000000000006</v>
      </c>
      <c r="DA42" s="209">
        <f>(IF(DA$7="X",VLOOKUP(DA$10,'VK-Hooned-Soojus'!$C:$X,2+$C42,FALSE),0)+IF(DA$6="X",VLOOKUP(DA$10,'VK-Transport'!$C:$X,2+$B42,0))+IF(DA$8="X",VLOOKUP(DA$10,'VK-Elekter'!$C:$X,2+$D42,0))+IF(DA$9="X",VLOOKUP(DA$10,'VK-Biokütused'!$C:$U,2+$E42,0))+IF(DA$5="X",VLOOKUP(DA$10,'VK-Põlevkivi'!$C:$X,2+$G42,0))+IF(DA$4="X",VLOOKUP(DA$10,'VK-Võrgud'!$C:$X,2+$F42,0)))/1000</f>
        <v>14.371</v>
      </c>
      <c r="DB42" s="209">
        <f>(IF(DB$7="X",VLOOKUP(DB$10,'VK-Hooned-Soojus'!$C:$X,2+$C42,FALSE),0)+IF(DB$6="X",VLOOKUP(DB$10,'VK-Transport'!$C:$X,2+$B42,0))+IF(DB$8="X",VLOOKUP(DB$10,'VK-Elekter'!$C:$X,2+$D42,0))+IF(DB$9="X",VLOOKUP(DB$10,'VK-Biokütused'!$C:$U,2+$E42,0))+IF(DB$5="X",VLOOKUP(DB$10,'VK-Põlevkivi'!$C:$X,2+$G42,0))+IF(DB$4="X",VLOOKUP(DB$10,'VK-Võrgud'!$C:$X,2+$F42,0)))/1000/3.6</f>
        <v>64.169166666666655</v>
      </c>
      <c r="DC42" s="209">
        <f>(IF(DC$7="X",VLOOKUP(DC$10,'VK-Hooned-Soojus'!$C:$X,2+$C42,FALSE),0)+IF(DC$6="X",VLOOKUP(DC$10,'VK-Transport'!$C:$X,2+$B42,0))+IF(DC$8="X",VLOOKUP(DC$10,'VK-Elekter'!$C:$X,2+$D42,0))+IF(DC$9="X",VLOOKUP(DC$10,'VK-Biokütused'!$C:$U,2+$E42,0))+IF(DC$5="X",VLOOKUP(DC$10,'VK-Põlevkivi'!$C:$X,2+$G42,0))+IF(DC$4="X",VLOOKUP(DC$10,'VK-Võrgud'!$C:$X,2+$F42,0)))/1000000</f>
        <v>5.1773870000000004</v>
      </c>
      <c r="DD42" s="209"/>
      <c r="DE42" s="88">
        <f>VLOOKUP(Tulemused!$BN$12,data!M$7:N$12,2,FALSE)-SUM(L42,M42)</f>
        <v>-2.20664444444445</v>
      </c>
      <c r="DF42" s="209" t="str">
        <f>IF(AZ42&lt;=VLOOKUP(Tulemused!$BN$15,data!$E$36:$F$39,2,FALSE),"JAH","EI")</f>
        <v>JAH</v>
      </c>
      <c r="DG42" s="209"/>
      <c r="DH42" s="209">
        <f t="shared" si="2"/>
        <v>6.08</v>
      </c>
      <c r="DI42" s="231" t="str">
        <f t="shared" si="17"/>
        <v>EI</v>
      </c>
      <c r="DK42" s="232">
        <f t="shared" si="3"/>
        <v>-997.82514084694299</v>
      </c>
      <c r="DM42" s="233">
        <f t="shared" si="4"/>
        <v>-992.34694064659652</v>
      </c>
      <c r="DN42" s="87">
        <f t="array" ref="DN42">INDEX($A$11:$A$145, SMALL(IF(DM42=$DK$11:$DK$145, MATCH(ROW($DK$11:$DK$145), ROW($DK$11:$DK$145))), SUM(--(DM42=$DM$11:DM42))))</f>
        <v>42</v>
      </c>
      <c r="DP42" s="87" t="e">
        <f t="shared" ca="1" si="18"/>
        <v>#N/A</v>
      </c>
      <c r="DQ42" s="87" t="e">
        <f t="shared" ca="1" si="19"/>
        <v>#N/A</v>
      </c>
      <c r="DR42" s="87">
        <f t="shared" ca="1" si="20"/>
        <v>0</v>
      </c>
      <c r="DS42" s="87" t="e">
        <f t="shared" ca="1" si="21"/>
        <v>#N/A</v>
      </c>
      <c r="DT42" s="87">
        <f t="shared" ca="1" si="22"/>
        <v>0</v>
      </c>
      <c r="DU42" s="87" t="e">
        <f t="shared" ca="1" si="23"/>
        <v>#N/A</v>
      </c>
      <c r="DV42" s="87" t="e">
        <f t="shared" ca="1" si="24"/>
        <v>#N/A</v>
      </c>
      <c r="DW42" s="87">
        <f t="shared" ca="1" si="25"/>
        <v>0</v>
      </c>
      <c r="DX42" s="87">
        <f t="shared" ca="1" si="26"/>
        <v>0</v>
      </c>
      <c r="DZ42" s="87">
        <f t="shared" ca="1" si="35"/>
        <v>0</v>
      </c>
      <c r="EB42" s="87">
        <f t="shared" ca="1" si="27"/>
        <v>0</v>
      </c>
      <c r="EC42" s="87" t="e">
        <f t="shared" ca="1" si="28"/>
        <v>#N/A</v>
      </c>
      <c r="EE42" s="228">
        <f>(IF(EE$7="X",VLOOKUP(EE$10,'VK-Hooned-Soojus'!$C:$X,2+$C42,FALSE),0)+IF(EE$6="X",VLOOKUP(EE$10,'VK-Transport'!$C:$X,2+$B42,0))+IF(EE$8="X",VLOOKUP(EE$10,'VK-Elekter'!$C:$X,2+$D42,0))+IF(EE$9="X",VLOOKUP(EE$10,'VK-Biokütused'!$C:$U,2+$E42,0))+IF(EE$5="X",VLOOKUP(EE$10,'VK-Põlevkivi'!$C:$X,2+$G42,0))+IF(EE$4="X",VLOOKUP(EE$10,'VK-Võrgud'!$C:$X,2+$F42,0)))</f>
        <v>6079.7540207041347</v>
      </c>
      <c r="EF42" s="235">
        <f>(IF(EF$7="X",VLOOKUP(EF$10,'VK-Hooned-Soojus'!$C:$X,2+$C42,FALSE),0)+IF(EF$6="X",VLOOKUP(EF$10,'VK-Transport'!$C:$X,2+$B42,0))+IF(EF$8="X",VLOOKUP(EF$10,'VK-Elekter'!$C:$X,2+$D42,0))+IF(EF$9="X",VLOOKUP(EF$10,'VK-Biokütused'!$C:$U,2+$E42,0)))/1000</f>
        <v>4.6846368215830605</v>
      </c>
      <c r="EG42" s="209">
        <f>(IF(EG$7="X",VLOOKUP(EG$10,'VK-Hooned-Soojus'!$C:$X,2+$C42,FALSE),0)+IF(EG$6="X",VLOOKUP(EG$10,'VK-Transport'!$C:$X,2+$B42,0))+IF(EG$8="X",VLOOKUP(EG$10,'VK-Elekter'!$C:$X,2+$D42,0))+IF(EG$9="X",VLOOKUP(EG$10,'VK-Biokütused'!$C:$U,2+$E42,0))+IF(EG$5="X",VLOOKUP(EG$10,'VK-Põlevkivi'!$C:$X,2+$G42,0))+IF(EG$4="X",VLOOKUP(EG$10,'VK-Võrgud'!$C:$X,2+$F42,0)))</f>
        <v>0.81</v>
      </c>
      <c r="EH42" s="209">
        <f>(IF(EH$7="X",VLOOKUP(EH$10,'VK-Hooned-Soojus'!$C:$X,2+$C42,FALSE),0)+IF(EH$6="X",VLOOKUP(EH$10,'VK-Transport'!$C:$X,2+$B42,0))+IF(EH$8="X",VLOOKUP(EH$10,'VK-Elekter'!$C:$X,2+$D42,0))+IF(EH$9="X",VLOOKUP(EH$10,'VK-Biokütused'!$C:$U,2+$E42,0)))+AR42+AS42+AU42+AX42</f>
        <v>55.306165628957579</v>
      </c>
      <c r="EI42" s="320">
        <f t="shared" si="6"/>
        <v>48.66456718346253</v>
      </c>
      <c r="EJ42" s="322">
        <f t="shared" si="7"/>
        <v>2.201934621570804E-2</v>
      </c>
      <c r="EK42" s="323">
        <f t="shared" si="29"/>
        <v>0.35947746298057853</v>
      </c>
      <c r="EM42" s="209"/>
      <c r="EN42" s="209">
        <f t="shared" ca="1" si="8"/>
        <v>0</v>
      </c>
      <c r="EO42" s="209"/>
      <c r="EP42" s="234"/>
      <c r="EQ42" s="209">
        <f>(IF(EQ$7="X",VLOOKUP(EQ$10,'VK-Hooned-Soojus'!$C:$X,2+$C42,FALSE),0)+IF(EQ$6="X",VLOOKUP(EQ$10,'VK-Transport'!$C:$X,2+$B42,0))+IF(EQ$8="X",VLOOKUP(EQ$10,'VK-Elekter'!$C:$X,2+$D42,0))+IF(EQ$9="X",VLOOKUP(EQ$10,'VK-Biokütused'!$C:$U,2+$E42,0))+IF(EQ$5="X",VLOOKUP(EQ$10,'VK-Põlevkivi'!$C:$X,2+$G42,0))+IF(EQ$4="X",VLOOKUP(EQ$10,'VK-Võrgud'!$C:$X,2+$F42,0)))/1000</f>
        <v>0.19900000000000001</v>
      </c>
      <c r="ER42" s="209">
        <f>(IF(ER$7="X",VLOOKUP(ER$10,'VK-Hooned-Soojus'!$C:$X,2+$C42,FALSE),0)+IF(ER$6="X",VLOOKUP(ER$10,'VK-Transport'!$C:$X,2+$B42,0))+IF(ER$8="X",VLOOKUP(ER$10,'VK-Elekter'!$C:$X,2+$D42,0))+IF(ER$9="X",VLOOKUP(ER$10,'VK-Biokütused'!$C:$U,2+$E42,0))+IF(ER$5="X",VLOOKUP(ER$10,'VK-Põlevkivi'!$C:$X,2+$G42,0))+IF(ER$4="X",VLOOKUP(ER$10,'VK-Võrgud'!$C:$X,2+$F42,0)))</f>
        <v>0.72299999999999998</v>
      </c>
      <c r="ES42" s="209">
        <f>(IF(ES$7="X",VLOOKUP(ES$10,'VK-Hooned-Soojus'!$C:$X,2+$C42,FALSE),0)+IF(ES$6="X",VLOOKUP(ES$10,'VK-Transport'!$C:$X,2+$B42,0))+IF(ES$8="X",VLOOKUP(ES$10,'VK-Elekter'!$C:$X,2+$D42,0))+IF(ES$9="X",VLOOKUP(ES$10,'VK-Biokütused'!$C:$U,2+$E42,0))+IF(ES$5="X",VLOOKUP(ES$10,'VK-Põlevkivi'!$C:$X,2+$G42,0))+IF(ES$4="X",VLOOKUP(ES$10,'VK-Võrgud'!$C:$X,2+$F42,0)))</f>
        <v>6.08</v>
      </c>
      <c r="ET42" s="209"/>
      <c r="EU42" s="209"/>
      <c r="EV42" s="87">
        <f>'KSH järjestus'!AS35</f>
        <v>1656</v>
      </c>
      <c r="EX42" s="236"/>
      <c r="EY42" s="236"/>
      <c r="EZ42" s="237">
        <f t="shared" si="9"/>
        <v>0.27911646586345373</v>
      </c>
      <c r="FA42" s="209">
        <f>IF(FA$7="X",VLOOKUP(FA$10,'VK-Hooned-Soojus'!$C:$X,2+$C42,FALSE),0)+IF(FA$6="X",VLOOKUP(FA$10,'VK-Transport'!$C:$X,2+$B42,0))+IF(FA$8="X",VLOOKUP(FA$10,'VK-Elekter'!$C:$X,2+$D42,0))+IF(FA$9="X",VLOOKUP(FA$10,'VK-Biokütused'!$C:$U,2+$E42,0))+IF(FA$5="X",VLOOKUP(FA$10,'VK-Põlevkivi'!$C:$X,2+$G42,0))+IF(FA$4="X",VLOOKUP(FA$10,'VK-Võrgud'!$C:$X,2+$F42,0))</f>
        <v>3579.9070000000002</v>
      </c>
      <c r="FB42" s="279">
        <f>(IF(FB$7="X",VLOOKUP(FB$10,'VK-Hooned-Soojus'!$C:$X,2+$C42,FALSE),0)+IF(FB$6="X",VLOOKUP(FB$10,'VK-Transport'!$C:$X,2+$B42,0))+IF(FB$8="X",VLOOKUP(FB$10,'VK-Elekter'!$C:$X,2+$D42,0))+IF(FB$9="X",VLOOKUP(FB$10,'VK-Biokütused'!$C:$U,2+$E42,0))+IF(FB$5="X",VLOOKUP(FB$10,'VK-Põlevkivi'!$C:$X,2+$G42,0))+IF(FB$4="X",VLOOKUP(FB$10,'VK-Võrgud'!$C:$X,2+$F42,0)))/16</f>
        <v>275.80225668325244</v>
      </c>
      <c r="FC42" s="209">
        <f>IF(FC$7="X",VLOOKUP(FC$10,'VK-Hooned-Soojus'!$C:$X,2+$C42,FALSE),0)+IF(FC$6="X",VLOOKUP(FC$10,'VK-Transport'!$C:$X,2+$B42,0))+IF(FC$8="X",VLOOKUP(FC$10,'VK-Elekter'!$C:$X,2+$D42,0))+IF(FC$9="X",VLOOKUP(FC$10,'VK-Biokütused'!$C:$U,2+$E42,0))+IF(FC$5="X",VLOOKUP(FC$10,'VK-Põlevkivi'!$C:$X,2+$G42,0))+IF(FC$4="X",VLOOKUP(FC$10,'VK-Võrgud'!$C:$X,2+$F42,0))</f>
        <v>309.09999999999997</v>
      </c>
      <c r="FD42" s="209">
        <f>(IF(FD$7="X",VLOOKUP(FD$10,'VK-Hooned-Soojus'!$C:$X,2+$C42,FALSE),0)+IF(FD$6="X",VLOOKUP(FD$10,'VK-Transport'!$C:$X,2+$B42,0))+IF(FD$8="X",VLOOKUP(FD$10,'VK-Elekter'!$C:$X,2+$D42,0))+IF(FD$9="X",VLOOKUP(FD$10,'VK-Biokütused'!$C:$U,2+$E42,0))+IF(FD$5="X",VLOOKUP(FD$10,'VK-Põlevkivi'!$C:$X,2+$G42,0))+IF(FD$4="X",VLOOKUP(FD$10,'VK-Võrgud'!$C:$X,2+$F42,0)))/16</f>
        <v>275.80225668325244</v>
      </c>
      <c r="FE42" s="209">
        <f>(IF(FE$7="X",VLOOKUP(FE$10,'VK-Hooned-Soojus'!$C:$X,2+$C42,FALSE),0)+IF(FE$6="X",VLOOKUP(FE$10,'VK-Transport'!$C:$X,2+$B42,0))+IF(FE$8="X",VLOOKUP(FE$10,'VK-Elekter'!$C:$X,2+$D42,0))+IF(FE$9="X",VLOOKUP(FE$10,'VK-Biokütused'!$C:$U,2+$E42,0))+IF(FE$5="X",VLOOKUP(FE$10,'VK-Põlevkivi'!$C:$X,2+$G42,0))+IF(FE$4="X",VLOOKUP(FE$10,'VK-Võrgud'!$C:$X,2+$F42,0)))/16</f>
        <v>-137.65321988063209</v>
      </c>
      <c r="FF42" s="209">
        <f>(IF(FF$7="X",VLOOKUP(FF$10,'VK-Hooned-Soojus'!$C:$X,2+$C42,FALSE),0)+IF(FF$6="X",VLOOKUP(FF$10,'VK-Transport'!$C:$X,2+$B42,0))+IF(FF$8="X",VLOOKUP(FF$10,'VK-Elekter'!$C:$X,2+$D42,0))+IF(FF$9="X",VLOOKUP(FF$10,'VK-Biokütused'!$C:$U,2+$E42,0))+IF(FF$5="X",VLOOKUP(FF$10,'VK-Põlevkivi'!$C:$X,2+$G42,0))+IF(FF$4="X",VLOOKUP(FF$10,'VK-Võrgud'!$C:$X,2+$F42,0)))/16</f>
        <v>104.85701390727468</v>
      </c>
      <c r="FG42" s="88">
        <f t="shared" ca="1" si="30"/>
        <v>-32.796205973357416</v>
      </c>
      <c r="FH42" s="88"/>
      <c r="FI42" s="88"/>
      <c r="FJ42" s="88">
        <f>VLOOKUP(Tulemused!$BN$12,data!M$7:N$12,2,FALSE)-SUM(L42,M42)</f>
        <v>-2.20664444444445</v>
      </c>
      <c r="FK42" s="209" t="str">
        <f>IF(AZ42&lt;=VLOOKUP(Tulemused!$BN$15,data!$E$36:$F$39,2,FALSE),"JAH","EI")</f>
        <v>JAH</v>
      </c>
      <c r="FL42" s="235">
        <f ca="1">IF(ISNA(MATCH($A42,INDIRECT(VLOOKUP(Tulemused!$BF$11,data!$J$57:$M$71,4,FALSE)))),0,MATCH($A42,INDIRECT(VLOOKUP(Tulemused!$BF$11,data!$J$57:$M$71,4,FALSE))))</f>
        <v>0</v>
      </c>
      <c r="FM42" s="235" t="str">
        <f t="shared" ca="1" si="10"/>
        <v>JAH</v>
      </c>
      <c r="FN42" s="209">
        <f>VLOOKUP(Tulemused!$BN$13,data!$C$132:$D$137,2,FALSE)-KOMBI!R42</f>
        <v>2.8708331784169405</v>
      </c>
      <c r="FO42" s="209"/>
      <c r="FP42" s="209">
        <f>VLOOKUP(Tulemused!$BN$17,NO_x,2,FALSE)-CJ42</f>
        <v>10.850999999999999</v>
      </c>
      <c r="FQ42" s="209">
        <f>VLOOKUP(Tulemused!$BN$18,SO_2,2,FALSE)-CK42</f>
        <v>40.657456865628689</v>
      </c>
      <c r="FR42" s="209">
        <f>VLOOKUP(Tulemused!$BN$19,LOU,2,FALSE)-CN42</f>
        <v>34.324000000000005</v>
      </c>
      <c r="FS42" s="209">
        <f>VLOOKUP(Tulemused!$BN$20,PM_2.5,2,FALSE)-CM42</f>
        <v>9.3049999999999997</v>
      </c>
      <c r="FT42" s="209">
        <f>VLOOKUP(Tulemused!$BN$13,data!$C$132:$D$137,2,FALSE)-FA42/1000</f>
        <v>2.6660630000000007</v>
      </c>
      <c r="FU42" s="209">
        <f>VLOOKUP(Tulemused!$BN$17,NO_x,2,FALSE)-CO42</f>
        <v>4.3223502267145442</v>
      </c>
      <c r="FV42" s="209">
        <f>VLOOKUP(Tulemused!$BN$18,SO_2,2,FALSE)-CP42</f>
        <v>38.47605141570439</v>
      </c>
      <c r="FW42" s="209">
        <f>VLOOKUP(Tulemused!$BN$19,LOU,2,FALSE)-CS42</f>
        <v>33.163847594878391</v>
      </c>
      <c r="FX42" s="209">
        <f>VLOOKUP(Tulemused!$BN$20,PM_2.5,2,FALSE)-CR42</f>
        <v>9.1942466437251955</v>
      </c>
      <c r="FY42" s="209">
        <f>VLOOKUP(Tulemused!$BN$14,KHG_2050,2,FALSE)-EF42</f>
        <v>95.315363178416945</v>
      </c>
      <c r="FZ42" s="231" t="str">
        <f t="shared" ca="1" si="31"/>
        <v>EI</v>
      </c>
      <c r="GA42" s="209"/>
      <c r="GB42" s="209"/>
      <c r="GC42" s="209"/>
      <c r="GD42" s="231"/>
      <c r="GE42" s="87">
        <f t="shared" si="11"/>
        <v>1656</v>
      </c>
      <c r="GF42" s="232" t="str">
        <f t="shared" ca="1" si="32"/>
        <v/>
      </c>
      <c r="GH42" s="238" t="e">
        <f t="shared" ca="1" si="12"/>
        <v>#NUM!</v>
      </c>
      <c r="GI42" s="87" t="e">
        <f t="array" aca="1" ref="GI42" ca="1">INDEX($A$11:$A$145, SMALL(IF(GH42=$GF$11:$GF$145, MATCH(ROW($GF$11:$GF$145), ROW($GF$11:$GF$145))), SUM(--(GH42=$GH$11:GH42))))</f>
        <v>#NUM!</v>
      </c>
      <c r="GM42" s="209">
        <f>IF(GM$7="X",VLOOKUP(GM$10,'VK-Hooned-Soojus'!$C:$X,2+$C42,FALSE),0)+IF(GM$6="X",VLOOKUP(GM$10,'VK-Transport'!$C:$X,2+$B42,0))+IF(GM$8="X",VLOOKUP(GM$10,'VK-Elekter'!$C:$X,2+$D42,0))+IF(GM$9="X",VLOOKUP(GM$10,'VK-Biokütused'!$C:$U,2+$E42,0))+IF(GM$5="X",VLOOKUP(GM$10,'VK-Põlevkivi'!$C:$X,2+$G42,0))+IF(GM$4="X",VLOOKUP(GM$10,'VK-Võrgud'!$C:$X,2+$F42,0))</f>
        <v>6.012827991027228</v>
      </c>
      <c r="GN42" s="209">
        <f>IF(GN$7="X",VLOOKUP(GN$10,'VK-Hooned-Soojus'!$C:$X,2+$C42,FALSE),0)+IF(GN$6="X",VLOOKUP(GN$10,'VK-Transport'!$C:$X,2+$B42,0))+IF(GN$8="X",VLOOKUP(GN$10,'VK-Elekter'!$C:$X,2+$D42,0))+IF(GN$9="X",VLOOKUP(GN$10,'VK-Biokütused'!$C:$U,2+$E42,0))+IF(GN$5="X",VLOOKUP(GN$10,'VK-Põlevkivi'!$C:$X,2+$G42,0))+IF(GN$4="X",VLOOKUP(GN$10,'VK-Võrgud'!$C:$X,2+$F42,0))</f>
        <v>3.4467619395011728</v>
      </c>
      <c r="GO42" s="209">
        <f>IF(GO$7="X",VLOOKUP(GO$10,'VK-Hooned-Soojus'!$C:$X,2+$C42,FALSE),0)+IF(GO$6="X",VLOOKUP(GO$10,'VK-Transport'!$C:$X,2+$B42,0))+IF(GO$8="X",VLOOKUP(GO$10,'VK-Elekter'!$C:$X,2+$D42,0))+IF(GO$9="X",VLOOKUP(GO$10,'VK-Biokütused'!$C:$U,2+$E42,0))+IF(GO$5="X",VLOOKUP(GO$10,'VK-Põlevkivi'!$C:$X,2+$G42,0))+IF(GO$4="X",VLOOKUP(GO$10,'VK-Võrgud'!$C:$X,2+$F42,0))</f>
        <v>7.5763700102722566</v>
      </c>
      <c r="GP42" s="209">
        <f>IF(GP$7="X",VLOOKUP(GP$10,'VK-Hooned-Soojus'!$C:$X,2+$C42,FALSE),0)+IF(GP$6="X",VLOOKUP(GP$10,'VK-Transport'!$C:$X,2+$B42,0))+IF(GP$8="X",VLOOKUP(GP$10,'VK-Elekter'!$C:$X,2+$D42,0))+IF(GP$9="X",VLOOKUP(GP$10,'VK-Biokütused'!$C:$U,2+$E42,0))+IF(GP$5="X",VLOOKUP(GP$10,'VK-Põlevkivi'!$C:$X,2+$G42,0))+IF(GP$4="X",VLOOKUP(GP$10,'VK-Võrgud'!$C:$X,2+$F42,0))</f>
        <v>8.9326558040707589</v>
      </c>
      <c r="GQ42" s="88">
        <f>IF(GQ$7="X",VLOOKUP(GQ$10,'VK-Hooned-Soojus'!$C:$X,2+$C42,FALSE),0)+IF(GQ$6="X",VLOOKUP(GQ$10,'VK-Transport'!$C:$X,2+$B42,0))+IF(GQ$8="X",VLOOKUP(GQ$10,'VK-Elekter'!$C:$X,2+$D42,0))+IF(GQ$9="X",VLOOKUP(GQ$10,'VK-Biokütused'!$C:$U,2+$E42,0))+IF(GQ$5="X",VLOOKUP(GQ$10,'VK-Põlevkivi'!$C:$X,2+$G42,0))+IF(GQ$4="X",VLOOKUP(GQ$10,'VK-Võrgud'!$C:$X,2+$F42,0))</f>
        <v>0.9682855968523334</v>
      </c>
      <c r="GR42" s="186">
        <f t="shared" si="33"/>
        <v>0.3809336464106115</v>
      </c>
    </row>
    <row r="43" spans="1:200" x14ac:dyDescent="0.2">
      <c r="A43" s="184">
        <v>33</v>
      </c>
      <c r="B43" s="87">
        <v>1</v>
      </c>
      <c r="C43" s="87">
        <v>3</v>
      </c>
      <c r="D43" s="87">
        <v>1</v>
      </c>
      <c r="E43" s="87">
        <v>3</v>
      </c>
      <c r="F43" s="87">
        <f>VLOOKUP(Tulemused!$BF$7,data!$J$6:$K$8,2,FALSE)</f>
        <v>2</v>
      </c>
      <c r="G43" s="87">
        <f>VLOOKUP(data!$H$2,data!$J$12:$K$14,2,FALSE)</f>
        <v>2</v>
      </c>
      <c r="I43" s="209">
        <f>IF(I$7="X",VLOOKUP(I$10,'VK-Hooned-Soojus'!$C:$X,2+$C43,FALSE),0)+IF(I$6="X",VLOOKUP(I$10,'VK-Transport'!$C:$X,2+$B43,0))+IF(I$8="X",VLOOKUP(I$10,'VK-Elekter'!$C:$X,2+$D43,0))+IF(I$9="X",VLOOKUP(I$10,'VK-Biokütused'!$C:$U,2+$E43,0))+IF(I$5="X",VLOOKUP(I$10,'VK-Põlevkivi'!$C:$X,2+$G43,0))+IF(I$4="X",VLOOKUP(I$10,'VK-Võrgud'!$C:$X,2+$F43,0))</f>
        <v>23.490000000000002</v>
      </c>
      <c r="J43" s="209">
        <f>IF(J$7="X",VLOOKUP(J$10,'VK-Hooned-Soojus'!$C:$X,2+$C43,FALSE),0)+IF(J$6="X",VLOOKUP(J$10,'VK-Transport'!$C:$X,2+$B43,0))+IF(J$8="X",VLOOKUP(J$10,'VK-Elekter'!$C:$X,2+$D43,0))+IF(J$9="X",VLOOKUP(J$10,'VK-Biokütused'!$C:$U,2+$E43,0))+IF(J$5="X",VLOOKUP(J$10,'VK-Põlevkivi'!$C:$X,2+$G43,0))+IF(J$4="X",VLOOKUP(J$10,'VK-Võrgud'!$C:$X,2+$F43,0))</f>
        <v>13.295833333333334</v>
      </c>
      <c r="K43" s="209">
        <f>IF(K$7="X",VLOOKUP(K$10,'VK-Hooned-Soojus'!$C:$X,2+$C43,FALSE),0)+IF(K$6="X",VLOOKUP(K$10,'VK-Transport'!$C:$X,2+$B43,0))+IF(K$8="X",VLOOKUP(K$10,'VK-Elekter'!$C:$X,2+$D43,0))+IF(K$9="X",VLOOKUP(K$10,'VK-Biokütused'!$C:$U,2+$E43,0))+IF(K$5="X",VLOOKUP(K$10,'VK-Põlevkivi'!$C:$X,2+$G43,0))+IF(K$4="X",VLOOKUP(K$10,'VK-Võrgud'!$C:$X,2+$F43,0))</f>
        <v>13.780000000000001</v>
      </c>
      <c r="L43" s="209">
        <f>IF(L$7="X",VLOOKUP(L$10,'VK-Hooned-Soojus'!$C:$X,2+$C43,FALSE),0)+IF(L$6="X",VLOOKUP(L$10,'VK-Transport'!$C:$X,2+$B43,0))+IF(L$8="X",VLOOKUP(L$10,'VK-Elekter'!$C:$X,2+$D43,0))+IF(L$9="X",VLOOKUP(L$10,'VK-Biokütused'!$C:$U,2+$E43,0))+IF(L$5="X",VLOOKUP(L$10,'VK-Põlevkivi'!$C:$X,2+$G43,0))+IF(L$4="X",VLOOKUP(L$10,'VK-Võrgud'!$C:$X,2+$F43,0))</f>
        <v>23.75</v>
      </c>
      <c r="M43" s="209">
        <f>IF(M$7="X",VLOOKUP(M$10,'VK-Hooned-Soojus'!$C:$X,2+$C43,FALSE),0)+IF(M$6="X",VLOOKUP(M$10,'VK-Transport'!$C:$X,2+$B43,0))+IF(M$8="X",VLOOKUP(M$10,'VK-Elekter'!$C:$X,2+$D43,0))+IF(M$9="X",VLOOKUP(M$10,'VK-Biokütused'!$C:$U,2+$E43,0))+IF(M$5="X",VLOOKUP(M$10,'VK-Põlevkivi'!$C:$X,2+$G43,0))+IF(M$4="X",VLOOKUP(M$10,'VK-Võrgud'!$C:$X,2+$F43,0))</f>
        <v>11.289444444444445</v>
      </c>
      <c r="N43" s="209">
        <f>IF(N$7="X",VLOOKUP(N$10,'VK-Hooned-Soojus'!$C:$X,2+$C43,FALSE),0)+IF(N$6="X",VLOOKUP(N$10,'VK-Transport'!$C:$X,2+$B43,0))+IF(N$8="X",VLOOKUP(N$10,'VK-Elekter'!$C:$X,2+$D43,0))+IF(N$9="X",VLOOKUP(N$10,'VK-Biokütused'!$C:$U,2+$E43,0))+IF(N$5="X",VLOOKUP(N$10,'VK-Põlevkivi'!$C:$X,2+$G43,0))+IF(N$4="X",VLOOKUP(N$10,'VK-Võrgud'!$C:$X,2+$F43,0))</f>
        <v>15.25</v>
      </c>
      <c r="O43" s="209">
        <f t="shared" si="13"/>
        <v>36.785833333333336</v>
      </c>
      <c r="P43" s="209"/>
      <c r="Q43" s="209">
        <f>(IF(Q$7="X",VLOOKUP(Q$10,'VK-Hooned-Soojus'!$C:$X,2+$C43,FALSE),0)+IF(Q$6="X",VLOOKUP(Q$10,'VK-Transport'!$C:$X,2+$B43,0))+IF(Q$8="X",VLOOKUP(Q$10,'VK-Elekter'!$C:$X,2+$D43,0))+IF(Q$9="X",VLOOKUP(Q$10,'VK-Biokütused'!$C:$U,2+$E43,0))+IF(Q$5="X",VLOOKUP(Q$10,'VK-Põlevkivi'!$C:$X,2+$G43,0))+IF(Q$4="X",VLOOKUP(Q$10,'VK-Võrgud'!$C:$X,2+$F43,0)))/1000</f>
        <v>4.9059999999999997</v>
      </c>
      <c r="R43" s="209">
        <f>(IF(R$7="X",VLOOKUP(R$10,'VK-Hooned-Soojus'!$C:$X,2+$C43,FALSE),0)+IF(R$6="X",VLOOKUP(R$10,'VK-Transport'!$C:$X,2+$B43,0))+IF(R$8="X",VLOOKUP(R$10,'VK-Elekter'!$C:$X,2+$D43,0))+IF(R$9="X",VLOOKUP(R$10,'VK-Biokütused'!$C:$U,2+$E43,0))+IF(R$5="X",VLOOKUP(R$10,'VK-Põlevkivi'!$C:$X,2+$G43,0))+IF(R$4="X",VLOOKUP(R$10,'VK-Võrgud'!$C:$X,2+$F43,0)))/1000</f>
        <v>3.5838368215830605</v>
      </c>
      <c r="S43" s="226">
        <f>VLOOKUP(S$10,'VK-Hooned-Soojus'!$C:$I,2+$C43,FALSE) + VLOOKUP(S$10,'VK-Transport'!$C:$I,2+$B43,FALSE)+ VLOOKUP(S$10,'VK-Biokütused'!$C:$G,2+$E43,FALSE)+ VLOOKUP(S$10,'VK-Elekter'!$C:$I,2+$D43,FALSE)+ VLOOKUP(S$10,'VK-Põlevkivi'!$C:$I,2+$G43,FALSE)+ VLOOKUP(S$10,'VK-Võrgud'!$C:$I,2+$F43,FALSE)</f>
        <v>1.5587836649804239E-2</v>
      </c>
      <c r="T43" s="226">
        <f>VLOOKUP(T$10,'VK-Hooned-Soojus'!$C:$I,2+$C43,FALSE) + VLOOKUP(T$10,'VK-Transport'!$C:$I,2+$B43,FALSE)+ VLOOKUP(T$10,'VK-Biokütused'!$C:$G,2+$E43,FALSE)+ VLOOKUP(T$10,'VK-Elekter'!$C:$I,2+$D43,FALSE)+ VLOOKUP(T$10,'VK-Põlevkivi'!$C:$I,2+$G43,FALSE)+ VLOOKUP(T$10,'VK-Võrgud'!$C:$I,2+$F43,FALSE)</f>
        <v>-6.8178498310421127E-3</v>
      </c>
      <c r="U43" s="226">
        <f>VLOOKUP(U$10,'VK-Hooned-Soojus'!$C:$I,2+$C43,FALSE) + VLOOKUP(U$10,'VK-Transport'!$C:$I,2+$B43,FALSE)+ VLOOKUP(U$10,'VK-Biokütused'!$C:$G,2+$E43,FALSE)+ VLOOKUP(U$10,'VK-Elekter'!$C:$I,2+$D43,FALSE)+ VLOOKUP(U$10,'VK-Põlevkivi'!$C:$I,2+$G43,FALSE)+ VLOOKUP(U$10,'VK-Võrgud'!$C:$I,2+$F43,FALSE)</f>
        <v>6.5216427053796377E-4</v>
      </c>
      <c r="V43" s="226">
        <f>VLOOKUP(V$10,'VK-Hooned-Soojus'!$C:$I,2+$C43,FALSE) + VLOOKUP(V$10,'VK-Transport'!$C:$I,2+$B43,FALSE)+ VLOOKUP(V$10,'VK-Biokütused'!$C:$G,2+$E43,FALSE)+ VLOOKUP(V$10,'VK-Elekter'!$C:$I,2+$D43,FALSE)+ VLOOKUP(V$10,'VK-Põlevkivi'!$C:$I,2+$G43,FALSE)+ VLOOKUP(V$10,'VK-Võrgud'!$C:$I,2+$F43,FALSE)</f>
        <v>1.5079383851430331E-2</v>
      </c>
      <c r="W43" s="226">
        <f>VLOOKUP(W$10,'VK-Hooned-Soojus'!$C:$I,2+$C43,FALSE) + VLOOKUP(W$10,'VK-Transport'!$C:$I,2+$B43,FALSE)+ VLOOKUP(W$10,'VK-Biokütused'!$C:$G,2+$E43,FALSE)+ VLOOKUP(W$10,'VK-Elekter'!$C:$I,2+$D43,FALSE)+ VLOOKUP(W$10,'VK-Põlevkivi'!$C:$I,2+$G43,FALSE)+ VLOOKUP(W$10,'VK-Võrgud'!$C:$I,2+$F43,FALSE)</f>
        <v>-1.334683703019714E-2</v>
      </c>
      <c r="X43" s="226">
        <f>VLOOKUP(X$10,'VK-Hooned-Soojus'!$C:$I,2+$C43,FALSE) + VLOOKUP(X$10,'VK-Transport'!$C:$I,2+$B43,FALSE)+ VLOOKUP(X$10,'VK-Biokütused'!$C:$G,2+$E43,FALSE)+ VLOOKUP(X$10,'VK-Elekter'!$C:$I,2+$D43,FALSE)+ VLOOKUP(X$10,'VK-Põlevkivi'!$C:$I,2+$G43,FALSE)+ VLOOKUP(X$10,'VK-Võrgud'!$C:$I,2+$F43,FALSE)</f>
        <v>-1.6085469997761101E-2</v>
      </c>
      <c r="Y43" s="226">
        <f>VLOOKUP(Y$10,'VK-Hooned-Soojus'!$C:$I,2+$C43,FALSE) + VLOOKUP(Y$10,'VK-Transport'!$C:$I,2+$B43,FALSE)+ VLOOKUP(Y$10,'VK-Biokütused'!$C:$G,2+$E43,FALSE)+ VLOOKUP(Y$10,'VK-Elekter'!$C:$I,2+$D43,FALSE)+ VLOOKUP(Y$10,'VK-Põlevkivi'!$C:$I,2+$G43,FALSE)+ VLOOKUP(Y$10,'VK-Võrgud'!$C:$I,2+$F43,FALSE)</f>
        <v>-3.0693999947393989E-2</v>
      </c>
      <c r="Z43" s="227">
        <f>(S43*Tulemused!$Q$9*10+T43*Tulemused!$Q$10*10+KOMBI!U43*Tulemused!$Q$11*10+KOMBI!V43*Tulemused!$Q$12*10)*Tulemused!$Q$8+-(W43*Tulemused!$Q$14*10+KOMBI!X43*Tulemused!$Q$15*10+KOMBI!Y43*Tulemused!$Q$16*10)*Tulemused!$Q$13</f>
        <v>3.0799588752984848</v>
      </c>
      <c r="AA43" s="228">
        <f>(IF(AA$7="X",VLOOKUP(AA$10,'VK-Hooned-Soojus'!$C:$X,2+$C43,FALSE),0)+IF(AA$6="X",VLOOKUP(AA$10,'VK-Transport'!$C:$X,2+$B43,0))+IF(AA$8="X",VLOOKUP(AA$10,'VK-Elekter'!$C:$X,2+$D43,0))+IF(AA$9="X",VLOOKUP(AA$10,'VK-Biokütused'!$C:$U,2+$E43,0))+IF(AA$5="X",VLOOKUP(AA$10,'VK-Põlevkivi'!$C:$X,2+$G43,0))+IF(AA$4="X",VLOOKUP(AA$10,'VK-Võrgud'!$C:$X,2+$F43,0)))</f>
        <v>3729</v>
      </c>
      <c r="AB43" s="228">
        <f>(IF(AB$7="X",VLOOKUP(AB$10,'VK-Hooned-Soojus'!$C:$X,2+$C43,FALSE),0)+IF(AB$6="X",VLOOKUP(AB$10,'VK-Transport'!$C:$X,2+$B43,0))+IF(AB$8="X",VLOOKUP(AB$10,'VK-Elekter'!$C:$X,2+$D43,0))+IF(AB$9="X",VLOOKUP(AB$10,'VK-Biokütused'!$C:$U,2+$E43,0))+IF(AB$5="X",VLOOKUP(AB$10,'VK-Põlevkivi'!$C:$X,2+$G43,0))+IF(AB$4="X",VLOOKUP(AB$10,'VK-Võrgud'!$C:$X,2+$F43,0)))</f>
        <v>1177</v>
      </c>
      <c r="AC43" s="228">
        <f>(IF(AC$7="X",VLOOKUP(AC$10,'VK-Hooned-Soojus'!$C:$X,2+$C43,FALSE),0)+IF(AC$6="X",VLOOKUP(AC$10,'VK-Transport'!$C:$X,2+$B43,0))+IF(AC$8="X",VLOOKUP(AC$10,'VK-Elekter'!$C:$X,2+$D43,0))+IF(AC$9="X",VLOOKUP(AC$10,'VK-Biokütused'!$C:$U,2+$E43,0))+IF(AC$5="X",VLOOKUP(AC$10,'VK-Põlevkivi'!$C:$X,2+$G43,0))+IF(AC$4="X",VLOOKUP(AC$10,'VK-Võrgud'!$C:$X,2+$F43,0)))</f>
        <v>2346</v>
      </c>
      <c r="AD43" s="228">
        <f>(IF(AD$7="X",VLOOKUP(AD$10,'VK-Hooned-Soojus'!$C:$X,2+$C43,FALSE),0)+IF(AD$6="X",VLOOKUP(AD$10,'VK-Transport'!$C:$X,2+$B43,0))+IF(AD$8="X",VLOOKUP(AD$10,'VK-Elekter'!$C:$X,2+$D43,0))+IF(AD$9="X",VLOOKUP(AD$10,'VK-Biokütused'!$C:$U,2+$E43,0))+IF(AD$5="X",VLOOKUP(AD$10,'VK-Põlevkivi'!$C:$X,2+$G43,0))+IF(AD$4="X",VLOOKUP(AD$10,'VK-Võrgud'!$C:$X,2+$F43,0)))</f>
        <v>586.20000000000005</v>
      </c>
      <c r="AE43" s="228">
        <f>(IF(AE$7="X",VLOOKUP(AE$10,'VK-Hooned-Soojus'!$C:$X,2+$C43,FALSE),0)+IF(AE$6="X",VLOOKUP(AE$10,'VK-Transport'!$C:$X,2+$B43,0))+IF(AE$8="X",VLOOKUP(AE$10,'VK-Elekter'!$C:$X,2+$D43,0))+IF(AE$9="X",VLOOKUP(AE$10,'VK-Biokütused'!$C:$U,2+$E43,0))+IF(AE$5="X",VLOOKUP(AE$10,'VK-Põlevkivi'!$C:$X,2+$G43,0))+IF(AE$4="X",VLOOKUP(AE$10,'VK-Võrgud'!$C:$X,2+$F43,0)))</f>
        <v>507</v>
      </c>
      <c r="AF43" s="228">
        <f>(IF(AF$7="X",VLOOKUP(AF$10,'VK-Hooned-Soojus'!$C:$X,2+$C43,FALSE),0)+IF(AF$6="X",VLOOKUP(AF$10,'VK-Transport'!$C:$X,2+$B43,0))+IF(AF$8="X",VLOOKUP(AF$10,'VK-Elekter'!$C:$X,2+$D43,0))+IF(AF$9="X",VLOOKUP(AF$10,'VK-Biokütused'!$C:$U,2+$E43,0))+IF(AF$5="X",VLOOKUP(AF$10,'VK-Põlevkivi'!$C:$X,2+$G43,0))+IF(AF$4="X",VLOOKUP(AF$10,'VK-Võrgud'!$C:$X,2+$F43,0)))</f>
        <v>2490.6368215830603</v>
      </c>
      <c r="AG43" s="209"/>
      <c r="AH43" s="209">
        <f>IF(AH$7="X",VLOOKUP(AH$10,'VK-Hooned-Soojus'!$C:$X,2+$C43,FALSE),0)+IF(AH$6="X",VLOOKUP(AH$10,'VK-Transport'!$C:$X,2+$B43,0))+IF(AH$8="X",VLOOKUP(AH$10,'VK-Elekter'!$C:$X,2+$D43,0))+IF(AH$9="X",VLOOKUP(AH$10,'VK-Biokütused'!$C:$U,2+$E43,0))+IF(AH$5="X",VLOOKUP(AH$10,'VK-Põlevkivi'!$C:$X,2+$G43,0))+IF(AH$4="X",VLOOKUP(AH$10,'VK-Võrgud'!$C:$X,2+$F43,0))</f>
        <v>11.629999999999999</v>
      </c>
      <c r="AI43" s="209">
        <f>IF(AI$7="X",VLOOKUP(AI$10,'VK-Hooned-Soojus'!$C:$X,2+$C43,FALSE),0)+IF(AI$6="X",VLOOKUP(AI$10,'VK-Transport'!$C:$X,2+$B43,0))+IF(AI$8="X",VLOOKUP(AI$10,'VK-Elekter'!$C:$X,2+$D43,0))+IF(AI$9="X",VLOOKUP(AI$10,'VK-Biokütused'!$C:$U,2+$E43,0))+IF(AI$5="X",VLOOKUP(AI$10,'VK-Põlevkivi'!$C:$X,2+$G43,0))+IF(AI$4="X",VLOOKUP(AI$10,'VK-Võrgud'!$C:$X,2+$F43,0))</f>
        <v>2.3100000000000005</v>
      </c>
      <c r="AJ43" s="209">
        <f>IF(AJ$7="X",VLOOKUP(AJ$10,'VK-Hooned-Soojus'!$C:$X,2+$C43,FALSE),0)+IF(AJ$6="X",VLOOKUP(AJ$10,'VK-Transport'!$C:$X,2+$B43,0))+IF(AJ$8="X",VLOOKUP(AJ$10,'VK-Elekter'!$C:$X,2+$D43,0))+IF(AJ$9="X",VLOOKUP(AJ$10,'VK-Biokütused'!$C:$U,2+$E43,0))+IF(AJ$5="X",VLOOKUP(AJ$10,'VK-Põlevkivi'!$C:$X,2+$G43,0))+IF(AJ$4="X",VLOOKUP(AJ$10,'VK-Võrgud'!$C:$X,2+$F43,0))</f>
        <v>9.24</v>
      </c>
      <c r="AK43" s="209">
        <f>IF(AK$7="X",VLOOKUP(AK$10,'VK-Hooned-Soojus'!$C:$X,2+$C43,FALSE),0)+IF(AK$6="X",VLOOKUP(AK$10,'VK-Transport'!$C:$X,2+$B43,0))+IF(AK$8="X",VLOOKUP(AK$10,'VK-Elekter'!$C:$X,2+$D43,0))+IF(AK$9="X",VLOOKUP(AK$10,'VK-Biokütused'!$C:$U,2+$E43,0))+IF(AK$5="X",VLOOKUP(AK$10,'VK-Põlevkivi'!$C:$X,2+$G43,0))+IF(AK$4="X",VLOOKUP(AK$10,'VK-Võrgud'!$C:$X,2+$F43,0))</f>
        <v>2.78</v>
      </c>
      <c r="AL43" s="209">
        <f>IF(AL$7="X",VLOOKUP(AL$10,'VK-Hooned-Soojus'!$C:$X,2+$C43,FALSE),0)+IF(AL$6="X",VLOOKUP(AL$10,'VK-Transport'!$C:$X,2+$B43,0))+IF(AL$8="X",VLOOKUP(AL$10,'VK-Elekter'!$C:$X,2+$D43,0))+IF(AL$9="X",VLOOKUP(AL$10,'VK-Biokütused'!$C:$U,2+$E43,0))+IF(AL$5="X",VLOOKUP(AL$10,'VK-Põlevkivi'!$C:$X,2+$G43,0))+IF(AL$4="X",VLOOKUP(AL$10,'VK-Võrgud'!$C:$X,2+$F43,0))</f>
        <v>7.1</v>
      </c>
      <c r="AM43" s="209">
        <f>IF(AM$7="X",VLOOKUP(AM$10,'VK-Hooned-Soojus'!$C:$X,2+$C43,FALSE),0)+IF(AM$6="X",VLOOKUP(AM$10,'VK-Transport'!$C:$X,2+$B43,0))+IF(AM$8="X",VLOOKUP(AM$10,'VK-Elekter'!$C:$X,2+$D43,0))+IF(AM$9="X",VLOOKUP(AM$10,'VK-Biokütused'!$C:$U,2+$E43,0))+IF(AM$5="X",VLOOKUP(AM$10,'VK-Põlevkivi'!$C:$X,2+$G43,0))+IF(AM$4="X",VLOOKUP(AM$10,'VK-Võrgud'!$C:$X,2+$F43,0))</f>
        <v>11.5</v>
      </c>
      <c r="AN43" s="209">
        <f>IF(AN$7="X",VLOOKUP(AN$10,'VK-Hooned-Soojus'!$C:$X,2+$C43,FALSE),0)+IF(AN$6="X",VLOOKUP(AN$10,'VK-Transport'!$C:$X,2+$B43,0))+IF(AN$8="X",VLOOKUP(AN$10,'VK-Elekter'!$C:$X,2+$D43,0))+IF(AN$9="X",VLOOKUP(AN$10,'VK-Biokütused'!$C:$U,2+$E43,0))+IF(AN$5="X",VLOOKUP(AN$10,'VK-Põlevkivi'!$C:$X,2+$G43,0))+IF(AN$4="X",VLOOKUP(AN$10,'VK-Võrgud'!$C:$X,2+$F43,0))</f>
        <v>4.0999999999999996</v>
      </c>
      <c r="AO43" s="209">
        <f>IF(AO$7="X",VLOOKUP(AO$10,'VK-Hooned-Soojus'!$C:$X,2+$C43,FALSE),0)+IF(AO$6="X",VLOOKUP(AO$10,'VK-Transport'!$C:$X,2+$B43,0))+IF(AO$8="X",VLOOKUP(AO$10,'VK-Elekter'!$C:$X,2+$D43,0))+IF(AO$9="X",VLOOKUP(AO$10,'VK-Biokütused'!$C:$U,2+$E43,0))+IF(AO$5="X",VLOOKUP(AO$10,'VK-Põlevkivi'!$C:$X,2+$G43,0))+IF(AO$4="X",VLOOKUP(AO$10,'VK-Võrgud'!$C:$X,2+$F43,0))</f>
        <v>12.16</v>
      </c>
      <c r="AP43" s="209">
        <f>IF(AP$7="X",VLOOKUP(AP$10,'VK-Hooned-Soojus'!$C:$X,2+$C43,FALSE),0)+IF(AP$6="X",VLOOKUP(AP$10,'VK-Transport'!$C:$X,2+$B43,0))+IF(AP$8="X",VLOOKUP(AP$10,'VK-Elekter'!$C:$X,2+$D43,0))+IF(AP$9="X",VLOOKUP(AP$10,'VK-Biokütused'!$C:$U,2+$E43,0))+IF(AP$5="X",VLOOKUP(AP$10,'VK-Põlevkivi'!$C:$X,2+$G43,0))+IF(AP$4="X",VLOOKUP(AP$10,'VK-Võrgud'!$C:$X,2+$F43,0))</f>
        <v>6.08</v>
      </c>
      <c r="AQ43" s="320">
        <f t="shared" si="14"/>
        <v>0</v>
      </c>
      <c r="AR43" s="209">
        <f>IF(AR$7="X",VLOOKUP(AR$10,'VK-Hooned-Soojus'!$C:$X,2+$C43,FALSE),0)+IF(AR$6="X",VLOOKUP(AR$10,'VK-Transport'!$C:$X,2+$B43,0))+IF(AR$8="X",VLOOKUP(AR$10,'VK-Elekter'!$C:$X,2+$D43,0))+IF(AR$9="X",VLOOKUP(AR$10,'VK-Biokütused'!$C:$U,2+$E43,0))+IF(AR$5="X",VLOOKUP(AR$10,'VK-Põlevkivi'!$C:$X,2+$G43,0))+IF(AR$4="X",VLOOKUP(AR$10,'VK-Võrgud'!$C:$X,2+$F43,0))</f>
        <v>2.3899999999999997</v>
      </c>
      <c r="AS43" s="320">
        <f>VLOOKUP("Kütuste tarbimine @ 2030 - UTTEGAAS",'VK-Hooned-Soojus'!$C:$X,2+$C43,FALSE)/0.172+VLOOKUP("Kütuste tarbimine @ 2030 - UTTEGAAS",'VK-Elekter'!$C:$X,2+$D43,FALSE)/0.172-AR43-AU43</f>
        <v>2.8565116279069773</v>
      </c>
      <c r="AT43" s="209">
        <f>IF(AT$7="X",VLOOKUP(AT$10,'VK-Hooned-Soojus'!$C:$X,2+$C43,FALSE),0)+IF(AT$6="X",VLOOKUP(AT$10,'VK-Transport'!$C:$X,2+$B43,0))+IF(AT$8="X",VLOOKUP(AT$10,'VK-Elekter'!$C:$X,2+$D43,0))+IF(AT$9="X",VLOOKUP(AT$10,'VK-Biokütused'!$C:$U,2+$E43,0))+IF(AT$5="X",VLOOKUP(AT$10,'VK-Põlevkivi'!$C:$X,2+$G43,0))+IF(AT$4="X",VLOOKUP(AT$10,'VK-Võrgud'!$C:$X,2+$F43,0))</f>
        <v>12.004929222526066</v>
      </c>
      <c r="AU43" s="229">
        <f>MAX(0,(VLOOKUP("Kütuste tarbimine @ 2030 - UTTEGAAS",'VK-Hooned-Soojus'!$C:$X,2+$C43,FALSE)/0.172+VLOOKUP("Kütuste tarbimine @ 2030 - UTTEGAAS",'VK-Elekter'!$C:$X,2+$D43,FALSE)/0.172)*0.52-VLOOKUP("Kütuste tarbimine @ 2030 - PÕLEVKIVIÕLI",'VK-Hooned-Soojus'!$C:$X,2+$C43,FALSE))</f>
        <v>5.6837209302325586</v>
      </c>
      <c r="AV43" s="209">
        <f>IF(AV$7="X",VLOOKUP(AV$10,'VK-Hooned-Soojus'!$C:$X,2+$C43,FALSE),0)+IF(AV$6="X",VLOOKUP(AV$10,'VK-Transport'!$C:$X,2+$B43,0))+IF(AV$8="X",VLOOKUP(AV$10,'VK-Elekter'!$C:$X,2+$D43,0))+IF(AV$9="X",VLOOKUP(AV$10,'VK-Biokütused'!$C:$U,2+$E43,0))+IF(AV$5="X",VLOOKUP(AV$10,'VK-Põlevkivi'!$C:$X,2+$G43,0))+IF(AV$4="X",VLOOKUP(AV$10,'VK-Võrgud'!$C:$X,2+$F43,0))</f>
        <v>1.1831224847375093</v>
      </c>
      <c r="AW43" s="209">
        <f>IF(AW$7="X",VLOOKUP(AW$10,'VK-Hooned-Soojus'!$C:$X,2+$C43,FALSE),0)+IF(AW$6="X",VLOOKUP(AW$10,'VK-Transport'!$C:$X,2+$B43,0))+IF(AW$8="X",VLOOKUP(AW$10,'VK-Elekter'!$C:$X,2+$D43,0))+IF(AW$9="X",VLOOKUP(AW$10,'VK-Biokütused'!$C:$U,2+$E43,0))+IF(AW$5="X",VLOOKUP(AW$10,'VK-Põlevkivi'!$C:$X,2+$G43,0))+IF(AW$4="X",VLOOKUP(AW$10,'VK-Võrgud'!$C:$X,2+$F43,0))</f>
        <v>4.2799999999999994</v>
      </c>
      <c r="AX43" s="229">
        <f t="shared" si="34"/>
        <v>3.0968775152624901</v>
      </c>
      <c r="AY43" s="229">
        <f t="shared" si="15"/>
        <v>0</v>
      </c>
      <c r="AZ43" s="230">
        <f t="shared" ref="AZ43:AZ74" si="36">(MAX(0,AK43)+AJ43+AN43+AQ43+AT43+AY43)/EI43</f>
        <v>0.57793443670210298</v>
      </c>
      <c r="BA43" s="209">
        <f>IF(BA$7="X",VLOOKUP(BA$10,'VK-Hooned-Soojus'!$C:$X,2+$C43,FALSE),0)+IF(BA$6="X",VLOOKUP(BA$10,'VK-Transport'!$C:$X,2+$B43,0))+IF(BA$8="X",VLOOKUP(BA$10,'VK-Elekter'!$C:$X,2+$D43,0))+IF(BA$9="X",VLOOKUP(BA$10,'VK-Biokütused'!$C:$U,2+$E43,0))+IF(BA$5="X",VLOOKUP(BA$10,'VK-Põlevkivi'!$C:$X,2+$G43,0))+IF(BA$4="X",VLOOKUP(BA$10,'VK-Võrgud'!$C:$X,2+$F43,0))</f>
        <v>4.25</v>
      </c>
      <c r="BB43" s="209">
        <f>IF(BB$7="X",VLOOKUP(BB$10,'VK-Hooned-Soojus'!$C:$X,2+$C43,FALSE),0)+IF(BB$6="X",VLOOKUP(BB$10,'VK-Transport'!$C:$X,2+$B43,0))+IF(BB$8="X",VLOOKUP(BB$10,'VK-Elekter'!$C:$X,2+$D43,0))+IF(BB$9="X",VLOOKUP(BB$10,'VK-Biokütused'!$C:$U,2+$E43,0))+IF(BB$5="X",VLOOKUP(BB$10,'VK-Põlevkivi'!$C:$X,2+$G43,0))+IF(BB$4="X",VLOOKUP(BB$10,'VK-Võrgud'!$C:$X,2+$F43,0))</f>
        <v>2.93</v>
      </c>
      <c r="BC43" s="209">
        <f>IF(BC$7="X",VLOOKUP(BC$10,'VK-Hooned-Soojus'!$C:$X,2+$C43,FALSE),0)+IF(BC$6="X",VLOOKUP(BC$10,'VK-Transport'!$C:$X,2+$B43,0))+IF(BC$8="X",VLOOKUP(BC$10,'VK-Elekter'!$C:$X,2+$D43,0))+IF(BC$9="X",VLOOKUP(BC$10,'VK-Biokütused'!$C:$U,2+$E43,0))+IF(BC$5="X",VLOOKUP(BC$10,'VK-Põlevkivi'!$C:$X,2+$G43,0))+IF(BC$4="X",VLOOKUP(BC$10,'VK-Võrgud'!$C:$X,2+$F43,0))</f>
        <v>5.2376666666666667</v>
      </c>
      <c r="BD43" s="209">
        <f>IF(BD$7="X",VLOOKUP(BD$10,'VK-Hooned-Soojus'!$C:$X,2+$C43,FALSE),0)+IF(BD$6="X",VLOOKUP(BD$10,'VK-Transport'!$C:$X,2+$B43,0))+IF(BD$8="X",VLOOKUP(BD$10,'VK-Elekter'!$C:$X,2+$D43,0))+IF(BD$9="X",VLOOKUP(BD$10,'VK-Biokütused'!$C:$U,2+$E43,0))+IF(BD$5="X",VLOOKUP(BD$10,'VK-Põlevkivi'!$C:$X,2+$G43,0))+IF(BD$4="X",VLOOKUP(BD$10,'VK-Võrgud'!$C:$X,2+$F43,0))</f>
        <v>9.1105555555555569</v>
      </c>
      <c r="BE43" s="230"/>
      <c r="BF43" s="229">
        <f t="shared" si="16"/>
        <v>0.30809115034793855</v>
      </c>
      <c r="BG43" s="209" t="e">
        <f>(IF(BG$7="X",VLOOKUP(BG$10,'VK-Hooned-Soojus'!$C:$X,2+$C43,FALSE),0)+IF(BG$6="X",VLOOKUP(BG$10,'VK-Transport'!$C:$X,2+$B43,0))+IF(BG$8="X",VLOOKUP(BG$10,'VK-Elekter'!$C:$X,2+$D43,0))+IF(BG$9="X",VLOOKUP(BG$10,'VK-Biokütused'!$C:$U,2+$E43,0))+IF(BG$5="X",VLOOKUP(BG$10,'VK-Põlevkivi'!$C:$X,2+$G43,0))+IF(BG$4="X",VLOOKUP(BG$10,'VK-Võrgud'!$C:$X,2+$F43,0)))/20</f>
        <v>#N/A</v>
      </c>
      <c r="BH43" s="209">
        <f>(IF(BH$7="X",VLOOKUP(BH$10,'VK-Hooned-Soojus'!$C:$X,2+$C43,FALSE),0)+IF(BH$6="X",VLOOKUP(BH$10,'VK-Transport'!$C:$X,2+$B43,0))+IF(BH$8="X",VLOOKUP(BH$10,'VK-Elekter'!$C:$X,2+$D43,0))+IF(BH$9="X",VLOOKUP(BH$10,'VK-Biokütused'!$C:$U,2+$E43,0))+IF(BH$5="X",VLOOKUP(BH$10,'VK-Põlevkivi'!$C:$X,2+$G43,0))+IF(BH$4="X",VLOOKUP(BH$10,'VK-Võrgud'!$C:$X,2+$F43,0)))/20</f>
        <v>84.204999999999998</v>
      </c>
      <c r="BI43" s="209">
        <f>(IF(BI$7="X",VLOOKUP(BI$10,'VK-Hooned-Soojus'!$C:$X,2+$C43,FALSE),0)+IF(BI$6="X",VLOOKUP(BI$10,'VK-Transport'!$C:$X,2+$B43,0))+IF(BI$8="X",VLOOKUP(BI$10,'VK-Elekter'!$C:$X,2+$D43,0))+IF(BI$9="X",VLOOKUP(BI$10,'VK-Biokütused'!$C:$U,2+$E43,0))+IF(BI$5="X",VLOOKUP(BI$10,'VK-Põlevkivi'!$C:$X,2+$G43,0))+IF(BI$4="X",VLOOKUP(BI$10,'VK-Võrgud'!$C:$X,2+$F43,0)))/16</f>
        <v>8.9375</v>
      </c>
      <c r="BJ43" s="209">
        <f>(IF(BJ$7="X",VLOOKUP(BJ$10,'VK-Hooned-Soojus'!$C:$X,2+$C43,FALSE),0)+IF(BJ$6="X",VLOOKUP(BJ$10,'VK-Transport'!$C:$X,2+$B43,0))+IF(BJ$8="X",VLOOKUP(BJ$10,'VK-Elekter'!$C:$X,2+$D43,0))+IF(BJ$9="X",VLOOKUP(BJ$10,'VK-Biokütused'!$C:$U,2+$E43,0))+IF(BJ$5="X",VLOOKUP(BJ$10,'VK-Põlevkivi'!$C:$X,2+$G43,0))+IF(BJ$4="X",VLOOKUP(BJ$10,'VK-Võrgud'!$C:$X,2+$F43,0)))/20</f>
        <v>5.33</v>
      </c>
      <c r="BK43" s="209"/>
      <c r="BL43" s="209"/>
      <c r="BM43" s="209"/>
      <c r="BN43" s="209" t="e">
        <f>(IF(BN$7="X",VLOOKUP(BN$10,'VK-Hooned-Soojus'!$C:$X,2+$C43,FALSE),0)+IF(BN$6="X",VLOOKUP(BN$10,'VK-Transport'!$C:$X,2+$B43,0))+IF(BN$8="X",VLOOKUP(BN$10,'VK-Elekter'!$C:$X,2+$D43,0))+IF(BN$9="X",VLOOKUP(BN$10,'VK-Biokütused'!$C:$U,2+$E43,0))+IF(BN$5="X",VLOOKUP(BN$10,'VK-Põlevkivi'!$C:$X,2+$G43,0))+IF(BN$4="X",VLOOKUP(BN$10,'VK-Võrgud'!$C:$X,2+$F43,0)))/16</f>
        <v>#N/A</v>
      </c>
      <c r="BO43" s="209">
        <f>(IF(BO$7="X",VLOOKUP(BO$10,'VK-Hooned-Soojus'!$C:$X,2+$C43,FALSE),0)+IF(BO$6="X",VLOOKUP(BO$10,'VK-Transport'!$C:$X,2+$B43,0))+IF(BO$8="X",VLOOKUP(BO$10,'VK-Elekter'!$C:$X,2+$D43,0))+IF(BO$9="X",VLOOKUP(BO$10,'VK-Biokütused'!$C:$U,2+$E43,0))+IF(BO$5="X",VLOOKUP(BO$10,'VK-Põlevkivi'!$C:$X,2+$G43,0))+IF(BO$4="X",VLOOKUP(BO$10,'VK-Võrgud'!$C:$X,2+$F43,0)))/16</f>
        <v>496.33125000000001</v>
      </c>
      <c r="BP43" s="209"/>
      <c r="BQ43" s="209">
        <f>(IF(BQ$7="X",VLOOKUP(BQ$10,'VK-Hooned-Soojus'!$C:$X,2+$C43,FALSE),0)+IF(BQ$6="X",VLOOKUP(BQ$10,'VK-Transport'!$C:$X,2+$B43,0))+IF(BQ$8="X",VLOOKUP(BQ$10,'VK-Elekter'!$C:$X,2+$D43,0))+IF(BQ$9="X",VLOOKUP(BQ$10,'VK-Biokütused'!$C:$U,2+$E43,0))+IF(BQ$5="X",VLOOKUP(BQ$10,'VK-Põlevkivi'!$C:$X,2+$G43,0))+IF(BQ$4="X",VLOOKUP(BQ$10,'VK-Võrgud'!$C:$X,2+$F43,0)))/16</f>
        <v>4.7249999999999996</v>
      </c>
      <c r="BR43" s="209">
        <f>(IF(BR$7="X",VLOOKUP(BR$10,'VK-Hooned-Soojus'!$C:$X,2+$C43,FALSE),0)+IF(BR$6="X",VLOOKUP(BR$10,'VK-Transport'!$C:$X,2+$B43,0))+IF(BR$8="X",VLOOKUP(BR$10,'VK-Elekter'!$C:$X,2+$D43,0))+IF(BR$9="X",VLOOKUP(BR$10,'VK-Biokütused'!$C:$U,2+$E43,0))+IF(BR$5="X",VLOOKUP(BR$10,'VK-Põlevkivi'!$C:$X,2+$G43,0))+IF(BR$4="X",VLOOKUP(BR$10,'VK-Võrgud'!$C:$X,2+$F43,0)))/16</f>
        <v>-74.512500000000003</v>
      </c>
      <c r="BS43" s="209">
        <f>(IF(BS$7="X",VLOOKUP(BS$10,'VK-Hooned-Soojus'!$C:$X,2+$C43,FALSE),0)+IF(BS$6="X",VLOOKUP(BS$10,'VK-Transport'!$C:$X,2+$B43,0))+IF(BS$8="X",VLOOKUP(BS$10,'VK-Elekter'!$C:$X,2+$D43,0))+IF(BS$9="X",VLOOKUP(BS$10,'VK-Biokütused'!$C:$U,2+$E43,0))+IF(BS$5="X",VLOOKUP(BS$10,'VK-Põlevkivi'!$C:$X,2+$G43,0))+IF(BS$4="X",VLOOKUP(BS$10,'VK-Võrgud'!$C:$X,2+$F43,0)))/16</f>
        <v>-100.68125000000001</v>
      </c>
      <c r="BT43" s="209"/>
      <c r="BU43" s="209"/>
      <c r="BV43" s="209">
        <f>(IF(BV$7="X",VLOOKUP(BV$10,'VK-Hooned-Soojus'!$C:$X,2+$C43,FALSE),0)+IF(BV$6="X",VLOOKUP(BV$10,'VK-Transport'!$C:$X,2+$B43,0))+IF(BV$8="X",VLOOKUP(BV$10,'VK-Elekter'!$C:$X,2+$D43,0))+IF(BV$9="X",VLOOKUP(BV$10,'VK-Biokütused'!$C:$U,2+$E43,0))+IF(BV$5="X",VLOOKUP(BV$10,'VK-Põlevkivi'!$C:$X,2+$G43,0))+IF(BV$4="X",VLOOKUP(BV$10,'VK-Võrgud'!$C:$X,2+$F43,0)))/16</f>
        <v>0</v>
      </c>
      <c r="BW43" s="209"/>
      <c r="BX43" s="209">
        <f>(IF(BX$7="X",VLOOKUP(BX$10,'VK-Hooned-Soojus'!$C:$X,2+$C43,FALSE),0)+IF(BX$6="X",VLOOKUP(BX$10,'VK-Transport'!$C:$X,2+$B43,0))+IF(BX$8="X",VLOOKUP(BX$10,'VK-Elekter'!$C:$X,2+$D43,0))+IF(BX$9="X",VLOOKUP(BX$10,'VK-Biokütused'!$C:$U,2+$E43,0))+IF(BX$5="X",VLOOKUP(BX$10,'VK-Põlevkivi'!$C:$X,2+$G43,0))+IF(BX$4="X",VLOOKUP(BX$10,'VK-Võrgud'!$C:$X,2+$F43,0)))/16</f>
        <v>-99.6875</v>
      </c>
      <c r="BY43" s="209"/>
      <c r="BZ43" s="209"/>
      <c r="CA43" s="209" t="e">
        <f>(IF(CA$7="X",VLOOKUP(CA$10,'VK-Hooned-Soojus'!$C:$X,2+$C43,FALSE),0)+IF(CA$6="X",VLOOKUP(CA$10,'VK-Transport'!$C:$X,2+$B43,0))+IF(CA$8="X",VLOOKUP(CA$10,'VK-Elekter'!$C:$X,2+$D43,0))+IF(CA$9="X",VLOOKUP(CA$10,'VK-Biokütused'!$C:$U,2+$E43,0))+IF(CA$5="X",VLOOKUP(CA$10,'VK-Põlevkivi'!$C:$X,2+$G43,0))+IF(CA$4="X",VLOOKUP(CA$10,'VK-Võrgud'!$C:$X,2+$F43,0)))/16</f>
        <v>#N/A</v>
      </c>
      <c r="CB43" s="209">
        <f>(IF(CB$7="X",VLOOKUP(CB$10,'VK-Hooned-Soojus'!$C:$X,2+$C43,FALSE),0)+IF(CB$6="X",VLOOKUP(CB$10,'VK-Transport'!$C:$X,2+$B43,0))+IF(CB$8="X",VLOOKUP(CB$10,'VK-Elekter'!$C:$X,2+$D43,0))+IF(CB$9="X",VLOOKUP(CB$10,'VK-Biokütused'!$C:$U,2+$E43,0))+IF(CB$5="X",VLOOKUP(CB$10,'VK-Põlevkivi'!$C:$X,2+$G43,0))+IF(CB$4="X",VLOOKUP(CB$10,'VK-Võrgud'!$C:$X,2+$F43,0)))/16</f>
        <v>0</v>
      </c>
      <c r="CC43" s="209">
        <f>(IF(CC$7="X",VLOOKUP(CC$10,'VK-Hooned-Soojus'!$C:$X,2+$C43,FALSE),0)+IF(CC$6="X",VLOOKUP(CC$10,'VK-Transport'!$C:$X,2+$B43,0))+IF(CC$8="X",VLOOKUP(CC$10,'VK-Elekter'!$C:$X,2+$D43,0))+IF(CC$9="X",VLOOKUP(CC$10,'VK-Biokütused'!$C:$U,2+$E43,0))+IF(CC$5="X",VLOOKUP(CC$10,'VK-Põlevkivi'!$C:$X,2+$G43,0))+IF(CC$4="X",VLOOKUP(CC$10,'VK-Võrgud'!$C:$X,2+$F43,0)))/16</f>
        <v>0</v>
      </c>
      <c r="CD43" s="209"/>
      <c r="CE43" s="209">
        <f>(IF(CE$7="X",VLOOKUP(CE$10,'VK-Hooned-Soojus'!$C:$X,2+$C43,FALSE),0)+IF(CE$6="X",VLOOKUP(CE$10,'VK-Transport'!$C:$X,2+$B43,0))+IF(CE$8="X",VLOOKUP(CE$10,'VK-Elekter'!$C:$X,2+$D43,0))+IF(CE$9="X",VLOOKUP(CE$10,'VK-Biokütused'!$C:$U,2+$E43,0))+IF(CE$5="X",VLOOKUP(CE$10,'VK-Põlevkivi'!$C:$X,2+$G43,0))+IF(CE$4="X",VLOOKUP(CE$10,'VK-Võrgud'!$C:$X,2+$F43,0)))/16</f>
        <v>24.15625</v>
      </c>
      <c r="CF43" s="209"/>
      <c r="CG43" s="209">
        <f>(IF(CG$7="X",VLOOKUP(CG$10,'VK-Hooned-Soojus'!$C:$X,2+$C43,FALSE),0)+IF(CG$6="X",VLOOKUP(CG$10,'VK-Transport'!$C:$X,2+$B43,0))+IF(CG$8="X",VLOOKUP(CG$10,'VK-Elekter'!$C:$X,2+$D43,0))+IF(CG$9="X",VLOOKUP(CG$10,'VK-Biokütused'!$C:$U,2+$E43,0))+IF(CG$5="X",VLOOKUP(CG$10,'VK-Põlevkivi'!$C:$X,2+$G43,0))+IF(CG$4="X",VLOOKUP(CG$10,'VK-Võrgud'!$C:$X,2+$F43,0)))/16</f>
        <v>0</v>
      </c>
      <c r="CH43" s="209">
        <f>(IF(CH$7="X",VLOOKUP(CH$10,'VK-Hooned-Soojus'!$C:$X,2+$C43,FALSE),0)+IF(CH$6="X",VLOOKUP(CH$10,'VK-Transport'!$C:$X,2+$B43,0))+IF(CH$8="X",VLOOKUP(CH$10,'VK-Elekter'!$C:$X,2+$D43,0))+IF(CH$9="X",VLOOKUP(CH$10,'VK-Biokütused'!$C:$U,2+$E43,0))+IF(CH$5="X",VLOOKUP(CH$10,'VK-Põlevkivi'!$C:$X,2+$G43,0))+IF(CH$4="X",VLOOKUP(CH$10,'VK-Võrgud'!$C:$X,2+$F43,0)))/20*0.21</f>
        <v>26.9178</v>
      </c>
      <c r="CI43" s="209"/>
      <c r="CJ43" s="209">
        <f>(IF(CJ$7="X",VLOOKUP(CJ$10,'VK-Hooned-Soojus'!$C:$X,2+$C43,FALSE),0)+IF(CJ$6="X",VLOOKUP(CJ$10,'VK-Transport'!$C:$X,2+$B43,0))+IF(CJ$8="X",VLOOKUP(CJ$10,'VK-Elekter'!$C:$X,2+$D43,0))+IF(CJ$9="X",VLOOKUP(CJ$10,'VK-Biokütused'!$C:$U,2+$E43,0))+IF(CJ$5="X",VLOOKUP(CJ$10,'VK-Põlevkivi'!$C:$X,2+$G43,0))+IF(CJ$4="X",VLOOKUP(CJ$10,'VK-Võrgud'!$C:$X,2+$F43,0)))/1000</f>
        <v>18.587</v>
      </c>
      <c r="CK43" s="209">
        <f>(IF(CK$7="X",VLOOKUP(CK$10,'VK-Hooned-Soojus'!$C:$X,2+$C43,FALSE),0)+IF(CK$6="X",VLOOKUP(CK$10,'VK-Transport'!$C:$X,2+$B43,0))+IF(CK$8="X",VLOOKUP(CK$10,'VK-Elekter'!$C:$X,2+$D43,0))+IF(CK$9="X",VLOOKUP(CK$10,'VK-Biokütused'!$C:$U,2+$E43,0))+IF(CK$5="X",VLOOKUP(CK$10,'VK-Põlevkivi'!$C:$X,2+$G43,0))+IF(CK$4="X",VLOOKUP(CK$10,'VK-Võrgud'!$C:$X,2+$F43,0)))/1000</f>
        <v>11.22654313437131</v>
      </c>
      <c r="CL43" s="235">
        <f>(IF(CL$7="X",VLOOKUP(CL$10,'VK-Hooned-Soojus'!$C:$X,2+$C43,FALSE),0)+IF(CL$6="X",VLOOKUP(CL$10,'VK-Transport'!$C:$X,2+$B43,0))+IF(CL$8="X",VLOOKUP(CL$10,'VK-Elekter'!$C:$X,2+$D43,0))+IF(CL$9="X",VLOOKUP(CL$10,'VK-Biokütused'!$C:$U,2+$E43,0)))/1000</f>
        <v>8.8042332703934587</v>
      </c>
      <c r="CM43" s="209">
        <f>(IF(CM$7="X",VLOOKUP(CM$10,'VK-Hooned-Soojus'!$C:$X,2+$C43,FALSE),0)+IF(CM$6="X",VLOOKUP(CM$10,'VK-Transport'!$C:$X,2+$B43,0))+IF(CM$8="X",VLOOKUP(CM$10,'VK-Elekter'!$C:$X,2+$D43,0))+IF(CM$9="X",VLOOKUP(CM$10,'VK-Biokütused'!$C:$U,2+$E43,0))+IF(CM$5="X",VLOOKUP(CM$10,'VK-Põlevkivi'!$C:$X,2+$G43,0))+IF(CM$4="X",VLOOKUP(CM$10,'VK-Võrgud'!$C:$X,2+$F43,0)))/1000</f>
        <v>7.61</v>
      </c>
      <c r="CN43" s="209">
        <f>(IF(CN$7="X",VLOOKUP(CN$10,'VK-Hooned-Soojus'!$C:$X,2+$C43,FALSE),0)+IF(CN$6="X",VLOOKUP(CN$10,'VK-Transport'!$C:$X,2+$B43,0))+IF(CN$8="X",VLOOKUP(CN$10,'VK-Elekter'!$C:$X,2+$D43,0))+IF(CN$9="X",VLOOKUP(CN$10,'VK-Biokütused'!$C:$U,2+$E43,0))+IF(CN$5="X",VLOOKUP(CN$10,'VK-Põlevkivi'!$C:$X,2+$G43,0))+IF(CN$4="X",VLOOKUP(CN$10,'VK-Võrgud'!$C:$X,2+$F43,0)))/1000</f>
        <v>2.7559999999999998</v>
      </c>
      <c r="CO43" s="209">
        <f>(IF(CO$7="X",VLOOKUP(CO$10,'VK-Hooned-Soojus'!$C:$X,2+$C43,FALSE),0)+IF(CO$6="X",VLOOKUP(CO$10,'VK-Transport'!$C:$X,2+$B43,0))+IF(CO$8="X",VLOOKUP(CO$10,'VK-Elekter'!$C:$X,2+$D43,0))+IF(CO$9="X",VLOOKUP(CO$10,'VK-Biokütused'!$C:$U,2+$E43,0))+IF(CO$5="X",VLOOKUP(CO$10,'VK-Põlevkivi'!$C:$X,2+$G43,0))+IF(CO$4="X",VLOOKUP(CO$10,'VK-Võrgud'!$C:$X,2+$F43,0)))/1000</f>
        <v>25.115649773285455</v>
      </c>
      <c r="CP43" s="209">
        <f>(IF(CP$7="X",VLOOKUP(CP$10,'VK-Hooned-Soojus'!$C:$X,2+$C43,FALSE),0)+IF(CP$6="X",VLOOKUP(CP$10,'VK-Transport'!$C:$X,2+$B43,0))+IF(CP$8="X",VLOOKUP(CP$10,'VK-Elekter'!$C:$X,2+$D43,0))+IF(CP$9="X",VLOOKUP(CP$10,'VK-Biokütused'!$C:$U,2+$E43,0))+IF(CP$5="X",VLOOKUP(CP$10,'VK-Põlevkivi'!$C:$X,2+$G43,0))+IF(CP$4="X",VLOOKUP(CP$10,'VK-Võrgud'!$C:$X,2+$F43,0)))/1000</f>
        <v>13.407948584295612</v>
      </c>
      <c r="CQ43" s="235">
        <f>(IF(CQ$7="X",VLOOKUP(CQ$10,'VK-Hooned-Soojus'!$C:$X,2+$C43,FALSE),0)+IF(CQ$6="X",VLOOKUP(CQ$10,'VK-Transport'!$C:$X,2+$B43,0))+IF(CQ$8="X",VLOOKUP(CQ$10,'VK-Elekter'!$C:$X,2+$D43,0))+IF(CQ$9="X",VLOOKUP(CQ$10,'VK-Biokütused'!$C:$U,2+$E43,0)))/1000</f>
        <v>10.885907</v>
      </c>
      <c r="CR43" s="209">
        <f>(IF(CR$7="X",VLOOKUP(CR$10,'VK-Hooned-Soojus'!$C:$X,2+$C43,FALSE),0)+IF(CR$6="X",VLOOKUP(CR$10,'VK-Transport'!$C:$X,2+$B43,0))+IF(CR$8="X",VLOOKUP(CR$10,'VK-Elekter'!$C:$X,2+$D43,0))+IF(CR$9="X",VLOOKUP(CR$10,'VK-Biokütused'!$C:$U,2+$E43,0))+IF(CR$5="X",VLOOKUP(CR$10,'VK-Põlevkivi'!$C:$X,2+$G43,0))+IF(CR$4="X",VLOOKUP(CR$10,'VK-Võrgud'!$C:$X,2+$F43,0)))/1000</f>
        <v>7.7207533562748036</v>
      </c>
      <c r="CS43" s="209">
        <f>(IF(CS$7="X",VLOOKUP(CS$10,'VK-Hooned-Soojus'!$C:$X,2+$C43,FALSE),0)+IF(CS$6="X",VLOOKUP(CS$10,'VK-Transport'!$C:$X,2+$B43,0))+IF(CS$8="X",VLOOKUP(CS$10,'VK-Elekter'!$C:$X,2+$D43,0))+IF(CS$9="X",VLOOKUP(CS$10,'VK-Biokütused'!$C:$U,2+$E43,0))+IF(CS$5="X",VLOOKUP(CS$10,'VK-Põlevkivi'!$C:$X,2+$G43,0))+IF(CS$4="X",VLOOKUP(CS$10,'VK-Võrgud'!$C:$X,2+$F43,0)))/1000</f>
        <v>3.9161524051216152</v>
      </c>
      <c r="CT43" s="209">
        <f>IF(CT$7="X",VLOOKUP(CT$10,'VK-Hooned-Soojus'!$C:$X,2+$C43,FALSE),0)+IF(CT$6="X",VLOOKUP(CT$10,'VK-Transport'!$C:$X,2+$B43,0))+IF(CT$8="X",VLOOKUP(CT$10,'VK-Elekter'!$C:$X,2+$D43,0))+IF(CT$9="X",VLOOKUP(CT$10,'VK-Biokütused'!$C:$U,2+$E43,0))+IF(CT$5="X",VLOOKUP(CT$10,'VK-Põlevkivi'!$C:$X,2+$G43,0))+IF(CT$4="X",VLOOKUP(CT$10,'VK-Võrgud'!$C:$X,2+$F43,0))</f>
        <v>90</v>
      </c>
      <c r="CU43" s="209">
        <f>IF(CU$7="X",VLOOKUP(CU$10,'VK-Hooned-Soojus'!$C:$X,2+$C43,FALSE),0)+IF(CU$6="X",VLOOKUP(CU$10,'VK-Transport'!$C:$X,2+$B43,0))+IF(CU$8="X",VLOOKUP(CU$10,'VK-Elekter'!$C:$X,2+$D43,0))+IF(CU$9="X",VLOOKUP(CU$10,'VK-Biokütused'!$C:$U,2+$E43,0))+IF(CU$5="X",VLOOKUP(CU$10,'VK-Põlevkivi'!$C:$X,2+$G43,0))+IF(CU$4="X",VLOOKUP(CU$10,'VK-Võrgud'!$C:$X,2+$F43,0))</f>
        <v>0.72088353413654627</v>
      </c>
      <c r="CV43" s="209">
        <f t="shared" ref="CV43:CV74" si="37">(AY43+AT43)/(AT43+AY43+AW43-AX43)</f>
        <v>0.91028830406496786</v>
      </c>
      <c r="CW43" s="209">
        <f>(IF(CW$7="X",VLOOKUP(CW$10,'VK-Hooned-Soojus'!$C:$X,2+$C43,FALSE),0)+IF(CW$6="X",VLOOKUP(CW$10,'VK-Transport'!$C:$X,2+$B43,0))+IF(CW$8="X",VLOOKUP(CW$10,'VK-Elekter'!$C:$X,2+$D43,0))+IF(CW$9="X",VLOOKUP(CW$10,'VK-Biokütused'!$C:$U,2+$E43,0))+IF(CW$5="X",VLOOKUP(CW$10,'VK-Põlevkivi'!$C:$X,2+$G43,0))+IF(CW$4="X",VLOOKUP(CW$10,'VK-Võrgud'!$C:$X,2+$F43,0)))/16</f>
        <v>126.01875</v>
      </c>
      <c r="CY43" s="209">
        <f>(IF(CY$7="X",VLOOKUP(CY$10,'VK-Hooned-Soojus'!$C:$X,2+$C43,FALSE),0)+IF(CY$6="X",VLOOKUP(CY$10,'VK-Transport'!$C:$X,2+$B43,0))+IF(CY$8="X",VLOOKUP(CY$10,'VK-Elekter'!$C:$X,2+$D43,0))+IF(CY$9="X",VLOOKUP(CY$10,'VK-Biokütused'!$C:$U,2+$E43,0))+IF(CY$5="X",VLOOKUP(CY$10,'VK-Põlevkivi'!$C:$X,2+$G43,0))+IF(CY$4="X",VLOOKUP(CY$10,'VK-Võrgud'!$C:$X,2+$F43,0)))/1000</f>
        <v>11.037000000000001</v>
      </c>
      <c r="CZ43" s="209">
        <f>(IF(CZ$7="X",VLOOKUP(CZ$10,'VK-Hooned-Soojus'!$C:$X,2+$C43,FALSE),0)+IF(CZ$6="X",VLOOKUP(CZ$10,'VK-Transport'!$C:$X,2+$B43,0))+IF(CZ$8="X",VLOOKUP(CZ$10,'VK-Elekter'!$C:$X,2+$D43,0))+IF(CZ$9="X",VLOOKUP(CZ$10,'VK-Biokütused'!$C:$U,2+$E43,0))+IF(CZ$5="X",VLOOKUP(CZ$10,'VK-Põlevkivi'!$C:$X,2+$G43,0))+IF(CZ$4="X",VLOOKUP(CZ$10,'VK-Võrgud'!$C:$X,2+$F43,0)))</f>
        <v>77</v>
      </c>
      <c r="DA43" s="209">
        <f>(IF(DA$7="X",VLOOKUP(DA$10,'VK-Hooned-Soojus'!$C:$X,2+$C43,FALSE),0)+IF(DA$6="X",VLOOKUP(DA$10,'VK-Transport'!$C:$X,2+$B43,0))+IF(DA$8="X",VLOOKUP(DA$10,'VK-Elekter'!$C:$X,2+$D43,0))+IF(DA$9="X",VLOOKUP(DA$10,'VK-Biokütused'!$C:$U,2+$E43,0))+IF(DA$5="X",VLOOKUP(DA$10,'VK-Põlevkivi'!$C:$X,2+$G43,0))+IF(DA$4="X",VLOOKUP(DA$10,'VK-Võrgud'!$C:$X,2+$F43,0)))/1000</f>
        <v>14.622999999999999</v>
      </c>
      <c r="DB43" s="209">
        <f>(IF(DB$7="X",VLOOKUP(DB$10,'VK-Hooned-Soojus'!$C:$X,2+$C43,FALSE),0)+IF(DB$6="X",VLOOKUP(DB$10,'VK-Transport'!$C:$X,2+$B43,0))+IF(DB$8="X",VLOOKUP(DB$10,'VK-Elekter'!$C:$X,2+$D43,0))+IF(DB$9="X",VLOOKUP(DB$10,'VK-Biokütused'!$C:$U,2+$E43,0))+IF(DB$5="X",VLOOKUP(DB$10,'VK-Põlevkivi'!$C:$X,2+$G43,0))+IF(DB$4="X",VLOOKUP(DB$10,'VK-Võrgud'!$C:$X,2+$F43,0)))/1000/3.6</f>
        <v>65.077222222222218</v>
      </c>
      <c r="DC43" s="209">
        <f>(IF(DC$7="X",VLOOKUP(DC$10,'VK-Hooned-Soojus'!$C:$X,2+$C43,FALSE),0)+IF(DC$6="X",VLOOKUP(DC$10,'VK-Transport'!$C:$X,2+$B43,0))+IF(DC$8="X",VLOOKUP(DC$10,'VK-Elekter'!$C:$X,2+$D43,0))+IF(DC$9="X",VLOOKUP(DC$10,'VK-Biokütused'!$C:$U,2+$E43,0))+IF(DC$5="X",VLOOKUP(DC$10,'VK-Põlevkivi'!$C:$X,2+$G43,0))+IF(DC$4="X",VLOOKUP(DC$10,'VK-Võrgud'!$C:$X,2+$F43,0)))/1000000</f>
        <v>5.2707319999999998</v>
      </c>
      <c r="DD43" s="209"/>
      <c r="DE43" s="88">
        <f>VLOOKUP(Tulemused!$BN$12,data!M$7:N$12,2,FALSE)-SUM(L43,M43)</f>
        <v>-2.20664444444445</v>
      </c>
      <c r="DF43" s="209" t="str">
        <f>IF(AZ43&lt;=VLOOKUP(Tulemused!$BN$15,data!$E$36:$F$39,2,FALSE),"JAH","EI")</f>
        <v>JAH</v>
      </c>
      <c r="DG43" s="209"/>
      <c r="DH43" s="209">
        <f t="shared" ref="DH43:DH74" si="38">ES43</f>
        <v>6.08</v>
      </c>
      <c r="DI43" s="231" t="str">
        <f t="shared" si="17"/>
        <v>EI</v>
      </c>
      <c r="DK43" s="232">
        <f t="shared" ref="DK43:DK74" si="39">$Z43+IF($DI43="EI",-1000,0)</f>
        <v>-996.92004112470147</v>
      </c>
      <c r="DM43" s="233">
        <f t="shared" ref="DM43:DM74" si="40">LARGE($DK$11:$DK$145,ROW(33:33))</f>
        <v>-992.37075435645284</v>
      </c>
      <c r="DN43" s="87">
        <f t="array" ref="DN43">INDEX($A$11:$A$145, SMALL(IF(DM43=$DK$11:$DK$145, MATCH(ROW($DK$11:$DK$145), ROW($DK$11:$DK$145))), SUM(--(DM43=$DM$11:DM43))))</f>
        <v>56</v>
      </c>
      <c r="DP43" s="87" t="e">
        <f t="shared" ca="1" si="18"/>
        <v>#N/A</v>
      </c>
      <c r="DQ43" s="87" t="e">
        <f t="shared" ca="1" si="19"/>
        <v>#N/A</v>
      </c>
      <c r="DR43" s="87">
        <f t="shared" ca="1" si="20"/>
        <v>0</v>
      </c>
      <c r="DS43" s="87" t="e">
        <f t="shared" ca="1" si="21"/>
        <v>#N/A</v>
      </c>
      <c r="DT43" s="87">
        <f t="shared" ca="1" si="22"/>
        <v>0</v>
      </c>
      <c r="DU43" s="87" t="e">
        <f t="shared" ca="1" si="23"/>
        <v>#N/A</v>
      </c>
      <c r="DV43" s="87" t="e">
        <f t="shared" ca="1" si="24"/>
        <v>#N/A</v>
      </c>
      <c r="DW43" s="87">
        <f t="shared" ca="1" si="25"/>
        <v>0</v>
      </c>
      <c r="DX43" s="87">
        <f t="shared" ca="1" si="26"/>
        <v>0</v>
      </c>
      <c r="DZ43" s="87">
        <f t="shared" ca="1" si="35"/>
        <v>0</v>
      </c>
      <c r="EB43" s="87">
        <f t="shared" ca="1" si="27"/>
        <v>0</v>
      </c>
      <c r="EC43" s="87" t="e">
        <f t="shared" ca="1" si="28"/>
        <v>#N/A</v>
      </c>
      <c r="EE43" s="228">
        <f>(IF(EE$7="X",VLOOKUP(EE$10,'VK-Hooned-Soojus'!$C:$X,2+$C43,FALSE),0)+IF(EE$6="X",VLOOKUP(EE$10,'VK-Transport'!$C:$X,2+$B43,0))+IF(EE$8="X",VLOOKUP(EE$10,'VK-Elekter'!$C:$X,2+$D43,0))+IF(EE$9="X",VLOOKUP(EE$10,'VK-Biokütused'!$C:$U,2+$E43,0))+IF(EE$5="X",VLOOKUP(EE$10,'VK-Põlevkivi'!$C:$X,2+$G43,0))+IF(EE$4="X",VLOOKUP(EE$10,'VK-Võrgud'!$C:$X,2+$F43,0)))</f>
        <v>9151.343961902985</v>
      </c>
      <c r="EF43" s="235">
        <f>(IF(EF$7="X",VLOOKUP(EF$10,'VK-Hooned-Soojus'!$C:$X,2+$C43,FALSE),0)+IF(EF$6="X",VLOOKUP(EF$10,'VK-Transport'!$C:$X,2+$B43,0))+IF(EF$8="X",VLOOKUP(EF$10,'VK-Elekter'!$C:$X,2+$D43,0))+IF(EF$9="X",VLOOKUP(EF$10,'VK-Biokütused'!$C:$U,2+$E43,0)))/1000</f>
        <v>4.6846368215830605</v>
      </c>
      <c r="EG43" s="209">
        <f>(IF(EG$7="X",VLOOKUP(EG$10,'VK-Hooned-Soojus'!$C:$X,2+$C43,FALSE),0)+IF(EG$6="X",VLOOKUP(EG$10,'VK-Transport'!$C:$X,2+$B43,0))+IF(EG$8="X",VLOOKUP(EG$10,'VK-Elekter'!$C:$X,2+$D43,0))+IF(EG$9="X",VLOOKUP(EG$10,'VK-Biokütused'!$C:$U,2+$E43,0))+IF(EG$5="X",VLOOKUP(EG$10,'VK-Põlevkivi'!$C:$X,2+$G43,0))+IF(EG$4="X",VLOOKUP(EG$10,'VK-Võrgud'!$C:$X,2+$F43,0)))</f>
        <v>0.81</v>
      </c>
      <c r="EH43" s="209">
        <f>(IF(EH$7="X",VLOOKUP(EH$10,'VK-Hooned-Soojus'!$C:$X,2+$C43,FALSE),0)+IF(EH$6="X",VLOOKUP(EH$10,'VK-Transport'!$C:$X,2+$B43,0))+IF(EH$8="X",VLOOKUP(EH$10,'VK-Elekter'!$C:$X,2+$D43,0))+IF(EH$9="X",VLOOKUP(EH$10,'VK-Biokütused'!$C:$U,2+$E43,0)))+AR43+AS43+AU43+AX43</f>
        <v>57.445165628957582</v>
      </c>
      <c r="EI43" s="320">
        <f t="shared" ref="EI43:EI74" si="41">EH43-AU43-AX43</f>
        <v>48.66456718346253</v>
      </c>
      <c r="EJ43" s="322">
        <f t="shared" ref="EJ43:EJ74" si="42">EG43/O43</f>
        <v>2.201934621570804E-2</v>
      </c>
      <c r="EK43" s="323">
        <f t="shared" si="29"/>
        <v>0.35947746298057853</v>
      </c>
      <c r="EM43" s="209"/>
      <c r="EN43" s="209">
        <f t="shared" ref="EN43:EN74" ca="1" si="43">SUM(DT43,DX43,DZ43,EB43,DY43)</f>
        <v>0</v>
      </c>
      <c r="EO43" s="209"/>
      <c r="EP43" s="234"/>
      <c r="EQ43" s="209">
        <f>(IF(EQ$7="X",VLOOKUP(EQ$10,'VK-Hooned-Soojus'!$C:$X,2+$C43,FALSE),0)+IF(EQ$6="X",VLOOKUP(EQ$10,'VK-Transport'!$C:$X,2+$B43,0))+IF(EQ$8="X",VLOOKUP(EQ$10,'VK-Elekter'!$C:$X,2+$D43,0))+IF(EQ$9="X",VLOOKUP(EQ$10,'VK-Biokütused'!$C:$U,2+$E43,0))+IF(EQ$5="X",VLOOKUP(EQ$10,'VK-Põlevkivi'!$C:$X,2+$G43,0))+IF(EQ$4="X",VLOOKUP(EQ$10,'VK-Võrgud'!$C:$X,2+$F43,0)))/1000</f>
        <v>0.19900000000000001</v>
      </c>
      <c r="ER43" s="209">
        <f>(IF(ER$7="X",VLOOKUP(ER$10,'VK-Hooned-Soojus'!$C:$X,2+$C43,FALSE),0)+IF(ER$6="X",VLOOKUP(ER$10,'VK-Transport'!$C:$X,2+$B43,0))+IF(ER$8="X",VLOOKUP(ER$10,'VK-Elekter'!$C:$X,2+$D43,0))+IF(ER$9="X",VLOOKUP(ER$10,'VK-Biokütused'!$C:$U,2+$E43,0))+IF(ER$5="X",VLOOKUP(ER$10,'VK-Põlevkivi'!$C:$X,2+$G43,0))+IF(ER$4="X",VLOOKUP(ER$10,'VK-Võrgud'!$C:$X,2+$F43,0)))</f>
        <v>0.72299999999999998</v>
      </c>
      <c r="ES43" s="209">
        <f>(IF(ES$7="X",VLOOKUP(ES$10,'VK-Hooned-Soojus'!$C:$X,2+$C43,FALSE),0)+IF(ES$6="X",VLOOKUP(ES$10,'VK-Transport'!$C:$X,2+$B43,0))+IF(ES$8="X",VLOOKUP(ES$10,'VK-Elekter'!$C:$X,2+$D43,0))+IF(ES$9="X",VLOOKUP(ES$10,'VK-Biokütused'!$C:$U,2+$E43,0))+IF(ES$5="X",VLOOKUP(ES$10,'VK-Põlevkivi'!$C:$X,2+$G43,0))+IF(ES$4="X",VLOOKUP(ES$10,'VK-Võrgud'!$C:$X,2+$F43,0)))</f>
        <v>6.08</v>
      </c>
      <c r="ET43" s="209"/>
      <c r="EU43" s="209"/>
      <c r="EV43" s="87">
        <f>'KSH järjestus'!AS36</f>
        <v>1596</v>
      </c>
      <c r="EX43" s="236"/>
      <c r="EY43" s="236"/>
      <c r="EZ43" s="237">
        <f t="shared" ref="EZ43:EZ74" si="44">1-CU43</f>
        <v>0.27911646586345373</v>
      </c>
      <c r="FA43" s="209">
        <f>IF(FA$7="X",VLOOKUP(FA$10,'VK-Hooned-Soojus'!$C:$X,2+$C43,FALSE),0)+IF(FA$6="X",VLOOKUP(FA$10,'VK-Transport'!$C:$X,2+$B43,0))+IF(FA$8="X",VLOOKUP(FA$10,'VK-Elekter'!$C:$X,2+$D43,0))+IF(FA$9="X",VLOOKUP(FA$10,'VK-Biokütused'!$C:$U,2+$E43,0))+IF(FA$5="X",VLOOKUP(FA$10,'VK-Põlevkivi'!$C:$X,2+$G43,0))+IF(FA$4="X",VLOOKUP(FA$10,'VK-Võrgud'!$C:$X,2+$F43,0))</f>
        <v>3656.9070000000002</v>
      </c>
      <c r="FB43" s="279">
        <f>(IF(FB$7="X",VLOOKUP(FB$10,'VK-Hooned-Soojus'!$C:$X,2+$C43,FALSE),0)+IF(FB$6="X",VLOOKUP(FB$10,'VK-Transport'!$C:$X,2+$B43,0))+IF(FB$8="X",VLOOKUP(FB$10,'VK-Elekter'!$C:$X,2+$D43,0))+IF(FB$9="X",VLOOKUP(FB$10,'VK-Biokütused'!$C:$U,2+$E43,0))+IF(FB$5="X",VLOOKUP(FB$10,'VK-Põlevkivi'!$C:$X,2+$G43,0))+IF(FB$4="X",VLOOKUP(FB$10,'VK-Võrgud'!$C:$X,2+$F43,0)))/16</f>
        <v>392.41304770073174</v>
      </c>
      <c r="FC43" s="209">
        <f>IF(FC$7="X",VLOOKUP(FC$10,'VK-Hooned-Soojus'!$C:$X,2+$C43,FALSE),0)+IF(FC$6="X",VLOOKUP(FC$10,'VK-Transport'!$C:$X,2+$B43,0))+IF(FC$8="X",VLOOKUP(FC$10,'VK-Elekter'!$C:$X,2+$D43,0))+IF(FC$9="X",VLOOKUP(FC$10,'VK-Biokütused'!$C:$U,2+$E43,0))+IF(FC$5="X",VLOOKUP(FC$10,'VK-Põlevkivi'!$C:$X,2+$G43,0))+IF(FC$4="X",VLOOKUP(FC$10,'VK-Võrgud'!$C:$X,2+$F43,0))</f>
        <v>309.09999999999997</v>
      </c>
      <c r="FD43" s="209">
        <f>(IF(FD$7="X",VLOOKUP(FD$10,'VK-Hooned-Soojus'!$C:$X,2+$C43,FALSE),0)+IF(FD$6="X",VLOOKUP(FD$10,'VK-Transport'!$C:$X,2+$B43,0))+IF(FD$8="X",VLOOKUP(FD$10,'VK-Elekter'!$C:$X,2+$D43,0))+IF(FD$9="X",VLOOKUP(FD$10,'VK-Biokütused'!$C:$U,2+$E43,0))+IF(FD$5="X",VLOOKUP(FD$10,'VK-Põlevkivi'!$C:$X,2+$G43,0))+IF(FD$4="X",VLOOKUP(FD$10,'VK-Võrgud'!$C:$X,2+$F43,0)))/16</f>
        <v>392.41304770073174</v>
      </c>
      <c r="FE43" s="209">
        <f>(IF(FE$7="X",VLOOKUP(FE$10,'VK-Hooned-Soojus'!$C:$X,2+$C43,FALSE),0)+IF(FE$6="X",VLOOKUP(FE$10,'VK-Transport'!$C:$X,2+$B43,0))+IF(FE$8="X",VLOOKUP(FE$10,'VK-Elekter'!$C:$X,2+$D43,0))+IF(FE$9="X",VLOOKUP(FE$10,'VK-Biokütused'!$C:$U,2+$E43,0))+IF(FE$5="X",VLOOKUP(FE$10,'VK-Põlevkivi'!$C:$X,2+$G43,0))+IF(FE$4="X",VLOOKUP(FE$10,'VK-Võrgud'!$C:$X,2+$F43,0)))/16</f>
        <v>-156.76081369909105</v>
      </c>
      <c r="FF43" s="209">
        <f>(IF(FF$7="X",VLOOKUP(FF$10,'VK-Hooned-Soojus'!$C:$X,2+$C43,FALSE),0)+IF(FF$6="X",VLOOKUP(FF$10,'VK-Transport'!$C:$X,2+$B43,0))+IF(FF$8="X",VLOOKUP(FF$10,'VK-Elekter'!$C:$X,2+$D43,0))+IF(FF$9="X",VLOOKUP(FF$10,'VK-Biokütused'!$C:$U,2+$E43,0))+IF(FF$5="X",VLOOKUP(FF$10,'VK-Põlevkivi'!$C:$X,2+$G43,0))+IF(FF$4="X",VLOOKUP(FF$10,'VK-Võrgud'!$C:$X,2+$F43,0)))/16</f>
        <v>140.51902208481854</v>
      </c>
      <c r="FG43" s="88">
        <f t="shared" ca="1" si="30"/>
        <v>-16.241791614272501</v>
      </c>
      <c r="FH43" s="88"/>
      <c r="FI43" s="88"/>
      <c r="FJ43" s="88">
        <f>VLOOKUP(Tulemused!$BN$12,data!M$7:N$12,2,FALSE)-SUM(L43,M43)</f>
        <v>-2.20664444444445</v>
      </c>
      <c r="FK43" s="209" t="str">
        <f>IF(AZ43&lt;=VLOOKUP(Tulemused!$BN$15,data!$E$36:$F$39,2,FALSE),"JAH","EI")</f>
        <v>JAH</v>
      </c>
      <c r="FL43" s="235">
        <f ca="1">IF(ISNA(MATCH($A43,INDIRECT(VLOOKUP(Tulemused!$BF$11,data!$J$57:$M$71,4,FALSE)))),0,MATCH($A43,INDIRECT(VLOOKUP(Tulemused!$BF$11,data!$J$57:$M$71,4,FALSE))))</f>
        <v>0</v>
      </c>
      <c r="FM43" s="235" t="str">
        <f t="shared" ref="FM43:FM74" ca="1" si="45">IF(OR(ISNA($FL43),$FL43=$FL42,$FL43=0),"JAH","EI")</f>
        <v>JAH</v>
      </c>
      <c r="FN43" s="209">
        <f>VLOOKUP(Tulemused!$BN$13,data!$C$132:$D$137,2,FALSE)-KOMBI!R43</f>
        <v>2.6621331784169402</v>
      </c>
      <c r="FO43" s="209"/>
      <c r="FP43" s="209">
        <f>VLOOKUP(Tulemused!$BN$17,NO_x,2,FALSE)-CJ43</f>
        <v>10.850999999999999</v>
      </c>
      <c r="FQ43" s="209">
        <f>VLOOKUP(Tulemused!$BN$18,SO_2,2,FALSE)-CK43</f>
        <v>40.657456865628689</v>
      </c>
      <c r="FR43" s="209">
        <f>VLOOKUP(Tulemused!$BN$19,LOU,2,FALSE)-CN43</f>
        <v>34.324000000000005</v>
      </c>
      <c r="FS43" s="209">
        <f>VLOOKUP(Tulemused!$BN$20,PM_2.5,2,FALSE)-CM43</f>
        <v>9.3049999999999997</v>
      </c>
      <c r="FT43" s="209">
        <f>VLOOKUP(Tulemused!$BN$13,data!$C$132:$D$137,2,FALSE)-FA43/1000</f>
        <v>2.5890630000000003</v>
      </c>
      <c r="FU43" s="209">
        <f>VLOOKUP(Tulemused!$BN$17,NO_x,2,FALSE)-CO43</f>
        <v>4.3223502267145442</v>
      </c>
      <c r="FV43" s="209">
        <f>VLOOKUP(Tulemused!$BN$18,SO_2,2,FALSE)-CP43</f>
        <v>38.47605141570439</v>
      </c>
      <c r="FW43" s="209">
        <f>VLOOKUP(Tulemused!$BN$19,LOU,2,FALSE)-CS43</f>
        <v>33.163847594878391</v>
      </c>
      <c r="FX43" s="209">
        <f>VLOOKUP(Tulemused!$BN$20,PM_2.5,2,FALSE)-CR43</f>
        <v>9.1942466437251955</v>
      </c>
      <c r="FY43" s="209">
        <f>VLOOKUP(Tulemused!$BN$14,KHG_2050,2,FALSE)-EF43</f>
        <v>95.315363178416945</v>
      </c>
      <c r="FZ43" s="231" t="str">
        <f t="shared" ca="1" si="31"/>
        <v>EI</v>
      </c>
      <c r="GA43" s="209"/>
      <c r="GB43" s="209"/>
      <c r="GC43" s="209"/>
      <c r="GD43" s="231"/>
      <c r="GE43" s="87">
        <f t="shared" ref="GE43:GE74" si="46">HLOOKUP($GE$10,$I$1:$GC$145,ROW(A43),FALSE)</f>
        <v>1596</v>
      </c>
      <c r="GF43" s="232" t="str">
        <f t="shared" ca="1" si="32"/>
        <v/>
      </c>
      <c r="GH43" s="238" t="e">
        <f t="shared" ref="GH43:GH74" ca="1" si="47">IF($GG$10="↓",SMALL($GF$11:$GF$145,ROW(33:33)),LARGE($GF$11:$GF$145,ROW(33:33)))</f>
        <v>#NUM!</v>
      </c>
      <c r="GI43" s="87" t="e">
        <f t="array" aca="1" ref="GI43" ca="1">INDEX($A$11:$A$145, SMALL(IF(GH43=$GF$11:$GF$145, MATCH(ROW($GF$11:$GF$145), ROW($GF$11:$GF$145))), SUM(--(GH43=$GH$11:GH43))))</f>
        <v>#NUM!</v>
      </c>
      <c r="GM43" s="209">
        <f>IF(GM$7="X",VLOOKUP(GM$10,'VK-Hooned-Soojus'!$C:$X,2+$C43,FALSE),0)+IF(GM$6="X",VLOOKUP(GM$10,'VK-Transport'!$C:$X,2+$B43,0))+IF(GM$8="X",VLOOKUP(GM$10,'VK-Elekter'!$C:$X,2+$D43,0))+IF(GM$9="X",VLOOKUP(GM$10,'VK-Biokütused'!$C:$U,2+$E43,0))+IF(GM$5="X",VLOOKUP(GM$10,'VK-Põlevkivi'!$C:$X,2+$G43,0))+IF(GM$4="X",VLOOKUP(GM$10,'VK-Võrgud'!$C:$X,2+$F43,0))</f>
        <v>6.012827991027228</v>
      </c>
      <c r="GN43" s="209">
        <f>IF(GN$7="X",VLOOKUP(GN$10,'VK-Hooned-Soojus'!$C:$X,2+$C43,FALSE),0)+IF(GN$6="X",VLOOKUP(GN$10,'VK-Transport'!$C:$X,2+$B43,0))+IF(GN$8="X",VLOOKUP(GN$10,'VK-Elekter'!$C:$X,2+$D43,0))+IF(GN$9="X",VLOOKUP(GN$10,'VK-Biokütused'!$C:$U,2+$E43,0))+IF(GN$5="X",VLOOKUP(GN$10,'VK-Põlevkivi'!$C:$X,2+$G43,0))+IF(GN$4="X",VLOOKUP(GN$10,'VK-Võrgud'!$C:$X,2+$F43,0))</f>
        <v>3.4467619395011728</v>
      </c>
      <c r="GO43" s="209">
        <f>IF(GO$7="X",VLOOKUP(GO$10,'VK-Hooned-Soojus'!$C:$X,2+$C43,FALSE),0)+IF(GO$6="X",VLOOKUP(GO$10,'VK-Transport'!$C:$X,2+$B43,0))+IF(GO$8="X",VLOOKUP(GO$10,'VK-Elekter'!$C:$X,2+$D43,0))+IF(GO$9="X",VLOOKUP(GO$10,'VK-Biokütused'!$C:$U,2+$E43,0))+IF(GO$5="X",VLOOKUP(GO$10,'VK-Põlevkivi'!$C:$X,2+$G43,0))+IF(GO$4="X",VLOOKUP(GO$10,'VK-Võrgud'!$C:$X,2+$F43,0))</f>
        <v>7.5763700102722566</v>
      </c>
      <c r="GP43" s="209">
        <f>IF(GP$7="X",VLOOKUP(GP$10,'VK-Hooned-Soojus'!$C:$X,2+$C43,FALSE),0)+IF(GP$6="X",VLOOKUP(GP$10,'VK-Transport'!$C:$X,2+$B43,0))+IF(GP$8="X",VLOOKUP(GP$10,'VK-Elekter'!$C:$X,2+$D43,0))+IF(GP$9="X",VLOOKUP(GP$10,'VK-Biokütused'!$C:$U,2+$E43,0))+IF(GP$5="X",VLOOKUP(GP$10,'VK-Põlevkivi'!$C:$X,2+$G43,0))+IF(GP$4="X",VLOOKUP(GP$10,'VK-Võrgud'!$C:$X,2+$F43,0))</f>
        <v>8.9326558040707589</v>
      </c>
      <c r="GQ43" s="88">
        <f>IF(GQ$7="X",VLOOKUP(GQ$10,'VK-Hooned-Soojus'!$C:$X,2+$C43,FALSE),0)+IF(GQ$6="X",VLOOKUP(GQ$10,'VK-Transport'!$C:$X,2+$B43,0))+IF(GQ$8="X",VLOOKUP(GQ$10,'VK-Elekter'!$C:$X,2+$D43,0))+IF(GQ$9="X",VLOOKUP(GQ$10,'VK-Biokütused'!$C:$U,2+$E43,0))+IF(GQ$5="X",VLOOKUP(GQ$10,'VK-Põlevkivi'!$C:$X,2+$G43,0))+IF(GQ$4="X",VLOOKUP(GQ$10,'VK-Võrgud'!$C:$X,2+$F43,0))</f>
        <v>0.9682855968523334</v>
      </c>
      <c r="GR43" s="186">
        <f t="shared" si="33"/>
        <v>0.3809336464106115</v>
      </c>
    </row>
    <row r="44" spans="1:200" x14ac:dyDescent="0.2">
      <c r="A44" s="184">
        <v>34</v>
      </c>
      <c r="B44" s="87">
        <v>1</v>
      </c>
      <c r="C44" s="87">
        <v>3</v>
      </c>
      <c r="D44" s="87">
        <v>2</v>
      </c>
      <c r="E44" s="87">
        <v>1</v>
      </c>
      <c r="F44" s="87">
        <f>VLOOKUP(Tulemused!$BF$7,data!$J$6:$K$8,2,FALSE)</f>
        <v>2</v>
      </c>
      <c r="G44" s="87">
        <f>VLOOKUP(data!$H$2,data!$J$12:$K$14,2,FALSE)</f>
        <v>2</v>
      </c>
      <c r="I44" s="209">
        <f>IF(I$7="X",VLOOKUP(I$10,'VK-Hooned-Soojus'!$C:$X,2+$C44,FALSE),0)+IF(I$6="X",VLOOKUP(I$10,'VK-Transport'!$C:$X,2+$B44,0))+IF(I$8="X",VLOOKUP(I$10,'VK-Elekter'!$C:$X,2+$D44,0))+IF(I$9="X",VLOOKUP(I$10,'VK-Biokütused'!$C:$U,2+$E44,0))+IF(I$5="X",VLOOKUP(I$10,'VK-Põlevkivi'!$C:$X,2+$G44,0))+IF(I$4="X",VLOOKUP(I$10,'VK-Võrgud'!$C:$X,2+$F44,0))</f>
        <v>23.490000000000002</v>
      </c>
      <c r="J44" s="209">
        <f>IF(J$7="X",VLOOKUP(J$10,'VK-Hooned-Soojus'!$C:$X,2+$C44,FALSE),0)+IF(J$6="X",VLOOKUP(J$10,'VK-Transport'!$C:$X,2+$B44,0))+IF(J$8="X",VLOOKUP(J$10,'VK-Elekter'!$C:$X,2+$D44,0))+IF(J$9="X",VLOOKUP(J$10,'VK-Biokütused'!$C:$U,2+$E44,0))+IF(J$5="X",VLOOKUP(J$10,'VK-Põlevkivi'!$C:$X,2+$G44,0))+IF(J$4="X",VLOOKUP(J$10,'VK-Võrgud'!$C:$X,2+$F44,0))</f>
        <v>13.295833333333334</v>
      </c>
      <c r="K44" s="209">
        <f>IF(K$7="X",VLOOKUP(K$10,'VK-Hooned-Soojus'!$C:$X,2+$C44,FALSE),0)+IF(K$6="X",VLOOKUP(K$10,'VK-Transport'!$C:$X,2+$B44,0))+IF(K$8="X",VLOOKUP(K$10,'VK-Elekter'!$C:$X,2+$D44,0))+IF(K$9="X",VLOOKUP(K$10,'VK-Biokütused'!$C:$U,2+$E44,0))+IF(K$5="X",VLOOKUP(K$10,'VK-Põlevkivi'!$C:$X,2+$G44,0))+IF(K$4="X",VLOOKUP(K$10,'VK-Võrgud'!$C:$X,2+$F44,0))</f>
        <v>13.780000000000001</v>
      </c>
      <c r="L44" s="209">
        <f>IF(L$7="X",VLOOKUP(L$10,'VK-Hooned-Soojus'!$C:$X,2+$C44,FALSE),0)+IF(L$6="X",VLOOKUP(L$10,'VK-Transport'!$C:$X,2+$B44,0))+IF(L$8="X",VLOOKUP(L$10,'VK-Elekter'!$C:$X,2+$D44,0))+IF(L$9="X",VLOOKUP(L$10,'VK-Biokütused'!$C:$U,2+$E44,0))+IF(L$5="X",VLOOKUP(L$10,'VK-Põlevkivi'!$C:$X,2+$G44,0))+IF(L$4="X",VLOOKUP(L$10,'VK-Võrgud'!$C:$X,2+$F44,0))</f>
        <v>23.75</v>
      </c>
      <c r="M44" s="209">
        <f>IF(M$7="X",VLOOKUP(M$10,'VK-Hooned-Soojus'!$C:$X,2+$C44,FALSE),0)+IF(M$6="X",VLOOKUP(M$10,'VK-Transport'!$C:$X,2+$B44,0))+IF(M$8="X",VLOOKUP(M$10,'VK-Elekter'!$C:$X,2+$D44,0))+IF(M$9="X",VLOOKUP(M$10,'VK-Biokütused'!$C:$U,2+$E44,0))+IF(M$5="X",VLOOKUP(M$10,'VK-Põlevkivi'!$C:$X,2+$G44,0))+IF(M$4="X",VLOOKUP(M$10,'VK-Võrgud'!$C:$X,2+$F44,0))</f>
        <v>11.289444444444445</v>
      </c>
      <c r="N44" s="209">
        <f>IF(N$7="X",VLOOKUP(N$10,'VK-Hooned-Soojus'!$C:$X,2+$C44,FALSE),0)+IF(N$6="X",VLOOKUP(N$10,'VK-Transport'!$C:$X,2+$B44,0))+IF(N$8="X",VLOOKUP(N$10,'VK-Elekter'!$C:$X,2+$D44,0))+IF(N$9="X",VLOOKUP(N$10,'VK-Biokütused'!$C:$U,2+$E44,0))+IF(N$5="X",VLOOKUP(N$10,'VK-Põlevkivi'!$C:$X,2+$G44,0))+IF(N$4="X",VLOOKUP(N$10,'VK-Võrgud'!$C:$X,2+$F44,0))</f>
        <v>15.25</v>
      </c>
      <c r="O44" s="209">
        <f t="shared" si="13"/>
        <v>36.785833333333336</v>
      </c>
      <c r="P44" s="209"/>
      <c r="Q44" s="209">
        <f>(IF(Q$7="X",VLOOKUP(Q$10,'VK-Hooned-Soojus'!$C:$X,2+$C44,FALSE),0)+IF(Q$6="X",VLOOKUP(Q$10,'VK-Transport'!$C:$X,2+$B44,0))+IF(Q$8="X",VLOOKUP(Q$10,'VK-Elekter'!$C:$X,2+$D44,0))+IF(Q$9="X",VLOOKUP(Q$10,'VK-Biokütused'!$C:$U,2+$E44,0))+IF(Q$5="X",VLOOKUP(Q$10,'VK-Põlevkivi'!$C:$X,2+$G44,0))+IF(Q$4="X",VLOOKUP(Q$10,'VK-Võrgud'!$C:$X,2+$F44,0)))/1000</f>
        <v>4.9379999999999997</v>
      </c>
      <c r="R44" s="209">
        <f>(IF(R$7="X",VLOOKUP(R$10,'VK-Hooned-Soojus'!$C:$X,2+$C44,FALSE),0)+IF(R$6="X",VLOOKUP(R$10,'VK-Transport'!$C:$X,2+$B44,0))+IF(R$8="X",VLOOKUP(R$10,'VK-Elekter'!$C:$X,2+$D44,0))+IF(R$9="X",VLOOKUP(R$10,'VK-Biokütused'!$C:$U,2+$E44,0))+IF(R$5="X",VLOOKUP(R$10,'VK-Põlevkivi'!$C:$X,2+$G44,0))+IF(R$4="X",VLOOKUP(R$10,'VK-Võrgud'!$C:$X,2+$F44,0)))/1000</f>
        <v>2.9976368215830602</v>
      </c>
      <c r="S44" s="226">
        <f>VLOOKUP(S$10,'VK-Hooned-Soojus'!$C:$I,2+$C44,FALSE) + VLOOKUP(S$10,'VK-Transport'!$C:$I,2+$B44,FALSE)+ VLOOKUP(S$10,'VK-Biokütused'!$C:$G,2+$E44,FALSE)+ VLOOKUP(S$10,'VK-Elekter'!$C:$I,2+$D44,FALSE)+ VLOOKUP(S$10,'VK-Põlevkivi'!$C:$I,2+$G44,FALSE)+ VLOOKUP(S$10,'VK-Võrgud'!$C:$I,2+$F44,FALSE)</f>
        <v>4.6932489610672333E-3</v>
      </c>
      <c r="T44" s="226">
        <f>VLOOKUP(T$10,'VK-Hooned-Soojus'!$C:$I,2+$C44,FALSE) + VLOOKUP(T$10,'VK-Transport'!$C:$I,2+$B44,FALSE)+ VLOOKUP(T$10,'VK-Biokütused'!$C:$G,2+$E44,FALSE)+ VLOOKUP(T$10,'VK-Elekter'!$C:$I,2+$D44,FALSE)+ VLOOKUP(T$10,'VK-Põlevkivi'!$C:$I,2+$G44,FALSE)+ VLOOKUP(T$10,'VK-Võrgud'!$C:$I,2+$F44,FALSE)</f>
        <v>-4.170315240633697E-3</v>
      </c>
      <c r="U44" s="226">
        <f>VLOOKUP(U$10,'VK-Hooned-Soojus'!$C:$I,2+$C44,FALSE) + VLOOKUP(U$10,'VK-Transport'!$C:$I,2+$B44,FALSE)+ VLOOKUP(U$10,'VK-Biokütused'!$C:$G,2+$E44,FALSE)+ VLOOKUP(U$10,'VK-Elekter'!$C:$I,2+$D44,FALSE)+ VLOOKUP(U$10,'VK-Põlevkivi'!$C:$I,2+$G44,FALSE)+ VLOOKUP(U$10,'VK-Võrgud'!$C:$I,2+$F44,FALSE)</f>
        <v>-3.1544979297291331E-3</v>
      </c>
      <c r="V44" s="226">
        <f>VLOOKUP(V$10,'VK-Hooned-Soojus'!$C:$I,2+$C44,FALSE) + VLOOKUP(V$10,'VK-Transport'!$C:$I,2+$B44,FALSE)+ VLOOKUP(V$10,'VK-Biokütused'!$C:$G,2+$E44,FALSE)+ VLOOKUP(V$10,'VK-Elekter'!$C:$I,2+$D44,FALSE)+ VLOOKUP(V$10,'VK-Põlevkivi'!$C:$I,2+$G44,FALSE)+ VLOOKUP(V$10,'VK-Võrgud'!$C:$I,2+$F44,FALSE)</f>
        <v>7.882499647692158E-3</v>
      </c>
      <c r="W44" s="226">
        <f>VLOOKUP(W$10,'VK-Hooned-Soojus'!$C:$I,2+$C44,FALSE) + VLOOKUP(W$10,'VK-Transport'!$C:$I,2+$B44,FALSE)+ VLOOKUP(W$10,'VK-Biokütused'!$C:$G,2+$E44,FALSE)+ VLOOKUP(W$10,'VK-Elekter'!$C:$I,2+$D44,FALSE)+ VLOOKUP(W$10,'VK-Põlevkivi'!$C:$I,2+$G44,FALSE)+ VLOOKUP(W$10,'VK-Võrgud'!$C:$I,2+$F44,FALSE)</f>
        <v>-2.1541626321170734E-2</v>
      </c>
      <c r="X44" s="226">
        <f>VLOOKUP(X$10,'VK-Hooned-Soojus'!$C:$I,2+$C44,FALSE) + VLOOKUP(X$10,'VK-Transport'!$C:$I,2+$B44,FALSE)+ VLOOKUP(X$10,'VK-Biokütused'!$C:$G,2+$E44,FALSE)+ VLOOKUP(X$10,'VK-Elekter'!$C:$I,2+$D44,FALSE)+ VLOOKUP(X$10,'VK-Põlevkivi'!$C:$I,2+$G44,FALSE)+ VLOOKUP(X$10,'VK-Võrgud'!$C:$I,2+$F44,FALSE)</f>
        <v>-1.8657381848568147E-2</v>
      </c>
      <c r="Y44" s="226">
        <f>VLOOKUP(Y$10,'VK-Hooned-Soojus'!$C:$I,2+$C44,FALSE) + VLOOKUP(Y$10,'VK-Transport'!$C:$I,2+$B44,FALSE)+ VLOOKUP(Y$10,'VK-Biokütused'!$C:$G,2+$E44,FALSE)+ VLOOKUP(Y$10,'VK-Elekter'!$C:$I,2+$D44,FALSE)+ VLOOKUP(Y$10,'VK-Põlevkivi'!$C:$I,2+$G44,FALSE)+ VLOOKUP(Y$10,'VK-Võrgud'!$C:$I,2+$F44,FALSE)</f>
        <v>-3.32156195252769E-2</v>
      </c>
      <c r="Z44" s="227">
        <f>(S44*Tulemused!$Q$9*10+T44*Tulemused!$Q$10*10+KOMBI!U44*Tulemused!$Q$11*10+KOMBI!V44*Tulemused!$Q$12*10)*Tulemused!$Q$8+-(W44*Tulemused!$Q$14*10+KOMBI!X44*Tulemused!$Q$15*10+KOMBI!Y44*Tulemused!$Q$16*10)*Tulemused!$Q$13</f>
        <v>1.2623673370305748</v>
      </c>
      <c r="AA44" s="228">
        <f>(IF(AA$7="X",VLOOKUP(AA$10,'VK-Hooned-Soojus'!$C:$X,2+$C44,FALSE),0)+IF(AA$6="X",VLOOKUP(AA$10,'VK-Transport'!$C:$X,2+$B44,0))+IF(AA$8="X",VLOOKUP(AA$10,'VK-Elekter'!$C:$X,2+$D44,0))+IF(AA$9="X",VLOOKUP(AA$10,'VK-Biokütused'!$C:$U,2+$E44,0))+IF(AA$5="X",VLOOKUP(AA$10,'VK-Põlevkivi'!$C:$X,2+$G44,0))+IF(AA$4="X",VLOOKUP(AA$10,'VK-Võrgud'!$C:$X,2+$F44,0)))</f>
        <v>3761</v>
      </c>
      <c r="AB44" s="228">
        <f>(IF(AB$7="X",VLOOKUP(AB$10,'VK-Hooned-Soojus'!$C:$X,2+$C44,FALSE),0)+IF(AB$6="X",VLOOKUP(AB$10,'VK-Transport'!$C:$X,2+$B44,0))+IF(AB$8="X",VLOOKUP(AB$10,'VK-Elekter'!$C:$X,2+$D44,0))+IF(AB$9="X",VLOOKUP(AB$10,'VK-Biokütused'!$C:$U,2+$E44,0))+IF(AB$5="X",VLOOKUP(AB$10,'VK-Põlevkivi'!$C:$X,2+$G44,0))+IF(AB$4="X",VLOOKUP(AB$10,'VK-Võrgud'!$C:$X,2+$F44,0)))</f>
        <v>1177</v>
      </c>
      <c r="AC44" s="228">
        <f>(IF(AC$7="X",VLOOKUP(AC$10,'VK-Hooned-Soojus'!$C:$X,2+$C44,FALSE),0)+IF(AC$6="X",VLOOKUP(AC$10,'VK-Transport'!$C:$X,2+$B44,0))+IF(AC$8="X",VLOOKUP(AC$10,'VK-Elekter'!$C:$X,2+$D44,0))+IF(AC$9="X",VLOOKUP(AC$10,'VK-Biokütused'!$C:$U,2+$E44,0))+IF(AC$5="X",VLOOKUP(AC$10,'VK-Põlevkivi'!$C:$X,2+$G44,0))+IF(AC$4="X",VLOOKUP(AC$10,'VK-Võrgud'!$C:$X,2+$F44,0)))</f>
        <v>2346</v>
      </c>
      <c r="AD44" s="228">
        <f>(IF(AD$7="X",VLOOKUP(AD$10,'VK-Hooned-Soojus'!$C:$X,2+$C44,FALSE),0)+IF(AD$6="X",VLOOKUP(AD$10,'VK-Transport'!$C:$X,2+$B44,0))+IF(AD$8="X",VLOOKUP(AD$10,'VK-Elekter'!$C:$X,2+$D44,0))+IF(AD$9="X",VLOOKUP(AD$10,'VK-Biokütused'!$C:$U,2+$E44,0))+IF(AD$5="X",VLOOKUP(AD$10,'VK-Põlevkivi'!$C:$X,2+$G44,0))+IF(AD$4="X",VLOOKUP(AD$10,'VK-Võrgud'!$C:$X,2+$F44,0)))</f>
        <v>0</v>
      </c>
      <c r="AE44" s="228">
        <f>(IF(AE$7="X",VLOOKUP(AE$10,'VK-Hooned-Soojus'!$C:$X,2+$C44,FALSE),0)+IF(AE$6="X",VLOOKUP(AE$10,'VK-Transport'!$C:$X,2+$B44,0))+IF(AE$8="X",VLOOKUP(AE$10,'VK-Elekter'!$C:$X,2+$D44,0))+IF(AE$9="X",VLOOKUP(AE$10,'VK-Biokütused'!$C:$U,2+$E44,0))+IF(AE$5="X",VLOOKUP(AE$10,'VK-Põlevkivi'!$C:$X,2+$G44,0))+IF(AE$4="X",VLOOKUP(AE$10,'VK-Võrgud'!$C:$X,2+$F44,0)))</f>
        <v>507</v>
      </c>
      <c r="AF44" s="228">
        <f>(IF(AF$7="X",VLOOKUP(AF$10,'VK-Hooned-Soojus'!$C:$X,2+$C44,FALSE),0)+IF(AF$6="X",VLOOKUP(AF$10,'VK-Transport'!$C:$X,2+$B44,0))+IF(AF$8="X",VLOOKUP(AF$10,'VK-Elekter'!$C:$X,2+$D44,0))+IF(AF$9="X",VLOOKUP(AF$10,'VK-Biokütused'!$C:$U,2+$E44,0))+IF(AF$5="X",VLOOKUP(AF$10,'VK-Põlevkivi'!$C:$X,2+$G44,0))+IF(AF$4="X",VLOOKUP(AF$10,'VK-Võrgud'!$C:$X,2+$F44,0)))</f>
        <v>2490.6368215830603</v>
      </c>
      <c r="AG44" s="209"/>
      <c r="AH44" s="209">
        <f>IF(AH$7="X",VLOOKUP(AH$10,'VK-Hooned-Soojus'!$C:$X,2+$C44,FALSE),0)+IF(AH$6="X",VLOOKUP(AH$10,'VK-Transport'!$C:$X,2+$B44,0))+IF(AH$8="X",VLOOKUP(AH$10,'VK-Elekter'!$C:$X,2+$D44,0))+IF(AH$9="X",VLOOKUP(AH$10,'VK-Biokütused'!$C:$U,2+$E44,0))+IF(AH$5="X",VLOOKUP(AH$10,'VK-Põlevkivi'!$C:$X,2+$G44,0))+IF(AH$4="X",VLOOKUP(AH$10,'VK-Võrgud'!$C:$X,2+$F44,0))</f>
        <v>11.64</v>
      </c>
      <c r="AI44" s="209">
        <f>IF(AI$7="X",VLOOKUP(AI$10,'VK-Hooned-Soojus'!$C:$X,2+$C44,FALSE),0)+IF(AI$6="X",VLOOKUP(AI$10,'VK-Transport'!$C:$X,2+$B44,0))+IF(AI$8="X",VLOOKUP(AI$10,'VK-Elekter'!$C:$X,2+$D44,0))+IF(AI$9="X",VLOOKUP(AI$10,'VK-Biokütused'!$C:$U,2+$E44,0))+IF(AI$5="X",VLOOKUP(AI$10,'VK-Põlevkivi'!$C:$X,2+$G44,0))+IF(AI$4="X",VLOOKUP(AI$10,'VK-Võrgud'!$C:$X,2+$F44,0))</f>
        <v>2.3100000000000005</v>
      </c>
      <c r="AJ44" s="209">
        <f>IF(AJ$7="X",VLOOKUP(AJ$10,'VK-Hooned-Soojus'!$C:$X,2+$C44,FALSE),0)+IF(AJ$6="X",VLOOKUP(AJ$10,'VK-Transport'!$C:$X,2+$B44,0))+IF(AJ$8="X",VLOOKUP(AJ$10,'VK-Elekter'!$C:$X,2+$D44,0))+IF(AJ$9="X",VLOOKUP(AJ$10,'VK-Biokütused'!$C:$U,2+$E44,0))+IF(AJ$5="X",VLOOKUP(AJ$10,'VK-Põlevkivi'!$C:$X,2+$G44,0))+IF(AJ$4="X",VLOOKUP(AJ$10,'VK-Võrgud'!$C:$X,2+$F44,0))</f>
        <v>9.25</v>
      </c>
      <c r="AK44" s="209">
        <f>IF(AK$7="X",VLOOKUP(AK$10,'VK-Hooned-Soojus'!$C:$X,2+$C44,FALSE),0)+IF(AK$6="X",VLOOKUP(AK$10,'VK-Transport'!$C:$X,2+$B44,0))+IF(AK$8="X",VLOOKUP(AK$10,'VK-Elekter'!$C:$X,2+$D44,0))+IF(AK$9="X",VLOOKUP(AK$10,'VK-Biokütused'!$C:$U,2+$E44,0))+IF(AK$5="X",VLOOKUP(AK$10,'VK-Põlevkivi'!$C:$X,2+$G44,0))+IF(AK$4="X",VLOOKUP(AK$10,'VK-Võrgud'!$C:$X,2+$F44,0))</f>
        <v>2.78</v>
      </c>
      <c r="AL44" s="209">
        <f>IF(AL$7="X",VLOOKUP(AL$10,'VK-Hooned-Soojus'!$C:$X,2+$C44,FALSE),0)+IF(AL$6="X",VLOOKUP(AL$10,'VK-Transport'!$C:$X,2+$B44,0))+IF(AL$8="X",VLOOKUP(AL$10,'VK-Elekter'!$C:$X,2+$D44,0))+IF(AL$9="X",VLOOKUP(AL$10,'VK-Biokütused'!$C:$U,2+$E44,0))+IF(AL$5="X",VLOOKUP(AL$10,'VK-Põlevkivi'!$C:$X,2+$G44,0))+IF(AL$4="X",VLOOKUP(AL$10,'VK-Võrgud'!$C:$X,2+$F44,0))</f>
        <v>7.1</v>
      </c>
      <c r="AM44" s="209">
        <f>IF(AM$7="X",VLOOKUP(AM$10,'VK-Hooned-Soojus'!$C:$X,2+$C44,FALSE),0)+IF(AM$6="X",VLOOKUP(AM$10,'VK-Transport'!$C:$X,2+$B44,0))+IF(AM$8="X",VLOOKUP(AM$10,'VK-Elekter'!$C:$X,2+$D44,0))+IF(AM$9="X",VLOOKUP(AM$10,'VK-Biokütused'!$C:$U,2+$E44,0))+IF(AM$5="X",VLOOKUP(AM$10,'VK-Põlevkivi'!$C:$X,2+$G44,0))+IF(AM$4="X",VLOOKUP(AM$10,'VK-Võrgud'!$C:$X,2+$F44,0))</f>
        <v>11.5</v>
      </c>
      <c r="AN44" s="209">
        <f>IF(AN$7="X",VLOOKUP(AN$10,'VK-Hooned-Soojus'!$C:$X,2+$C44,FALSE),0)+IF(AN$6="X",VLOOKUP(AN$10,'VK-Transport'!$C:$X,2+$B44,0))+IF(AN$8="X",VLOOKUP(AN$10,'VK-Elekter'!$C:$X,2+$D44,0))+IF(AN$9="X",VLOOKUP(AN$10,'VK-Biokütused'!$C:$U,2+$E44,0))+IF(AN$5="X",VLOOKUP(AN$10,'VK-Põlevkivi'!$C:$X,2+$G44,0))+IF(AN$4="X",VLOOKUP(AN$10,'VK-Võrgud'!$C:$X,2+$F44,0))</f>
        <v>4.0999999999999996</v>
      </c>
      <c r="AO44" s="209">
        <f>IF(AO$7="X",VLOOKUP(AO$10,'VK-Hooned-Soojus'!$C:$X,2+$C44,FALSE),0)+IF(AO$6="X",VLOOKUP(AO$10,'VK-Transport'!$C:$X,2+$B44,0))+IF(AO$8="X",VLOOKUP(AO$10,'VK-Elekter'!$C:$X,2+$D44,0))+IF(AO$9="X",VLOOKUP(AO$10,'VK-Biokütused'!$C:$U,2+$E44,0))+IF(AO$5="X",VLOOKUP(AO$10,'VK-Põlevkivi'!$C:$X,2+$G44,0))+IF(AO$4="X",VLOOKUP(AO$10,'VK-Võrgud'!$C:$X,2+$F44,0))</f>
        <v>12.16</v>
      </c>
      <c r="AP44" s="209">
        <f>IF(AP$7="X",VLOOKUP(AP$10,'VK-Hooned-Soojus'!$C:$X,2+$C44,FALSE),0)+IF(AP$6="X",VLOOKUP(AP$10,'VK-Transport'!$C:$X,2+$B44,0))+IF(AP$8="X",VLOOKUP(AP$10,'VK-Elekter'!$C:$X,2+$D44,0))+IF(AP$9="X",VLOOKUP(AP$10,'VK-Biokütused'!$C:$U,2+$E44,0))+IF(AP$5="X",VLOOKUP(AP$10,'VK-Põlevkivi'!$C:$X,2+$G44,0))+IF(AP$4="X",VLOOKUP(AP$10,'VK-Võrgud'!$C:$X,2+$F44,0))</f>
        <v>6.08</v>
      </c>
      <c r="AQ44" s="320">
        <f t="shared" si="14"/>
        <v>0</v>
      </c>
      <c r="AR44" s="209">
        <f>IF(AR$7="X",VLOOKUP(AR$10,'VK-Hooned-Soojus'!$C:$X,2+$C44,FALSE),0)+IF(AR$6="X",VLOOKUP(AR$10,'VK-Transport'!$C:$X,2+$B44,0))+IF(AR$8="X",VLOOKUP(AR$10,'VK-Elekter'!$C:$X,2+$D44,0))+IF(AR$9="X",VLOOKUP(AR$10,'VK-Biokütused'!$C:$U,2+$E44,0))+IF(AR$5="X",VLOOKUP(AR$10,'VK-Põlevkivi'!$C:$X,2+$G44,0))+IF(AR$4="X",VLOOKUP(AR$10,'VK-Võrgud'!$C:$X,2+$F44,0))</f>
        <v>2.3899999999999997</v>
      </c>
      <c r="AS44" s="320">
        <f>VLOOKUP("Kütuste tarbimine @ 2030 - UTTEGAAS",'VK-Hooned-Soojus'!$C:$X,2+$C44,FALSE)/0.172+VLOOKUP("Kütuste tarbimine @ 2030 - UTTEGAAS",'VK-Elekter'!$C:$X,2+$D44,FALSE)/0.172-AR44-AU44</f>
        <v>2.8565116279069773</v>
      </c>
      <c r="AT44" s="209">
        <f>IF(AT$7="X",VLOOKUP(AT$10,'VK-Hooned-Soojus'!$C:$X,2+$C44,FALSE),0)+IF(AT$6="X",VLOOKUP(AT$10,'VK-Transport'!$C:$X,2+$B44,0))+IF(AT$8="X",VLOOKUP(AT$10,'VK-Elekter'!$C:$X,2+$D44,0))+IF(AT$9="X",VLOOKUP(AT$10,'VK-Biokütused'!$C:$U,2+$E44,0))+IF(AT$5="X",VLOOKUP(AT$10,'VK-Põlevkivi'!$C:$X,2+$G44,0))+IF(AT$4="X",VLOOKUP(AT$10,'VK-Võrgud'!$C:$X,2+$F44,0))</f>
        <v>12.004929222526066</v>
      </c>
      <c r="AU44" s="229">
        <f>MAX(0,(VLOOKUP("Kütuste tarbimine @ 2030 - UTTEGAAS",'VK-Hooned-Soojus'!$C:$X,2+$C44,FALSE)/0.172+VLOOKUP("Kütuste tarbimine @ 2030 - UTTEGAAS",'VK-Elekter'!$C:$X,2+$D44,FALSE)/0.172)*0.52-VLOOKUP("Kütuste tarbimine @ 2030 - PÕLEVKIVIÕLI",'VK-Hooned-Soojus'!$C:$X,2+$C44,FALSE))</f>
        <v>5.6837209302325586</v>
      </c>
      <c r="AV44" s="209">
        <f>IF(AV$7="X",VLOOKUP(AV$10,'VK-Hooned-Soojus'!$C:$X,2+$C44,FALSE),0)+IF(AV$6="X",VLOOKUP(AV$10,'VK-Transport'!$C:$X,2+$B44,0))+IF(AV$8="X",VLOOKUP(AV$10,'VK-Elekter'!$C:$X,2+$D44,0))+IF(AV$9="X",VLOOKUP(AV$10,'VK-Biokütused'!$C:$U,2+$E44,0))+IF(AV$5="X",VLOOKUP(AV$10,'VK-Põlevkivi'!$C:$X,2+$G44,0))+IF(AV$4="X",VLOOKUP(AV$10,'VK-Võrgud'!$C:$X,2+$F44,0))</f>
        <v>1.1831224847375093</v>
      </c>
      <c r="AW44" s="209">
        <f>IF(AW$7="X",VLOOKUP(AW$10,'VK-Hooned-Soojus'!$C:$X,2+$C44,FALSE),0)+IF(AW$6="X",VLOOKUP(AW$10,'VK-Transport'!$C:$X,2+$B44,0))+IF(AW$8="X",VLOOKUP(AW$10,'VK-Elekter'!$C:$X,2+$D44,0))+IF(AW$9="X",VLOOKUP(AW$10,'VK-Biokütused'!$C:$U,2+$E44,0))+IF(AW$5="X",VLOOKUP(AW$10,'VK-Põlevkivi'!$C:$X,2+$G44,0))+IF(AW$4="X",VLOOKUP(AW$10,'VK-Võrgud'!$C:$X,2+$F44,0))</f>
        <v>0</v>
      </c>
      <c r="AX44" s="229">
        <f t="shared" si="34"/>
        <v>0</v>
      </c>
      <c r="AY44" s="229">
        <f t="shared" si="15"/>
        <v>1.1831224847375093</v>
      </c>
      <c r="AZ44" s="230">
        <f t="shared" si="36"/>
        <v>0.602327938464434</v>
      </c>
      <c r="BA44" s="209">
        <f>IF(BA$7="X",VLOOKUP(BA$10,'VK-Hooned-Soojus'!$C:$X,2+$C44,FALSE),0)+IF(BA$6="X",VLOOKUP(BA$10,'VK-Transport'!$C:$X,2+$B44,0))+IF(BA$8="X",VLOOKUP(BA$10,'VK-Elekter'!$C:$X,2+$D44,0))+IF(BA$9="X",VLOOKUP(BA$10,'VK-Biokütused'!$C:$U,2+$E44,0))+IF(BA$5="X",VLOOKUP(BA$10,'VK-Põlevkivi'!$C:$X,2+$G44,0))+IF(BA$4="X",VLOOKUP(BA$10,'VK-Võrgud'!$C:$X,2+$F44,0))</f>
        <v>4.25</v>
      </c>
      <c r="BB44" s="209">
        <f>IF(BB$7="X",VLOOKUP(BB$10,'VK-Hooned-Soojus'!$C:$X,2+$C44,FALSE),0)+IF(BB$6="X",VLOOKUP(BB$10,'VK-Transport'!$C:$X,2+$B44,0))+IF(BB$8="X",VLOOKUP(BB$10,'VK-Elekter'!$C:$X,2+$D44,0))+IF(BB$9="X",VLOOKUP(BB$10,'VK-Biokütused'!$C:$U,2+$E44,0))+IF(BB$5="X",VLOOKUP(BB$10,'VK-Põlevkivi'!$C:$X,2+$G44,0))+IF(BB$4="X",VLOOKUP(BB$10,'VK-Võrgud'!$C:$X,2+$F44,0))</f>
        <v>2.93</v>
      </c>
      <c r="BC44" s="209">
        <f>IF(BC$7="X",VLOOKUP(BC$10,'VK-Hooned-Soojus'!$C:$X,2+$C44,FALSE),0)+IF(BC$6="X",VLOOKUP(BC$10,'VK-Transport'!$C:$X,2+$B44,0))+IF(BC$8="X",VLOOKUP(BC$10,'VK-Elekter'!$C:$X,2+$D44,0))+IF(BC$9="X",VLOOKUP(BC$10,'VK-Biokütused'!$C:$U,2+$E44,0))+IF(BC$5="X",VLOOKUP(BC$10,'VK-Põlevkivi'!$C:$X,2+$G44,0))+IF(BC$4="X",VLOOKUP(BC$10,'VK-Võrgud'!$C:$X,2+$F44,0))</f>
        <v>5.2376666666666667</v>
      </c>
      <c r="BD44" s="209">
        <f>IF(BD$7="X",VLOOKUP(BD$10,'VK-Hooned-Soojus'!$C:$X,2+$C44,FALSE),0)+IF(BD$6="X",VLOOKUP(BD$10,'VK-Transport'!$C:$X,2+$B44,0))+IF(BD$8="X",VLOOKUP(BD$10,'VK-Elekter'!$C:$X,2+$D44,0))+IF(BD$9="X",VLOOKUP(BD$10,'VK-Biokütused'!$C:$U,2+$E44,0))+IF(BD$5="X",VLOOKUP(BD$10,'VK-Põlevkivi'!$C:$X,2+$G44,0))+IF(BD$4="X",VLOOKUP(BD$10,'VK-Võrgud'!$C:$X,2+$F44,0))</f>
        <v>9.1105555555555569</v>
      </c>
      <c r="BE44" s="230"/>
      <c r="BF44" s="229">
        <f t="shared" si="16"/>
        <v>0.30802785422263623</v>
      </c>
      <c r="BG44" s="209" t="e">
        <f>(IF(BG$7="X",VLOOKUP(BG$10,'VK-Hooned-Soojus'!$C:$X,2+$C44,FALSE),0)+IF(BG$6="X",VLOOKUP(BG$10,'VK-Transport'!$C:$X,2+$B44,0))+IF(BG$8="X",VLOOKUP(BG$10,'VK-Elekter'!$C:$X,2+$D44,0))+IF(BG$9="X",VLOOKUP(BG$10,'VK-Biokütused'!$C:$U,2+$E44,0))+IF(BG$5="X",VLOOKUP(BG$10,'VK-Põlevkivi'!$C:$X,2+$G44,0))+IF(BG$4="X",VLOOKUP(BG$10,'VK-Võrgud'!$C:$X,2+$F44,0)))/20</f>
        <v>#N/A</v>
      </c>
      <c r="BH44" s="209">
        <f>(IF(BH$7="X",VLOOKUP(BH$10,'VK-Hooned-Soojus'!$C:$X,2+$C44,FALSE),0)+IF(BH$6="X",VLOOKUP(BH$10,'VK-Transport'!$C:$X,2+$B44,0))+IF(BH$8="X",VLOOKUP(BH$10,'VK-Elekter'!$C:$X,2+$D44,0))+IF(BH$9="X",VLOOKUP(BH$10,'VK-Biokütused'!$C:$U,2+$E44,0))+IF(BH$5="X",VLOOKUP(BH$10,'VK-Põlevkivi'!$C:$X,2+$G44,0))+IF(BH$4="X",VLOOKUP(BH$10,'VK-Võrgud'!$C:$X,2+$F44,0)))/20</f>
        <v>84.204999999999998</v>
      </c>
      <c r="BI44" s="209">
        <f>(IF(BI$7="X",VLOOKUP(BI$10,'VK-Hooned-Soojus'!$C:$X,2+$C44,FALSE),0)+IF(BI$6="X",VLOOKUP(BI$10,'VK-Transport'!$C:$X,2+$B44,0))+IF(BI$8="X",VLOOKUP(BI$10,'VK-Elekter'!$C:$X,2+$D44,0))+IF(BI$9="X",VLOOKUP(BI$10,'VK-Biokütused'!$C:$U,2+$E44,0))+IF(BI$5="X",VLOOKUP(BI$10,'VK-Põlevkivi'!$C:$X,2+$G44,0))+IF(BI$4="X",VLOOKUP(BI$10,'VK-Võrgud'!$C:$X,2+$F44,0)))/16</f>
        <v>8.9375</v>
      </c>
      <c r="BJ44" s="209">
        <f>(IF(BJ$7="X",VLOOKUP(BJ$10,'VK-Hooned-Soojus'!$C:$X,2+$C44,FALSE),0)+IF(BJ$6="X",VLOOKUP(BJ$10,'VK-Transport'!$C:$X,2+$B44,0))+IF(BJ$8="X",VLOOKUP(BJ$10,'VK-Elekter'!$C:$X,2+$D44,0))+IF(BJ$9="X",VLOOKUP(BJ$10,'VK-Biokütused'!$C:$U,2+$E44,0))+IF(BJ$5="X",VLOOKUP(BJ$10,'VK-Põlevkivi'!$C:$X,2+$G44,0))+IF(BJ$4="X",VLOOKUP(BJ$10,'VK-Võrgud'!$C:$X,2+$F44,0)))/20</f>
        <v>5.33</v>
      </c>
      <c r="BK44" s="209"/>
      <c r="BL44" s="209"/>
      <c r="BM44" s="209"/>
      <c r="BN44" s="209" t="e">
        <f>(IF(BN$7="X",VLOOKUP(BN$10,'VK-Hooned-Soojus'!$C:$X,2+$C44,FALSE),0)+IF(BN$6="X",VLOOKUP(BN$10,'VK-Transport'!$C:$X,2+$B44,0))+IF(BN$8="X",VLOOKUP(BN$10,'VK-Elekter'!$C:$X,2+$D44,0))+IF(BN$9="X",VLOOKUP(BN$10,'VK-Biokütused'!$C:$U,2+$E44,0))+IF(BN$5="X",VLOOKUP(BN$10,'VK-Põlevkivi'!$C:$X,2+$G44,0))+IF(BN$4="X",VLOOKUP(BN$10,'VK-Võrgud'!$C:$X,2+$F44,0)))/16</f>
        <v>#N/A</v>
      </c>
      <c r="BO44" s="209">
        <f>(IF(BO$7="X",VLOOKUP(BO$10,'VK-Hooned-Soojus'!$C:$X,2+$C44,FALSE),0)+IF(BO$6="X",VLOOKUP(BO$10,'VK-Transport'!$C:$X,2+$B44,0))+IF(BO$8="X",VLOOKUP(BO$10,'VK-Elekter'!$C:$X,2+$D44,0))+IF(BO$9="X",VLOOKUP(BO$10,'VK-Biokütused'!$C:$U,2+$E44,0))+IF(BO$5="X",VLOOKUP(BO$10,'VK-Põlevkivi'!$C:$X,2+$G44,0))+IF(BO$4="X",VLOOKUP(BO$10,'VK-Võrgud'!$C:$X,2+$F44,0)))/16</f>
        <v>496.33125000000001</v>
      </c>
      <c r="BP44" s="209"/>
      <c r="BQ44" s="209">
        <f>(IF(BQ$7="X",VLOOKUP(BQ$10,'VK-Hooned-Soojus'!$C:$X,2+$C44,FALSE),0)+IF(BQ$6="X",VLOOKUP(BQ$10,'VK-Transport'!$C:$X,2+$B44,0))+IF(BQ$8="X",VLOOKUP(BQ$10,'VK-Elekter'!$C:$X,2+$D44,0))+IF(BQ$9="X",VLOOKUP(BQ$10,'VK-Biokütused'!$C:$U,2+$E44,0))+IF(BQ$5="X",VLOOKUP(BQ$10,'VK-Põlevkivi'!$C:$X,2+$G44,0))+IF(BQ$4="X",VLOOKUP(BQ$10,'VK-Võrgud'!$C:$X,2+$F44,0)))/16</f>
        <v>4.7249999999999996</v>
      </c>
      <c r="BR44" s="209">
        <f>(IF(BR$7="X",VLOOKUP(BR$10,'VK-Hooned-Soojus'!$C:$X,2+$C44,FALSE),0)+IF(BR$6="X",VLOOKUP(BR$10,'VK-Transport'!$C:$X,2+$B44,0))+IF(BR$8="X",VLOOKUP(BR$10,'VK-Elekter'!$C:$X,2+$D44,0))+IF(BR$9="X",VLOOKUP(BR$10,'VK-Biokütused'!$C:$U,2+$E44,0))+IF(BR$5="X",VLOOKUP(BR$10,'VK-Põlevkivi'!$C:$X,2+$G44,0))+IF(BR$4="X",VLOOKUP(BR$10,'VK-Võrgud'!$C:$X,2+$F44,0)))/16</f>
        <v>-74.512500000000003</v>
      </c>
      <c r="BS44" s="209">
        <f>(IF(BS$7="X",VLOOKUP(BS$10,'VK-Hooned-Soojus'!$C:$X,2+$C44,FALSE),0)+IF(BS$6="X",VLOOKUP(BS$10,'VK-Transport'!$C:$X,2+$B44,0))+IF(BS$8="X",VLOOKUP(BS$10,'VK-Elekter'!$C:$X,2+$D44,0))+IF(BS$9="X",VLOOKUP(BS$10,'VK-Biokütused'!$C:$U,2+$E44,0))+IF(BS$5="X",VLOOKUP(BS$10,'VK-Põlevkivi'!$C:$X,2+$G44,0))+IF(BS$4="X",VLOOKUP(BS$10,'VK-Võrgud'!$C:$X,2+$F44,0)))/16</f>
        <v>-100.68125000000001</v>
      </c>
      <c r="BT44" s="209"/>
      <c r="BU44" s="209"/>
      <c r="BV44" s="209">
        <f>(IF(BV$7="X",VLOOKUP(BV$10,'VK-Hooned-Soojus'!$C:$X,2+$C44,FALSE),0)+IF(BV$6="X",VLOOKUP(BV$10,'VK-Transport'!$C:$X,2+$B44,0))+IF(BV$8="X",VLOOKUP(BV$10,'VK-Elekter'!$C:$X,2+$D44,0))+IF(BV$9="X",VLOOKUP(BV$10,'VK-Biokütused'!$C:$U,2+$E44,0))+IF(BV$5="X",VLOOKUP(BV$10,'VK-Põlevkivi'!$C:$X,2+$G44,0))+IF(BV$4="X",VLOOKUP(BV$10,'VK-Võrgud'!$C:$X,2+$F44,0)))/16</f>
        <v>0</v>
      </c>
      <c r="BW44" s="209"/>
      <c r="BX44" s="209">
        <f>(IF(BX$7="X",VLOOKUP(BX$10,'VK-Hooned-Soojus'!$C:$X,2+$C44,FALSE),0)+IF(BX$6="X",VLOOKUP(BX$10,'VK-Transport'!$C:$X,2+$B44,0))+IF(BX$8="X",VLOOKUP(BX$10,'VK-Elekter'!$C:$X,2+$D44,0))+IF(BX$9="X",VLOOKUP(BX$10,'VK-Biokütused'!$C:$U,2+$E44,0))+IF(BX$5="X",VLOOKUP(BX$10,'VK-Põlevkivi'!$C:$X,2+$G44,0))+IF(BX$4="X",VLOOKUP(BX$10,'VK-Võrgud'!$C:$X,2+$F44,0)))/16</f>
        <v>-99.75</v>
      </c>
      <c r="BY44" s="209"/>
      <c r="BZ44" s="209"/>
      <c r="CA44" s="209" t="e">
        <f>(IF(CA$7="X",VLOOKUP(CA$10,'VK-Hooned-Soojus'!$C:$X,2+$C44,FALSE),0)+IF(CA$6="X",VLOOKUP(CA$10,'VK-Transport'!$C:$X,2+$B44,0))+IF(CA$8="X",VLOOKUP(CA$10,'VK-Elekter'!$C:$X,2+$D44,0))+IF(CA$9="X",VLOOKUP(CA$10,'VK-Biokütused'!$C:$U,2+$E44,0))+IF(CA$5="X",VLOOKUP(CA$10,'VK-Põlevkivi'!$C:$X,2+$G44,0))+IF(CA$4="X",VLOOKUP(CA$10,'VK-Võrgud'!$C:$X,2+$F44,0)))/16</f>
        <v>#N/A</v>
      </c>
      <c r="CB44" s="209">
        <f>(IF(CB$7="X",VLOOKUP(CB$10,'VK-Hooned-Soojus'!$C:$X,2+$C44,FALSE),0)+IF(CB$6="X",VLOOKUP(CB$10,'VK-Transport'!$C:$X,2+$B44,0))+IF(CB$8="X",VLOOKUP(CB$10,'VK-Elekter'!$C:$X,2+$D44,0))+IF(CB$9="X",VLOOKUP(CB$10,'VK-Biokütused'!$C:$U,2+$E44,0))+IF(CB$5="X",VLOOKUP(CB$10,'VK-Põlevkivi'!$C:$X,2+$G44,0))+IF(CB$4="X",VLOOKUP(CB$10,'VK-Võrgud'!$C:$X,2+$F44,0)))/16</f>
        <v>0</v>
      </c>
      <c r="CC44" s="209">
        <f>(IF(CC$7="X",VLOOKUP(CC$10,'VK-Hooned-Soojus'!$C:$X,2+$C44,FALSE),0)+IF(CC$6="X",VLOOKUP(CC$10,'VK-Transport'!$C:$X,2+$B44,0))+IF(CC$8="X",VLOOKUP(CC$10,'VK-Elekter'!$C:$X,2+$D44,0))+IF(CC$9="X",VLOOKUP(CC$10,'VK-Biokütused'!$C:$U,2+$E44,0))+IF(CC$5="X",VLOOKUP(CC$10,'VK-Põlevkivi'!$C:$X,2+$G44,0))+IF(CC$4="X",VLOOKUP(CC$10,'VK-Võrgud'!$C:$X,2+$F44,0)))/16</f>
        <v>0</v>
      </c>
      <c r="CD44" s="209"/>
      <c r="CE44" s="209">
        <f>(IF(CE$7="X",VLOOKUP(CE$10,'VK-Hooned-Soojus'!$C:$X,2+$C44,FALSE),0)+IF(CE$6="X",VLOOKUP(CE$10,'VK-Transport'!$C:$X,2+$B44,0))+IF(CE$8="X",VLOOKUP(CE$10,'VK-Elekter'!$C:$X,2+$D44,0))+IF(CE$9="X",VLOOKUP(CE$10,'VK-Biokütused'!$C:$U,2+$E44,0))+IF(CE$5="X",VLOOKUP(CE$10,'VK-Põlevkivi'!$C:$X,2+$G44,0))+IF(CE$4="X",VLOOKUP(CE$10,'VK-Võrgud'!$C:$X,2+$F44,0)))/16</f>
        <v>24.15625</v>
      </c>
      <c r="CF44" s="209"/>
      <c r="CG44" s="209">
        <f>(IF(CG$7="X",VLOOKUP(CG$10,'VK-Hooned-Soojus'!$C:$X,2+$C44,FALSE),0)+IF(CG$6="X",VLOOKUP(CG$10,'VK-Transport'!$C:$X,2+$B44,0))+IF(CG$8="X",VLOOKUP(CG$10,'VK-Elekter'!$C:$X,2+$D44,0))+IF(CG$9="X",VLOOKUP(CG$10,'VK-Biokütused'!$C:$U,2+$E44,0))+IF(CG$5="X",VLOOKUP(CG$10,'VK-Põlevkivi'!$C:$X,2+$G44,0))+IF(CG$4="X",VLOOKUP(CG$10,'VK-Võrgud'!$C:$X,2+$F44,0)))/16</f>
        <v>0</v>
      </c>
      <c r="CH44" s="209">
        <f>(IF(CH$7="X",VLOOKUP(CH$10,'VK-Hooned-Soojus'!$C:$X,2+$C44,FALSE),0)+IF(CH$6="X",VLOOKUP(CH$10,'VK-Transport'!$C:$X,2+$B44,0))+IF(CH$8="X",VLOOKUP(CH$10,'VK-Elekter'!$C:$X,2+$D44,0))+IF(CH$9="X",VLOOKUP(CH$10,'VK-Biokütused'!$C:$U,2+$E44,0))+IF(CH$5="X",VLOOKUP(CH$10,'VK-Põlevkivi'!$C:$X,2+$G44,0))+IF(CH$4="X",VLOOKUP(CH$10,'VK-Võrgud'!$C:$X,2+$F44,0)))/20*0.21</f>
        <v>26.9178</v>
      </c>
      <c r="CI44" s="209"/>
      <c r="CJ44" s="209">
        <f>(IF(CJ$7="X",VLOOKUP(CJ$10,'VK-Hooned-Soojus'!$C:$X,2+$C44,FALSE),0)+IF(CJ$6="X",VLOOKUP(CJ$10,'VK-Transport'!$C:$X,2+$B44,0))+IF(CJ$8="X",VLOOKUP(CJ$10,'VK-Elekter'!$C:$X,2+$D44,0))+IF(CJ$9="X",VLOOKUP(CJ$10,'VK-Biokütused'!$C:$U,2+$E44,0))+IF(CJ$5="X",VLOOKUP(CJ$10,'VK-Põlevkivi'!$C:$X,2+$G44,0))+IF(CJ$4="X",VLOOKUP(CJ$10,'VK-Võrgud'!$C:$X,2+$F44,0)))/1000</f>
        <v>18.589578011574538</v>
      </c>
      <c r="CK44" s="209">
        <f>(IF(CK$7="X",VLOOKUP(CK$10,'VK-Hooned-Soojus'!$C:$X,2+$C44,FALSE),0)+IF(CK$6="X",VLOOKUP(CK$10,'VK-Transport'!$C:$X,2+$B44,0))+IF(CK$8="X",VLOOKUP(CK$10,'VK-Elekter'!$C:$X,2+$D44,0))+IF(CK$9="X",VLOOKUP(CK$10,'VK-Biokütused'!$C:$U,2+$E44,0))+IF(CK$5="X",VLOOKUP(CK$10,'VK-Põlevkivi'!$C:$X,2+$G44,0))+IF(CK$4="X",VLOOKUP(CK$10,'VK-Võrgud'!$C:$X,2+$F44,0)))/1000</f>
        <v>11.2251245622786</v>
      </c>
      <c r="CL44" s="235">
        <f>(IF(CL$7="X",VLOOKUP(CL$10,'VK-Hooned-Soojus'!$C:$X,2+$C44,FALSE),0)+IF(CL$6="X",VLOOKUP(CL$10,'VK-Transport'!$C:$X,2+$B44,0))+IF(CL$8="X",VLOOKUP(CL$10,'VK-Elekter'!$C:$X,2+$D44,0))+IF(CL$9="X",VLOOKUP(CL$10,'VK-Biokütused'!$C:$U,2+$E44,0)))/1000</f>
        <v>8.8367140697148798</v>
      </c>
      <c r="CM44" s="209">
        <f>(IF(CM$7="X",VLOOKUP(CM$10,'VK-Hooned-Soojus'!$C:$X,2+$C44,FALSE),0)+IF(CM$6="X",VLOOKUP(CM$10,'VK-Transport'!$C:$X,2+$B44,0))+IF(CM$8="X",VLOOKUP(CM$10,'VK-Elekter'!$C:$X,2+$D44,0))+IF(CM$9="X",VLOOKUP(CM$10,'VK-Biokütused'!$C:$U,2+$E44,0))+IF(CM$5="X",VLOOKUP(CM$10,'VK-Põlevkivi'!$C:$X,2+$G44,0))+IF(CM$4="X",VLOOKUP(CM$10,'VK-Võrgud'!$C:$X,2+$F44,0)))/1000</f>
        <v>7.6207605777489071</v>
      </c>
      <c r="CN44" s="209">
        <f>(IF(CN$7="X",VLOOKUP(CN$10,'VK-Hooned-Soojus'!$C:$X,2+$C44,FALSE),0)+IF(CN$6="X",VLOOKUP(CN$10,'VK-Transport'!$C:$X,2+$B44,0))+IF(CN$8="X",VLOOKUP(CN$10,'VK-Elekter'!$C:$X,2+$D44,0))+IF(CN$9="X",VLOOKUP(CN$10,'VK-Biokütused'!$C:$U,2+$E44,0))+IF(CN$5="X",VLOOKUP(CN$10,'VK-Põlevkivi'!$C:$X,2+$G44,0))+IF(CN$4="X",VLOOKUP(CN$10,'VK-Võrgud'!$C:$X,2+$F44,0)))/1000</f>
        <v>2.7559999999999998</v>
      </c>
      <c r="CO44" s="209">
        <f>(IF(CO$7="X",VLOOKUP(CO$10,'VK-Hooned-Soojus'!$C:$X,2+$C44,FALSE),0)+IF(CO$6="X",VLOOKUP(CO$10,'VK-Transport'!$C:$X,2+$B44,0))+IF(CO$8="X",VLOOKUP(CO$10,'VK-Elekter'!$C:$X,2+$D44,0))+IF(CO$9="X",VLOOKUP(CO$10,'VK-Biokütused'!$C:$U,2+$E44,0))+IF(CO$5="X",VLOOKUP(CO$10,'VK-Põlevkivi'!$C:$X,2+$G44,0))+IF(CO$4="X",VLOOKUP(CO$10,'VK-Võrgud'!$C:$X,2+$F44,0)))/1000</f>
        <v>25.115649773285455</v>
      </c>
      <c r="CP44" s="209">
        <f>(IF(CP$7="X",VLOOKUP(CP$10,'VK-Hooned-Soojus'!$C:$X,2+$C44,FALSE),0)+IF(CP$6="X",VLOOKUP(CP$10,'VK-Transport'!$C:$X,2+$B44,0))+IF(CP$8="X",VLOOKUP(CP$10,'VK-Elekter'!$C:$X,2+$D44,0))+IF(CP$9="X",VLOOKUP(CP$10,'VK-Biokütused'!$C:$U,2+$E44,0))+IF(CP$5="X",VLOOKUP(CP$10,'VK-Põlevkivi'!$C:$X,2+$G44,0))+IF(CP$4="X",VLOOKUP(CP$10,'VK-Võrgud'!$C:$X,2+$F44,0)))/1000</f>
        <v>13.407948584295612</v>
      </c>
      <c r="CQ44" s="235">
        <f>(IF(CQ$7="X",VLOOKUP(CQ$10,'VK-Hooned-Soojus'!$C:$X,2+$C44,FALSE),0)+IF(CQ$6="X",VLOOKUP(CQ$10,'VK-Transport'!$C:$X,2+$B44,0))+IF(CQ$8="X",VLOOKUP(CQ$10,'VK-Elekter'!$C:$X,2+$D44,0))+IF(CQ$9="X",VLOOKUP(CQ$10,'VK-Biokütused'!$C:$U,2+$E44,0)))/1000</f>
        <v>10.915906999999999</v>
      </c>
      <c r="CR44" s="209">
        <f>(IF(CR$7="X",VLOOKUP(CR$10,'VK-Hooned-Soojus'!$C:$X,2+$C44,FALSE),0)+IF(CR$6="X",VLOOKUP(CR$10,'VK-Transport'!$C:$X,2+$B44,0))+IF(CR$8="X",VLOOKUP(CR$10,'VK-Elekter'!$C:$X,2+$D44,0))+IF(CR$9="X",VLOOKUP(CR$10,'VK-Biokütused'!$C:$U,2+$E44,0))+IF(CR$5="X",VLOOKUP(CR$10,'VK-Põlevkivi'!$C:$X,2+$G44,0))+IF(CR$4="X",VLOOKUP(CR$10,'VK-Võrgud'!$C:$X,2+$F44,0)))/1000</f>
        <v>7.7317533562748038</v>
      </c>
      <c r="CS44" s="209">
        <f>(IF(CS$7="X",VLOOKUP(CS$10,'VK-Hooned-Soojus'!$C:$X,2+$C44,FALSE),0)+IF(CS$6="X",VLOOKUP(CS$10,'VK-Transport'!$C:$X,2+$B44,0))+IF(CS$8="X",VLOOKUP(CS$10,'VK-Elekter'!$C:$X,2+$D44,0))+IF(CS$9="X",VLOOKUP(CS$10,'VK-Biokütused'!$C:$U,2+$E44,0))+IF(CS$5="X",VLOOKUP(CS$10,'VK-Põlevkivi'!$C:$X,2+$G44,0))+IF(CS$4="X",VLOOKUP(CS$10,'VK-Võrgud'!$C:$X,2+$F44,0)))/1000</f>
        <v>3.9161524051216152</v>
      </c>
      <c r="CT44" s="209">
        <f>IF(CT$7="X",VLOOKUP(CT$10,'VK-Hooned-Soojus'!$C:$X,2+$C44,FALSE),0)+IF(CT$6="X",VLOOKUP(CT$10,'VK-Transport'!$C:$X,2+$B44,0))+IF(CT$8="X",VLOOKUP(CT$10,'VK-Elekter'!$C:$X,2+$D44,0))+IF(CT$9="X",VLOOKUP(CT$10,'VK-Biokütused'!$C:$U,2+$E44,0))+IF(CT$5="X",VLOOKUP(CT$10,'VK-Põlevkivi'!$C:$X,2+$G44,0))+IF(CT$4="X",VLOOKUP(CT$10,'VK-Võrgud'!$C:$X,2+$F44,0))</f>
        <v>90</v>
      </c>
      <c r="CU44" s="209">
        <f>IF(CU$7="X",VLOOKUP(CU$10,'VK-Hooned-Soojus'!$C:$X,2+$C44,FALSE),0)+IF(CU$6="X",VLOOKUP(CU$10,'VK-Transport'!$C:$X,2+$B44,0))+IF(CU$8="X",VLOOKUP(CU$10,'VK-Elekter'!$C:$X,2+$D44,0))+IF(CU$9="X",VLOOKUP(CU$10,'VK-Biokütused'!$C:$U,2+$E44,0))+IF(CU$5="X",VLOOKUP(CU$10,'VK-Põlevkivi'!$C:$X,2+$G44,0))+IF(CU$4="X",VLOOKUP(CU$10,'VK-Võrgud'!$C:$X,2+$F44,0))</f>
        <v>0.72088353413654627</v>
      </c>
      <c r="CV44" s="209">
        <f t="shared" si="37"/>
        <v>1</v>
      </c>
      <c r="CW44" s="209">
        <f>(IF(CW$7="X",VLOOKUP(CW$10,'VK-Hooned-Soojus'!$C:$X,2+$C44,FALSE),0)+IF(CW$6="X",VLOOKUP(CW$10,'VK-Transport'!$C:$X,2+$B44,0))+IF(CW$8="X",VLOOKUP(CW$10,'VK-Elekter'!$C:$X,2+$D44,0))+IF(CW$9="X",VLOOKUP(CW$10,'VK-Biokütused'!$C:$U,2+$E44,0))+IF(CW$5="X",VLOOKUP(CW$10,'VK-Põlevkivi'!$C:$X,2+$G44,0))+IF(CW$4="X",VLOOKUP(CW$10,'VK-Võrgud'!$C:$X,2+$F44,0)))/16</f>
        <v>0</v>
      </c>
      <c r="CY44" s="209">
        <f>(IF(CY$7="X",VLOOKUP(CY$10,'VK-Hooned-Soojus'!$C:$X,2+$C44,FALSE),0)+IF(CY$6="X",VLOOKUP(CY$10,'VK-Transport'!$C:$X,2+$B44,0))+IF(CY$8="X",VLOOKUP(CY$10,'VK-Elekter'!$C:$X,2+$D44,0))+IF(CY$9="X",VLOOKUP(CY$10,'VK-Biokütused'!$C:$U,2+$E44,0))+IF(CY$5="X",VLOOKUP(CY$10,'VK-Põlevkivi'!$C:$X,2+$G44,0))+IF(CY$4="X",VLOOKUP(CY$10,'VK-Võrgud'!$C:$X,2+$F44,0)))/1000</f>
        <v>10.722</v>
      </c>
      <c r="CZ44" s="209">
        <f>(IF(CZ$7="X",VLOOKUP(CZ$10,'VK-Hooned-Soojus'!$C:$X,2+$C44,FALSE),0)+IF(CZ$6="X",VLOOKUP(CZ$10,'VK-Transport'!$C:$X,2+$B44,0))+IF(CZ$8="X",VLOOKUP(CZ$10,'VK-Elekter'!$C:$X,2+$D44,0))+IF(CZ$9="X",VLOOKUP(CZ$10,'VK-Biokütused'!$C:$U,2+$E44,0))+IF(CZ$5="X",VLOOKUP(CZ$10,'VK-Põlevkivi'!$C:$X,2+$G44,0))+IF(CZ$4="X",VLOOKUP(CZ$10,'VK-Võrgud'!$C:$X,2+$F44,0)))</f>
        <v>75</v>
      </c>
      <c r="DA44" s="209">
        <f>(IF(DA$7="X",VLOOKUP(DA$10,'VK-Hooned-Soojus'!$C:$X,2+$C44,FALSE),0)+IF(DA$6="X",VLOOKUP(DA$10,'VK-Transport'!$C:$X,2+$B44,0))+IF(DA$8="X",VLOOKUP(DA$10,'VK-Elekter'!$C:$X,2+$D44,0))+IF(DA$9="X",VLOOKUP(DA$10,'VK-Biokütused'!$C:$U,2+$E44,0))+IF(DA$5="X",VLOOKUP(DA$10,'VK-Põlevkivi'!$C:$X,2+$G44,0))+IF(DA$4="X",VLOOKUP(DA$10,'VK-Võrgud'!$C:$X,2+$F44,0)))/1000</f>
        <v>14.284000000000001</v>
      </c>
      <c r="DB44" s="209">
        <f>(IF(DB$7="X",VLOOKUP(DB$10,'VK-Hooned-Soojus'!$C:$X,2+$C44,FALSE),0)+IF(DB$6="X",VLOOKUP(DB$10,'VK-Transport'!$C:$X,2+$B44,0))+IF(DB$8="X",VLOOKUP(DB$10,'VK-Elekter'!$C:$X,2+$D44,0))+IF(DB$9="X",VLOOKUP(DB$10,'VK-Biokütused'!$C:$U,2+$E44,0))+IF(DB$5="X",VLOOKUP(DB$10,'VK-Põlevkivi'!$C:$X,2+$G44,0))+IF(DB$4="X",VLOOKUP(DB$10,'VK-Võrgud'!$C:$X,2+$F44,0)))/1000/3.6</f>
        <v>63.836388888888891</v>
      </c>
      <c r="DC44" s="209">
        <f>(IF(DC$7="X",VLOOKUP(DC$10,'VK-Hooned-Soojus'!$C:$X,2+$C44,FALSE),0)+IF(DC$6="X",VLOOKUP(DC$10,'VK-Transport'!$C:$X,2+$B44,0))+IF(DC$8="X",VLOOKUP(DC$10,'VK-Elekter'!$C:$X,2+$D44,0))+IF(DC$9="X",VLOOKUP(DC$10,'VK-Biokütused'!$C:$U,2+$E44,0))+IF(DC$5="X",VLOOKUP(DC$10,'VK-Põlevkivi'!$C:$X,2+$G44,0))+IF(DC$4="X",VLOOKUP(DC$10,'VK-Võrgud'!$C:$X,2+$F44,0)))/1000000</f>
        <v>5.1446639999999997</v>
      </c>
      <c r="DD44" s="209"/>
      <c r="DE44" s="88">
        <f>VLOOKUP(Tulemused!$BN$12,data!M$7:N$12,2,FALSE)-SUM(L44,M44)</f>
        <v>-2.20664444444445</v>
      </c>
      <c r="DF44" s="209" t="str">
        <f>IF(AZ44&lt;=VLOOKUP(Tulemused!$BN$15,data!$E$36:$F$39,2,FALSE),"JAH","EI")</f>
        <v>JAH</v>
      </c>
      <c r="DG44" s="209"/>
      <c r="DH44" s="209">
        <f t="shared" si="38"/>
        <v>6.08</v>
      </c>
      <c r="DI44" s="231" t="str">
        <f t="shared" si="17"/>
        <v>EI</v>
      </c>
      <c r="DK44" s="232">
        <f t="shared" si="39"/>
        <v>-998.73763266296942</v>
      </c>
      <c r="DM44" s="233">
        <f t="shared" si="40"/>
        <v>-992.38077138471363</v>
      </c>
      <c r="DN44" s="87">
        <f t="array" ref="DN44">INDEX($A$11:$A$145, SMALL(IF(DM44=$DK$11:$DK$145, MATCH(ROW($DK$11:$DK$145), ROW($DK$11:$DK$145))), SUM(--(DM44=$DM$11:DM44))))</f>
        <v>70</v>
      </c>
      <c r="DP44" s="87" t="e">
        <f t="shared" ca="1" si="18"/>
        <v>#N/A</v>
      </c>
      <c r="DQ44" s="87" t="e">
        <f t="shared" ca="1" si="19"/>
        <v>#N/A</v>
      </c>
      <c r="DR44" s="87">
        <f t="shared" ca="1" si="20"/>
        <v>0</v>
      </c>
      <c r="DS44" s="87" t="e">
        <f t="shared" ca="1" si="21"/>
        <v>#N/A</v>
      </c>
      <c r="DT44" s="87">
        <f t="shared" ca="1" si="22"/>
        <v>0</v>
      </c>
      <c r="DU44" s="87" t="e">
        <f t="shared" ca="1" si="23"/>
        <v>#N/A</v>
      </c>
      <c r="DV44" s="87" t="e">
        <f t="shared" ca="1" si="24"/>
        <v>#N/A</v>
      </c>
      <c r="DW44" s="87">
        <f t="shared" ca="1" si="25"/>
        <v>0</v>
      </c>
      <c r="DX44" s="87">
        <f t="shared" ca="1" si="26"/>
        <v>0</v>
      </c>
      <c r="DZ44" s="87">
        <f t="shared" ca="1" si="35"/>
        <v>0</v>
      </c>
      <c r="EB44" s="87">
        <f t="shared" ca="1" si="27"/>
        <v>0</v>
      </c>
      <c r="EC44" s="87" t="e">
        <f t="shared" ca="1" si="28"/>
        <v>#N/A</v>
      </c>
      <c r="EE44" s="228">
        <f>(IF(EE$7="X",VLOOKUP(EE$10,'VK-Hooned-Soojus'!$C:$X,2+$C44,FALSE),0)+IF(EE$6="X",VLOOKUP(EE$10,'VK-Transport'!$C:$X,2+$B44,0))+IF(EE$8="X",VLOOKUP(EE$10,'VK-Elekter'!$C:$X,2+$D44,0))+IF(EE$9="X",VLOOKUP(EE$10,'VK-Biokütused'!$C:$U,2+$E44,0))+IF(EE$5="X",VLOOKUP(EE$10,'VK-Põlevkivi'!$C:$X,2+$G44,0))+IF(EE$4="X",VLOOKUP(EE$10,'VK-Võrgud'!$C:$X,2+$F44,0)))</f>
        <v>2968.0487147779272</v>
      </c>
      <c r="EF44" s="235">
        <f>(IF(EF$7="X",VLOOKUP(EF$10,'VK-Hooned-Soojus'!$C:$X,2+$C44,FALSE),0)+IF(EF$6="X",VLOOKUP(EF$10,'VK-Transport'!$C:$X,2+$B44,0))+IF(EF$8="X",VLOOKUP(EF$10,'VK-Elekter'!$C:$X,2+$D44,0))+IF(EF$9="X",VLOOKUP(EF$10,'VK-Biokütused'!$C:$U,2+$E44,0)))/1000</f>
        <v>5.3996368215830604</v>
      </c>
      <c r="EG44" s="209">
        <f>(IF(EG$7="X",VLOOKUP(EG$10,'VK-Hooned-Soojus'!$C:$X,2+$C44,FALSE),0)+IF(EG$6="X",VLOOKUP(EG$10,'VK-Transport'!$C:$X,2+$B44,0))+IF(EG$8="X",VLOOKUP(EG$10,'VK-Elekter'!$C:$X,2+$D44,0))+IF(EG$9="X",VLOOKUP(EG$10,'VK-Biokütused'!$C:$U,2+$E44,0))+IF(EG$5="X",VLOOKUP(EG$10,'VK-Põlevkivi'!$C:$X,2+$G44,0))+IF(EG$4="X",VLOOKUP(EG$10,'VK-Võrgud'!$C:$X,2+$F44,0)))</f>
        <v>0.81</v>
      </c>
      <c r="EH44" s="209">
        <f>(IF(EH$7="X",VLOOKUP(EH$10,'VK-Hooned-Soojus'!$C:$X,2+$C44,FALSE),0)+IF(EH$6="X",VLOOKUP(EH$10,'VK-Transport'!$C:$X,2+$B44,0))+IF(EH$8="X",VLOOKUP(EH$10,'VK-Elekter'!$C:$X,2+$D44,0))+IF(EH$9="X",VLOOKUP(EH$10,'VK-Biokütused'!$C:$U,2+$E44,0)))+AR44+AS44+AU44+AX44</f>
        <v>54.358288113695089</v>
      </c>
      <c r="EI44" s="320">
        <f t="shared" si="41"/>
        <v>48.674567183462528</v>
      </c>
      <c r="EJ44" s="322">
        <f t="shared" si="42"/>
        <v>2.201934621570804E-2</v>
      </c>
      <c r="EK44" s="323">
        <f t="shared" si="29"/>
        <v>0.35947746298057853</v>
      </c>
      <c r="EM44" s="209"/>
      <c r="EN44" s="209">
        <f t="shared" ca="1" si="43"/>
        <v>0</v>
      </c>
      <c r="EO44" s="209"/>
      <c r="EP44" s="234"/>
      <c r="EQ44" s="209">
        <f>(IF(EQ$7="X",VLOOKUP(EQ$10,'VK-Hooned-Soojus'!$C:$X,2+$C44,FALSE),0)+IF(EQ$6="X",VLOOKUP(EQ$10,'VK-Transport'!$C:$X,2+$B44,0))+IF(EQ$8="X",VLOOKUP(EQ$10,'VK-Elekter'!$C:$X,2+$D44,0))+IF(EQ$9="X",VLOOKUP(EQ$10,'VK-Biokütused'!$C:$U,2+$E44,0))+IF(EQ$5="X",VLOOKUP(EQ$10,'VK-Põlevkivi'!$C:$X,2+$G44,0))+IF(EQ$4="X",VLOOKUP(EQ$10,'VK-Võrgud'!$C:$X,2+$F44,0)))/1000</f>
        <v>0.19900000000000001</v>
      </c>
      <c r="ER44" s="209">
        <f>(IF(ER$7="X",VLOOKUP(ER$10,'VK-Hooned-Soojus'!$C:$X,2+$C44,FALSE),0)+IF(ER$6="X",VLOOKUP(ER$10,'VK-Transport'!$C:$X,2+$B44,0))+IF(ER$8="X",VLOOKUP(ER$10,'VK-Elekter'!$C:$X,2+$D44,0))+IF(ER$9="X",VLOOKUP(ER$10,'VK-Biokütused'!$C:$U,2+$E44,0))+IF(ER$5="X",VLOOKUP(ER$10,'VK-Põlevkivi'!$C:$X,2+$G44,0))+IF(ER$4="X",VLOOKUP(ER$10,'VK-Võrgud'!$C:$X,2+$F44,0)))</f>
        <v>0.72299999999999998</v>
      </c>
      <c r="ES44" s="209">
        <f>(IF(ES$7="X",VLOOKUP(ES$10,'VK-Hooned-Soojus'!$C:$X,2+$C44,FALSE),0)+IF(ES$6="X",VLOOKUP(ES$10,'VK-Transport'!$C:$X,2+$B44,0))+IF(ES$8="X",VLOOKUP(ES$10,'VK-Elekter'!$C:$X,2+$D44,0))+IF(ES$9="X",VLOOKUP(ES$10,'VK-Biokütused'!$C:$U,2+$E44,0))+IF(ES$5="X",VLOOKUP(ES$10,'VK-Põlevkivi'!$C:$X,2+$G44,0))+IF(ES$4="X",VLOOKUP(ES$10,'VK-Võrgud'!$C:$X,2+$F44,0)))</f>
        <v>6.08</v>
      </c>
      <c r="ET44" s="209"/>
      <c r="EU44" s="209"/>
      <c r="EV44" s="87">
        <f>'KSH järjestus'!AS37</f>
        <v>1726</v>
      </c>
      <c r="EX44" s="236"/>
      <c r="EY44" s="236"/>
      <c r="EZ44" s="237">
        <f t="shared" si="44"/>
        <v>0.27911646586345373</v>
      </c>
      <c r="FA44" s="209">
        <f>IF(FA$7="X",VLOOKUP(FA$10,'VK-Hooned-Soojus'!$C:$X,2+$C44,FALSE),0)+IF(FA$6="X",VLOOKUP(FA$10,'VK-Transport'!$C:$X,2+$B44,0))+IF(FA$8="X",VLOOKUP(FA$10,'VK-Elekter'!$C:$X,2+$D44,0))+IF(FA$9="X",VLOOKUP(FA$10,'VK-Biokütused'!$C:$U,2+$E44,0))+IF(FA$5="X",VLOOKUP(FA$10,'VK-Põlevkivi'!$C:$X,2+$G44,0))+IF(FA$4="X",VLOOKUP(FA$10,'VK-Võrgud'!$C:$X,2+$F44,0))</f>
        <v>3367.9070000000002</v>
      </c>
      <c r="FB44" s="279">
        <f>(IF(FB$7="X",VLOOKUP(FB$10,'VK-Hooned-Soojus'!$C:$X,2+$C44,FALSE),0)+IF(FB$6="X",VLOOKUP(FB$10,'VK-Transport'!$C:$X,2+$B44,0))+IF(FB$8="X",VLOOKUP(FB$10,'VK-Elekter'!$C:$X,2+$D44,0))+IF(FB$9="X",VLOOKUP(FB$10,'VK-Biokütused'!$C:$U,2+$E44,0))+IF(FB$5="X",VLOOKUP(FB$10,'VK-Põlevkivi'!$C:$X,2+$G44,0))+IF(FB$4="X",VLOOKUP(FB$10,'VK-Võrgud'!$C:$X,2+$F44,0)))/16</f>
        <v>115.90584373047312</v>
      </c>
      <c r="FC44" s="209">
        <f>IF(FC$7="X",VLOOKUP(FC$10,'VK-Hooned-Soojus'!$C:$X,2+$C44,FALSE),0)+IF(FC$6="X",VLOOKUP(FC$10,'VK-Transport'!$C:$X,2+$B44,0))+IF(FC$8="X",VLOOKUP(FC$10,'VK-Elekter'!$C:$X,2+$D44,0))+IF(FC$9="X",VLOOKUP(FC$10,'VK-Biokütused'!$C:$U,2+$E44,0))+IF(FC$5="X",VLOOKUP(FC$10,'VK-Põlevkivi'!$C:$X,2+$G44,0))+IF(FC$4="X",VLOOKUP(FC$10,'VK-Võrgud'!$C:$X,2+$F44,0))</f>
        <v>309.09999999999997</v>
      </c>
      <c r="FD44" s="209">
        <f>(IF(FD$7="X",VLOOKUP(FD$10,'VK-Hooned-Soojus'!$C:$X,2+$C44,FALSE),0)+IF(FD$6="X",VLOOKUP(FD$10,'VK-Transport'!$C:$X,2+$B44,0))+IF(FD$8="X",VLOOKUP(FD$10,'VK-Elekter'!$C:$X,2+$D44,0))+IF(FD$9="X",VLOOKUP(FD$10,'VK-Biokütused'!$C:$U,2+$E44,0))+IF(FD$5="X",VLOOKUP(FD$10,'VK-Põlevkivi'!$C:$X,2+$G44,0))+IF(FD$4="X",VLOOKUP(FD$10,'VK-Võrgud'!$C:$X,2+$F44,0)))/16</f>
        <v>115.90584373047312</v>
      </c>
      <c r="FE44" s="209">
        <f>(IF(FE$7="X",VLOOKUP(FE$10,'VK-Hooned-Soojus'!$C:$X,2+$C44,FALSE),0)+IF(FE$6="X",VLOOKUP(FE$10,'VK-Transport'!$C:$X,2+$B44,0))+IF(FE$8="X",VLOOKUP(FE$10,'VK-Elekter'!$C:$X,2+$D44,0))+IF(FE$9="X",VLOOKUP(FE$10,'VK-Biokütused'!$C:$U,2+$E44,0))+IF(FE$5="X",VLOOKUP(FE$10,'VK-Põlevkivi'!$C:$X,2+$G44,0))+IF(FE$4="X",VLOOKUP(FE$10,'VK-Võrgud'!$C:$X,2+$F44,0)))/16</f>
        <v>-122.42</v>
      </c>
      <c r="FF44" s="209">
        <f>(IF(FF$7="X",VLOOKUP(FF$10,'VK-Hooned-Soojus'!$C:$X,2+$C44,FALSE),0)+IF(FF$6="X",VLOOKUP(FF$10,'VK-Transport'!$C:$X,2+$B44,0))+IF(FF$8="X",VLOOKUP(FF$10,'VK-Elekter'!$C:$X,2+$D44,0))+IF(FF$9="X",VLOOKUP(FF$10,'VK-Biokütused'!$C:$U,2+$E44,0))+IF(FF$5="X",VLOOKUP(FF$10,'VK-Põlevkivi'!$C:$X,2+$G44,0))+IF(FF$4="X",VLOOKUP(FF$10,'VK-Võrgud'!$C:$X,2+$F44,0)))/16</f>
        <v>60.655876752781069</v>
      </c>
      <c r="FG44" s="88">
        <f t="shared" ca="1" si="30"/>
        <v>-61.764123247218933</v>
      </c>
      <c r="FH44" s="88"/>
      <c r="FI44" s="88"/>
      <c r="FJ44" s="88">
        <f>VLOOKUP(Tulemused!$BN$12,data!M$7:N$12,2,FALSE)-SUM(L44,M44)</f>
        <v>-2.20664444444445</v>
      </c>
      <c r="FK44" s="209" t="str">
        <f>IF(AZ44&lt;=VLOOKUP(Tulemused!$BN$15,data!$E$36:$F$39,2,FALSE),"JAH","EI")</f>
        <v>JAH</v>
      </c>
      <c r="FL44" s="235">
        <f ca="1">IF(ISNA(MATCH($A44,INDIRECT(VLOOKUP(Tulemused!$BF$11,data!$J$57:$M$71,4,FALSE)))),0,MATCH($A44,INDIRECT(VLOOKUP(Tulemused!$BF$11,data!$J$57:$M$71,4,FALSE))))</f>
        <v>0</v>
      </c>
      <c r="FM44" s="235" t="str">
        <f t="shared" ca="1" si="45"/>
        <v>JAH</v>
      </c>
      <c r="FN44" s="209">
        <f>VLOOKUP(Tulemused!$BN$13,data!$C$132:$D$137,2,FALSE)-KOMBI!R44</f>
        <v>3.2483331784169405</v>
      </c>
      <c r="FO44" s="209"/>
      <c r="FP44" s="209">
        <f>VLOOKUP(Tulemused!$BN$17,NO_x,2,FALSE)-CJ44</f>
        <v>10.848421988425461</v>
      </c>
      <c r="FQ44" s="209">
        <f>VLOOKUP(Tulemused!$BN$18,SO_2,2,FALSE)-CK44</f>
        <v>40.658875437721399</v>
      </c>
      <c r="FR44" s="209">
        <f>VLOOKUP(Tulemused!$BN$19,LOU,2,FALSE)-CN44</f>
        <v>34.324000000000005</v>
      </c>
      <c r="FS44" s="209">
        <f>VLOOKUP(Tulemused!$BN$20,PM_2.5,2,FALSE)-CM44</f>
        <v>9.294239422251092</v>
      </c>
      <c r="FT44" s="209">
        <f>VLOOKUP(Tulemused!$BN$13,data!$C$132:$D$137,2,FALSE)-FA44/1000</f>
        <v>2.8780630000000005</v>
      </c>
      <c r="FU44" s="209">
        <f>VLOOKUP(Tulemused!$BN$17,NO_x,2,FALSE)-CO44</f>
        <v>4.3223502267145442</v>
      </c>
      <c r="FV44" s="209">
        <f>VLOOKUP(Tulemused!$BN$18,SO_2,2,FALSE)-CP44</f>
        <v>38.47605141570439</v>
      </c>
      <c r="FW44" s="209">
        <f>VLOOKUP(Tulemused!$BN$19,LOU,2,FALSE)-CS44</f>
        <v>33.163847594878391</v>
      </c>
      <c r="FX44" s="209">
        <f>VLOOKUP(Tulemused!$BN$20,PM_2.5,2,FALSE)-CR44</f>
        <v>9.1832466437251945</v>
      </c>
      <c r="FY44" s="209">
        <f>VLOOKUP(Tulemused!$BN$14,KHG_2050,2,FALSE)-EF44</f>
        <v>94.600363178416941</v>
      </c>
      <c r="FZ44" s="231" t="str">
        <f t="shared" ca="1" si="31"/>
        <v>EI</v>
      </c>
      <c r="GA44" s="209"/>
      <c r="GB44" s="209"/>
      <c r="GC44" s="209"/>
      <c r="GD44" s="231"/>
      <c r="GE44" s="87">
        <f t="shared" si="46"/>
        <v>1726</v>
      </c>
      <c r="GF44" s="232" t="str">
        <f t="shared" ca="1" si="32"/>
        <v/>
      </c>
      <c r="GH44" s="238" t="e">
        <f t="shared" ca="1" si="47"/>
        <v>#NUM!</v>
      </c>
      <c r="GI44" s="87" t="e">
        <f t="array" aca="1" ref="GI44" ca="1">INDEX($A$11:$A$145, SMALL(IF(GH44=$GF$11:$GF$145, MATCH(ROW($GF$11:$GF$145), ROW($GF$11:$GF$145))), SUM(--(GH44=$GH$11:GH44))))</f>
        <v>#NUM!</v>
      </c>
      <c r="GM44" s="209">
        <f>IF(GM$7="X",VLOOKUP(GM$10,'VK-Hooned-Soojus'!$C:$X,2+$C44,FALSE),0)+IF(GM$6="X",VLOOKUP(GM$10,'VK-Transport'!$C:$X,2+$B44,0))+IF(GM$8="X",VLOOKUP(GM$10,'VK-Elekter'!$C:$X,2+$D44,0))+IF(GM$9="X",VLOOKUP(GM$10,'VK-Biokütused'!$C:$U,2+$E44,0))+IF(GM$5="X",VLOOKUP(GM$10,'VK-Põlevkivi'!$C:$X,2+$G44,0))+IF(GM$4="X",VLOOKUP(GM$10,'VK-Võrgud'!$C:$X,2+$F44,0))</f>
        <v>6.0128279910272253</v>
      </c>
      <c r="GN44" s="209">
        <f>IF(GN$7="X",VLOOKUP(GN$10,'VK-Hooned-Soojus'!$C:$X,2+$C44,FALSE),0)+IF(GN$6="X",VLOOKUP(GN$10,'VK-Transport'!$C:$X,2+$B44,0))+IF(GN$8="X",VLOOKUP(GN$10,'VK-Elekter'!$C:$X,2+$D44,0))+IF(GN$9="X",VLOOKUP(GN$10,'VK-Biokütused'!$C:$U,2+$E44,0))+IF(GN$5="X",VLOOKUP(GN$10,'VK-Põlevkivi'!$C:$X,2+$G44,0))+IF(GN$4="X",VLOOKUP(GN$10,'VK-Võrgud'!$C:$X,2+$F44,0))</f>
        <v>3.4467619395011728</v>
      </c>
      <c r="GO44" s="209">
        <f>IF(GO$7="X",VLOOKUP(GO$10,'VK-Hooned-Soojus'!$C:$X,2+$C44,FALSE),0)+IF(GO$6="X",VLOOKUP(GO$10,'VK-Transport'!$C:$X,2+$B44,0))+IF(GO$8="X",VLOOKUP(GO$10,'VK-Elekter'!$C:$X,2+$D44,0))+IF(GO$9="X",VLOOKUP(GO$10,'VK-Biokütused'!$C:$U,2+$E44,0))+IF(GO$5="X",VLOOKUP(GO$10,'VK-Põlevkivi'!$C:$X,2+$G44,0))+IF(GO$4="X",VLOOKUP(GO$10,'VK-Võrgud'!$C:$X,2+$F44,0))</f>
        <v>7.5763700102722566</v>
      </c>
      <c r="GP44" s="209">
        <f>IF(GP$7="X",VLOOKUP(GP$10,'VK-Hooned-Soojus'!$C:$X,2+$C44,FALSE),0)+IF(GP$6="X",VLOOKUP(GP$10,'VK-Transport'!$C:$X,2+$B44,0))+IF(GP$8="X",VLOOKUP(GP$10,'VK-Elekter'!$C:$X,2+$D44,0))+IF(GP$9="X",VLOOKUP(GP$10,'VK-Biokütused'!$C:$U,2+$E44,0))+IF(GP$5="X",VLOOKUP(GP$10,'VK-Põlevkivi'!$C:$X,2+$G44,0))+IF(GP$4="X",VLOOKUP(GP$10,'VK-Võrgud'!$C:$X,2+$F44,0))</f>
        <v>8.9326558040707589</v>
      </c>
      <c r="GQ44" s="88">
        <f>IF(GQ$7="X",VLOOKUP(GQ$10,'VK-Hooned-Soojus'!$C:$X,2+$C44,FALSE),0)+IF(GQ$6="X",VLOOKUP(GQ$10,'VK-Transport'!$C:$X,2+$B44,0))+IF(GQ$8="X",VLOOKUP(GQ$10,'VK-Elekter'!$C:$X,2+$D44,0))+IF(GQ$9="X",VLOOKUP(GQ$10,'VK-Biokütused'!$C:$U,2+$E44,0))+IF(GQ$5="X",VLOOKUP(GQ$10,'VK-Põlevkivi'!$C:$X,2+$G44,0))+IF(GQ$4="X",VLOOKUP(GQ$10,'VK-Võrgud'!$C:$X,2+$F44,0))</f>
        <v>0.9682855968523334</v>
      </c>
      <c r="GR44" s="186">
        <f t="shared" si="33"/>
        <v>0.3809336464106115</v>
      </c>
    </row>
    <row r="45" spans="1:200" x14ac:dyDescent="0.2">
      <c r="A45" s="184">
        <v>35</v>
      </c>
      <c r="B45" s="87">
        <v>1</v>
      </c>
      <c r="C45" s="87">
        <v>3</v>
      </c>
      <c r="D45" s="87">
        <v>2</v>
      </c>
      <c r="E45" s="87">
        <v>2</v>
      </c>
      <c r="F45" s="87">
        <f>VLOOKUP(Tulemused!$BF$7,data!$J$6:$K$8,2,FALSE)</f>
        <v>2</v>
      </c>
      <c r="G45" s="87">
        <f>VLOOKUP(data!$H$2,data!$J$12:$K$14,2,FALSE)</f>
        <v>2</v>
      </c>
      <c r="I45" s="209">
        <f>IF(I$7="X",VLOOKUP(I$10,'VK-Hooned-Soojus'!$C:$X,2+$C45,FALSE),0)+IF(I$6="X",VLOOKUP(I$10,'VK-Transport'!$C:$X,2+$B45,0))+IF(I$8="X",VLOOKUP(I$10,'VK-Elekter'!$C:$X,2+$D45,0))+IF(I$9="X",VLOOKUP(I$10,'VK-Biokütused'!$C:$U,2+$E45,0))+IF(I$5="X",VLOOKUP(I$10,'VK-Põlevkivi'!$C:$X,2+$G45,0))+IF(I$4="X",VLOOKUP(I$10,'VK-Võrgud'!$C:$X,2+$F45,0))</f>
        <v>23.490000000000002</v>
      </c>
      <c r="J45" s="209">
        <f>IF(J$7="X",VLOOKUP(J$10,'VK-Hooned-Soojus'!$C:$X,2+$C45,FALSE),0)+IF(J$6="X",VLOOKUP(J$10,'VK-Transport'!$C:$X,2+$B45,0))+IF(J$8="X",VLOOKUP(J$10,'VK-Elekter'!$C:$X,2+$D45,0))+IF(J$9="X",VLOOKUP(J$10,'VK-Biokütused'!$C:$U,2+$E45,0))+IF(J$5="X",VLOOKUP(J$10,'VK-Põlevkivi'!$C:$X,2+$G45,0))+IF(J$4="X",VLOOKUP(J$10,'VK-Võrgud'!$C:$X,2+$F45,0))</f>
        <v>13.295833333333334</v>
      </c>
      <c r="K45" s="209">
        <f>IF(K$7="X",VLOOKUP(K$10,'VK-Hooned-Soojus'!$C:$X,2+$C45,FALSE),0)+IF(K$6="X",VLOOKUP(K$10,'VK-Transport'!$C:$X,2+$B45,0))+IF(K$8="X",VLOOKUP(K$10,'VK-Elekter'!$C:$X,2+$D45,0))+IF(K$9="X",VLOOKUP(K$10,'VK-Biokütused'!$C:$U,2+$E45,0))+IF(K$5="X",VLOOKUP(K$10,'VK-Põlevkivi'!$C:$X,2+$G45,0))+IF(K$4="X",VLOOKUP(K$10,'VK-Võrgud'!$C:$X,2+$F45,0))</f>
        <v>13.780000000000001</v>
      </c>
      <c r="L45" s="209">
        <f>IF(L$7="X",VLOOKUP(L$10,'VK-Hooned-Soojus'!$C:$X,2+$C45,FALSE),0)+IF(L$6="X",VLOOKUP(L$10,'VK-Transport'!$C:$X,2+$B45,0))+IF(L$8="X",VLOOKUP(L$10,'VK-Elekter'!$C:$X,2+$D45,0))+IF(L$9="X",VLOOKUP(L$10,'VK-Biokütused'!$C:$U,2+$E45,0))+IF(L$5="X",VLOOKUP(L$10,'VK-Põlevkivi'!$C:$X,2+$G45,0))+IF(L$4="X",VLOOKUP(L$10,'VK-Võrgud'!$C:$X,2+$F45,0))</f>
        <v>23.75</v>
      </c>
      <c r="M45" s="209">
        <f>IF(M$7="X",VLOOKUP(M$10,'VK-Hooned-Soojus'!$C:$X,2+$C45,FALSE),0)+IF(M$6="X",VLOOKUP(M$10,'VK-Transport'!$C:$X,2+$B45,0))+IF(M$8="X",VLOOKUP(M$10,'VK-Elekter'!$C:$X,2+$D45,0))+IF(M$9="X",VLOOKUP(M$10,'VK-Biokütused'!$C:$U,2+$E45,0))+IF(M$5="X",VLOOKUP(M$10,'VK-Põlevkivi'!$C:$X,2+$G45,0))+IF(M$4="X",VLOOKUP(M$10,'VK-Võrgud'!$C:$X,2+$F45,0))</f>
        <v>11.289444444444445</v>
      </c>
      <c r="N45" s="209">
        <f>IF(N$7="X",VLOOKUP(N$10,'VK-Hooned-Soojus'!$C:$X,2+$C45,FALSE),0)+IF(N$6="X",VLOOKUP(N$10,'VK-Transport'!$C:$X,2+$B45,0))+IF(N$8="X",VLOOKUP(N$10,'VK-Elekter'!$C:$X,2+$D45,0))+IF(N$9="X",VLOOKUP(N$10,'VK-Biokütused'!$C:$U,2+$E45,0))+IF(N$5="X",VLOOKUP(N$10,'VK-Põlevkivi'!$C:$X,2+$G45,0))+IF(N$4="X",VLOOKUP(N$10,'VK-Võrgud'!$C:$X,2+$F45,0))</f>
        <v>15.25</v>
      </c>
      <c r="O45" s="209">
        <f t="shared" si="13"/>
        <v>36.785833333333336</v>
      </c>
      <c r="P45" s="209"/>
      <c r="Q45" s="209">
        <f>(IF(Q$7="X",VLOOKUP(Q$10,'VK-Hooned-Soojus'!$C:$X,2+$C45,FALSE),0)+IF(Q$6="X",VLOOKUP(Q$10,'VK-Transport'!$C:$X,2+$B45,0))+IF(Q$8="X",VLOOKUP(Q$10,'VK-Elekter'!$C:$X,2+$D45,0))+IF(Q$9="X",VLOOKUP(Q$10,'VK-Biokütused'!$C:$U,2+$E45,0))+IF(Q$5="X",VLOOKUP(Q$10,'VK-Põlevkivi'!$C:$X,2+$G45,0))+IF(Q$4="X",VLOOKUP(Q$10,'VK-Võrgud'!$C:$X,2+$F45,0)))/1000</f>
        <v>4.9379999999999997</v>
      </c>
      <c r="R45" s="209">
        <f>(IF(R$7="X",VLOOKUP(R$10,'VK-Hooned-Soojus'!$C:$X,2+$C45,FALSE),0)+IF(R$6="X",VLOOKUP(R$10,'VK-Transport'!$C:$X,2+$B45,0))+IF(R$8="X",VLOOKUP(R$10,'VK-Elekter'!$C:$X,2+$D45,0))+IF(R$9="X",VLOOKUP(R$10,'VK-Biokütused'!$C:$U,2+$E45,0))+IF(R$5="X",VLOOKUP(R$10,'VK-Põlevkivi'!$C:$X,2+$G45,0))+IF(R$4="X",VLOOKUP(R$10,'VK-Võrgud'!$C:$X,2+$F45,0)))/1000</f>
        <v>3.3751368215830602</v>
      </c>
      <c r="S45" s="226">
        <f>VLOOKUP(S$10,'VK-Hooned-Soojus'!$C:$I,2+$C45,FALSE) + VLOOKUP(S$10,'VK-Transport'!$C:$I,2+$B45,FALSE)+ VLOOKUP(S$10,'VK-Biokütused'!$C:$G,2+$E45,FALSE)+ VLOOKUP(S$10,'VK-Elekter'!$C:$I,2+$D45,FALSE)+ VLOOKUP(S$10,'VK-Põlevkivi'!$C:$I,2+$G45,FALSE)+ VLOOKUP(S$10,'VK-Võrgud'!$C:$I,2+$F45,FALSE)</f>
        <v>1.0975642047489562E-2</v>
      </c>
      <c r="T45" s="226">
        <f>VLOOKUP(T$10,'VK-Hooned-Soojus'!$C:$I,2+$C45,FALSE) + VLOOKUP(T$10,'VK-Transport'!$C:$I,2+$B45,FALSE)+ VLOOKUP(T$10,'VK-Biokütused'!$C:$G,2+$E45,FALSE)+ VLOOKUP(T$10,'VK-Elekter'!$C:$I,2+$D45,FALSE)+ VLOOKUP(T$10,'VK-Põlevkivi'!$C:$I,2+$G45,FALSE)+ VLOOKUP(T$10,'VK-Võrgud'!$C:$I,2+$F45,FALSE)</f>
        <v>-6.8633680900493108E-3</v>
      </c>
      <c r="U45" s="226">
        <f>VLOOKUP(U$10,'VK-Hooned-Soojus'!$C:$I,2+$C45,FALSE) + VLOOKUP(U$10,'VK-Transport'!$C:$I,2+$B45,FALSE)+ VLOOKUP(U$10,'VK-Biokütused'!$C:$G,2+$E45,FALSE)+ VLOOKUP(U$10,'VK-Elekter'!$C:$I,2+$D45,FALSE)+ VLOOKUP(U$10,'VK-Põlevkivi'!$C:$I,2+$G45,FALSE)+ VLOOKUP(U$10,'VK-Võrgud'!$C:$I,2+$F45,FALSE)</f>
        <v>-6.6162806837130606E-4</v>
      </c>
      <c r="V45" s="226">
        <f>VLOOKUP(V$10,'VK-Hooned-Soojus'!$C:$I,2+$C45,FALSE) + VLOOKUP(V$10,'VK-Transport'!$C:$I,2+$B45,FALSE)+ VLOOKUP(V$10,'VK-Biokütused'!$C:$G,2+$E45,FALSE)+ VLOOKUP(V$10,'VK-Elekter'!$C:$I,2+$D45,FALSE)+ VLOOKUP(V$10,'VK-Põlevkivi'!$C:$I,2+$G45,FALSE)+ VLOOKUP(V$10,'VK-Võrgud'!$C:$I,2+$F45,FALSE)</f>
        <v>1.1707386191568987E-2</v>
      </c>
      <c r="W45" s="226">
        <f>VLOOKUP(W$10,'VK-Hooned-Soojus'!$C:$I,2+$C45,FALSE) + VLOOKUP(W$10,'VK-Transport'!$C:$I,2+$B45,FALSE)+ VLOOKUP(W$10,'VK-Biokütused'!$C:$G,2+$E45,FALSE)+ VLOOKUP(W$10,'VK-Elekter'!$C:$I,2+$D45,FALSE)+ VLOOKUP(W$10,'VK-Põlevkivi'!$C:$I,2+$G45,FALSE)+ VLOOKUP(W$10,'VK-Võrgud'!$C:$I,2+$F45,FALSE)</f>
        <v>-1.7307827309906012E-2</v>
      </c>
      <c r="X45" s="226">
        <f>VLOOKUP(X$10,'VK-Hooned-Soojus'!$C:$I,2+$C45,FALSE) + VLOOKUP(X$10,'VK-Transport'!$C:$I,2+$B45,FALSE)+ VLOOKUP(X$10,'VK-Biokütused'!$C:$G,2+$E45,FALSE)+ VLOOKUP(X$10,'VK-Elekter'!$C:$I,2+$D45,FALSE)+ VLOOKUP(X$10,'VK-Põlevkivi'!$C:$I,2+$G45,FALSE)+ VLOOKUP(X$10,'VK-Võrgud'!$C:$I,2+$F45,FALSE)</f>
        <v>-1.7323769628932586E-2</v>
      </c>
      <c r="Y45" s="226">
        <f>VLOOKUP(Y$10,'VK-Hooned-Soojus'!$C:$I,2+$C45,FALSE) + VLOOKUP(Y$10,'VK-Transport'!$C:$I,2+$B45,FALSE)+ VLOOKUP(Y$10,'VK-Biokütused'!$C:$G,2+$E45,FALSE)+ VLOOKUP(Y$10,'VK-Elekter'!$C:$I,2+$D45,FALSE)+ VLOOKUP(Y$10,'VK-Põlevkivi'!$C:$I,2+$G45,FALSE)+ VLOOKUP(Y$10,'VK-Võrgud'!$C:$I,2+$F45,FALSE)</f>
        <v>-3.2116656725882944E-2</v>
      </c>
      <c r="Z45" s="227">
        <f>(S45*Tulemused!$Q$9*10+T45*Tulemused!$Q$10*10+KOMBI!U45*Tulemused!$Q$11*10+KOMBI!V45*Tulemused!$Q$12*10)*Tulemused!$Q$8+-(W45*Tulemused!$Q$14*10+KOMBI!X45*Tulemused!$Q$15*10+KOMBI!Y45*Tulemused!$Q$16*10)*Tulemused!$Q$13</f>
        <v>2.1782789856764153</v>
      </c>
      <c r="AA45" s="228">
        <f>(IF(AA$7="X",VLOOKUP(AA$10,'VK-Hooned-Soojus'!$C:$X,2+$C45,FALSE),0)+IF(AA$6="X",VLOOKUP(AA$10,'VK-Transport'!$C:$X,2+$B45,0))+IF(AA$8="X",VLOOKUP(AA$10,'VK-Elekter'!$C:$X,2+$D45,0))+IF(AA$9="X",VLOOKUP(AA$10,'VK-Biokütused'!$C:$U,2+$E45,0))+IF(AA$5="X",VLOOKUP(AA$10,'VK-Põlevkivi'!$C:$X,2+$G45,0))+IF(AA$4="X",VLOOKUP(AA$10,'VK-Võrgud'!$C:$X,2+$F45,0)))</f>
        <v>3761</v>
      </c>
      <c r="AB45" s="228">
        <f>(IF(AB$7="X",VLOOKUP(AB$10,'VK-Hooned-Soojus'!$C:$X,2+$C45,FALSE),0)+IF(AB$6="X",VLOOKUP(AB$10,'VK-Transport'!$C:$X,2+$B45,0))+IF(AB$8="X",VLOOKUP(AB$10,'VK-Elekter'!$C:$X,2+$D45,0))+IF(AB$9="X",VLOOKUP(AB$10,'VK-Biokütused'!$C:$U,2+$E45,0))+IF(AB$5="X",VLOOKUP(AB$10,'VK-Põlevkivi'!$C:$X,2+$G45,0))+IF(AB$4="X",VLOOKUP(AB$10,'VK-Võrgud'!$C:$X,2+$F45,0)))</f>
        <v>1177</v>
      </c>
      <c r="AC45" s="228">
        <f>(IF(AC$7="X",VLOOKUP(AC$10,'VK-Hooned-Soojus'!$C:$X,2+$C45,FALSE),0)+IF(AC$6="X",VLOOKUP(AC$10,'VK-Transport'!$C:$X,2+$B45,0))+IF(AC$8="X",VLOOKUP(AC$10,'VK-Elekter'!$C:$X,2+$D45,0))+IF(AC$9="X",VLOOKUP(AC$10,'VK-Biokütused'!$C:$U,2+$E45,0))+IF(AC$5="X",VLOOKUP(AC$10,'VK-Põlevkivi'!$C:$X,2+$G45,0))+IF(AC$4="X",VLOOKUP(AC$10,'VK-Võrgud'!$C:$X,2+$F45,0)))</f>
        <v>2346</v>
      </c>
      <c r="AD45" s="228">
        <f>(IF(AD$7="X",VLOOKUP(AD$10,'VK-Hooned-Soojus'!$C:$X,2+$C45,FALSE),0)+IF(AD$6="X",VLOOKUP(AD$10,'VK-Transport'!$C:$X,2+$B45,0))+IF(AD$8="X",VLOOKUP(AD$10,'VK-Elekter'!$C:$X,2+$D45,0))+IF(AD$9="X",VLOOKUP(AD$10,'VK-Biokütused'!$C:$U,2+$E45,0))+IF(AD$5="X",VLOOKUP(AD$10,'VK-Põlevkivi'!$C:$X,2+$G45,0))+IF(AD$4="X",VLOOKUP(AD$10,'VK-Võrgud'!$C:$X,2+$F45,0)))</f>
        <v>377.5</v>
      </c>
      <c r="AE45" s="228">
        <f>(IF(AE$7="X",VLOOKUP(AE$10,'VK-Hooned-Soojus'!$C:$X,2+$C45,FALSE),0)+IF(AE$6="X",VLOOKUP(AE$10,'VK-Transport'!$C:$X,2+$B45,0))+IF(AE$8="X",VLOOKUP(AE$10,'VK-Elekter'!$C:$X,2+$D45,0))+IF(AE$9="X",VLOOKUP(AE$10,'VK-Biokütused'!$C:$U,2+$E45,0))+IF(AE$5="X",VLOOKUP(AE$10,'VK-Põlevkivi'!$C:$X,2+$G45,0))+IF(AE$4="X",VLOOKUP(AE$10,'VK-Võrgud'!$C:$X,2+$F45,0)))</f>
        <v>507</v>
      </c>
      <c r="AF45" s="228">
        <f>(IF(AF$7="X",VLOOKUP(AF$10,'VK-Hooned-Soojus'!$C:$X,2+$C45,FALSE),0)+IF(AF$6="X",VLOOKUP(AF$10,'VK-Transport'!$C:$X,2+$B45,0))+IF(AF$8="X",VLOOKUP(AF$10,'VK-Elekter'!$C:$X,2+$D45,0))+IF(AF$9="X",VLOOKUP(AF$10,'VK-Biokütused'!$C:$U,2+$E45,0))+IF(AF$5="X",VLOOKUP(AF$10,'VK-Põlevkivi'!$C:$X,2+$G45,0))+IF(AF$4="X",VLOOKUP(AF$10,'VK-Võrgud'!$C:$X,2+$F45,0)))</f>
        <v>2490.6368215830603</v>
      </c>
      <c r="AG45" s="209"/>
      <c r="AH45" s="209">
        <f>IF(AH$7="X",VLOOKUP(AH$10,'VK-Hooned-Soojus'!$C:$X,2+$C45,FALSE),0)+IF(AH$6="X",VLOOKUP(AH$10,'VK-Transport'!$C:$X,2+$B45,0))+IF(AH$8="X",VLOOKUP(AH$10,'VK-Elekter'!$C:$X,2+$D45,0))+IF(AH$9="X",VLOOKUP(AH$10,'VK-Biokütused'!$C:$U,2+$E45,0))+IF(AH$5="X",VLOOKUP(AH$10,'VK-Põlevkivi'!$C:$X,2+$G45,0))+IF(AH$4="X",VLOOKUP(AH$10,'VK-Võrgud'!$C:$X,2+$F45,0))</f>
        <v>11.64</v>
      </c>
      <c r="AI45" s="209">
        <f>IF(AI$7="X",VLOOKUP(AI$10,'VK-Hooned-Soojus'!$C:$X,2+$C45,FALSE),0)+IF(AI$6="X",VLOOKUP(AI$10,'VK-Transport'!$C:$X,2+$B45,0))+IF(AI$8="X",VLOOKUP(AI$10,'VK-Elekter'!$C:$X,2+$D45,0))+IF(AI$9="X",VLOOKUP(AI$10,'VK-Biokütused'!$C:$U,2+$E45,0))+IF(AI$5="X",VLOOKUP(AI$10,'VK-Põlevkivi'!$C:$X,2+$G45,0))+IF(AI$4="X",VLOOKUP(AI$10,'VK-Võrgud'!$C:$X,2+$F45,0))</f>
        <v>2.3100000000000005</v>
      </c>
      <c r="AJ45" s="209">
        <f>IF(AJ$7="X",VLOOKUP(AJ$10,'VK-Hooned-Soojus'!$C:$X,2+$C45,FALSE),0)+IF(AJ$6="X",VLOOKUP(AJ$10,'VK-Transport'!$C:$X,2+$B45,0))+IF(AJ$8="X",VLOOKUP(AJ$10,'VK-Elekter'!$C:$X,2+$D45,0))+IF(AJ$9="X",VLOOKUP(AJ$10,'VK-Biokütused'!$C:$U,2+$E45,0))+IF(AJ$5="X",VLOOKUP(AJ$10,'VK-Põlevkivi'!$C:$X,2+$G45,0))+IF(AJ$4="X",VLOOKUP(AJ$10,'VK-Võrgud'!$C:$X,2+$F45,0))</f>
        <v>9.25</v>
      </c>
      <c r="AK45" s="209">
        <f>IF(AK$7="X",VLOOKUP(AK$10,'VK-Hooned-Soojus'!$C:$X,2+$C45,FALSE),0)+IF(AK$6="X",VLOOKUP(AK$10,'VK-Transport'!$C:$X,2+$B45,0))+IF(AK$8="X",VLOOKUP(AK$10,'VK-Elekter'!$C:$X,2+$D45,0))+IF(AK$9="X",VLOOKUP(AK$10,'VK-Biokütused'!$C:$U,2+$E45,0))+IF(AK$5="X",VLOOKUP(AK$10,'VK-Põlevkivi'!$C:$X,2+$G45,0))+IF(AK$4="X",VLOOKUP(AK$10,'VK-Võrgud'!$C:$X,2+$F45,0))</f>
        <v>2.78</v>
      </c>
      <c r="AL45" s="209">
        <f>IF(AL$7="X",VLOOKUP(AL$10,'VK-Hooned-Soojus'!$C:$X,2+$C45,FALSE),0)+IF(AL$6="X",VLOOKUP(AL$10,'VK-Transport'!$C:$X,2+$B45,0))+IF(AL$8="X",VLOOKUP(AL$10,'VK-Elekter'!$C:$X,2+$D45,0))+IF(AL$9="X",VLOOKUP(AL$10,'VK-Biokütused'!$C:$U,2+$E45,0))+IF(AL$5="X",VLOOKUP(AL$10,'VK-Põlevkivi'!$C:$X,2+$G45,0))+IF(AL$4="X",VLOOKUP(AL$10,'VK-Võrgud'!$C:$X,2+$F45,0))</f>
        <v>7.1</v>
      </c>
      <c r="AM45" s="209">
        <f>IF(AM$7="X",VLOOKUP(AM$10,'VK-Hooned-Soojus'!$C:$X,2+$C45,FALSE),0)+IF(AM$6="X",VLOOKUP(AM$10,'VK-Transport'!$C:$X,2+$B45,0))+IF(AM$8="X",VLOOKUP(AM$10,'VK-Elekter'!$C:$X,2+$D45,0))+IF(AM$9="X",VLOOKUP(AM$10,'VK-Biokütused'!$C:$U,2+$E45,0))+IF(AM$5="X",VLOOKUP(AM$10,'VK-Põlevkivi'!$C:$X,2+$G45,0))+IF(AM$4="X",VLOOKUP(AM$10,'VK-Võrgud'!$C:$X,2+$F45,0))</f>
        <v>11.5</v>
      </c>
      <c r="AN45" s="209">
        <f>IF(AN$7="X",VLOOKUP(AN$10,'VK-Hooned-Soojus'!$C:$X,2+$C45,FALSE),0)+IF(AN$6="X",VLOOKUP(AN$10,'VK-Transport'!$C:$X,2+$B45,0))+IF(AN$8="X",VLOOKUP(AN$10,'VK-Elekter'!$C:$X,2+$D45,0))+IF(AN$9="X",VLOOKUP(AN$10,'VK-Biokütused'!$C:$U,2+$E45,0))+IF(AN$5="X",VLOOKUP(AN$10,'VK-Põlevkivi'!$C:$X,2+$G45,0))+IF(AN$4="X",VLOOKUP(AN$10,'VK-Võrgud'!$C:$X,2+$F45,0))</f>
        <v>4.0999999999999996</v>
      </c>
      <c r="AO45" s="209">
        <f>IF(AO$7="X",VLOOKUP(AO$10,'VK-Hooned-Soojus'!$C:$X,2+$C45,FALSE),0)+IF(AO$6="X",VLOOKUP(AO$10,'VK-Transport'!$C:$X,2+$B45,0))+IF(AO$8="X",VLOOKUP(AO$10,'VK-Elekter'!$C:$X,2+$D45,0))+IF(AO$9="X",VLOOKUP(AO$10,'VK-Biokütused'!$C:$U,2+$E45,0))+IF(AO$5="X",VLOOKUP(AO$10,'VK-Põlevkivi'!$C:$X,2+$G45,0))+IF(AO$4="X",VLOOKUP(AO$10,'VK-Võrgud'!$C:$X,2+$F45,0))</f>
        <v>12.16</v>
      </c>
      <c r="AP45" s="209">
        <f>IF(AP$7="X",VLOOKUP(AP$10,'VK-Hooned-Soojus'!$C:$X,2+$C45,FALSE),0)+IF(AP$6="X",VLOOKUP(AP$10,'VK-Transport'!$C:$X,2+$B45,0))+IF(AP$8="X",VLOOKUP(AP$10,'VK-Elekter'!$C:$X,2+$D45,0))+IF(AP$9="X",VLOOKUP(AP$10,'VK-Biokütused'!$C:$U,2+$E45,0))+IF(AP$5="X",VLOOKUP(AP$10,'VK-Põlevkivi'!$C:$X,2+$G45,0))+IF(AP$4="X",VLOOKUP(AP$10,'VK-Võrgud'!$C:$X,2+$F45,0))</f>
        <v>6.08</v>
      </c>
      <c r="AQ45" s="320">
        <f t="shared" si="14"/>
        <v>0</v>
      </c>
      <c r="AR45" s="209">
        <f>IF(AR$7="X",VLOOKUP(AR$10,'VK-Hooned-Soojus'!$C:$X,2+$C45,FALSE),0)+IF(AR$6="X",VLOOKUP(AR$10,'VK-Transport'!$C:$X,2+$B45,0))+IF(AR$8="X",VLOOKUP(AR$10,'VK-Elekter'!$C:$X,2+$D45,0))+IF(AR$9="X",VLOOKUP(AR$10,'VK-Biokütused'!$C:$U,2+$E45,0))+IF(AR$5="X",VLOOKUP(AR$10,'VK-Põlevkivi'!$C:$X,2+$G45,0))+IF(AR$4="X",VLOOKUP(AR$10,'VK-Võrgud'!$C:$X,2+$F45,0))</f>
        <v>2.3899999999999997</v>
      </c>
      <c r="AS45" s="320">
        <f>VLOOKUP("Kütuste tarbimine @ 2030 - UTTEGAAS",'VK-Hooned-Soojus'!$C:$X,2+$C45,FALSE)/0.172+VLOOKUP("Kütuste tarbimine @ 2030 - UTTEGAAS",'VK-Elekter'!$C:$X,2+$D45,FALSE)/0.172-AR45-AU45</f>
        <v>2.8565116279069773</v>
      </c>
      <c r="AT45" s="209">
        <f>IF(AT$7="X",VLOOKUP(AT$10,'VK-Hooned-Soojus'!$C:$X,2+$C45,FALSE),0)+IF(AT$6="X",VLOOKUP(AT$10,'VK-Transport'!$C:$X,2+$B45,0))+IF(AT$8="X",VLOOKUP(AT$10,'VK-Elekter'!$C:$X,2+$D45,0))+IF(AT$9="X",VLOOKUP(AT$10,'VK-Biokütused'!$C:$U,2+$E45,0))+IF(AT$5="X",VLOOKUP(AT$10,'VK-Põlevkivi'!$C:$X,2+$G45,0))+IF(AT$4="X",VLOOKUP(AT$10,'VK-Võrgud'!$C:$X,2+$F45,0))</f>
        <v>12.004929222526066</v>
      </c>
      <c r="AU45" s="229">
        <f>MAX(0,(VLOOKUP("Kütuste tarbimine @ 2030 - UTTEGAAS",'VK-Hooned-Soojus'!$C:$X,2+$C45,FALSE)/0.172+VLOOKUP("Kütuste tarbimine @ 2030 - UTTEGAAS",'VK-Elekter'!$C:$X,2+$D45,FALSE)/0.172)*0.52-VLOOKUP("Kütuste tarbimine @ 2030 - PÕLEVKIVIÕLI",'VK-Hooned-Soojus'!$C:$X,2+$C45,FALSE))</f>
        <v>5.6837209302325586</v>
      </c>
      <c r="AV45" s="209">
        <f>IF(AV$7="X",VLOOKUP(AV$10,'VK-Hooned-Soojus'!$C:$X,2+$C45,FALSE),0)+IF(AV$6="X",VLOOKUP(AV$10,'VK-Transport'!$C:$X,2+$B45,0))+IF(AV$8="X",VLOOKUP(AV$10,'VK-Elekter'!$C:$X,2+$D45,0))+IF(AV$9="X",VLOOKUP(AV$10,'VK-Biokütused'!$C:$U,2+$E45,0))+IF(AV$5="X",VLOOKUP(AV$10,'VK-Põlevkivi'!$C:$X,2+$G45,0))+IF(AV$4="X",VLOOKUP(AV$10,'VK-Võrgud'!$C:$X,2+$F45,0))</f>
        <v>1.1831224847375093</v>
      </c>
      <c r="AW45" s="209">
        <f>IF(AW$7="X",VLOOKUP(AW$10,'VK-Hooned-Soojus'!$C:$X,2+$C45,FALSE),0)+IF(AW$6="X",VLOOKUP(AW$10,'VK-Transport'!$C:$X,2+$B45,0))+IF(AW$8="X",VLOOKUP(AW$10,'VK-Elekter'!$C:$X,2+$D45,0))+IF(AW$9="X",VLOOKUP(AW$10,'VK-Biokütused'!$C:$U,2+$E45,0))+IF(AW$5="X",VLOOKUP(AW$10,'VK-Põlevkivi'!$C:$X,2+$G45,0))+IF(AW$4="X",VLOOKUP(AW$10,'VK-Võrgud'!$C:$X,2+$F45,0))</f>
        <v>2.141</v>
      </c>
      <c r="AX45" s="229">
        <f t="shared" si="34"/>
        <v>0.95787751526249076</v>
      </c>
      <c r="AY45" s="229">
        <f t="shared" si="15"/>
        <v>0</v>
      </c>
      <c r="AZ45" s="230">
        <f t="shared" si="36"/>
        <v>0.57802114842605268</v>
      </c>
      <c r="BA45" s="209">
        <f>IF(BA$7="X",VLOOKUP(BA$10,'VK-Hooned-Soojus'!$C:$X,2+$C45,FALSE),0)+IF(BA$6="X",VLOOKUP(BA$10,'VK-Transport'!$C:$X,2+$B45,0))+IF(BA$8="X",VLOOKUP(BA$10,'VK-Elekter'!$C:$X,2+$D45,0))+IF(BA$9="X",VLOOKUP(BA$10,'VK-Biokütused'!$C:$U,2+$E45,0))+IF(BA$5="X",VLOOKUP(BA$10,'VK-Põlevkivi'!$C:$X,2+$G45,0))+IF(BA$4="X",VLOOKUP(BA$10,'VK-Võrgud'!$C:$X,2+$F45,0))</f>
        <v>4.25</v>
      </c>
      <c r="BB45" s="209">
        <f>IF(BB$7="X",VLOOKUP(BB$10,'VK-Hooned-Soojus'!$C:$X,2+$C45,FALSE),0)+IF(BB$6="X",VLOOKUP(BB$10,'VK-Transport'!$C:$X,2+$B45,0))+IF(BB$8="X",VLOOKUP(BB$10,'VK-Elekter'!$C:$X,2+$D45,0))+IF(BB$9="X",VLOOKUP(BB$10,'VK-Biokütused'!$C:$U,2+$E45,0))+IF(BB$5="X",VLOOKUP(BB$10,'VK-Põlevkivi'!$C:$X,2+$G45,0))+IF(BB$4="X",VLOOKUP(BB$10,'VK-Võrgud'!$C:$X,2+$F45,0))</f>
        <v>2.93</v>
      </c>
      <c r="BC45" s="209">
        <f>IF(BC$7="X",VLOOKUP(BC$10,'VK-Hooned-Soojus'!$C:$X,2+$C45,FALSE),0)+IF(BC$6="X",VLOOKUP(BC$10,'VK-Transport'!$C:$X,2+$B45,0))+IF(BC$8="X",VLOOKUP(BC$10,'VK-Elekter'!$C:$X,2+$D45,0))+IF(BC$9="X",VLOOKUP(BC$10,'VK-Biokütused'!$C:$U,2+$E45,0))+IF(BC$5="X",VLOOKUP(BC$10,'VK-Põlevkivi'!$C:$X,2+$G45,0))+IF(BC$4="X",VLOOKUP(BC$10,'VK-Võrgud'!$C:$X,2+$F45,0))</f>
        <v>5.2376666666666667</v>
      </c>
      <c r="BD45" s="209">
        <f>IF(BD$7="X",VLOOKUP(BD$10,'VK-Hooned-Soojus'!$C:$X,2+$C45,FALSE),0)+IF(BD$6="X",VLOOKUP(BD$10,'VK-Transport'!$C:$X,2+$B45,0))+IF(BD$8="X",VLOOKUP(BD$10,'VK-Elekter'!$C:$X,2+$D45,0))+IF(BD$9="X",VLOOKUP(BD$10,'VK-Biokütused'!$C:$U,2+$E45,0))+IF(BD$5="X",VLOOKUP(BD$10,'VK-Põlevkivi'!$C:$X,2+$G45,0))+IF(BD$4="X",VLOOKUP(BD$10,'VK-Võrgud'!$C:$X,2+$F45,0))</f>
        <v>9.1105555555555569</v>
      </c>
      <c r="BE45" s="230"/>
      <c r="BF45" s="229">
        <f t="shared" si="16"/>
        <v>0.30802785422263623</v>
      </c>
      <c r="BG45" s="209" t="e">
        <f>(IF(BG$7="X",VLOOKUP(BG$10,'VK-Hooned-Soojus'!$C:$X,2+$C45,FALSE),0)+IF(BG$6="X",VLOOKUP(BG$10,'VK-Transport'!$C:$X,2+$B45,0))+IF(BG$8="X",VLOOKUP(BG$10,'VK-Elekter'!$C:$X,2+$D45,0))+IF(BG$9="X",VLOOKUP(BG$10,'VK-Biokütused'!$C:$U,2+$E45,0))+IF(BG$5="X",VLOOKUP(BG$10,'VK-Põlevkivi'!$C:$X,2+$G45,0))+IF(BG$4="X",VLOOKUP(BG$10,'VK-Võrgud'!$C:$X,2+$F45,0)))/20</f>
        <v>#N/A</v>
      </c>
      <c r="BH45" s="209">
        <f>(IF(BH$7="X",VLOOKUP(BH$10,'VK-Hooned-Soojus'!$C:$X,2+$C45,FALSE),0)+IF(BH$6="X",VLOOKUP(BH$10,'VK-Transport'!$C:$X,2+$B45,0))+IF(BH$8="X",VLOOKUP(BH$10,'VK-Elekter'!$C:$X,2+$D45,0))+IF(BH$9="X",VLOOKUP(BH$10,'VK-Biokütused'!$C:$U,2+$E45,0))+IF(BH$5="X",VLOOKUP(BH$10,'VK-Põlevkivi'!$C:$X,2+$G45,0))+IF(BH$4="X",VLOOKUP(BH$10,'VK-Võrgud'!$C:$X,2+$F45,0)))/20</f>
        <v>84.204999999999998</v>
      </c>
      <c r="BI45" s="209">
        <f>(IF(BI$7="X",VLOOKUP(BI$10,'VK-Hooned-Soojus'!$C:$X,2+$C45,FALSE),0)+IF(BI$6="X",VLOOKUP(BI$10,'VK-Transport'!$C:$X,2+$B45,0))+IF(BI$8="X",VLOOKUP(BI$10,'VK-Elekter'!$C:$X,2+$D45,0))+IF(BI$9="X",VLOOKUP(BI$10,'VK-Biokütused'!$C:$U,2+$E45,0))+IF(BI$5="X",VLOOKUP(BI$10,'VK-Põlevkivi'!$C:$X,2+$G45,0))+IF(BI$4="X",VLOOKUP(BI$10,'VK-Võrgud'!$C:$X,2+$F45,0)))/16</f>
        <v>8.9375</v>
      </c>
      <c r="BJ45" s="209">
        <f>(IF(BJ$7="X",VLOOKUP(BJ$10,'VK-Hooned-Soojus'!$C:$X,2+$C45,FALSE),0)+IF(BJ$6="X",VLOOKUP(BJ$10,'VK-Transport'!$C:$X,2+$B45,0))+IF(BJ$8="X",VLOOKUP(BJ$10,'VK-Elekter'!$C:$X,2+$D45,0))+IF(BJ$9="X",VLOOKUP(BJ$10,'VK-Biokütused'!$C:$U,2+$E45,0))+IF(BJ$5="X",VLOOKUP(BJ$10,'VK-Põlevkivi'!$C:$X,2+$G45,0))+IF(BJ$4="X",VLOOKUP(BJ$10,'VK-Võrgud'!$C:$X,2+$F45,0)))/20</f>
        <v>5.33</v>
      </c>
      <c r="BK45" s="209"/>
      <c r="BL45" s="209"/>
      <c r="BM45" s="209"/>
      <c r="BN45" s="209" t="e">
        <f>(IF(BN$7="X",VLOOKUP(BN$10,'VK-Hooned-Soojus'!$C:$X,2+$C45,FALSE),0)+IF(BN$6="X",VLOOKUP(BN$10,'VK-Transport'!$C:$X,2+$B45,0))+IF(BN$8="X",VLOOKUP(BN$10,'VK-Elekter'!$C:$X,2+$D45,0))+IF(BN$9="X",VLOOKUP(BN$10,'VK-Biokütused'!$C:$U,2+$E45,0))+IF(BN$5="X",VLOOKUP(BN$10,'VK-Põlevkivi'!$C:$X,2+$G45,0))+IF(BN$4="X",VLOOKUP(BN$10,'VK-Võrgud'!$C:$X,2+$F45,0)))/16</f>
        <v>#N/A</v>
      </c>
      <c r="BO45" s="209">
        <f>(IF(BO$7="X",VLOOKUP(BO$10,'VK-Hooned-Soojus'!$C:$X,2+$C45,FALSE),0)+IF(BO$6="X",VLOOKUP(BO$10,'VK-Transport'!$C:$X,2+$B45,0))+IF(BO$8="X",VLOOKUP(BO$10,'VK-Elekter'!$C:$X,2+$D45,0))+IF(BO$9="X",VLOOKUP(BO$10,'VK-Biokütused'!$C:$U,2+$E45,0))+IF(BO$5="X",VLOOKUP(BO$10,'VK-Põlevkivi'!$C:$X,2+$G45,0))+IF(BO$4="X",VLOOKUP(BO$10,'VK-Võrgud'!$C:$X,2+$F45,0)))/16</f>
        <v>496.33125000000001</v>
      </c>
      <c r="BP45" s="209"/>
      <c r="BQ45" s="209">
        <f>(IF(BQ$7="X",VLOOKUP(BQ$10,'VK-Hooned-Soojus'!$C:$X,2+$C45,FALSE),0)+IF(BQ$6="X",VLOOKUP(BQ$10,'VK-Transport'!$C:$X,2+$B45,0))+IF(BQ$8="X",VLOOKUP(BQ$10,'VK-Elekter'!$C:$X,2+$D45,0))+IF(BQ$9="X",VLOOKUP(BQ$10,'VK-Biokütused'!$C:$U,2+$E45,0))+IF(BQ$5="X",VLOOKUP(BQ$10,'VK-Põlevkivi'!$C:$X,2+$G45,0))+IF(BQ$4="X",VLOOKUP(BQ$10,'VK-Võrgud'!$C:$X,2+$F45,0)))/16</f>
        <v>4.7249999999999996</v>
      </c>
      <c r="BR45" s="209">
        <f>(IF(BR$7="X",VLOOKUP(BR$10,'VK-Hooned-Soojus'!$C:$X,2+$C45,FALSE),0)+IF(BR$6="X",VLOOKUP(BR$10,'VK-Transport'!$C:$X,2+$B45,0))+IF(BR$8="X",VLOOKUP(BR$10,'VK-Elekter'!$C:$X,2+$D45,0))+IF(BR$9="X",VLOOKUP(BR$10,'VK-Biokütused'!$C:$U,2+$E45,0))+IF(BR$5="X",VLOOKUP(BR$10,'VK-Põlevkivi'!$C:$X,2+$G45,0))+IF(BR$4="X",VLOOKUP(BR$10,'VK-Võrgud'!$C:$X,2+$F45,0)))/16</f>
        <v>-74.512500000000003</v>
      </c>
      <c r="BS45" s="209">
        <f>(IF(BS$7="X",VLOOKUP(BS$10,'VK-Hooned-Soojus'!$C:$X,2+$C45,FALSE),0)+IF(BS$6="X",VLOOKUP(BS$10,'VK-Transport'!$C:$X,2+$B45,0))+IF(BS$8="X",VLOOKUP(BS$10,'VK-Elekter'!$C:$X,2+$D45,0))+IF(BS$9="X",VLOOKUP(BS$10,'VK-Biokütused'!$C:$U,2+$E45,0))+IF(BS$5="X",VLOOKUP(BS$10,'VK-Põlevkivi'!$C:$X,2+$G45,0))+IF(BS$4="X",VLOOKUP(BS$10,'VK-Võrgud'!$C:$X,2+$F45,0)))/16</f>
        <v>-100.68125000000001</v>
      </c>
      <c r="BT45" s="209"/>
      <c r="BU45" s="209"/>
      <c r="BV45" s="209">
        <f>(IF(BV$7="X",VLOOKUP(BV$10,'VK-Hooned-Soojus'!$C:$X,2+$C45,FALSE),0)+IF(BV$6="X",VLOOKUP(BV$10,'VK-Transport'!$C:$X,2+$B45,0))+IF(BV$8="X",VLOOKUP(BV$10,'VK-Elekter'!$C:$X,2+$D45,0))+IF(BV$9="X",VLOOKUP(BV$10,'VK-Biokütused'!$C:$U,2+$E45,0))+IF(BV$5="X",VLOOKUP(BV$10,'VK-Põlevkivi'!$C:$X,2+$G45,0))+IF(BV$4="X",VLOOKUP(BV$10,'VK-Võrgud'!$C:$X,2+$F45,0)))/16</f>
        <v>0</v>
      </c>
      <c r="BW45" s="209"/>
      <c r="BX45" s="209">
        <f>(IF(BX$7="X",VLOOKUP(BX$10,'VK-Hooned-Soojus'!$C:$X,2+$C45,FALSE),0)+IF(BX$6="X",VLOOKUP(BX$10,'VK-Transport'!$C:$X,2+$B45,0))+IF(BX$8="X",VLOOKUP(BX$10,'VK-Elekter'!$C:$X,2+$D45,0))+IF(BX$9="X",VLOOKUP(BX$10,'VK-Biokütused'!$C:$U,2+$E45,0))+IF(BX$5="X",VLOOKUP(BX$10,'VK-Põlevkivi'!$C:$X,2+$G45,0))+IF(BX$4="X",VLOOKUP(BX$10,'VK-Võrgud'!$C:$X,2+$F45,0)))/16</f>
        <v>-99.75</v>
      </c>
      <c r="BY45" s="209"/>
      <c r="BZ45" s="209"/>
      <c r="CA45" s="209" t="e">
        <f>(IF(CA$7="X",VLOOKUP(CA$10,'VK-Hooned-Soojus'!$C:$X,2+$C45,FALSE),0)+IF(CA$6="X",VLOOKUP(CA$10,'VK-Transport'!$C:$X,2+$B45,0))+IF(CA$8="X",VLOOKUP(CA$10,'VK-Elekter'!$C:$X,2+$D45,0))+IF(CA$9="X",VLOOKUP(CA$10,'VK-Biokütused'!$C:$U,2+$E45,0))+IF(CA$5="X",VLOOKUP(CA$10,'VK-Põlevkivi'!$C:$X,2+$G45,0))+IF(CA$4="X",VLOOKUP(CA$10,'VK-Võrgud'!$C:$X,2+$F45,0)))/16</f>
        <v>#N/A</v>
      </c>
      <c r="CB45" s="209">
        <f>(IF(CB$7="X",VLOOKUP(CB$10,'VK-Hooned-Soojus'!$C:$X,2+$C45,FALSE),0)+IF(CB$6="X",VLOOKUP(CB$10,'VK-Transport'!$C:$X,2+$B45,0))+IF(CB$8="X",VLOOKUP(CB$10,'VK-Elekter'!$C:$X,2+$D45,0))+IF(CB$9="X",VLOOKUP(CB$10,'VK-Biokütused'!$C:$U,2+$E45,0))+IF(CB$5="X",VLOOKUP(CB$10,'VK-Põlevkivi'!$C:$X,2+$G45,0))+IF(CB$4="X",VLOOKUP(CB$10,'VK-Võrgud'!$C:$X,2+$F45,0)))/16</f>
        <v>0</v>
      </c>
      <c r="CC45" s="209">
        <f>(IF(CC$7="X",VLOOKUP(CC$10,'VK-Hooned-Soojus'!$C:$X,2+$C45,FALSE),0)+IF(CC$6="X",VLOOKUP(CC$10,'VK-Transport'!$C:$X,2+$B45,0))+IF(CC$8="X",VLOOKUP(CC$10,'VK-Elekter'!$C:$X,2+$D45,0))+IF(CC$9="X",VLOOKUP(CC$10,'VK-Biokütused'!$C:$U,2+$E45,0))+IF(CC$5="X",VLOOKUP(CC$10,'VK-Põlevkivi'!$C:$X,2+$G45,0))+IF(CC$4="X",VLOOKUP(CC$10,'VK-Võrgud'!$C:$X,2+$F45,0)))/16</f>
        <v>0</v>
      </c>
      <c r="CD45" s="209"/>
      <c r="CE45" s="209">
        <f>(IF(CE$7="X",VLOOKUP(CE$10,'VK-Hooned-Soojus'!$C:$X,2+$C45,FALSE),0)+IF(CE$6="X",VLOOKUP(CE$10,'VK-Transport'!$C:$X,2+$B45,0))+IF(CE$8="X",VLOOKUP(CE$10,'VK-Elekter'!$C:$X,2+$D45,0))+IF(CE$9="X",VLOOKUP(CE$10,'VK-Biokütused'!$C:$U,2+$E45,0))+IF(CE$5="X",VLOOKUP(CE$10,'VK-Põlevkivi'!$C:$X,2+$G45,0))+IF(CE$4="X",VLOOKUP(CE$10,'VK-Võrgud'!$C:$X,2+$F45,0)))/16</f>
        <v>24.15625</v>
      </c>
      <c r="CF45" s="209"/>
      <c r="CG45" s="209">
        <f>(IF(CG$7="X",VLOOKUP(CG$10,'VK-Hooned-Soojus'!$C:$X,2+$C45,FALSE),0)+IF(CG$6="X",VLOOKUP(CG$10,'VK-Transport'!$C:$X,2+$B45,0))+IF(CG$8="X",VLOOKUP(CG$10,'VK-Elekter'!$C:$X,2+$D45,0))+IF(CG$9="X",VLOOKUP(CG$10,'VK-Biokütused'!$C:$U,2+$E45,0))+IF(CG$5="X",VLOOKUP(CG$10,'VK-Põlevkivi'!$C:$X,2+$G45,0))+IF(CG$4="X",VLOOKUP(CG$10,'VK-Võrgud'!$C:$X,2+$F45,0)))/16</f>
        <v>0</v>
      </c>
      <c r="CH45" s="209">
        <f>(IF(CH$7="X",VLOOKUP(CH$10,'VK-Hooned-Soojus'!$C:$X,2+$C45,FALSE),0)+IF(CH$6="X",VLOOKUP(CH$10,'VK-Transport'!$C:$X,2+$B45,0))+IF(CH$8="X",VLOOKUP(CH$10,'VK-Elekter'!$C:$X,2+$D45,0))+IF(CH$9="X",VLOOKUP(CH$10,'VK-Biokütused'!$C:$U,2+$E45,0))+IF(CH$5="X",VLOOKUP(CH$10,'VK-Põlevkivi'!$C:$X,2+$G45,0))+IF(CH$4="X",VLOOKUP(CH$10,'VK-Võrgud'!$C:$X,2+$F45,0)))/20*0.21</f>
        <v>26.9178</v>
      </c>
      <c r="CI45" s="209"/>
      <c r="CJ45" s="209">
        <f>(IF(CJ$7="X",VLOOKUP(CJ$10,'VK-Hooned-Soojus'!$C:$X,2+$C45,FALSE),0)+IF(CJ$6="X",VLOOKUP(CJ$10,'VK-Transport'!$C:$X,2+$B45,0))+IF(CJ$8="X",VLOOKUP(CJ$10,'VK-Elekter'!$C:$X,2+$D45,0))+IF(CJ$9="X",VLOOKUP(CJ$10,'VK-Biokütused'!$C:$U,2+$E45,0))+IF(CJ$5="X",VLOOKUP(CJ$10,'VK-Põlevkivi'!$C:$X,2+$G45,0))+IF(CJ$4="X",VLOOKUP(CJ$10,'VK-Võrgud'!$C:$X,2+$F45,0)))/1000</f>
        <v>18.589578011574538</v>
      </c>
      <c r="CK45" s="209">
        <f>(IF(CK$7="X",VLOOKUP(CK$10,'VK-Hooned-Soojus'!$C:$X,2+$C45,FALSE),0)+IF(CK$6="X",VLOOKUP(CK$10,'VK-Transport'!$C:$X,2+$B45,0))+IF(CK$8="X",VLOOKUP(CK$10,'VK-Elekter'!$C:$X,2+$D45,0))+IF(CK$9="X",VLOOKUP(CK$10,'VK-Biokütused'!$C:$U,2+$E45,0))+IF(CK$5="X",VLOOKUP(CK$10,'VK-Põlevkivi'!$C:$X,2+$G45,0))+IF(CK$4="X",VLOOKUP(CK$10,'VK-Võrgud'!$C:$X,2+$F45,0)))/1000</f>
        <v>11.2251245622786</v>
      </c>
      <c r="CL45" s="235">
        <f>(IF(CL$7="X",VLOOKUP(CL$10,'VK-Hooned-Soojus'!$C:$X,2+$C45,FALSE),0)+IF(CL$6="X",VLOOKUP(CL$10,'VK-Transport'!$C:$X,2+$B45,0))+IF(CL$8="X",VLOOKUP(CL$10,'VK-Elekter'!$C:$X,2+$D45,0))+IF(CL$9="X",VLOOKUP(CL$10,'VK-Biokütused'!$C:$U,2+$E45,0)))/1000</f>
        <v>8.8367140697148798</v>
      </c>
      <c r="CM45" s="209">
        <f>(IF(CM$7="X",VLOOKUP(CM$10,'VK-Hooned-Soojus'!$C:$X,2+$C45,FALSE),0)+IF(CM$6="X",VLOOKUP(CM$10,'VK-Transport'!$C:$X,2+$B45,0))+IF(CM$8="X",VLOOKUP(CM$10,'VK-Elekter'!$C:$X,2+$D45,0))+IF(CM$9="X",VLOOKUP(CM$10,'VK-Biokütused'!$C:$U,2+$E45,0))+IF(CM$5="X",VLOOKUP(CM$10,'VK-Põlevkivi'!$C:$X,2+$G45,0))+IF(CM$4="X",VLOOKUP(CM$10,'VK-Võrgud'!$C:$X,2+$F45,0)))/1000</f>
        <v>7.6207605777489071</v>
      </c>
      <c r="CN45" s="209">
        <f>(IF(CN$7="X",VLOOKUP(CN$10,'VK-Hooned-Soojus'!$C:$X,2+$C45,FALSE),0)+IF(CN$6="X",VLOOKUP(CN$10,'VK-Transport'!$C:$X,2+$B45,0))+IF(CN$8="X",VLOOKUP(CN$10,'VK-Elekter'!$C:$X,2+$D45,0))+IF(CN$9="X",VLOOKUP(CN$10,'VK-Biokütused'!$C:$U,2+$E45,0))+IF(CN$5="X",VLOOKUP(CN$10,'VK-Põlevkivi'!$C:$X,2+$G45,0))+IF(CN$4="X",VLOOKUP(CN$10,'VK-Võrgud'!$C:$X,2+$F45,0)))/1000</f>
        <v>2.7559999999999998</v>
      </c>
      <c r="CO45" s="209">
        <f>(IF(CO$7="X",VLOOKUP(CO$10,'VK-Hooned-Soojus'!$C:$X,2+$C45,FALSE),0)+IF(CO$6="X",VLOOKUP(CO$10,'VK-Transport'!$C:$X,2+$B45,0))+IF(CO$8="X",VLOOKUP(CO$10,'VK-Elekter'!$C:$X,2+$D45,0))+IF(CO$9="X",VLOOKUP(CO$10,'VK-Biokütused'!$C:$U,2+$E45,0))+IF(CO$5="X",VLOOKUP(CO$10,'VK-Põlevkivi'!$C:$X,2+$G45,0))+IF(CO$4="X",VLOOKUP(CO$10,'VK-Võrgud'!$C:$X,2+$F45,0)))/1000</f>
        <v>25.115649773285455</v>
      </c>
      <c r="CP45" s="209">
        <f>(IF(CP$7="X",VLOOKUP(CP$10,'VK-Hooned-Soojus'!$C:$X,2+$C45,FALSE),0)+IF(CP$6="X",VLOOKUP(CP$10,'VK-Transport'!$C:$X,2+$B45,0))+IF(CP$8="X",VLOOKUP(CP$10,'VK-Elekter'!$C:$X,2+$D45,0))+IF(CP$9="X",VLOOKUP(CP$10,'VK-Biokütused'!$C:$U,2+$E45,0))+IF(CP$5="X",VLOOKUP(CP$10,'VK-Põlevkivi'!$C:$X,2+$G45,0))+IF(CP$4="X",VLOOKUP(CP$10,'VK-Võrgud'!$C:$X,2+$F45,0)))/1000</f>
        <v>13.407948584295612</v>
      </c>
      <c r="CQ45" s="235">
        <f>(IF(CQ$7="X",VLOOKUP(CQ$10,'VK-Hooned-Soojus'!$C:$X,2+$C45,FALSE),0)+IF(CQ$6="X",VLOOKUP(CQ$10,'VK-Transport'!$C:$X,2+$B45,0))+IF(CQ$8="X",VLOOKUP(CQ$10,'VK-Elekter'!$C:$X,2+$D45,0))+IF(CQ$9="X",VLOOKUP(CQ$10,'VK-Biokütused'!$C:$U,2+$E45,0)))/1000</f>
        <v>10.915906999999999</v>
      </c>
      <c r="CR45" s="209">
        <f>(IF(CR$7="X",VLOOKUP(CR$10,'VK-Hooned-Soojus'!$C:$X,2+$C45,FALSE),0)+IF(CR$6="X",VLOOKUP(CR$10,'VK-Transport'!$C:$X,2+$B45,0))+IF(CR$8="X",VLOOKUP(CR$10,'VK-Elekter'!$C:$X,2+$D45,0))+IF(CR$9="X",VLOOKUP(CR$10,'VK-Biokütused'!$C:$U,2+$E45,0))+IF(CR$5="X",VLOOKUP(CR$10,'VK-Põlevkivi'!$C:$X,2+$G45,0))+IF(CR$4="X",VLOOKUP(CR$10,'VK-Võrgud'!$C:$X,2+$F45,0)))/1000</f>
        <v>7.7317533562748038</v>
      </c>
      <c r="CS45" s="209">
        <f>(IF(CS$7="X",VLOOKUP(CS$10,'VK-Hooned-Soojus'!$C:$X,2+$C45,FALSE),0)+IF(CS$6="X",VLOOKUP(CS$10,'VK-Transport'!$C:$X,2+$B45,0))+IF(CS$8="X",VLOOKUP(CS$10,'VK-Elekter'!$C:$X,2+$D45,0))+IF(CS$9="X",VLOOKUP(CS$10,'VK-Biokütused'!$C:$U,2+$E45,0))+IF(CS$5="X",VLOOKUP(CS$10,'VK-Põlevkivi'!$C:$X,2+$G45,0))+IF(CS$4="X",VLOOKUP(CS$10,'VK-Võrgud'!$C:$X,2+$F45,0)))/1000</f>
        <v>3.9161524051216152</v>
      </c>
      <c r="CT45" s="209">
        <f>IF(CT$7="X",VLOOKUP(CT$10,'VK-Hooned-Soojus'!$C:$X,2+$C45,FALSE),0)+IF(CT$6="X",VLOOKUP(CT$10,'VK-Transport'!$C:$X,2+$B45,0))+IF(CT$8="X",VLOOKUP(CT$10,'VK-Elekter'!$C:$X,2+$D45,0))+IF(CT$9="X",VLOOKUP(CT$10,'VK-Biokütused'!$C:$U,2+$E45,0))+IF(CT$5="X",VLOOKUP(CT$10,'VK-Põlevkivi'!$C:$X,2+$G45,0))+IF(CT$4="X",VLOOKUP(CT$10,'VK-Võrgud'!$C:$X,2+$F45,0))</f>
        <v>90</v>
      </c>
      <c r="CU45" s="209">
        <f>IF(CU$7="X",VLOOKUP(CU$10,'VK-Hooned-Soojus'!$C:$X,2+$C45,FALSE),0)+IF(CU$6="X",VLOOKUP(CU$10,'VK-Transport'!$C:$X,2+$B45,0))+IF(CU$8="X",VLOOKUP(CU$10,'VK-Elekter'!$C:$X,2+$D45,0))+IF(CU$9="X",VLOOKUP(CU$10,'VK-Biokütused'!$C:$U,2+$E45,0))+IF(CU$5="X",VLOOKUP(CU$10,'VK-Põlevkivi'!$C:$X,2+$G45,0))+IF(CU$4="X",VLOOKUP(CU$10,'VK-Võrgud'!$C:$X,2+$F45,0))</f>
        <v>0.72088353413654627</v>
      </c>
      <c r="CV45" s="209">
        <f t="shared" si="37"/>
        <v>0.91028830406496797</v>
      </c>
      <c r="CW45" s="209">
        <f>(IF(CW$7="X",VLOOKUP(CW$10,'VK-Hooned-Soojus'!$C:$X,2+$C45,FALSE),0)+IF(CW$6="X",VLOOKUP(CW$10,'VK-Transport'!$C:$X,2+$B45,0))+IF(CW$8="X",VLOOKUP(CW$10,'VK-Elekter'!$C:$X,2+$D45,0))+IF(CW$9="X",VLOOKUP(CW$10,'VK-Biokütused'!$C:$U,2+$E45,0))+IF(CW$5="X",VLOOKUP(CW$10,'VK-Põlevkivi'!$C:$X,2+$G45,0))+IF(CW$4="X",VLOOKUP(CW$10,'VK-Võrgud'!$C:$X,2+$F45,0)))/16</f>
        <v>59.743749999999999</v>
      </c>
      <c r="CY45" s="209">
        <f>(IF(CY$7="X",VLOOKUP(CY$10,'VK-Hooned-Soojus'!$C:$X,2+$C45,FALSE),0)+IF(CY$6="X",VLOOKUP(CY$10,'VK-Transport'!$C:$X,2+$B45,0))+IF(CY$8="X",VLOOKUP(CY$10,'VK-Elekter'!$C:$X,2+$D45,0))+IF(CY$9="X",VLOOKUP(CY$10,'VK-Biokütused'!$C:$U,2+$E45,0))+IF(CY$5="X",VLOOKUP(CY$10,'VK-Põlevkivi'!$C:$X,2+$G45,0))+IF(CY$4="X",VLOOKUP(CY$10,'VK-Võrgud'!$C:$X,2+$F45,0)))/1000</f>
        <v>10.813000000000001</v>
      </c>
      <c r="CZ45" s="209">
        <f>(IF(CZ$7="X",VLOOKUP(CZ$10,'VK-Hooned-Soojus'!$C:$X,2+$C45,FALSE),0)+IF(CZ$6="X",VLOOKUP(CZ$10,'VK-Transport'!$C:$X,2+$B45,0))+IF(CZ$8="X",VLOOKUP(CZ$10,'VK-Elekter'!$C:$X,2+$D45,0))+IF(CZ$9="X",VLOOKUP(CZ$10,'VK-Biokütused'!$C:$U,2+$E45,0))+IF(CZ$5="X",VLOOKUP(CZ$10,'VK-Põlevkivi'!$C:$X,2+$G45,0))+IF(CZ$4="X",VLOOKUP(CZ$10,'VK-Võrgud'!$C:$X,2+$F45,0)))</f>
        <v>75.400000000000006</v>
      </c>
      <c r="DA45" s="209">
        <f>(IF(DA$7="X",VLOOKUP(DA$10,'VK-Hooned-Soojus'!$C:$X,2+$C45,FALSE),0)+IF(DA$6="X",VLOOKUP(DA$10,'VK-Transport'!$C:$X,2+$B45,0))+IF(DA$8="X",VLOOKUP(DA$10,'VK-Elekter'!$C:$X,2+$D45,0))+IF(DA$9="X",VLOOKUP(DA$10,'VK-Biokütused'!$C:$U,2+$E45,0))+IF(DA$5="X",VLOOKUP(DA$10,'VK-Põlevkivi'!$C:$X,2+$G45,0))+IF(DA$4="X",VLOOKUP(DA$10,'VK-Võrgud'!$C:$X,2+$F45,0)))/1000</f>
        <v>14.372999999999999</v>
      </c>
      <c r="DB45" s="209">
        <f>(IF(DB$7="X",VLOOKUP(DB$10,'VK-Hooned-Soojus'!$C:$X,2+$C45,FALSE),0)+IF(DB$6="X",VLOOKUP(DB$10,'VK-Transport'!$C:$X,2+$B45,0))+IF(DB$8="X",VLOOKUP(DB$10,'VK-Elekter'!$C:$X,2+$D45,0))+IF(DB$9="X",VLOOKUP(DB$10,'VK-Biokütused'!$C:$U,2+$E45,0))+IF(DB$5="X",VLOOKUP(DB$10,'VK-Põlevkivi'!$C:$X,2+$G45,0))+IF(DB$4="X",VLOOKUP(DB$10,'VK-Võrgud'!$C:$X,2+$F45,0)))/1000/3.6</f>
        <v>64.176666666666662</v>
      </c>
      <c r="DC45" s="209">
        <f>(IF(DC$7="X",VLOOKUP(DC$10,'VK-Hooned-Soojus'!$C:$X,2+$C45,FALSE),0)+IF(DC$6="X",VLOOKUP(DC$10,'VK-Transport'!$C:$X,2+$B45,0))+IF(DC$8="X",VLOOKUP(DC$10,'VK-Elekter'!$C:$X,2+$D45,0))+IF(DC$9="X",VLOOKUP(DC$10,'VK-Biokütused'!$C:$U,2+$E45,0))+IF(DC$5="X",VLOOKUP(DC$10,'VK-Põlevkivi'!$C:$X,2+$G45,0))+IF(DC$4="X",VLOOKUP(DC$10,'VK-Võrgud'!$C:$X,2+$F45,0)))/1000000</f>
        <v>5.177956</v>
      </c>
      <c r="DD45" s="209"/>
      <c r="DE45" s="88">
        <f>VLOOKUP(Tulemused!$BN$12,data!M$7:N$12,2,FALSE)-SUM(L45,M45)</f>
        <v>-2.20664444444445</v>
      </c>
      <c r="DF45" s="209" t="str">
        <f>IF(AZ45&lt;=VLOOKUP(Tulemused!$BN$15,data!$E$36:$F$39,2,FALSE),"JAH","EI")</f>
        <v>JAH</v>
      </c>
      <c r="DG45" s="209"/>
      <c r="DH45" s="209">
        <f t="shared" si="38"/>
        <v>6.08</v>
      </c>
      <c r="DI45" s="231" t="str">
        <f t="shared" si="17"/>
        <v>EI</v>
      </c>
      <c r="DK45" s="232">
        <f t="shared" si="39"/>
        <v>-997.82172101432354</v>
      </c>
      <c r="DM45" s="233">
        <f t="shared" si="40"/>
        <v>-992.64104836151603</v>
      </c>
      <c r="DN45" s="87">
        <f t="array" ref="DN45">INDEX($A$11:$A$145, SMALL(IF(DM45=$DK$11:$DK$145, MATCH(ROW($DK$11:$DK$145), ROW($DK$11:$DK$145))), SUM(--(DM45=$DM$11:DM45))))</f>
        <v>27</v>
      </c>
      <c r="DP45" s="87" t="e">
        <f t="shared" ca="1" si="18"/>
        <v>#N/A</v>
      </c>
      <c r="DQ45" s="87" t="e">
        <f t="shared" ca="1" si="19"/>
        <v>#N/A</v>
      </c>
      <c r="DR45" s="87">
        <f t="shared" ca="1" si="20"/>
        <v>0</v>
      </c>
      <c r="DS45" s="87" t="e">
        <f t="shared" ca="1" si="21"/>
        <v>#N/A</v>
      </c>
      <c r="DT45" s="87">
        <f t="shared" ca="1" si="22"/>
        <v>0</v>
      </c>
      <c r="DU45" s="87" t="e">
        <f t="shared" ca="1" si="23"/>
        <v>#N/A</v>
      </c>
      <c r="DV45" s="87" t="e">
        <f t="shared" ca="1" si="24"/>
        <v>#N/A</v>
      </c>
      <c r="DW45" s="87">
        <f t="shared" ca="1" si="25"/>
        <v>0</v>
      </c>
      <c r="DX45" s="87">
        <f t="shared" ca="1" si="26"/>
        <v>0</v>
      </c>
      <c r="DZ45" s="87">
        <f t="shared" ca="1" si="35"/>
        <v>0</v>
      </c>
      <c r="EB45" s="87">
        <f t="shared" ca="1" si="27"/>
        <v>0</v>
      </c>
      <c r="EC45" s="87" t="e">
        <f t="shared" ca="1" si="28"/>
        <v>#N/A</v>
      </c>
      <c r="EE45" s="228">
        <f>(IF(EE$7="X",VLOOKUP(EE$10,'VK-Hooned-Soojus'!$C:$X,2+$C45,FALSE),0)+IF(EE$6="X",VLOOKUP(EE$10,'VK-Transport'!$C:$X,2+$B45,0))+IF(EE$8="X",VLOOKUP(EE$10,'VK-Elekter'!$C:$X,2+$D45,0))+IF(EE$9="X",VLOOKUP(EE$10,'VK-Biokütused'!$C:$U,2+$E45,0))+IF(EE$5="X",VLOOKUP(EE$10,'VK-Põlevkivi'!$C:$X,2+$G45,0))+IF(EE$4="X",VLOOKUP(EE$10,'VK-Võrgud'!$C:$X,2+$F45,0)))</f>
        <v>6081.5379605987964</v>
      </c>
      <c r="EF45" s="235">
        <f>(IF(EF$7="X",VLOOKUP(EF$10,'VK-Hooned-Soojus'!$C:$X,2+$C45,FALSE),0)+IF(EF$6="X",VLOOKUP(EF$10,'VK-Transport'!$C:$X,2+$B45,0))+IF(EF$8="X",VLOOKUP(EF$10,'VK-Elekter'!$C:$X,2+$D45,0))+IF(EF$9="X",VLOOKUP(EF$10,'VK-Biokütused'!$C:$U,2+$E45,0)))/1000</f>
        <v>5.3996368215830604</v>
      </c>
      <c r="EG45" s="209">
        <f>(IF(EG$7="X",VLOOKUP(EG$10,'VK-Hooned-Soojus'!$C:$X,2+$C45,FALSE),0)+IF(EG$6="X",VLOOKUP(EG$10,'VK-Transport'!$C:$X,2+$B45,0))+IF(EG$8="X",VLOOKUP(EG$10,'VK-Elekter'!$C:$X,2+$D45,0))+IF(EG$9="X",VLOOKUP(EG$10,'VK-Biokütused'!$C:$U,2+$E45,0))+IF(EG$5="X",VLOOKUP(EG$10,'VK-Põlevkivi'!$C:$X,2+$G45,0))+IF(EG$4="X",VLOOKUP(EG$10,'VK-Võrgud'!$C:$X,2+$F45,0)))</f>
        <v>0.81</v>
      </c>
      <c r="EH45" s="209">
        <f>(IF(EH$7="X",VLOOKUP(EH$10,'VK-Hooned-Soojus'!$C:$X,2+$C45,FALSE),0)+IF(EH$6="X",VLOOKUP(EH$10,'VK-Transport'!$C:$X,2+$B45,0))+IF(EH$8="X",VLOOKUP(EH$10,'VK-Elekter'!$C:$X,2+$D45,0))+IF(EH$9="X",VLOOKUP(EH$10,'VK-Biokütused'!$C:$U,2+$E45,0)))+AR45+AS45+AU45+AX45</f>
        <v>55.316165628957577</v>
      </c>
      <c r="EI45" s="320">
        <f t="shared" si="41"/>
        <v>48.674567183462528</v>
      </c>
      <c r="EJ45" s="322">
        <f t="shared" si="42"/>
        <v>2.201934621570804E-2</v>
      </c>
      <c r="EK45" s="323">
        <f t="shared" si="29"/>
        <v>0.35947746298057853</v>
      </c>
      <c r="EM45" s="209"/>
      <c r="EN45" s="209">
        <f t="shared" ca="1" si="43"/>
        <v>0</v>
      </c>
      <c r="EO45" s="209"/>
      <c r="EP45" s="234"/>
      <c r="EQ45" s="209">
        <f>(IF(EQ$7="X",VLOOKUP(EQ$10,'VK-Hooned-Soojus'!$C:$X,2+$C45,FALSE),0)+IF(EQ$6="X",VLOOKUP(EQ$10,'VK-Transport'!$C:$X,2+$B45,0))+IF(EQ$8="X",VLOOKUP(EQ$10,'VK-Elekter'!$C:$X,2+$D45,0))+IF(EQ$9="X",VLOOKUP(EQ$10,'VK-Biokütused'!$C:$U,2+$E45,0))+IF(EQ$5="X",VLOOKUP(EQ$10,'VK-Põlevkivi'!$C:$X,2+$G45,0))+IF(EQ$4="X",VLOOKUP(EQ$10,'VK-Võrgud'!$C:$X,2+$F45,0)))/1000</f>
        <v>0.19900000000000001</v>
      </c>
      <c r="ER45" s="209">
        <f>(IF(ER$7="X",VLOOKUP(ER$10,'VK-Hooned-Soojus'!$C:$X,2+$C45,FALSE),0)+IF(ER$6="X",VLOOKUP(ER$10,'VK-Transport'!$C:$X,2+$B45,0))+IF(ER$8="X",VLOOKUP(ER$10,'VK-Elekter'!$C:$X,2+$D45,0))+IF(ER$9="X",VLOOKUP(ER$10,'VK-Biokütused'!$C:$U,2+$E45,0))+IF(ER$5="X",VLOOKUP(ER$10,'VK-Põlevkivi'!$C:$X,2+$G45,0))+IF(ER$4="X",VLOOKUP(ER$10,'VK-Võrgud'!$C:$X,2+$F45,0)))</f>
        <v>0.72299999999999998</v>
      </c>
      <c r="ES45" s="209">
        <f>(IF(ES$7="X",VLOOKUP(ES$10,'VK-Hooned-Soojus'!$C:$X,2+$C45,FALSE),0)+IF(ES$6="X",VLOOKUP(ES$10,'VK-Transport'!$C:$X,2+$B45,0))+IF(ES$8="X",VLOOKUP(ES$10,'VK-Elekter'!$C:$X,2+$D45,0))+IF(ES$9="X",VLOOKUP(ES$10,'VK-Biokütused'!$C:$U,2+$E45,0))+IF(ES$5="X",VLOOKUP(ES$10,'VK-Põlevkivi'!$C:$X,2+$G45,0))+IF(ES$4="X",VLOOKUP(ES$10,'VK-Võrgud'!$C:$X,2+$F45,0)))</f>
        <v>6.08</v>
      </c>
      <c r="ET45" s="209"/>
      <c r="EU45" s="209"/>
      <c r="EV45" s="87">
        <f>'KSH järjestus'!AS38</f>
        <v>1661</v>
      </c>
      <c r="EX45" s="236"/>
      <c r="EY45" s="236"/>
      <c r="EZ45" s="237">
        <f t="shared" si="44"/>
        <v>0.27911646586345373</v>
      </c>
      <c r="FA45" s="209">
        <f>IF(FA$7="X",VLOOKUP(FA$10,'VK-Hooned-Soojus'!$C:$X,2+$C45,FALSE),0)+IF(FA$6="X",VLOOKUP(FA$10,'VK-Transport'!$C:$X,2+$B45,0))+IF(FA$8="X",VLOOKUP(FA$10,'VK-Elekter'!$C:$X,2+$D45,0))+IF(FA$9="X",VLOOKUP(FA$10,'VK-Biokütused'!$C:$U,2+$E45,0))+IF(FA$5="X",VLOOKUP(FA$10,'VK-Põlevkivi'!$C:$X,2+$G45,0))+IF(FA$4="X",VLOOKUP(FA$10,'VK-Võrgud'!$C:$X,2+$F45,0))</f>
        <v>3579.9070000000002</v>
      </c>
      <c r="FB45" s="279">
        <f>(IF(FB$7="X",VLOOKUP(FB$10,'VK-Hooned-Soojus'!$C:$X,2+$C45,FALSE),0)+IF(FB$6="X",VLOOKUP(FB$10,'VK-Transport'!$C:$X,2+$B45,0))+IF(FB$8="X",VLOOKUP(FB$10,'VK-Elekter'!$C:$X,2+$D45,0))+IF(FB$9="X",VLOOKUP(FB$10,'VK-Biokütused'!$C:$U,2+$E45,0))+IF(FB$5="X",VLOOKUP(FB$10,'VK-Põlevkivi'!$C:$X,2+$G45,0))+IF(FB$4="X",VLOOKUP(FB$10,'VK-Võrgud'!$C:$X,2+$F45,0)))/16</f>
        <v>276.38587599973636</v>
      </c>
      <c r="FC45" s="209">
        <f>IF(FC$7="X",VLOOKUP(FC$10,'VK-Hooned-Soojus'!$C:$X,2+$C45,FALSE),0)+IF(FC$6="X",VLOOKUP(FC$10,'VK-Transport'!$C:$X,2+$B45,0))+IF(FC$8="X",VLOOKUP(FC$10,'VK-Elekter'!$C:$X,2+$D45,0))+IF(FC$9="X",VLOOKUP(FC$10,'VK-Biokütused'!$C:$U,2+$E45,0))+IF(FC$5="X",VLOOKUP(FC$10,'VK-Põlevkivi'!$C:$X,2+$G45,0))+IF(FC$4="X",VLOOKUP(FC$10,'VK-Võrgud'!$C:$X,2+$F45,0))</f>
        <v>309.09999999999997</v>
      </c>
      <c r="FD45" s="209">
        <f>(IF(FD$7="X",VLOOKUP(FD$10,'VK-Hooned-Soojus'!$C:$X,2+$C45,FALSE),0)+IF(FD$6="X",VLOOKUP(FD$10,'VK-Transport'!$C:$X,2+$B45,0))+IF(FD$8="X",VLOOKUP(FD$10,'VK-Elekter'!$C:$X,2+$D45,0))+IF(FD$9="X",VLOOKUP(FD$10,'VK-Biokütused'!$C:$U,2+$E45,0))+IF(FD$5="X",VLOOKUP(FD$10,'VK-Põlevkivi'!$C:$X,2+$G45,0))+IF(FD$4="X",VLOOKUP(FD$10,'VK-Võrgud'!$C:$X,2+$F45,0)))/16</f>
        <v>276.38587599973636</v>
      </c>
      <c r="FE45" s="209">
        <f>(IF(FE$7="X",VLOOKUP(FE$10,'VK-Hooned-Soojus'!$C:$X,2+$C45,FALSE),0)+IF(FE$6="X",VLOOKUP(FE$10,'VK-Transport'!$C:$X,2+$B45,0))+IF(FE$8="X",VLOOKUP(FE$10,'VK-Elekter'!$C:$X,2+$D45,0))+IF(FE$9="X",VLOOKUP(FE$10,'VK-Biokütused'!$C:$U,2+$E45,0))+IF(FE$5="X",VLOOKUP(FE$10,'VK-Põlevkivi'!$C:$X,2+$G45,0))+IF(FE$4="X",VLOOKUP(FE$10,'VK-Võrgud'!$C:$X,2+$F45,0)))/16</f>
        <v>-137.65321988063209</v>
      </c>
      <c r="FF45" s="209">
        <f>(IF(FF$7="X",VLOOKUP(FF$10,'VK-Hooned-Soojus'!$C:$X,2+$C45,FALSE),0)+IF(FF$6="X",VLOOKUP(FF$10,'VK-Transport'!$C:$X,2+$B45,0))+IF(FF$8="X",VLOOKUP(FF$10,'VK-Elekter'!$C:$X,2+$D45,0))+IF(FF$9="X",VLOOKUP(FF$10,'VK-Biokütused'!$C:$U,2+$E45,0))+IF(FF$5="X",VLOOKUP(FF$10,'VK-Põlevkivi'!$C:$X,2+$G45,0))+IF(FF$4="X",VLOOKUP(FF$10,'VK-Võrgud'!$C:$X,2+$F45,0)))/16</f>
        <v>105.05441866194826</v>
      </c>
      <c r="FG45" s="88">
        <f t="shared" ca="1" si="30"/>
        <v>-32.598801218683832</v>
      </c>
      <c r="FH45" s="88"/>
      <c r="FI45" s="88"/>
      <c r="FJ45" s="88">
        <f>VLOOKUP(Tulemused!$BN$12,data!M$7:N$12,2,FALSE)-SUM(L45,M45)</f>
        <v>-2.20664444444445</v>
      </c>
      <c r="FK45" s="209" t="str">
        <f>IF(AZ45&lt;=VLOOKUP(Tulemused!$BN$15,data!$E$36:$F$39,2,FALSE),"JAH","EI")</f>
        <v>JAH</v>
      </c>
      <c r="FL45" s="235">
        <f ca="1">IF(ISNA(MATCH($A45,INDIRECT(VLOOKUP(Tulemused!$BF$11,data!$J$57:$M$71,4,FALSE)))),0,MATCH($A45,INDIRECT(VLOOKUP(Tulemused!$BF$11,data!$J$57:$M$71,4,FALSE))))</f>
        <v>0</v>
      </c>
      <c r="FM45" s="235" t="str">
        <f t="shared" ca="1" si="45"/>
        <v>JAH</v>
      </c>
      <c r="FN45" s="209">
        <f>VLOOKUP(Tulemused!$BN$13,data!$C$132:$D$137,2,FALSE)-KOMBI!R45</f>
        <v>2.8708331784169405</v>
      </c>
      <c r="FO45" s="209"/>
      <c r="FP45" s="209">
        <f>VLOOKUP(Tulemused!$BN$17,NO_x,2,FALSE)-CJ45</f>
        <v>10.848421988425461</v>
      </c>
      <c r="FQ45" s="209">
        <f>VLOOKUP(Tulemused!$BN$18,SO_2,2,FALSE)-CK45</f>
        <v>40.658875437721399</v>
      </c>
      <c r="FR45" s="209">
        <f>VLOOKUP(Tulemused!$BN$19,LOU,2,FALSE)-CN45</f>
        <v>34.324000000000005</v>
      </c>
      <c r="FS45" s="209">
        <f>VLOOKUP(Tulemused!$BN$20,PM_2.5,2,FALSE)-CM45</f>
        <v>9.294239422251092</v>
      </c>
      <c r="FT45" s="209">
        <f>VLOOKUP(Tulemused!$BN$13,data!$C$132:$D$137,2,FALSE)-FA45/1000</f>
        <v>2.6660630000000007</v>
      </c>
      <c r="FU45" s="209">
        <f>VLOOKUP(Tulemused!$BN$17,NO_x,2,FALSE)-CO45</f>
        <v>4.3223502267145442</v>
      </c>
      <c r="FV45" s="209">
        <f>VLOOKUP(Tulemused!$BN$18,SO_2,2,FALSE)-CP45</f>
        <v>38.47605141570439</v>
      </c>
      <c r="FW45" s="209">
        <f>VLOOKUP(Tulemused!$BN$19,LOU,2,FALSE)-CS45</f>
        <v>33.163847594878391</v>
      </c>
      <c r="FX45" s="209">
        <f>VLOOKUP(Tulemused!$BN$20,PM_2.5,2,FALSE)-CR45</f>
        <v>9.1832466437251945</v>
      </c>
      <c r="FY45" s="209">
        <f>VLOOKUP(Tulemused!$BN$14,KHG_2050,2,FALSE)-EF45</f>
        <v>94.600363178416941</v>
      </c>
      <c r="FZ45" s="231" t="str">
        <f t="shared" ca="1" si="31"/>
        <v>EI</v>
      </c>
      <c r="GA45" s="209"/>
      <c r="GB45" s="209"/>
      <c r="GC45" s="209"/>
      <c r="GD45" s="231"/>
      <c r="GE45" s="87">
        <f t="shared" si="46"/>
        <v>1661</v>
      </c>
      <c r="GF45" s="232" t="str">
        <f t="shared" ca="1" si="32"/>
        <v/>
      </c>
      <c r="GH45" s="238" t="e">
        <f t="shared" ca="1" si="47"/>
        <v>#NUM!</v>
      </c>
      <c r="GI45" s="87" t="e">
        <f t="array" aca="1" ref="GI45" ca="1">INDEX($A$11:$A$145, SMALL(IF(GH45=$GF$11:$GF$145, MATCH(ROW($GF$11:$GF$145), ROW($GF$11:$GF$145))), SUM(--(GH45=$GH$11:GH45))))</f>
        <v>#NUM!</v>
      </c>
      <c r="GM45" s="209">
        <f>IF(GM$7="X",VLOOKUP(GM$10,'VK-Hooned-Soojus'!$C:$X,2+$C45,FALSE),0)+IF(GM$6="X",VLOOKUP(GM$10,'VK-Transport'!$C:$X,2+$B45,0))+IF(GM$8="X",VLOOKUP(GM$10,'VK-Elekter'!$C:$X,2+$D45,0))+IF(GM$9="X",VLOOKUP(GM$10,'VK-Biokütused'!$C:$U,2+$E45,0))+IF(GM$5="X",VLOOKUP(GM$10,'VK-Põlevkivi'!$C:$X,2+$G45,0))+IF(GM$4="X",VLOOKUP(GM$10,'VK-Võrgud'!$C:$X,2+$F45,0))</f>
        <v>6.0128279910272253</v>
      </c>
      <c r="GN45" s="209">
        <f>IF(GN$7="X",VLOOKUP(GN$10,'VK-Hooned-Soojus'!$C:$X,2+$C45,FALSE),0)+IF(GN$6="X",VLOOKUP(GN$10,'VK-Transport'!$C:$X,2+$B45,0))+IF(GN$8="X",VLOOKUP(GN$10,'VK-Elekter'!$C:$X,2+$D45,0))+IF(GN$9="X",VLOOKUP(GN$10,'VK-Biokütused'!$C:$U,2+$E45,0))+IF(GN$5="X",VLOOKUP(GN$10,'VK-Põlevkivi'!$C:$X,2+$G45,0))+IF(GN$4="X",VLOOKUP(GN$10,'VK-Võrgud'!$C:$X,2+$F45,0))</f>
        <v>3.4467619395011728</v>
      </c>
      <c r="GO45" s="209">
        <f>IF(GO$7="X",VLOOKUP(GO$10,'VK-Hooned-Soojus'!$C:$X,2+$C45,FALSE),0)+IF(GO$6="X",VLOOKUP(GO$10,'VK-Transport'!$C:$X,2+$B45,0))+IF(GO$8="X",VLOOKUP(GO$10,'VK-Elekter'!$C:$X,2+$D45,0))+IF(GO$9="X",VLOOKUP(GO$10,'VK-Biokütused'!$C:$U,2+$E45,0))+IF(GO$5="X",VLOOKUP(GO$10,'VK-Põlevkivi'!$C:$X,2+$G45,0))+IF(GO$4="X",VLOOKUP(GO$10,'VK-Võrgud'!$C:$X,2+$F45,0))</f>
        <v>7.5763700102722566</v>
      </c>
      <c r="GP45" s="209">
        <f>IF(GP$7="X",VLOOKUP(GP$10,'VK-Hooned-Soojus'!$C:$X,2+$C45,FALSE),0)+IF(GP$6="X",VLOOKUP(GP$10,'VK-Transport'!$C:$X,2+$B45,0))+IF(GP$8="X",VLOOKUP(GP$10,'VK-Elekter'!$C:$X,2+$D45,0))+IF(GP$9="X",VLOOKUP(GP$10,'VK-Biokütused'!$C:$U,2+$E45,0))+IF(GP$5="X",VLOOKUP(GP$10,'VK-Põlevkivi'!$C:$X,2+$G45,0))+IF(GP$4="X",VLOOKUP(GP$10,'VK-Võrgud'!$C:$X,2+$F45,0))</f>
        <v>8.9326558040707589</v>
      </c>
      <c r="GQ45" s="88">
        <f>IF(GQ$7="X",VLOOKUP(GQ$10,'VK-Hooned-Soojus'!$C:$X,2+$C45,FALSE),0)+IF(GQ$6="X",VLOOKUP(GQ$10,'VK-Transport'!$C:$X,2+$B45,0))+IF(GQ$8="X",VLOOKUP(GQ$10,'VK-Elekter'!$C:$X,2+$D45,0))+IF(GQ$9="X",VLOOKUP(GQ$10,'VK-Biokütused'!$C:$U,2+$E45,0))+IF(GQ$5="X",VLOOKUP(GQ$10,'VK-Põlevkivi'!$C:$X,2+$G45,0))+IF(GQ$4="X",VLOOKUP(GQ$10,'VK-Võrgud'!$C:$X,2+$F45,0))</f>
        <v>0.9682855968523334</v>
      </c>
      <c r="GR45" s="186">
        <f t="shared" si="33"/>
        <v>0.3809336464106115</v>
      </c>
    </row>
    <row r="46" spans="1:200" x14ac:dyDescent="0.2">
      <c r="A46" s="184">
        <v>36</v>
      </c>
      <c r="B46" s="87">
        <v>1</v>
      </c>
      <c r="C46" s="87">
        <v>3</v>
      </c>
      <c r="D46" s="87">
        <v>2</v>
      </c>
      <c r="E46" s="87">
        <v>3</v>
      </c>
      <c r="F46" s="87">
        <f>VLOOKUP(Tulemused!$BF$7,data!$J$6:$K$8,2,FALSE)</f>
        <v>2</v>
      </c>
      <c r="G46" s="87">
        <f>VLOOKUP(data!$H$2,data!$J$12:$K$14,2,FALSE)</f>
        <v>2</v>
      </c>
      <c r="I46" s="209">
        <f>IF(I$7="X",VLOOKUP(I$10,'VK-Hooned-Soojus'!$C:$X,2+$C46,FALSE),0)+IF(I$6="X",VLOOKUP(I$10,'VK-Transport'!$C:$X,2+$B46,0))+IF(I$8="X",VLOOKUP(I$10,'VK-Elekter'!$C:$X,2+$D46,0))+IF(I$9="X",VLOOKUP(I$10,'VK-Biokütused'!$C:$U,2+$E46,0))+IF(I$5="X",VLOOKUP(I$10,'VK-Põlevkivi'!$C:$X,2+$G46,0))+IF(I$4="X",VLOOKUP(I$10,'VK-Võrgud'!$C:$X,2+$F46,0))</f>
        <v>23.490000000000002</v>
      </c>
      <c r="J46" s="209">
        <f>IF(J$7="X",VLOOKUP(J$10,'VK-Hooned-Soojus'!$C:$X,2+$C46,FALSE),0)+IF(J$6="X",VLOOKUP(J$10,'VK-Transport'!$C:$X,2+$B46,0))+IF(J$8="X",VLOOKUP(J$10,'VK-Elekter'!$C:$X,2+$D46,0))+IF(J$9="X",VLOOKUP(J$10,'VK-Biokütused'!$C:$U,2+$E46,0))+IF(J$5="X",VLOOKUP(J$10,'VK-Põlevkivi'!$C:$X,2+$G46,0))+IF(J$4="X",VLOOKUP(J$10,'VK-Võrgud'!$C:$X,2+$F46,0))</f>
        <v>13.295833333333334</v>
      </c>
      <c r="K46" s="209">
        <f>IF(K$7="X",VLOOKUP(K$10,'VK-Hooned-Soojus'!$C:$X,2+$C46,FALSE),0)+IF(K$6="X",VLOOKUP(K$10,'VK-Transport'!$C:$X,2+$B46,0))+IF(K$8="X",VLOOKUP(K$10,'VK-Elekter'!$C:$X,2+$D46,0))+IF(K$9="X",VLOOKUP(K$10,'VK-Biokütused'!$C:$U,2+$E46,0))+IF(K$5="X",VLOOKUP(K$10,'VK-Põlevkivi'!$C:$X,2+$G46,0))+IF(K$4="X",VLOOKUP(K$10,'VK-Võrgud'!$C:$X,2+$F46,0))</f>
        <v>13.780000000000001</v>
      </c>
      <c r="L46" s="209">
        <f>IF(L$7="X",VLOOKUP(L$10,'VK-Hooned-Soojus'!$C:$X,2+$C46,FALSE),0)+IF(L$6="X",VLOOKUP(L$10,'VK-Transport'!$C:$X,2+$B46,0))+IF(L$8="X",VLOOKUP(L$10,'VK-Elekter'!$C:$X,2+$D46,0))+IF(L$9="X",VLOOKUP(L$10,'VK-Biokütused'!$C:$U,2+$E46,0))+IF(L$5="X",VLOOKUP(L$10,'VK-Põlevkivi'!$C:$X,2+$G46,0))+IF(L$4="X",VLOOKUP(L$10,'VK-Võrgud'!$C:$X,2+$F46,0))</f>
        <v>23.75</v>
      </c>
      <c r="M46" s="209">
        <f>IF(M$7="X",VLOOKUP(M$10,'VK-Hooned-Soojus'!$C:$X,2+$C46,FALSE),0)+IF(M$6="X",VLOOKUP(M$10,'VK-Transport'!$C:$X,2+$B46,0))+IF(M$8="X",VLOOKUP(M$10,'VK-Elekter'!$C:$X,2+$D46,0))+IF(M$9="X",VLOOKUP(M$10,'VK-Biokütused'!$C:$U,2+$E46,0))+IF(M$5="X",VLOOKUP(M$10,'VK-Põlevkivi'!$C:$X,2+$G46,0))+IF(M$4="X",VLOOKUP(M$10,'VK-Võrgud'!$C:$X,2+$F46,0))</f>
        <v>11.289444444444445</v>
      </c>
      <c r="N46" s="209">
        <f>IF(N$7="X",VLOOKUP(N$10,'VK-Hooned-Soojus'!$C:$X,2+$C46,FALSE),0)+IF(N$6="X",VLOOKUP(N$10,'VK-Transport'!$C:$X,2+$B46,0))+IF(N$8="X",VLOOKUP(N$10,'VK-Elekter'!$C:$X,2+$D46,0))+IF(N$9="X",VLOOKUP(N$10,'VK-Biokütused'!$C:$U,2+$E46,0))+IF(N$5="X",VLOOKUP(N$10,'VK-Põlevkivi'!$C:$X,2+$G46,0))+IF(N$4="X",VLOOKUP(N$10,'VK-Võrgud'!$C:$X,2+$F46,0))</f>
        <v>15.25</v>
      </c>
      <c r="O46" s="209">
        <f t="shared" si="13"/>
        <v>36.785833333333336</v>
      </c>
      <c r="P46" s="209"/>
      <c r="Q46" s="209">
        <f>(IF(Q$7="X",VLOOKUP(Q$10,'VK-Hooned-Soojus'!$C:$X,2+$C46,FALSE),0)+IF(Q$6="X",VLOOKUP(Q$10,'VK-Transport'!$C:$X,2+$B46,0))+IF(Q$8="X",VLOOKUP(Q$10,'VK-Elekter'!$C:$X,2+$D46,0))+IF(Q$9="X",VLOOKUP(Q$10,'VK-Biokütused'!$C:$U,2+$E46,0))+IF(Q$5="X",VLOOKUP(Q$10,'VK-Põlevkivi'!$C:$X,2+$G46,0))+IF(Q$4="X",VLOOKUP(Q$10,'VK-Võrgud'!$C:$X,2+$F46,0)))/1000</f>
        <v>4.9379999999999997</v>
      </c>
      <c r="R46" s="209">
        <f>(IF(R$7="X",VLOOKUP(R$10,'VK-Hooned-Soojus'!$C:$X,2+$C46,FALSE),0)+IF(R$6="X",VLOOKUP(R$10,'VK-Transport'!$C:$X,2+$B46,0))+IF(R$8="X",VLOOKUP(R$10,'VK-Elekter'!$C:$X,2+$D46,0))+IF(R$9="X",VLOOKUP(R$10,'VK-Biokütused'!$C:$U,2+$E46,0))+IF(R$5="X",VLOOKUP(R$10,'VK-Põlevkivi'!$C:$X,2+$G46,0))+IF(R$4="X",VLOOKUP(R$10,'VK-Võrgud'!$C:$X,2+$F46,0)))/1000</f>
        <v>3.5838368215830605</v>
      </c>
      <c r="S46" s="226">
        <f>VLOOKUP(S$10,'VK-Hooned-Soojus'!$C:$I,2+$C46,FALSE) + VLOOKUP(S$10,'VK-Transport'!$C:$I,2+$B46,FALSE)+ VLOOKUP(S$10,'VK-Biokütused'!$C:$G,2+$E46,FALSE)+ VLOOKUP(S$10,'VK-Elekter'!$C:$I,2+$D46,FALSE)+ VLOOKUP(S$10,'VK-Põlevkivi'!$C:$I,2+$G46,FALSE)+ VLOOKUP(S$10,'VK-Võrgud'!$C:$I,2+$F46,FALSE)</f>
        <v>1.562669742573608E-2</v>
      </c>
      <c r="T46" s="226">
        <f>VLOOKUP(T$10,'VK-Hooned-Soojus'!$C:$I,2+$C46,FALSE) + VLOOKUP(T$10,'VK-Transport'!$C:$I,2+$B46,FALSE)+ VLOOKUP(T$10,'VK-Biokütused'!$C:$G,2+$E46,FALSE)+ VLOOKUP(T$10,'VK-Elekter'!$C:$I,2+$D46,FALSE)+ VLOOKUP(T$10,'VK-Põlevkivi'!$C:$I,2+$G46,FALSE)+ VLOOKUP(T$10,'VK-Võrgud'!$C:$I,2+$F46,FALSE)</f>
        <v>-6.850602363007924E-3</v>
      </c>
      <c r="U46" s="226">
        <f>VLOOKUP(U$10,'VK-Hooned-Soojus'!$C:$I,2+$C46,FALSE) + VLOOKUP(U$10,'VK-Transport'!$C:$I,2+$B46,FALSE)+ VLOOKUP(U$10,'VK-Biokütused'!$C:$G,2+$E46,FALSE)+ VLOOKUP(U$10,'VK-Elekter'!$C:$I,2+$D46,FALSE)+ VLOOKUP(U$10,'VK-Põlevkivi'!$C:$I,2+$G46,FALSE)+ VLOOKUP(U$10,'VK-Võrgud'!$C:$I,2+$F46,FALSE)</f>
        <v>6.6916176767542468E-4</v>
      </c>
      <c r="V46" s="226">
        <f>VLOOKUP(V$10,'VK-Hooned-Soojus'!$C:$I,2+$C46,FALSE) + VLOOKUP(V$10,'VK-Transport'!$C:$I,2+$B46,FALSE)+ VLOOKUP(V$10,'VK-Biokütused'!$C:$G,2+$E46,FALSE)+ VLOOKUP(V$10,'VK-Elekter'!$C:$I,2+$D46,FALSE)+ VLOOKUP(V$10,'VK-Põlevkivi'!$C:$I,2+$G46,FALSE)+ VLOOKUP(V$10,'VK-Võrgud'!$C:$I,2+$F46,FALSE)</f>
        <v>1.5101249639733841E-2</v>
      </c>
      <c r="W46" s="226">
        <f>VLOOKUP(W$10,'VK-Hooned-Soojus'!$C:$I,2+$C46,FALSE) + VLOOKUP(W$10,'VK-Transport'!$C:$I,2+$B46,FALSE)+ VLOOKUP(W$10,'VK-Biokütused'!$C:$G,2+$E46,FALSE)+ VLOOKUP(W$10,'VK-Elekter'!$C:$I,2+$D46,FALSE)+ VLOOKUP(W$10,'VK-Põlevkivi'!$C:$I,2+$G46,FALSE)+ VLOOKUP(W$10,'VK-Võrgud'!$C:$I,2+$F46,FALSE)</f>
        <v>-1.3328340179460113E-2</v>
      </c>
      <c r="X46" s="226">
        <f>VLOOKUP(X$10,'VK-Hooned-Soojus'!$C:$I,2+$C46,FALSE) + VLOOKUP(X$10,'VK-Transport'!$C:$I,2+$B46,FALSE)+ VLOOKUP(X$10,'VK-Biokütused'!$C:$G,2+$E46,FALSE)+ VLOOKUP(X$10,'VK-Elekter'!$C:$I,2+$D46,FALSE)+ VLOOKUP(X$10,'VK-Põlevkivi'!$C:$I,2+$G46,FALSE)+ VLOOKUP(X$10,'VK-Võrgud'!$C:$I,2+$F46,FALSE)</f>
        <v>-1.6064609712644139E-2</v>
      </c>
      <c r="Y46" s="226">
        <f>VLOOKUP(Y$10,'VK-Hooned-Soojus'!$C:$I,2+$C46,FALSE) + VLOOKUP(Y$10,'VK-Transport'!$C:$I,2+$B46,FALSE)+ VLOOKUP(Y$10,'VK-Biokütused'!$C:$G,2+$E46,FALSE)+ VLOOKUP(Y$10,'VK-Elekter'!$C:$I,2+$D46,FALSE)+ VLOOKUP(Y$10,'VK-Põlevkivi'!$C:$I,2+$G46,FALSE)+ VLOOKUP(Y$10,'VK-Võrgud'!$C:$I,2+$F46,FALSE)</f>
        <v>-3.0655937752656688E-2</v>
      </c>
      <c r="Z46" s="227">
        <f>(S46*Tulemused!$Q$9*10+T46*Tulemused!$Q$10*10+KOMBI!U46*Tulemused!$Q$11*10+KOMBI!V46*Tulemused!$Q$12*10)*Tulemused!$Q$8+-(W46*Tulemused!$Q$14*10+KOMBI!X46*Tulemused!$Q$15*10+KOMBI!Y46*Tulemused!$Q$16*10)*Tulemused!$Q$13</f>
        <v>3.0833787079179427</v>
      </c>
      <c r="AA46" s="228">
        <f>(IF(AA$7="X",VLOOKUP(AA$10,'VK-Hooned-Soojus'!$C:$X,2+$C46,FALSE),0)+IF(AA$6="X",VLOOKUP(AA$10,'VK-Transport'!$C:$X,2+$B46,0))+IF(AA$8="X",VLOOKUP(AA$10,'VK-Elekter'!$C:$X,2+$D46,0))+IF(AA$9="X",VLOOKUP(AA$10,'VK-Biokütused'!$C:$U,2+$E46,0))+IF(AA$5="X",VLOOKUP(AA$10,'VK-Põlevkivi'!$C:$X,2+$G46,0))+IF(AA$4="X",VLOOKUP(AA$10,'VK-Võrgud'!$C:$X,2+$F46,0)))</f>
        <v>3761</v>
      </c>
      <c r="AB46" s="228">
        <f>(IF(AB$7="X",VLOOKUP(AB$10,'VK-Hooned-Soojus'!$C:$X,2+$C46,FALSE),0)+IF(AB$6="X",VLOOKUP(AB$10,'VK-Transport'!$C:$X,2+$B46,0))+IF(AB$8="X",VLOOKUP(AB$10,'VK-Elekter'!$C:$X,2+$D46,0))+IF(AB$9="X",VLOOKUP(AB$10,'VK-Biokütused'!$C:$U,2+$E46,0))+IF(AB$5="X",VLOOKUP(AB$10,'VK-Põlevkivi'!$C:$X,2+$G46,0))+IF(AB$4="X",VLOOKUP(AB$10,'VK-Võrgud'!$C:$X,2+$F46,0)))</f>
        <v>1177</v>
      </c>
      <c r="AC46" s="228">
        <f>(IF(AC$7="X",VLOOKUP(AC$10,'VK-Hooned-Soojus'!$C:$X,2+$C46,FALSE),0)+IF(AC$6="X",VLOOKUP(AC$10,'VK-Transport'!$C:$X,2+$B46,0))+IF(AC$8="X",VLOOKUP(AC$10,'VK-Elekter'!$C:$X,2+$D46,0))+IF(AC$9="X",VLOOKUP(AC$10,'VK-Biokütused'!$C:$U,2+$E46,0))+IF(AC$5="X",VLOOKUP(AC$10,'VK-Põlevkivi'!$C:$X,2+$G46,0))+IF(AC$4="X",VLOOKUP(AC$10,'VK-Võrgud'!$C:$X,2+$F46,0)))</f>
        <v>2346</v>
      </c>
      <c r="AD46" s="228">
        <f>(IF(AD$7="X",VLOOKUP(AD$10,'VK-Hooned-Soojus'!$C:$X,2+$C46,FALSE),0)+IF(AD$6="X",VLOOKUP(AD$10,'VK-Transport'!$C:$X,2+$B46,0))+IF(AD$8="X",VLOOKUP(AD$10,'VK-Elekter'!$C:$X,2+$D46,0))+IF(AD$9="X",VLOOKUP(AD$10,'VK-Biokütused'!$C:$U,2+$E46,0))+IF(AD$5="X",VLOOKUP(AD$10,'VK-Põlevkivi'!$C:$X,2+$G46,0))+IF(AD$4="X",VLOOKUP(AD$10,'VK-Võrgud'!$C:$X,2+$F46,0)))</f>
        <v>586.20000000000005</v>
      </c>
      <c r="AE46" s="228">
        <f>(IF(AE$7="X",VLOOKUP(AE$10,'VK-Hooned-Soojus'!$C:$X,2+$C46,FALSE),0)+IF(AE$6="X",VLOOKUP(AE$10,'VK-Transport'!$C:$X,2+$B46,0))+IF(AE$8="X",VLOOKUP(AE$10,'VK-Elekter'!$C:$X,2+$D46,0))+IF(AE$9="X",VLOOKUP(AE$10,'VK-Biokütused'!$C:$U,2+$E46,0))+IF(AE$5="X",VLOOKUP(AE$10,'VK-Põlevkivi'!$C:$X,2+$G46,0))+IF(AE$4="X",VLOOKUP(AE$10,'VK-Võrgud'!$C:$X,2+$F46,0)))</f>
        <v>507</v>
      </c>
      <c r="AF46" s="228">
        <f>(IF(AF$7="X",VLOOKUP(AF$10,'VK-Hooned-Soojus'!$C:$X,2+$C46,FALSE),0)+IF(AF$6="X",VLOOKUP(AF$10,'VK-Transport'!$C:$X,2+$B46,0))+IF(AF$8="X",VLOOKUP(AF$10,'VK-Elekter'!$C:$X,2+$D46,0))+IF(AF$9="X",VLOOKUP(AF$10,'VK-Biokütused'!$C:$U,2+$E46,0))+IF(AF$5="X",VLOOKUP(AF$10,'VK-Põlevkivi'!$C:$X,2+$G46,0))+IF(AF$4="X",VLOOKUP(AF$10,'VK-Võrgud'!$C:$X,2+$F46,0)))</f>
        <v>2490.6368215830603</v>
      </c>
      <c r="AG46" s="209"/>
      <c r="AH46" s="209">
        <f>IF(AH$7="X",VLOOKUP(AH$10,'VK-Hooned-Soojus'!$C:$X,2+$C46,FALSE),0)+IF(AH$6="X",VLOOKUP(AH$10,'VK-Transport'!$C:$X,2+$B46,0))+IF(AH$8="X",VLOOKUP(AH$10,'VK-Elekter'!$C:$X,2+$D46,0))+IF(AH$9="X",VLOOKUP(AH$10,'VK-Biokütused'!$C:$U,2+$E46,0))+IF(AH$5="X",VLOOKUP(AH$10,'VK-Põlevkivi'!$C:$X,2+$G46,0))+IF(AH$4="X",VLOOKUP(AH$10,'VK-Võrgud'!$C:$X,2+$F46,0))</f>
        <v>11.64</v>
      </c>
      <c r="AI46" s="209">
        <f>IF(AI$7="X",VLOOKUP(AI$10,'VK-Hooned-Soojus'!$C:$X,2+$C46,FALSE),0)+IF(AI$6="X",VLOOKUP(AI$10,'VK-Transport'!$C:$X,2+$B46,0))+IF(AI$8="X",VLOOKUP(AI$10,'VK-Elekter'!$C:$X,2+$D46,0))+IF(AI$9="X",VLOOKUP(AI$10,'VK-Biokütused'!$C:$U,2+$E46,0))+IF(AI$5="X",VLOOKUP(AI$10,'VK-Põlevkivi'!$C:$X,2+$G46,0))+IF(AI$4="X",VLOOKUP(AI$10,'VK-Võrgud'!$C:$X,2+$F46,0))</f>
        <v>2.3100000000000005</v>
      </c>
      <c r="AJ46" s="209">
        <f>IF(AJ$7="X",VLOOKUP(AJ$10,'VK-Hooned-Soojus'!$C:$X,2+$C46,FALSE),0)+IF(AJ$6="X",VLOOKUP(AJ$10,'VK-Transport'!$C:$X,2+$B46,0))+IF(AJ$8="X",VLOOKUP(AJ$10,'VK-Elekter'!$C:$X,2+$D46,0))+IF(AJ$9="X",VLOOKUP(AJ$10,'VK-Biokütused'!$C:$U,2+$E46,0))+IF(AJ$5="X",VLOOKUP(AJ$10,'VK-Põlevkivi'!$C:$X,2+$G46,0))+IF(AJ$4="X",VLOOKUP(AJ$10,'VK-Võrgud'!$C:$X,2+$F46,0))</f>
        <v>9.25</v>
      </c>
      <c r="AK46" s="209">
        <f>IF(AK$7="X",VLOOKUP(AK$10,'VK-Hooned-Soojus'!$C:$X,2+$C46,FALSE),0)+IF(AK$6="X",VLOOKUP(AK$10,'VK-Transport'!$C:$X,2+$B46,0))+IF(AK$8="X",VLOOKUP(AK$10,'VK-Elekter'!$C:$X,2+$D46,0))+IF(AK$9="X",VLOOKUP(AK$10,'VK-Biokütused'!$C:$U,2+$E46,0))+IF(AK$5="X",VLOOKUP(AK$10,'VK-Põlevkivi'!$C:$X,2+$G46,0))+IF(AK$4="X",VLOOKUP(AK$10,'VK-Võrgud'!$C:$X,2+$F46,0))</f>
        <v>2.78</v>
      </c>
      <c r="AL46" s="209">
        <f>IF(AL$7="X",VLOOKUP(AL$10,'VK-Hooned-Soojus'!$C:$X,2+$C46,FALSE),0)+IF(AL$6="X",VLOOKUP(AL$10,'VK-Transport'!$C:$X,2+$B46,0))+IF(AL$8="X",VLOOKUP(AL$10,'VK-Elekter'!$C:$X,2+$D46,0))+IF(AL$9="X",VLOOKUP(AL$10,'VK-Biokütused'!$C:$U,2+$E46,0))+IF(AL$5="X",VLOOKUP(AL$10,'VK-Põlevkivi'!$C:$X,2+$G46,0))+IF(AL$4="X",VLOOKUP(AL$10,'VK-Võrgud'!$C:$X,2+$F46,0))</f>
        <v>7.1</v>
      </c>
      <c r="AM46" s="209">
        <f>IF(AM$7="X",VLOOKUP(AM$10,'VK-Hooned-Soojus'!$C:$X,2+$C46,FALSE),0)+IF(AM$6="X",VLOOKUP(AM$10,'VK-Transport'!$C:$X,2+$B46,0))+IF(AM$8="X",VLOOKUP(AM$10,'VK-Elekter'!$C:$X,2+$D46,0))+IF(AM$9="X",VLOOKUP(AM$10,'VK-Biokütused'!$C:$U,2+$E46,0))+IF(AM$5="X",VLOOKUP(AM$10,'VK-Põlevkivi'!$C:$X,2+$G46,0))+IF(AM$4="X",VLOOKUP(AM$10,'VK-Võrgud'!$C:$X,2+$F46,0))</f>
        <v>11.5</v>
      </c>
      <c r="AN46" s="209">
        <f>IF(AN$7="X",VLOOKUP(AN$10,'VK-Hooned-Soojus'!$C:$X,2+$C46,FALSE),0)+IF(AN$6="X",VLOOKUP(AN$10,'VK-Transport'!$C:$X,2+$B46,0))+IF(AN$8="X",VLOOKUP(AN$10,'VK-Elekter'!$C:$X,2+$D46,0))+IF(AN$9="X",VLOOKUP(AN$10,'VK-Biokütused'!$C:$U,2+$E46,0))+IF(AN$5="X",VLOOKUP(AN$10,'VK-Põlevkivi'!$C:$X,2+$G46,0))+IF(AN$4="X",VLOOKUP(AN$10,'VK-Võrgud'!$C:$X,2+$F46,0))</f>
        <v>4.0999999999999996</v>
      </c>
      <c r="AO46" s="209">
        <f>IF(AO$7="X",VLOOKUP(AO$10,'VK-Hooned-Soojus'!$C:$X,2+$C46,FALSE),0)+IF(AO$6="X",VLOOKUP(AO$10,'VK-Transport'!$C:$X,2+$B46,0))+IF(AO$8="X",VLOOKUP(AO$10,'VK-Elekter'!$C:$X,2+$D46,0))+IF(AO$9="X",VLOOKUP(AO$10,'VK-Biokütused'!$C:$U,2+$E46,0))+IF(AO$5="X",VLOOKUP(AO$10,'VK-Põlevkivi'!$C:$X,2+$G46,0))+IF(AO$4="X",VLOOKUP(AO$10,'VK-Võrgud'!$C:$X,2+$F46,0))</f>
        <v>12.16</v>
      </c>
      <c r="AP46" s="209">
        <f>IF(AP$7="X",VLOOKUP(AP$10,'VK-Hooned-Soojus'!$C:$X,2+$C46,FALSE),0)+IF(AP$6="X",VLOOKUP(AP$10,'VK-Transport'!$C:$X,2+$B46,0))+IF(AP$8="X",VLOOKUP(AP$10,'VK-Elekter'!$C:$X,2+$D46,0))+IF(AP$9="X",VLOOKUP(AP$10,'VK-Biokütused'!$C:$U,2+$E46,0))+IF(AP$5="X",VLOOKUP(AP$10,'VK-Põlevkivi'!$C:$X,2+$G46,0))+IF(AP$4="X",VLOOKUP(AP$10,'VK-Võrgud'!$C:$X,2+$F46,0))</f>
        <v>6.08</v>
      </c>
      <c r="AQ46" s="320">
        <f t="shared" si="14"/>
        <v>0</v>
      </c>
      <c r="AR46" s="209">
        <f>IF(AR$7="X",VLOOKUP(AR$10,'VK-Hooned-Soojus'!$C:$X,2+$C46,FALSE),0)+IF(AR$6="X",VLOOKUP(AR$10,'VK-Transport'!$C:$X,2+$B46,0))+IF(AR$8="X",VLOOKUP(AR$10,'VK-Elekter'!$C:$X,2+$D46,0))+IF(AR$9="X",VLOOKUP(AR$10,'VK-Biokütused'!$C:$U,2+$E46,0))+IF(AR$5="X",VLOOKUP(AR$10,'VK-Põlevkivi'!$C:$X,2+$G46,0))+IF(AR$4="X",VLOOKUP(AR$10,'VK-Võrgud'!$C:$X,2+$F46,0))</f>
        <v>2.3899999999999997</v>
      </c>
      <c r="AS46" s="320">
        <f>VLOOKUP("Kütuste tarbimine @ 2030 - UTTEGAAS",'VK-Hooned-Soojus'!$C:$X,2+$C46,FALSE)/0.172+VLOOKUP("Kütuste tarbimine @ 2030 - UTTEGAAS",'VK-Elekter'!$C:$X,2+$D46,FALSE)/0.172-AR46-AU46</f>
        <v>2.8565116279069773</v>
      </c>
      <c r="AT46" s="209">
        <f>IF(AT$7="X",VLOOKUP(AT$10,'VK-Hooned-Soojus'!$C:$X,2+$C46,FALSE),0)+IF(AT$6="X",VLOOKUP(AT$10,'VK-Transport'!$C:$X,2+$B46,0))+IF(AT$8="X",VLOOKUP(AT$10,'VK-Elekter'!$C:$X,2+$D46,0))+IF(AT$9="X",VLOOKUP(AT$10,'VK-Biokütused'!$C:$U,2+$E46,0))+IF(AT$5="X",VLOOKUP(AT$10,'VK-Põlevkivi'!$C:$X,2+$G46,0))+IF(AT$4="X",VLOOKUP(AT$10,'VK-Võrgud'!$C:$X,2+$F46,0))</f>
        <v>12.004929222526066</v>
      </c>
      <c r="AU46" s="229">
        <f>MAX(0,(VLOOKUP("Kütuste tarbimine @ 2030 - UTTEGAAS",'VK-Hooned-Soojus'!$C:$X,2+$C46,FALSE)/0.172+VLOOKUP("Kütuste tarbimine @ 2030 - UTTEGAAS",'VK-Elekter'!$C:$X,2+$D46,FALSE)/0.172)*0.52-VLOOKUP("Kütuste tarbimine @ 2030 - PÕLEVKIVIÕLI",'VK-Hooned-Soojus'!$C:$X,2+$C46,FALSE))</f>
        <v>5.6837209302325586</v>
      </c>
      <c r="AV46" s="209">
        <f>IF(AV$7="X",VLOOKUP(AV$10,'VK-Hooned-Soojus'!$C:$X,2+$C46,FALSE),0)+IF(AV$6="X",VLOOKUP(AV$10,'VK-Transport'!$C:$X,2+$B46,0))+IF(AV$8="X",VLOOKUP(AV$10,'VK-Elekter'!$C:$X,2+$D46,0))+IF(AV$9="X",VLOOKUP(AV$10,'VK-Biokütused'!$C:$U,2+$E46,0))+IF(AV$5="X",VLOOKUP(AV$10,'VK-Põlevkivi'!$C:$X,2+$G46,0))+IF(AV$4="X",VLOOKUP(AV$10,'VK-Võrgud'!$C:$X,2+$F46,0))</f>
        <v>1.1831224847375093</v>
      </c>
      <c r="AW46" s="209">
        <f>IF(AW$7="X",VLOOKUP(AW$10,'VK-Hooned-Soojus'!$C:$X,2+$C46,FALSE),0)+IF(AW$6="X",VLOOKUP(AW$10,'VK-Transport'!$C:$X,2+$B46,0))+IF(AW$8="X",VLOOKUP(AW$10,'VK-Elekter'!$C:$X,2+$D46,0))+IF(AW$9="X",VLOOKUP(AW$10,'VK-Biokütused'!$C:$U,2+$E46,0))+IF(AW$5="X",VLOOKUP(AW$10,'VK-Põlevkivi'!$C:$X,2+$G46,0))+IF(AW$4="X",VLOOKUP(AW$10,'VK-Võrgud'!$C:$X,2+$F46,0))</f>
        <v>4.2799999999999994</v>
      </c>
      <c r="AX46" s="229">
        <f t="shared" si="34"/>
        <v>3.0968775152624901</v>
      </c>
      <c r="AY46" s="229">
        <f t="shared" si="15"/>
        <v>0</v>
      </c>
      <c r="AZ46" s="230">
        <f t="shared" si="36"/>
        <v>0.57802114842605268</v>
      </c>
      <c r="BA46" s="209">
        <f>IF(BA$7="X",VLOOKUP(BA$10,'VK-Hooned-Soojus'!$C:$X,2+$C46,FALSE),0)+IF(BA$6="X",VLOOKUP(BA$10,'VK-Transport'!$C:$X,2+$B46,0))+IF(BA$8="X",VLOOKUP(BA$10,'VK-Elekter'!$C:$X,2+$D46,0))+IF(BA$9="X",VLOOKUP(BA$10,'VK-Biokütused'!$C:$U,2+$E46,0))+IF(BA$5="X",VLOOKUP(BA$10,'VK-Põlevkivi'!$C:$X,2+$G46,0))+IF(BA$4="X",VLOOKUP(BA$10,'VK-Võrgud'!$C:$X,2+$F46,0))</f>
        <v>4.25</v>
      </c>
      <c r="BB46" s="209">
        <f>IF(BB$7="X",VLOOKUP(BB$10,'VK-Hooned-Soojus'!$C:$X,2+$C46,FALSE),0)+IF(BB$6="X",VLOOKUP(BB$10,'VK-Transport'!$C:$X,2+$B46,0))+IF(BB$8="X",VLOOKUP(BB$10,'VK-Elekter'!$C:$X,2+$D46,0))+IF(BB$9="X",VLOOKUP(BB$10,'VK-Biokütused'!$C:$U,2+$E46,0))+IF(BB$5="X",VLOOKUP(BB$10,'VK-Põlevkivi'!$C:$X,2+$G46,0))+IF(BB$4="X",VLOOKUP(BB$10,'VK-Võrgud'!$C:$X,2+$F46,0))</f>
        <v>2.93</v>
      </c>
      <c r="BC46" s="209">
        <f>IF(BC$7="X",VLOOKUP(BC$10,'VK-Hooned-Soojus'!$C:$X,2+$C46,FALSE),0)+IF(BC$6="X",VLOOKUP(BC$10,'VK-Transport'!$C:$X,2+$B46,0))+IF(BC$8="X",VLOOKUP(BC$10,'VK-Elekter'!$C:$X,2+$D46,0))+IF(BC$9="X",VLOOKUP(BC$10,'VK-Biokütused'!$C:$U,2+$E46,0))+IF(BC$5="X",VLOOKUP(BC$10,'VK-Põlevkivi'!$C:$X,2+$G46,0))+IF(BC$4="X",VLOOKUP(BC$10,'VK-Võrgud'!$C:$X,2+$F46,0))</f>
        <v>5.2376666666666667</v>
      </c>
      <c r="BD46" s="209">
        <f>IF(BD$7="X",VLOOKUP(BD$10,'VK-Hooned-Soojus'!$C:$X,2+$C46,FALSE),0)+IF(BD$6="X",VLOOKUP(BD$10,'VK-Transport'!$C:$X,2+$B46,0))+IF(BD$8="X",VLOOKUP(BD$10,'VK-Elekter'!$C:$X,2+$D46,0))+IF(BD$9="X",VLOOKUP(BD$10,'VK-Biokütused'!$C:$U,2+$E46,0))+IF(BD$5="X",VLOOKUP(BD$10,'VK-Põlevkivi'!$C:$X,2+$G46,0))+IF(BD$4="X",VLOOKUP(BD$10,'VK-Võrgud'!$C:$X,2+$F46,0))</f>
        <v>9.1105555555555569</v>
      </c>
      <c r="BE46" s="230"/>
      <c r="BF46" s="229">
        <f t="shared" si="16"/>
        <v>0.30802785422263623</v>
      </c>
      <c r="BG46" s="209" t="e">
        <f>(IF(BG$7="X",VLOOKUP(BG$10,'VK-Hooned-Soojus'!$C:$X,2+$C46,FALSE),0)+IF(BG$6="X",VLOOKUP(BG$10,'VK-Transport'!$C:$X,2+$B46,0))+IF(BG$8="X",VLOOKUP(BG$10,'VK-Elekter'!$C:$X,2+$D46,0))+IF(BG$9="X",VLOOKUP(BG$10,'VK-Biokütused'!$C:$U,2+$E46,0))+IF(BG$5="X",VLOOKUP(BG$10,'VK-Põlevkivi'!$C:$X,2+$G46,0))+IF(BG$4="X",VLOOKUP(BG$10,'VK-Võrgud'!$C:$X,2+$F46,0)))/20</f>
        <v>#N/A</v>
      </c>
      <c r="BH46" s="209">
        <f>(IF(BH$7="X",VLOOKUP(BH$10,'VK-Hooned-Soojus'!$C:$X,2+$C46,FALSE),0)+IF(BH$6="X",VLOOKUP(BH$10,'VK-Transport'!$C:$X,2+$B46,0))+IF(BH$8="X",VLOOKUP(BH$10,'VK-Elekter'!$C:$X,2+$D46,0))+IF(BH$9="X",VLOOKUP(BH$10,'VK-Biokütused'!$C:$U,2+$E46,0))+IF(BH$5="X",VLOOKUP(BH$10,'VK-Põlevkivi'!$C:$X,2+$G46,0))+IF(BH$4="X",VLOOKUP(BH$10,'VK-Võrgud'!$C:$X,2+$F46,0)))/20</f>
        <v>84.204999999999998</v>
      </c>
      <c r="BI46" s="209">
        <f>(IF(BI$7="X",VLOOKUP(BI$10,'VK-Hooned-Soojus'!$C:$X,2+$C46,FALSE),0)+IF(BI$6="X",VLOOKUP(BI$10,'VK-Transport'!$C:$X,2+$B46,0))+IF(BI$8="X",VLOOKUP(BI$10,'VK-Elekter'!$C:$X,2+$D46,0))+IF(BI$9="X",VLOOKUP(BI$10,'VK-Biokütused'!$C:$U,2+$E46,0))+IF(BI$5="X",VLOOKUP(BI$10,'VK-Põlevkivi'!$C:$X,2+$G46,0))+IF(BI$4="X",VLOOKUP(BI$10,'VK-Võrgud'!$C:$X,2+$F46,0)))/16</f>
        <v>8.9375</v>
      </c>
      <c r="BJ46" s="209">
        <f>(IF(BJ$7="X",VLOOKUP(BJ$10,'VK-Hooned-Soojus'!$C:$X,2+$C46,FALSE),0)+IF(BJ$6="X",VLOOKUP(BJ$10,'VK-Transport'!$C:$X,2+$B46,0))+IF(BJ$8="X",VLOOKUP(BJ$10,'VK-Elekter'!$C:$X,2+$D46,0))+IF(BJ$9="X",VLOOKUP(BJ$10,'VK-Biokütused'!$C:$U,2+$E46,0))+IF(BJ$5="X",VLOOKUP(BJ$10,'VK-Põlevkivi'!$C:$X,2+$G46,0))+IF(BJ$4="X",VLOOKUP(BJ$10,'VK-Võrgud'!$C:$X,2+$F46,0)))/20</f>
        <v>5.33</v>
      </c>
      <c r="BK46" s="209"/>
      <c r="BL46" s="209"/>
      <c r="BM46" s="209"/>
      <c r="BN46" s="209" t="e">
        <f>(IF(BN$7="X",VLOOKUP(BN$10,'VK-Hooned-Soojus'!$C:$X,2+$C46,FALSE),0)+IF(BN$6="X",VLOOKUP(BN$10,'VK-Transport'!$C:$X,2+$B46,0))+IF(BN$8="X",VLOOKUP(BN$10,'VK-Elekter'!$C:$X,2+$D46,0))+IF(BN$9="X",VLOOKUP(BN$10,'VK-Biokütused'!$C:$U,2+$E46,0))+IF(BN$5="X",VLOOKUP(BN$10,'VK-Põlevkivi'!$C:$X,2+$G46,0))+IF(BN$4="X",VLOOKUP(BN$10,'VK-Võrgud'!$C:$X,2+$F46,0)))/16</f>
        <v>#N/A</v>
      </c>
      <c r="BO46" s="209">
        <f>(IF(BO$7="X",VLOOKUP(BO$10,'VK-Hooned-Soojus'!$C:$X,2+$C46,FALSE),0)+IF(BO$6="X",VLOOKUP(BO$10,'VK-Transport'!$C:$X,2+$B46,0))+IF(BO$8="X",VLOOKUP(BO$10,'VK-Elekter'!$C:$X,2+$D46,0))+IF(BO$9="X",VLOOKUP(BO$10,'VK-Biokütused'!$C:$U,2+$E46,0))+IF(BO$5="X",VLOOKUP(BO$10,'VK-Põlevkivi'!$C:$X,2+$G46,0))+IF(BO$4="X",VLOOKUP(BO$10,'VK-Võrgud'!$C:$X,2+$F46,0)))/16</f>
        <v>496.33125000000001</v>
      </c>
      <c r="BP46" s="209"/>
      <c r="BQ46" s="209">
        <f>(IF(BQ$7="X",VLOOKUP(BQ$10,'VK-Hooned-Soojus'!$C:$X,2+$C46,FALSE),0)+IF(BQ$6="X",VLOOKUP(BQ$10,'VK-Transport'!$C:$X,2+$B46,0))+IF(BQ$8="X",VLOOKUP(BQ$10,'VK-Elekter'!$C:$X,2+$D46,0))+IF(BQ$9="X",VLOOKUP(BQ$10,'VK-Biokütused'!$C:$U,2+$E46,0))+IF(BQ$5="X",VLOOKUP(BQ$10,'VK-Põlevkivi'!$C:$X,2+$G46,0))+IF(BQ$4="X",VLOOKUP(BQ$10,'VK-Võrgud'!$C:$X,2+$F46,0)))/16</f>
        <v>4.7249999999999996</v>
      </c>
      <c r="BR46" s="209">
        <f>(IF(BR$7="X",VLOOKUP(BR$10,'VK-Hooned-Soojus'!$C:$X,2+$C46,FALSE),0)+IF(BR$6="X",VLOOKUP(BR$10,'VK-Transport'!$C:$X,2+$B46,0))+IF(BR$8="X",VLOOKUP(BR$10,'VK-Elekter'!$C:$X,2+$D46,0))+IF(BR$9="X",VLOOKUP(BR$10,'VK-Biokütused'!$C:$U,2+$E46,0))+IF(BR$5="X",VLOOKUP(BR$10,'VK-Põlevkivi'!$C:$X,2+$G46,0))+IF(BR$4="X",VLOOKUP(BR$10,'VK-Võrgud'!$C:$X,2+$F46,0)))/16</f>
        <v>-74.512500000000003</v>
      </c>
      <c r="BS46" s="209">
        <f>(IF(BS$7="X",VLOOKUP(BS$10,'VK-Hooned-Soojus'!$C:$X,2+$C46,FALSE),0)+IF(BS$6="X",VLOOKUP(BS$10,'VK-Transport'!$C:$X,2+$B46,0))+IF(BS$8="X",VLOOKUP(BS$10,'VK-Elekter'!$C:$X,2+$D46,0))+IF(BS$9="X",VLOOKUP(BS$10,'VK-Biokütused'!$C:$U,2+$E46,0))+IF(BS$5="X",VLOOKUP(BS$10,'VK-Põlevkivi'!$C:$X,2+$G46,0))+IF(BS$4="X",VLOOKUP(BS$10,'VK-Võrgud'!$C:$X,2+$F46,0)))/16</f>
        <v>-100.68125000000001</v>
      </c>
      <c r="BT46" s="209"/>
      <c r="BU46" s="209"/>
      <c r="BV46" s="209">
        <f>(IF(BV$7="X",VLOOKUP(BV$10,'VK-Hooned-Soojus'!$C:$X,2+$C46,FALSE),0)+IF(BV$6="X",VLOOKUP(BV$10,'VK-Transport'!$C:$X,2+$B46,0))+IF(BV$8="X",VLOOKUP(BV$10,'VK-Elekter'!$C:$X,2+$D46,0))+IF(BV$9="X",VLOOKUP(BV$10,'VK-Biokütused'!$C:$U,2+$E46,0))+IF(BV$5="X",VLOOKUP(BV$10,'VK-Põlevkivi'!$C:$X,2+$G46,0))+IF(BV$4="X",VLOOKUP(BV$10,'VK-Võrgud'!$C:$X,2+$F46,0)))/16</f>
        <v>0</v>
      </c>
      <c r="BW46" s="209"/>
      <c r="BX46" s="209">
        <f>(IF(BX$7="X",VLOOKUP(BX$10,'VK-Hooned-Soojus'!$C:$X,2+$C46,FALSE),0)+IF(BX$6="X",VLOOKUP(BX$10,'VK-Transport'!$C:$X,2+$B46,0))+IF(BX$8="X",VLOOKUP(BX$10,'VK-Elekter'!$C:$X,2+$D46,0))+IF(BX$9="X",VLOOKUP(BX$10,'VK-Biokütused'!$C:$U,2+$E46,0))+IF(BX$5="X",VLOOKUP(BX$10,'VK-Põlevkivi'!$C:$X,2+$G46,0))+IF(BX$4="X",VLOOKUP(BX$10,'VK-Võrgud'!$C:$X,2+$F46,0)))/16</f>
        <v>-99.75</v>
      </c>
      <c r="BY46" s="209"/>
      <c r="BZ46" s="209"/>
      <c r="CA46" s="209" t="e">
        <f>(IF(CA$7="X",VLOOKUP(CA$10,'VK-Hooned-Soojus'!$C:$X,2+$C46,FALSE),0)+IF(CA$6="X",VLOOKUP(CA$10,'VK-Transport'!$C:$X,2+$B46,0))+IF(CA$8="X",VLOOKUP(CA$10,'VK-Elekter'!$C:$X,2+$D46,0))+IF(CA$9="X",VLOOKUP(CA$10,'VK-Biokütused'!$C:$U,2+$E46,0))+IF(CA$5="X",VLOOKUP(CA$10,'VK-Põlevkivi'!$C:$X,2+$G46,0))+IF(CA$4="X",VLOOKUP(CA$10,'VK-Võrgud'!$C:$X,2+$F46,0)))/16</f>
        <v>#N/A</v>
      </c>
      <c r="CB46" s="209">
        <f>(IF(CB$7="X",VLOOKUP(CB$10,'VK-Hooned-Soojus'!$C:$X,2+$C46,FALSE),0)+IF(CB$6="X",VLOOKUP(CB$10,'VK-Transport'!$C:$X,2+$B46,0))+IF(CB$8="X",VLOOKUP(CB$10,'VK-Elekter'!$C:$X,2+$D46,0))+IF(CB$9="X",VLOOKUP(CB$10,'VK-Biokütused'!$C:$U,2+$E46,0))+IF(CB$5="X",VLOOKUP(CB$10,'VK-Põlevkivi'!$C:$X,2+$G46,0))+IF(CB$4="X",VLOOKUP(CB$10,'VK-Võrgud'!$C:$X,2+$F46,0)))/16</f>
        <v>0</v>
      </c>
      <c r="CC46" s="209">
        <f>(IF(CC$7="X",VLOOKUP(CC$10,'VK-Hooned-Soojus'!$C:$X,2+$C46,FALSE),0)+IF(CC$6="X",VLOOKUP(CC$10,'VK-Transport'!$C:$X,2+$B46,0))+IF(CC$8="X",VLOOKUP(CC$10,'VK-Elekter'!$C:$X,2+$D46,0))+IF(CC$9="X",VLOOKUP(CC$10,'VK-Biokütused'!$C:$U,2+$E46,0))+IF(CC$5="X",VLOOKUP(CC$10,'VK-Põlevkivi'!$C:$X,2+$G46,0))+IF(CC$4="X",VLOOKUP(CC$10,'VK-Võrgud'!$C:$X,2+$F46,0)))/16</f>
        <v>0</v>
      </c>
      <c r="CD46" s="209"/>
      <c r="CE46" s="209">
        <f>(IF(CE$7="X",VLOOKUP(CE$10,'VK-Hooned-Soojus'!$C:$X,2+$C46,FALSE),0)+IF(CE$6="X",VLOOKUP(CE$10,'VK-Transport'!$C:$X,2+$B46,0))+IF(CE$8="X",VLOOKUP(CE$10,'VK-Elekter'!$C:$X,2+$D46,0))+IF(CE$9="X",VLOOKUP(CE$10,'VK-Biokütused'!$C:$U,2+$E46,0))+IF(CE$5="X",VLOOKUP(CE$10,'VK-Põlevkivi'!$C:$X,2+$G46,0))+IF(CE$4="X",VLOOKUP(CE$10,'VK-Võrgud'!$C:$X,2+$F46,0)))/16</f>
        <v>24.15625</v>
      </c>
      <c r="CF46" s="209"/>
      <c r="CG46" s="209">
        <f>(IF(CG$7="X",VLOOKUP(CG$10,'VK-Hooned-Soojus'!$C:$X,2+$C46,FALSE),0)+IF(CG$6="X",VLOOKUP(CG$10,'VK-Transport'!$C:$X,2+$B46,0))+IF(CG$8="X",VLOOKUP(CG$10,'VK-Elekter'!$C:$X,2+$D46,0))+IF(CG$9="X",VLOOKUP(CG$10,'VK-Biokütused'!$C:$U,2+$E46,0))+IF(CG$5="X",VLOOKUP(CG$10,'VK-Põlevkivi'!$C:$X,2+$G46,0))+IF(CG$4="X",VLOOKUP(CG$10,'VK-Võrgud'!$C:$X,2+$F46,0)))/16</f>
        <v>0</v>
      </c>
      <c r="CH46" s="209">
        <f>(IF(CH$7="X",VLOOKUP(CH$10,'VK-Hooned-Soojus'!$C:$X,2+$C46,FALSE),0)+IF(CH$6="X",VLOOKUP(CH$10,'VK-Transport'!$C:$X,2+$B46,0))+IF(CH$8="X",VLOOKUP(CH$10,'VK-Elekter'!$C:$X,2+$D46,0))+IF(CH$9="X",VLOOKUP(CH$10,'VK-Biokütused'!$C:$U,2+$E46,0))+IF(CH$5="X",VLOOKUP(CH$10,'VK-Põlevkivi'!$C:$X,2+$G46,0))+IF(CH$4="X",VLOOKUP(CH$10,'VK-Võrgud'!$C:$X,2+$F46,0)))/20*0.21</f>
        <v>26.9178</v>
      </c>
      <c r="CI46" s="209"/>
      <c r="CJ46" s="209">
        <f>(IF(CJ$7="X",VLOOKUP(CJ$10,'VK-Hooned-Soojus'!$C:$X,2+$C46,FALSE),0)+IF(CJ$6="X",VLOOKUP(CJ$10,'VK-Transport'!$C:$X,2+$B46,0))+IF(CJ$8="X",VLOOKUP(CJ$10,'VK-Elekter'!$C:$X,2+$D46,0))+IF(CJ$9="X",VLOOKUP(CJ$10,'VK-Biokütused'!$C:$U,2+$E46,0))+IF(CJ$5="X",VLOOKUP(CJ$10,'VK-Põlevkivi'!$C:$X,2+$G46,0))+IF(CJ$4="X",VLOOKUP(CJ$10,'VK-Võrgud'!$C:$X,2+$F46,0)))/1000</f>
        <v>18.589578011574538</v>
      </c>
      <c r="CK46" s="209">
        <f>(IF(CK$7="X",VLOOKUP(CK$10,'VK-Hooned-Soojus'!$C:$X,2+$C46,FALSE),0)+IF(CK$6="X",VLOOKUP(CK$10,'VK-Transport'!$C:$X,2+$B46,0))+IF(CK$8="X",VLOOKUP(CK$10,'VK-Elekter'!$C:$X,2+$D46,0))+IF(CK$9="X",VLOOKUP(CK$10,'VK-Biokütused'!$C:$U,2+$E46,0))+IF(CK$5="X",VLOOKUP(CK$10,'VK-Põlevkivi'!$C:$X,2+$G46,0))+IF(CK$4="X",VLOOKUP(CK$10,'VK-Võrgud'!$C:$X,2+$F46,0)))/1000</f>
        <v>11.2251245622786</v>
      </c>
      <c r="CL46" s="235">
        <f>(IF(CL$7="X",VLOOKUP(CL$10,'VK-Hooned-Soojus'!$C:$X,2+$C46,FALSE),0)+IF(CL$6="X",VLOOKUP(CL$10,'VK-Transport'!$C:$X,2+$B46,0))+IF(CL$8="X",VLOOKUP(CL$10,'VK-Elekter'!$C:$X,2+$D46,0))+IF(CL$9="X",VLOOKUP(CL$10,'VK-Biokütused'!$C:$U,2+$E46,0)))/1000</f>
        <v>8.8367140697148798</v>
      </c>
      <c r="CM46" s="209">
        <f>(IF(CM$7="X",VLOOKUP(CM$10,'VK-Hooned-Soojus'!$C:$X,2+$C46,FALSE),0)+IF(CM$6="X",VLOOKUP(CM$10,'VK-Transport'!$C:$X,2+$B46,0))+IF(CM$8="X",VLOOKUP(CM$10,'VK-Elekter'!$C:$X,2+$D46,0))+IF(CM$9="X",VLOOKUP(CM$10,'VK-Biokütused'!$C:$U,2+$E46,0))+IF(CM$5="X",VLOOKUP(CM$10,'VK-Põlevkivi'!$C:$X,2+$G46,0))+IF(CM$4="X",VLOOKUP(CM$10,'VK-Võrgud'!$C:$X,2+$F46,0)))/1000</f>
        <v>7.6207605777489071</v>
      </c>
      <c r="CN46" s="209">
        <f>(IF(CN$7="X",VLOOKUP(CN$10,'VK-Hooned-Soojus'!$C:$X,2+$C46,FALSE),0)+IF(CN$6="X",VLOOKUP(CN$10,'VK-Transport'!$C:$X,2+$B46,0))+IF(CN$8="X",VLOOKUP(CN$10,'VK-Elekter'!$C:$X,2+$D46,0))+IF(CN$9="X",VLOOKUP(CN$10,'VK-Biokütused'!$C:$U,2+$E46,0))+IF(CN$5="X",VLOOKUP(CN$10,'VK-Põlevkivi'!$C:$X,2+$G46,0))+IF(CN$4="X",VLOOKUP(CN$10,'VK-Võrgud'!$C:$X,2+$F46,0)))/1000</f>
        <v>2.7559999999999998</v>
      </c>
      <c r="CO46" s="209">
        <f>(IF(CO$7="X",VLOOKUP(CO$10,'VK-Hooned-Soojus'!$C:$X,2+$C46,FALSE),0)+IF(CO$6="X",VLOOKUP(CO$10,'VK-Transport'!$C:$X,2+$B46,0))+IF(CO$8="X",VLOOKUP(CO$10,'VK-Elekter'!$C:$X,2+$D46,0))+IF(CO$9="X",VLOOKUP(CO$10,'VK-Biokütused'!$C:$U,2+$E46,0))+IF(CO$5="X",VLOOKUP(CO$10,'VK-Põlevkivi'!$C:$X,2+$G46,0))+IF(CO$4="X",VLOOKUP(CO$10,'VK-Võrgud'!$C:$X,2+$F46,0)))/1000</f>
        <v>25.115649773285455</v>
      </c>
      <c r="CP46" s="209">
        <f>(IF(CP$7="X",VLOOKUP(CP$10,'VK-Hooned-Soojus'!$C:$X,2+$C46,FALSE),0)+IF(CP$6="X",VLOOKUP(CP$10,'VK-Transport'!$C:$X,2+$B46,0))+IF(CP$8="X",VLOOKUP(CP$10,'VK-Elekter'!$C:$X,2+$D46,0))+IF(CP$9="X",VLOOKUP(CP$10,'VK-Biokütused'!$C:$U,2+$E46,0))+IF(CP$5="X",VLOOKUP(CP$10,'VK-Põlevkivi'!$C:$X,2+$G46,0))+IF(CP$4="X",VLOOKUP(CP$10,'VK-Võrgud'!$C:$X,2+$F46,0)))/1000</f>
        <v>13.407948584295612</v>
      </c>
      <c r="CQ46" s="235">
        <f>(IF(CQ$7="X",VLOOKUP(CQ$10,'VK-Hooned-Soojus'!$C:$X,2+$C46,FALSE),0)+IF(CQ$6="X",VLOOKUP(CQ$10,'VK-Transport'!$C:$X,2+$B46,0))+IF(CQ$8="X",VLOOKUP(CQ$10,'VK-Elekter'!$C:$X,2+$D46,0))+IF(CQ$9="X",VLOOKUP(CQ$10,'VK-Biokütused'!$C:$U,2+$E46,0)))/1000</f>
        <v>10.915906999999999</v>
      </c>
      <c r="CR46" s="209">
        <f>(IF(CR$7="X",VLOOKUP(CR$10,'VK-Hooned-Soojus'!$C:$X,2+$C46,FALSE),0)+IF(CR$6="X",VLOOKUP(CR$10,'VK-Transport'!$C:$X,2+$B46,0))+IF(CR$8="X",VLOOKUP(CR$10,'VK-Elekter'!$C:$X,2+$D46,0))+IF(CR$9="X",VLOOKUP(CR$10,'VK-Biokütused'!$C:$U,2+$E46,0))+IF(CR$5="X",VLOOKUP(CR$10,'VK-Põlevkivi'!$C:$X,2+$G46,0))+IF(CR$4="X",VLOOKUP(CR$10,'VK-Võrgud'!$C:$X,2+$F46,0)))/1000</f>
        <v>7.7317533562748038</v>
      </c>
      <c r="CS46" s="209">
        <f>(IF(CS$7="X",VLOOKUP(CS$10,'VK-Hooned-Soojus'!$C:$X,2+$C46,FALSE),0)+IF(CS$6="X",VLOOKUP(CS$10,'VK-Transport'!$C:$X,2+$B46,0))+IF(CS$8="X",VLOOKUP(CS$10,'VK-Elekter'!$C:$X,2+$D46,0))+IF(CS$9="X",VLOOKUP(CS$10,'VK-Biokütused'!$C:$U,2+$E46,0))+IF(CS$5="X",VLOOKUP(CS$10,'VK-Põlevkivi'!$C:$X,2+$G46,0))+IF(CS$4="X",VLOOKUP(CS$10,'VK-Võrgud'!$C:$X,2+$F46,0)))/1000</f>
        <v>3.9161524051216152</v>
      </c>
      <c r="CT46" s="209">
        <f>IF(CT$7="X",VLOOKUP(CT$10,'VK-Hooned-Soojus'!$C:$X,2+$C46,FALSE),0)+IF(CT$6="X",VLOOKUP(CT$10,'VK-Transport'!$C:$X,2+$B46,0))+IF(CT$8="X",VLOOKUP(CT$10,'VK-Elekter'!$C:$X,2+$D46,0))+IF(CT$9="X",VLOOKUP(CT$10,'VK-Biokütused'!$C:$U,2+$E46,0))+IF(CT$5="X",VLOOKUP(CT$10,'VK-Põlevkivi'!$C:$X,2+$G46,0))+IF(CT$4="X",VLOOKUP(CT$10,'VK-Võrgud'!$C:$X,2+$F46,0))</f>
        <v>90</v>
      </c>
      <c r="CU46" s="209">
        <f>IF(CU$7="X",VLOOKUP(CU$10,'VK-Hooned-Soojus'!$C:$X,2+$C46,FALSE),0)+IF(CU$6="X",VLOOKUP(CU$10,'VK-Transport'!$C:$X,2+$B46,0))+IF(CU$8="X",VLOOKUP(CU$10,'VK-Elekter'!$C:$X,2+$D46,0))+IF(CU$9="X",VLOOKUP(CU$10,'VK-Biokütused'!$C:$U,2+$E46,0))+IF(CU$5="X",VLOOKUP(CU$10,'VK-Põlevkivi'!$C:$X,2+$G46,0))+IF(CU$4="X",VLOOKUP(CU$10,'VK-Võrgud'!$C:$X,2+$F46,0))</f>
        <v>0.72088353413654627</v>
      </c>
      <c r="CV46" s="209">
        <f t="shared" si="37"/>
        <v>0.91028830406496786</v>
      </c>
      <c r="CW46" s="209">
        <f>(IF(CW$7="X",VLOOKUP(CW$10,'VK-Hooned-Soojus'!$C:$X,2+$C46,FALSE),0)+IF(CW$6="X",VLOOKUP(CW$10,'VK-Transport'!$C:$X,2+$B46,0))+IF(CW$8="X",VLOOKUP(CW$10,'VK-Elekter'!$C:$X,2+$D46,0))+IF(CW$9="X",VLOOKUP(CW$10,'VK-Biokütused'!$C:$U,2+$E46,0))+IF(CW$5="X",VLOOKUP(CW$10,'VK-Põlevkivi'!$C:$X,2+$G46,0))+IF(CW$4="X",VLOOKUP(CW$10,'VK-Võrgud'!$C:$X,2+$F46,0)))/16</f>
        <v>126.01875</v>
      </c>
      <c r="CY46" s="209">
        <f>(IF(CY$7="X",VLOOKUP(CY$10,'VK-Hooned-Soojus'!$C:$X,2+$C46,FALSE),0)+IF(CY$6="X",VLOOKUP(CY$10,'VK-Transport'!$C:$X,2+$B46,0))+IF(CY$8="X",VLOOKUP(CY$10,'VK-Elekter'!$C:$X,2+$D46,0))+IF(CY$9="X",VLOOKUP(CY$10,'VK-Biokütused'!$C:$U,2+$E46,0))+IF(CY$5="X",VLOOKUP(CY$10,'VK-Põlevkivi'!$C:$X,2+$G46,0))+IF(CY$4="X",VLOOKUP(CY$10,'VK-Võrgud'!$C:$X,2+$F46,0)))/1000</f>
        <v>11.037000000000001</v>
      </c>
      <c r="CZ46" s="209">
        <f>(IF(CZ$7="X",VLOOKUP(CZ$10,'VK-Hooned-Soojus'!$C:$X,2+$C46,FALSE),0)+IF(CZ$6="X",VLOOKUP(CZ$10,'VK-Transport'!$C:$X,2+$B46,0))+IF(CZ$8="X",VLOOKUP(CZ$10,'VK-Elekter'!$C:$X,2+$D46,0))+IF(CZ$9="X",VLOOKUP(CZ$10,'VK-Biokütused'!$C:$U,2+$E46,0))+IF(CZ$5="X",VLOOKUP(CZ$10,'VK-Põlevkivi'!$C:$X,2+$G46,0))+IF(CZ$4="X",VLOOKUP(CZ$10,'VK-Võrgud'!$C:$X,2+$F46,0)))</f>
        <v>77</v>
      </c>
      <c r="DA46" s="209">
        <f>(IF(DA$7="X",VLOOKUP(DA$10,'VK-Hooned-Soojus'!$C:$X,2+$C46,FALSE),0)+IF(DA$6="X",VLOOKUP(DA$10,'VK-Transport'!$C:$X,2+$B46,0))+IF(DA$8="X",VLOOKUP(DA$10,'VK-Elekter'!$C:$X,2+$D46,0))+IF(DA$9="X",VLOOKUP(DA$10,'VK-Biokütused'!$C:$U,2+$E46,0))+IF(DA$5="X",VLOOKUP(DA$10,'VK-Põlevkivi'!$C:$X,2+$G46,0))+IF(DA$4="X",VLOOKUP(DA$10,'VK-Võrgud'!$C:$X,2+$F46,0)))/1000</f>
        <v>14.625</v>
      </c>
      <c r="DB46" s="209">
        <f>(IF(DB$7="X",VLOOKUP(DB$10,'VK-Hooned-Soojus'!$C:$X,2+$C46,FALSE),0)+IF(DB$6="X",VLOOKUP(DB$10,'VK-Transport'!$C:$X,2+$B46,0))+IF(DB$8="X",VLOOKUP(DB$10,'VK-Elekter'!$C:$X,2+$D46,0))+IF(DB$9="X",VLOOKUP(DB$10,'VK-Biokütused'!$C:$U,2+$E46,0))+IF(DB$5="X",VLOOKUP(DB$10,'VK-Põlevkivi'!$C:$X,2+$G46,0))+IF(DB$4="X",VLOOKUP(DB$10,'VK-Võrgud'!$C:$X,2+$F46,0)))/1000/3.6</f>
        <v>65.084722222222226</v>
      </c>
      <c r="DC46" s="209">
        <f>(IF(DC$7="X",VLOOKUP(DC$10,'VK-Hooned-Soojus'!$C:$X,2+$C46,FALSE),0)+IF(DC$6="X",VLOOKUP(DC$10,'VK-Transport'!$C:$X,2+$B46,0))+IF(DC$8="X",VLOOKUP(DC$10,'VK-Elekter'!$C:$X,2+$D46,0))+IF(DC$9="X",VLOOKUP(DC$10,'VK-Biokütused'!$C:$U,2+$E46,0))+IF(DC$5="X",VLOOKUP(DC$10,'VK-Põlevkivi'!$C:$X,2+$G46,0))+IF(DC$4="X",VLOOKUP(DC$10,'VK-Võrgud'!$C:$X,2+$F46,0)))/1000000</f>
        <v>5.2713010000000002</v>
      </c>
      <c r="DD46" s="209"/>
      <c r="DE46" s="88">
        <f>VLOOKUP(Tulemused!$BN$12,data!M$7:N$12,2,FALSE)-SUM(L46,M46)</f>
        <v>-2.20664444444445</v>
      </c>
      <c r="DF46" s="209" t="str">
        <f>IF(AZ46&lt;=VLOOKUP(Tulemused!$BN$15,data!$E$36:$F$39,2,FALSE),"JAH","EI")</f>
        <v>JAH</v>
      </c>
      <c r="DG46" s="209"/>
      <c r="DH46" s="209">
        <f t="shared" si="38"/>
        <v>6.08</v>
      </c>
      <c r="DI46" s="231" t="str">
        <f t="shared" si="17"/>
        <v>EI</v>
      </c>
      <c r="DK46" s="232">
        <f t="shared" si="39"/>
        <v>-996.91662129208203</v>
      </c>
      <c r="DM46" s="233">
        <f t="shared" si="40"/>
        <v>-992.82670851044588</v>
      </c>
      <c r="DN46" s="87">
        <f t="array" ref="DN46">INDEX($A$11:$A$145, SMALL(IF(DM46=$DK$11:$DK$145, MATCH(ROW($DK$11:$DK$145), ROW($DK$11:$DK$145))), SUM(--(DM46=$DM$11:DM46))))</f>
        <v>111</v>
      </c>
      <c r="DP46" s="87" t="e">
        <f t="shared" ca="1" si="18"/>
        <v>#N/A</v>
      </c>
      <c r="DQ46" s="87" t="e">
        <f t="shared" ca="1" si="19"/>
        <v>#N/A</v>
      </c>
      <c r="DR46" s="87">
        <f t="shared" ca="1" si="20"/>
        <v>0</v>
      </c>
      <c r="DS46" s="87" t="e">
        <f t="shared" ca="1" si="21"/>
        <v>#N/A</v>
      </c>
      <c r="DT46" s="87">
        <f t="shared" ca="1" si="22"/>
        <v>0</v>
      </c>
      <c r="DU46" s="87" t="e">
        <f t="shared" ca="1" si="23"/>
        <v>#N/A</v>
      </c>
      <c r="DV46" s="87" t="e">
        <f t="shared" ca="1" si="24"/>
        <v>#N/A</v>
      </c>
      <c r="DW46" s="87">
        <f t="shared" ca="1" si="25"/>
        <v>0</v>
      </c>
      <c r="DX46" s="87">
        <f t="shared" ca="1" si="26"/>
        <v>0</v>
      </c>
      <c r="DZ46" s="87">
        <f t="shared" ca="1" si="35"/>
        <v>0</v>
      </c>
      <c r="EB46" s="87">
        <f t="shared" ca="1" si="27"/>
        <v>0</v>
      </c>
      <c r="EC46" s="87" t="e">
        <f t="shared" ca="1" si="28"/>
        <v>#N/A</v>
      </c>
      <c r="EE46" s="228">
        <f>(IF(EE$7="X",VLOOKUP(EE$10,'VK-Hooned-Soojus'!$C:$X,2+$C46,FALSE),0)+IF(EE$6="X",VLOOKUP(EE$10,'VK-Transport'!$C:$X,2+$B46,0))+IF(EE$8="X",VLOOKUP(EE$10,'VK-Elekter'!$C:$X,2+$D46,0))+IF(EE$9="X",VLOOKUP(EE$10,'VK-Biokütused'!$C:$U,2+$E46,0))+IF(EE$5="X",VLOOKUP(EE$10,'VK-Põlevkivi'!$C:$X,2+$G46,0))+IF(EE$4="X",VLOOKUP(EE$10,'VK-Võrgud'!$C:$X,2+$F46,0)))</f>
        <v>9153.1279017976467</v>
      </c>
      <c r="EF46" s="235">
        <f>(IF(EF$7="X",VLOOKUP(EF$10,'VK-Hooned-Soojus'!$C:$X,2+$C46,FALSE),0)+IF(EF$6="X",VLOOKUP(EF$10,'VK-Transport'!$C:$X,2+$B46,0))+IF(EF$8="X",VLOOKUP(EF$10,'VK-Elekter'!$C:$X,2+$D46,0))+IF(EF$9="X",VLOOKUP(EF$10,'VK-Biokütused'!$C:$U,2+$E46,0)))/1000</f>
        <v>5.3996368215830604</v>
      </c>
      <c r="EG46" s="209">
        <f>(IF(EG$7="X",VLOOKUP(EG$10,'VK-Hooned-Soojus'!$C:$X,2+$C46,FALSE),0)+IF(EG$6="X",VLOOKUP(EG$10,'VK-Transport'!$C:$X,2+$B46,0))+IF(EG$8="X",VLOOKUP(EG$10,'VK-Elekter'!$C:$X,2+$D46,0))+IF(EG$9="X",VLOOKUP(EG$10,'VK-Biokütused'!$C:$U,2+$E46,0))+IF(EG$5="X",VLOOKUP(EG$10,'VK-Põlevkivi'!$C:$X,2+$G46,0))+IF(EG$4="X",VLOOKUP(EG$10,'VK-Võrgud'!$C:$X,2+$F46,0)))</f>
        <v>0.81</v>
      </c>
      <c r="EH46" s="209">
        <f>(IF(EH$7="X",VLOOKUP(EH$10,'VK-Hooned-Soojus'!$C:$X,2+$C46,FALSE),0)+IF(EH$6="X",VLOOKUP(EH$10,'VK-Transport'!$C:$X,2+$B46,0))+IF(EH$8="X",VLOOKUP(EH$10,'VK-Elekter'!$C:$X,2+$D46,0))+IF(EH$9="X",VLOOKUP(EH$10,'VK-Biokütused'!$C:$U,2+$E46,0)))+AR46+AS46+AU46+AX46</f>
        <v>57.45516562895758</v>
      </c>
      <c r="EI46" s="320">
        <f t="shared" si="41"/>
        <v>48.674567183462528</v>
      </c>
      <c r="EJ46" s="322">
        <f t="shared" si="42"/>
        <v>2.201934621570804E-2</v>
      </c>
      <c r="EK46" s="323">
        <f t="shared" si="29"/>
        <v>0.35947746298057853</v>
      </c>
      <c r="EM46" s="209"/>
      <c r="EN46" s="209">
        <f t="shared" ca="1" si="43"/>
        <v>0</v>
      </c>
      <c r="EO46" s="209"/>
      <c r="EP46" s="234"/>
      <c r="EQ46" s="209">
        <f>(IF(EQ$7="X",VLOOKUP(EQ$10,'VK-Hooned-Soojus'!$C:$X,2+$C46,FALSE),0)+IF(EQ$6="X",VLOOKUP(EQ$10,'VK-Transport'!$C:$X,2+$B46,0))+IF(EQ$8="X",VLOOKUP(EQ$10,'VK-Elekter'!$C:$X,2+$D46,0))+IF(EQ$9="X",VLOOKUP(EQ$10,'VK-Biokütused'!$C:$U,2+$E46,0))+IF(EQ$5="X",VLOOKUP(EQ$10,'VK-Põlevkivi'!$C:$X,2+$G46,0))+IF(EQ$4="X",VLOOKUP(EQ$10,'VK-Võrgud'!$C:$X,2+$F46,0)))/1000</f>
        <v>0.19900000000000001</v>
      </c>
      <c r="ER46" s="209">
        <f>(IF(ER$7="X",VLOOKUP(ER$10,'VK-Hooned-Soojus'!$C:$X,2+$C46,FALSE),0)+IF(ER$6="X",VLOOKUP(ER$10,'VK-Transport'!$C:$X,2+$B46,0))+IF(ER$8="X",VLOOKUP(ER$10,'VK-Elekter'!$C:$X,2+$D46,0))+IF(ER$9="X",VLOOKUP(ER$10,'VK-Biokütused'!$C:$U,2+$E46,0))+IF(ER$5="X",VLOOKUP(ER$10,'VK-Põlevkivi'!$C:$X,2+$G46,0))+IF(ER$4="X",VLOOKUP(ER$10,'VK-Võrgud'!$C:$X,2+$F46,0)))</f>
        <v>0.72299999999999998</v>
      </c>
      <c r="ES46" s="209">
        <f>(IF(ES$7="X",VLOOKUP(ES$10,'VK-Hooned-Soojus'!$C:$X,2+$C46,FALSE),0)+IF(ES$6="X",VLOOKUP(ES$10,'VK-Transport'!$C:$X,2+$B46,0))+IF(ES$8="X",VLOOKUP(ES$10,'VK-Elekter'!$C:$X,2+$D46,0))+IF(ES$9="X",VLOOKUP(ES$10,'VK-Biokütused'!$C:$U,2+$E46,0))+IF(ES$5="X",VLOOKUP(ES$10,'VK-Põlevkivi'!$C:$X,2+$G46,0))+IF(ES$4="X",VLOOKUP(ES$10,'VK-Võrgud'!$C:$X,2+$F46,0)))</f>
        <v>6.08</v>
      </c>
      <c r="ET46" s="209"/>
      <c r="EU46" s="209"/>
      <c r="EV46" s="87">
        <f>'KSH järjestus'!AS39</f>
        <v>1602</v>
      </c>
      <c r="EX46" s="236"/>
      <c r="EY46" s="236"/>
      <c r="EZ46" s="237">
        <f t="shared" si="44"/>
        <v>0.27911646586345373</v>
      </c>
      <c r="FA46" s="209">
        <f>IF(FA$7="X",VLOOKUP(FA$10,'VK-Hooned-Soojus'!$C:$X,2+$C46,FALSE),0)+IF(FA$6="X",VLOOKUP(FA$10,'VK-Transport'!$C:$X,2+$B46,0))+IF(FA$8="X",VLOOKUP(FA$10,'VK-Elekter'!$C:$X,2+$D46,0))+IF(FA$9="X",VLOOKUP(FA$10,'VK-Biokütused'!$C:$U,2+$E46,0))+IF(FA$5="X",VLOOKUP(FA$10,'VK-Põlevkivi'!$C:$X,2+$G46,0))+IF(FA$4="X",VLOOKUP(FA$10,'VK-Võrgud'!$C:$X,2+$F46,0))</f>
        <v>3656.9070000000002</v>
      </c>
      <c r="FB46" s="279">
        <f>(IF(FB$7="X",VLOOKUP(FB$10,'VK-Hooned-Soojus'!$C:$X,2+$C46,FALSE),0)+IF(FB$6="X",VLOOKUP(FB$10,'VK-Transport'!$C:$X,2+$B46,0))+IF(FB$8="X",VLOOKUP(FB$10,'VK-Elekter'!$C:$X,2+$D46,0))+IF(FB$9="X",VLOOKUP(FB$10,'VK-Biokütused'!$C:$U,2+$E46,0))+IF(FB$5="X",VLOOKUP(FB$10,'VK-Põlevkivi'!$C:$X,2+$G46,0))+IF(FB$4="X",VLOOKUP(FB$10,'VK-Võrgud'!$C:$X,2+$F46,0)))/16</f>
        <v>392.99666701721566</v>
      </c>
      <c r="FC46" s="209">
        <f>IF(FC$7="X",VLOOKUP(FC$10,'VK-Hooned-Soojus'!$C:$X,2+$C46,FALSE),0)+IF(FC$6="X",VLOOKUP(FC$10,'VK-Transport'!$C:$X,2+$B46,0))+IF(FC$8="X",VLOOKUP(FC$10,'VK-Elekter'!$C:$X,2+$D46,0))+IF(FC$9="X",VLOOKUP(FC$10,'VK-Biokütused'!$C:$U,2+$E46,0))+IF(FC$5="X",VLOOKUP(FC$10,'VK-Põlevkivi'!$C:$X,2+$G46,0))+IF(FC$4="X",VLOOKUP(FC$10,'VK-Võrgud'!$C:$X,2+$F46,0))</f>
        <v>309.09999999999997</v>
      </c>
      <c r="FD46" s="209">
        <f>(IF(FD$7="X",VLOOKUP(FD$10,'VK-Hooned-Soojus'!$C:$X,2+$C46,FALSE),0)+IF(FD$6="X",VLOOKUP(FD$10,'VK-Transport'!$C:$X,2+$B46,0))+IF(FD$8="X",VLOOKUP(FD$10,'VK-Elekter'!$C:$X,2+$D46,0))+IF(FD$9="X",VLOOKUP(FD$10,'VK-Biokütused'!$C:$U,2+$E46,0))+IF(FD$5="X",VLOOKUP(FD$10,'VK-Põlevkivi'!$C:$X,2+$G46,0))+IF(FD$4="X",VLOOKUP(FD$10,'VK-Võrgud'!$C:$X,2+$F46,0)))/16</f>
        <v>392.99666701721566</v>
      </c>
      <c r="FE46" s="209">
        <f>(IF(FE$7="X",VLOOKUP(FE$10,'VK-Hooned-Soojus'!$C:$X,2+$C46,FALSE),0)+IF(FE$6="X",VLOOKUP(FE$10,'VK-Transport'!$C:$X,2+$B46,0))+IF(FE$8="X",VLOOKUP(FE$10,'VK-Elekter'!$C:$X,2+$D46,0))+IF(FE$9="X",VLOOKUP(FE$10,'VK-Biokütused'!$C:$U,2+$E46,0))+IF(FE$5="X",VLOOKUP(FE$10,'VK-Põlevkivi'!$C:$X,2+$G46,0))+IF(FE$4="X",VLOOKUP(FE$10,'VK-Võrgud'!$C:$X,2+$F46,0)))/16</f>
        <v>-156.76081369909105</v>
      </c>
      <c r="FF46" s="209">
        <f>(IF(FF$7="X",VLOOKUP(FF$10,'VK-Hooned-Soojus'!$C:$X,2+$C46,FALSE),0)+IF(FF$6="X",VLOOKUP(FF$10,'VK-Transport'!$C:$X,2+$B46,0))+IF(FF$8="X",VLOOKUP(FF$10,'VK-Elekter'!$C:$X,2+$D46,0))+IF(FF$9="X",VLOOKUP(FF$10,'VK-Biokütused'!$C:$U,2+$E46,0))+IF(FF$5="X",VLOOKUP(FF$10,'VK-Põlevkivi'!$C:$X,2+$G46,0))+IF(FF$4="X",VLOOKUP(FF$10,'VK-Võrgud'!$C:$X,2+$F46,0)))/16</f>
        <v>140.71642683949213</v>
      </c>
      <c r="FG46" s="88">
        <f t="shared" ca="1" si="30"/>
        <v>-16.044386859598916</v>
      </c>
      <c r="FH46" s="88"/>
      <c r="FI46" s="88"/>
      <c r="FJ46" s="88">
        <f>VLOOKUP(Tulemused!$BN$12,data!M$7:N$12,2,FALSE)-SUM(L46,M46)</f>
        <v>-2.20664444444445</v>
      </c>
      <c r="FK46" s="209" t="str">
        <f>IF(AZ46&lt;=VLOOKUP(Tulemused!$BN$15,data!$E$36:$F$39,2,FALSE),"JAH","EI")</f>
        <v>JAH</v>
      </c>
      <c r="FL46" s="235">
        <f ca="1">IF(ISNA(MATCH($A46,INDIRECT(VLOOKUP(Tulemused!$BF$11,data!$J$57:$M$71,4,FALSE)))),0,MATCH($A46,INDIRECT(VLOOKUP(Tulemused!$BF$11,data!$J$57:$M$71,4,FALSE))))</f>
        <v>0</v>
      </c>
      <c r="FM46" s="235" t="str">
        <f t="shared" ca="1" si="45"/>
        <v>JAH</v>
      </c>
      <c r="FN46" s="209">
        <f>VLOOKUP(Tulemused!$BN$13,data!$C$132:$D$137,2,FALSE)-KOMBI!R46</f>
        <v>2.6621331784169402</v>
      </c>
      <c r="FO46" s="209"/>
      <c r="FP46" s="209">
        <f>VLOOKUP(Tulemused!$BN$17,NO_x,2,FALSE)-CJ46</f>
        <v>10.848421988425461</v>
      </c>
      <c r="FQ46" s="209">
        <f>VLOOKUP(Tulemused!$BN$18,SO_2,2,FALSE)-CK46</f>
        <v>40.658875437721399</v>
      </c>
      <c r="FR46" s="209">
        <f>VLOOKUP(Tulemused!$BN$19,LOU,2,FALSE)-CN46</f>
        <v>34.324000000000005</v>
      </c>
      <c r="FS46" s="209">
        <f>VLOOKUP(Tulemused!$BN$20,PM_2.5,2,FALSE)-CM46</f>
        <v>9.294239422251092</v>
      </c>
      <c r="FT46" s="209">
        <f>VLOOKUP(Tulemused!$BN$13,data!$C$132:$D$137,2,FALSE)-FA46/1000</f>
        <v>2.5890630000000003</v>
      </c>
      <c r="FU46" s="209">
        <f>VLOOKUP(Tulemused!$BN$17,NO_x,2,FALSE)-CO46</f>
        <v>4.3223502267145442</v>
      </c>
      <c r="FV46" s="209">
        <f>VLOOKUP(Tulemused!$BN$18,SO_2,2,FALSE)-CP46</f>
        <v>38.47605141570439</v>
      </c>
      <c r="FW46" s="209">
        <f>VLOOKUP(Tulemused!$BN$19,LOU,2,FALSE)-CS46</f>
        <v>33.163847594878391</v>
      </c>
      <c r="FX46" s="209">
        <f>VLOOKUP(Tulemused!$BN$20,PM_2.5,2,FALSE)-CR46</f>
        <v>9.1832466437251945</v>
      </c>
      <c r="FY46" s="209">
        <f>VLOOKUP(Tulemused!$BN$14,KHG_2050,2,FALSE)-EF46</f>
        <v>94.600363178416941</v>
      </c>
      <c r="FZ46" s="231" t="str">
        <f t="shared" ca="1" si="31"/>
        <v>EI</v>
      </c>
      <c r="GA46" s="209"/>
      <c r="GB46" s="209"/>
      <c r="GC46" s="209"/>
      <c r="GD46" s="231"/>
      <c r="GE46" s="87">
        <f t="shared" si="46"/>
        <v>1602</v>
      </c>
      <c r="GF46" s="232" t="str">
        <f t="shared" ca="1" si="32"/>
        <v/>
      </c>
      <c r="GH46" s="238" t="e">
        <f t="shared" ca="1" si="47"/>
        <v>#NUM!</v>
      </c>
      <c r="GI46" s="87" t="e">
        <f t="array" aca="1" ref="GI46" ca="1">INDEX($A$11:$A$145, SMALL(IF(GH46=$GF$11:$GF$145, MATCH(ROW($GF$11:$GF$145), ROW($GF$11:$GF$145))), SUM(--(GH46=$GH$11:GH46))))</f>
        <v>#NUM!</v>
      </c>
      <c r="GM46" s="209">
        <f>IF(GM$7="X",VLOOKUP(GM$10,'VK-Hooned-Soojus'!$C:$X,2+$C46,FALSE),0)+IF(GM$6="X",VLOOKUP(GM$10,'VK-Transport'!$C:$X,2+$B46,0))+IF(GM$8="X",VLOOKUP(GM$10,'VK-Elekter'!$C:$X,2+$D46,0))+IF(GM$9="X",VLOOKUP(GM$10,'VK-Biokütused'!$C:$U,2+$E46,0))+IF(GM$5="X",VLOOKUP(GM$10,'VK-Põlevkivi'!$C:$X,2+$G46,0))+IF(GM$4="X",VLOOKUP(GM$10,'VK-Võrgud'!$C:$X,2+$F46,0))</f>
        <v>6.0128279910272253</v>
      </c>
      <c r="GN46" s="209">
        <f>IF(GN$7="X",VLOOKUP(GN$10,'VK-Hooned-Soojus'!$C:$X,2+$C46,FALSE),0)+IF(GN$6="X",VLOOKUP(GN$10,'VK-Transport'!$C:$X,2+$B46,0))+IF(GN$8="X",VLOOKUP(GN$10,'VK-Elekter'!$C:$X,2+$D46,0))+IF(GN$9="X",VLOOKUP(GN$10,'VK-Biokütused'!$C:$U,2+$E46,0))+IF(GN$5="X",VLOOKUP(GN$10,'VK-Põlevkivi'!$C:$X,2+$G46,0))+IF(GN$4="X",VLOOKUP(GN$10,'VK-Võrgud'!$C:$X,2+$F46,0))</f>
        <v>3.4467619395011728</v>
      </c>
      <c r="GO46" s="209">
        <f>IF(GO$7="X",VLOOKUP(GO$10,'VK-Hooned-Soojus'!$C:$X,2+$C46,FALSE),0)+IF(GO$6="X",VLOOKUP(GO$10,'VK-Transport'!$C:$X,2+$B46,0))+IF(GO$8="X",VLOOKUP(GO$10,'VK-Elekter'!$C:$X,2+$D46,0))+IF(GO$9="X",VLOOKUP(GO$10,'VK-Biokütused'!$C:$U,2+$E46,0))+IF(GO$5="X",VLOOKUP(GO$10,'VK-Põlevkivi'!$C:$X,2+$G46,0))+IF(GO$4="X",VLOOKUP(GO$10,'VK-Võrgud'!$C:$X,2+$F46,0))</f>
        <v>7.5763700102722566</v>
      </c>
      <c r="GP46" s="209">
        <f>IF(GP$7="X",VLOOKUP(GP$10,'VK-Hooned-Soojus'!$C:$X,2+$C46,FALSE),0)+IF(GP$6="X",VLOOKUP(GP$10,'VK-Transport'!$C:$X,2+$B46,0))+IF(GP$8="X",VLOOKUP(GP$10,'VK-Elekter'!$C:$X,2+$D46,0))+IF(GP$9="X",VLOOKUP(GP$10,'VK-Biokütused'!$C:$U,2+$E46,0))+IF(GP$5="X",VLOOKUP(GP$10,'VK-Põlevkivi'!$C:$X,2+$G46,0))+IF(GP$4="X",VLOOKUP(GP$10,'VK-Võrgud'!$C:$X,2+$F46,0))</f>
        <v>8.9326558040707589</v>
      </c>
      <c r="GQ46" s="88">
        <f>IF(GQ$7="X",VLOOKUP(GQ$10,'VK-Hooned-Soojus'!$C:$X,2+$C46,FALSE),0)+IF(GQ$6="X",VLOOKUP(GQ$10,'VK-Transport'!$C:$X,2+$B46,0))+IF(GQ$8="X",VLOOKUP(GQ$10,'VK-Elekter'!$C:$X,2+$D46,0))+IF(GQ$9="X",VLOOKUP(GQ$10,'VK-Biokütused'!$C:$U,2+$E46,0))+IF(GQ$5="X",VLOOKUP(GQ$10,'VK-Põlevkivi'!$C:$X,2+$G46,0))+IF(GQ$4="X",VLOOKUP(GQ$10,'VK-Võrgud'!$C:$X,2+$F46,0))</f>
        <v>0.9682855968523334</v>
      </c>
      <c r="GR46" s="186">
        <f t="shared" si="33"/>
        <v>0.3809336464106115</v>
      </c>
    </row>
    <row r="47" spans="1:200" x14ac:dyDescent="0.2">
      <c r="A47" s="184">
        <v>37</v>
      </c>
      <c r="B47" s="87">
        <v>1</v>
      </c>
      <c r="C47" s="87">
        <v>3</v>
      </c>
      <c r="D47" s="87">
        <v>3</v>
      </c>
      <c r="E47" s="87">
        <v>1</v>
      </c>
      <c r="F47" s="87">
        <f>VLOOKUP(Tulemused!$BF$7,data!$J$6:$K$8,2,FALSE)</f>
        <v>2</v>
      </c>
      <c r="G47" s="87">
        <f>VLOOKUP(data!$H$2,data!$J$12:$K$14,2,FALSE)</f>
        <v>2</v>
      </c>
      <c r="I47" s="209">
        <f>IF(I$7="X",VLOOKUP(I$10,'VK-Hooned-Soojus'!$C:$X,2+$C47,FALSE),0)+IF(I$6="X",VLOOKUP(I$10,'VK-Transport'!$C:$X,2+$B47,0))+IF(I$8="X",VLOOKUP(I$10,'VK-Elekter'!$C:$X,2+$D47,0))+IF(I$9="X",VLOOKUP(I$10,'VK-Biokütused'!$C:$U,2+$E47,0))+IF(I$5="X",VLOOKUP(I$10,'VK-Põlevkivi'!$C:$X,2+$G47,0))+IF(I$4="X",VLOOKUP(I$10,'VK-Võrgud'!$C:$X,2+$F47,0))</f>
        <v>23.490000000000002</v>
      </c>
      <c r="J47" s="209">
        <f>IF(J$7="X",VLOOKUP(J$10,'VK-Hooned-Soojus'!$C:$X,2+$C47,FALSE),0)+IF(J$6="X",VLOOKUP(J$10,'VK-Transport'!$C:$X,2+$B47,0))+IF(J$8="X",VLOOKUP(J$10,'VK-Elekter'!$C:$X,2+$D47,0))+IF(J$9="X",VLOOKUP(J$10,'VK-Biokütused'!$C:$U,2+$E47,0))+IF(J$5="X",VLOOKUP(J$10,'VK-Põlevkivi'!$C:$X,2+$G47,0))+IF(J$4="X",VLOOKUP(J$10,'VK-Võrgud'!$C:$X,2+$F47,0))</f>
        <v>13.295833333333334</v>
      </c>
      <c r="K47" s="209">
        <f>IF(K$7="X",VLOOKUP(K$10,'VK-Hooned-Soojus'!$C:$X,2+$C47,FALSE),0)+IF(K$6="X",VLOOKUP(K$10,'VK-Transport'!$C:$X,2+$B47,0))+IF(K$8="X",VLOOKUP(K$10,'VK-Elekter'!$C:$X,2+$D47,0))+IF(K$9="X",VLOOKUP(K$10,'VK-Biokütused'!$C:$U,2+$E47,0))+IF(K$5="X",VLOOKUP(K$10,'VK-Põlevkivi'!$C:$X,2+$G47,0))+IF(K$4="X",VLOOKUP(K$10,'VK-Võrgud'!$C:$X,2+$F47,0))</f>
        <v>13.780000000000001</v>
      </c>
      <c r="L47" s="209">
        <f>IF(L$7="X",VLOOKUP(L$10,'VK-Hooned-Soojus'!$C:$X,2+$C47,FALSE),0)+IF(L$6="X",VLOOKUP(L$10,'VK-Transport'!$C:$X,2+$B47,0))+IF(L$8="X",VLOOKUP(L$10,'VK-Elekter'!$C:$X,2+$D47,0))+IF(L$9="X",VLOOKUP(L$10,'VK-Biokütused'!$C:$U,2+$E47,0))+IF(L$5="X",VLOOKUP(L$10,'VK-Põlevkivi'!$C:$X,2+$G47,0))+IF(L$4="X",VLOOKUP(L$10,'VK-Võrgud'!$C:$X,2+$F47,0))</f>
        <v>23.75</v>
      </c>
      <c r="M47" s="209">
        <f>IF(M$7="X",VLOOKUP(M$10,'VK-Hooned-Soojus'!$C:$X,2+$C47,FALSE),0)+IF(M$6="X",VLOOKUP(M$10,'VK-Transport'!$C:$X,2+$B47,0))+IF(M$8="X",VLOOKUP(M$10,'VK-Elekter'!$C:$X,2+$D47,0))+IF(M$9="X",VLOOKUP(M$10,'VK-Biokütused'!$C:$U,2+$E47,0))+IF(M$5="X",VLOOKUP(M$10,'VK-Põlevkivi'!$C:$X,2+$G47,0))+IF(M$4="X",VLOOKUP(M$10,'VK-Võrgud'!$C:$X,2+$F47,0))</f>
        <v>11.289444444444445</v>
      </c>
      <c r="N47" s="209">
        <f>IF(N$7="X",VLOOKUP(N$10,'VK-Hooned-Soojus'!$C:$X,2+$C47,FALSE),0)+IF(N$6="X",VLOOKUP(N$10,'VK-Transport'!$C:$X,2+$B47,0))+IF(N$8="X",VLOOKUP(N$10,'VK-Elekter'!$C:$X,2+$D47,0))+IF(N$9="X",VLOOKUP(N$10,'VK-Biokütused'!$C:$U,2+$E47,0))+IF(N$5="X",VLOOKUP(N$10,'VK-Põlevkivi'!$C:$X,2+$G47,0))+IF(N$4="X",VLOOKUP(N$10,'VK-Võrgud'!$C:$X,2+$F47,0))</f>
        <v>15.25</v>
      </c>
      <c r="O47" s="209">
        <f t="shared" si="13"/>
        <v>36.785833333333336</v>
      </c>
      <c r="P47" s="209"/>
      <c r="Q47" s="209">
        <f>(IF(Q$7="X",VLOOKUP(Q$10,'VK-Hooned-Soojus'!$C:$X,2+$C47,FALSE),0)+IF(Q$6="X",VLOOKUP(Q$10,'VK-Transport'!$C:$X,2+$B47,0))+IF(Q$8="X",VLOOKUP(Q$10,'VK-Elekter'!$C:$X,2+$D47,0))+IF(Q$9="X",VLOOKUP(Q$10,'VK-Biokütused'!$C:$U,2+$E47,0))+IF(Q$5="X",VLOOKUP(Q$10,'VK-Põlevkivi'!$C:$X,2+$G47,0))+IF(Q$4="X",VLOOKUP(Q$10,'VK-Võrgud'!$C:$X,2+$F47,0)))/1000</f>
        <v>4.9050000000000002</v>
      </c>
      <c r="R47" s="209">
        <f>(IF(R$7="X",VLOOKUP(R$10,'VK-Hooned-Soojus'!$C:$X,2+$C47,FALSE),0)+IF(R$6="X",VLOOKUP(R$10,'VK-Transport'!$C:$X,2+$B47,0))+IF(R$8="X",VLOOKUP(R$10,'VK-Elekter'!$C:$X,2+$D47,0))+IF(R$9="X",VLOOKUP(R$10,'VK-Biokütused'!$C:$U,2+$E47,0))+IF(R$5="X",VLOOKUP(R$10,'VK-Põlevkivi'!$C:$X,2+$G47,0))+IF(R$4="X",VLOOKUP(R$10,'VK-Võrgud'!$C:$X,2+$F47,0)))/1000</f>
        <v>2.9976368215830602</v>
      </c>
      <c r="S47" s="226">
        <f>VLOOKUP(S$10,'VK-Hooned-Soojus'!$C:$I,2+$C47,FALSE) + VLOOKUP(S$10,'VK-Transport'!$C:$I,2+$B47,FALSE)+ VLOOKUP(S$10,'VK-Biokütused'!$C:$G,2+$E47,FALSE)+ VLOOKUP(S$10,'VK-Elekter'!$C:$I,2+$D47,FALSE)+ VLOOKUP(S$10,'VK-Põlevkivi'!$C:$I,2+$G47,FALSE)+ VLOOKUP(S$10,'VK-Võrgud'!$C:$I,2+$F47,FALSE)</f>
        <v>8.3038951760639711E-3</v>
      </c>
      <c r="T47" s="226">
        <f>VLOOKUP(T$10,'VK-Hooned-Soojus'!$C:$I,2+$C47,FALSE) + VLOOKUP(T$10,'VK-Transport'!$C:$I,2+$B47,FALSE)+ VLOOKUP(T$10,'VK-Biokütused'!$C:$G,2+$E47,FALSE)+ VLOOKUP(T$10,'VK-Elekter'!$C:$I,2+$D47,FALSE)+ VLOOKUP(T$10,'VK-Põlevkivi'!$C:$I,2+$G47,FALSE)+ VLOOKUP(T$10,'VK-Võrgud'!$C:$I,2+$F47,FALSE)</f>
        <v>-4.9595271962261361E-3</v>
      </c>
      <c r="U47" s="226">
        <f>VLOOKUP(U$10,'VK-Hooned-Soojus'!$C:$I,2+$C47,FALSE) + VLOOKUP(U$10,'VK-Transport'!$C:$I,2+$B47,FALSE)+ VLOOKUP(U$10,'VK-Biokütused'!$C:$G,2+$E47,FALSE)+ VLOOKUP(U$10,'VK-Elekter'!$C:$I,2+$D47,FALSE)+ VLOOKUP(U$10,'VK-Põlevkivi'!$C:$I,2+$G47,FALSE)+ VLOOKUP(U$10,'VK-Võrgud'!$C:$I,2+$F47,FALSE)</f>
        <v>-1.5176135003429903E-3</v>
      </c>
      <c r="V47" s="226">
        <f>VLOOKUP(V$10,'VK-Hooned-Soojus'!$C:$I,2+$C47,FALSE) + VLOOKUP(V$10,'VK-Transport'!$C:$I,2+$B47,FALSE)+ VLOOKUP(V$10,'VK-Biokütused'!$C:$G,2+$E47,FALSE)+ VLOOKUP(V$10,'VK-Elekter'!$C:$I,2+$D47,FALSE)+ VLOOKUP(V$10,'VK-Põlevkivi'!$C:$I,2+$G47,FALSE)+ VLOOKUP(V$10,'VK-Võrgud'!$C:$I,2+$F47,FALSE)</f>
        <v>9.8836341699854342E-3</v>
      </c>
      <c r="W47" s="226">
        <f>VLOOKUP(W$10,'VK-Hooned-Soojus'!$C:$I,2+$C47,FALSE) + VLOOKUP(W$10,'VK-Transport'!$C:$I,2+$B47,FALSE)+ VLOOKUP(W$10,'VK-Biokütused'!$C:$G,2+$E47,FALSE)+ VLOOKUP(W$10,'VK-Elekter'!$C:$I,2+$D47,FALSE)+ VLOOKUP(W$10,'VK-Põlevkivi'!$C:$I,2+$G47,FALSE)+ VLOOKUP(W$10,'VK-Võrgud'!$C:$I,2+$F47,FALSE)</f>
        <v>-2.1524972444568764E-2</v>
      </c>
      <c r="X47" s="226">
        <f>VLOOKUP(X$10,'VK-Hooned-Soojus'!$C:$I,2+$C47,FALSE) + VLOOKUP(X$10,'VK-Transport'!$C:$I,2+$B47,FALSE)+ VLOOKUP(X$10,'VK-Biokütused'!$C:$G,2+$E47,FALSE)+ VLOOKUP(X$10,'VK-Elekter'!$C:$I,2+$D47,FALSE)+ VLOOKUP(X$10,'VK-Põlevkivi'!$C:$I,2+$G47,FALSE)+ VLOOKUP(X$10,'VK-Võrgud'!$C:$I,2+$F47,FALSE)</f>
        <v>-1.8989825203098915E-2</v>
      </c>
      <c r="Y47" s="226">
        <f>VLOOKUP(Y$10,'VK-Hooned-Soojus'!$C:$I,2+$C47,FALSE) + VLOOKUP(Y$10,'VK-Transport'!$C:$I,2+$B47,FALSE)+ VLOOKUP(Y$10,'VK-Biokütused'!$C:$G,2+$E47,FALSE)+ VLOOKUP(Y$10,'VK-Elekter'!$C:$I,2+$D47,FALSE)+ VLOOKUP(Y$10,'VK-Põlevkivi'!$C:$I,2+$G47,FALSE)+ VLOOKUP(Y$10,'VK-Võrgud'!$C:$I,2+$F47,FALSE)</f>
        <v>-3.2943109159880295E-2</v>
      </c>
      <c r="Z47" s="227">
        <f>(S47*Tulemused!$Q$9*10+T47*Tulemused!$Q$10*10+KOMBI!U47*Tulemused!$Q$11*10+KOMBI!V47*Tulemused!$Q$12*10)*Tulemused!$Q$8+-(W47*Tulemused!$Q$14*10+KOMBI!X47*Tulemused!$Q$15*10+KOMBI!Y47*Tulemused!$Q$16*10)*Tulemused!$Q$13</f>
        <v>1.937346733579661</v>
      </c>
      <c r="AA47" s="228">
        <f>(IF(AA$7="X",VLOOKUP(AA$10,'VK-Hooned-Soojus'!$C:$X,2+$C47,FALSE),0)+IF(AA$6="X",VLOOKUP(AA$10,'VK-Transport'!$C:$X,2+$B47,0))+IF(AA$8="X",VLOOKUP(AA$10,'VK-Elekter'!$C:$X,2+$D47,0))+IF(AA$9="X",VLOOKUP(AA$10,'VK-Biokütused'!$C:$U,2+$E47,0))+IF(AA$5="X",VLOOKUP(AA$10,'VK-Põlevkivi'!$C:$X,2+$G47,0))+IF(AA$4="X",VLOOKUP(AA$10,'VK-Võrgud'!$C:$X,2+$F47,0)))</f>
        <v>3728</v>
      </c>
      <c r="AB47" s="228">
        <f>(IF(AB$7="X",VLOOKUP(AB$10,'VK-Hooned-Soojus'!$C:$X,2+$C47,FALSE),0)+IF(AB$6="X",VLOOKUP(AB$10,'VK-Transport'!$C:$X,2+$B47,0))+IF(AB$8="X",VLOOKUP(AB$10,'VK-Elekter'!$C:$X,2+$D47,0))+IF(AB$9="X",VLOOKUP(AB$10,'VK-Biokütused'!$C:$U,2+$E47,0))+IF(AB$5="X",VLOOKUP(AB$10,'VK-Põlevkivi'!$C:$X,2+$G47,0))+IF(AB$4="X",VLOOKUP(AB$10,'VK-Võrgud'!$C:$X,2+$F47,0)))</f>
        <v>1177</v>
      </c>
      <c r="AC47" s="228">
        <f>(IF(AC$7="X",VLOOKUP(AC$10,'VK-Hooned-Soojus'!$C:$X,2+$C47,FALSE),0)+IF(AC$6="X",VLOOKUP(AC$10,'VK-Transport'!$C:$X,2+$B47,0))+IF(AC$8="X",VLOOKUP(AC$10,'VK-Elekter'!$C:$X,2+$D47,0))+IF(AC$9="X",VLOOKUP(AC$10,'VK-Biokütused'!$C:$U,2+$E47,0))+IF(AC$5="X",VLOOKUP(AC$10,'VK-Põlevkivi'!$C:$X,2+$G47,0))+IF(AC$4="X",VLOOKUP(AC$10,'VK-Võrgud'!$C:$X,2+$F47,0)))</f>
        <v>2346</v>
      </c>
      <c r="AD47" s="228">
        <f>(IF(AD$7="X",VLOOKUP(AD$10,'VK-Hooned-Soojus'!$C:$X,2+$C47,FALSE),0)+IF(AD$6="X",VLOOKUP(AD$10,'VK-Transport'!$C:$X,2+$B47,0))+IF(AD$8="X",VLOOKUP(AD$10,'VK-Elekter'!$C:$X,2+$D47,0))+IF(AD$9="X",VLOOKUP(AD$10,'VK-Biokütused'!$C:$U,2+$E47,0))+IF(AD$5="X",VLOOKUP(AD$10,'VK-Põlevkivi'!$C:$X,2+$G47,0))+IF(AD$4="X",VLOOKUP(AD$10,'VK-Võrgud'!$C:$X,2+$F47,0)))</f>
        <v>0</v>
      </c>
      <c r="AE47" s="228">
        <f>(IF(AE$7="X",VLOOKUP(AE$10,'VK-Hooned-Soojus'!$C:$X,2+$C47,FALSE),0)+IF(AE$6="X",VLOOKUP(AE$10,'VK-Transport'!$C:$X,2+$B47,0))+IF(AE$8="X",VLOOKUP(AE$10,'VK-Elekter'!$C:$X,2+$D47,0))+IF(AE$9="X",VLOOKUP(AE$10,'VK-Biokütused'!$C:$U,2+$E47,0))+IF(AE$5="X",VLOOKUP(AE$10,'VK-Põlevkivi'!$C:$X,2+$G47,0))+IF(AE$4="X",VLOOKUP(AE$10,'VK-Võrgud'!$C:$X,2+$F47,0)))</f>
        <v>507</v>
      </c>
      <c r="AF47" s="228">
        <f>(IF(AF$7="X",VLOOKUP(AF$10,'VK-Hooned-Soojus'!$C:$X,2+$C47,FALSE),0)+IF(AF$6="X",VLOOKUP(AF$10,'VK-Transport'!$C:$X,2+$B47,0))+IF(AF$8="X",VLOOKUP(AF$10,'VK-Elekter'!$C:$X,2+$D47,0))+IF(AF$9="X",VLOOKUP(AF$10,'VK-Biokütused'!$C:$U,2+$E47,0))+IF(AF$5="X",VLOOKUP(AF$10,'VK-Põlevkivi'!$C:$X,2+$G47,0))+IF(AF$4="X",VLOOKUP(AF$10,'VK-Võrgud'!$C:$X,2+$F47,0)))</f>
        <v>2490.6368215830603</v>
      </c>
      <c r="AG47" s="209"/>
      <c r="AH47" s="209">
        <f>IF(AH$7="X",VLOOKUP(AH$10,'VK-Hooned-Soojus'!$C:$X,2+$C47,FALSE),0)+IF(AH$6="X",VLOOKUP(AH$10,'VK-Transport'!$C:$X,2+$B47,0))+IF(AH$8="X",VLOOKUP(AH$10,'VK-Elekter'!$C:$X,2+$D47,0))+IF(AH$9="X",VLOOKUP(AH$10,'VK-Biokütused'!$C:$U,2+$E47,0))+IF(AH$5="X",VLOOKUP(AH$10,'VK-Põlevkivi'!$C:$X,2+$G47,0))+IF(AH$4="X",VLOOKUP(AH$10,'VK-Võrgud'!$C:$X,2+$F47,0))</f>
        <v>11.579999999999998</v>
      </c>
      <c r="AI47" s="209">
        <f>IF(AI$7="X",VLOOKUP(AI$10,'VK-Hooned-Soojus'!$C:$X,2+$C47,FALSE),0)+IF(AI$6="X",VLOOKUP(AI$10,'VK-Transport'!$C:$X,2+$B47,0))+IF(AI$8="X",VLOOKUP(AI$10,'VK-Elekter'!$C:$X,2+$D47,0))+IF(AI$9="X",VLOOKUP(AI$10,'VK-Biokütused'!$C:$U,2+$E47,0))+IF(AI$5="X",VLOOKUP(AI$10,'VK-Põlevkivi'!$C:$X,2+$G47,0))+IF(AI$4="X",VLOOKUP(AI$10,'VK-Võrgud'!$C:$X,2+$F47,0))</f>
        <v>4.45</v>
      </c>
      <c r="AJ47" s="209">
        <f>IF(AJ$7="X",VLOOKUP(AJ$10,'VK-Hooned-Soojus'!$C:$X,2+$C47,FALSE),0)+IF(AJ$6="X",VLOOKUP(AJ$10,'VK-Transport'!$C:$X,2+$B47,0))+IF(AJ$8="X",VLOOKUP(AJ$10,'VK-Elekter'!$C:$X,2+$D47,0))+IF(AJ$9="X",VLOOKUP(AJ$10,'VK-Biokütused'!$C:$U,2+$E47,0))+IF(AJ$5="X",VLOOKUP(AJ$10,'VK-Põlevkivi'!$C:$X,2+$G47,0))+IF(AJ$4="X",VLOOKUP(AJ$10,'VK-Võrgud'!$C:$X,2+$F47,0))</f>
        <v>9.19</v>
      </c>
      <c r="AK47" s="209">
        <f>IF(AK$7="X",VLOOKUP(AK$10,'VK-Hooned-Soojus'!$C:$X,2+$C47,FALSE),0)+IF(AK$6="X",VLOOKUP(AK$10,'VK-Transport'!$C:$X,2+$B47,0))+IF(AK$8="X",VLOOKUP(AK$10,'VK-Elekter'!$C:$X,2+$D47,0))+IF(AK$9="X",VLOOKUP(AK$10,'VK-Biokütused'!$C:$U,2+$E47,0))+IF(AK$5="X",VLOOKUP(AK$10,'VK-Põlevkivi'!$C:$X,2+$G47,0))+IF(AK$4="X",VLOOKUP(AK$10,'VK-Võrgud'!$C:$X,2+$F47,0))</f>
        <v>0.66</v>
      </c>
      <c r="AL47" s="209">
        <f>IF(AL$7="X",VLOOKUP(AL$10,'VK-Hooned-Soojus'!$C:$X,2+$C47,FALSE),0)+IF(AL$6="X",VLOOKUP(AL$10,'VK-Transport'!$C:$X,2+$B47,0))+IF(AL$8="X",VLOOKUP(AL$10,'VK-Elekter'!$C:$X,2+$D47,0))+IF(AL$9="X",VLOOKUP(AL$10,'VK-Biokütused'!$C:$U,2+$E47,0))+IF(AL$5="X",VLOOKUP(AL$10,'VK-Põlevkivi'!$C:$X,2+$G47,0))+IF(AL$4="X",VLOOKUP(AL$10,'VK-Võrgud'!$C:$X,2+$F47,0))</f>
        <v>7.1</v>
      </c>
      <c r="AM47" s="209">
        <f>IF(AM$7="X",VLOOKUP(AM$10,'VK-Hooned-Soojus'!$C:$X,2+$C47,FALSE),0)+IF(AM$6="X",VLOOKUP(AM$10,'VK-Transport'!$C:$X,2+$B47,0))+IF(AM$8="X",VLOOKUP(AM$10,'VK-Elekter'!$C:$X,2+$D47,0))+IF(AM$9="X",VLOOKUP(AM$10,'VK-Biokütused'!$C:$U,2+$E47,0))+IF(AM$5="X",VLOOKUP(AM$10,'VK-Põlevkivi'!$C:$X,2+$G47,0))+IF(AM$4="X",VLOOKUP(AM$10,'VK-Võrgud'!$C:$X,2+$F47,0))</f>
        <v>11.5</v>
      </c>
      <c r="AN47" s="209">
        <f>IF(AN$7="X",VLOOKUP(AN$10,'VK-Hooned-Soojus'!$C:$X,2+$C47,FALSE),0)+IF(AN$6="X",VLOOKUP(AN$10,'VK-Transport'!$C:$X,2+$B47,0))+IF(AN$8="X",VLOOKUP(AN$10,'VK-Elekter'!$C:$X,2+$D47,0))+IF(AN$9="X",VLOOKUP(AN$10,'VK-Biokütused'!$C:$U,2+$E47,0))+IF(AN$5="X",VLOOKUP(AN$10,'VK-Põlevkivi'!$C:$X,2+$G47,0))+IF(AN$4="X",VLOOKUP(AN$10,'VK-Võrgud'!$C:$X,2+$F47,0))</f>
        <v>4.0999999999999996</v>
      </c>
      <c r="AO47" s="209">
        <f>IF(AO$7="X",VLOOKUP(AO$10,'VK-Hooned-Soojus'!$C:$X,2+$C47,FALSE),0)+IF(AO$6="X",VLOOKUP(AO$10,'VK-Transport'!$C:$X,2+$B47,0))+IF(AO$8="X",VLOOKUP(AO$10,'VK-Elekter'!$C:$X,2+$D47,0))+IF(AO$9="X",VLOOKUP(AO$10,'VK-Biokütused'!$C:$U,2+$E47,0))+IF(AO$5="X",VLOOKUP(AO$10,'VK-Põlevkivi'!$C:$X,2+$G47,0))+IF(AO$4="X",VLOOKUP(AO$10,'VK-Võrgud'!$C:$X,2+$F47,0))</f>
        <v>12.16</v>
      </c>
      <c r="AP47" s="209">
        <f>IF(AP$7="X",VLOOKUP(AP$10,'VK-Hooned-Soojus'!$C:$X,2+$C47,FALSE),0)+IF(AP$6="X",VLOOKUP(AP$10,'VK-Transport'!$C:$X,2+$B47,0))+IF(AP$8="X",VLOOKUP(AP$10,'VK-Elekter'!$C:$X,2+$D47,0))+IF(AP$9="X",VLOOKUP(AP$10,'VK-Biokütused'!$C:$U,2+$E47,0))+IF(AP$5="X",VLOOKUP(AP$10,'VK-Põlevkivi'!$C:$X,2+$G47,0))+IF(AP$4="X",VLOOKUP(AP$10,'VK-Võrgud'!$C:$X,2+$F47,0))</f>
        <v>6.08</v>
      </c>
      <c r="AQ47" s="320">
        <f t="shared" si="14"/>
        <v>0</v>
      </c>
      <c r="AR47" s="209">
        <f>IF(AR$7="X",VLOOKUP(AR$10,'VK-Hooned-Soojus'!$C:$X,2+$C47,FALSE),0)+IF(AR$6="X",VLOOKUP(AR$10,'VK-Transport'!$C:$X,2+$B47,0))+IF(AR$8="X",VLOOKUP(AR$10,'VK-Elekter'!$C:$X,2+$D47,0))+IF(AR$9="X",VLOOKUP(AR$10,'VK-Biokütused'!$C:$U,2+$E47,0))+IF(AR$5="X",VLOOKUP(AR$10,'VK-Põlevkivi'!$C:$X,2+$G47,0))+IF(AR$4="X",VLOOKUP(AR$10,'VK-Võrgud'!$C:$X,2+$F47,0))</f>
        <v>2.3899999999999997</v>
      </c>
      <c r="AS47" s="320">
        <f>VLOOKUP("Kütuste tarbimine @ 2030 - UTTEGAAS",'VK-Hooned-Soojus'!$C:$X,2+$C47,FALSE)/0.172+VLOOKUP("Kütuste tarbimine @ 2030 - UTTEGAAS",'VK-Elekter'!$C:$X,2+$D47,FALSE)/0.172-AR47-AU47</f>
        <v>2.8565116279069773</v>
      </c>
      <c r="AT47" s="209">
        <f>IF(AT$7="X",VLOOKUP(AT$10,'VK-Hooned-Soojus'!$C:$X,2+$C47,FALSE),0)+IF(AT$6="X",VLOOKUP(AT$10,'VK-Transport'!$C:$X,2+$B47,0))+IF(AT$8="X",VLOOKUP(AT$10,'VK-Elekter'!$C:$X,2+$D47,0))+IF(AT$9="X",VLOOKUP(AT$10,'VK-Biokütused'!$C:$U,2+$E47,0))+IF(AT$5="X",VLOOKUP(AT$10,'VK-Põlevkivi'!$C:$X,2+$G47,0))+IF(AT$4="X",VLOOKUP(AT$10,'VK-Võrgud'!$C:$X,2+$F47,0))</f>
        <v>12.004929222526066</v>
      </c>
      <c r="AU47" s="229">
        <f>MAX(0,(VLOOKUP("Kütuste tarbimine @ 2030 - UTTEGAAS",'VK-Hooned-Soojus'!$C:$X,2+$C47,FALSE)/0.172+VLOOKUP("Kütuste tarbimine @ 2030 - UTTEGAAS",'VK-Elekter'!$C:$X,2+$D47,FALSE)/0.172)*0.52-VLOOKUP("Kütuste tarbimine @ 2030 - PÕLEVKIVIÕLI",'VK-Hooned-Soojus'!$C:$X,2+$C47,FALSE))</f>
        <v>5.6837209302325586</v>
      </c>
      <c r="AV47" s="209">
        <f>IF(AV$7="X",VLOOKUP(AV$10,'VK-Hooned-Soojus'!$C:$X,2+$C47,FALSE),0)+IF(AV$6="X",VLOOKUP(AV$10,'VK-Transport'!$C:$X,2+$B47,0))+IF(AV$8="X",VLOOKUP(AV$10,'VK-Elekter'!$C:$X,2+$D47,0))+IF(AV$9="X",VLOOKUP(AV$10,'VK-Biokütused'!$C:$U,2+$E47,0))+IF(AV$5="X",VLOOKUP(AV$10,'VK-Põlevkivi'!$C:$X,2+$G47,0))+IF(AV$4="X",VLOOKUP(AV$10,'VK-Võrgud'!$C:$X,2+$F47,0))</f>
        <v>1.1831224847375093</v>
      </c>
      <c r="AW47" s="209">
        <f>IF(AW$7="X",VLOOKUP(AW$10,'VK-Hooned-Soojus'!$C:$X,2+$C47,FALSE),0)+IF(AW$6="X",VLOOKUP(AW$10,'VK-Transport'!$C:$X,2+$B47,0))+IF(AW$8="X",VLOOKUP(AW$10,'VK-Elekter'!$C:$X,2+$D47,0))+IF(AW$9="X",VLOOKUP(AW$10,'VK-Biokütused'!$C:$U,2+$E47,0))+IF(AW$5="X",VLOOKUP(AW$10,'VK-Põlevkivi'!$C:$X,2+$G47,0))+IF(AW$4="X",VLOOKUP(AW$10,'VK-Võrgud'!$C:$X,2+$F47,0))</f>
        <v>0</v>
      </c>
      <c r="AX47" s="229">
        <f t="shared" si="34"/>
        <v>0</v>
      </c>
      <c r="AY47" s="229">
        <f t="shared" si="15"/>
        <v>1.1831224847375093</v>
      </c>
      <c r="AZ47" s="230">
        <f t="shared" si="36"/>
        <v>0.55799924372497489</v>
      </c>
      <c r="BA47" s="209">
        <f>IF(BA$7="X",VLOOKUP(BA$10,'VK-Hooned-Soojus'!$C:$X,2+$C47,FALSE),0)+IF(BA$6="X",VLOOKUP(BA$10,'VK-Transport'!$C:$X,2+$B47,0))+IF(BA$8="X",VLOOKUP(BA$10,'VK-Elekter'!$C:$X,2+$D47,0))+IF(BA$9="X",VLOOKUP(BA$10,'VK-Biokütused'!$C:$U,2+$E47,0))+IF(BA$5="X",VLOOKUP(BA$10,'VK-Põlevkivi'!$C:$X,2+$G47,0))+IF(BA$4="X",VLOOKUP(BA$10,'VK-Võrgud'!$C:$X,2+$F47,0))</f>
        <v>4.2</v>
      </c>
      <c r="BB47" s="209">
        <f>IF(BB$7="X",VLOOKUP(BB$10,'VK-Hooned-Soojus'!$C:$X,2+$C47,FALSE),0)+IF(BB$6="X",VLOOKUP(BB$10,'VK-Transport'!$C:$X,2+$B47,0))+IF(BB$8="X",VLOOKUP(BB$10,'VK-Elekter'!$C:$X,2+$D47,0))+IF(BB$9="X",VLOOKUP(BB$10,'VK-Biokütused'!$C:$U,2+$E47,0))+IF(BB$5="X",VLOOKUP(BB$10,'VK-Põlevkivi'!$C:$X,2+$G47,0))+IF(BB$4="X",VLOOKUP(BB$10,'VK-Võrgud'!$C:$X,2+$F47,0))</f>
        <v>5.1000000000000005</v>
      </c>
      <c r="BC47" s="209">
        <f>IF(BC$7="X",VLOOKUP(BC$10,'VK-Hooned-Soojus'!$C:$X,2+$C47,FALSE),0)+IF(BC$6="X",VLOOKUP(BC$10,'VK-Transport'!$C:$X,2+$B47,0))+IF(BC$8="X",VLOOKUP(BC$10,'VK-Elekter'!$C:$X,2+$D47,0))+IF(BC$9="X",VLOOKUP(BC$10,'VK-Biokütused'!$C:$U,2+$E47,0))+IF(BC$5="X",VLOOKUP(BC$10,'VK-Põlevkivi'!$C:$X,2+$G47,0))+IF(BC$4="X",VLOOKUP(BC$10,'VK-Võrgud'!$C:$X,2+$F47,0))</f>
        <v>5.2376666666666667</v>
      </c>
      <c r="BD47" s="209">
        <f>IF(BD$7="X",VLOOKUP(BD$10,'VK-Hooned-Soojus'!$C:$X,2+$C47,FALSE),0)+IF(BD$6="X",VLOOKUP(BD$10,'VK-Transport'!$C:$X,2+$B47,0))+IF(BD$8="X",VLOOKUP(BD$10,'VK-Elekter'!$C:$X,2+$D47,0))+IF(BD$9="X",VLOOKUP(BD$10,'VK-Biokütused'!$C:$U,2+$E47,0))+IF(BD$5="X",VLOOKUP(BD$10,'VK-Põlevkivi'!$C:$X,2+$G47,0))+IF(BD$4="X",VLOOKUP(BD$10,'VK-Võrgud'!$C:$X,2+$F47,0))</f>
        <v>9.1105555555555569</v>
      </c>
      <c r="BE47" s="230"/>
      <c r="BF47" s="229">
        <f t="shared" si="16"/>
        <v>0.35228282016177531</v>
      </c>
      <c r="BG47" s="209" t="e">
        <f>(IF(BG$7="X",VLOOKUP(BG$10,'VK-Hooned-Soojus'!$C:$X,2+$C47,FALSE),0)+IF(BG$6="X",VLOOKUP(BG$10,'VK-Transport'!$C:$X,2+$B47,0))+IF(BG$8="X",VLOOKUP(BG$10,'VK-Elekter'!$C:$X,2+$D47,0))+IF(BG$9="X",VLOOKUP(BG$10,'VK-Biokütused'!$C:$U,2+$E47,0))+IF(BG$5="X",VLOOKUP(BG$10,'VK-Põlevkivi'!$C:$X,2+$G47,0))+IF(BG$4="X",VLOOKUP(BG$10,'VK-Võrgud'!$C:$X,2+$F47,0)))/20</f>
        <v>#N/A</v>
      </c>
      <c r="BH47" s="209">
        <f>(IF(BH$7="X",VLOOKUP(BH$10,'VK-Hooned-Soojus'!$C:$X,2+$C47,FALSE),0)+IF(BH$6="X",VLOOKUP(BH$10,'VK-Transport'!$C:$X,2+$B47,0))+IF(BH$8="X",VLOOKUP(BH$10,'VK-Elekter'!$C:$X,2+$D47,0))+IF(BH$9="X",VLOOKUP(BH$10,'VK-Biokütused'!$C:$U,2+$E47,0))+IF(BH$5="X",VLOOKUP(BH$10,'VK-Põlevkivi'!$C:$X,2+$G47,0))+IF(BH$4="X",VLOOKUP(BH$10,'VK-Võrgud'!$C:$X,2+$F47,0)))/20</f>
        <v>84.204999999999998</v>
      </c>
      <c r="BI47" s="209">
        <f>(IF(BI$7="X",VLOOKUP(BI$10,'VK-Hooned-Soojus'!$C:$X,2+$C47,FALSE),0)+IF(BI$6="X",VLOOKUP(BI$10,'VK-Transport'!$C:$X,2+$B47,0))+IF(BI$8="X",VLOOKUP(BI$10,'VK-Elekter'!$C:$X,2+$D47,0))+IF(BI$9="X",VLOOKUP(BI$10,'VK-Biokütused'!$C:$U,2+$E47,0))+IF(BI$5="X",VLOOKUP(BI$10,'VK-Põlevkivi'!$C:$X,2+$G47,0))+IF(BI$4="X",VLOOKUP(BI$10,'VK-Võrgud'!$C:$X,2+$F47,0)))/16</f>
        <v>8.9375</v>
      </c>
      <c r="BJ47" s="209">
        <f>(IF(BJ$7="X",VLOOKUP(BJ$10,'VK-Hooned-Soojus'!$C:$X,2+$C47,FALSE),0)+IF(BJ$6="X",VLOOKUP(BJ$10,'VK-Transport'!$C:$X,2+$B47,0))+IF(BJ$8="X",VLOOKUP(BJ$10,'VK-Elekter'!$C:$X,2+$D47,0))+IF(BJ$9="X",VLOOKUP(BJ$10,'VK-Biokütused'!$C:$U,2+$E47,0))+IF(BJ$5="X",VLOOKUP(BJ$10,'VK-Põlevkivi'!$C:$X,2+$G47,0))+IF(BJ$4="X",VLOOKUP(BJ$10,'VK-Võrgud'!$C:$X,2+$F47,0)))/20</f>
        <v>5.33</v>
      </c>
      <c r="BK47" s="209"/>
      <c r="BL47" s="209"/>
      <c r="BM47" s="209"/>
      <c r="BN47" s="209" t="e">
        <f>(IF(BN$7="X",VLOOKUP(BN$10,'VK-Hooned-Soojus'!$C:$X,2+$C47,FALSE),0)+IF(BN$6="X",VLOOKUP(BN$10,'VK-Transport'!$C:$X,2+$B47,0))+IF(BN$8="X",VLOOKUP(BN$10,'VK-Elekter'!$C:$X,2+$D47,0))+IF(BN$9="X",VLOOKUP(BN$10,'VK-Biokütused'!$C:$U,2+$E47,0))+IF(BN$5="X",VLOOKUP(BN$10,'VK-Põlevkivi'!$C:$X,2+$G47,0))+IF(BN$4="X",VLOOKUP(BN$10,'VK-Võrgud'!$C:$X,2+$F47,0)))/16</f>
        <v>#N/A</v>
      </c>
      <c r="BO47" s="209">
        <f>(IF(BO$7="X",VLOOKUP(BO$10,'VK-Hooned-Soojus'!$C:$X,2+$C47,FALSE),0)+IF(BO$6="X",VLOOKUP(BO$10,'VK-Transport'!$C:$X,2+$B47,0))+IF(BO$8="X",VLOOKUP(BO$10,'VK-Elekter'!$C:$X,2+$D47,0))+IF(BO$9="X",VLOOKUP(BO$10,'VK-Biokütused'!$C:$U,2+$E47,0))+IF(BO$5="X",VLOOKUP(BO$10,'VK-Põlevkivi'!$C:$X,2+$G47,0))+IF(BO$4="X",VLOOKUP(BO$10,'VK-Võrgud'!$C:$X,2+$F47,0)))/16</f>
        <v>496.33125000000001</v>
      </c>
      <c r="BP47" s="209"/>
      <c r="BQ47" s="209">
        <f>(IF(BQ$7="X",VLOOKUP(BQ$10,'VK-Hooned-Soojus'!$C:$X,2+$C47,FALSE),0)+IF(BQ$6="X",VLOOKUP(BQ$10,'VK-Transport'!$C:$X,2+$B47,0))+IF(BQ$8="X",VLOOKUP(BQ$10,'VK-Elekter'!$C:$X,2+$D47,0))+IF(BQ$9="X",VLOOKUP(BQ$10,'VK-Biokütused'!$C:$U,2+$E47,0))+IF(BQ$5="X",VLOOKUP(BQ$10,'VK-Põlevkivi'!$C:$X,2+$G47,0))+IF(BQ$4="X",VLOOKUP(BQ$10,'VK-Võrgud'!$C:$X,2+$F47,0)))/16</f>
        <v>4.7249999999999996</v>
      </c>
      <c r="BR47" s="209">
        <f>(IF(BR$7="X",VLOOKUP(BR$10,'VK-Hooned-Soojus'!$C:$X,2+$C47,FALSE),0)+IF(BR$6="X",VLOOKUP(BR$10,'VK-Transport'!$C:$X,2+$B47,0))+IF(BR$8="X",VLOOKUP(BR$10,'VK-Elekter'!$C:$X,2+$D47,0))+IF(BR$9="X",VLOOKUP(BR$10,'VK-Biokütused'!$C:$U,2+$E47,0))+IF(BR$5="X",VLOOKUP(BR$10,'VK-Põlevkivi'!$C:$X,2+$G47,0))+IF(BR$4="X",VLOOKUP(BR$10,'VK-Võrgud'!$C:$X,2+$F47,0)))/16</f>
        <v>-74.512500000000003</v>
      </c>
      <c r="BS47" s="209">
        <f>(IF(BS$7="X",VLOOKUP(BS$10,'VK-Hooned-Soojus'!$C:$X,2+$C47,FALSE),0)+IF(BS$6="X",VLOOKUP(BS$10,'VK-Transport'!$C:$X,2+$B47,0))+IF(BS$8="X",VLOOKUP(BS$10,'VK-Elekter'!$C:$X,2+$D47,0))+IF(BS$9="X",VLOOKUP(BS$10,'VK-Biokütused'!$C:$U,2+$E47,0))+IF(BS$5="X",VLOOKUP(BS$10,'VK-Põlevkivi'!$C:$X,2+$G47,0))+IF(BS$4="X",VLOOKUP(BS$10,'VK-Võrgud'!$C:$X,2+$F47,0)))/16</f>
        <v>-100.68125000000001</v>
      </c>
      <c r="BT47" s="209"/>
      <c r="BU47" s="209"/>
      <c r="BV47" s="209">
        <f>(IF(BV$7="X",VLOOKUP(BV$10,'VK-Hooned-Soojus'!$C:$X,2+$C47,FALSE),0)+IF(BV$6="X",VLOOKUP(BV$10,'VK-Transport'!$C:$X,2+$B47,0))+IF(BV$8="X",VLOOKUP(BV$10,'VK-Elekter'!$C:$X,2+$D47,0))+IF(BV$9="X",VLOOKUP(BV$10,'VK-Biokütused'!$C:$U,2+$E47,0))+IF(BV$5="X",VLOOKUP(BV$10,'VK-Põlevkivi'!$C:$X,2+$G47,0))+IF(BV$4="X",VLOOKUP(BV$10,'VK-Võrgud'!$C:$X,2+$F47,0)))/16</f>
        <v>0</v>
      </c>
      <c r="BW47" s="209"/>
      <c r="BX47" s="209">
        <f>(IF(BX$7="X",VLOOKUP(BX$10,'VK-Hooned-Soojus'!$C:$X,2+$C47,FALSE),0)+IF(BX$6="X",VLOOKUP(BX$10,'VK-Transport'!$C:$X,2+$B47,0))+IF(BX$8="X",VLOOKUP(BX$10,'VK-Elekter'!$C:$X,2+$D47,0))+IF(BX$9="X",VLOOKUP(BX$10,'VK-Biokütused'!$C:$U,2+$E47,0))+IF(BX$5="X",VLOOKUP(BX$10,'VK-Põlevkivi'!$C:$X,2+$G47,0))+IF(BX$4="X",VLOOKUP(BX$10,'VK-Võrgud'!$C:$X,2+$F47,0)))/16</f>
        <v>-99.4375</v>
      </c>
      <c r="BY47" s="209"/>
      <c r="BZ47" s="209"/>
      <c r="CA47" s="209" t="e">
        <f>(IF(CA$7="X",VLOOKUP(CA$10,'VK-Hooned-Soojus'!$C:$X,2+$C47,FALSE),0)+IF(CA$6="X",VLOOKUP(CA$10,'VK-Transport'!$C:$X,2+$B47,0))+IF(CA$8="X",VLOOKUP(CA$10,'VK-Elekter'!$C:$X,2+$D47,0))+IF(CA$9="X",VLOOKUP(CA$10,'VK-Biokütused'!$C:$U,2+$E47,0))+IF(CA$5="X",VLOOKUP(CA$10,'VK-Põlevkivi'!$C:$X,2+$G47,0))+IF(CA$4="X",VLOOKUP(CA$10,'VK-Võrgud'!$C:$X,2+$F47,0)))/16</f>
        <v>#N/A</v>
      </c>
      <c r="CB47" s="209">
        <f>(IF(CB$7="X",VLOOKUP(CB$10,'VK-Hooned-Soojus'!$C:$X,2+$C47,FALSE),0)+IF(CB$6="X",VLOOKUP(CB$10,'VK-Transport'!$C:$X,2+$B47,0))+IF(CB$8="X",VLOOKUP(CB$10,'VK-Elekter'!$C:$X,2+$D47,0))+IF(CB$9="X",VLOOKUP(CB$10,'VK-Biokütused'!$C:$U,2+$E47,0))+IF(CB$5="X",VLOOKUP(CB$10,'VK-Põlevkivi'!$C:$X,2+$G47,0))+IF(CB$4="X",VLOOKUP(CB$10,'VK-Võrgud'!$C:$X,2+$F47,0)))/16</f>
        <v>0</v>
      </c>
      <c r="CC47" s="209">
        <f>(IF(CC$7="X",VLOOKUP(CC$10,'VK-Hooned-Soojus'!$C:$X,2+$C47,FALSE),0)+IF(CC$6="X",VLOOKUP(CC$10,'VK-Transport'!$C:$X,2+$B47,0))+IF(CC$8="X",VLOOKUP(CC$10,'VK-Elekter'!$C:$X,2+$D47,0))+IF(CC$9="X",VLOOKUP(CC$10,'VK-Biokütused'!$C:$U,2+$E47,0))+IF(CC$5="X",VLOOKUP(CC$10,'VK-Põlevkivi'!$C:$X,2+$G47,0))+IF(CC$4="X",VLOOKUP(CC$10,'VK-Võrgud'!$C:$X,2+$F47,0)))/16</f>
        <v>0</v>
      </c>
      <c r="CD47" s="209"/>
      <c r="CE47" s="209">
        <f>(IF(CE$7="X",VLOOKUP(CE$10,'VK-Hooned-Soojus'!$C:$X,2+$C47,FALSE),0)+IF(CE$6="X",VLOOKUP(CE$10,'VK-Transport'!$C:$X,2+$B47,0))+IF(CE$8="X",VLOOKUP(CE$10,'VK-Elekter'!$C:$X,2+$D47,0))+IF(CE$9="X",VLOOKUP(CE$10,'VK-Biokütused'!$C:$U,2+$E47,0))+IF(CE$5="X",VLOOKUP(CE$10,'VK-Põlevkivi'!$C:$X,2+$G47,0))+IF(CE$4="X",VLOOKUP(CE$10,'VK-Võrgud'!$C:$X,2+$F47,0)))/16</f>
        <v>24.15625</v>
      </c>
      <c r="CF47" s="209"/>
      <c r="CG47" s="209">
        <f>(IF(CG$7="X",VLOOKUP(CG$10,'VK-Hooned-Soojus'!$C:$X,2+$C47,FALSE),0)+IF(CG$6="X",VLOOKUP(CG$10,'VK-Transport'!$C:$X,2+$B47,0))+IF(CG$8="X",VLOOKUP(CG$10,'VK-Elekter'!$C:$X,2+$D47,0))+IF(CG$9="X",VLOOKUP(CG$10,'VK-Biokütused'!$C:$U,2+$E47,0))+IF(CG$5="X",VLOOKUP(CG$10,'VK-Põlevkivi'!$C:$X,2+$G47,0))+IF(CG$4="X",VLOOKUP(CG$10,'VK-Võrgud'!$C:$X,2+$F47,0)))/16</f>
        <v>0</v>
      </c>
      <c r="CH47" s="209">
        <f>(IF(CH$7="X",VLOOKUP(CH$10,'VK-Hooned-Soojus'!$C:$X,2+$C47,FALSE),0)+IF(CH$6="X",VLOOKUP(CH$10,'VK-Transport'!$C:$X,2+$B47,0))+IF(CH$8="X",VLOOKUP(CH$10,'VK-Elekter'!$C:$X,2+$D47,0))+IF(CH$9="X",VLOOKUP(CH$10,'VK-Biokütused'!$C:$U,2+$E47,0))+IF(CH$5="X",VLOOKUP(CH$10,'VK-Põlevkivi'!$C:$X,2+$G47,0))+IF(CH$4="X",VLOOKUP(CH$10,'VK-Võrgud'!$C:$X,2+$F47,0)))/20*0.21</f>
        <v>26.9178</v>
      </c>
      <c r="CI47" s="209"/>
      <c r="CJ47" s="209">
        <f>(IF(CJ$7="X",VLOOKUP(CJ$10,'VK-Hooned-Soojus'!$C:$X,2+$C47,FALSE),0)+IF(CJ$6="X",VLOOKUP(CJ$10,'VK-Transport'!$C:$X,2+$B47,0))+IF(CJ$8="X",VLOOKUP(CJ$10,'VK-Elekter'!$C:$X,2+$D47,0))+IF(CJ$9="X",VLOOKUP(CJ$10,'VK-Biokütused'!$C:$U,2+$E47,0))+IF(CJ$5="X",VLOOKUP(CJ$10,'VK-Põlevkivi'!$C:$X,2+$G47,0))+IF(CJ$4="X",VLOOKUP(CJ$10,'VK-Võrgud'!$C:$X,2+$F47,0)))/1000</f>
        <v>18.592861099430586</v>
      </c>
      <c r="CK47" s="209">
        <f>(IF(CK$7="X",VLOOKUP(CK$10,'VK-Hooned-Soojus'!$C:$X,2+$C47,FALSE),0)+IF(CK$6="X",VLOOKUP(CK$10,'VK-Transport'!$C:$X,2+$B47,0))+IF(CK$8="X",VLOOKUP(CK$10,'VK-Elekter'!$C:$X,2+$D47,0))+IF(CK$9="X",VLOOKUP(CK$10,'VK-Biokütused'!$C:$U,2+$E47,0))+IF(CK$5="X",VLOOKUP(CK$10,'VK-Põlevkivi'!$C:$X,2+$G47,0))+IF(CK$4="X",VLOOKUP(CK$10,'VK-Võrgud'!$C:$X,2+$F47,0)))/1000</f>
        <v>11.2251245622786</v>
      </c>
      <c r="CL47" s="235">
        <f>(IF(CL$7="X",VLOOKUP(CL$10,'VK-Hooned-Soojus'!$C:$X,2+$C47,FALSE),0)+IF(CL$6="X",VLOOKUP(CL$10,'VK-Transport'!$C:$X,2+$B47,0))+IF(CL$8="X",VLOOKUP(CL$10,'VK-Elekter'!$C:$X,2+$D47,0))+IF(CL$9="X",VLOOKUP(CL$10,'VK-Biokütused'!$C:$U,2+$E47,0)))/1000</f>
        <v>8.8038856510938075</v>
      </c>
      <c r="CM47" s="209">
        <f>(IF(CM$7="X",VLOOKUP(CM$10,'VK-Hooned-Soojus'!$C:$X,2+$C47,FALSE),0)+IF(CM$6="X",VLOOKUP(CM$10,'VK-Transport'!$C:$X,2+$B47,0))+IF(CM$8="X",VLOOKUP(CM$10,'VK-Elekter'!$C:$X,2+$D47,0))+IF(CM$9="X",VLOOKUP(CM$10,'VK-Biokütused'!$C:$U,2+$E47,0))+IF(CM$5="X",VLOOKUP(CM$10,'VK-Põlevkivi'!$C:$X,2+$G47,0))+IF(CM$4="X",VLOOKUP(CM$10,'VK-Võrgud'!$C:$X,2+$F47,0)))/1000</f>
        <v>7.623315679447102</v>
      </c>
      <c r="CN47" s="209">
        <f>(IF(CN$7="X",VLOOKUP(CN$10,'VK-Hooned-Soojus'!$C:$X,2+$C47,FALSE),0)+IF(CN$6="X",VLOOKUP(CN$10,'VK-Transport'!$C:$X,2+$B47,0))+IF(CN$8="X",VLOOKUP(CN$10,'VK-Elekter'!$C:$X,2+$D47,0))+IF(CN$9="X",VLOOKUP(CN$10,'VK-Biokütused'!$C:$U,2+$E47,0))+IF(CN$5="X",VLOOKUP(CN$10,'VK-Põlevkivi'!$C:$X,2+$G47,0))+IF(CN$4="X",VLOOKUP(CN$10,'VK-Võrgud'!$C:$X,2+$F47,0)))/1000</f>
        <v>2.7559999999999998</v>
      </c>
      <c r="CO47" s="209">
        <f>(IF(CO$7="X",VLOOKUP(CO$10,'VK-Hooned-Soojus'!$C:$X,2+$C47,FALSE),0)+IF(CO$6="X",VLOOKUP(CO$10,'VK-Transport'!$C:$X,2+$B47,0))+IF(CO$8="X",VLOOKUP(CO$10,'VK-Elekter'!$C:$X,2+$D47,0))+IF(CO$9="X",VLOOKUP(CO$10,'VK-Biokütused'!$C:$U,2+$E47,0))+IF(CO$5="X",VLOOKUP(CO$10,'VK-Põlevkivi'!$C:$X,2+$G47,0))+IF(CO$4="X",VLOOKUP(CO$10,'VK-Võrgud'!$C:$X,2+$F47,0)))/1000</f>
        <v>25.123649773285454</v>
      </c>
      <c r="CP47" s="209">
        <f>(IF(CP$7="X",VLOOKUP(CP$10,'VK-Hooned-Soojus'!$C:$X,2+$C47,FALSE),0)+IF(CP$6="X",VLOOKUP(CP$10,'VK-Transport'!$C:$X,2+$B47,0))+IF(CP$8="X",VLOOKUP(CP$10,'VK-Elekter'!$C:$X,2+$D47,0))+IF(CP$9="X",VLOOKUP(CP$10,'VK-Biokütused'!$C:$U,2+$E47,0))+IF(CP$5="X",VLOOKUP(CP$10,'VK-Põlevkivi'!$C:$X,2+$G47,0))+IF(CP$4="X",VLOOKUP(CP$10,'VK-Võrgud'!$C:$X,2+$F47,0)))/1000</f>
        <v>13.407948584295612</v>
      </c>
      <c r="CQ47" s="235">
        <f>(IF(CQ$7="X",VLOOKUP(CQ$10,'VK-Hooned-Soojus'!$C:$X,2+$C47,FALSE),0)+IF(CQ$6="X",VLOOKUP(CQ$10,'VK-Transport'!$C:$X,2+$B47,0))+IF(CQ$8="X",VLOOKUP(CQ$10,'VK-Elekter'!$C:$X,2+$D47,0))+IF(CQ$9="X",VLOOKUP(CQ$10,'VK-Biokütused'!$C:$U,2+$E47,0)))/1000</f>
        <v>10.914906999999999</v>
      </c>
      <c r="CR47" s="209">
        <f>(IF(CR$7="X",VLOOKUP(CR$10,'VK-Hooned-Soojus'!$C:$X,2+$C47,FALSE),0)+IF(CR$6="X",VLOOKUP(CR$10,'VK-Transport'!$C:$X,2+$B47,0))+IF(CR$8="X",VLOOKUP(CR$10,'VK-Elekter'!$C:$X,2+$D47,0))+IF(CR$9="X",VLOOKUP(CR$10,'VK-Biokütused'!$C:$U,2+$E47,0))+IF(CR$5="X",VLOOKUP(CR$10,'VK-Põlevkivi'!$C:$X,2+$G47,0))+IF(CR$4="X",VLOOKUP(CR$10,'VK-Võrgud'!$C:$X,2+$F47,0)))/1000</f>
        <v>7.7327533562748041</v>
      </c>
      <c r="CS47" s="209">
        <f>(IF(CS$7="X",VLOOKUP(CS$10,'VK-Hooned-Soojus'!$C:$X,2+$C47,FALSE),0)+IF(CS$6="X",VLOOKUP(CS$10,'VK-Transport'!$C:$X,2+$B47,0))+IF(CS$8="X",VLOOKUP(CS$10,'VK-Elekter'!$C:$X,2+$D47,0))+IF(CS$9="X",VLOOKUP(CS$10,'VK-Biokütused'!$C:$U,2+$E47,0))+IF(CS$5="X",VLOOKUP(CS$10,'VK-Põlevkivi'!$C:$X,2+$G47,0))+IF(CS$4="X",VLOOKUP(CS$10,'VK-Võrgud'!$C:$X,2+$F47,0)))/1000</f>
        <v>3.9161524051216152</v>
      </c>
      <c r="CT47" s="209">
        <f>IF(CT$7="X",VLOOKUP(CT$10,'VK-Hooned-Soojus'!$C:$X,2+$C47,FALSE),0)+IF(CT$6="X",VLOOKUP(CT$10,'VK-Transport'!$C:$X,2+$B47,0))+IF(CT$8="X",VLOOKUP(CT$10,'VK-Elekter'!$C:$X,2+$D47,0))+IF(CT$9="X",VLOOKUP(CT$10,'VK-Biokütused'!$C:$U,2+$E47,0))+IF(CT$5="X",VLOOKUP(CT$10,'VK-Põlevkivi'!$C:$X,2+$G47,0))+IF(CT$4="X",VLOOKUP(CT$10,'VK-Võrgud'!$C:$X,2+$F47,0))</f>
        <v>90</v>
      </c>
      <c r="CU47" s="209">
        <f>IF(CU$7="X",VLOOKUP(CU$10,'VK-Hooned-Soojus'!$C:$X,2+$C47,FALSE),0)+IF(CU$6="X",VLOOKUP(CU$10,'VK-Transport'!$C:$X,2+$B47,0))+IF(CU$8="X",VLOOKUP(CU$10,'VK-Elekter'!$C:$X,2+$D47,0))+IF(CU$9="X",VLOOKUP(CU$10,'VK-Biokütused'!$C:$U,2+$E47,0))+IF(CU$5="X",VLOOKUP(CU$10,'VK-Põlevkivi'!$C:$X,2+$G47,0))+IF(CU$4="X",VLOOKUP(CU$10,'VK-Võrgud'!$C:$X,2+$F47,0))</f>
        <v>0.9337349397590361</v>
      </c>
      <c r="CV47" s="209">
        <f t="shared" si="37"/>
        <v>1</v>
      </c>
      <c r="CW47" s="209">
        <f>(IF(CW$7="X",VLOOKUP(CW$10,'VK-Hooned-Soojus'!$C:$X,2+$C47,FALSE),0)+IF(CW$6="X",VLOOKUP(CW$10,'VK-Transport'!$C:$X,2+$B47,0))+IF(CW$8="X",VLOOKUP(CW$10,'VK-Elekter'!$C:$X,2+$D47,0))+IF(CW$9="X",VLOOKUP(CW$10,'VK-Biokütused'!$C:$U,2+$E47,0))+IF(CW$5="X",VLOOKUP(CW$10,'VK-Põlevkivi'!$C:$X,2+$G47,0))+IF(CW$4="X",VLOOKUP(CW$10,'VK-Võrgud'!$C:$X,2+$F47,0)))/16</f>
        <v>0</v>
      </c>
      <c r="CY47" s="209">
        <f>(IF(CY$7="X",VLOOKUP(CY$10,'VK-Hooned-Soojus'!$C:$X,2+$C47,FALSE),0)+IF(CY$6="X",VLOOKUP(CY$10,'VK-Transport'!$C:$X,2+$B47,0))+IF(CY$8="X",VLOOKUP(CY$10,'VK-Elekter'!$C:$X,2+$D47,0))+IF(CY$9="X",VLOOKUP(CY$10,'VK-Biokütused'!$C:$U,2+$E47,0))+IF(CY$5="X",VLOOKUP(CY$10,'VK-Põlevkivi'!$C:$X,2+$G47,0))+IF(CY$4="X",VLOOKUP(CY$10,'VK-Võrgud'!$C:$X,2+$F47,0)))/1000</f>
        <v>10.805</v>
      </c>
      <c r="CZ47" s="209">
        <f>(IF(CZ$7="X",VLOOKUP(CZ$10,'VK-Hooned-Soojus'!$C:$X,2+$C47,FALSE),0)+IF(CZ$6="X",VLOOKUP(CZ$10,'VK-Transport'!$C:$X,2+$B47,0))+IF(CZ$8="X",VLOOKUP(CZ$10,'VK-Elekter'!$C:$X,2+$D47,0))+IF(CZ$9="X",VLOOKUP(CZ$10,'VK-Biokütused'!$C:$U,2+$E47,0))+IF(CZ$5="X",VLOOKUP(CZ$10,'VK-Põlevkivi'!$C:$X,2+$G47,0))+IF(CZ$4="X",VLOOKUP(CZ$10,'VK-Võrgud'!$C:$X,2+$F47,0)))</f>
        <v>76</v>
      </c>
      <c r="DA47" s="209">
        <f>(IF(DA$7="X",VLOOKUP(DA$10,'VK-Hooned-Soojus'!$C:$X,2+$C47,FALSE),0)+IF(DA$6="X",VLOOKUP(DA$10,'VK-Transport'!$C:$X,2+$B47,0))+IF(DA$8="X",VLOOKUP(DA$10,'VK-Elekter'!$C:$X,2+$D47,0))+IF(DA$9="X",VLOOKUP(DA$10,'VK-Biokütused'!$C:$U,2+$E47,0))+IF(DA$5="X",VLOOKUP(DA$10,'VK-Põlevkivi'!$C:$X,2+$G47,0))+IF(DA$4="X",VLOOKUP(DA$10,'VK-Võrgud'!$C:$X,2+$F47,0)))/1000</f>
        <v>14.298999999999999</v>
      </c>
      <c r="DB47" s="209">
        <f>(IF(DB$7="X",VLOOKUP(DB$10,'VK-Hooned-Soojus'!$C:$X,2+$C47,FALSE),0)+IF(DB$6="X",VLOOKUP(DB$10,'VK-Transport'!$C:$X,2+$B47,0))+IF(DB$8="X",VLOOKUP(DB$10,'VK-Elekter'!$C:$X,2+$D47,0))+IF(DB$9="X",VLOOKUP(DB$10,'VK-Biokütused'!$C:$U,2+$E47,0))+IF(DB$5="X",VLOOKUP(DB$10,'VK-Põlevkivi'!$C:$X,2+$G47,0))+IF(DB$4="X",VLOOKUP(DB$10,'VK-Võrgud'!$C:$X,2+$F47,0)))/1000/3.6</f>
        <v>63.842222222222219</v>
      </c>
      <c r="DC47" s="209">
        <f>(IF(DC$7="X",VLOOKUP(DC$10,'VK-Hooned-Soojus'!$C:$X,2+$C47,FALSE),0)+IF(DC$6="X",VLOOKUP(DC$10,'VK-Transport'!$C:$X,2+$B47,0))+IF(DC$8="X",VLOOKUP(DC$10,'VK-Elekter'!$C:$X,2+$D47,0))+IF(DC$9="X",VLOOKUP(DC$10,'VK-Biokütused'!$C:$U,2+$E47,0))+IF(DC$5="X",VLOOKUP(DC$10,'VK-Põlevkivi'!$C:$X,2+$G47,0))+IF(DC$4="X",VLOOKUP(DC$10,'VK-Võrgud'!$C:$X,2+$F47,0)))/1000000</f>
        <v>5.1656829999999996</v>
      </c>
      <c r="DD47" s="209"/>
      <c r="DE47" s="88">
        <f>VLOOKUP(Tulemused!$BN$12,data!M$7:N$12,2,FALSE)-SUM(L47,M47)</f>
        <v>-2.20664444444445</v>
      </c>
      <c r="DF47" s="209" t="str">
        <f>IF(AZ47&lt;=VLOOKUP(Tulemused!$BN$15,data!$E$36:$F$39,2,FALSE),"JAH","EI")</f>
        <v>JAH</v>
      </c>
      <c r="DG47" s="209"/>
      <c r="DH47" s="209">
        <f t="shared" si="38"/>
        <v>6.08</v>
      </c>
      <c r="DI47" s="231" t="str">
        <f t="shared" si="17"/>
        <v>EI</v>
      </c>
      <c r="DK47" s="232">
        <f t="shared" si="39"/>
        <v>-998.06265326642028</v>
      </c>
      <c r="DM47" s="233">
        <f t="shared" si="40"/>
        <v>-992.83012834306533</v>
      </c>
      <c r="DN47" s="87">
        <f t="array" ref="DN47">INDEX($A$11:$A$145, SMALL(IF(DM47=$DK$11:$DK$145, MATCH(ROW($DK$11:$DK$145), ROW($DK$11:$DK$145))), SUM(--(DM47=$DM$11:DM47))))</f>
        <v>108</v>
      </c>
      <c r="DP47" s="87" t="e">
        <f t="shared" ca="1" si="18"/>
        <v>#N/A</v>
      </c>
      <c r="DQ47" s="87" t="e">
        <f t="shared" ca="1" si="19"/>
        <v>#N/A</v>
      </c>
      <c r="DR47" s="87">
        <f t="shared" ca="1" si="20"/>
        <v>0</v>
      </c>
      <c r="DS47" s="87" t="e">
        <f t="shared" ca="1" si="21"/>
        <v>#N/A</v>
      </c>
      <c r="DT47" s="87">
        <f t="shared" ca="1" si="22"/>
        <v>0</v>
      </c>
      <c r="DU47" s="87" t="e">
        <f t="shared" ca="1" si="23"/>
        <v>#N/A</v>
      </c>
      <c r="DV47" s="87" t="e">
        <f t="shared" ca="1" si="24"/>
        <v>#N/A</v>
      </c>
      <c r="DW47" s="87">
        <f t="shared" ca="1" si="25"/>
        <v>0</v>
      </c>
      <c r="DX47" s="87">
        <f t="shared" ca="1" si="26"/>
        <v>0</v>
      </c>
      <c r="DZ47" s="87">
        <f t="shared" ca="1" si="35"/>
        <v>0</v>
      </c>
      <c r="EB47" s="87">
        <f t="shared" ca="1" si="27"/>
        <v>0</v>
      </c>
      <c r="EC47" s="87" t="e">
        <f t="shared" ca="1" si="28"/>
        <v>#N/A</v>
      </c>
      <c r="EE47" s="228">
        <f>(IF(EE$7="X",VLOOKUP(EE$10,'VK-Hooned-Soojus'!$C:$X,2+$C47,FALSE),0)+IF(EE$6="X",VLOOKUP(EE$10,'VK-Transport'!$C:$X,2+$B47,0))+IF(EE$8="X",VLOOKUP(EE$10,'VK-Elekter'!$C:$X,2+$D47,0))+IF(EE$9="X",VLOOKUP(EE$10,'VK-Biokütused'!$C:$U,2+$E47,0))+IF(EE$5="X",VLOOKUP(EE$10,'VK-Põlevkivi'!$C:$X,2+$G47,0))+IF(EE$4="X",VLOOKUP(EE$10,'VK-Võrgud'!$C:$X,2+$F47,0)))</f>
        <v>6876.5872915261825</v>
      </c>
      <c r="EF47" s="235">
        <f>(IF(EF$7="X",VLOOKUP(EF$10,'VK-Hooned-Soojus'!$C:$X,2+$C47,FALSE),0)+IF(EF$6="X",VLOOKUP(EF$10,'VK-Transport'!$C:$X,2+$B47,0))+IF(EF$8="X",VLOOKUP(EF$10,'VK-Elekter'!$C:$X,2+$D47,0))+IF(EF$9="X",VLOOKUP(EF$10,'VK-Biokütused'!$C:$U,2+$E47,0)))/1000</f>
        <v>4.7076368215830611</v>
      </c>
      <c r="EG47" s="209">
        <f>(IF(EG$7="X",VLOOKUP(EG$10,'VK-Hooned-Soojus'!$C:$X,2+$C47,FALSE),0)+IF(EG$6="X",VLOOKUP(EG$10,'VK-Transport'!$C:$X,2+$B47,0))+IF(EG$8="X",VLOOKUP(EG$10,'VK-Elekter'!$C:$X,2+$D47,0))+IF(EG$9="X",VLOOKUP(EG$10,'VK-Biokütused'!$C:$U,2+$E47,0))+IF(EG$5="X",VLOOKUP(EG$10,'VK-Põlevkivi'!$C:$X,2+$G47,0))+IF(EG$4="X",VLOOKUP(EG$10,'VK-Võrgud'!$C:$X,2+$F47,0)))</f>
        <v>2.95</v>
      </c>
      <c r="EH47" s="209">
        <f>(IF(EH$7="X",VLOOKUP(EH$10,'VK-Hooned-Soojus'!$C:$X,2+$C47,FALSE),0)+IF(EH$6="X",VLOOKUP(EH$10,'VK-Transport'!$C:$X,2+$B47,0))+IF(EH$8="X",VLOOKUP(EH$10,'VK-Elekter'!$C:$X,2+$D47,0))+IF(EH$9="X",VLOOKUP(EH$10,'VK-Biokütused'!$C:$U,2+$E47,0)))+AR47+AS47+AU47+AX47</f>
        <v>54.31828811369509</v>
      </c>
      <c r="EI47" s="320">
        <f t="shared" si="41"/>
        <v>48.634567183462529</v>
      </c>
      <c r="EJ47" s="322">
        <f t="shared" si="42"/>
        <v>8.0193915230047791E-2</v>
      </c>
      <c r="EK47" s="323">
        <f t="shared" si="29"/>
        <v>0.41846756333624086</v>
      </c>
      <c r="EM47" s="209"/>
      <c r="EN47" s="209">
        <f t="shared" ca="1" si="43"/>
        <v>0</v>
      </c>
      <c r="EO47" s="209"/>
      <c r="EP47" s="234"/>
      <c r="EQ47" s="209">
        <f>(IF(EQ$7="X",VLOOKUP(EQ$10,'VK-Hooned-Soojus'!$C:$X,2+$C47,FALSE),0)+IF(EQ$6="X",VLOOKUP(EQ$10,'VK-Transport'!$C:$X,2+$B47,0))+IF(EQ$8="X",VLOOKUP(EQ$10,'VK-Elekter'!$C:$X,2+$D47,0))+IF(EQ$9="X",VLOOKUP(EQ$10,'VK-Biokütused'!$C:$U,2+$E47,0))+IF(EQ$5="X",VLOOKUP(EQ$10,'VK-Põlevkivi'!$C:$X,2+$G47,0))+IF(EQ$4="X",VLOOKUP(EQ$10,'VK-Võrgud'!$C:$X,2+$F47,0)))/1000</f>
        <v>0.19900000000000001</v>
      </c>
      <c r="ER47" s="209">
        <f>(IF(ER$7="X",VLOOKUP(ER$10,'VK-Hooned-Soojus'!$C:$X,2+$C47,FALSE),0)+IF(ER$6="X",VLOOKUP(ER$10,'VK-Transport'!$C:$X,2+$B47,0))+IF(ER$8="X",VLOOKUP(ER$10,'VK-Elekter'!$C:$X,2+$D47,0))+IF(ER$9="X",VLOOKUP(ER$10,'VK-Biokütused'!$C:$U,2+$E47,0))+IF(ER$5="X",VLOOKUP(ER$10,'VK-Põlevkivi'!$C:$X,2+$G47,0))+IF(ER$4="X",VLOOKUP(ER$10,'VK-Võrgud'!$C:$X,2+$F47,0)))</f>
        <v>0.72299999999999998</v>
      </c>
      <c r="ES47" s="209">
        <f>(IF(ES$7="X",VLOOKUP(ES$10,'VK-Hooned-Soojus'!$C:$X,2+$C47,FALSE),0)+IF(ES$6="X",VLOOKUP(ES$10,'VK-Transport'!$C:$X,2+$B47,0))+IF(ES$8="X",VLOOKUP(ES$10,'VK-Elekter'!$C:$X,2+$D47,0))+IF(ES$9="X",VLOOKUP(ES$10,'VK-Biokütused'!$C:$U,2+$E47,0))+IF(ES$5="X",VLOOKUP(ES$10,'VK-Põlevkivi'!$C:$X,2+$G47,0))+IF(ES$4="X",VLOOKUP(ES$10,'VK-Võrgud'!$C:$X,2+$F47,0)))</f>
        <v>6.08</v>
      </c>
      <c r="ET47" s="209"/>
      <c r="EU47" s="209"/>
      <c r="EV47" s="87">
        <f>'KSH järjestus'!AS40</f>
        <v>1485</v>
      </c>
      <c r="EX47" s="236"/>
      <c r="EY47" s="236"/>
      <c r="EZ47" s="237">
        <f t="shared" si="44"/>
        <v>6.6265060240963902E-2</v>
      </c>
      <c r="FA47" s="209">
        <f>IF(FA$7="X",VLOOKUP(FA$10,'VK-Hooned-Soojus'!$C:$X,2+$C47,FALSE),0)+IF(FA$6="X",VLOOKUP(FA$10,'VK-Transport'!$C:$X,2+$B47,0))+IF(FA$8="X",VLOOKUP(FA$10,'VK-Elekter'!$C:$X,2+$D47,0))+IF(FA$9="X",VLOOKUP(FA$10,'VK-Biokütused'!$C:$U,2+$E47,0))+IF(FA$5="X",VLOOKUP(FA$10,'VK-Põlevkivi'!$C:$X,2+$G47,0))+IF(FA$4="X",VLOOKUP(FA$10,'VK-Võrgud'!$C:$X,2+$F47,0))</f>
        <v>3367.9070000000002</v>
      </c>
      <c r="FB47" s="279">
        <f>(IF(FB$7="X",VLOOKUP(FB$10,'VK-Hooned-Soojus'!$C:$X,2+$C47,FALSE),0)+IF(FB$6="X",VLOOKUP(FB$10,'VK-Transport'!$C:$X,2+$B47,0))+IF(FB$8="X",VLOOKUP(FB$10,'VK-Elekter'!$C:$X,2+$D47,0))+IF(FB$9="X",VLOOKUP(FB$10,'VK-Biokütused'!$C:$U,2+$E47,0))+IF(FB$5="X",VLOOKUP(FB$10,'VK-Põlevkivi'!$C:$X,2+$G47,0))+IF(FB$4="X",VLOOKUP(FB$10,'VK-Võrgud'!$C:$X,2+$F47,0)))/16</f>
        <v>201.9108993150052</v>
      </c>
      <c r="FC47" s="209">
        <f>IF(FC$7="X",VLOOKUP(FC$10,'VK-Hooned-Soojus'!$C:$X,2+$C47,FALSE),0)+IF(FC$6="X",VLOOKUP(FC$10,'VK-Transport'!$C:$X,2+$B47,0))+IF(FC$8="X",VLOOKUP(FC$10,'VK-Elekter'!$C:$X,2+$D47,0))+IF(FC$9="X",VLOOKUP(FC$10,'VK-Biokütused'!$C:$U,2+$E47,0))+IF(FC$5="X",VLOOKUP(FC$10,'VK-Põlevkivi'!$C:$X,2+$G47,0))+IF(FC$4="X",VLOOKUP(FC$10,'VK-Võrgud'!$C:$X,2+$F47,0))</f>
        <v>309.09999999999997</v>
      </c>
      <c r="FD47" s="209">
        <f>(IF(FD$7="X",VLOOKUP(FD$10,'VK-Hooned-Soojus'!$C:$X,2+$C47,FALSE),0)+IF(FD$6="X",VLOOKUP(FD$10,'VK-Transport'!$C:$X,2+$B47,0))+IF(FD$8="X",VLOOKUP(FD$10,'VK-Elekter'!$C:$X,2+$D47,0))+IF(FD$9="X",VLOOKUP(FD$10,'VK-Biokütused'!$C:$U,2+$E47,0))+IF(FD$5="X",VLOOKUP(FD$10,'VK-Põlevkivi'!$C:$X,2+$G47,0))+IF(FD$4="X",VLOOKUP(FD$10,'VK-Võrgud'!$C:$X,2+$F47,0)))/16</f>
        <v>201.9108993150052</v>
      </c>
      <c r="FE47" s="209">
        <f>(IF(FE$7="X",VLOOKUP(FE$10,'VK-Hooned-Soojus'!$C:$X,2+$C47,FALSE),0)+IF(FE$6="X",VLOOKUP(FE$10,'VK-Transport'!$C:$X,2+$B47,0))+IF(FE$8="X",VLOOKUP(FE$10,'VK-Elekter'!$C:$X,2+$D47,0))+IF(FE$9="X",VLOOKUP(FE$10,'VK-Biokütused'!$C:$U,2+$E47,0))+IF(FE$5="X",VLOOKUP(FE$10,'VK-Põlevkivi'!$C:$X,2+$G47,0))+IF(FE$4="X",VLOOKUP(FE$10,'VK-Võrgud'!$C:$X,2+$F47,0)))/16</f>
        <v>-122.42</v>
      </c>
      <c r="FF47" s="209">
        <f>(IF(FF$7="X",VLOOKUP(FF$10,'VK-Hooned-Soojus'!$C:$X,2+$C47,FALSE),0)+IF(FF$6="X",VLOOKUP(FF$10,'VK-Transport'!$C:$X,2+$B47,0))+IF(FF$8="X",VLOOKUP(FF$10,'VK-Elekter'!$C:$X,2+$D47,0))+IF(FF$9="X",VLOOKUP(FF$10,'VK-Biokütused'!$C:$U,2+$E47,0))+IF(FF$5="X",VLOOKUP(FF$10,'VK-Põlevkivi'!$C:$X,2+$G47,0))+IF(FF$4="X",VLOOKUP(FF$10,'VK-Võrgud'!$C:$X,2+$F47,0)))/16</f>
        <v>83.477732736334133</v>
      </c>
      <c r="FG47" s="88">
        <f t="shared" ca="1" si="30"/>
        <v>-38.942267263665869</v>
      </c>
      <c r="FH47" s="88"/>
      <c r="FI47" s="88"/>
      <c r="FJ47" s="88">
        <f>VLOOKUP(Tulemused!$BN$12,data!M$7:N$12,2,FALSE)-SUM(L47,M47)</f>
        <v>-2.20664444444445</v>
      </c>
      <c r="FK47" s="209" t="str">
        <f>IF(AZ47&lt;=VLOOKUP(Tulemused!$BN$15,data!$E$36:$F$39,2,FALSE),"JAH","EI")</f>
        <v>JAH</v>
      </c>
      <c r="FL47" s="235">
        <f ca="1">IF(ISNA(MATCH($A47,INDIRECT(VLOOKUP(Tulemused!$BF$11,data!$J$57:$M$71,4,FALSE)))),0,MATCH($A47,INDIRECT(VLOOKUP(Tulemused!$BF$11,data!$J$57:$M$71,4,FALSE))))</f>
        <v>0</v>
      </c>
      <c r="FM47" s="235" t="str">
        <f t="shared" ca="1" si="45"/>
        <v>JAH</v>
      </c>
      <c r="FN47" s="209">
        <f>VLOOKUP(Tulemused!$BN$13,data!$C$132:$D$137,2,FALSE)-KOMBI!R47</f>
        <v>3.2483331784169405</v>
      </c>
      <c r="FO47" s="209"/>
      <c r="FP47" s="209">
        <f>VLOOKUP(Tulemused!$BN$17,NO_x,2,FALSE)-CJ47</f>
        <v>10.845138900569413</v>
      </c>
      <c r="FQ47" s="209">
        <f>VLOOKUP(Tulemused!$BN$18,SO_2,2,FALSE)-CK47</f>
        <v>40.658875437721399</v>
      </c>
      <c r="FR47" s="209">
        <f>VLOOKUP(Tulemused!$BN$19,LOU,2,FALSE)-CN47</f>
        <v>34.324000000000005</v>
      </c>
      <c r="FS47" s="209">
        <f>VLOOKUP(Tulemused!$BN$20,PM_2.5,2,FALSE)-CM47</f>
        <v>9.2916843205528963</v>
      </c>
      <c r="FT47" s="209">
        <f>VLOOKUP(Tulemused!$BN$13,data!$C$132:$D$137,2,FALSE)-FA47/1000</f>
        <v>2.8780630000000005</v>
      </c>
      <c r="FU47" s="209">
        <f>VLOOKUP(Tulemused!$BN$17,NO_x,2,FALSE)-CO47</f>
        <v>4.314350226714545</v>
      </c>
      <c r="FV47" s="209">
        <f>VLOOKUP(Tulemused!$BN$18,SO_2,2,FALSE)-CP47</f>
        <v>38.47605141570439</v>
      </c>
      <c r="FW47" s="209">
        <f>VLOOKUP(Tulemused!$BN$19,LOU,2,FALSE)-CS47</f>
        <v>33.163847594878391</v>
      </c>
      <c r="FX47" s="209">
        <f>VLOOKUP(Tulemused!$BN$20,PM_2.5,2,FALSE)-CR47</f>
        <v>9.1822466437251951</v>
      </c>
      <c r="FY47" s="209">
        <f>VLOOKUP(Tulemused!$BN$14,KHG_2050,2,FALSE)-EF47</f>
        <v>95.292363178416934</v>
      </c>
      <c r="FZ47" s="231" t="str">
        <f t="shared" ca="1" si="31"/>
        <v>EI</v>
      </c>
      <c r="GA47" s="209"/>
      <c r="GB47" s="209"/>
      <c r="GC47" s="209"/>
      <c r="GD47" s="231"/>
      <c r="GE47" s="87">
        <f t="shared" si="46"/>
        <v>1485</v>
      </c>
      <c r="GF47" s="232" t="str">
        <f t="shared" ca="1" si="32"/>
        <v/>
      </c>
      <c r="GH47" s="238" t="e">
        <f t="shared" ca="1" si="47"/>
        <v>#NUM!</v>
      </c>
      <c r="GI47" s="87" t="e">
        <f t="array" aca="1" ref="GI47" ca="1">INDEX($A$11:$A$145, SMALL(IF(GH47=$GF$11:$GF$145, MATCH(ROW($GF$11:$GF$145), ROW($GF$11:$GF$145))), SUM(--(GH47=$GH$11:GH47))))</f>
        <v>#NUM!</v>
      </c>
      <c r="GM47" s="209">
        <f>IF(GM$7="X",VLOOKUP(GM$10,'VK-Hooned-Soojus'!$C:$X,2+$C47,FALSE),0)+IF(GM$6="X",VLOOKUP(GM$10,'VK-Transport'!$C:$X,2+$B47,0))+IF(GM$8="X",VLOOKUP(GM$10,'VK-Elekter'!$C:$X,2+$D47,0))+IF(GM$9="X",VLOOKUP(GM$10,'VK-Biokütused'!$C:$U,2+$E47,0))+IF(GM$5="X",VLOOKUP(GM$10,'VK-Põlevkivi'!$C:$X,2+$G47,0))+IF(GM$4="X",VLOOKUP(GM$10,'VK-Võrgud'!$C:$X,2+$F47,0))</f>
        <v>6.011750640646909</v>
      </c>
      <c r="GN47" s="209">
        <f>IF(GN$7="X",VLOOKUP(GN$10,'VK-Hooned-Soojus'!$C:$X,2+$C47,FALSE),0)+IF(GN$6="X",VLOOKUP(GN$10,'VK-Transport'!$C:$X,2+$B47,0))+IF(GN$8="X",VLOOKUP(GN$10,'VK-Elekter'!$C:$X,2+$D47,0))+IF(GN$9="X",VLOOKUP(GN$10,'VK-Biokütused'!$C:$U,2+$E47,0))+IF(GN$5="X",VLOOKUP(GN$10,'VK-Põlevkivi'!$C:$X,2+$G47,0))+IF(GN$4="X",VLOOKUP(GN$10,'VK-Võrgud'!$C:$X,2+$F47,0))</f>
        <v>3.4528686473995491</v>
      </c>
      <c r="GO47" s="209">
        <f>IF(GO$7="X",VLOOKUP(GO$10,'VK-Hooned-Soojus'!$C:$X,2+$C47,FALSE),0)+IF(GO$6="X",VLOOKUP(GO$10,'VK-Transport'!$C:$X,2+$B47,0))+IF(GO$8="X",VLOOKUP(GO$10,'VK-Elekter'!$C:$X,2+$D47,0))+IF(GO$9="X",VLOOKUP(GO$10,'VK-Biokütused'!$C:$U,2+$E47,0))+IF(GO$5="X",VLOOKUP(GO$10,'VK-Põlevkivi'!$C:$X,2+$G47,0))+IF(GO$4="X",VLOOKUP(GO$10,'VK-Võrgud'!$C:$X,2+$F47,0))</f>
        <v>7.5763700102722566</v>
      </c>
      <c r="GP47" s="209">
        <f>IF(GP$7="X",VLOOKUP(GP$10,'VK-Hooned-Soojus'!$C:$X,2+$C47,FALSE),0)+IF(GP$6="X",VLOOKUP(GP$10,'VK-Transport'!$C:$X,2+$B47,0))+IF(GP$8="X",VLOOKUP(GP$10,'VK-Elekter'!$C:$X,2+$D47,0))+IF(GP$9="X",VLOOKUP(GP$10,'VK-Biokütused'!$C:$U,2+$E47,0))+IF(GP$5="X",VLOOKUP(GP$10,'VK-Põlevkivi'!$C:$X,2+$G47,0))+IF(GP$4="X",VLOOKUP(GP$10,'VK-Võrgud'!$C:$X,2+$F47,0))</f>
        <v>8.9326558040707589</v>
      </c>
      <c r="GQ47" s="88">
        <f>IF(GQ$7="X",VLOOKUP(GQ$10,'VK-Hooned-Soojus'!$C:$X,2+$C47,FALSE),0)+IF(GQ$6="X",VLOOKUP(GQ$10,'VK-Transport'!$C:$X,2+$B47,0))+IF(GQ$8="X",VLOOKUP(GQ$10,'VK-Elekter'!$C:$X,2+$D47,0))+IF(GQ$9="X",VLOOKUP(GQ$10,'VK-Biokütused'!$C:$U,2+$E47,0))+IF(GQ$5="X",VLOOKUP(GQ$10,'VK-Põlevkivi'!$C:$X,2+$G47,0))+IF(GQ$4="X",VLOOKUP(GQ$10,'VK-Võrgud'!$C:$X,2+$F47,0))</f>
        <v>0.9682855968523334</v>
      </c>
      <c r="GR47" s="186">
        <f t="shared" si="33"/>
        <v>0.38110792736726479</v>
      </c>
    </row>
    <row r="48" spans="1:200" x14ac:dyDescent="0.2">
      <c r="A48" s="184">
        <v>38</v>
      </c>
      <c r="B48" s="87">
        <v>1</v>
      </c>
      <c r="C48" s="87">
        <v>3</v>
      </c>
      <c r="D48" s="87">
        <v>3</v>
      </c>
      <c r="E48" s="87">
        <v>2</v>
      </c>
      <c r="F48" s="87">
        <f>VLOOKUP(Tulemused!$BF$7,data!$J$6:$K$8,2,FALSE)</f>
        <v>2</v>
      </c>
      <c r="G48" s="87">
        <f>VLOOKUP(data!$H$2,data!$J$12:$K$14,2,FALSE)</f>
        <v>2</v>
      </c>
      <c r="I48" s="209">
        <f>IF(I$7="X",VLOOKUP(I$10,'VK-Hooned-Soojus'!$C:$X,2+$C48,FALSE),0)+IF(I$6="X",VLOOKUP(I$10,'VK-Transport'!$C:$X,2+$B48,0))+IF(I$8="X",VLOOKUP(I$10,'VK-Elekter'!$C:$X,2+$D48,0))+IF(I$9="X",VLOOKUP(I$10,'VK-Biokütused'!$C:$U,2+$E48,0))+IF(I$5="X",VLOOKUP(I$10,'VK-Põlevkivi'!$C:$X,2+$G48,0))+IF(I$4="X",VLOOKUP(I$10,'VK-Võrgud'!$C:$X,2+$F48,0))</f>
        <v>23.490000000000002</v>
      </c>
      <c r="J48" s="209">
        <f>IF(J$7="X",VLOOKUP(J$10,'VK-Hooned-Soojus'!$C:$X,2+$C48,FALSE),0)+IF(J$6="X",VLOOKUP(J$10,'VK-Transport'!$C:$X,2+$B48,0))+IF(J$8="X",VLOOKUP(J$10,'VK-Elekter'!$C:$X,2+$D48,0))+IF(J$9="X",VLOOKUP(J$10,'VK-Biokütused'!$C:$U,2+$E48,0))+IF(J$5="X",VLOOKUP(J$10,'VK-Põlevkivi'!$C:$X,2+$G48,0))+IF(J$4="X",VLOOKUP(J$10,'VK-Võrgud'!$C:$X,2+$F48,0))</f>
        <v>13.295833333333334</v>
      </c>
      <c r="K48" s="209">
        <f>IF(K$7="X",VLOOKUP(K$10,'VK-Hooned-Soojus'!$C:$X,2+$C48,FALSE),0)+IF(K$6="X",VLOOKUP(K$10,'VK-Transport'!$C:$X,2+$B48,0))+IF(K$8="X",VLOOKUP(K$10,'VK-Elekter'!$C:$X,2+$D48,0))+IF(K$9="X",VLOOKUP(K$10,'VK-Biokütused'!$C:$U,2+$E48,0))+IF(K$5="X",VLOOKUP(K$10,'VK-Põlevkivi'!$C:$X,2+$G48,0))+IF(K$4="X",VLOOKUP(K$10,'VK-Võrgud'!$C:$X,2+$F48,0))</f>
        <v>13.780000000000001</v>
      </c>
      <c r="L48" s="209">
        <f>IF(L$7="X",VLOOKUP(L$10,'VK-Hooned-Soojus'!$C:$X,2+$C48,FALSE),0)+IF(L$6="X",VLOOKUP(L$10,'VK-Transport'!$C:$X,2+$B48,0))+IF(L$8="X",VLOOKUP(L$10,'VK-Elekter'!$C:$X,2+$D48,0))+IF(L$9="X",VLOOKUP(L$10,'VK-Biokütused'!$C:$U,2+$E48,0))+IF(L$5="X",VLOOKUP(L$10,'VK-Põlevkivi'!$C:$X,2+$G48,0))+IF(L$4="X",VLOOKUP(L$10,'VK-Võrgud'!$C:$X,2+$F48,0))</f>
        <v>23.75</v>
      </c>
      <c r="M48" s="209">
        <f>IF(M$7="X",VLOOKUP(M$10,'VK-Hooned-Soojus'!$C:$X,2+$C48,FALSE),0)+IF(M$6="X",VLOOKUP(M$10,'VK-Transport'!$C:$X,2+$B48,0))+IF(M$8="X",VLOOKUP(M$10,'VK-Elekter'!$C:$X,2+$D48,0))+IF(M$9="X",VLOOKUP(M$10,'VK-Biokütused'!$C:$U,2+$E48,0))+IF(M$5="X",VLOOKUP(M$10,'VK-Põlevkivi'!$C:$X,2+$G48,0))+IF(M$4="X",VLOOKUP(M$10,'VK-Võrgud'!$C:$X,2+$F48,0))</f>
        <v>11.289444444444445</v>
      </c>
      <c r="N48" s="209">
        <f>IF(N$7="X",VLOOKUP(N$10,'VK-Hooned-Soojus'!$C:$X,2+$C48,FALSE),0)+IF(N$6="X",VLOOKUP(N$10,'VK-Transport'!$C:$X,2+$B48,0))+IF(N$8="X",VLOOKUP(N$10,'VK-Elekter'!$C:$X,2+$D48,0))+IF(N$9="X",VLOOKUP(N$10,'VK-Biokütused'!$C:$U,2+$E48,0))+IF(N$5="X",VLOOKUP(N$10,'VK-Põlevkivi'!$C:$X,2+$G48,0))+IF(N$4="X",VLOOKUP(N$10,'VK-Võrgud'!$C:$X,2+$F48,0))</f>
        <v>15.25</v>
      </c>
      <c r="O48" s="209">
        <f t="shared" si="13"/>
        <v>36.785833333333336</v>
      </c>
      <c r="P48" s="209"/>
      <c r="Q48" s="209">
        <f>(IF(Q$7="X",VLOOKUP(Q$10,'VK-Hooned-Soojus'!$C:$X,2+$C48,FALSE),0)+IF(Q$6="X",VLOOKUP(Q$10,'VK-Transport'!$C:$X,2+$B48,0))+IF(Q$8="X",VLOOKUP(Q$10,'VK-Elekter'!$C:$X,2+$D48,0))+IF(Q$9="X",VLOOKUP(Q$10,'VK-Biokütused'!$C:$U,2+$E48,0))+IF(Q$5="X",VLOOKUP(Q$10,'VK-Põlevkivi'!$C:$X,2+$G48,0))+IF(Q$4="X",VLOOKUP(Q$10,'VK-Võrgud'!$C:$X,2+$F48,0)))/1000</f>
        <v>4.9050000000000002</v>
      </c>
      <c r="R48" s="209">
        <f>(IF(R$7="X",VLOOKUP(R$10,'VK-Hooned-Soojus'!$C:$X,2+$C48,FALSE),0)+IF(R$6="X",VLOOKUP(R$10,'VK-Transport'!$C:$X,2+$B48,0))+IF(R$8="X",VLOOKUP(R$10,'VK-Elekter'!$C:$X,2+$D48,0))+IF(R$9="X",VLOOKUP(R$10,'VK-Biokütused'!$C:$U,2+$E48,0))+IF(R$5="X",VLOOKUP(R$10,'VK-Põlevkivi'!$C:$X,2+$G48,0))+IF(R$4="X",VLOOKUP(R$10,'VK-Võrgud'!$C:$X,2+$F48,0)))/1000</f>
        <v>3.3751368215830602</v>
      </c>
      <c r="S48" s="226">
        <f>VLOOKUP(S$10,'VK-Hooned-Soojus'!$C:$I,2+$C48,FALSE) + VLOOKUP(S$10,'VK-Transport'!$C:$I,2+$B48,FALSE)+ VLOOKUP(S$10,'VK-Biokütused'!$C:$G,2+$E48,FALSE)+ VLOOKUP(S$10,'VK-Elekter'!$C:$I,2+$D48,FALSE)+ VLOOKUP(S$10,'VK-Põlevkivi'!$C:$I,2+$G48,FALSE)+ VLOOKUP(S$10,'VK-Võrgud'!$C:$I,2+$F48,FALSE)</f>
        <v>1.4586288262486299E-2</v>
      </c>
      <c r="T48" s="226">
        <f>VLOOKUP(T$10,'VK-Hooned-Soojus'!$C:$I,2+$C48,FALSE) + VLOOKUP(T$10,'VK-Transport'!$C:$I,2+$B48,FALSE)+ VLOOKUP(T$10,'VK-Biokütused'!$C:$G,2+$E48,FALSE)+ VLOOKUP(T$10,'VK-Elekter'!$C:$I,2+$D48,FALSE)+ VLOOKUP(T$10,'VK-Põlevkivi'!$C:$I,2+$G48,FALSE)+ VLOOKUP(T$10,'VK-Võrgud'!$C:$I,2+$F48,FALSE)</f>
        <v>-7.6525800456417499E-3</v>
      </c>
      <c r="U48" s="226">
        <f>VLOOKUP(U$10,'VK-Hooned-Soojus'!$C:$I,2+$C48,FALSE) + VLOOKUP(U$10,'VK-Transport'!$C:$I,2+$B48,FALSE)+ VLOOKUP(U$10,'VK-Biokütused'!$C:$G,2+$E48,FALSE)+ VLOOKUP(U$10,'VK-Elekter'!$C:$I,2+$D48,FALSE)+ VLOOKUP(U$10,'VK-Põlevkivi'!$C:$I,2+$G48,FALSE)+ VLOOKUP(U$10,'VK-Võrgud'!$C:$I,2+$F48,FALSE)</f>
        <v>9.7525636101483681E-4</v>
      </c>
      <c r="V48" s="226">
        <f>VLOOKUP(V$10,'VK-Hooned-Soojus'!$C:$I,2+$C48,FALSE) + VLOOKUP(V$10,'VK-Transport'!$C:$I,2+$B48,FALSE)+ VLOOKUP(V$10,'VK-Biokütused'!$C:$G,2+$E48,FALSE)+ VLOOKUP(V$10,'VK-Elekter'!$C:$I,2+$D48,FALSE)+ VLOOKUP(V$10,'VK-Põlevkivi'!$C:$I,2+$G48,FALSE)+ VLOOKUP(V$10,'VK-Võrgud'!$C:$I,2+$F48,FALSE)</f>
        <v>1.3708520713862263E-2</v>
      </c>
      <c r="W48" s="226">
        <f>VLOOKUP(W$10,'VK-Hooned-Soojus'!$C:$I,2+$C48,FALSE) + VLOOKUP(W$10,'VK-Transport'!$C:$I,2+$B48,FALSE)+ VLOOKUP(W$10,'VK-Biokütused'!$C:$G,2+$E48,FALSE)+ VLOOKUP(W$10,'VK-Elekter'!$C:$I,2+$D48,FALSE)+ VLOOKUP(W$10,'VK-Põlevkivi'!$C:$I,2+$G48,FALSE)+ VLOOKUP(W$10,'VK-Võrgud'!$C:$I,2+$F48,FALSE)</f>
        <v>-1.7291173433304042E-2</v>
      </c>
      <c r="X48" s="226">
        <f>VLOOKUP(X$10,'VK-Hooned-Soojus'!$C:$I,2+$C48,FALSE) + VLOOKUP(X$10,'VK-Transport'!$C:$I,2+$B48,FALSE)+ VLOOKUP(X$10,'VK-Biokütused'!$C:$G,2+$E48,FALSE)+ VLOOKUP(X$10,'VK-Elekter'!$C:$I,2+$D48,FALSE)+ VLOOKUP(X$10,'VK-Põlevkivi'!$C:$I,2+$G48,FALSE)+ VLOOKUP(X$10,'VK-Võrgud'!$C:$I,2+$F48,FALSE)</f>
        <v>-1.7656212983463353E-2</v>
      </c>
      <c r="Y48" s="226">
        <f>VLOOKUP(Y$10,'VK-Hooned-Soojus'!$C:$I,2+$C48,FALSE) + VLOOKUP(Y$10,'VK-Transport'!$C:$I,2+$B48,FALSE)+ VLOOKUP(Y$10,'VK-Biokütused'!$C:$G,2+$E48,FALSE)+ VLOOKUP(Y$10,'VK-Elekter'!$C:$I,2+$D48,FALSE)+ VLOOKUP(Y$10,'VK-Põlevkivi'!$C:$I,2+$G48,FALSE)+ VLOOKUP(Y$10,'VK-Võrgud'!$C:$I,2+$F48,FALSE)</f>
        <v>-3.1844146360486339E-2</v>
      </c>
      <c r="Z48" s="227">
        <f>(S48*Tulemused!$Q$9*10+T48*Tulemused!$Q$10*10+KOMBI!U48*Tulemused!$Q$11*10+KOMBI!V48*Tulemused!$Q$12*10)*Tulemused!$Q$8+-(W48*Tulemused!$Q$14*10+KOMBI!X48*Tulemused!$Q$15*10+KOMBI!Y48*Tulemused!$Q$16*10)*Tulemused!$Q$13</f>
        <v>2.8532583822255022</v>
      </c>
      <c r="AA48" s="228">
        <f>(IF(AA$7="X",VLOOKUP(AA$10,'VK-Hooned-Soojus'!$C:$X,2+$C48,FALSE),0)+IF(AA$6="X",VLOOKUP(AA$10,'VK-Transport'!$C:$X,2+$B48,0))+IF(AA$8="X",VLOOKUP(AA$10,'VK-Elekter'!$C:$X,2+$D48,0))+IF(AA$9="X",VLOOKUP(AA$10,'VK-Biokütused'!$C:$U,2+$E48,0))+IF(AA$5="X",VLOOKUP(AA$10,'VK-Põlevkivi'!$C:$X,2+$G48,0))+IF(AA$4="X",VLOOKUP(AA$10,'VK-Võrgud'!$C:$X,2+$F48,0)))</f>
        <v>3728</v>
      </c>
      <c r="AB48" s="228">
        <f>(IF(AB$7="X",VLOOKUP(AB$10,'VK-Hooned-Soojus'!$C:$X,2+$C48,FALSE),0)+IF(AB$6="X",VLOOKUP(AB$10,'VK-Transport'!$C:$X,2+$B48,0))+IF(AB$8="X",VLOOKUP(AB$10,'VK-Elekter'!$C:$X,2+$D48,0))+IF(AB$9="X",VLOOKUP(AB$10,'VK-Biokütused'!$C:$U,2+$E48,0))+IF(AB$5="X",VLOOKUP(AB$10,'VK-Põlevkivi'!$C:$X,2+$G48,0))+IF(AB$4="X",VLOOKUP(AB$10,'VK-Võrgud'!$C:$X,2+$F48,0)))</f>
        <v>1177</v>
      </c>
      <c r="AC48" s="228">
        <f>(IF(AC$7="X",VLOOKUP(AC$10,'VK-Hooned-Soojus'!$C:$X,2+$C48,FALSE),0)+IF(AC$6="X",VLOOKUP(AC$10,'VK-Transport'!$C:$X,2+$B48,0))+IF(AC$8="X",VLOOKUP(AC$10,'VK-Elekter'!$C:$X,2+$D48,0))+IF(AC$9="X",VLOOKUP(AC$10,'VK-Biokütused'!$C:$U,2+$E48,0))+IF(AC$5="X",VLOOKUP(AC$10,'VK-Põlevkivi'!$C:$X,2+$G48,0))+IF(AC$4="X",VLOOKUP(AC$10,'VK-Võrgud'!$C:$X,2+$F48,0)))</f>
        <v>2346</v>
      </c>
      <c r="AD48" s="228">
        <f>(IF(AD$7="X",VLOOKUP(AD$10,'VK-Hooned-Soojus'!$C:$X,2+$C48,FALSE),0)+IF(AD$6="X",VLOOKUP(AD$10,'VK-Transport'!$C:$X,2+$B48,0))+IF(AD$8="X",VLOOKUP(AD$10,'VK-Elekter'!$C:$X,2+$D48,0))+IF(AD$9="X",VLOOKUP(AD$10,'VK-Biokütused'!$C:$U,2+$E48,0))+IF(AD$5="X",VLOOKUP(AD$10,'VK-Põlevkivi'!$C:$X,2+$G48,0))+IF(AD$4="X",VLOOKUP(AD$10,'VK-Võrgud'!$C:$X,2+$F48,0)))</f>
        <v>377.5</v>
      </c>
      <c r="AE48" s="228">
        <f>(IF(AE$7="X",VLOOKUP(AE$10,'VK-Hooned-Soojus'!$C:$X,2+$C48,FALSE),0)+IF(AE$6="X",VLOOKUP(AE$10,'VK-Transport'!$C:$X,2+$B48,0))+IF(AE$8="X",VLOOKUP(AE$10,'VK-Elekter'!$C:$X,2+$D48,0))+IF(AE$9="X",VLOOKUP(AE$10,'VK-Biokütused'!$C:$U,2+$E48,0))+IF(AE$5="X",VLOOKUP(AE$10,'VK-Põlevkivi'!$C:$X,2+$G48,0))+IF(AE$4="X",VLOOKUP(AE$10,'VK-Võrgud'!$C:$X,2+$F48,0)))</f>
        <v>507</v>
      </c>
      <c r="AF48" s="228">
        <f>(IF(AF$7="X",VLOOKUP(AF$10,'VK-Hooned-Soojus'!$C:$X,2+$C48,FALSE),0)+IF(AF$6="X",VLOOKUP(AF$10,'VK-Transport'!$C:$X,2+$B48,0))+IF(AF$8="X",VLOOKUP(AF$10,'VK-Elekter'!$C:$X,2+$D48,0))+IF(AF$9="X",VLOOKUP(AF$10,'VK-Biokütused'!$C:$U,2+$E48,0))+IF(AF$5="X",VLOOKUP(AF$10,'VK-Põlevkivi'!$C:$X,2+$G48,0))+IF(AF$4="X",VLOOKUP(AF$10,'VK-Võrgud'!$C:$X,2+$F48,0)))</f>
        <v>2490.6368215830603</v>
      </c>
      <c r="AG48" s="209"/>
      <c r="AH48" s="209">
        <f>IF(AH$7="X",VLOOKUP(AH$10,'VK-Hooned-Soojus'!$C:$X,2+$C48,FALSE),0)+IF(AH$6="X",VLOOKUP(AH$10,'VK-Transport'!$C:$X,2+$B48,0))+IF(AH$8="X",VLOOKUP(AH$10,'VK-Elekter'!$C:$X,2+$D48,0))+IF(AH$9="X",VLOOKUP(AH$10,'VK-Biokütused'!$C:$U,2+$E48,0))+IF(AH$5="X",VLOOKUP(AH$10,'VK-Põlevkivi'!$C:$X,2+$G48,0))+IF(AH$4="X",VLOOKUP(AH$10,'VK-Võrgud'!$C:$X,2+$F48,0))</f>
        <v>11.579999999999998</v>
      </c>
      <c r="AI48" s="209">
        <f>IF(AI$7="X",VLOOKUP(AI$10,'VK-Hooned-Soojus'!$C:$X,2+$C48,FALSE),0)+IF(AI$6="X",VLOOKUP(AI$10,'VK-Transport'!$C:$X,2+$B48,0))+IF(AI$8="X",VLOOKUP(AI$10,'VK-Elekter'!$C:$X,2+$D48,0))+IF(AI$9="X",VLOOKUP(AI$10,'VK-Biokütused'!$C:$U,2+$E48,0))+IF(AI$5="X",VLOOKUP(AI$10,'VK-Põlevkivi'!$C:$X,2+$G48,0))+IF(AI$4="X",VLOOKUP(AI$10,'VK-Võrgud'!$C:$X,2+$F48,0))</f>
        <v>4.45</v>
      </c>
      <c r="AJ48" s="209">
        <f>IF(AJ$7="X",VLOOKUP(AJ$10,'VK-Hooned-Soojus'!$C:$X,2+$C48,FALSE),0)+IF(AJ$6="X",VLOOKUP(AJ$10,'VK-Transport'!$C:$X,2+$B48,0))+IF(AJ$8="X",VLOOKUP(AJ$10,'VK-Elekter'!$C:$X,2+$D48,0))+IF(AJ$9="X",VLOOKUP(AJ$10,'VK-Biokütused'!$C:$U,2+$E48,0))+IF(AJ$5="X",VLOOKUP(AJ$10,'VK-Põlevkivi'!$C:$X,2+$G48,0))+IF(AJ$4="X",VLOOKUP(AJ$10,'VK-Võrgud'!$C:$X,2+$F48,0))</f>
        <v>9.19</v>
      </c>
      <c r="AK48" s="209">
        <f>IF(AK$7="X",VLOOKUP(AK$10,'VK-Hooned-Soojus'!$C:$X,2+$C48,FALSE),0)+IF(AK$6="X",VLOOKUP(AK$10,'VK-Transport'!$C:$X,2+$B48,0))+IF(AK$8="X",VLOOKUP(AK$10,'VK-Elekter'!$C:$X,2+$D48,0))+IF(AK$9="X",VLOOKUP(AK$10,'VK-Biokütused'!$C:$U,2+$E48,0))+IF(AK$5="X",VLOOKUP(AK$10,'VK-Põlevkivi'!$C:$X,2+$G48,0))+IF(AK$4="X",VLOOKUP(AK$10,'VK-Võrgud'!$C:$X,2+$F48,0))</f>
        <v>0.66</v>
      </c>
      <c r="AL48" s="209">
        <f>IF(AL$7="X",VLOOKUP(AL$10,'VK-Hooned-Soojus'!$C:$X,2+$C48,FALSE),0)+IF(AL$6="X",VLOOKUP(AL$10,'VK-Transport'!$C:$X,2+$B48,0))+IF(AL$8="X",VLOOKUP(AL$10,'VK-Elekter'!$C:$X,2+$D48,0))+IF(AL$9="X",VLOOKUP(AL$10,'VK-Biokütused'!$C:$U,2+$E48,0))+IF(AL$5="X",VLOOKUP(AL$10,'VK-Põlevkivi'!$C:$X,2+$G48,0))+IF(AL$4="X",VLOOKUP(AL$10,'VK-Võrgud'!$C:$X,2+$F48,0))</f>
        <v>7.1</v>
      </c>
      <c r="AM48" s="209">
        <f>IF(AM$7="X",VLOOKUP(AM$10,'VK-Hooned-Soojus'!$C:$X,2+$C48,FALSE),0)+IF(AM$6="X",VLOOKUP(AM$10,'VK-Transport'!$C:$X,2+$B48,0))+IF(AM$8="X",VLOOKUP(AM$10,'VK-Elekter'!$C:$X,2+$D48,0))+IF(AM$9="X",VLOOKUP(AM$10,'VK-Biokütused'!$C:$U,2+$E48,0))+IF(AM$5="X",VLOOKUP(AM$10,'VK-Põlevkivi'!$C:$X,2+$G48,0))+IF(AM$4="X",VLOOKUP(AM$10,'VK-Võrgud'!$C:$X,2+$F48,0))</f>
        <v>11.5</v>
      </c>
      <c r="AN48" s="209">
        <f>IF(AN$7="X",VLOOKUP(AN$10,'VK-Hooned-Soojus'!$C:$X,2+$C48,FALSE),0)+IF(AN$6="X",VLOOKUP(AN$10,'VK-Transport'!$C:$X,2+$B48,0))+IF(AN$8="X",VLOOKUP(AN$10,'VK-Elekter'!$C:$X,2+$D48,0))+IF(AN$9="X",VLOOKUP(AN$10,'VK-Biokütused'!$C:$U,2+$E48,0))+IF(AN$5="X",VLOOKUP(AN$10,'VK-Põlevkivi'!$C:$X,2+$G48,0))+IF(AN$4="X",VLOOKUP(AN$10,'VK-Võrgud'!$C:$X,2+$F48,0))</f>
        <v>4.0999999999999996</v>
      </c>
      <c r="AO48" s="209">
        <f>IF(AO$7="X",VLOOKUP(AO$10,'VK-Hooned-Soojus'!$C:$X,2+$C48,FALSE),0)+IF(AO$6="X",VLOOKUP(AO$10,'VK-Transport'!$C:$X,2+$B48,0))+IF(AO$8="X",VLOOKUP(AO$10,'VK-Elekter'!$C:$X,2+$D48,0))+IF(AO$9="X",VLOOKUP(AO$10,'VK-Biokütused'!$C:$U,2+$E48,0))+IF(AO$5="X",VLOOKUP(AO$10,'VK-Põlevkivi'!$C:$X,2+$G48,0))+IF(AO$4="X",VLOOKUP(AO$10,'VK-Võrgud'!$C:$X,2+$F48,0))</f>
        <v>12.16</v>
      </c>
      <c r="AP48" s="209">
        <f>IF(AP$7="X",VLOOKUP(AP$10,'VK-Hooned-Soojus'!$C:$X,2+$C48,FALSE),0)+IF(AP$6="X",VLOOKUP(AP$10,'VK-Transport'!$C:$X,2+$B48,0))+IF(AP$8="X",VLOOKUP(AP$10,'VK-Elekter'!$C:$X,2+$D48,0))+IF(AP$9="X",VLOOKUP(AP$10,'VK-Biokütused'!$C:$U,2+$E48,0))+IF(AP$5="X",VLOOKUP(AP$10,'VK-Põlevkivi'!$C:$X,2+$G48,0))+IF(AP$4="X",VLOOKUP(AP$10,'VK-Võrgud'!$C:$X,2+$F48,0))</f>
        <v>6.08</v>
      </c>
      <c r="AQ48" s="320">
        <f t="shared" si="14"/>
        <v>0</v>
      </c>
      <c r="AR48" s="209">
        <f>IF(AR$7="X",VLOOKUP(AR$10,'VK-Hooned-Soojus'!$C:$X,2+$C48,FALSE),0)+IF(AR$6="X",VLOOKUP(AR$10,'VK-Transport'!$C:$X,2+$B48,0))+IF(AR$8="X",VLOOKUP(AR$10,'VK-Elekter'!$C:$X,2+$D48,0))+IF(AR$9="X",VLOOKUP(AR$10,'VK-Biokütused'!$C:$U,2+$E48,0))+IF(AR$5="X",VLOOKUP(AR$10,'VK-Põlevkivi'!$C:$X,2+$G48,0))+IF(AR$4="X",VLOOKUP(AR$10,'VK-Võrgud'!$C:$X,2+$F48,0))</f>
        <v>2.3899999999999997</v>
      </c>
      <c r="AS48" s="320">
        <f>VLOOKUP("Kütuste tarbimine @ 2030 - UTTEGAAS",'VK-Hooned-Soojus'!$C:$X,2+$C48,FALSE)/0.172+VLOOKUP("Kütuste tarbimine @ 2030 - UTTEGAAS",'VK-Elekter'!$C:$X,2+$D48,FALSE)/0.172-AR48-AU48</f>
        <v>2.8565116279069773</v>
      </c>
      <c r="AT48" s="209">
        <f>IF(AT$7="X",VLOOKUP(AT$10,'VK-Hooned-Soojus'!$C:$X,2+$C48,FALSE),0)+IF(AT$6="X",VLOOKUP(AT$10,'VK-Transport'!$C:$X,2+$B48,0))+IF(AT$8="X",VLOOKUP(AT$10,'VK-Elekter'!$C:$X,2+$D48,0))+IF(AT$9="X",VLOOKUP(AT$10,'VK-Biokütused'!$C:$U,2+$E48,0))+IF(AT$5="X",VLOOKUP(AT$10,'VK-Põlevkivi'!$C:$X,2+$G48,0))+IF(AT$4="X",VLOOKUP(AT$10,'VK-Võrgud'!$C:$X,2+$F48,0))</f>
        <v>12.004929222526066</v>
      </c>
      <c r="AU48" s="229">
        <f>MAX(0,(VLOOKUP("Kütuste tarbimine @ 2030 - UTTEGAAS",'VK-Hooned-Soojus'!$C:$X,2+$C48,FALSE)/0.172+VLOOKUP("Kütuste tarbimine @ 2030 - UTTEGAAS",'VK-Elekter'!$C:$X,2+$D48,FALSE)/0.172)*0.52-VLOOKUP("Kütuste tarbimine @ 2030 - PÕLEVKIVIÕLI",'VK-Hooned-Soojus'!$C:$X,2+$C48,FALSE))</f>
        <v>5.6837209302325586</v>
      </c>
      <c r="AV48" s="209">
        <f>IF(AV$7="X",VLOOKUP(AV$10,'VK-Hooned-Soojus'!$C:$X,2+$C48,FALSE),0)+IF(AV$6="X",VLOOKUP(AV$10,'VK-Transport'!$C:$X,2+$B48,0))+IF(AV$8="X",VLOOKUP(AV$10,'VK-Elekter'!$C:$X,2+$D48,0))+IF(AV$9="X",VLOOKUP(AV$10,'VK-Biokütused'!$C:$U,2+$E48,0))+IF(AV$5="X",VLOOKUP(AV$10,'VK-Põlevkivi'!$C:$X,2+$G48,0))+IF(AV$4="X",VLOOKUP(AV$10,'VK-Võrgud'!$C:$X,2+$F48,0))</f>
        <v>1.1831224847375093</v>
      </c>
      <c r="AW48" s="209">
        <f>IF(AW$7="X",VLOOKUP(AW$10,'VK-Hooned-Soojus'!$C:$X,2+$C48,FALSE),0)+IF(AW$6="X",VLOOKUP(AW$10,'VK-Transport'!$C:$X,2+$B48,0))+IF(AW$8="X",VLOOKUP(AW$10,'VK-Elekter'!$C:$X,2+$D48,0))+IF(AW$9="X",VLOOKUP(AW$10,'VK-Biokütused'!$C:$U,2+$E48,0))+IF(AW$5="X",VLOOKUP(AW$10,'VK-Põlevkivi'!$C:$X,2+$G48,0))+IF(AW$4="X",VLOOKUP(AW$10,'VK-Võrgud'!$C:$X,2+$F48,0))</f>
        <v>2.141</v>
      </c>
      <c r="AX48" s="229">
        <f t="shared" si="34"/>
        <v>0.95787751526249076</v>
      </c>
      <c r="AY48" s="229">
        <f t="shared" si="15"/>
        <v>0</v>
      </c>
      <c r="AZ48" s="230">
        <f t="shared" si="36"/>
        <v>0.53367246231712451</v>
      </c>
      <c r="BA48" s="209">
        <f>IF(BA$7="X",VLOOKUP(BA$10,'VK-Hooned-Soojus'!$C:$X,2+$C48,FALSE),0)+IF(BA$6="X",VLOOKUP(BA$10,'VK-Transport'!$C:$X,2+$B48,0))+IF(BA$8="X",VLOOKUP(BA$10,'VK-Elekter'!$C:$X,2+$D48,0))+IF(BA$9="X",VLOOKUP(BA$10,'VK-Biokütused'!$C:$U,2+$E48,0))+IF(BA$5="X",VLOOKUP(BA$10,'VK-Põlevkivi'!$C:$X,2+$G48,0))+IF(BA$4="X",VLOOKUP(BA$10,'VK-Võrgud'!$C:$X,2+$F48,0))</f>
        <v>4.2</v>
      </c>
      <c r="BB48" s="209">
        <f>IF(BB$7="X",VLOOKUP(BB$10,'VK-Hooned-Soojus'!$C:$X,2+$C48,FALSE),0)+IF(BB$6="X",VLOOKUP(BB$10,'VK-Transport'!$C:$X,2+$B48,0))+IF(BB$8="X",VLOOKUP(BB$10,'VK-Elekter'!$C:$X,2+$D48,0))+IF(BB$9="X",VLOOKUP(BB$10,'VK-Biokütused'!$C:$U,2+$E48,0))+IF(BB$5="X",VLOOKUP(BB$10,'VK-Põlevkivi'!$C:$X,2+$G48,0))+IF(BB$4="X",VLOOKUP(BB$10,'VK-Võrgud'!$C:$X,2+$F48,0))</f>
        <v>5.1000000000000005</v>
      </c>
      <c r="BC48" s="209">
        <f>IF(BC$7="X",VLOOKUP(BC$10,'VK-Hooned-Soojus'!$C:$X,2+$C48,FALSE),0)+IF(BC$6="X",VLOOKUP(BC$10,'VK-Transport'!$C:$X,2+$B48,0))+IF(BC$8="X",VLOOKUP(BC$10,'VK-Elekter'!$C:$X,2+$D48,0))+IF(BC$9="X",VLOOKUP(BC$10,'VK-Biokütused'!$C:$U,2+$E48,0))+IF(BC$5="X",VLOOKUP(BC$10,'VK-Põlevkivi'!$C:$X,2+$G48,0))+IF(BC$4="X",VLOOKUP(BC$10,'VK-Võrgud'!$C:$X,2+$F48,0))</f>
        <v>5.2376666666666667</v>
      </c>
      <c r="BD48" s="209">
        <f>IF(BD$7="X",VLOOKUP(BD$10,'VK-Hooned-Soojus'!$C:$X,2+$C48,FALSE),0)+IF(BD$6="X",VLOOKUP(BD$10,'VK-Transport'!$C:$X,2+$B48,0))+IF(BD$8="X",VLOOKUP(BD$10,'VK-Elekter'!$C:$X,2+$D48,0))+IF(BD$9="X",VLOOKUP(BD$10,'VK-Biokütused'!$C:$U,2+$E48,0))+IF(BD$5="X",VLOOKUP(BD$10,'VK-Põlevkivi'!$C:$X,2+$G48,0))+IF(BD$4="X",VLOOKUP(BD$10,'VK-Võrgud'!$C:$X,2+$F48,0))</f>
        <v>9.1105555555555569</v>
      </c>
      <c r="BE48" s="230"/>
      <c r="BF48" s="229">
        <f t="shared" si="16"/>
        <v>0.35228282016177531</v>
      </c>
      <c r="BG48" s="209" t="e">
        <f>(IF(BG$7="X",VLOOKUP(BG$10,'VK-Hooned-Soojus'!$C:$X,2+$C48,FALSE),0)+IF(BG$6="X",VLOOKUP(BG$10,'VK-Transport'!$C:$X,2+$B48,0))+IF(BG$8="X",VLOOKUP(BG$10,'VK-Elekter'!$C:$X,2+$D48,0))+IF(BG$9="X",VLOOKUP(BG$10,'VK-Biokütused'!$C:$U,2+$E48,0))+IF(BG$5="X",VLOOKUP(BG$10,'VK-Põlevkivi'!$C:$X,2+$G48,0))+IF(BG$4="X",VLOOKUP(BG$10,'VK-Võrgud'!$C:$X,2+$F48,0)))/20</f>
        <v>#N/A</v>
      </c>
      <c r="BH48" s="209">
        <f>(IF(BH$7="X",VLOOKUP(BH$10,'VK-Hooned-Soojus'!$C:$X,2+$C48,FALSE),0)+IF(BH$6="X",VLOOKUP(BH$10,'VK-Transport'!$C:$X,2+$B48,0))+IF(BH$8="X",VLOOKUP(BH$10,'VK-Elekter'!$C:$X,2+$D48,0))+IF(BH$9="X",VLOOKUP(BH$10,'VK-Biokütused'!$C:$U,2+$E48,0))+IF(BH$5="X",VLOOKUP(BH$10,'VK-Põlevkivi'!$C:$X,2+$G48,0))+IF(BH$4="X",VLOOKUP(BH$10,'VK-Võrgud'!$C:$X,2+$F48,0)))/20</f>
        <v>84.204999999999998</v>
      </c>
      <c r="BI48" s="209">
        <f>(IF(BI$7="X",VLOOKUP(BI$10,'VK-Hooned-Soojus'!$C:$X,2+$C48,FALSE),0)+IF(BI$6="X",VLOOKUP(BI$10,'VK-Transport'!$C:$X,2+$B48,0))+IF(BI$8="X",VLOOKUP(BI$10,'VK-Elekter'!$C:$X,2+$D48,0))+IF(BI$9="X",VLOOKUP(BI$10,'VK-Biokütused'!$C:$U,2+$E48,0))+IF(BI$5="X",VLOOKUP(BI$10,'VK-Põlevkivi'!$C:$X,2+$G48,0))+IF(BI$4="X",VLOOKUP(BI$10,'VK-Võrgud'!$C:$X,2+$F48,0)))/16</f>
        <v>8.9375</v>
      </c>
      <c r="BJ48" s="209">
        <f>(IF(BJ$7="X",VLOOKUP(BJ$10,'VK-Hooned-Soojus'!$C:$X,2+$C48,FALSE),0)+IF(BJ$6="X",VLOOKUP(BJ$10,'VK-Transport'!$C:$X,2+$B48,0))+IF(BJ$8="X",VLOOKUP(BJ$10,'VK-Elekter'!$C:$X,2+$D48,0))+IF(BJ$9="X",VLOOKUP(BJ$10,'VK-Biokütused'!$C:$U,2+$E48,0))+IF(BJ$5="X",VLOOKUP(BJ$10,'VK-Põlevkivi'!$C:$X,2+$G48,0))+IF(BJ$4="X",VLOOKUP(BJ$10,'VK-Võrgud'!$C:$X,2+$F48,0)))/20</f>
        <v>5.33</v>
      </c>
      <c r="BK48" s="209"/>
      <c r="BL48" s="209"/>
      <c r="BM48" s="209"/>
      <c r="BN48" s="209" t="e">
        <f>(IF(BN$7="X",VLOOKUP(BN$10,'VK-Hooned-Soojus'!$C:$X,2+$C48,FALSE),0)+IF(BN$6="X",VLOOKUP(BN$10,'VK-Transport'!$C:$X,2+$B48,0))+IF(BN$8="X",VLOOKUP(BN$10,'VK-Elekter'!$C:$X,2+$D48,0))+IF(BN$9="X",VLOOKUP(BN$10,'VK-Biokütused'!$C:$U,2+$E48,0))+IF(BN$5="X",VLOOKUP(BN$10,'VK-Põlevkivi'!$C:$X,2+$G48,0))+IF(BN$4="X",VLOOKUP(BN$10,'VK-Võrgud'!$C:$X,2+$F48,0)))/16</f>
        <v>#N/A</v>
      </c>
      <c r="BO48" s="209">
        <f>(IF(BO$7="X",VLOOKUP(BO$10,'VK-Hooned-Soojus'!$C:$X,2+$C48,FALSE),0)+IF(BO$6="X",VLOOKUP(BO$10,'VK-Transport'!$C:$X,2+$B48,0))+IF(BO$8="X",VLOOKUP(BO$10,'VK-Elekter'!$C:$X,2+$D48,0))+IF(BO$9="X",VLOOKUP(BO$10,'VK-Biokütused'!$C:$U,2+$E48,0))+IF(BO$5="X",VLOOKUP(BO$10,'VK-Põlevkivi'!$C:$X,2+$G48,0))+IF(BO$4="X",VLOOKUP(BO$10,'VK-Võrgud'!$C:$X,2+$F48,0)))/16</f>
        <v>496.33125000000001</v>
      </c>
      <c r="BP48" s="209"/>
      <c r="BQ48" s="209">
        <f>(IF(BQ$7="X",VLOOKUP(BQ$10,'VK-Hooned-Soojus'!$C:$X,2+$C48,FALSE),0)+IF(BQ$6="X",VLOOKUP(BQ$10,'VK-Transport'!$C:$X,2+$B48,0))+IF(BQ$8="X",VLOOKUP(BQ$10,'VK-Elekter'!$C:$X,2+$D48,0))+IF(BQ$9="X",VLOOKUP(BQ$10,'VK-Biokütused'!$C:$U,2+$E48,0))+IF(BQ$5="X",VLOOKUP(BQ$10,'VK-Põlevkivi'!$C:$X,2+$G48,0))+IF(BQ$4="X",VLOOKUP(BQ$10,'VK-Võrgud'!$C:$X,2+$F48,0)))/16</f>
        <v>4.7249999999999996</v>
      </c>
      <c r="BR48" s="209">
        <f>(IF(BR$7="X",VLOOKUP(BR$10,'VK-Hooned-Soojus'!$C:$X,2+$C48,FALSE),0)+IF(BR$6="X",VLOOKUP(BR$10,'VK-Transport'!$C:$X,2+$B48,0))+IF(BR$8="X",VLOOKUP(BR$10,'VK-Elekter'!$C:$X,2+$D48,0))+IF(BR$9="X",VLOOKUP(BR$10,'VK-Biokütused'!$C:$U,2+$E48,0))+IF(BR$5="X",VLOOKUP(BR$10,'VK-Põlevkivi'!$C:$X,2+$G48,0))+IF(BR$4="X",VLOOKUP(BR$10,'VK-Võrgud'!$C:$X,2+$F48,0)))/16</f>
        <v>-74.512500000000003</v>
      </c>
      <c r="BS48" s="209">
        <f>(IF(BS$7="X",VLOOKUP(BS$10,'VK-Hooned-Soojus'!$C:$X,2+$C48,FALSE),0)+IF(BS$6="X",VLOOKUP(BS$10,'VK-Transport'!$C:$X,2+$B48,0))+IF(BS$8="X",VLOOKUP(BS$10,'VK-Elekter'!$C:$X,2+$D48,0))+IF(BS$9="X",VLOOKUP(BS$10,'VK-Biokütused'!$C:$U,2+$E48,0))+IF(BS$5="X",VLOOKUP(BS$10,'VK-Põlevkivi'!$C:$X,2+$G48,0))+IF(BS$4="X",VLOOKUP(BS$10,'VK-Võrgud'!$C:$X,2+$F48,0)))/16</f>
        <v>-100.68125000000001</v>
      </c>
      <c r="BT48" s="209"/>
      <c r="BU48" s="209"/>
      <c r="BV48" s="209">
        <f>(IF(BV$7="X",VLOOKUP(BV$10,'VK-Hooned-Soojus'!$C:$X,2+$C48,FALSE),0)+IF(BV$6="X",VLOOKUP(BV$10,'VK-Transport'!$C:$X,2+$B48,0))+IF(BV$8="X",VLOOKUP(BV$10,'VK-Elekter'!$C:$X,2+$D48,0))+IF(BV$9="X",VLOOKUP(BV$10,'VK-Biokütused'!$C:$U,2+$E48,0))+IF(BV$5="X",VLOOKUP(BV$10,'VK-Põlevkivi'!$C:$X,2+$G48,0))+IF(BV$4="X",VLOOKUP(BV$10,'VK-Võrgud'!$C:$X,2+$F48,0)))/16</f>
        <v>0</v>
      </c>
      <c r="BW48" s="209"/>
      <c r="BX48" s="209">
        <f>(IF(BX$7="X",VLOOKUP(BX$10,'VK-Hooned-Soojus'!$C:$X,2+$C48,FALSE),0)+IF(BX$6="X",VLOOKUP(BX$10,'VK-Transport'!$C:$X,2+$B48,0))+IF(BX$8="X",VLOOKUP(BX$10,'VK-Elekter'!$C:$X,2+$D48,0))+IF(BX$9="X",VLOOKUP(BX$10,'VK-Biokütused'!$C:$U,2+$E48,0))+IF(BX$5="X",VLOOKUP(BX$10,'VK-Põlevkivi'!$C:$X,2+$G48,0))+IF(BX$4="X",VLOOKUP(BX$10,'VK-Võrgud'!$C:$X,2+$F48,0)))/16</f>
        <v>-99.4375</v>
      </c>
      <c r="BY48" s="209"/>
      <c r="BZ48" s="209"/>
      <c r="CA48" s="209" t="e">
        <f>(IF(CA$7="X",VLOOKUP(CA$10,'VK-Hooned-Soojus'!$C:$X,2+$C48,FALSE),0)+IF(CA$6="X",VLOOKUP(CA$10,'VK-Transport'!$C:$X,2+$B48,0))+IF(CA$8="X",VLOOKUP(CA$10,'VK-Elekter'!$C:$X,2+$D48,0))+IF(CA$9="X",VLOOKUP(CA$10,'VK-Biokütused'!$C:$U,2+$E48,0))+IF(CA$5="X",VLOOKUP(CA$10,'VK-Põlevkivi'!$C:$X,2+$G48,0))+IF(CA$4="X",VLOOKUP(CA$10,'VK-Võrgud'!$C:$X,2+$F48,0)))/16</f>
        <v>#N/A</v>
      </c>
      <c r="CB48" s="209">
        <f>(IF(CB$7="X",VLOOKUP(CB$10,'VK-Hooned-Soojus'!$C:$X,2+$C48,FALSE),0)+IF(CB$6="X",VLOOKUP(CB$10,'VK-Transport'!$C:$X,2+$B48,0))+IF(CB$8="X",VLOOKUP(CB$10,'VK-Elekter'!$C:$X,2+$D48,0))+IF(CB$9="X",VLOOKUP(CB$10,'VK-Biokütused'!$C:$U,2+$E48,0))+IF(CB$5="X",VLOOKUP(CB$10,'VK-Põlevkivi'!$C:$X,2+$G48,0))+IF(CB$4="X",VLOOKUP(CB$10,'VK-Võrgud'!$C:$X,2+$F48,0)))/16</f>
        <v>0</v>
      </c>
      <c r="CC48" s="209">
        <f>(IF(CC$7="X",VLOOKUP(CC$10,'VK-Hooned-Soojus'!$C:$X,2+$C48,FALSE),0)+IF(CC$6="X",VLOOKUP(CC$10,'VK-Transport'!$C:$X,2+$B48,0))+IF(CC$8="X",VLOOKUP(CC$10,'VK-Elekter'!$C:$X,2+$D48,0))+IF(CC$9="X",VLOOKUP(CC$10,'VK-Biokütused'!$C:$U,2+$E48,0))+IF(CC$5="X",VLOOKUP(CC$10,'VK-Põlevkivi'!$C:$X,2+$G48,0))+IF(CC$4="X",VLOOKUP(CC$10,'VK-Võrgud'!$C:$X,2+$F48,0)))/16</f>
        <v>0</v>
      </c>
      <c r="CD48" s="209"/>
      <c r="CE48" s="209">
        <f>(IF(CE$7="X",VLOOKUP(CE$10,'VK-Hooned-Soojus'!$C:$X,2+$C48,FALSE),0)+IF(CE$6="X",VLOOKUP(CE$10,'VK-Transport'!$C:$X,2+$B48,0))+IF(CE$8="X",VLOOKUP(CE$10,'VK-Elekter'!$C:$X,2+$D48,0))+IF(CE$9="X",VLOOKUP(CE$10,'VK-Biokütused'!$C:$U,2+$E48,0))+IF(CE$5="X",VLOOKUP(CE$10,'VK-Põlevkivi'!$C:$X,2+$G48,0))+IF(CE$4="X",VLOOKUP(CE$10,'VK-Võrgud'!$C:$X,2+$F48,0)))/16</f>
        <v>24.15625</v>
      </c>
      <c r="CF48" s="209"/>
      <c r="CG48" s="209">
        <f>(IF(CG$7="X",VLOOKUP(CG$10,'VK-Hooned-Soojus'!$C:$X,2+$C48,FALSE),0)+IF(CG$6="X",VLOOKUP(CG$10,'VK-Transport'!$C:$X,2+$B48,0))+IF(CG$8="X",VLOOKUP(CG$10,'VK-Elekter'!$C:$X,2+$D48,0))+IF(CG$9="X",VLOOKUP(CG$10,'VK-Biokütused'!$C:$U,2+$E48,0))+IF(CG$5="X",VLOOKUP(CG$10,'VK-Põlevkivi'!$C:$X,2+$G48,0))+IF(CG$4="X",VLOOKUP(CG$10,'VK-Võrgud'!$C:$X,2+$F48,0)))/16</f>
        <v>0</v>
      </c>
      <c r="CH48" s="209">
        <f>(IF(CH$7="X",VLOOKUP(CH$10,'VK-Hooned-Soojus'!$C:$X,2+$C48,FALSE),0)+IF(CH$6="X",VLOOKUP(CH$10,'VK-Transport'!$C:$X,2+$B48,0))+IF(CH$8="X",VLOOKUP(CH$10,'VK-Elekter'!$C:$X,2+$D48,0))+IF(CH$9="X",VLOOKUP(CH$10,'VK-Biokütused'!$C:$U,2+$E48,0))+IF(CH$5="X",VLOOKUP(CH$10,'VK-Põlevkivi'!$C:$X,2+$G48,0))+IF(CH$4="X",VLOOKUP(CH$10,'VK-Võrgud'!$C:$X,2+$F48,0)))/20*0.21</f>
        <v>26.9178</v>
      </c>
      <c r="CI48" s="209"/>
      <c r="CJ48" s="209">
        <f>(IF(CJ$7="X",VLOOKUP(CJ$10,'VK-Hooned-Soojus'!$C:$X,2+$C48,FALSE),0)+IF(CJ$6="X",VLOOKUP(CJ$10,'VK-Transport'!$C:$X,2+$B48,0))+IF(CJ$8="X",VLOOKUP(CJ$10,'VK-Elekter'!$C:$X,2+$D48,0))+IF(CJ$9="X",VLOOKUP(CJ$10,'VK-Biokütused'!$C:$U,2+$E48,0))+IF(CJ$5="X",VLOOKUP(CJ$10,'VK-Põlevkivi'!$C:$X,2+$G48,0))+IF(CJ$4="X",VLOOKUP(CJ$10,'VK-Võrgud'!$C:$X,2+$F48,0)))/1000</f>
        <v>18.592861099430586</v>
      </c>
      <c r="CK48" s="209">
        <f>(IF(CK$7="X",VLOOKUP(CK$10,'VK-Hooned-Soojus'!$C:$X,2+$C48,FALSE),0)+IF(CK$6="X",VLOOKUP(CK$10,'VK-Transport'!$C:$X,2+$B48,0))+IF(CK$8="X",VLOOKUP(CK$10,'VK-Elekter'!$C:$X,2+$D48,0))+IF(CK$9="X",VLOOKUP(CK$10,'VK-Biokütused'!$C:$U,2+$E48,0))+IF(CK$5="X",VLOOKUP(CK$10,'VK-Põlevkivi'!$C:$X,2+$G48,0))+IF(CK$4="X",VLOOKUP(CK$10,'VK-Võrgud'!$C:$X,2+$F48,0)))/1000</f>
        <v>11.2251245622786</v>
      </c>
      <c r="CL48" s="235">
        <f>(IF(CL$7="X",VLOOKUP(CL$10,'VK-Hooned-Soojus'!$C:$X,2+$C48,FALSE),0)+IF(CL$6="X",VLOOKUP(CL$10,'VK-Transport'!$C:$X,2+$B48,0))+IF(CL$8="X",VLOOKUP(CL$10,'VK-Elekter'!$C:$X,2+$D48,0))+IF(CL$9="X",VLOOKUP(CL$10,'VK-Biokütused'!$C:$U,2+$E48,0)))/1000</f>
        <v>8.8038856510938075</v>
      </c>
      <c r="CM48" s="209">
        <f>(IF(CM$7="X",VLOOKUP(CM$10,'VK-Hooned-Soojus'!$C:$X,2+$C48,FALSE),0)+IF(CM$6="X",VLOOKUP(CM$10,'VK-Transport'!$C:$X,2+$B48,0))+IF(CM$8="X",VLOOKUP(CM$10,'VK-Elekter'!$C:$X,2+$D48,0))+IF(CM$9="X",VLOOKUP(CM$10,'VK-Biokütused'!$C:$U,2+$E48,0))+IF(CM$5="X",VLOOKUP(CM$10,'VK-Põlevkivi'!$C:$X,2+$G48,0))+IF(CM$4="X",VLOOKUP(CM$10,'VK-Võrgud'!$C:$X,2+$F48,0)))/1000</f>
        <v>7.623315679447102</v>
      </c>
      <c r="CN48" s="209">
        <f>(IF(CN$7="X",VLOOKUP(CN$10,'VK-Hooned-Soojus'!$C:$X,2+$C48,FALSE),0)+IF(CN$6="X",VLOOKUP(CN$10,'VK-Transport'!$C:$X,2+$B48,0))+IF(CN$8="X",VLOOKUP(CN$10,'VK-Elekter'!$C:$X,2+$D48,0))+IF(CN$9="X",VLOOKUP(CN$10,'VK-Biokütused'!$C:$U,2+$E48,0))+IF(CN$5="X",VLOOKUP(CN$10,'VK-Põlevkivi'!$C:$X,2+$G48,0))+IF(CN$4="X",VLOOKUP(CN$10,'VK-Võrgud'!$C:$X,2+$F48,0)))/1000</f>
        <v>2.7559999999999998</v>
      </c>
      <c r="CO48" s="209">
        <f>(IF(CO$7="X",VLOOKUP(CO$10,'VK-Hooned-Soojus'!$C:$X,2+$C48,FALSE),0)+IF(CO$6="X",VLOOKUP(CO$10,'VK-Transport'!$C:$X,2+$B48,0))+IF(CO$8="X",VLOOKUP(CO$10,'VK-Elekter'!$C:$X,2+$D48,0))+IF(CO$9="X",VLOOKUP(CO$10,'VK-Biokütused'!$C:$U,2+$E48,0))+IF(CO$5="X",VLOOKUP(CO$10,'VK-Põlevkivi'!$C:$X,2+$G48,0))+IF(CO$4="X",VLOOKUP(CO$10,'VK-Võrgud'!$C:$X,2+$F48,0)))/1000</f>
        <v>25.123649773285454</v>
      </c>
      <c r="CP48" s="209">
        <f>(IF(CP$7="X",VLOOKUP(CP$10,'VK-Hooned-Soojus'!$C:$X,2+$C48,FALSE),0)+IF(CP$6="X",VLOOKUP(CP$10,'VK-Transport'!$C:$X,2+$B48,0))+IF(CP$8="X",VLOOKUP(CP$10,'VK-Elekter'!$C:$X,2+$D48,0))+IF(CP$9="X",VLOOKUP(CP$10,'VK-Biokütused'!$C:$U,2+$E48,0))+IF(CP$5="X",VLOOKUP(CP$10,'VK-Põlevkivi'!$C:$X,2+$G48,0))+IF(CP$4="X",VLOOKUP(CP$10,'VK-Võrgud'!$C:$X,2+$F48,0)))/1000</f>
        <v>13.407948584295612</v>
      </c>
      <c r="CQ48" s="235">
        <f>(IF(CQ$7="X",VLOOKUP(CQ$10,'VK-Hooned-Soojus'!$C:$X,2+$C48,FALSE),0)+IF(CQ$6="X",VLOOKUP(CQ$10,'VK-Transport'!$C:$X,2+$B48,0))+IF(CQ$8="X",VLOOKUP(CQ$10,'VK-Elekter'!$C:$X,2+$D48,0))+IF(CQ$9="X",VLOOKUP(CQ$10,'VK-Biokütused'!$C:$U,2+$E48,0)))/1000</f>
        <v>10.914906999999999</v>
      </c>
      <c r="CR48" s="209">
        <f>(IF(CR$7="X",VLOOKUP(CR$10,'VK-Hooned-Soojus'!$C:$X,2+$C48,FALSE),0)+IF(CR$6="X",VLOOKUP(CR$10,'VK-Transport'!$C:$X,2+$B48,0))+IF(CR$8="X",VLOOKUP(CR$10,'VK-Elekter'!$C:$X,2+$D48,0))+IF(CR$9="X",VLOOKUP(CR$10,'VK-Biokütused'!$C:$U,2+$E48,0))+IF(CR$5="X",VLOOKUP(CR$10,'VK-Põlevkivi'!$C:$X,2+$G48,0))+IF(CR$4="X",VLOOKUP(CR$10,'VK-Võrgud'!$C:$X,2+$F48,0)))/1000</f>
        <v>7.7327533562748041</v>
      </c>
      <c r="CS48" s="209">
        <f>(IF(CS$7="X",VLOOKUP(CS$10,'VK-Hooned-Soojus'!$C:$X,2+$C48,FALSE),0)+IF(CS$6="X",VLOOKUP(CS$10,'VK-Transport'!$C:$X,2+$B48,0))+IF(CS$8="X",VLOOKUP(CS$10,'VK-Elekter'!$C:$X,2+$D48,0))+IF(CS$9="X",VLOOKUP(CS$10,'VK-Biokütused'!$C:$U,2+$E48,0))+IF(CS$5="X",VLOOKUP(CS$10,'VK-Põlevkivi'!$C:$X,2+$G48,0))+IF(CS$4="X",VLOOKUP(CS$10,'VK-Võrgud'!$C:$X,2+$F48,0)))/1000</f>
        <v>3.9161524051216152</v>
      </c>
      <c r="CT48" s="209">
        <f>IF(CT$7="X",VLOOKUP(CT$10,'VK-Hooned-Soojus'!$C:$X,2+$C48,FALSE),0)+IF(CT$6="X",VLOOKUP(CT$10,'VK-Transport'!$C:$X,2+$B48,0))+IF(CT$8="X",VLOOKUP(CT$10,'VK-Elekter'!$C:$X,2+$D48,0))+IF(CT$9="X",VLOOKUP(CT$10,'VK-Biokütused'!$C:$U,2+$E48,0))+IF(CT$5="X",VLOOKUP(CT$10,'VK-Põlevkivi'!$C:$X,2+$G48,0))+IF(CT$4="X",VLOOKUP(CT$10,'VK-Võrgud'!$C:$X,2+$F48,0))</f>
        <v>90</v>
      </c>
      <c r="CU48" s="209">
        <f>IF(CU$7="X",VLOOKUP(CU$10,'VK-Hooned-Soojus'!$C:$X,2+$C48,FALSE),0)+IF(CU$6="X",VLOOKUP(CU$10,'VK-Transport'!$C:$X,2+$B48,0))+IF(CU$8="X",VLOOKUP(CU$10,'VK-Elekter'!$C:$X,2+$D48,0))+IF(CU$9="X",VLOOKUP(CU$10,'VK-Biokütused'!$C:$U,2+$E48,0))+IF(CU$5="X",VLOOKUP(CU$10,'VK-Põlevkivi'!$C:$X,2+$G48,0))+IF(CU$4="X",VLOOKUP(CU$10,'VK-Võrgud'!$C:$X,2+$F48,0))</f>
        <v>0.9337349397590361</v>
      </c>
      <c r="CV48" s="209">
        <f t="shared" si="37"/>
        <v>0.91028830406496797</v>
      </c>
      <c r="CW48" s="209">
        <f>(IF(CW$7="X",VLOOKUP(CW$10,'VK-Hooned-Soojus'!$C:$X,2+$C48,FALSE),0)+IF(CW$6="X",VLOOKUP(CW$10,'VK-Transport'!$C:$X,2+$B48,0))+IF(CW$8="X",VLOOKUP(CW$10,'VK-Elekter'!$C:$X,2+$D48,0))+IF(CW$9="X",VLOOKUP(CW$10,'VK-Biokütused'!$C:$U,2+$E48,0))+IF(CW$5="X",VLOOKUP(CW$10,'VK-Põlevkivi'!$C:$X,2+$G48,0))+IF(CW$4="X",VLOOKUP(CW$10,'VK-Võrgud'!$C:$X,2+$F48,0)))/16</f>
        <v>59.743749999999999</v>
      </c>
      <c r="CY48" s="209">
        <f>(IF(CY$7="X",VLOOKUP(CY$10,'VK-Hooned-Soojus'!$C:$X,2+$C48,FALSE),0)+IF(CY$6="X",VLOOKUP(CY$10,'VK-Transport'!$C:$X,2+$B48,0))+IF(CY$8="X",VLOOKUP(CY$10,'VK-Elekter'!$C:$X,2+$D48,0))+IF(CY$9="X",VLOOKUP(CY$10,'VK-Biokütused'!$C:$U,2+$E48,0))+IF(CY$5="X",VLOOKUP(CY$10,'VK-Põlevkivi'!$C:$X,2+$G48,0))+IF(CY$4="X",VLOOKUP(CY$10,'VK-Võrgud'!$C:$X,2+$F48,0)))/1000</f>
        <v>10.896000000000001</v>
      </c>
      <c r="CZ48" s="209">
        <f>(IF(CZ$7="X",VLOOKUP(CZ$10,'VK-Hooned-Soojus'!$C:$X,2+$C48,FALSE),0)+IF(CZ$6="X",VLOOKUP(CZ$10,'VK-Transport'!$C:$X,2+$B48,0))+IF(CZ$8="X",VLOOKUP(CZ$10,'VK-Elekter'!$C:$X,2+$D48,0))+IF(CZ$9="X",VLOOKUP(CZ$10,'VK-Biokütused'!$C:$U,2+$E48,0))+IF(CZ$5="X",VLOOKUP(CZ$10,'VK-Põlevkivi'!$C:$X,2+$G48,0))+IF(CZ$4="X",VLOOKUP(CZ$10,'VK-Võrgud'!$C:$X,2+$F48,0)))</f>
        <v>76.400000000000006</v>
      </c>
      <c r="DA48" s="209">
        <f>(IF(DA$7="X",VLOOKUP(DA$10,'VK-Hooned-Soojus'!$C:$X,2+$C48,FALSE),0)+IF(DA$6="X",VLOOKUP(DA$10,'VK-Transport'!$C:$X,2+$B48,0))+IF(DA$8="X",VLOOKUP(DA$10,'VK-Elekter'!$C:$X,2+$D48,0))+IF(DA$9="X",VLOOKUP(DA$10,'VK-Biokütused'!$C:$U,2+$E48,0))+IF(DA$5="X",VLOOKUP(DA$10,'VK-Põlevkivi'!$C:$X,2+$G48,0))+IF(DA$4="X",VLOOKUP(DA$10,'VK-Võrgud'!$C:$X,2+$F48,0)))/1000</f>
        <v>14.388</v>
      </c>
      <c r="DB48" s="209">
        <f>(IF(DB$7="X",VLOOKUP(DB$10,'VK-Hooned-Soojus'!$C:$X,2+$C48,FALSE),0)+IF(DB$6="X",VLOOKUP(DB$10,'VK-Transport'!$C:$X,2+$B48,0))+IF(DB$8="X",VLOOKUP(DB$10,'VK-Elekter'!$C:$X,2+$D48,0))+IF(DB$9="X",VLOOKUP(DB$10,'VK-Biokütused'!$C:$U,2+$E48,0))+IF(DB$5="X",VLOOKUP(DB$10,'VK-Põlevkivi'!$C:$X,2+$G48,0))+IF(DB$4="X",VLOOKUP(DB$10,'VK-Võrgud'!$C:$X,2+$F48,0)))/1000/3.6</f>
        <v>64.18249999999999</v>
      </c>
      <c r="DC48" s="209">
        <f>(IF(DC$7="X",VLOOKUP(DC$10,'VK-Hooned-Soojus'!$C:$X,2+$C48,FALSE),0)+IF(DC$6="X",VLOOKUP(DC$10,'VK-Transport'!$C:$X,2+$B48,0))+IF(DC$8="X",VLOOKUP(DC$10,'VK-Elekter'!$C:$X,2+$D48,0))+IF(DC$9="X",VLOOKUP(DC$10,'VK-Biokütused'!$C:$U,2+$E48,0))+IF(DC$5="X",VLOOKUP(DC$10,'VK-Põlevkivi'!$C:$X,2+$G48,0))+IF(DC$4="X",VLOOKUP(DC$10,'VK-Võrgud'!$C:$X,2+$F48,0)))/1000000</f>
        <v>5.1989749999999999</v>
      </c>
      <c r="DD48" s="209"/>
      <c r="DE48" s="88">
        <f>VLOOKUP(Tulemused!$BN$12,data!M$7:N$12,2,FALSE)-SUM(L48,M48)</f>
        <v>-2.20664444444445</v>
      </c>
      <c r="DF48" s="209" t="str">
        <f>IF(AZ48&lt;=VLOOKUP(Tulemused!$BN$15,data!$E$36:$F$39,2,FALSE),"JAH","EI")</f>
        <v>JAH</v>
      </c>
      <c r="DG48" s="209"/>
      <c r="DH48" s="209">
        <f t="shared" si="38"/>
        <v>6.08</v>
      </c>
      <c r="DI48" s="231" t="str">
        <f t="shared" si="17"/>
        <v>EI</v>
      </c>
      <c r="DK48" s="232">
        <f t="shared" si="39"/>
        <v>-997.14674161777452</v>
      </c>
      <c r="DM48" s="233">
        <f t="shared" si="40"/>
        <v>-993.05682883613838</v>
      </c>
      <c r="DN48" s="87">
        <f t="array" ref="DN48">INDEX($A$11:$A$145, SMALL(IF(DM48=$DK$11:$DK$145, MATCH(ROW($DK$11:$DK$145), ROW($DK$11:$DK$145))), SUM(--(DM48=$DM$11:DM48))))</f>
        <v>113</v>
      </c>
      <c r="DP48" s="87" t="e">
        <f t="shared" ca="1" si="18"/>
        <v>#N/A</v>
      </c>
      <c r="DQ48" s="87" t="e">
        <f t="shared" ca="1" si="19"/>
        <v>#N/A</v>
      </c>
      <c r="DR48" s="87">
        <f t="shared" ca="1" si="20"/>
        <v>0</v>
      </c>
      <c r="DS48" s="87" t="e">
        <f t="shared" ca="1" si="21"/>
        <v>#N/A</v>
      </c>
      <c r="DT48" s="87">
        <f t="shared" ca="1" si="22"/>
        <v>0</v>
      </c>
      <c r="DU48" s="87" t="e">
        <f t="shared" ca="1" si="23"/>
        <v>#N/A</v>
      </c>
      <c r="DV48" s="87" t="e">
        <f t="shared" ca="1" si="24"/>
        <v>#N/A</v>
      </c>
      <c r="DW48" s="87">
        <f t="shared" ca="1" si="25"/>
        <v>0</v>
      </c>
      <c r="DX48" s="87">
        <f t="shared" ca="1" si="26"/>
        <v>0</v>
      </c>
      <c r="DZ48" s="87">
        <f t="shared" ca="1" si="35"/>
        <v>0</v>
      </c>
      <c r="EB48" s="87">
        <f t="shared" ca="1" si="27"/>
        <v>0</v>
      </c>
      <c r="EC48" s="87" t="e">
        <f t="shared" ca="1" si="28"/>
        <v>#N/A</v>
      </c>
      <c r="EE48" s="228">
        <f>(IF(EE$7="X",VLOOKUP(EE$10,'VK-Hooned-Soojus'!$C:$X,2+$C48,FALSE),0)+IF(EE$6="X",VLOOKUP(EE$10,'VK-Transport'!$C:$X,2+$B48,0))+IF(EE$8="X",VLOOKUP(EE$10,'VK-Elekter'!$C:$X,2+$D48,0))+IF(EE$9="X",VLOOKUP(EE$10,'VK-Biokütused'!$C:$U,2+$E48,0))+IF(EE$5="X",VLOOKUP(EE$10,'VK-Põlevkivi'!$C:$X,2+$G48,0))+IF(EE$4="X",VLOOKUP(EE$10,'VK-Võrgud'!$C:$X,2+$F48,0)))</f>
        <v>9990.0765373470513</v>
      </c>
      <c r="EF48" s="235">
        <f>(IF(EF$7="X",VLOOKUP(EF$10,'VK-Hooned-Soojus'!$C:$X,2+$C48,FALSE),0)+IF(EF$6="X",VLOOKUP(EF$10,'VK-Transport'!$C:$X,2+$B48,0))+IF(EF$8="X",VLOOKUP(EF$10,'VK-Elekter'!$C:$X,2+$D48,0))+IF(EF$9="X",VLOOKUP(EF$10,'VK-Biokütused'!$C:$U,2+$E48,0)))/1000</f>
        <v>4.7076368215830611</v>
      </c>
      <c r="EG48" s="209">
        <f>(IF(EG$7="X",VLOOKUP(EG$10,'VK-Hooned-Soojus'!$C:$X,2+$C48,FALSE),0)+IF(EG$6="X",VLOOKUP(EG$10,'VK-Transport'!$C:$X,2+$B48,0))+IF(EG$8="X",VLOOKUP(EG$10,'VK-Elekter'!$C:$X,2+$D48,0))+IF(EG$9="X",VLOOKUP(EG$10,'VK-Biokütused'!$C:$U,2+$E48,0))+IF(EG$5="X",VLOOKUP(EG$10,'VK-Põlevkivi'!$C:$X,2+$G48,0))+IF(EG$4="X",VLOOKUP(EG$10,'VK-Võrgud'!$C:$X,2+$F48,0)))</f>
        <v>2.95</v>
      </c>
      <c r="EH48" s="209">
        <f>(IF(EH$7="X",VLOOKUP(EH$10,'VK-Hooned-Soojus'!$C:$X,2+$C48,FALSE),0)+IF(EH$6="X",VLOOKUP(EH$10,'VK-Transport'!$C:$X,2+$B48,0))+IF(EH$8="X",VLOOKUP(EH$10,'VK-Elekter'!$C:$X,2+$D48,0))+IF(EH$9="X",VLOOKUP(EH$10,'VK-Biokütused'!$C:$U,2+$E48,0)))+AR48+AS48+AU48+AX48</f>
        <v>55.276165628957578</v>
      </c>
      <c r="EI48" s="320">
        <f t="shared" si="41"/>
        <v>48.634567183462529</v>
      </c>
      <c r="EJ48" s="322">
        <f t="shared" si="42"/>
        <v>8.0193915230047791E-2</v>
      </c>
      <c r="EK48" s="323">
        <f t="shared" si="29"/>
        <v>0.41846756333624086</v>
      </c>
      <c r="EM48" s="209"/>
      <c r="EN48" s="209">
        <f t="shared" ca="1" si="43"/>
        <v>0</v>
      </c>
      <c r="EO48" s="209"/>
      <c r="EP48" s="234"/>
      <c r="EQ48" s="209">
        <f>(IF(EQ$7="X",VLOOKUP(EQ$10,'VK-Hooned-Soojus'!$C:$X,2+$C48,FALSE),0)+IF(EQ$6="X",VLOOKUP(EQ$10,'VK-Transport'!$C:$X,2+$B48,0))+IF(EQ$8="X",VLOOKUP(EQ$10,'VK-Elekter'!$C:$X,2+$D48,0))+IF(EQ$9="X",VLOOKUP(EQ$10,'VK-Biokütused'!$C:$U,2+$E48,0))+IF(EQ$5="X",VLOOKUP(EQ$10,'VK-Põlevkivi'!$C:$X,2+$G48,0))+IF(EQ$4="X",VLOOKUP(EQ$10,'VK-Võrgud'!$C:$X,2+$F48,0)))/1000</f>
        <v>0.19900000000000001</v>
      </c>
      <c r="ER48" s="209">
        <f>(IF(ER$7="X",VLOOKUP(ER$10,'VK-Hooned-Soojus'!$C:$X,2+$C48,FALSE),0)+IF(ER$6="X",VLOOKUP(ER$10,'VK-Transport'!$C:$X,2+$B48,0))+IF(ER$8="X",VLOOKUP(ER$10,'VK-Elekter'!$C:$X,2+$D48,0))+IF(ER$9="X",VLOOKUP(ER$10,'VK-Biokütused'!$C:$U,2+$E48,0))+IF(ER$5="X",VLOOKUP(ER$10,'VK-Põlevkivi'!$C:$X,2+$G48,0))+IF(ER$4="X",VLOOKUP(ER$10,'VK-Võrgud'!$C:$X,2+$F48,0)))</f>
        <v>0.72299999999999998</v>
      </c>
      <c r="ES48" s="209">
        <f>(IF(ES$7="X",VLOOKUP(ES$10,'VK-Hooned-Soojus'!$C:$X,2+$C48,FALSE),0)+IF(ES$6="X",VLOOKUP(ES$10,'VK-Transport'!$C:$X,2+$B48,0))+IF(ES$8="X",VLOOKUP(ES$10,'VK-Elekter'!$C:$X,2+$D48,0))+IF(ES$9="X",VLOOKUP(ES$10,'VK-Biokütused'!$C:$U,2+$E48,0))+IF(ES$5="X",VLOOKUP(ES$10,'VK-Põlevkivi'!$C:$X,2+$G48,0))+IF(ES$4="X",VLOOKUP(ES$10,'VK-Võrgud'!$C:$X,2+$F48,0)))</f>
        <v>6.08</v>
      </c>
      <c r="ET48" s="209"/>
      <c r="EU48" s="209"/>
      <c r="EV48" s="87">
        <f>'KSH järjestus'!AS41</f>
        <v>1388</v>
      </c>
      <c r="EX48" s="236"/>
      <c r="EY48" s="236"/>
      <c r="EZ48" s="237">
        <f t="shared" si="44"/>
        <v>6.6265060240963902E-2</v>
      </c>
      <c r="FA48" s="209">
        <f>IF(FA$7="X",VLOOKUP(FA$10,'VK-Hooned-Soojus'!$C:$X,2+$C48,FALSE),0)+IF(FA$6="X",VLOOKUP(FA$10,'VK-Transport'!$C:$X,2+$B48,0))+IF(FA$8="X",VLOOKUP(FA$10,'VK-Elekter'!$C:$X,2+$D48,0))+IF(FA$9="X",VLOOKUP(FA$10,'VK-Biokütused'!$C:$U,2+$E48,0))+IF(FA$5="X",VLOOKUP(FA$10,'VK-Põlevkivi'!$C:$X,2+$G48,0))+IF(FA$4="X",VLOOKUP(FA$10,'VK-Võrgud'!$C:$X,2+$F48,0))</f>
        <v>3579.9070000000002</v>
      </c>
      <c r="FB48" s="279">
        <f>(IF(FB$7="X",VLOOKUP(FB$10,'VK-Hooned-Soojus'!$C:$X,2+$C48,FALSE),0)+IF(FB$6="X",VLOOKUP(FB$10,'VK-Transport'!$C:$X,2+$B48,0))+IF(FB$8="X",VLOOKUP(FB$10,'VK-Elekter'!$C:$X,2+$D48,0))+IF(FB$9="X",VLOOKUP(FB$10,'VK-Biokütused'!$C:$U,2+$E48,0))+IF(FB$5="X",VLOOKUP(FB$10,'VK-Põlevkivi'!$C:$X,2+$G48,0))+IF(FB$4="X",VLOOKUP(FB$10,'VK-Võrgud'!$C:$X,2+$F48,0)))/16</f>
        <v>362.3909315842684</v>
      </c>
      <c r="FC48" s="209">
        <f>IF(FC$7="X",VLOOKUP(FC$10,'VK-Hooned-Soojus'!$C:$X,2+$C48,FALSE),0)+IF(FC$6="X",VLOOKUP(FC$10,'VK-Transport'!$C:$X,2+$B48,0))+IF(FC$8="X",VLOOKUP(FC$10,'VK-Elekter'!$C:$X,2+$D48,0))+IF(FC$9="X",VLOOKUP(FC$10,'VK-Biokütused'!$C:$U,2+$E48,0))+IF(FC$5="X",VLOOKUP(FC$10,'VK-Põlevkivi'!$C:$X,2+$G48,0))+IF(FC$4="X",VLOOKUP(FC$10,'VK-Võrgud'!$C:$X,2+$F48,0))</f>
        <v>309.09999999999997</v>
      </c>
      <c r="FD48" s="209">
        <f>(IF(FD$7="X",VLOOKUP(FD$10,'VK-Hooned-Soojus'!$C:$X,2+$C48,FALSE),0)+IF(FD$6="X",VLOOKUP(FD$10,'VK-Transport'!$C:$X,2+$B48,0))+IF(FD$8="X",VLOOKUP(FD$10,'VK-Elekter'!$C:$X,2+$D48,0))+IF(FD$9="X",VLOOKUP(FD$10,'VK-Biokütused'!$C:$U,2+$E48,0))+IF(FD$5="X",VLOOKUP(FD$10,'VK-Põlevkivi'!$C:$X,2+$G48,0))+IF(FD$4="X",VLOOKUP(FD$10,'VK-Võrgud'!$C:$X,2+$F48,0)))/16</f>
        <v>362.3909315842684</v>
      </c>
      <c r="FE48" s="209">
        <f>(IF(FE$7="X",VLOOKUP(FE$10,'VK-Hooned-Soojus'!$C:$X,2+$C48,FALSE),0)+IF(FE$6="X",VLOOKUP(FE$10,'VK-Transport'!$C:$X,2+$B48,0))+IF(FE$8="X",VLOOKUP(FE$10,'VK-Elekter'!$C:$X,2+$D48,0))+IF(FE$9="X",VLOOKUP(FE$10,'VK-Biokütused'!$C:$U,2+$E48,0))+IF(FE$5="X",VLOOKUP(FE$10,'VK-Põlevkivi'!$C:$X,2+$G48,0))+IF(FE$4="X",VLOOKUP(FE$10,'VK-Võrgud'!$C:$X,2+$F48,0)))/16</f>
        <v>-137.65321988063209</v>
      </c>
      <c r="FF48" s="209">
        <f>(IF(FF$7="X",VLOOKUP(FF$10,'VK-Hooned-Soojus'!$C:$X,2+$C48,FALSE),0)+IF(FF$6="X",VLOOKUP(FF$10,'VK-Transport'!$C:$X,2+$B48,0))+IF(FF$8="X",VLOOKUP(FF$10,'VK-Elekter'!$C:$X,2+$D48,0))+IF(FF$9="X",VLOOKUP(FF$10,'VK-Biokütused'!$C:$U,2+$E48,0))+IF(FF$5="X",VLOOKUP(FF$10,'VK-Põlevkivi'!$C:$X,2+$G48,0))+IF(FF$4="X",VLOOKUP(FF$10,'VK-Võrgud'!$C:$X,2+$F48,0)))/16</f>
        <v>127.87627464550133</v>
      </c>
      <c r="FG48" s="88">
        <f t="shared" ca="1" si="30"/>
        <v>-9.7769452351307677</v>
      </c>
      <c r="FH48" s="88"/>
      <c r="FI48" s="88"/>
      <c r="FJ48" s="88">
        <f>VLOOKUP(Tulemused!$BN$12,data!M$7:N$12,2,FALSE)-SUM(L48,M48)</f>
        <v>-2.20664444444445</v>
      </c>
      <c r="FK48" s="209" t="str">
        <f>IF(AZ48&lt;=VLOOKUP(Tulemused!$BN$15,data!$E$36:$F$39,2,FALSE),"JAH","EI")</f>
        <v>JAH</v>
      </c>
      <c r="FL48" s="235">
        <f ca="1">IF(ISNA(MATCH($A48,INDIRECT(VLOOKUP(Tulemused!$BF$11,data!$J$57:$M$71,4,FALSE)))),0,MATCH($A48,INDIRECT(VLOOKUP(Tulemused!$BF$11,data!$J$57:$M$71,4,FALSE))))</f>
        <v>0</v>
      </c>
      <c r="FM48" s="235" t="str">
        <f t="shared" ca="1" si="45"/>
        <v>JAH</v>
      </c>
      <c r="FN48" s="209">
        <f>VLOOKUP(Tulemused!$BN$13,data!$C$132:$D$137,2,FALSE)-KOMBI!R48</f>
        <v>2.8708331784169405</v>
      </c>
      <c r="FO48" s="209"/>
      <c r="FP48" s="209">
        <f>VLOOKUP(Tulemused!$BN$17,NO_x,2,FALSE)-CJ48</f>
        <v>10.845138900569413</v>
      </c>
      <c r="FQ48" s="209">
        <f>VLOOKUP(Tulemused!$BN$18,SO_2,2,FALSE)-CK48</f>
        <v>40.658875437721399</v>
      </c>
      <c r="FR48" s="209">
        <f>VLOOKUP(Tulemused!$BN$19,LOU,2,FALSE)-CN48</f>
        <v>34.324000000000005</v>
      </c>
      <c r="FS48" s="209">
        <f>VLOOKUP(Tulemused!$BN$20,PM_2.5,2,FALSE)-CM48</f>
        <v>9.2916843205528963</v>
      </c>
      <c r="FT48" s="209">
        <f>VLOOKUP(Tulemused!$BN$13,data!$C$132:$D$137,2,FALSE)-FA48/1000</f>
        <v>2.6660630000000007</v>
      </c>
      <c r="FU48" s="209">
        <f>VLOOKUP(Tulemused!$BN$17,NO_x,2,FALSE)-CO48</f>
        <v>4.314350226714545</v>
      </c>
      <c r="FV48" s="209">
        <f>VLOOKUP(Tulemused!$BN$18,SO_2,2,FALSE)-CP48</f>
        <v>38.47605141570439</v>
      </c>
      <c r="FW48" s="209">
        <f>VLOOKUP(Tulemused!$BN$19,LOU,2,FALSE)-CS48</f>
        <v>33.163847594878391</v>
      </c>
      <c r="FX48" s="209">
        <f>VLOOKUP(Tulemused!$BN$20,PM_2.5,2,FALSE)-CR48</f>
        <v>9.1822466437251951</v>
      </c>
      <c r="FY48" s="209">
        <f>VLOOKUP(Tulemused!$BN$14,KHG_2050,2,FALSE)-EF48</f>
        <v>95.292363178416934</v>
      </c>
      <c r="FZ48" s="231" t="str">
        <f t="shared" ca="1" si="31"/>
        <v>EI</v>
      </c>
      <c r="GA48" s="209"/>
      <c r="GB48" s="209"/>
      <c r="GC48" s="209"/>
      <c r="GD48" s="231"/>
      <c r="GE48" s="87">
        <f t="shared" si="46"/>
        <v>1388</v>
      </c>
      <c r="GF48" s="232" t="str">
        <f t="shared" ca="1" si="32"/>
        <v/>
      </c>
      <c r="GH48" s="238" t="e">
        <f t="shared" ca="1" si="47"/>
        <v>#NUM!</v>
      </c>
      <c r="GI48" s="87" t="e">
        <f t="array" aca="1" ref="GI48" ca="1">INDEX($A$11:$A$145, SMALL(IF(GH48=$GF$11:$GF$145, MATCH(ROW($GF$11:$GF$145), ROW($GF$11:$GF$145))), SUM(--(GH48=$GH$11:GH48))))</f>
        <v>#NUM!</v>
      </c>
      <c r="GM48" s="209">
        <f>IF(GM$7="X",VLOOKUP(GM$10,'VK-Hooned-Soojus'!$C:$X,2+$C48,FALSE),0)+IF(GM$6="X",VLOOKUP(GM$10,'VK-Transport'!$C:$X,2+$B48,0))+IF(GM$8="X",VLOOKUP(GM$10,'VK-Elekter'!$C:$X,2+$D48,0))+IF(GM$9="X",VLOOKUP(GM$10,'VK-Biokütused'!$C:$U,2+$E48,0))+IF(GM$5="X",VLOOKUP(GM$10,'VK-Põlevkivi'!$C:$X,2+$G48,0))+IF(GM$4="X",VLOOKUP(GM$10,'VK-Võrgud'!$C:$X,2+$F48,0))</f>
        <v>6.011750640646909</v>
      </c>
      <c r="GN48" s="209">
        <f>IF(GN$7="X",VLOOKUP(GN$10,'VK-Hooned-Soojus'!$C:$X,2+$C48,FALSE),0)+IF(GN$6="X",VLOOKUP(GN$10,'VK-Transport'!$C:$X,2+$B48,0))+IF(GN$8="X",VLOOKUP(GN$10,'VK-Elekter'!$C:$X,2+$D48,0))+IF(GN$9="X",VLOOKUP(GN$10,'VK-Biokütused'!$C:$U,2+$E48,0))+IF(GN$5="X",VLOOKUP(GN$10,'VK-Põlevkivi'!$C:$X,2+$G48,0))+IF(GN$4="X",VLOOKUP(GN$10,'VK-Võrgud'!$C:$X,2+$F48,0))</f>
        <v>3.4528686473995491</v>
      </c>
      <c r="GO48" s="209">
        <f>IF(GO$7="X",VLOOKUP(GO$10,'VK-Hooned-Soojus'!$C:$X,2+$C48,FALSE),0)+IF(GO$6="X",VLOOKUP(GO$10,'VK-Transport'!$C:$X,2+$B48,0))+IF(GO$8="X",VLOOKUP(GO$10,'VK-Elekter'!$C:$X,2+$D48,0))+IF(GO$9="X",VLOOKUP(GO$10,'VK-Biokütused'!$C:$U,2+$E48,0))+IF(GO$5="X",VLOOKUP(GO$10,'VK-Põlevkivi'!$C:$X,2+$G48,0))+IF(GO$4="X",VLOOKUP(GO$10,'VK-Võrgud'!$C:$X,2+$F48,0))</f>
        <v>7.5763700102722566</v>
      </c>
      <c r="GP48" s="209">
        <f>IF(GP$7="X",VLOOKUP(GP$10,'VK-Hooned-Soojus'!$C:$X,2+$C48,FALSE),0)+IF(GP$6="X",VLOOKUP(GP$10,'VK-Transport'!$C:$X,2+$B48,0))+IF(GP$8="X",VLOOKUP(GP$10,'VK-Elekter'!$C:$X,2+$D48,0))+IF(GP$9="X",VLOOKUP(GP$10,'VK-Biokütused'!$C:$U,2+$E48,0))+IF(GP$5="X",VLOOKUP(GP$10,'VK-Põlevkivi'!$C:$X,2+$G48,0))+IF(GP$4="X",VLOOKUP(GP$10,'VK-Võrgud'!$C:$X,2+$F48,0))</f>
        <v>8.9326558040707589</v>
      </c>
      <c r="GQ48" s="88">
        <f>IF(GQ$7="X",VLOOKUP(GQ$10,'VK-Hooned-Soojus'!$C:$X,2+$C48,FALSE),0)+IF(GQ$6="X",VLOOKUP(GQ$10,'VK-Transport'!$C:$X,2+$B48,0))+IF(GQ$8="X",VLOOKUP(GQ$10,'VK-Elekter'!$C:$X,2+$D48,0))+IF(GQ$9="X",VLOOKUP(GQ$10,'VK-Biokütused'!$C:$U,2+$E48,0))+IF(GQ$5="X",VLOOKUP(GQ$10,'VK-Põlevkivi'!$C:$X,2+$G48,0))+IF(GQ$4="X",VLOOKUP(GQ$10,'VK-Võrgud'!$C:$X,2+$F48,0))</f>
        <v>0.9682855968523334</v>
      </c>
      <c r="GR48" s="186">
        <f t="shared" si="33"/>
        <v>0.38110792736726479</v>
      </c>
    </row>
    <row r="49" spans="1:200" x14ac:dyDescent="0.2">
      <c r="A49" s="184">
        <v>39</v>
      </c>
      <c r="B49" s="87">
        <v>1</v>
      </c>
      <c r="C49" s="87">
        <v>3</v>
      </c>
      <c r="D49" s="87">
        <v>3</v>
      </c>
      <c r="E49" s="87">
        <v>3</v>
      </c>
      <c r="F49" s="87">
        <f>VLOOKUP(Tulemused!$BF$7,data!$J$6:$K$8,2,FALSE)</f>
        <v>2</v>
      </c>
      <c r="G49" s="87">
        <f>VLOOKUP(data!$H$2,data!$J$12:$K$14,2,FALSE)</f>
        <v>2</v>
      </c>
      <c r="I49" s="209">
        <f>IF(I$7="X",VLOOKUP(I$10,'VK-Hooned-Soojus'!$C:$X,2+$C49,FALSE),0)+IF(I$6="X",VLOOKUP(I$10,'VK-Transport'!$C:$X,2+$B49,0))+IF(I$8="X",VLOOKUP(I$10,'VK-Elekter'!$C:$X,2+$D49,0))+IF(I$9="X",VLOOKUP(I$10,'VK-Biokütused'!$C:$U,2+$E49,0))+IF(I$5="X",VLOOKUP(I$10,'VK-Põlevkivi'!$C:$X,2+$G49,0))+IF(I$4="X",VLOOKUP(I$10,'VK-Võrgud'!$C:$X,2+$F49,0))</f>
        <v>23.490000000000002</v>
      </c>
      <c r="J49" s="209">
        <f>IF(J$7="X",VLOOKUP(J$10,'VK-Hooned-Soojus'!$C:$X,2+$C49,FALSE),0)+IF(J$6="X",VLOOKUP(J$10,'VK-Transport'!$C:$X,2+$B49,0))+IF(J$8="X",VLOOKUP(J$10,'VK-Elekter'!$C:$X,2+$D49,0))+IF(J$9="X",VLOOKUP(J$10,'VK-Biokütused'!$C:$U,2+$E49,0))+IF(J$5="X",VLOOKUP(J$10,'VK-Põlevkivi'!$C:$X,2+$G49,0))+IF(J$4="X",VLOOKUP(J$10,'VK-Võrgud'!$C:$X,2+$F49,0))</f>
        <v>13.295833333333334</v>
      </c>
      <c r="K49" s="209">
        <f>IF(K$7="X",VLOOKUP(K$10,'VK-Hooned-Soojus'!$C:$X,2+$C49,FALSE),0)+IF(K$6="X",VLOOKUP(K$10,'VK-Transport'!$C:$X,2+$B49,0))+IF(K$8="X",VLOOKUP(K$10,'VK-Elekter'!$C:$X,2+$D49,0))+IF(K$9="X",VLOOKUP(K$10,'VK-Biokütused'!$C:$U,2+$E49,0))+IF(K$5="X",VLOOKUP(K$10,'VK-Põlevkivi'!$C:$X,2+$G49,0))+IF(K$4="X",VLOOKUP(K$10,'VK-Võrgud'!$C:$X,2+$F49,0))</f>
        <v>13.780000000000001</v>
      </c>
      <c r="L49" s="209">
        <f>IF(L$7="X",VLOOKUP(L$10,'VK-Hooned-Soojus'!$C:$X,2+$C49,FALSE),0)+IF(L$6="X",VLOOKUP(L$10,'VK-Transport'!$C:$X,2+$B49,0))+IF(L$8="X",VLOOKUP(L$10,'VK-Elekter'!$C:$X,2+$D49,0))+IF(L$9="X",VLOOKUP(L$10,'VK-Biokütused'!$C:$U,2+$E49,0))+IF(L$5="X",VLOOKUP(L$10,'VK-Põlevkivi'!$C:$X,2+$G49,0))+IF(L$4="X",VLOOKUP(L$10,'VK-Võrgud'!$C:$X,2+$F49,0))</f>
        <v>23.75</v>
      </c>
      <c r="M49" s="209">
        <f>IF(M$7="X",VLOOKUP(M$10,'VK-Hooned-Soojus'!$C:$X,2+$C49,FALSE),0)+IF(M$6="X",VLOOKUP(M$10,'VK-Transport'!$C:$X,2+$B49,0))+IF(M$8="X",VLOOKUP(M$10,'VK-Elekter'!$C:$X,2+$D49,0))+IF(M$9="X",VLOOKUP(M$10,'VK-Biokütused'!$C:$U,2+$E49,0))+IF(M$5="X",VLOOKUP(M$10,'VK-Põlevkivi'!$C:$X,2+$G49,0))+IF(M$4="X",VLOOKUP(M$10,'VK-Võrgud'!$C:$X,2+$F49,0))</f>
        <v>11.289444444444445</v>
      </c>
      <c r="N49" s="209">
        <f>IF(N$7="X",VLOOKUP(N$10,'VK-Hooned-Soojus'!$C:$X,2+$C49,FALSE),0)+IF(N$6="X",VLOOKUP(N$10,'VK-Transport'!$C:$X,2+$B49,0))+IF(N$8="X",VLOOKUP(N$10,'VK-Elekter'!$C:$X,2+$D49,0))+IF(N$9="X",VLOOKUP(N$10,'VK-Biokütused'!$C:$U,2+$E49,0))+IF(N$5="X",VLOOKUP(N$10,'VK-Põlevkivi'!$C:$X,2+$G49,0))+IF(N$4="X",VLOOKUP(N$10,'VK-Võrgud'!$C:$X,2+$F49,0))</f>
        <v>15.25</v>
      </c>
      <c r="O49" s="209">
        <f t="shared" si="13"/>
        <v>36.785833333333336</v>
      </c>
      <c r="P49" s="209"/>
      <c r="Q49" s="209">
        <f>(IF(Q$7="X",VLOOKUP(Q$10,'VK-Hooned-Soojus'!$C:$X,2+$C49,FALSE),0)+IF(Q$6="X",VLOOKUP(Q$10,'VK-Transport'!$C:$X,2+$B49,0))+IF(Q$8="X",VLOOKUP(Q$10,'VK-Elekter'!$C:$X,2+$D49,0))+IF(Q$9="X",VLOOKUP(Q$10,'VK-Biokütused'!$C:$U,2+$E49,0))+IF(Q$5="X",VLOOKUP(Q$10,'VK-Põlevkivi'!$C:$X,2+$G49,0))+IF(Q$4="X",VLOOKUP(Q$10,'VK-Võrgud'!$C:$X,2+$F49,0)))/1000</f>
        <v>4.9050000000000002</v>
      </c>
      <c r="R49" s="209">
        <f>(IF(R$7="X",VLOOKUP(R$10,'VK-Hooned-Soojus'!$C:$X,2+$C49,FALSE),0)+IF(R$6="X",VLOOKUP(R$10,'VK-Transport'!$C:$X,2+$B49,0))+IF(R$8="X",VLOOKUP(R$10,'VK-Elekter'!$C:$X,2+$D49,0))+IF(R$9="X",VLOOKUP(R$10,'VK-Biokütused'!$C:$U,2+$E49,0))+IF(R$5="X",VLOOKUP(R$10,'VK-Põlevkivi'!$C:$X,2+$G49,0))+IF(R$4="X",VLOOKUP(R$10,'VK-Võrgud'!$C:$X,2+$F49,0)))/1000</f>
        <v>3.5838368215830605</v>
      </c>
      <c r="S49" s="226">
        <f>VLOOKUP(S$10,'VK-Hooned-Soojus'!$C:$I,2+$C49,FALSE) + VLOOKUP(S$10,'VK-Transport'!$C:$I,2+$B49,FALSE)+ VLOOKUP(S$10,'VK-Biokütused'!$C:$G,2+$E49,FALSE)+ VLOOKUP(S$10,'VK-Elekter'!$C:$I,2+$D49,FALSE)+ VLOOKUP(S$10,'VK-Põlevkivi'!$C:$I,2+$G49,FALSE)+ VLOOKUP(S$10,'VK-Võrgud'!$C:$I,2+$F49,FALSE)</f>
        <v>1.9237343640732821E-2</v>
      </c>
      <c r="T49" s="226">
        <f>VLOOKUP(T$10,'VK-Hooned-Soojus'!$C:$I,2+$C49,FALSE) + VLOOKUP(T$10,'VK-Transport'!$C:$I,2+$B49,FALSE)+ VLOOKUP(T$10,'VK-Biokütused'!$C:$G,2+$E49,FALSE)+ VLOOKUP(T$10,'VK-Elekter'!$C:$I,2+$D49,FALSE)+ VLOOKUP(T$10,'VK-Põlevkivi'!$C:$I,2+$G49,FALSE)+ VLOOKUP(T$10,'VK-Võrgud'!$C:$I,2+$F49,FALSE)</f>
        <v>-7.6398143186003631E-3</v>
      </c>
      <c r="U49" s="226">
        <f>VLOOKUP(U$10,'VK-Hooned-Soojus'!$C:$I,2+$C49,FALSE) + VLOOKUP(U$10,'VK-Transport'!$C:$I,2+$B49,FALSE)+ VLOOKUP(U$10,'VK-Biokütused'!$C:$G,2+$E49,FALSE)+ VLOOKUP(U$10,'VK-Elekter'!$C:$I,2+$D49,FALSE)+ VLOOKUP(U$10,'VK-Põlevkivi'!$C:$I,2+$G49,FALSE)+ VLOOKUP(U$10,'VK-Võrgud'!$C:$I,2+$F49,FALSE)</f>
        <v>2.3060461970615675E-3</v>
      </c>
      <c r="V49" s="226">
        <f>VLOOKUP(V$10,'VK-Hooned-Soojus'!$C:$I,2+$C49,FALSE) + VLOOKUP(V$10,'VK-Transport'!$C:$I,2+$B49,FALSE)+ VLOOKUP(V$10,'VK-Biokütused'!$C:$G,2+$E49,FALSE)+ VLOOKUP(V$10,'VK-Elekter'!$C:$I,2+$D49,FALSE)+ VLOOKUP(V$10,'VK-Põlevkivi'!$C:$I,2+$G49,FALSE)+ VLOOKUP(V$10,'VK-Võrgud'!$C:$I,2+$F49,FALSE)</f>
        <v>1.7102384162027119E-2</v>
      </c>
      <c r="W49" s="226">
        <f>VLOOKUP(W$10,'VK-Hooned-Soojus'!$C:$I,2+$C49,FALSE) + VLOOKUP(W$10,'VK-Transport'!$C:$I,2+$B49,FALSE)+ VLOOKUP(W$10,'VK-Biokütused'!$C:$G,2+$E49,FALSE)+ VLOOKUP(W$10,'VK-Elekter'!$C:$I,2+$D49,FALSE)+ VLOOKUP(W$10,'VK-Põlevkivi'!$C:$I,2+$G49,FALSE)+ VLOOKUP(W$10,'VK-Võrgud'!$C:$I,2+$F49,FALSE)</f>
        <v>-1.3311686302858144E-2</v>
      </c>
      <c r="X49" s="226">
        <f>VLOOKUP(X$10,'VK-Hooned-Soojus'!$C:$I,2+$C49,FALSE) + VLOOKUP(X$10,'VK-Transport'!$C:$I,2+$B49,FALSE)+ VLOOKUP(X$10,'VK-Biokütused'!$C:$G,2+$E49,FALSE)+ VLOOKUP(X$10,'VK-Elekter'!$C:$I,2+$D49,FALSE)+ VLOOKUP(X$10,'VK-Põlevkivi'!$C:$I,2+$G49,FALSE)+ VLOOKUP(X$10,'VK-Võrgud'!$C:$I,2+$F49,FALSE)</f>
        <v>-1.6397053067174906E-2</v>
      </c>
      <c r="Y49" s="226">
        <f>VLOOKUP(Y$10,'VK-Hooned-Soojus'!$C:$I,2+$C49,FALSE) + VLOOKUP(Y$10,'VK-Transport'!$C:$I,2+$B49,FALSE)+ VLOOKUP(Y$10,'VK-Biokütused'!$C:$G,2+$E49,FALSE)+ VLOOKUP(Y$10,'VK-Elekter'!$C:$I,2+$D49,FALSE)+ VLOOKUP(Y$10,'VK-Põlevkivi'!$C:$I,2+$G49,FALSE)+ VLOOKUP(Y$10,'VK-Võrgud'!$C:$I,2+$F49,FALSE)</f>
        <v>-3.0383427387260086E-2</v>
      </c>
      <c r="Z49" s="227">
        <f>(S49*Tulemused!$Q$9*10+T49*Tulemused!$Q$10*10+KOMBI!U49*Tulemused!$Q$11*10+KOMBI!V49*Tulemused!$Q$12*10)*Tulemused!$Q$8+-(W49*Tulemused!$Q$14*10+KOMBI!X49*Tulemused!$Q$15*10+KOMBI!Y49*Tulemused!$Q$16*10)*Tulemused!$Q$13</f>
        <v>3.7583581044670291</v>
      </c>
      <c r="AA49" s="228">
        <f>(IF(AA$7="X",VLOOKUP(AA$10,'VK-Hooned-Soojus'!$C:$X,2+$C49,FALSE),0)+IF(AA$6="X",VLOOKUP(AA$10,'VK-Transport'!$C:$X,2+$B49,0))+IF(AA$8="X",VLOOKUP(AA$10,'VK-Elekter'!$C:$X,2+$D49,0))+IF(AA$9="X",VLOOKUP(AA$10,'VK-Biokütused'!$C:$U,2+$E49,0))+IF(AA$5="X",VLOOKUP(AA$10,'VK-Põlevkivi'!$C:$X,2+$G49,0))+IF(AA$4="X",VLOOKUP(AA$10,'VK-Võrgud'!$C:$X,2+$F49,0)))</f>
        <v>3728</v>
      </c>
      <c r="AB49" s="228">
        <f>(IF(AB$7="X",VLOOKUP(AB$10,'VK-Hooned-Soojus'!$C:$X,2+$C49,FALSE),0)+IF(AB$6="X",VLOOKUP(AB$10,'VK-Transport'!$C:$X,2+$B49,0))+IF(AB$8="X",VLOOKUP(AB$10,'VK-Elekter'!$C:$X,2+$D49,0))+IF(AB$9="X",VLOOKUP(AB$10,'VK-Biokütused'!$C:$U,2+$E49,0))+IF(AB$5="X",VLOOKUP(AB$10,'VK-Põlevkivi'!$C:$X,2+$G49,0))+IF(AB$4="X",VLOOKUP(AB$10,'VK-Võrgud'!$C:$X,2+$F49,0)))</f>
        <v>1177</v>
      </c>
      <c r="AC49" s="228">
        <f>(IF(AC$7="X",VLOOKUP(AC$10,'VK-Hooned-Soojus'!$C:$X,2+$C49,FALSE),0)+IF(AC$6="X",VLOOKUP(AC$10,'VK-Transport'!$C:$X,2+$B49,0))+IF(AC$8="X",VLOOKUP(AC$10,'VK-Elekter'!$C:$X,2+$D49,0))+IF(AC$9="X",VLOOKUP(AC$10,'VK-Biokütused'!$C:$U,2+$E49,0))+IF(AC$5="X",VLOOKUP(AC$10,'VK-Põlevkivi'!$C:$X,2+$G49,0))+IF(AC$4="X",VLOOKUP(AC$10,'VK-Võrgud'!$C:$X,2+$F49,0)))</f>
        <v>2346</v>
      </c>
      <c r="AD49" s="228">
        <f>(IF(AD$7="X",VLOOKUP(AD$10,'VK-Hooned-Soojus'!$C:$X,2+$C49,FALSE),0)+IF(AD$6="X",VLOOKUP(AD$10,'VK-Transport'!$C:$X,2+$B49,0))+IF(AD$8="X",VLOOKUP(AD$10,'VK-Elekter'!$C:$X,2+$D49,0))+IF(AD$9="X",VLOOKUP(AD$10,'VK-Biokütused'!$C:$U,2+$E49,0))+IF(AD$5="X",VLOOKUP(AD$10,'VK-Põlevkivi'!$C:$X,2+$G49,0))+IF(AD$4="X",VLOOKUP(AD$10,'VK-Võrgud'!$C:$X,2+$F49,0)))</f>
        <v>586.20000000000005</v>
      </c>
      <c r="AE49" s="228">
        <f>(IF(AE$7="X",VLOOKUP(AE$10,'VK-Hooned-Soojus'!$C:$X,2+$C49,FALSE),0)+IF(AE$6="X",VLOOKUP(AE$10,'VK-Transport'!$C:$X,2+$B49,0))+IF(AE$8="X",VLOOKUP(AE$10,'VK-Elekter'!$C:$X,2+$D49,0))+IF(AE$9="X",VLOOKUP(AE$10,'VK-Biokütused'!$C:$U,2+$E49,0))+IF(AE$5="X",VLOOKUP(AE$10,'VK-Põlevkivi'!$C:$X,2+$G49,0))+IF(AE$4="X",VLOOKUP(AE$10,'VK-Võrgud'!$C:$X,2+$F49,0)))</f>
        <v>507</v>
      </c>
      <c r="AF49" s="228">
        <f>(IF(AF$7="X",VLOOKUP(AF$10,'VK-Hooned-Soojus'!$C:$X,2+$C49,FALSE),0)+IF(AF$6="X",VLOOKUP(AF$10,'VK-Transport'!$C:$X,2+$B49,0))+IF(AF$8="X",VLOOKUP(AF$10,'VK-Elekter'!$C:$X,2+$D49,0))+IF(AF$9="X",VLOOKUP(AF$10,'VK-Biokütused'!$C:$U,2+$E49,0))+IF(AF$5="X",VLOOKUP(AF$10,'VK-Põlevkivi'!$C:$X,2+$G49,0))+IF(AF$4="X",VLOOKUP(AF$10,'VK-Võrgud'!$C:$X,2+$F49,0)))</f>
        <v>2490.6368215830603</v>
      </c>
      <c r="AG49" s="209"/>
      <c r="AH49" s="209">
        <f>IF(AH$7="X",VLOOKUP(AH$10,'VK-Hooned-Soojus'!$C:$X,2+$C49,FALSE),0)+IF(AH$6="X",VLOOKUP(AH$10,'VK-Transport'!$C:$X,2+$B49,0))+IF(AH$8="X",VLOOKUP(AH$10,'VK-Elekter'!$C:$X,2+$D49,0))+IF(AH$9="X",VLOOKUP(AH$10,'VK-Biokütused'!$C:$U,2+$E49,0))+IF(AH$5="X",VLOOKUP(AH$10,'VK-Põlevkivi'!$C:$X,2+$G49,0))+IF(AH$4="X",VLOOKUP(AH$10,'VK-Võrgud'!$C:$X,2+$F49,0))</f>
        <v>11.579999999999998</v>
      </c>
      <c r="AI49" s="209">
        <f>IF(AI$7="X",VLOOKUP(AI$10,'VK-Hooned-Soojus'!$C:$X,2+$C49,FALSE),0)+IF(AI$6="X",VLOOKUP(AI$10,'VK-Transport'!$C:$X,2+$B49,0))+IF(AI$8="X",VLOOKUP(AI$10,'VK-Elekter'!$C:$X,2+$D49,0))+IF(AI$9="X",VLOOKUP(AI$10,'VK-Biokütused'!$C:$U,2+$E49,0))+IF(AI$5="X",VLOOKUP(AI$10,'VK-Põlevkivi'!$C:$X,2+$G49,0))+IF(AI$4="X",VLOOKUP(AI$10,'VK-Võrgud'!$C:$X,2+$F49,0))</f>
        <v>4.45</v>
      </c>
      <c r="AJ49" s="209">
        <f>IF(AJ$7="X",VLOOKUP(AJ$10,'VK-Hooned-Soojus'!$C:$X,2+$C49,FALSE),0)+IF(AJ$6="X",VLOOKUP(AJ$10,'VK-Transport'!$C:$X,2+$B49,0))+IF(AJ$8="X",VLOOKUP(AJ$10,'VK-Elekter'!$C:$X,2+$D49,0))+IF(AJ$9="X",VLOOKUP(AJ$10,'VK-Biokütused'!$C:$U,2+$E49,0))+IF(AJ$5="X",VLOOKUP(AJ$10,'VK-Põlevkivi'!$C:$X,2+$G49,0))+IF(AJ$4="X",VLOOKUP(AJ$10,'VK-Võrgud'!$C:$X,2+$F49,0))</f>
        <v>9.19</v>
      </c>
      <c r="AK49" s="209">
        <f>IF(AK$7="X",VLOOKUP(AK$10,'VK-Hooned-Soojus'!$C:$X,2+$C49,FALSE),0)+IF(AK$6="X",VLOOKUP(AK$10,'VK-Transport'!$C:$X,2+$B49,0))+IF(AK$8="X",VLOOKUP(AK$10,'VK-Elekter'!$C:$X,2+$D49,0))+IF(AK$9="X",VLOOKUP(AK$10,'VK-Biokütused'!$C:$U,2+$E49,0))+IF(AK$5="X",VLOOKUP(AK$10,'VK-Põlevkivi'!$C:$X,2+$G49,0))+IF(AK$4="X",VLOOKUP(AK$10,'VK-Võrgud'!$C:$X,2+$F49,0))</f>
        <v>0.66</v>
      </c>
      <c r="AL49" s="209">
        <f>IF(AL$7="X",VLOOKUP(AL$10,'VK-Hooned-Soojus'!$C:$X,2+$C49,FALSE),0)+IF(AL$6="X",VLOOKUP(AL$10,'VK-Transport'!$C:$X,2+$B49,0))+IF(AL$8="X",VLOOKUP(AL$10,'VK-Elekter'!$C:$X,2+$D49,0))+IF(AL$9="X",VLOOKUP(AL$10,'VK-Biokütused'!$C:$U,2+$E49,0))+IF(AL$5="X",VLOOKUP(AL$10,'VK-Põlevkivi'!$C:$X,2+$G49,0))+IF(AL$4="X",VLOOKUP(AL$10,'VK-Võrgud'!$C:$X,2+$F49,0))</f>
        <v>7.1</v>
      </c>
      <c r="AM49" s="209">
        <f>IF(AM$7="X",VLOOKUP(AM$10,'VK-Hooned-Soojus'!$C:$X,2+$C49,FALSE),0)+IF(AM$6="X",VLOOKUP(AM$10,'VK-Transport'!$C:$X,2+$B49,0))+IF(AM$8="X",VLOOKUP(AM$10,'VK-Elekter'!$C:$X,2+$D49,0))+IF(AM$9="X",VLOOKUP(AM$10,'VK-Biokütused'!$C:$U,2+$E49,0))+IF(AM$5="X",VLOOKUP(AM$10,'VK-Põlevkivi'!$C:$X,2+$G49,0))+IF(AM$4="X",VLOOKUP(AM$10,'VK-Võrgud'!$C:$X,2+$F49,0))</f>
        <v>11.5</v>
      </c>
      <c r="AN49" s="209">
        <f>IF(AN$7="X",VLOOKUP(AN$10,'VK-Hooned-Soojus'!$C:$X,2+$C49,FALSE),0)+IF(AN$6="X",VLOOKUP(AN$10,'VK-Transport'!$C:$X,2+$B49,0))+IF(AN$8="X",VLOOKUP(AN$10,'VK-Elekter'!$C:$X,2+$D49,0))+IF(AN$9="X",VLOOKUP(AN$10,'VK-Biokütused'!$C:$U,2+$E49,0))+IF(AN$5="X",VLOOKUP(AN$10,'VK-Põlevkivi'!$C:$X,2+$G49,0))+IF(AN$4="X",VLOOKUP(AN$10,'VK-Võrgud'!$C:$X,2+$F49,0))</f>
        <v>4.0999999999999996</v>
      </c>
      <c r="AO49" s="209">
        <f>IF(AO$7="X",VLOOKUP(AO$10,'VK-Hooned-Soojus'!$C:$X,2+$C49,FALSE),0)+IF(AO$6="X",VLOOKUP(AO$10,'VK-Transport'!$C:$X,2+$B49,0))+IF(AO$8="X",VLOOKUP(AO$10,'VK-Elekter'!$C:$X,2+$D49,0))+IF(AO$9="X",VLOOKUP(AO$10,'VK-Biokütused'!$C:$U,2+$E49,0))+IF(AO$5="X",VLOOKUP(AO$10,'VK-Põlevkivi'!$C:$X,2+$G49,0))+IF(AO$4="X",VLOOKUP(AO$10,'VK-Võrgud'!$C:$X,2+$F49,0))</f>
        <v>12.16</v>
      </c>
      <c r="AP49" s="209">
        <f>IF(AP$7="X",VLOOKUP(AP$10,'VK-Hooned-Soojus'!$C:$X,2+$C49,FALSE),0)+IF(AP$6="X",VLOOKUP(AP$10,'VK-Transport'!$C:$X,2+$B49,0))+IF(AP$8="X",VLOOKUP(AP$10,'VK-Elekter'!$C:$X,2+$D49,0))+IF(AP$9="X",VLOOKUP(AP$10,'VK-Biokütused'!$C:$U,2+$E49,0))+IF(AP$5="X",VLOOKUP(AP$10,'VK-Põlevkivi'!$C:$X,2+$G49,0))+IF(AP$4="X",VLOOKUP(AP$10,'VK-Võrgud'!$C:$X,2+$F49,0))</f>
        <v>6.08</v>
      </c>
      <c r="AQ49" s="320">
        <f t="shared" si="14"/>
        <v>0</v>
      </c>
      <c r="AR49" s="209">
        <f>IF(AR$7="X",VLOOKUP(AR$10,'VK-Hooned-Soojus'!$C:$X,2+$C49,FALSE),0)+IF(AR$6="X",VLOOKUP(AR$10,'VK-Transport'!$C:$X,2+$B49,0))+IF(AR$8="X",VLOOKUP(AR$10,'VK-Elekter'!$C:$X,2+$D49,0))+IF(AR$9="X",VLOOKUP(AR$10,'VK-Biokütused'!$C:$U,2+$E49,0))+IF(AR$5="X",VLOOKUP(AR$10,'VK-Põlevkivi'!$C:$X,2+$G49,0))+IF(AR$4="X",VLOOKUP(AR$10,'VK-Võrgud'!$C:$X,2+$F49,0))</f>
        <v>2.3899999999999997</v>
      </c>
      <c r="AS49" s="320">
        <f>VLOOKUP("Kütuste tarbimine @ 2030 - UTTEGAAS",'VK-Hooned-Soojus'!$C:$X,2+$C49,FALSE)/0.172+VLOOKUP("Kütuste tarbimine @ 2030 - UTTEGAAS",'VK-Elekter'!$C:$X,2+$D49,FALSE)/0.172-AR49-AU49</f>
        <v>2.8565116279069773</v>
      </c>
      <c r="AT49" s="209">
        <f>IF(AT$7="X",VLOOKUP(AT$10,'VK-Hooned-Soojus'!$C:$X,2+$C49,FALSE),0)+IF(AT$6="X",VLOOKUP(AT$10,'VK-Transport'!$C:$X,2+$B49,0))+IF(AT$8="X",VLOOKUP(AT$10,'VK-Elekter'!$C:$X,2+$D49,0))+IF(AT$9="X",VLOOKUP(AT$10,'VK-Biokütused'!$C:$U,2+$E49,0))+IF(AT$5="X",VLOOKUP(AT$10,'VK-Põlevkivi'!$C:$X,2+$G49,0))+IF(AT$4="X",VLOOKUP(AT$10,'VK-Võrgud'!$C:$X,2+$F49,0))</f>
        <v>12.004929222526066</v>
      </c>
      <c r="AU49" s="229">
        <f>MAX(0,(VLOOKUP("Kütuste tarbimine @ 2030 - UTTEGAAS",'VK-Hooned-Soojus'!$C:$X,2+$C49,FALSE)/0.172+VLOOKUP("Kütuste tarbimine @ 2030 - UTTEGAAS",'VK-Elekter'!$C:$X,2+$D49,FALSE)/0.172)*0.52-VLOOKUP("Kütuste tarbimine @ 2030 - PÕLEVKIVIÕLI",'VK-Hooned-Soojus'!$C:$X,2+$C49,FALSE))</f>
        <v>5.6837209302325586</v>
      </c>
      <c r="AV49" s="209">
        <f>IF(AV$7="X",VLOOKUP(AV$10,'VK-Hooned-Soojus'!$C:$X,2+$C49,FALSE),0)+IF(AV$6="X",VLOOKUP(AV$10,'VK-Transport'!$C:$X,2+$B49,0))+IF(AV$8="X",VLOOKUP(AV$10,'VK-Elekter'!$C:$X,2+$D49,0))+IF(AV$9="X",VLOOKUP(AV$10,'VK-Biokütused'!$C:$U,2+$E49,0))+IF(AV$5="X",VLOOKUP(AV$10,'VK-Põlevkivi'!$C:$X,2+$G49,0))+IF(AV$4="X",VLOOKUP(AV$10,'VK-Võrgud'!$C:$X,2+$F49,0))</f>
        <v>1.1831224847375093</v>
      </c>
      <c r="AW49" s="209">
        <f>IF(AW$7="X",VLOOKUP(AW$10,'VK-Hooned-Soojus'!$C:$X,2+$C49,FALSE),0)+IF(AW$6="X",VLOOKUP(AW$10,'VK-Transport'!$C:$X,2+$B49,0))+IF(AW$8="X",VLOOKUP(AW$10,'VK-Elekter'!$C:$X,2+$D49,0))+IF(AW$9="X",VLOOKUP(AW$10,'VK-Biokütused'!$C:$U,2+$E49,0))+IF(AW$5="X",VLOOKUP(AW$10,'VK-Põlevkivi'!$C:$X,2+$G49,0))+IF(AW$4="X",VLOOKUP(AW$10,'VK-Võrgud'!$C:$X,2+$F49,0))</f>
        <v>4.2799999999999994</v>
      </c>
      <c r="AX49" s="229">
        <f t="shared" si="34"/>
        <v>3.0968775152624901</v>
      </c>
      <c r="AY49" s="229">
        <f t="shared" si="15"/>
        <v>0</v>
      </c>
      <c r="AZ49" s="230">
        <f t="shared" si="36"/>
        <v>0.53367246231712451</v>
      </c>
      <c r="BA49" s="209">
        <f>IF(BA$7="X",VLOOKUP(BA$10,'VK-Hooned-Soojus'!$C:$X,2+$C49,FALSE),0)+IF(BA$6="X",VLOOKUP(BA$10,'VK-Transport'!$C:$X,2+$B49,0))+IF(BA$8="X",VLOOKUP(BA$10,'VK-Elekter'!$C:$X,2+$D49,0))+IF(BA$9="X",VLOOKUP(BA$10,'VK-Biokütused'!$C:$U,2+$E49,0))+IF(BA$5="X",VLOOKUP(BA$10,'VK-Põlevkivi'!$C:$X,2+$G49,0))+IF(BA$4="X",VLOOKUP(BA$10,'VK-Võrgud'!$C:$X,2+$F49,0))</f>
        <v>4.2</v>
      </c>
      <c r="BB49" s="209">
        <f>IF(BB$7="X",VLOOKUP(BB$10,'VK-Hooned-Soojus'!$C:$X,2+$C49,FALSE),0)+IF(BB$6="X",VLOOKUP(BB$10,'VK-Transport'!$C:$X,2+$B49,0))+IF(BB$8="X",VLOOKUP(BB$10,'VK-Elekter'!$C:$X,2+$D49,0))+IF(BB$9="X",VLOOKUP(BB$10,'VK-Biokütused'!$C:$U,2+$E49,0))+IF(BB$5="X",VLOOKUP(BB$10,'VK-Põlevkivi'!$C:$X,2+$G49,0))+IF(BB$4="X",VLOOKUP(BB$10,'VK-Võrgud'!$C:$X,2+$F49,0))</f>
        <v>5.1000000000000005</v>
      </c>
      <c r="BC49" s="209">
        <f>IF(BC$7="X",VLOOKUP(BC$10,'VK-Hooned-Soojus'!$C:$X,2+$C49,FALSE),0)+IF(BC$6="X",VLOOKUP(BC$10,'VK-Transport'!$C:$X,2+$B49,0))+IF(BC$8="X",VLOOKUP(BC$10,'VK-Elekter'!$C:$X,2+$D49,0))+IF(BC$9="X",VLOOKUP(BC$10,'VK-Biokütused'!$C:$U,2+$E49,0))+IF(BC$5="X",VLOOKUP(BC$10,'VK-Põlevkivi'!$C:$X,2+$G49,0))+IF(BC$4="X",VLOOKUP(BC$10,'VK-Võrgud'!$C:$X,2+$F49,0))</f>
        <v>5.2376666666666667</v>
      </c>
      <c r="BD49" s="209">
        <f>IF(BD$7="X",VLOOKUP(BD$10,'VK-Hooned-Soojus'!$C:$X,2+$C49,FALSE),0)+IF(BD$6="X",VLOOKUP(BD$10,'VK-Transport'!$C:$X,2+$B49,0))+IF(BD$8="X",VLOOKUP(BD$10,'VK-Elekter'!$C:$X,2+$D49,0))+IF(BD$9="X",VLOOKUP(BD$10,'VK-Biokütused'!$C:$U,2+$E49,0))+IF(BD$5="X",VLOOKUP(BD$10,'VK-Põlevkivi'!$C:$X,2+$G49,0))+IF(BD$4="X",VLOOKUP(BD$10,'VK-Võrgud'!$C:$X,2+$F49,0))</f>
        <v>9.1105555555555569</v>
      </c>
      <c r="BE49" s="230"/>
      <c r="BF49" s="229">
        <f t="shared" si="16"/>
        <v>0.35228282016177531</v>
      </c>
      <c r="BG49" s="209" t="e">
        <f>(IF(BG$7="X",VLOOKUP(BG$10,'VK-Hooned-Soojus'!$C:$X,2+$C49,FALSE),0)+IF(BG$6="X",VLOOKUP(BG$10,'VK-Transport'!$C:$X,2+$B49,0))+IF(BG$8="X",VLOOKUP(BG$10,'VK-Elekter'!$C:$X,2+$D49,0))+IF(BG$9="X",VLOOKUP(BG$10,'VK-Biokütused'!$C:$U,2+$E49,0))+IF(BG$5="X",VLOOKUP(BG$10,'VK-Põlevkivi'!$C:$X,2+$G49,0))+IF(BG$4="X",VLOOKUP(BG$10,'VK-Võrgud'!$C:$X,2+$F49,0)))/20</f>
        <v>#N/A</v>
      </c>
      <c r="BH49" s="209">
        <f>(IF(BH$7="X",VLOOKUP(BH$10,'VK-Hooned-Soojus'!$C:$X,2+$C49,FALSE),0)+IF(BH$6="X",VLOOKUP(BH$10,'VK-Transport'!$C:$X,2+$B49,0))+IF(BH$8="X",VLOOKUP(BH$10,'VK-Elekter'!$C:$X,2+$D49,0))+IF(BH$9="X",VLOOKUP(BH$10,'VK-Biokütused'!$C:$U,2+$E49,0))+IF(BH$5="X",VLOOKUP(BH$10,'VK-Põlevkivi'!$C:$X,2+$G49,0))+IF(BH$4="X",VLOOKUP(BH$10,'VK-Võrgud'!$C:$X,2+$F49,0)))/20</f>
        <v>84.204999999999998</v>
      </c>
      <c r="BI49" s="209">
        <f>(IF(BI$7="X",VLOOKUP(BI$10,'VK-Hooned-Soojus'!$C:$X,2+$C49,FALSE),0)+IF(BI$6="X",VLOOKUP(BI$10,'VK-Transport'!$C:$X,2+$B49,0))+IF(BI$8="X",VLOOKUP(BI$10,'VK-Elekter'!$C:$X,2+$D49,0))+IF(BI$9="X",VLOOKUP(BI$10,'VK-Biokütused'!$C:$U,2+$E49,0))+IF(BI$5="X",VLOOKUP(BI$10,'VK-Põlevkivi'!$C:$X,2+$G49,0))+IF(BI$4="X",VLOOKUP(BI$10,'VK-Võrgud'!$C:$X,2+$F49,0)))/16</f>
        <v>8.9375</v>
      </c>
      <c r="BJ49" s="209">
        <f>(IF(BJ$7="X",VLOOKUP(BJ$10,'VK-Hooned-Soojus'!$C:$X,2+$C49,FALSE),0)+IF(BJ$6="X",VLOOKUP(BJ$10,'VK-Transport'!$C:$X,2+$B49,0))+IF(BJ$8="X",VLOOKUP(BJ$10,'VK-Elekter'!$C:$X,2+$D49,0))+IF(BJ$9="X",VLOOKUP(BJ$10,'VK-Biokütused'!$C:$U,2+$E49,0))+IF(BJ$5="X",VLOOKUP(BJ$10,'VK-Põlevkivi'!$C:$X,2+$G49,0))+IF(BJ$4="X",VLOOKUP(BJ$10,'VK-Võrgud'!$C:$X,2+$F49,0)))/20</f>
        <v>5.33</v>
      </c>
      <c r="BK49" s="209"/>
      <c r="BL49" s="209"/>
      <c r="BM49" s="209"/>
      <c r="BN49" s="209" t="e">
        <f>(IF(BN$7="X",VLOOKUP(BN$10,'VK-Hooned-Soojus'!$C:$X,2+$C49,FALSE),0)+IF(BN$6="X",VLOOKUP(BN$10,'VK-Transport'!$C:$X,2+$B49,0))+IF(BN$8="X",VLOOKUP(BN$10,'VK-Elekter'!$C:$X,2+$D49,0))+IF(BN$9="X",VLOOKUP(BN$10,'VK-Biokütused'!$C:$U,2+$E49,0))+IF(BN$5="X",VLOOKUP(BN$10,'VK-Põlevkivi'!$C:$X,2+$G49,0))+IF(BN$4="X",VLOOKUP(BN$10,'VK-Võrgud'!$C:$X,2+$F49,0)))/16</f>
        <v>#N/A</v>
      </c>
      <c r="BO49" s="209">
        <f>(IF(BO$7="X",VLOOKUP(BO$10,'VK-Hooned-Soojus'!$C:$X,2+$C49,FALSE),0)+IF(BO$6="X",VLOOKUP(BO$10,'VK-Transport'!$C:$X,2+$B49,0))+IF(BO$8="X",VLOOKUP(BO$10,'VK-Elekter'!$C:$X,2+$D49,0))+IF(BO$9="X",VLOOKUP(BO$10,'VK-Biokütused'!$C:$U,2+$E49,0))+IF(BO$5="X",VLOOKUP(BO$10,'VK-Põlevkivi'!$C:$X,2+$G49,0))+IF(BO$4="X",VLOOKUP(BO$10,'VK-Võrgud'!$C:$X,2+$F49,0)))/16</f>
        <v>496.33125000000001</v>
      </c>
      <c r="BP49" s="209"/>
      <c r="BQ49" s="209">
        <f>(IF(BQ$7="X",VLOOKUP(BQ$10,'VK-Hooned-Soojus'!$C:$X,2+$C49,FALSE),0)+IF(BQ$6="X",VLOOKUP(BQ$10,'VK-Transport'!$C:$X,2+$B49,0))+IF(BQ$8="X",VLOOKUP(BQ$10,'VK-Elekter'!$C:$X,2+$D49,0))+IF(BQ$9="X",VLOOKUP(BQ$10,'VK-Biokütused'!$C:$U,2+$E49,0))+IF(BQ$5="X",VLOOKUP(BQ$10,'VK-Põlevkivi'!$C:$X,2+$G49,0))+IF(BQ$4="X",VLOOKUP(BQ$10,'VK-Võrgud'!$C:$X,2+$F49,0)))/16</f>
        <v>4.7249999999999996</v>
      </c>
      <c r="BR49" s="209">
        <f>(IF(BR$7="X",VLOOKUP(BR$10,'VK-Hooned-Soojus'!$C:$X,2+$C49,FALSE),0)+IF(BR$6="X",VLOOKUP(BR$10,'VK-Transport'!$C:$X,2+$B49,0))+IF(BR$8="X",VLOOKUP(BR$10,'VK-Elekter'!$C:$X,2+$D49,0))+IF(BR$9="X",VLOOKUP(BR$10,'VK-Biokütused'!$C:$U,2+$E49,0))+IF(BR$5="X",VLOOKUP(BR$10,'VK-Põlevkivi'!$C:$X,2+$G49,0))+IF(BR$4="X",VLOOKUP(BR$10,'VK-Võrgud'!$C:$X,2+$F49,0)))/16</f>
        <v>-74.512500000000003</v>
      </c>
      <c r="BS49" s="209">
        <f>(IF(BS$7="X",VLOOKUP(BS$10,'VK-Hooned-Soojus'!$C:$X,2+$C49,FALSE),0)+IF(BS$6="X",VLOOKUP(BS$10,'VK-Transport'!$C:$X,2+$B49,0))+IF(BS$8="X",VLOOKUP(BS$10,'VK-Elekter'!$C:$X,2+$D49,0))+IF(BS$9="X",VLOOKUP(BS$10,'VK-Biokütused'!$C:$U,2+$E49,0))+IF(BS$5="X",VLOOKUP(BS$10,'VK-Põlevkivi'!$C:$X,2+$G49,0))+IF(BS$4="X",VLOOKUP(BS$10,'VK-Võrgud'!$C:$X,2+$F49,0)))/16</f>
        <v>-100.68125000000001</v>
      </c>
      <c r="BT49" s="209"/>
      <c r="BU49" s="209"/>
      <c r="BV49" s="209">
        <f>(IF(BV$7="X",VLOOKUP(BV$10,'VK-Hooned-Soojus'!$C:$X,2+$C49,FALSE),0)+IF(BV$6="X",VLOOKUP(BV$10,'VK-Transport'!$C:$X,2+$B49,0))+IF(BV$8="X",VLOOKUP(BV$10,'VK-Elekter'!$C:$X,2+$D49,0))+IF(BV$9="X",VLOOKUP(BV$10,'VK-Biokütused'!$C:$U,2+$E49,0))+IF(BV$5="X",VLOOKUP(BV$10,'VK-Põlevkivi'!$C:$X,2+$G49,0))+IF(BV$4="X",VLOOKUP(BV$10,'VK-Võrgud'!$C:$X,2+$F49,0)))/16</f>
        <v>0</v>
      </c>
      <c r="BW49" s="209"/>
      <c r="BX49" s="209">
        <f>(IF(BX$7="X",VLOOKUP(BX$10,'VK-Hooned-Soojus'!$C:$X,2+$C49,FALSE),0)+IF(BX$6="X",VLOOKUP(BX$10,'VK-Transport'!$C:$X,2+$B49,0))+IF(BX$8="X",VLOOKUP(BX$10,'VK-Elekter'!$C:$X,2+$D49,0))+IF(BX$9="X",VLOOKUP(BX$10,'VK-Biokütused'!$C:$U,2+$E49,0))+IF(BX$5="X",VLOOKUP(BX$10,'VK-Põlevkivi'!$C:$X,2+$G49,0))+IF(BX$4="X",VLOOKUP(BX$10,'VK-Võrgud'!$C:$X,2+$F49,0)))/16</f>
        <v>-99.4375</v>
      </c>
      <c r="BY49" s="209"/>
      <c r="BZ49" s="209"/>
      <c r="CA49" s="209" t="e">
        <f>(IF(CA$7="X",VLOOKUP(CA$10,'VK-Hooned-Soojus'!$C:$X,2+$C49,FALSE),0)+IF(CA$6="X",VLOOKUP(CA$10,'VK-Transport'!$C:$X,2+$B49,0))+IF(CA$8="X",VLOOKUP(CA$10,'VK-Elekter'!$C:$X,2+$D49,0))+IF(CA$9="X",VLOOKUP(CA$10,'VK-Biokütused'!$C:$U,2+$E49,0))+IF(CA$5="X",VLOOKUP(CA$10,'VK-Põlevkivi'!$C:$X,2+$G49,0))+IF(CA$4="X",VLOOKUP(CA$10,'VK-Võrgud'!$C:$X,2+$F49,0)))/16</f>
        <v>#N/A</v>
      </c>
      <c r="CB49" s="209">
        <f>(IF(CB$7="X",VLOOKUP(CB$10,'VK-Hooned-Soojus'!$C:$X,2+$C49,FALSE),0)+IF(CB$6="X",VLOOKUP(CB$10,'VK-Transport'!$C:$X,2+$B49,0))+IF(CB$8="X",VLOOKUP(CB$10,'VK-Elekter'!$C:$X,2+$D49,0))+IF(CB$9="X",VLOOKUP(CB$10,'VK-Biokütused'!$C:$U,2+$E49,0))+IF(CB$5="X",VLOOKUP(CB$10,'VK-Põlevkivi'!$C:$X,2+$G49,0))+IF(CB$4="X",VLOOKUP(CB$10,'VK-Võrgud'!$C:$X,2+$F49,0)))/16</f>
        <v>0</v>
      </c>
      <c r="CC49" s="209">
        <f>(IF(CC$7="X",VLOOKUP(CC$10,'VK-Hooned-Soojus'!$C:$X,2+$C49,FALSE),0)+IF(CC$6="X",VLOOKUP(CC$10,'VK-Transport'!$C:$X,2+$B49,0))+IF(CC$8="X",VLOOKUP(CC$10,'VK-Elekter'!$C:$X,2+$D49,0))+IF(CC$9="X",VLOOKUP(CC$10,'VK-Biokütused'!$C:$U,2+$E49,0))+IF(CC$5="X",VLOOKUP(CC$10,'VK-Põlevkivi'!$C:$X,2+$G49,0))+IF(CC$4="X",VLOOKUP(CC$10,'VK-Võrgud'!$C:$X,2+$F49,0)))/16</f>
        <v>0</v>
      </c>
      <c r="CD49" s="209"/>
      <c r="CE49" s="209">
        <f>(IF(CE$7="X",VLOOKUP(CE$10,'VK-Hooned-Soojus'!$C:$X,2+$C49,FALSE),0)+IF(CE$6="X",VLOOKUP(CE$10,'VK-Transport'!$C:$X,2+$B49,0))+IF(CE$8="X",VLOOKUP(CE$10,'VK-Elekter'!$C:$X,2+$D49,0))+IF(CE$9="X",VLOOKUP(CE$10,'VK-Biokütused'!$C:$U,2+$E49,0))+IF(CE$5="X",VLOOKUP(CE$10,'VK-Põlevkivi'!$C:$X,2+$G49,0))+IF(CE$4="X",VLOOKUP(CE$10,'VK-Võrgud'!$C:$X,2+$F49,0)))/16</f>
        <v>24.15625</v>
      </c>
      <c r="CF49" s="209"/>
      <c r="CG49" s="209">
        <f>(IF(CG$7="X",VLOOKUP(CG$10,'VK-Hooned-Soojus'!$C:$X,2+$C49,FALSE),0)+IF(CG$6="X",VLOOKUP(CG$10,'VK-Transport'!$C:$X,2+$B49,0))+IF(CG$8="X",VLOOKUP(CG$10,'VK-Elekter'!$C:$X,2+$D49,0))+IF(CG$9="X",VLOOKUP(CG$10,'VK-Biokütused'!$C:$U,2+$E49,0))+IF(CG$5="X",VLOOKUP(CG$10,'VK-Põlevkivi'!$C:$X,2+$G49,0))+IF(CG$4="X",VLOOKUP(CG$10,'VK-Võrgud'!$C:$X,2+$F49,0)))/16</f>
        <v>0</v>
      </c>
      <c r="CH49" s="209">
        <f>(IF(CH$7="X",VLOOKUP(CH$10,'VK-Hooned-Soojus'!$C:$X,2+$C49,FALSE),0)+IF(CH$6="X",VLOOKUP(CH$10,'VK-Transport'!$C:$X,2+$B49,0))+IF(CH$8="X",VLOOKUP(CH$10,'VK-Elekter'!$C:$X,2+$D49,0))+IF(CH$9="X",VLOOKUP(CH$10,'VK-Biokütused'!$C:$U,2+$E49,0))+IF(CH$5="X",VLOOKUP(CH$10,'VK-Põlevkivi'!$C:$X,2+$G49,0))+IF(CH$4="X",VLOOKUP(CH$10,'VK-Võrgud'!$C:$X,2+$F49,0)))/20*0.21</f>
        <v>26.9178</v>
      </c>
      <c r="CI49" s="209"/>
      <c r="CJ49" s="209">
        <f>(IF(CJ$7="X",VLOOKUP(CJ$10,'VK-Hooned-Soojus'!$C:$X,2+$C49,FALSE),0)+IF(CJ$6="X",VLOOKUP(CJ$10,'VK-Transport'!$C:$X,2+$B49,0))+IF(CJ$8="X",VLOOKUP(CJ$10,'VK-Elekter'!$C:$X,2+$D49,0))+IF(CJ$9="X",VLOOKUP(CJ$10,'VK-Biokütused'!$C:$U,2+$E49,0))+IF(CJ$5="X",VLOOKUP(CJ$10,'VK-Põlevkivi'!$C:$X,2+$G49,0))+IF(CJ$4="X",VLOOKUP(CJ$10,'VK-Võrgud'!$C:$X,2+$F49,0)))/1000</f>
        <v>18.592861099430586</v>
      </c>
      <c r="CK49" s="209">
        <f>(IF(CK$7="X",VLOOKUP(CK$10,'VK-Hooned-Soojus'!$C:$X,2+$C49,FALSE),0)+IF(CK$6="X",VLOOKUP(CK$10,'VK-Transport'!$C:$X,2+$B49,0))+IF(CK$8="X",VLOOKUP(CK$10,'VK-Elekter'!$C:$X,2+$D49,0))+IF(CK$9="X",VLOOKUP(CK$10,'VK-Biokütused'!$C:$U,2+$E49,0))+IF(CK$5="X",VLOOKUP(CK$10,'VK-Põlevkivi'!$C:$X,2+$G49,0))+IF(CK$4="X",VLOOKUP(CK$10,'VK-Võrgud'!$C:$X,2+$F49,0)))/1000</f>
        <v>11.2251245622786</v>
      </c>
      <c r="CL49" s="235">
        <f>(IF(CL$7="X",VLOOKUP(CL$10,'VK-Hooned-Soojus'!$C:$X,2+$C49,FALSE),0)+IF(CL$6="X",VLOOKUP(CL$10,'VK-Transport'!$C:$X,2+$B49,0))+IF(CL$8="X",VLOOKUP(CL$10,'VK-Elekter'!$C:$X,2+$D49,0))+IF(CL$9="X",VLOOKUP(CL$10,'VK-Biokütused'!$C:$U,2+$E49,0)))/1000</f>
        <v>8.8038856510938075</v>
      </c>
      <c r="CM49" s="209">
        <f>(IF(CM$7="X",VLOOKUP(CM$10,'VK-Hooned-Soojus'!$C:$X,2+$C49,FALSE),0)+IF(CM$6="X",VLOOKUP(CM$10,'VK-Transport'!$C:$X,2+$B49,0))+IF(CM$8="X",VLOOKUP(CM$10,'VK-Elekter'!$C:$X,2+$D49,0))+IF(CM$9="X",VLOOKUP(CM$10,'VK-Biokütused'!$C:$U,2+$E49,0))+IF(CM$5="X",VLOOKUP(CM$10,'VK-Põlevkivi'!$C:$X,2+$G49,0))+IF(CM$4="X",VLOOKUP(CM$10,'VK-Võrgud'!$C:$X,2+$F49,0)))/1000</f>
        <v>7.623315679447102</v>
      </c>
      <c r="CN49" s="209">
        <f>(IF(CN$7="X",VLOOKUP(CN$10,'VK-Hooned-Soojus'!$C:$X,2+$C49,FALSE),0)+IF(CN$6="X",VLOOKUP(CN$10,'VK-Transport'!$C:$X,2+$B49,0))+IF(CN$8="X",VLOOKUP(CN$10,'VK-Elekter'!$C:$X,2+$D49,0))+IF(CN$9="X",VLOOKUP(CN$10,'VK-Biokütused'!$C:$U,2+$E49,0))+IF(CN$5="X",VLOOKUP(CN$10,'VK-Põlevkivi'!$C:$X,2+$G49,0))+IF(CN$4="X",VLOOKUP(CN$10,'VK-Võrgud'!$C:$X,2+$F49,0)))/1000</f>
        <v>2.7559999999999998</v>
      </c>
      <c r="CO49" s="209">
        <f>(IF(CO$7="X",VLOOKUP(CO$10,'VK-Hooned-Soojus'!$C:$X,2+$C49,FALSE),0)+IF(CO$6="X",VLOOKUP(CO$10,'VK-Transport'!$C:$X,2+$B49,0))+IF(CO$8="X",VLOOKUP(CO$10,'VK-Elekter'!$C:$X,2+$D49,0))+IF(CO$9="X",VLOOKUP(CO$10,'VK-Biokütused'!$C:$U,2+$E49,0))+IF(CO$5="X",VLOOKUP(CO$10,'VK-Põlevkivi'!$C:$X,2+$G49,0))+IF(CO$4="X",VLOOKUP(CO$10,'VK-Võrgud'!$C:$X,2+$F49,0)))/1000</f>
        <v>25.123649773285454</v>
      </c>
      <c r="CP49" s="209">
        <f>(IF(CP$7="X",VLOOKUP(CP$10,'VK-Hooned-Soojus'!$C:$X,2+$C49,FALSE),0)+IF(CP$6="X",VLOOKUP(CP$10,'VK-Transport'!$C:$X,2+$B49,0))+IF(CP$8="X",VLOOKUP(CP$10,'VK-Elekter'!$C:$X,2+$D49,0))+IF(CP$9="X",VLOOKUP(CP$10,'VK-Biokütused'!$C:$U,2+$E49,0))+IF(CP$5="X",VLOOKUP(CP$10,'VK-Põlevkivi'!$C:$X,2+$G49,0))+IF(CP$4="X",VLOOKUP(CP$10,'VK-Võrgud'!$C:$X,2+$F49,0)))/1000</f>
        <v>13.407948584295612</v>
      </c>
      <c r="CQ49" s="235">
        <f>(IF(CQ$7="X",VLOOKUP(CQ$10,'VK-Hooned-Soojus'!$C:$X,2+$C49,FALSE),0)+IF(CQ$6="X",VLOOKUP(CQ$10,'VK-Transport'!$C:$X,2+$B49,0))+IF(CQ$8="X",VLOOKUP(CQ$10,'VK-Elekter'!$C:$X,2+$D49,0))+IF(CQ$9="X",VLOOKUP(CQ$10,'VK-Biokütused'!$C:$U,2+$E49,0)))/1000</f>
        <v>10.914906999999999</v>
      </c>
      <c r="CR49" s="209">
        <f>(IF(CR$7="X",VLOOKUP(CR$10,'VK-Hooned-Soojus'!$C:$X,2+$C49,FALSE),0)+IF(CR$6="X",VLOOKUP(CR$10,'VK-Transport'!$C:$X,2+$B49,0))+IF(CR$8="X",VLOOKUP(CR$10,'VK-Elekter'!$C:$X,2+$D49,0))+IF(CR$9="X",VLOOKUP(CR$10,'VK-Biokütused'!$C:$U,2+$E49,0))+IF(CR$5="X",VLOOKUP(CR$10,'VK-Põlevkivi'!$C:$X,2+$G49,0))+IF(CR$4="X",VLOOKUP(CR$10,'VK-Võrgud'!$C:$X,2+$F49,0)))/1000</f>
        <v>7.7327533562748041</v>
      </c>
      <c r="CS49" s="209">
        <f>(IF(CS$7="X",VLOOKUP(CS$10,'VK-Hooned-Soojus'!$C:$X,2+$C49,FALSE),0)+IF(CS$6="X",VLOOKUP(CS$10,'VK-Transport'!$C:$X,2+$B49,0))+IF(CS$8="X",VLOOKUP(CS$10,'VK-Elekter'!$C:$X,2+$D49,0))+IF(CS$9="X",VLOOKUP(CS$10,'VK-Biokütused'!$C:$U,2+$E49,0))+IF(CS$5="X",VLOOKUP(CS$10,'VK-Põlevkivi'!$C:$X,2+$G49,0))+IF(CS$4="X",VLOOKUP(CS$10,'VK-Võrgud'!$C:$X,2+$F49,0)))/1000</f>
        <v>3.9161524051216152</v>
      </c>
      <c r="CT49" s="209">
        <f>IF(CT$7="X",VLOOKUP(CT$10,'VK-Hooned-Soojus'!$C:$X,2+$C49,FALSE),0)+IF(CT$6="X",VLOOKUP(CT$10,'VK-Transport'!$C:$X,2+$B49,0))+IF(CT$8="X",VLOOKUP(CT$10,'VK-Elekter'!$C:$X,2+$D49,0))+IF(CT$9="X",VLOOKUP(CT$10,'VK-Biokütused'!$C:$U,2+$E49,0))+IF(CT$5="X",VLOOKUP(CT$10,'VK-Põlevkivi'!$C:$X,2+$G49,0))+IF(CT$4="X",VLOOKUP(CT$10,'VK-Võrgud'!$C:$X,2+$F49,0))</f>
        <v>90</v>
      </c>
      <c r="CU49" s="209">
        <f>IF(CU$7="X",VLOOKUP(CU$10,'VK-Hooned-Soojus'!$C:$X,2+$C49,FALSE),0)+IF(CU$6="X",VLOOKUP(CU$10,'VK-Transport'!$C:$X,2+$B49,0))+IF(CU$8="X",VLOOKUP(CU$10,'VK-Elekter'!$C:$X,2+$D49,0))+IF(CU$9="X",VLOOKUP(CU$10,'VK-Biokütused'!$C:$U,2+$E49,0))+IF(CU$5="X",VLOOKUP(CU$10,'VK-Põlevkivi'!$C:$X,2+$G49,0))+IF(CU$4="X",VLOOKUP(CU$10,'VK-Võrgud'!$C:$X,2+$F49,0))</f>
        <v>0.9337349397590361</v>
      </c>
      <c r="CV49" s="209">
        <f t="shared" si="37"/>
        <v>0.91028830406496786</v>
      </c>
      <c r="CW49" s="209">
        <f>(IF(CW$7="X",VLOOKUP(CW$10,'VK-Hooned-Soojus'!$C:$X,2+$C49,FALSE),0)+IF(CW$6="X",VLOOKUP(CW$10,'VK-Transport'!$C:$X,2+$B49,0))+IF(CW$8="X",VLOOKUP(CW$10,'VK-Elekter'!$C:$X,2+$D49,0))+IF(CW$9="X",VLOOKUP(CW$10,'VK-Biokütused'!$C:$U,2+$E49,0))+IF(CW$5="X",VLOOKUP(CW$10,'VK-Põlevkivi'!$C:$X,2+$G49,0))+IF(CW$4="X",VLOOKUP(CW$10,'VK-Võrgud'!$C:$X,2+$F49,0)))/16</f>
        <v>126.01875</v>
      </c>
      <c r="CY49" s="209">
        <f>(IF(CY$7="X",VLOOKUP(CY$10,'VK-Hooned-Soojus'!$C:$X,2+$C49,FALSE),0)+IF(CY$6="X",VLOOKUP(CY$10,'VK-Transport'!$C:$X,2+$B49,0))+IF(CY$8="X",VLOOKUP(CY$10,'VK-Elekter'!$C:$X,2+$D49,0))+IF(CY$9="X",VLOOKUP(CY$10,'VK-Biokütused'!$C:$U,2+$E49,0))+IF(CY$5="X",VLOOKUP(CY$10,'VK-Põlevkivi'!$C:$X,2+$G49,0))+IF(CY$4="X",VLOOKUP(CY$10,'VK-Võrgud'!$C:$X,2+$F49,0)))/1000</f>
        <v>11.12</v>
      </c>
      <c r="CZ49" s="209">
        <f>(IF(CZ$7="X",VLOOKUP(CZ$10,'VK-Hooned-Soojus'!$C:$X,2+$C49,FALSE),0)+IF(CZ$6="X",VLOOKUP(CZ$10,'VK-Transport'!$C:$X,2+$B49,0))+IF(CZ$8="X",VLOOKUP(CZ$10,'VK-Elekter'!$C:$X,2+$D49,0))+IF(CZ$9="X",VLOOKUP(CZ$10,'VK-Biokütused'!$C:$U,2+$E49,0))+IF(CZ$5="X",VLOOKUP(CZ$10,'VK-Põlevkivi'!$C:$X,2+$G49,0))+IF(CZ$4="X",VLOOKUP(CZ$10,'VK-Võrgud'!$C:$X,2+$F49,0)))</f>
        <v>78</v>
      </c>
      <c r="DA49" s="209">
        <f>(IF(DA$7="X",VLOOKUP(DA$10,'VK-Hooned-Soojus'!$C:$X,2+$C49,FALSE),0)+IF(DA$6="X",VLOOKUP(DA$10,'VK-Transport'!$C:$X,2+$B49,0))+IF(DA$8="X",VLOOKUP(DA$10,'VK-Elekter'!$C:$X,2+$D49,0))+IF(DA$9="X",VLOOKUP(DA$10,'VK-Biokütused'!$C:$U,2+$E49,0))+IF(DA$5="X",VLOOKUP(DA$10,'VK-Põlevkivi'!$C:$X,2+$G49,0))+IF(DA$4="X",VLOOKUP(DA$10,'VK-Võrgud'!$C:$X,2+$F49,0)))/1000</f>
        <v>14.64</v>
      </c>
      <c r="DB49" s="209">
        <f>(IF(DB$7="X",VLOOKUP(DB$10,'VK-Hooned-Soojus'!$C:$X,2+$C49,FALSE),0)+IF(DB$6="X",VLOOKUP(DB$10,'VK-Transport'!$C:$X,2+$B49,0))+IF(DB$8="X",VLOOKUP(DB$10,'VK-Elekter'!$C:$X,2+$D49,0))+IF(DB$9="X",VLOOKUP(DB$10,'VK-Biokütused'!$C:$U,2+$E49,0))+IF(DB$5="X",VLOOKUP(DB$10,'VK-Põlevkivi'!$C:$X,2+$G49,0))+IF(DB$4="X",VLOOKUP(DB$10,'VK-Võrgud'!$C:$X,2+$F49,0)))/1000/3.6</f>
        <v>65.090555555555554</v>
      </c>
      <c r="DC49" s="209">
        <f>(IF(DC$7="X",VLOOKUP(DC$10,'VK-Hooned-Soojus'!$C:$X,2+$C49,FALSE),0)+IF(DC$6="X",VLOOKUP(DC$10,'VK-Transport'!$C:$X,2+$B49,0))+IF(DC$8="X",VLOOKUP(DC$10,'VK-Elekter'!$C:$X,2+$D49,0))+IF(DC$9="X",VLOOKUP(DC$10,'VK-Biokütused'!$C:$U,2+$E49,0))+IF(DC$5="X",VLOOKUP(DC$10,'VK-Põlevkivi'!$C:$X,2+$G49,0))+IF(DC$4="X",VLOOKUP(DC$10,'VK-Võrgud'!$C:$X,2+$F49,0)))/1000000</f>
        <v>5.2923200000000001</v>
      </c>
      <c r="DD49" s="209"/>
      <c r="DE49" s="88">
        <f>VLOOKUP(Tulemused!$BN$12,data!M$7:N$12,2,FALSE)-SUM(L49,M49)</f>
        <v>-2.20664444444445</v>
      </c>
      <c r="DF49" s="209" t="str">
        <f>IF(AZ49&lt;=VLOOKUP(Tulemused!$BN$15,data!$E$36:$F$39,2,FALSE),"JAH","EI")</f>
        <v>JAH</v>
      </c>
      <c r="DG49" s="209"/>
      <c r="DH49" s="209">
        <f t="shared" si="38"/>
        <v>6.08</v>
      </c>
      <c r="DI49" s="231" t="str">
        <f t="shared" si="17"/>
        <v>EI</v>
      </c>
      <c r="DK49" s="232">
        <f t="shared" si="39"/>
        <v>-996.24164189553301</v>
      </c>
      <c r="DM49" s="233">
        <f t="shared" si="40"/>
        <v>-993.05762373428195</v>
      </c>
      <c r="DN49" s="87">
        <f t="array" ref="DN49">INDEX($A$11:$A$145, SMALL(IF(DM49=$DK$11:$DK$145, MATCH(ROW($DK$11:$DK$145), ROW($DK$11:$DK$145))), SUM(--(DM49=$DM$11:DM49))))</f>
        <v>99</v>
      </c>
      <c r="DP49" s="87" t="e">
        <f t="shared" ca="1" si="18"/>
        <v>#N/A</v>
      </c>
      <c r="DQ49" s="87" t="e">
        <f t="shared" ca="1" si="19"/>
        <v>#N/A</v>
      </c>
      <c r="DR49" s="87">
        <f t="shared" ca="1" si="20"/>
        <v>0</v>
      </c>
      <c r="DS49" s="87" t="e">
        <f t="shared" ca="1" si="21"/>
        <v>#N/A</v>
      </c>
      <c r="DT49" s="87">
        <f t="shared" ca="1" si="22"/>
        <v>0</v>
      </c>
      <c r="DU49" s="87" t="e">
        <f t="shared" ca="1" si="23"/>
        <v>#N/A</v>
      </c>
      <c r="DV49" s="87" t="e">
        <f t="shared" ca="1" si="24"/>
        <v>#N/A</v>
      </c>
      <c r="DW49" s="87">
        <f t="shared" ca="1" si="25"/>
        <v>0</v>
      </c>
      <c r="DX49" s="87">
        <f t="shared" ca="1" si="26"/>
        <v>0</v>
      </c>
      <c r="DZ49" s="87">
        <f t="shared" ca="1" si="35"/>
        <v>0</v>
      </c>
      <c r="EB49" s="87">
        <f t="shared" ca="1" si="27"/>
        <v>0</v>
      </c>
      <c r="EC49" s="87" t="e">
        <f t="shared" ca="1" si="28"/>
        <v>#N/A</v>
      </c>
      <c r="EE49" s="228">
        <f>(IF(EE$7="X",VLOOKUP(EE$10,'VK-Hooned-Soojus'!$C:$X,2+$C49,FALSE),0)+IF(EE$6="X",VLOOKUP(EE$10,'VK-Transport'!$C:$X,2+$B49,0))+IF(EE$8="X",VLOOKUP(EE$10,'VK-Elekter'!$C:$X,2+$D49,0))+IF(EE$9="X",VLOOKUP(EE$10,'VK-Biokütused'!$C:$U,2+$E49,0))+IF(EE$5="X",VLOOKUP(EE$10,'VK-Põlevkivi'!$C:$X,2+$G49,0))+IF(EE$4="X",VLOOKUP(EE$10,'VK-Võrgud'!$C:$X,2+$F49,0)))</f>
        <v>13061.666478545902</v>
      </c>
      <c r="EF49" s="235">
        <f>(IF(EF$7="X",VLOOKUP(EF$10,'VK-Hooned-Soojus'!$C:$X,2+$C49,FALSE),0)+IF(EF$6="X",VLOOKUP(EF$10,'VK-Transport'!$C:$X,2+$B49,0))+IF(EF$8="X",VLOOKUP(EF$10,'VK-Elekter'!$C:$X,2+$D49,0))+IF(EF$9="X",VLOOKUP(EF$10,'VK-Biokütused'!$C:$U,2+$E49,0)))/1000</f>
        <v>4.7076368215830611</v>
      </c>
      <c r="EG49" s="209">
        <f>(IF(EG$7="X",VLOOKUP(EG$10,'VK-Hooned-Soojus'!$C:$X,2+$C49,FALSE),0)+IF(EG$6="X",VLOOKUP(EG$10,'VK-Transport'!$C:$X,2+$B49,0))+IF(EG$8="X",VLOOKUP(EG$10,'VK-Elekter'!$C:$X,2+$D49,0))+IF(EG$9="X",VLOOKUP(EG$10,'VK-Biokütused'!$C:$U,2+$E49,0))+IF(EG$5="X",VLOOKUP(EG$10,'VK-Põlevkivi'!$C:$X,2+$G49,0))+IF(EG$4="X",VLOOKUP(EG$10,'VK-Võrgud'!$C:$X,2+$F49,0)))</f>
        <v>2.95</v>
      </c>
      <c r="EH49" s="209">
        <f>(IF(EH$7="X",VLOOKUP(EH$10,'VK-Hooned-Soojus'!$C:$X,2+$C49,FALSE),0)+IF(EH$6="X",VLOOKUP(EH$10,'VK-Transport'!$C:$X,2+$B49,0))+IF(EH$8="X",VLOOKUP(EH$10,'VK-Elekter'!$C:$X,2+$D49,0))+IF(EH$9="X",VLOOKUP(EH$10,'VK-Biokütused'!$C:$U,2+$E49,0)))+AR49+AS49+AU49+AX49</f>
        <v>57.415165628957581</v>
      </c>
      <c r="EI49" s="320">
        <f t="shared" si="41"/>
        <v>48.634567183462529</v>
      </c>
      <c r="EJ49" s="322">
        <f t="shared" si="42"/>
        <v>8.0193915230047791E-2</v>
      </c>
      <c r="EK49" s="323">
        <f t="shared" si="29"/>
        <v>0.41846756333624086</v>
      </c>
      <c r="EM49" s="209"/>
      <c r="EN49" s="209">
        <f t="shared" ca="1" si="43"/>
        <v>0</v>
      </c>
      <c r="EO49" s="209"/>
      <c r="EP49" s="234"/>
      <c r="EQ49" s="209">
        <f>(IF(EQ$7="X",VLOOKUP(EQ$10,'VK-Hooned-Soojus'!$C:$X,2+$C49,FALSE),0)+IF(EQ$6="X",VLOOKUP(EQ$10,'VK-Transport'!$C:$X,2+$B49,0))+IF(EQ$8="X",VLOOKUP(EQ$10,'VK-Elekter'!$C:$X,2+$D49,0))+IF(EQ$9="X",VLOOKUP(EQ$10,'VK-Biokütused'!$C:$U,2+$E49,0))+IF(EQ$5="X",VLOOKUP(EQ$10,'VK-Põlevkivi'!$C:$X,2+$G49,0))+IF(EQ$4="X",VLOOKUP(EQ$10,'VK-Võrgud'!$C:$X,2+$F49,0)))/1000</f>
        <v>0.19900000000000001</v>
      </c>
      <c r="ER49" s="209">
        <f>(IF(ER$7="X",VLOOKUP(ER$10,'VK-Hooned-Soojus'!$C:$X,2+$C49,FALSE),0)+IF(ER$6="X",VLOOKUP(ER$10,'VK-Transport'!$C:$X,2+$B49,0))+IF(ER$8="X",VLOOKUP(ER$10,'VK-Elekter'!$C:$X,2+$D49,0))+IF(ER$9="X",VLOOKUP(ER$10,'VK-Biokütused'!$C:$U,2+$E49,0))+IF(ER$5="X",VLOOKUP(ER$10,'VK-Põlevkivi'!$C:$X,2+$G49,0))+IF(ER$4="X",VLOOKUP(ER$10,'VK-Võrgud'!$C:$X,2+$F49,0)))</f>
        <v>0.72299999999999998</v>
      </c>
      <c r="ES49" s="209">
        <f>(IF(ES$7="X",VLOOKUP(ES$10,'VK-Hooned-Soojus'!$C:$X,2+$C49,FALSE),0)+IF(ES$6="X",VLOOKUP(ES$10,'VK-Transport'!$C:$X,2+$B49,0))+IF(ES$8="X",VLOOKUP(ES$10,'VK-Elekter'!$C:$X,2+$D49,0))+IF(ES$9="X",VLOOKUP(ES$10,'VK-Biokütused'!$C:$U,2+$E49,0))+IF(ES$5="X",VLOOKUP(ES$10,'VK-Põlevkivi'!$C:$X,2+$G49,0))+IF(ES$4="X",VLOOKUP(ES$10,'VK-Võrgud'!$C:$X,2+$F49,0)))</f>
        <v>6.08</v>
      </c>
      <c r="ET49" s="209"/>
      <c r="EU49" s="209"/>
      <c r="EV49" s="87">
        <f>'KSH järjestus'!AS42</f>
        <v>1329</v>
      </c>
      <c r="EX49" s="236"/>
      <c r="EY49" s="236"/>
      <c r="EZ49" s="237">
        <f t="shared" si="44"/>
        <v>6.6265060240963902E-2</v>
      </c>
      <c r="FA49" s="209">
        <f>IF(FA$7="X",VLOOKUP(FA$10,'VK-Hooned-Soojus'!$C:$X,2+$C49,FALSE),0)+IF(FA$6="X",VLOOKUP(FA$10,'VK-Transport'!$C:$X,2+$B49,0))+IF(FA$8="X",VLOOKUP(FA$10,'VK-Elekter'!$C:$X,2+$D49,0))+IF(FA$9="X",VLOOKUP(FA$10,'VK-Biokütused'!$C:$U,2+$E49,0))+IF(FA$5="X",VLOOKUP(FA$10,'VK-Põlevkivi'!$C:$X,2+$G49,0))+IF(FA$4="X",VLOOKUP(FA$10,'VK-Võrgud'!$C:$X,2+$F49,0))</f>
        <v>3656.9070000000002</v>
      </c>
      <c r="FB49" s="279">
        <f>(IF(FB$7="X",VLOOKUP(FB$10,'VK-Hooned-Soojus'!$C:$X,2+$C49,FALSE),0)+IF(FB$6="X",VLOOKUP(FB$10,'VK-Transport'!$C:$X,2+$B49,0))+IF(FB$8="X",VLOOKUP(FB$10,'VK-Elekter'!$C:$X,2+$D49,0))+IF(FB$9="X",VLOOKUP(FB$10,'VK-Biokütused'!$C:$U,2+$E49,0))+IF(FB$5="X",VLOOKUP(FB$10,'VK-Põlevkivi'!$C:$X,2+$G49,0))+IF(FB$4="X",VLOOKUP(FB$10,'VK-Võrgud'!$C:$X,2+$F49,0)))/16</f>
        <v>479.0017226017477</v>
      </c>
      <c r="FC49" s="209">
        <f>IF(FC$7="X",VLOOKUP(FC$10,'VK-Hooned-Soojus'!$C:$X,2+$C49,FALSE),0)+IF(FC$6="X",VLOOKUP(FC$10,'VK-Transport'!$C:$X,2+$B49,0))+IF(FC$8="X",VLOOKUP(FC$10,'VK-Elekter'!$C:$X,2+$D49,0))+IF(FC$9="X",VLOOKUP(FC$10,'VK-Biokütused'!$C:$U,2+$E49,0))+IF(FC$5="X",VLOOKUP(FC$10,'VK-Põlevkivi'!$C:$X,2+$G49,0))+IF(FC$4="X",VLOOKUP(FC$10,'VK-Võrgud'!$C:$X,2+$F49,0))</f>
        <v>309.09999999999997</v>
      </c>
      <c r="FD49" s="209">
        <f>(IF(FD$7="X",VLOOKUP(FD$10,'VK-Hooned-Soojus'!$C:$X,2+$C49,FALSE),0)+IF(FD$6="X",VLOOKUP(FD$10,'VK-Transport'!$C:$X,2+$B49,0))+IF(FD$8="X",VLOOKUP(FD$10,'VK-Elekter'!$C:$X,2+$D49,0))+IF(FD$9="X",VLOOKUP(FD$10,'VK-Biokütused'!$C:$U,2+$E49,0))+IF(FD$5="X",VLOOKUP(FD$10,'VK-Põlevkivi'!$C:$X,2+$G49,0))+IF(FD$4="X",VLOOKUP(FD$10,'VK-Võrgud'!$C:$X,2+$F49,0)))/16</f>
        <v>479.0017226017477</v>
      </c>
      <c r="FE49" s="209">
        <f>(IF(FE$7="X",VLOOKUP(FE$10,'VK-Hooned-Soojus'!$C:$X,2+$C49,FALSE),0)+IF(FE$6="X",VLOOKUP(FE$10,'VK-Transport'!$C:$X,2+$B49,0))+IF(FE$8="X",VLOOKUP(FE$10,'VK-Elekter'!$C:$X,2+$D49,0))+IF(FE$9="X",VLOOKUP(FE$10,'VK-Biokütused'!$C:$U,2+$E49,0))+IF(FE$5="X",VLOOKUP(FE$10,'VK-Põlevkivi'!$C:$X,2+$G49,0))+IF(FE$4="X",VLOOKUP(FE$10,'VK-Võrgud'!$C:$X,2+$F49,0)))/16</f>
        <v>-156.76081369909105</v>
      </c>
      <c r="FF49" s="209">
        <f>(IF(FF$7="X",VLOOKUP(FF$10,'VK-Hooned-Soojus'!$C:$X,2+$C49,FALSE),0)+IF(FF$6="X",VLOOKUP(FF$10,'VK-Transport'!$C:$X,2+$B49,0))+IF(FF$8="X",VLOOKUP(FF$10,'VK-Elekter'!$C:$X,2+$D49,0))+IF(FF$9="X",VLOOKUP(FF$10,'VK-Biokütused'!$C:$U,2+$E49,0))+IF(FF$5="X",VLOOKUP(FF$10,'VK-Põlevkivi'!$C:$X,2+$G49,0))+IF(FF$4="X",VLOOKUP(FF$10,'VK-Võrgud'!$C:$X,2+$F49,0)))/16</f>
        <v>163.53828282304519</v>
      </c>
      <c r="FG49" s="88">
        <f t="shared" ca="1" si="30"/>
        <v>6.7774691239541482</v>
      </c>
      <c r="FH49" s="88"/>
      <c r="FI49" s="88"/>
      <c r="FJ49" s="88">
        <f>VLOOKUP(Tulemused!$BN$12,data!M$7:N$12,2,FALSE)-SUM(L49,M49)</f>
        <v>-2.20664444444445</v>
      </c>
      <c r="FK49" s="209" t="str">
        <f>IF(AZ49&lt;=VLOOKUP(Tulemused!$BN$15,data!$E$36:$F$39,2,FALSE),"JAH","EI")</f>
        <v>JAH</v>
      </c>
      <c r="FL49" s="235">
        <f ca="1">IF(ISNA(MATCH($A49,INDIRECT(VLOOKUP(Tulemused!$BF$11,data!$J$57:$M$71,4,FALSE)))),0,MATCH($A49,INDIRECT(VLOOKUP(Tulemused!$BF$11,data!$J$57:$M$71,4,FALSE))))</f>
        <v>0</v>
      </c>
      <c r="FM49" s="235" t="str">
        <f t="shared" ca="1" si="45"/>
        <v>JAH</v>
      </c>
      <c r="FN49" s="209">
        <f>VLOOKUP(Tulemused!$BN$13,data!$C$132:$D$137,2,FALSE)-KOMBI!R49</f>
        <v>2.6621331784169402</v>
      </c>
      <c r="FO49" s="209"/>
      <c r="FP49" s="209">
        <f>VLOOKUP(Tulemused!$BN$17,NO_x,2,FALSE)-CJ49</f>
        <v>10.845138900569413</v>
      </c>
      <c r="FQ49" s="209">
        <f>VLOOKUP(Tulemused!$BN$18,SO_2,2,FALSE)-CK49</f>
        <v>40.658875437721399</v>
      </c>
      <c r="FR49" s="209">
        <f>VLOOKUP(Tulemused!$BN$19,LOU,2,FALSE)-CN49</f>
        <v>34.324000000000005</v>
      </c>
      <c r="FS49" s="209">
        <f>VLOOKUP(Tulemused!$BN$20,PM_2.5,2,FALSE)-CM49</f>
        <v>9.2916843205528963</v>
      </c>
      <c r="FT49" s="209">
        <f>VLOOKUP(Tulemused!$BN$13,data!$C$132:$D$137,2,FALSE)-FA49/1000</f>
        <v>2.5890630000000003</v>
      </c>
      <c r="FU49" s="209">
        <f>VLOOKUP(Tulemused!$BN$17,NO_x,2,FALSE)-CO49</f>
        <v>4.314350226714545</v>
      </c>
      <c r="FV49" s="209">
        <f>VLOOKUP(Tulemused!$BN$18,SO_2,2,FALSE)-CP49</f>
        <v>38.47605141570439</v>
      </c>
      <c r="FW49" s="209">
        <f>VLOOKUP(Tulemused!$BN$19,LOU,2,FALSE)-CS49</f>
        <v>33.163847594878391</v>
      </c>
      <c r="FX49" s="209">
        <f>VLOOKUP(Tulemused!$BN$20,PM_2.5,2,FALSE)-CR49</f>
        <v>9.1822466437251951</v>
      </c>
      <c r="FY49" s="209">
        <f>VLOOKUP(Tulemused!$BN$14,KHG_2050,2,FALSE)-EF49</f>
        <v>95.292363178416934</v>
      </c>
      <c r="FZ49" s="231" t="str">
        <f t="shared" ca="1" si="31"/>
        <v>EI</v>
      </c>
      <c r="GA49" s="209"/>
      <c r="GB49" s="209"/>
      <c r="GC49" s="209"/>
      <c r="GD49" s="231"/>
      <c r="GE49" s="87">
        <f t="shared" si="46"/>
        <v>1329</v>
      </c>
      <c r="GF49" s="232" t="str">
        <f t="shared" ca="1" si="32"/>
        <v/>
      </c>
      <c r="GH49" s="238" t="e">
        <f t="shared" ca="1" si="47"/>
        <v>#NUM!</v>
      </c>
      <c r="GI49" s="87" t="e">
        <f t="array" aca="1" ref="GI49" ca="1">INDEX($A$11:$A$145, SMALL(IF(GH49=$GF$11:$GF$145, MATCH(ROW($GF$11:$GF$145), ROW($GF$11:$GF$145))), SUM(--(GH49=$GH$11:GH49))))</f>
        <v>#NUM!</v>
      </c>
      <c r="GM49" s="209">
        <f>IF(GM$7="X",VLOOKUP(GM$10,'VK-Hooned-Soojus'!$C:$X,2+$C49,FALSE),0)+IF(GM$6="X",VLOOKUP(GM$10,'VK-Transport'!$C:$X,2+$B49,0))+IF(GM$8="X",VLOOKUP(GM$10,'VK-Elekter'!$C:$X,2+$D49,0))+IF(GM$9="X",VLOOKUP(GM$10,'VK-Biokütused'!$C:$U,2+$E49,0))+IF(GM$5="X",VLOOKUP(GM$10,'VK-Põlevkivi'!$C:$X,2+$G49,0))+IF(GM$4="X",VLOOKUP(GM$10,'VK-Võrgud'!$C:$X,2+$F49,0))</f>
        <v>6.011750640646909</v>
      </c>
      <c r="GN49" s="209">
        <f>IF(GN$7="X",VLOOKUP(GN$10,'VK-Hooned-Soojus'!$C:$X,2+$C49,FALSE),0)+IF(GN$6="X",VLOOKUP(GN$10,'VK-Transport'!$C:$X,2+$B49,0))+IF(GN$8="X",VLOOKUP(GN$10,'VK-Elekter'!$C:$X,2+$D49,0))+IF(GN$9="X",VLOOKUP(GN$10,'VK-Biokütused'!$C:$U,2+$E49,0))+IF(GN$5="X",VLOOKUP(GN$10,'VK-Põlevkivi'!$C:$X,2+$G49,0))+IF(GN$4="X",VLOOKUP(GN$10,'VK-Võrgud'!$C:$X,2+$F49,0))</f>
        <v>3.4528686473995491</v>
      </c>
      <c r="GO49" s="209">
        <f>IF(GO$7="X",VLOOKUP(GO$10,'VK-Hooned-Soojus'!$C:$X,2+$C49,FALSE),0)+IF(GO$6="X",VLOOKUP(GO$10,'VK-Transport'!$C:$X,2+$B49,0))+IF(GO$8="X",VLOOKUP(GO$10,'VK-Elekter'!$C:$X,2+$D49,0))+IF(GO$9="X",VLOOKUP(GO$10,'VK-Biokütused'!$C:$U,2+$E49,0))+IF(GO$5="X",VLOOKUP(GO$10,'VK-Põlevkivi'!$C:$X,2+$G49,0))+IF(GO$4="X",VLOOKUP(GO$10,'VK-Võrgud'!$C:$X,2+$F49,0))</f>
        <v>7.5763700102722566</v>
      </c>
      <c r="GP49" s="209">
        <f>IF(GP$7="X",VLOOKUP(GP$10,'VK-Hooned-Soojus'!$C:$X,2+$C49,FALSE),0)+IF(GP$6="X",VLOOKUP(GP$10,'VK-Transport'!$C:$X,2+$B49,0))+IF(GP$8="X",VLOOKUP(GP$10,'VK-Elekter'!$C:$X,2+$D49,0))+IF(GP$9="X",VLOOKUP(GP$10,'VK-Biokütused'!$C:$U,2+$E49,0))+IF(GP$5="X",VLOOKUP(GP$10,'VK-Põlevkivi'!$C:$X,2+$G49,0))+IF(GP$4="X",VLOOKUP(GP$10,'VK-Võrgud'!$C:$X,2+$F49,0))</f>
        <v>8.9326558040707589</v>
      </c>
      <c r="GQ49" s="88">
        <f>IF(GQ$7="X",VLOOKUP(GQ$10,'VK-Hooned-Soojus'!$C:$X,2+$C49,FALSE),0)+IF(GQ$6="X",VLOOKUP(GQ$10,'VK-Transport'!$C:$X,2+$B49,0))+IF(GQ$8="X",VLOOKUP(GQ$10,'VK-Elekter'!$C:$X,2+$D49,0))+IF(GQ$9="X",VLOOKUP(GQ$10,'VK-Biokütused'!$C:$U,2+$E49,0))+IF(GQ$5="X",VLOOKUP(GQ$10,'VK-Põlevkivi'!$C:$X,2+$G49,0))+IF(GQ$4="X",VLOOKUP(GQ$10,'VK-Võrgud'!$C:$X,2+$F49,0))</f>
        <v>0.9682855968523334</v>
      </c>
      <c r="GR49" s="186">
        <f t="shared" si="33"/>
        <v>0.38110792736726479</v>
      </c>
    </row>
    <row r="50" spans="1:200" x14ac:dyDescent="0.2">
      <c r="A50" s="184">
        <v>40</v>
      </c>
      <c r="B50" s="87">
        <v>1</v>
      </c>
      <c r="C50" s="87">
        <v>3</v>
      </c>
      <c r="D50" s="87">
        <v>4</v>
      </c>
      <c r="E50" s="87">
        <v>1</v>
      </c>
      <c r="F50" s="87">
        <f>VLOOKUP(Tulemused!$BF$7,data!$J$6:$K$8,2,FALSE)</f>
        <v>2</v>
      </c>
      <c r="G50" s="87">
        <f>VLOOKUP(data!$H$2,data!$J$12:$K$14,2,FALSE)</f>
        <v>2</v>
      </c>
      <c r="I50" s="209">
        <f>IF(I$7="X",VLOOKUP(I$10,'VK-Hooned-Soojus'!$C:$X,2+$C50,FALSE),0)+IF(I$6="X",VLOOKUP(I$10,'VK-Transport'!$C:$X,2+$B50,0))+IF(I$8="X",VLOOKUP(I$10,'VK-Elekter'!$C:$X,2+$D50,0))+IF(I$9="X",VLOOKUP(I$10,'VK-Biokütused'!$C:$U,2+$E50,0))+IF(I$5="X",VLOOKUP(I$10,'VK-Põlevkivi'!$C:$X,2+$G50,0))+IF(I$4="X",VLOOKUP(I$10,'VK-Võrgud'!$C:$X,2+$F50,0))</f>
        <v>23.490000000000002</v>
      </c>
      <c r="J50" s="209">
        <f>IF(J$7="X",VLOOKUP(J$10,'VK-Hooned-Soojus'!$C:$X,2+$C50,FALSE),0)+IF(J$6="X",VLOOKUP(J$10,'VK-Transport'!$C:$X,2+$B50,0))+IF(J$8="X",VLOOKUP(J$10,'VK-Elekter'!$C:$X,2+$D50,0))+IF(J$9="X",VLOOKUP(J$10,'VK-Biokütused'!$C:$U,2+$E50,0))+IF(J$5="X",VLOOKUP(J$10,'VK-Põlevkivi'!$C:$X,2+$G50,0))+IF(J$4="X",VLOOKUP(J$10,'VK-Võrgud'!$C:$X,2+$F50,0))</f>
        <v>13.295833333333334</v>
      </c>
      <c r="K50" s="209">
        <f>IF(K$7="X",VLOOKUP(K$10,'VK-Hooned-Soojus'!$C:$X,2+$C50,FALSE),0)+IF(K$6="X",VLOOKUP(K$10,'VK-Transport'!$C:$X,2+$B50,0))+IF(K$8="X",VLOOKUP(K$10,'VK-Elekter'!$C:$X,2+$D50,0))+IF(K$9="X",VLOOKUP(K$10,'VK-Biokütused'!$C:$U,2+$E50,0))+IF(K$5="X",VLOOKUP(K$10,'VK-Põlevkivi'!$C:$X,2+$G50,0))+IF(K$4="X",VLOOKUP(K$10,'VK-Võrgud'!$C:$X,2+$F50,0))</f>
        <v>13.780000000000001</v>
      </c>
      <c r="L50" s="209">
        <f>IF(L$7="X",VLOOKUP(L$10,'VK-Hooned-Soojus'!$C:$X,2+$C50,FALSE),0)+IF(L$6="X",VLOOKUP(L$10,'VK-Transport'!$C:$X,2+$B50,0))+IF(L$8="X",VLOOKUP(L$10,'VK-Elekter'!$C:$X,2+$D50,0))+IF(L$9="X",VLOOKUP(L$10,'VK-Biokütused'!$C:$U,2+$E50,0))+IF(L$5="X",VLOOKUP(L$10,'VK-Põlevkivi'!$C:$X,2+$G50,0))+IF(L$4="X",VLOOKUP(L$10,'VK-Võrgud'!$C:$X,2+$F50,0))</f>
        <v>23.75</v>
      </c>
      <c r="M50" s="209">
        <f>IF(M$7="X",VLOOKUP(M$10,'VK-Hooned-Soojus'!$C:$X,2+$C50,FALSE),0)+IF(M$6="X",VLOOKUP(M$10,'VK-Transport'!$C:$X,2+$B50,0))+IF(M$8="X",VLOOKUP(M$10,'VK-Elekter'!$C:$X,2+$D50,0))+IF(M$9="X",VLOOKUP(M$10,'VK-Biokütused'!$C:$U,2+$E50,0))+IF(M$5="X",VLOOKUP(M$10,'VK-Põlevkivi'!$C:$X,2+$G50,0))+IF(M$4="X",VLOOKUP(M$10,'VK-Võrgud'!$C:$X,2+$F50,0))</f>
        <v>11.289444444444445</v>
      </c>
      <c r="N50" s="209">
        <f>IF(N$7="X",VLOOKUP(N$10,'VK-Hooned-Soojus'!$C:$X,2+$C50,FALSE),0)+IF(N$6="X",VLOOKUP(N$10,'VK-Transport'!$C:$X,2+$B50,0))+IF(N$8="X",VLOOKUP(N$10,'VK-Elekter'!$C:$X,2+$D50,0))+IF(N$9="X",VLOOKUP(N$10,'VK-Biokütused'!$C:$U,2+$E50,0))+IF(N$5="X",VLOOKUP(N$10,'VK-Põlevkivi'!$C:$X,2+$G50,0))+IF(N$4="X",VLOOKUP(N$10,'VK-Võrgud'!$C:$X,2+$F50,0))</f>
        <v>15.25</v>
      </c>
      <c r="O50" s="209">
        <f t="shared" si="13"/>
        <v>36.785833333333336</v>
      </c>
      <c r="P50" s="209"/>
      <c r="Q50" s="209">
        <f>(IF(Q$7="X",VLOOKUP(Q$10,'VK-Hooned-Soojus'!$C:$X,2+$C50,FALSE),0)+IF(Q$6="X",VLOOKUP(Q$10,'VK-Transport'!$C:$X,2+$B50,0))+IF(Q$8="X",VLOOKUP(Q$10,'VK-Elekter'!$C:$X,2+$D50,0))+IF(Q$9="X",VLOOKUP(Q$10,'VK-Biokütused'!$C:$U,2+$E50,0))+IF(Q$5="X",VLOOKUP(Q$10,'VK-Põlevkivi'!$C:$X,2+$G50,0))+IF(Q$4="X",VLOOKUP(Q$10,'VK-Võrgud'!$C:$X,2+$F50,0)))/1000</f>
        <v>1.177</v>
      </c>
      <c r="R50" s="209">
        <f>(IF(R$7="X",VLOOKUP(R$10,'VK-Hooned-Soojus'!$C:$X,2+$C50,FALSE),0)+IF(R$6="X",VLOOKUP(R$10,'VK-Transport'!$C:$X,2+$B50,0))+IF(R$8="X",VLOOKUP(R$10,'VK-Elekter'!$C:$X,2+$D50,0))+IF(R$9="X",VLOOKUP(R$10,'VK-Biokütused'!$C:$U,2+$E50,0))+IF(R$5="X",VLOOKUP(R$10,'VK-Põlevkivi'!$C:$X,2+$G50,0))+IF(R$4="X",VLOOKUP(R$10,'VK-Võrgud'!$C:$X,2+$F50,0)))/1000</f>
        <v>2.9976368215830602</v>
      </c>
      <c r="S50" s="226">
        <f>VLOOKUP(S$10,'VK-Hooned-Soojus'!$C:$I,2+$C50,FALSE) + VLOOKUP(S$10,'VK-Transport'!$C:$I,2+$B50,FALSE)+ VLOOKUP(S$10,'VK-Biokütused'!$C:$G,2+$E50,FALSE)+ VLOOKUP(S$10,'VK-Elekter'!$C:$I,2+$D50,FALSE)+ VLOOKUP(S$10,'VK-Põlevkivi'!$C:$I,2+$G50,FALSE)+ VLOOKUP(S$10,'VK-Võrgud'!$C:$I,2+$F50,FALSE)</f>
        <v>5.8403587193474977E-3</v>
      </c>
      <c r="T50" s="226">
        <f>VLOOKUP(T$10,'VK-Hooned-Soojus'!$C:$I,2+$C50,FALSE) + VLOOKUP(T$10,'VK-Transport'!$C:$I,2+$B50,FALSE)+ VLOOKUP(T$10,'VK-Biokütused'!$C:$G,2+$E50,FALSE)+ VLOOKUP(T$10,'VK-Elekter'!$C:$I,2+$D50,FALSE)+ VLOOKUP(T$10,'VK-Põlevkivi'!$C:$I,2+$G50,FALSE)+ VLOOKUP(T$10,'VK-Võrgud'!$C:$I,2+$F50,FALSE)</f>
        <v>-4.8557601403633414E-3</v>
      </c>
      <c r="U50" s="226">
        <f>VLOOKUP(U$10,'VK-Hooned-Soojus'!$C:$I,2+$C50,FALSE) + VLOOKUP(U$10,'VK-Transport'!$C:$I,2+$B50,FALSE)+ VLOOKUP(U$10,'VK-Biokütused'!$C:$G,2+$E50,FALSE)+ VLOOKUP(U$10,'VK-Elekter'!$C:$I,2+$D50,FALSE)+ VLOOKUP(U$10,'VK-Põlevkivi'!$C:$I,2+$G50,FALSE)+ VLOOKUP(U$10,'VK-Võrgud'!$C:$I,2+$F50,FALSE)</f>
        <v>-3.457358250132242E-3</v>
      </c>
      <c r="V50" s="226">
        <f>VLOOKUP(V$10,'VK-Hooned-Soojus'!$C:$I,2+$C50,FALSE) + VLOOKUP(V$10,'VK-Transport'!$C:$I,2+$B50,FALSE)+ VLOOKUP(V$10,'VK-Biokütused'!$C:$G,2+$E50,FALSE)+ VLOOKUP(V$10,'VK-Elekter'!$C:$I,2+$D50,FALSE)+ VLOOKUP(V$10,'VK-Põlevkivi'!$C:$I,2+$G50,FALSE)+ VLOOKUP(V$10,'VK-Võrgud'!$C:$I,2+$F50,FALSE)</f>
        <v>9.3357691004967696E-3</v>
      </c>
      <c r="W50" s="226">
        <f>VLOOKUP(W$10,'VK-Hooned-Soojus'!$C:$I,2+$C50,FALSE) + VLOOKUP(W$10,'VK-Transport'!$C:$I,2+$B50,FALSE)+ VLOOKUP(W$10,'VK-Biokütused'!$C:$G,2+$E50,FALSE)+ VLOOKUP(W$10,'VK-Elekter'!$C:$I,2+$D50,FALSE)+ VLOOKUP(W$10,'VK-Põlevkivi'!$C:$I,2+$G50,FALSE)+ VLOOKUP(W$10,'VK-Võrgud'!$C:$I,2+$F50,FALSE)</f>
        <v>-4.200484341486195E-2</v>
      </c>
      <c r="X50" s="226">
        <f>VLOOKUP(X$10,'VK-Hooned-Soojus'!$C:$I,2+$C50,FALSE) + VLOOKUP(X$10,'VK-Transport'!$C:$I,2+$B50,FALSE)+ VLOOKUP(X$10,'VK-Biokütused'!$C:$G,2+$E50,FALSE)+ VLOOKUP(X$10,'VK-Elekter'!$C:$I,2+$D50,FALSE)+ VLOOKUP(X$10,'VK-Põlevkivi'!$C:$I,2+$G50,FALSE)+ VLOOKUP(X$10,'VK-Võrgud'!$C:$I,2+$F50,FALSE)</f>
        <v>-0.15886441020956982</v>
      </c>
      <c r="Y50" s="226">
        <f>VLOOKUP(Y$10,'VK-Hooned-Soojus'!$C:$I,2+$C50,FALSE) + VLOOKUP(Y$10,'VK-Transport'!$C:$I,2+$B50,FALSE)+ VLOOKUP(Y$10,'VK-Biokütused'!$C:$G,2+$E50,FALSE)+ VLOOKUP(Y$10,'VK-Elekter'!$C:$I,2+$D50,FALSE)+ VLOOKUP(Y$10,'VK-Põlevkivi'!$C:$I,2+$G50,FALSE)+ VLOOKUP(Y$10,'VK-Võrgud'!$C:$I,2+$F50,FALSE)</f>
        <v>-8.2237933343617745E-2</v>
      </c>
      <c r="Z50" s="227">
        <f>(S50*Tulemused!$Q$9*10+T50*Tulemused!$Q$10*10+KOMBI!U50*Tulemused!$Q$11*10+KOMBI!V50*Tulemused!$Q$12*10)*Tulemused!$Q$8+-(W50*Tulemused!$Q$14*10+KOMBI!X50*Tulemused!$Q$15*10+KOMBI!Y50*Tulemused!$Q$16*10)*Tulemused!$Q$13</f>
        <v>5.8320479825161096</v>
      </c>
      <c r="AA50" s="228">
        <f>(IF(AA$7="X",VLOOKUP(AA$10,'VK-Hooned-Soojus'!$C:$X,2+$C50,FALSE),0)+IF(AA$6="X",VLOOKUP(AA$10,'VK-Transport'!$C:$X,2+$B50,0))+IF(AA$8="X",VLOOKUP(AA$10,'VK-Elekter'!$C:$X,2+$D50,0))+IF(AA$9="X",VLOOKUP(AA$10,'VK-Biokütused'!$C:$U,2+$E50,0))+IF(AA$5="X",VLOOKUP(AA$10,'VK-Põlevkivi'!$C:$X,2+$G50,0))+IF(AA$4="X",VLOOKUP(AA$10,'VK-Võrgud'!$C:$X,2+$F50,0)))</f>
        <v>0</v>
      </c>
      <c r="AB50" s="228">
        <f>(IF(AB$7="X",VLOOKUP(AB$10,'VK-Hooned-Soojus'!$C:$X,2+$C50,FALSE),0)+IF(AB$6="X",VLOOKUP(AB$10,'VK-Transport'!$C:$X,2+$B50,0))+IF(AB$8="X",VLOOKUP(AB$10,'VK-Elekter'!$C:$X,2+$D50,0))+IF(AB$9="X",VLOOKUP(AB$10,'VK-Biokütused'!$C:$U,2+$E50,0))+IF(AB$5="X",VLOOKUP(AB$10,'VK-Põlevkivi'!$C:$X,2+$G50,0))+IF(AB$4="X",VLOOKUP(AB$10,'VK-Võrgud'!$C:$X,2+$F50,0)))</f>
        <v>1177</v>
      </c>
      <c r="AC50" s="228">
        <f>(IF(AC$7="X",VLOOKUP(AC$10,'VK-Hooned-Soojus'!$C:$X,2+$C50,FALSE),0)+IF(AC$6="X",VLOOKUP(AC$10,'VK-Transport'!$C:$X,2+$B50,0))+IF(AC$8="X",VLOOKUP(AC$10,'VK-Elekter'!$C:$X,2+$D50,0))+IF(AC$9="X",VLOOKUP(AC$10,'VK-Biokütused'!$C:$U,2+$E50,0))+IF(AC$5="X",VLOOKUP(AC$10,'VK-Põlevkivi'!$C:$X,2+$G50,0))+IF(AC$4="X",VLOOKUP(AC$10,'VK-Võrgud'!$C:$X,2+$F50,0)))</f>
        <v>2346</v>
      </c>
      <c r="AD50" s="228">
        <f>(IF(AD$7="X",VLOOKUP(AD$10,'VK-Hooned-Soojus'!$C:$X,2+$C50,FALSE),0)+IF(AD$6="X",VLOOKUP(AD$10,'VK-Transport'!$C:$X,2+$B50,0))+IF(AD$8="X",VLOOKUP(AD$10,'VK-Elekter'!$C:$X,2+$D50,0))+IF(AD$9="X",VLOOKUP(AD$10,'VK-Biokütused'!$C:$U,2+$E50,0))+IF(AD$5="X",VLOOKUP(AD$10,'VK-Põlevkivi'!$C:$X,2+$G50,0))+IF(AD$4="X",VLOOKUP(AD$10,'VK-Võrgud'!$C:$X,2+$F50,0)))</f>
        <v>0</v>
      </c>
      <c r="AE50" s="228">
        <f>(IF(AE$7="X",VLOOKUP(AE$10,'VK-Hooned-Soojus'!$C:$X,2+$C50,FALSE),0)+IF(AE$6="X",VLOOKUP(AE$10,'VK-Transport'!$C:$X,2+$B50,0))+IF(AE$8="X",VLOOKUP(AE$10,'VK-Elekter'!$C:$X,2+$D50,0))+IF(AE$9="X",VLOOKUP(AE$10,'VK-Biokütused'!$C:$U,2+$E50,0))+IF(AE$5="X",VLOOKUP(AE$10,'VK-Põlevkivi'!$C:$X,2+$G50,0))+IF(AE$4="X",VLOOKUP(AE$10,'VK-Võrgud'!$C:$X,2+$F50,0)))</f>
        <v>507</v>
      </c>
      <c r="AF50" s="228">
        <f>(IF(AF$7="X",VLOOKUP(AF$10,'VK-Hooned-Soojus'!$C:$X,2+$C50,FALSE),0)+IF(AF$6="X",VLOOKUP(AF$10,'VK-Transport'!$C:$X,2+$B50,0))+IF(AF$8="X",VLOOKUP(AF$10,'VK-Elekter'!$C:$X,2+$D50,0))+IF(AF$9="X",VLOOKUP(AF$10,'VK-Biokütused'!$C:$U,2+$E50,0))+IF(AF$5="X",VLOOKUP(AF$10,'VK-Põlevkivi'!$C:$X,2+$G50,0))+IF(AF$4="X",VLOOKUP(AF$10,'VK-Võrgud'!$C:$X,2+$F50,0)))</f>
        <v>2490.6368215830603</v>
      </c>
      <c r="AG50" s="209"/>
      <c r="AH50" s="209">
        <f>IF(AH$7="X",VLOOKUP(AH$10,'VK-Hooned-Soojus'!$C:$X,2+$C50,FALSE),0)+IF(AH$6="X",VLOOKUP(AH$10,'VK-Transport'!$C:$X,2+$B50,0))+IF(AH$8="X",VLOOKUP(AH$10,'VK-Elekter'!$C:$X,2+$D50,0))+IF(AH$9="X",VLOOKUP(AH$10,'VK-Biokütused'!$C:$U,2+$E50,0))+IF(AH$5="X",VLOOKUP(AH$10,'VK-Põlevkivi'!$C:$X,2+$G50,0))+IF(AH$4="X",VLOOKUP(AH$10,'VK-Võrgud'!$C:$X,2+$F50,0))</f>
        <v>0</v>
      </c>
      <c r="AI50" s="209">
        <f>IF(AI$7="X",VLOOKUP(AI$10,'VK-Hooned-Soojus'!$C:$X,2+$C50,FALSE),0)+IF(AI$6="X",VLOOKUP(AI$10,'VK-Transport'!$C:$X,2+$B50,0))+IF(AI$8="X",VLOOKUP(AI$10,'VK-Elekter'!$C:$X,2+$D50,0))+IF(AI$9="X",VLOOKUP(AI$10,'VK-Biokütused'!$C:$U,2+$E50,0))+IF(AI$5="X",VLOOKUP(AI$10,'VK-Põlevkivi'!$C:$X,2+$G50,0))+IF(AI$4="X",VLOOKUP(AI$10,'VK-Võrgud'!$C:$X,2+$F50,0))</f>
        <v>11.489999999999998</v>
      </c>
      <c r="AJ50" s="209">
        <f>IF(AJ$7="X",VLOOKUP(AJ$10,'VK-Hooned-Soojus'!$C:$X,2+$C50,FALSE),0)+IF(AJ$6="X",VLOOKUP(AJ$10,'VK-Transport'!$C:$X,2+$B50,0))+IF(AJ$8="X",VLOOKUP(AJ$10,'VK-Elekter'!$C:$X,2+$D50,0))+IF(AJ$9="X",VLOOKUP(AJ$10,'VK-Biokütused'!$C:$U,2+$E50,0))+IF(AJ$5="X",VLOOKUP(AJ$10,'VK-Põlevkivi'!$C:$X,2+$G50,0))+IF(AJ$4="X",VLOOKUP(AJ$10,'VK-Võrgud'!$C:$X,2+$F50,0))</f>
        <v>0</v>
      </c>
      <c r="AK50" s="209">
        <f>IF(AK$7="X",VLOOKUP(AK$10,'VK-Hooned-Soojus'!$C:$X,2+$C50,FALSE),0)+IF(AK$6="X",VLOOKUP(AK$10,'VK-Transport'!$C:$X,2+$B50,0))+IF(AK$8="X",VLOOKUP(AK$10,'VK-Elekter'!$C:$X,2+$D50,0))+IF(AK$9="X",VLOOKUP(AK$10,'VK-Biokütused'!$C:$U,2+$E50,0))+IF(AK$5="X",VLOOKUP(AK$10,'VK-Põlevkivi'!$C:$X,2+$G50,0))+IF(AK$4="X",VLOOKUP(AK$10,'VK-Võrgud'!$C:$X,2+$F50,0))</f>
        <v>3.65</v>
      </c>
      <c r="AL50" s="209">
        <f>IF(AL$7="X",VLOOKUP(AL$10,'VK-Hooned-Soojus'!$C:$X,2+$C50,FALSE),0)+IF(AL$6="X",VLOOKUP(AL$10,'VK-Transport'!$C:$X,2+$B50,0))+IF(AL$8="X",VLOOKUP(AL$10,'VK-Elekter'!$C:$X,2+$D50,0))+IF(AL$9="X",VLOOKUP(AL$10,'VK-Biokütused'!$C:$U,2+$E50,0))+IF(AL$5="X",VLOOKUP(AL$10,'VK-Põlevkivi'!$C:$X,2+$G50,0))+IF(AL$4="X",VLOOKUP(AL$10,'VK-Võrgud'!$C:$X,2+$F50,0))</f>
        <v>7.1</v>
      </c>
      <c r="AM50" s="209">
        <f>IF(AM$7="X",VLOOKUP(AM$10,'VK-Hooned-Soojus'!$C:$X,2+$C50,FALSE),0)+IF(AM$6="X",VLOOKUP(AM$10,'VK-Transport'!$C:$X,2+$B50,0))+IF(AM$8="X",VLOOKUP(AM$10,'VK-Elekter'!$C:$X,2+$D50,0))+IF(AM$9="X",VLOOKUP(AM$10,'VK-Biokütused'!$C:$U,2+$E50,0))+IF(AM$5="X",VLOOKUP(AM$10,'VK-Põlevkivi'!$C:$X,2+$G50,0))+IF(AM$4="X",VLOOKUP(AM$10,'VK-Võrgud'!$C:$X,2+$F50,0))</f>
        <v>11.5</v>
      </c>
      <c r="AN50" s="209">
        <f>IF(AN$7="X",VLOOKUP(AN$10,'VK-Hooned-Soojus'!$C:$X,2+$C50,FALSE),0)+IF(AN$6="X",VLOOKUP(AN$10,'VK-Transport'!$C:$X,2+$B50,0))+IF(AN$8="X",VLOOKUP(AN$10,'VK-Elekter'!$C:$X,2+$D50,0))+IF(AN$9="X",VLOOKUP(AN$10,'VK-Biokütused'!$C:$U,2+$E50,0))+IF(AN$5="X",VLOOKUP(AN$10,'VK-Põlevkivi'!$C:$X,2+$G50,0))+IF(AN$4="X",VLOOKUP(AN$10,'VK-Võrgud'!$C:$X,2+$F50,0))</f>
        <v>4.0999999999999996</v>
      </c>
      <c r="AO50" s="209">
        <f>IF(AO$7="X",VLOOKUP(AO$10,'VK-Hooned-Soojus'!$C:$X,2+$C50,FALSE),0)+IF(AO$6="X",VLOOKUP(AO$10,'VK-Transport'!$C:$X,2+$B50,0))+IF(AO$8="X",VLOOKUP(AO$10,'VK-Elekter'!$C:$X,2+$D50,0))+IF(AO$9="X",VLOOKUP(AO$10,'VK-Biokütused'!$C:$U,2+$E50,0))+IF(AO$5="X",VLOOKUP(AO$10,'VK-Põlevkivi'!$C:$X,2+$G50,0))+IF(AO$4="X",VLOOKUP(AO$10,'VK-Võrgud'!$C:$X,2+$F50,0))</f>
        <v>21.34</v>
      </c>
      <c r="AP50" s="209">
        <f>IF(AP$7="X",VLOOKUP(AP$10,'VK-Hooned-Soojus'!$C:$X,2+$C50,FALSE),0)+IF(AP$6="X",VLOOKUP(AP$10,'VK-Transport'!$C:$X,2+$B50,0))+IF(AP$8="X",VLOOKUP(AP$10,'VK-Elekter'!$C:$X,2+$D50,0))+IF(AP$9="X",VLOOKUP(AP$10,'VK-Biokütused'!$C:$U,2+$E50,0))+IF(AP$5="X",VLOOKUP(AP$10,'VK-Põlevkivi'!$C:$X,2+$G50,0))+IF(AP$4="X",VLOOKUP(AP$10,'VK-Võrgud'!$C:$X,2+$F50,0))</f>
        <v>10.67</v>
      </c>
      <c r="AQ50" s="320">
        <f t="shared" si="14"/>
        <v>9.0399999999999991</v>
      </c>
      <c r="AR50" s="209">
        <f>IF(AR$7="X",VLOOKUP(AR$10,'VK-Hooned-Soojus'!$C:$X,2+$C50,FALSE),0)+IF(AR$6="X",VLOOKUP(AR$10,'VK-Transport'!$C:$X,2+$B50,0))+IF(AR$8="X",VLOOKUP(AR$10,'VK-Elekter'!$C:$X,2+$D50,0))+IF(AR$9="X",VLOOKUP(AR$10,'VK-Biokütused'!$C:$U,2+$E50,0))+IF(AR$5="X",VLOOKUP(AR$10,'VK-Põlevkivi'!$C:$X,2+$G50,0))+IF(AR$4="X",VLOOKUP(AR$10,'VK-Võrgud'!$C:$X,2+$F50,0))</f>
        <v>0</v>
      </c>
      <c r="AS50" s="320">
        <f>VLOOKUP("Kütuste tarbimine @ 2030 - UTTEGAAS",'VK-Hooned-Soojus'!$C:$X,2+$C50,FALSE)/0.172+VLOOKUP("Kütuste tarbimine @ 2030 - UTTEGAAS",'VK-Elekter'!$C:$X,2+$D50,FALSE)/0.172-AR50-AU50</f>
        <v>0</v>
      </c>
      <c r="AT50" s="209">
        <f>IF(AT$7="X",VLOOKUP(AT$10,'VK-Hooned-Soojus'!$C:$X,2+$C50,FALSE),0)+IF(AT$6="X",VLOOKUP(AT$10,'VK-Transport'!$C:$X,2+$B50,0))+IF(AT$8="X",VLOOKUP(AT$10,'VK-Elekter'!$C:$X,2+$D50,0))+IF(AT$9="X",VLOOKUP(AT$10,'VK-Biokütused'!$C:$U,2+$E50,0))+IF(AT$5="X",VLOOKUP(AT$10,'VK-Põlevkivi'!$C:$X,2+$G50,0))+IF(AT$4="X",VLOOKUP(AT$10,'VK-Võrgud'!$C:$X,2+$F50,0))</f>
        <v>12.004929222526066</v>
      </c>
      <c r="AU50" s="229">
        <f>MAX(0,(VLOOKUP("Kütuste tarbimine @ 2030 - UTTEGAAS",'VK-Hooned-Soojus'!$C:$X,2+$C50,FALSE)/0.172+VLOOKUP("Kütuste tarbimine @ 2030 - UTTEGAAS",'VK-Elekter'!$C:$X,2+$D50,FALSE)/0.172)*0.52-VLOOKUP("Kütuste tarbimine @ 2030 - PÕLEVKIVIÕLI",'VK-Hooned-Soojus'!$C:$X,2+$C50,FALSE))</f>
        <v>0</v>
      </c>
      <c r="AV50" s="209">
        <f>IF(AV$7="X",VLOOKUP(AV$10,'VK-Hooned-Soojus'!$C:$X,2+$C50,FALSE),0)+IF(AV$6="X",VLOOKUP(AV$10,'VK-Transport'!$C:$X,2+$B50,0))+IF(AV$8="X",VLOOKUP(AV$10,'VK-Elekter'!$C:$X,2+$D50,0))+IF(AV$9="X",VLOOKUP(AV$10,'VK-Biokütused'!$C:$U,2+$E50,0))+IF(AV$5="X",VLOOKUP(AV$10,'VK-Põlevkivi'!$C:$X,2+$G50,0))+IF(AV$4="X",VLOOKUP(AV$10,'VK-Võrgud'!$C:$X,2+$F50,0))</f>
        <v>1.1831224847375093</v>
      </c>
      <c r="AW50" s="209">
        <f>IF(AW$7="X",VLOOKUP(AW$10,'VK-Hooned-Soojus'!$C:$X,2+$C50,FALSE),0)+IF(AW$6="X",VLOOKUP(AW$10,'VK-Transport'!$C:$X,2+$B50,0))+IF(AW$8="X",VLOOKUP(AW$10,'VK-Elekter'!$C:$X,2+$D50,0))+IF(AW$9="X",VLOOKUP(AW$10,'VK-Biokütused'!$C:$U,2+$E50,0))+IF(AW$5="X",VLOOKUP(AW$10,'VK-Põlevkivi'!$C:$X,2+$G50,0))+IF(AW$4="X",VLOOKUP(AW$10,'VK-Võrgud'!$C:$X,2+$F50,0))</f>
        <v>0</v>
      </c>
      <c r="AX50" s="229">
        <f t="shared" si="34"/>
        <v>0</v>
      </c>
      <c r="AY50" s="229">
        <f t="shared" si="15"/>
        <v>1.1831224847375093</v>
      </c>
      <c r="AZ50" s="230">
        <f t="shared" si="36"/>
        <v>0.67780623250795347</v>
      </c>
      <c r="BA50" s="209">
        <f>IF(BA$7="X",VLOOKUP(BA$10,'VK-Hooned-Soojus'!$C:$X,2+$C50,FALSE),0)+IF(BA$6="X",VLOOKUP(BA$10,'VK-Transport'!$C:$X,2+$B50,0))+IF(BA$8="X",VLOOKUP(BA$10,'VK-Elekter'!$C:$X,2+$D50,0))+IF(BA$9="X",VLOOKUP(BA$10,'VK-Biokütused'!$C:$U,2+$E50,0))+IF(BA$5="X",VLOOKUP(BA$10,'VK-Põlevkivi'!$C:$X,2+$G50,0))+IF(BA$4="X",VLOOKUP(BA$10,'VK-Võrgud'!$C:$X,2+$F50,0))</f>
        <v>0</v>
      </c>
      <c r="BB50" s="209">
        <f>IF(BB$7="X",VLOOKUP(BB$10,'VK-Hooned-Soojus'!$C:$X,2+$C50,FALSE),0)+IF(BB$6="X",VLOOKUP(BB$10,'VK-Transport'!$C:$X,2+$B50,0))+IF(BB$8="X",VLOOKUP(BB$10,'VK-Elekter'!$C:$X,2+$D50,0))+IF(BB$9="X",VLOOKUP(BB$10,'VK-Biokütused'!$C:$U,2+$E50,0))+IF(BB$5="X",VLOOKUP(BB$10,'VK-Põlevkivi'!$C:$X,2+$G50,0))+IF(BB$4="X",VLOOKUP(BB$10,'VK-Võrgud'!$C:$X,2+$F50,0))</f>
        <v>6.32</v>
      </c>
      <c r="BC50" s="209">
        <f>IF(BC$7="X",VLOOKUP(BC$10,'VK-Hooned-Soojus'!$C:$X,2+$C50,FALSE),0)+IF(BC$6="X",VLOOKUP(BC$10,'VK-Transport'!$C:$X,2+$B50,0))+IF(BC$8="X",VLOOKUP(BC$10,'VK-Elekter'!$C:$X,2+$D50,0))+IF(BC$9="X",VLOOKUP(BC$10,'VK-Biokütused'!$C:$U,2+$E50,0))+IF(BC$5="X",VLOOKUP(BC$10,'VK-Põlevkivi'!$C:$X,2+$G50,0))+IF(BC$4="X",VLOOKUP(BC$10,'VK-Võrgud'!$C:$X,2+$F50,0))</f>
        <v>5.2376666666666667</v>
      </c>
      <c r="BD50" s="209">
        <f>IF(BD$7="X",VLOOKUP(BD$10,'VK-Hooned-Soojus'!$C:$X,2+$C50,FALSE),0)+IF(BD$6="X",VLOOKUP(BD$10,'VK-Transport'!$C:$X,2+$B50,0))+IF(BD$8="X",VLOOKUP(BD$10,'VK-Elekter'!$C:$X,2+$D50,0))+IF(BD$9="X",VLOOKUP(BD$10,'VK-Biokütused'!$C:$U,2+$E50,0))+IF(BD$5="X",VLOOKUP(BD$10,'VK-Põlevkivi'!$C:$X,2+$G50,0))+IF(BD$4="X",VLOOKUP(BD$10,'VK-Võrgud'!$C:$X,2+$F50,0))</f>
        <v>9.1105555555555569</v>
      </c>
      <c r="BE50" s="230"/>
      <c r="BF50" s="229">
        <f t="shared" si="16"/>
        <v>0.54655630190147675</v>
      </c>
      <c r="BG50" s="209" t="e">
        <f>(IF(BG$7="X",VLOOKUP(BG$10,'VK-Hooned-Soojus'!$C:$X,2+$C50,FALSE),0)+IF(BG$6="X",VLOOKUP(BG$10,'VK-Transport'!$C:$X,2+$B50,0))+IF(BG$8="X",VLOOKUP(BG$10,'VK-Elekter'!$C:$X,2+$D50,0))+IF(BG$9="X",VLOOKUP(BG$10,'VK-Biokütused'!$C:$U,2+$E50,0))+IF(BG$5="X",VLOOKUP(BG$10,'VK-Põlevkivi'!$C:$X,2+$G50,0))+IF(BG$4="X",VLOOKUP(BG$10,'VK-Võrgud'!$C:$X,2+$F50,0)))/20</f>
        <v>#N/A</v>
      </c>
      <c r="BH50" s="209">
        <f>(IF(BH$7="X",VLOOKUP(BH$10,'VK-Hooned-Soojus'!$C:$X,2+$C50,FALSE),0)+IF(BH$6="X",VLOOKUP(BH$10,'VK-Transport'!$C:$X,2+$B50,0))+IF(BH$8="X",VLOOKUP(BH$10,'VK-Elekter'!$C:$X,2+$D50,0))+IF(BH$9="X",VLOOKUP(BH$10,'VK-Biokütused'!$C:$U,2+$E50,0))+IF(BH$5="X",VLOOKUP(BH$10,'VK-Põlevkivi'!$C:$X,2+$G50,0))+IF(BH$4="X",VLOOKUP(BH$10,'VK-Võrgud'!$C:$X,2+$F50,0)))/20</f>
        <v>84.204999999999998</v>
      </c>
      <c r="BI50" s="209">
        <f>(IF(BI$7="X",VLOOKUP(BI$10,'VK-Hooned-Soojus'!$C:$X,2+$C50,FALSE),0)+IF(BI$6="X",VLOOKUP(BI$10,'VK-Transport'!$C:$X,2+$B50,0))+IF(BI$8="X",VLOOKUP(BI$10,'VK-Elekter'!$C:$X,2+$D50,0))+IF(BI$9="X",VLOOKUP(BI$10,'VK-Biokütused'!$C:$U,2+$E50,0))+IF(BI$5="X",VLOOKUP(BI$10,'VK-Põlevkivi'!$C:$X,2+$G50,0))+IF(BI$4="X",VLOOKUP(BI$10,'VK-Võrgud'!$C:$X,2+$F50,0)))/16</f>
        <v>8.9375</v>
      </c>
      <c r="BJ50" s="209">
        <f>(IF(BJ$7="X",VLOOKUP(BJ$10,'VK-Hooned-Soojus'!$C:$X,2+$C50,FALSE),0)+IF(BJ$6="X",VLOOKUP(BJ$10,'VK-Transport'!$C:$X,2+$B50,0))+IF(BJ$8="X",VLOOKUP(BJ$10,'VK-Elekter'!$C:$X,2+$D50,0))+IF(BJ$9="X",VLOOKUP(BJ$10,'VK-Biokütused'!$C:$U,2+$E50,0))+IF(BJ$5="X",VLOOKUP(BJ$10,'VK-Põlevkivi'!$C:$X,2+$G50,0))+IF(BJ$4="X",VLOOKUP(BJ$10,'VK-Võrgud'!$C:$X,2+$F50,0)))/20</f>
        <v>5.33</v>
      </c>
      <c r="BK50" s="209"/>
      <c r="BL50" s="209"/>
      <c r="BM50" s="209"/>
      <c r="BN50" s="209" t="e">
        <f>(IF(BN$7="X",VLOOKUP(BN$10,'VK-Hooned-Soojus'!$C:$X,2+$C50,FALSE),0)+IF(BN$6="X",VLOOKUP(BN$10,'VK-Transport'!$C:$X,2+$B50,0))+IF(BN$8="X",VLOOKUP(BN$10,'VK-Elekter'!$C:$X,2+$D50,0))+IF(BN$9="X",VLOOKUP(BN$10,'VK-Biokütused'!$C:$U,2+$E50,0))+IF(BN$5="X",VLOOKUP(BN$10,'VK-Põlevkivi'!$C:$X,2+$G50,0))+IF(BN$4="X",VLOOKUP(BN$10,'VK-Võrgud'!$C:$X,2+$F50,0)))/16</f>
        <v>#N/A</v>
      </c>
      <c r="BO50" s="209">
        <f>(IF(BO$7="X",VLOOKUP(BO$10,'VK-Hooned-Soojus'!$C:$X,2+$C50,FALSE),0)+IF(BO$6="X",VLOOKUP(BO$10,'VK-Transport'!$C:$X,2+$B50,0))+IF(BO$8="X",VLOOKUP(BO$10,'VK-Elekter'!$C:$X,2+$D50,0))+IF(BO$9="X",VLOOKUP(BO$10,'VK-Biokütused'!$C:$U,2+$E50,0))+IF(BO$5="X",VLOOKUP(BO$10,'VK-Põlevkivi'!$C:$X,2+$G50,0))+IF(BO$4="X",VLOOKUP(BO$10,'VK-Võrgud'!$C:$X,2+$F50,0)))/16</f>
        <v>496.33125000000001</v>
      </c>
      <c r="BP50" s="209"/>
      <c r="BQ50" s="209">
        <f>(IF(BQ$7="X",VLOOKUP(BQ$10,'VK-Hooned-Soojus'!$C:$X,2+$C50,FALSE),0)+IF(BQ$6="X",VLOOKUP(BQ$10,'VK-Transport'!$C:$X,2+$B50,0))+IF(BQ$8="X",VLOOKUP(BQ$10,'VK-Elekter'!$C:$X,2+$D50,0))+IF(BQ$9="X",VLOOKUP(BQ$10,'VK-Biokütused'!$C:$U,2+$E50,0))+IF(BQ$5="X",VLOOKUP(BQ$10,'VK-Põlevkivi'!$C:$X,2+$G50,0))+IF(BQ$4="X",VLOOKUP(BQ$10,'VK-Võrgud'!$C:$X,2+$F50,0)))/16</f>
        <v>4.7249999999999996</v>
      </c>
      <c r="BR50" s="209">
        <f>(IF(BR$7="X",VLOOKUP(BR$10,'VK-Hooned-Soojus'!$C:$X,2+$C50,FALSE),0)+IF(BR$6="X",VLOOKUP(BR$10,'VK-Transport'!$C:$X,2+$B50,0))+IF(BR$8="X",VLOOKUP(BR$10,'VK-Elekter'!$C:$X,2+$D50,0))+IF(BR$9="X",VLOOKUP(BR$10,'VK-Biokütused'!$C:$U,2+$E50,0))+IF(BR$5="X",VLOOKUP(BR$10,'VK-Põlevkivi'!$C:$X,2+$G50,0))+IF(BR$4="X",VLOOKUP(BR$10,'VK-Võrgud'!$C:$X,2+$F50,0)))/16</f>
        <v>-74.512500000000003</v>
      </c>
      <c r="BS50" s="209">
        <f>(IF(BS$7="X",VLOOKUP(BS$10,'VK-Hooned-Soojus'!$C:$X,2+$C50,FALSE),0)+IF(BS$6="X",VLOOKUP(BS$10,'VK-Transport'!$C:$X,2+$B50,0))+IF(BS$8="X",VLOOKUP(BS$10,'VK-Elekter'!$C:$X,2+$D50,0))+IF(BS$9="X",VLOOKUP(BS$10,'VK-Biokütused'!$C:$U,2+$E50,0))+IF(BS$5="X",VLOOKUP(BS$10,'VK-Põlevkivi'!$C:$X,2+$G50,0))+IF(BS$4="X",VLOOKUP(BS$10,'VK-Võrgud'!$C:$X,2+$F50,0)))/16</f>
        <v>-100.68125000000001</v>
      </c>
      <c r="BT50" s="209"/>
      <c r="BU50" s="209"/>
      <c r="BV50" s="209">
        <f>(IF(BV$7="X",VLOOKUP(BV$10,'VK-Hooned-Soojus'!$C:$X,2+$C50,FALSE),0)+IF(BV$6="X",VLOOKUP(BV$10,'VK-Transport'!$C:$X,2+$B50,0))+IF(BV$8="X",VLOOKUP(BV$10,'VK-Elekter'!$C:$X,2+$D50,0))+IF(BV$9="X",VLOOKUP(BV$10,'VK-Biokütused'!$C:$U,2+$E50,0))+IF(BV$5="X",VLOOKUP(BV$10,'VK-Põlevkivi'!$C:$X,2+$G50,0))+IF(BV$4="X",VLOOKUP(BV$10,'VK-Võrgud'!$C:$X,2+$F50,0)))/16</f>
        <v>0</v>
      </c>
      <c r="BW50" s="209"/>
      <c r="BX50" s="209">
        <f>(IF(BX$7="X",VLOOKUP(BX$10,'VK-Hooned-Soojus'!$C:$X,2+$C50,FALSE),0)+IF(BX$6="X",VLOOKUP(BX$10,'VK-Transport'!$C:$X,2+$B50,0))+IF(BX$8="X",VLOOKUP(BX$10,'VK-Elekter'!$C:$X,2+$D50,0))+IF(BX$9="X",VLOOKUP(BX$10,'VK-Biokütused'!$C:$U,2+$E50,0))+IF(BX$5="X",VLOOKUP(BX$10,'VK-Põlevkivi'!$C:$X,2+$G50,0))+IF(BX$4="X",VLOOKUP(BX$10,'VK-Võrgud'!$C:$X,2+$F50,0)))/16</f>
        <v>-19.25</v>
      </c>
      <c r="BY50" s="209"/>
      <c r="BZ50" s="209"/>
      <c r="CA50" s="209" t="e">
        <f>(IF(CA$7="X",VLOOKUP(CA$10,'VK-Hooned-Soojus'!$C:$X,2+$C50,FALSE),0)+IF(CA$6="X",VLOOKUP(CA$10,'VK-Transport'!$C:$X,2+$B50,0))+IF(CA$8="X",VLOOKUP(CA$10,'VK-Elekter'!$C:$X,2+$D50,0))+IF(CA$9="X",VLOOKUP(CA$10,'VK-Biokütused'!$C:$U,2+$E50,0))+IF(CA$5="X",VLOOKUP(CA$10,'VK-Põlevkivi'!$C:$X,2+$G50,0))+IF(CA$4="X",VLOOKUP(CA$10,'VK-Võrgud'!$C:$X,2+$F50,0)))/16</f>
        <v>#N/A</v>
      </c>
      <c r="CB50" s="209">
        <f>(IF(CB$7="X",VLOOKUP(CB$10,'VK-Hooned-Soojus'!$C:$X,2+$C50,FALSE),0)+IF(CB$6="X",VLOOKUP(CB$10,'VK-Transport'!$C:$X,2+$B50,0))+IF(CB$8="X",VLOOKUP(CB$10,'VK-Elekter'!$C:$X,2+$D50,0))+IF(CB$9="X",VLOOKUP(CB$10,'VK-Biokütused'!$C:$U,2+$E50,0))+IF(CB$5="X",VLOOKUP(CB$10,'VK-Põlevkivi'!$C:$X,2+$G50,0))+IF(CB$4="X",VLOOKUP(CB$10,'VK-Võrgud'!$C:$X,2+$F50,0)))/16</f>
        <v>0</v>
      </c>
      <c r="CC50" s="209">
        <f>(IF(CC$7="X",VLOOKUP(CC$10,'VK-Hooned-Soojus'!$C:$X,2+$C50,FALSE),0)+IF(CC$6="X",VLOOKUP(CC$10,'VK-Transport'!$C:$X,2+$B50,0))+IF(CC$8="X",VLOOKUP(CC$10,'VK-Elekter'!$C:$X,2+$D50,0))+IF(CC$9="X",VLOOKUP(CC$10,'VK-Biokütused'!$C:$U,2+$E50,0))+IF(CC$5="X",VLOOKUP(CC$10,'VK-Põlevkivi'!$C:$X,2+$G50,0))+IF(CC$4="X",VLOOKUP(CC$10,'VK-Võrgud'!$C:$X,2+$F50,0)))/16</f>
        <v>0</v>
      </c>
      <c r="CD50" s="209"/>
      <c r="CE50" s="209">
        <f>(IF(CE$7="X",VLOOKUP(CE$10,'VK-Hooned-Soojus'!$C:$X,2+$C50,FALSE),0)+IF(CE$6="X",VLOOKUP(CE$10,'VK-Transport'!$C:$X,2+$B50,0))+IF(CE$8="X",VLOOKUP(CE$10,'VK-Elekter'!$C:$X,2+$D50,0))+IF(CE$9="X",VLOOKUP(CE$10,'VK-Biokütused'!$C:$U,2+$E50,0))+IF(CE$5="X",VLOOKUP(CE$10,'VK-Põlevkivi'!$C:$X,2+$G50,0))+IF(CE$4="X",VLOOKUP(CE$10,'VK-Võrgud'!$C:$X,2+$F50,0)))/16</f>
        <v>24.15625</v>
      </c>
      <c r="CF50" s="209"/>
      <c r="CG50" s="209">
        <f>(IF(CG$7="X",VLOOKUP(CG$10,'VK-Hooned-Soojus'!$C:$X,2+$C50,FALSE),0)+IF(CG$6="X",VLOOKUP(CG$10,'VK-Transport'!$C:$X,2+$B50,0))+IF(CG$8="X",VLOOKUP(CG$10,'VK-Elekter'!$C:$X,2+$D50,0))+IF(CG$9="X",VLOOKUP(CG$10,'VK-Biokütused'!$C:$U,2+$E50,0))+IF(CG$5="X",VLOOKUP(CG$10,'VK-Põlevkivi'!$C:$X,2+$G50,0))+IF(CG$4="X",VLOOKUP(CG$10,'VK-Võrgud'!$C:$X,2+$F50,0)))/16</f>
        <v>0</v>
      </c>
      <c r="CH50" s="209">
        <f>(IF(CH$7="X",VLOOKUP(CH$10,'VK-Hooned-Soojus'!$C:$X,2+$C50,FALSE),0)+IF(CH$6="X",VLOOKUP(CH$10,'VK-Transport'!$C:$X,2+$B50,0))+IF(CH$8="X",VLOOKUP(CH$10,'VK-Elekter'!$C:$X,2+$D50,0))+IF(CH$9="X",VLOOKUP(CH$10,'VK-Biokütused'!$C:$U,2+$E50,0))+IF(CH$5="X",VLOOKUP(CH$10,'VK-Põlevkivi'!$C:$X,2+$G50,0))+IF(CH$4="X",VLOOKUP(CH$10,'VK-Võrgud'!$C:$X,2+$F50,0)))/20*0.21</f>
        <v>26.9178</v>
      </c>
      <c r="CI50" s="209"/>
      <c r="CJ50" s="209">
        <f>(IF(CJ$7="X",VLOOKUP(CJ$10,'VK-Hooned-Soojus'!$C:$X,2+$C50,FALSE),0)+IF(CJ$6="X",VLOOKUP(CJ$10,'VK-Transport'!$C:$X,2+$B50,0))+IF(CJ$8="X",VLOOKUP(CJ$10,'VK-Elekter'!$C:$X,2+$D50,0))+IF(CJ$9="X",VLOOKUP(CJ$10,'VK-Biokütused'!$C:$U,2+$E50,0))+IF(CJ$5="X",VLOOKUP(CJ$10,'VK-Põlevkivi'!$C:$X,2+$G50,0))+IF(CJ$4="X",VLOOKUP(CJ$10,'VK-Võrgud'!$C:$X,2+$F50,0)))/1000</f>
        <v>18.156721793242816</v>
      </c>
      <c r="CK50" s="209">
        <f>(IF(CK$7="X",VLOOKUP(CK$10,'VK-Hooned-Soojus'!$C:$X,2+$C50,FALSE),0)+IF(CK$6="X",VLOOKUP(CK$10,'VK-Transport'!$C:$X,2+$B50,0))+IF(CK$8="X",VLOOKUP(CK$10,'VK-Elekter'!$C:$X,2+$D50,0))+IF(CK$9="X",VLOOKUP(CK$10,'VK-Biokütused'!$C:$U,2+$E50,0))+IF(CK$5="X",VLOOKUP(CK$10,'VK-Põlevkivi'!$C:$X,2+$G50,0))+IF(CK$4="X",VLOOKUP(CK$10,'VK-Võrgud'!$C:$X,2+$F50,0)))/1000</f>
        <v>6.0117453871512243</v>
      </c>
      <c r="CL50" s="235">
        <f>(IF(CL$7="X",VLOOKUP(CL$10,'VK-Hooned-Soojus'!$C:$X,2+$C50,FALSE),0)+IF(CL$6="X",VLOOKUP(CL$10,'VK-Transport'!$C:$X,2+$B50,0))+IF(CL$8="X",VLOOKUP(CL$10,'VK-Elekter'!$C:$X,2+$D50,0))+IF(CL$9="X",VLOOKUP(CL$10,'VK-Biokütused'!$C:$U,2+$E50,0)))/1000</f>
        <v>5.1330005094011817</v>
      </c>
      <c r="CM50" s="209">
        <f>(IF(CM$7="X",VLOOKUP(CM$10,'VK-Hooned-Soojus'!$C:$X,2+$C50,FALSE),0)+IF(CM$6="X",VLOOKUP(CM$10,'VK-Transport'!$C:$X,2+$B50,0))+IF(CM$8="X",VLOOKUP(CM$10,'VK-Elekter'!$C:$X,2+$D50,0))+IF(CM$9="X",VLOOKUP(CM$10,'VK-Biokütused'!$C:$U,2+$E50,0))+IF(CM$5="X",VLOOKUP(CM$10,'VK-Põlevkivi'!$C:$X,2+$G50,0))+IF(CM$4="X",VLOOKUP(CM$10,'VK-Võrgud'!$C:$X,2+$F50,0)))/1000</f>
        <v>7.6528313570900952</v>
      </c>
      <c r="CN50" s="209">
        <f>(IF(CN$7="X",VLOOKUP(CN$10,'VK-Hooned-Soojus'!$C:$X,2+$C50,FALSE),0)+IF(CN$6="X",VLOOKUP(CN$10,'VK-Transport'!$C:$X,2+$B50,0))+IF(CN$8="X",VLOOKUP(CN$10,'VK-Elekter'!$C:$X,2+$D50,0))+IF(CN$9="X",VLOOKUP(CN$10,'VK-Biokütused'!$C:$U,2+$E50,0))+IF(CN$5="X",VLOOKUP(CN$10,'VK-Põlevkivi'!$C:$X,2+$G50,0))+IF(CN$4="X",VLOOKUP(CN$10,'VK-Võrgud'!$C:$X,2+$F50,0)))/1000</f>
        <v>2.7559999999999998</v>
      </c>
      <c r="CO50" s="209">
        <f>(IF(CO$7="X",VLOOKUP(CO$10,'VK-Hooned-Soojus'!$C:$X,2+$C50,FALSE),0)+IF(CO$6="X",VLOOKUP(CO$10,'VK-Transport'!$C:$X,2+$B50,0))+IF(CO$8="X",VLOOKUP(CO$10,'VK-Elekter'!$C:$X,2+$D50,0))+IF(CO$9="X",VLOOKUP(CO$10,'VK-Biokütused'!$C:$U,2+$E50,0))+IF(CO$5="X",VLOOKUP(CO$10,'VK-Põlevkivi'!$C:$X,2+$G50,0))+IF(CO$4="X",VLOOKUP(CO$10,'VK-Võrgud'!$C:$X,2+$F50,0)))/1000</f>
        <v>23.893649773285453</v>
      </c>
      <c r="CP50" s="209">
        <f>(IF(CP$7="X",VLOOKUP(CP$10,'VK-Hooned-Soojus'!$C:$X,2+$C50,FALSE),0)+IF(CP$6="X",VLOOKUP(CP$10,'VK-Transport'!$C:$X,2+$B50,0))+IF(CP$8="X",VLOOKUP(CP$10,'VK-Elekter'!$C:$X,2+$D50,0))+IF(CP$9="X",VLOOKUP(CP$10,'VK-Biokütused'!$C:$U,2+$E50,0))+IF(CP$5="X",VLOOKUP(CP$10,'VK-Põlevkivi'!$C:$X,2+$G50,0))+IF(CP$4="X",VLOOKUP(CP$10,'VK-Võrgud'!$C:$X,2+$F50,0)))/1000</f>
        <v>6.6239485842956141</v>
      </c>
      <c r="CQ50" s="235">
        <f>(IF(CQ$7="X",VLOOKUP(CQ$10,'VK-Hooned-Soojus'!$C:$X,2+$C50,FALSE),0)+IF(CQ$6="X",VLOOKUP(CQ$10,'VK-Transport'!$C:$X,2+$B50,0))+IF(CQ$8="X",VLOOKUP(CQ$10,'VK-Elekter'!$C:$X,2+$D50,0))+IF(CQ$9="X",VLOOKUP(CQ$10,'VK-Biokütused'!$C:$U,2+$E50,0)))/1000</f>
        <v>5.312907</v>
      </c>
      <c r="CR50" s="209">
        <f>(IF(CR$7="X",VLOOKUP(CR$10,'VK-Hooned-Soojus'!$C:$X,2+$C50,FALSE),0)+IF(CR$6="X",VLOOKUP(CR$10,'VK-Transport'!$C:$X,2+$B50,0))+IF(CR$8="X",VLOOKUP(CR$10,'VK-Elekter'!$C:$X,2+$D50,0))+IF(CR$9="X",VLOOKUP(CR$10,'VK-Biokütused'!$C:$U,2+$E50,0))+IF(CR$5="X",VLOOKUP(CR$10,'VK-Põlevkivi'!$C:$X,2+$G50,0))+IF(CR$4="X",VLOOKUP(CR$10,'VK-Võrgud'!$C:$X,2+$F50,0)))/1000</f>
        <v>7.7157533562748037</v>
      </c>
      <c r="CS50" s="209">
        <f>(IF(CS$7="X",VLOOKUP(CS$10,'VK-Hooned-Soojus'!$C:$X,2+$C50,FALSE),0)+IF(CS$6="X",VLOOKUP(CS$10,'VK-Transport'!$C:$X,2+$B50,0))+IF(CS$8="X",VLOOKUP(CS$10,'VK-Elekter'!$C:$X,2+$D50,0))+IF(CS$9="X",VLOOKUP(CS$10,'VK-Biokütused'!$C:$U,2+$E50,0))+IF(CS$5="X",VLOOKUP(CS$10,'VK-Põlevkivi'!$C:$X,2+$G50,0))+IF(CS$4="X",VLOOKUP(CS$10,'VK-Võrgud'!$C:$X,2+$F50,0)))/1000</f>
        <v>3.9161524051216152</v>
      </c>
      <c r="CT50" s="209">
        <f>IF(CT$7="X",VLOOKUP(CT$10,'VK-Hooned-Soojus'!$C:$X,2+$C50,FALSE),0)+IF(CT$6="X",VLOOKUP(CT$10,'VK-Transport'!$C:$X,2+$B50,0))+IF(CT$8="X",VLOOKUP(CT$10,'VK-Elekter'!$C:$X,2+$D50,0))+IF(CT$9="X",VLOOKUP(CT$10,'VK-Biokütused'!$C:$U,2+$E50,0))+IF(CT$5="X",VLOOKUP(CT$10,'VK-Põlevkivi'!$C:$X,2+$G50,0))+IF(CT$4="X",VLOOKUP(CT$10,'VK-Võrgud'!$C:$X,2+$F50,0))</f>
        <v>90</v>
      </c>
      <c r="CU50" s="209">
        <f>IF(CU$7="X",VLOOKUP(CU$10,'VK-Hooned-Soojus'!$C:$X,2+$C50,FALSE),0)+IF(CU$6="X",VLOOKUP(CU$10,'VK-Transport'!$C:$X,2+$B50,0))+IF(CU$8="X",VLOOKUP(CU$10,'VK-Elekter'!$C:$X,2+$D50,0))+IF(CU$9="X",VLOOKUP(CU$10,'VK-Biokütused'!$C:$U,2+$E50,0))+IF(CU$5="X",VLOOKUP(CU$10,'VK-Põlevkivi'!$C:$X,2+$G50,0))+IF(CU$4="X",VLOOKUP(CU$10,'VK-Võrgud'!$C:$X,2+$F50,0))</f>
        <v>0.63390170511534605</v>
      </c>
      <c r="CV50" s="209">
        <f t="shared" si="37"/>
        <v>1</v>
      </c>
      <c r="CW50" s="209">
        <f>(IF(CW$7="X",VLOOKUP(CW$10,'VK-Hooned-Soojus'!$C:$X,2+$C50,FALSE),0)+IF(CW$6="X",VLOOKUP(CW$10,'VK-Transport'!$C:$X,2+$B50,0))+IF(CW$8="X",VLOOKUP(CW$10,'VK-Elekter'!$C:$X,2+$D50,0))+IF(CW$9="X",VLOOKUP(CW$10,'VK-Biokütused'!$C:$U,2+$E50,0))+IF(CW$5="X",VLOOKUP(CW$10,'VK-Põlevkivi'!$C:$X,2+$G50,0))+IF(CW$4="X",VLOOKUP(CW$10,'VK-Võrgud'!$C:$X,2+$F50,0)))/16</f>
        <v>0</v>
      </c>
      <c r="CY50" s="209">
        <f>(IF(CY$7="X",VLOOKUP(CY$10,'VK-Hooned-Soojus'!$C:$X,2+$C50,FALSE),0)+IF(CY$6="X",VLOOKUP(CY$10,'VK-Transport'!$C:$X,2+$B50,0))+IF(CY$8="X",VLOOKUP(CY$10,'VK-Elekter'!$C:$X,2+$D50,0))+IF(CY$9="X",VLOOKUP(CY$10,'VK-Biokütused'!$C:$U,2+$E50,0))+IF(CY$5="X",VLOOKUP(CY$10,'VK-Põlevkivi'!$C:$X,2+$G50,0))+IF(CY$4="X",VLOOKUP(CY$10,'VK-Võrgud'!$C:$X,2+$F50,0)))/1000</f>
        <v>10.259</v>
      </c>
      <c r="CZ50" s="209">
        <f>(IF(CZ$7="X",VLOOKUP(CZ$10,'VK-Hooned-Soojus'!$C:$X,2+$C50,FALSE),0)+IF(CZ$6="X",VLOOKUP(CZ$10,'VK-Transport'!$C:$X,2+$B50,0))+IF(CZ$8="X",VLOOKUP(CZ$10,'VK-Elekter'!$C:$X,2+$D50,0))+IF(CZ$9="X",VLOOKUP(CZ$10,'VK-Biokütused'!$C:$U,2+$E50,0))+IF(CZ$5="X",VLOOKUP(CZ$10,'VK-Põlevkivi'!$C:$X,2+$G50,0))+IF(CZ$4="X",VLOOKUP(CZ$10,'VK-Võrgud'!$C:$X,2+$F50,0)))</f>
        <v>83</v>
      </c>
      <c r="DA50" s="209">
        <f>(IF(DA$7="X",VLOOKUP(DA$10,'VK-Hooned-Soojus'!$C:$X,2+$C50,FALSE),0)+IF(DA$6="X",VLOOKUP(DA$10,'VK-Transport'!$C:$X,2+$B50,0))+IF(DA$8="X",VLOOKUP(DA$10,'VK-Elekter'!$C:$X,2+$D50,0))+IF(DA$9="X",VLOOKUP(DA$10,'VK-Biokütused'!$C:$U,2+$E50,0))+IF(DA$5="X",VLOOKUP(DA$10,'VK-Põlevkivi'!$C:$X,2+$G50,0))+IF(DA$4="X",VLOOKUP(DA$10,'VK-Võrgud'!$C:$X,2+$F50,0)))/1000</f>
        <v>10.179</v>
      </c>
      <c r="DB50" s="209">
        <f>(IF(DB$7="X",VLOOKUP(DB$10,'VK-Hooned-Soojus'!$C:$X,2+$C50,FALSE),0)+IF(DB$6="X",VLOOKUP(DB$10,'VK-Transport'!$C:$X,2+$B50,0))+IF(DB$8="X",VLOOKUP(DB$10,'VK-Elekter'!$C:$X,2+$D50,0))+IF(DB$9="X",VLOOKUP(DB$10,'VK-Biokütused'!$C:$U,2+$E50,0))+IF(DB$5="X",VLOOKUP(DB$10,'VK-Põlevkivi'!$C:$X,2+$G50,0))+IF(DB$4="X",VLOOKUP(DB$10,'VK-Võrgud'!$C:$X,2+$F50,0)))/1000/3.6</f>
        <v>40.80361111111111</v>
      </c>
      <c r="DC50" s="209">
        <f>(IF(DC$7="X",VLOOKUP(DC$10,'VK-Hooned-Soojus'!$C:$X,2+$C50,FALSE),0)+IF(DC$6="X",VLOOKUP(DC$10,'VK-Transport'!$C:$X,2+$B50,0))+IF(DC$8="X",VLOOKUP(DC$10,'VK-Elekter'!$C:$X,2+$D50,0))+IF(DC$9="X",VLOOKUP(DC$10,'VK-Biokütused'!$C:$U,2+$E50,0))+IF(DC$5="X",VLOOKUP(DC$10,'VK-Põlevkivi'!$C:$X,2+$G50,0))+IF(DC$4="X",VLOOKUP(DC$10,'VK-Võrgud'!$C:$X,2+$F50,0)))/1000000</f>
        <v>4.1956569999999997</v>
      </c>
      <c r="DD50" s="209"/>
      <c r="DE50" s="88">
        <f>VLOOKUP(Tulemused!$BN$12,data!M$7:N$12,2,FALSE)-SUM(L50,M50)</f>
        <v>-2.20664444444445</v>
      </c>
      <c r="DF50" s="209" t="str">
        <f>IF(AZ50&lt;=VLOOKUP(Tulemused!$BN$15,data!$E$36:$F$39,2,FALSE),"JAH","EI")</f>
        <v>JAH</v>
      </c>
      <c r="DG50" s="209"/>
      <c r="DH50" s="209">
        <f t="shared" si="38"/>
        <v>10.67</v>
      </c>
      <c r="DI50" s="231" t="str">
        <f t="shared" si="17"/>
        <v>EI</v>
      </c>
      <c r="DK50" s="232">
        <f t="shared" si="39"/>
        <v>-994.16795201748391</v>
      </c>
      <c r="DM50" s="233">
        <f t="shared" si="40"/>
        <v>-993.05934048729853</v>
      </c>
      <c r="DN50" s="87">
        <f t="array" ref="DN50">INDEX($A$11:$A$145, SMALL(IF(DM50=$DK$11:$DK$145, MATCH(ROW($DK$11:$DK$145), ROW($DK$11:$DK$145))), SUM(--(DM50=$DM$11:DM50))))</f>
        <v>104</v>
      </c>
      <c r="DP50" s="87" t="e">
        <f t="shared" ca="1" si="18"/>
        <v>#N/A</v>
      </c>
      <c r="DQ50" s="87" t="e">
        <f t="shared" ca="1" si="19"/>
        <v>#N/A</v>
      </c>
      <c r="DR50" s="87">
        <f t="shared" ca="1" si="20"/>
        <v>0</v>
      </c>
      <c r="DS50" s="87" t="e">
        <f t="shared" ca="1" si="21"/>
        <v>#N/A</v>
      </c>
      <c r="DT50" s="87">
        <f t="shared" ca="1" si="22"/>
        <v>0</v>
      </c>
      <c r="DU50" s="87" t="e">
        <f t="shared" ca="1" si="23"/>
        <v>#N/A</v>
      </c>
      <c r="DV50" s="87" t="e">
        <f t="shared" ca="1" si="24"/>
        <v>#N/A</v>
      </c>
      <c r="DW50" s="87">
        <f t="shared" ca="1" si="25"/>
        <v>0</v>
      </c>
      <c r="DX50" s="87">
        <f t="shared" ca="1" si="26"/>
        <v>0</v>
      </c>
      <c r="DZ50" s="87">
        <f t="shared" ca="1" si="35"/>
        <v>0</v>
      </c>
      <c r="EB50" s="87">
        <f t="shared" ca="1" si="27"/>
        <v>0</v>
      </c>
      <c r="EC50" s="87" t="e">
        <f t="shared" ca="1" si="28"/>
        <v>#N/A</v>
      </c>
      <c r="EE50" s="228">
        <f>(IF(EE$7="X",VLOOKUP(EE$10,'VK-Hooned-Soojus'!$C:$X,2+$C50,FALSE),0)+IF(EE$6="X",VLOOKUP(EE$10,'VK-Transport'!$C:$X,2+$B50,0))+IF(EE$8="X",VLOOKUP(EE$10,'VK-Elekter'!$C:$X,2+$D50,0))+IF(EE$9="X",VLOOKUP(EE$10,'VK-Biokütused'!$C:$U,2+$E50,0))+IF(EE$5="X",VLOOKUP(EE$10,'VK-Põlevkivi'!$C:$X,2+$G50,0))+IF(EE$4="X",VLOOKUP(EE$10,'VK-Võrgud'!$C:$X,2+$F50,0)))</f>
        <v>3911.336374693833</v>
      </c>
      <c r="EF50" s="235">
        <f>(IF(EF$7="X",VLOOKUP(EF$10,'VK-Hooned-Soojus'!$C:$X,2+$C50,FALSE),0)+IF(EF$6="X",VLOOKUP(EF$10,'VK-Transport'!$C:$X,2+$B50,0))+IF(EF$8="X",VLOOKUP(EF$10,'VK-Elekter'!$C:$X,2+$D50,0))+IF(EF$9="X",VLOOKUP(EF$10,'VK-Biokütused'!$C:$U,2+$E50,0)))/1000</f>
        <v>3.6796368215830602</v>
      </c>
      <c r="EG50" s="209">
        <f>(IF(EG$7="X",VLOOKUP(EG$10,'VK-Hooned-Soojus'!$C:$X,2+$C50,FALSE),0)+IF(EG$6="X",VLOOKUP(EG$10,'VK-Transport'!$C:$X,2+$B50,0))+IF(EG$8="X",VLOOKUP(EG$10,'VK-Elekter'!$C:$X,2+$D50,0))+IF(EG$9="X",VLOOKUP(EG$10,'VK-Biokütused'!$C:$U,2+$E50,0))+IF(EG$5="X",VLOOKUP(EG$10,'VK-Põlevkivi'!$C:$X,2+$G50,0))+IF(EG$4="X",VLOOKUP(EG$10,'VK-Võrgud'!$C:$X,2+$F50,0)))</f>
        <v>0.81</v>
      </c>
      <c r="EH50" s="209">
        <f>(IF(EH$7="X",VLOOKUP(EH$10,'VK-Hooned-Soojus'!$C:$X,2+$C50,FALSE),0)+IF(EH$6="X",VLOOKUP(EH$10,'VK-Transport'!$C:$X,2+$B50,0))+IF(EH$8="X",VLOOKUP(EH$10,'VK-Elekter'!$C:$X,2+$D50,0))+IF(EH$9="X",VLOOKUP(EH$10,'VK-Biokütused'!$C:$U,2+$E50,0)))+AR50+AS50+AU50+AX50</f>
        <v>44.228055555555557</v>
      </c>
      <c r="EI50" s="320">
        <f t="shared" si="41"/>
        <v>44.228055555555557</v>
      </c>
      <c r="EJ50" s="322">
        <f t="shared" si="42"/>
        <v>2.201934621570804E-2</v>
      </c>
      <c r="EK50" s="323">
        <f t="shared" si="29"/>
        <v>0.45163250455002329</v>
      </c>
      <c r="EM50" s="209"/>
      <c r="EN50" s="209">
        <f t="shared" ca="1" si="43"/>
        <v>0</v>
      </c>
      <c r="EO50" s="209"/>
      <c r="EP50" s="234"/>
      <c r="EQ50" s="209">
        <f>(IF(EQ$7="X",VLOOKUP(EQ$10,'VK-Hooned-Soojus'!$C:$X,2+$C50,FALSE),0)+IF(EQ$6="X",VLOOKUP(EQ$10,'VK-Transport'!$C:$X,2+$B50,0))+IF(EQ$8="X",VLOOKUP(EQ$10,'VK-Elekter'!$C:$X,2+$D50,0))+IF(EQ$9="X",VLOOKUP(EQ$10,'VK-Biokütused'!$C:$U,2+$E50,0))+IF(EQ$5="X",VLOOKUP(EQ$10,'VK-Põlevkivi'!$C:$X,2+$G50,0))+IF(EQ$4="X",VLOOKUP(EQ$10,'VK-Võrgud'!$C:$X,2+$F50,0)))/1000</f>
        <v>0.19900000000000001</v>
      </c>
      <c r="ER50" s="209">
        <f>(IF(ER$7="X",VLOOKUP(ER$10,'VK-Hooned-Soojus'!$C:$X,2+$C50,FALSE),0)+IF(ER$6="X",VLOOKUP(ER$10,'VK-Transport'!$C:$X,2+$B50,0))+IF(ER$8="X",VLOOKUP(ER$10,'VK-Elekter'!$C:$X,2+$D50,0))+IF(ER$9="X",VLOOKUP(ER$10,'VK-Biokütused'!$C:$U,2+$E50,0))+IF(ER$5="X",VLOOKUP(ER$10,'VK-Põlevkivi'!$C:$X,2+$G50,0))+IF(ER$4="X",VLOOKUP(ER$10,'VK-Võrgud'!$C:$X,2+$F50,0)))</f>
        <v>0.72299999999999998</v>
      </c>
      <c r="ES50" s="209">
        <f>(IF(ES$7="X",VLOOKUP(ES$10,'VK-Hooned-Soojus'!$C:$X,2+$C50,FALSE),0)+IF(ES$6="X",VLOOKUP(ES$10,'VK-Transport'!$C:$X,2+$B50,0))+IF(ES$8="X",VLOOKUP(ES$10,'VK-Elekter'!$C:$X,2+$D50,0))+IF(ES$9="X",VLOOKUP(ES$10,'VK-Biokütused'!$C:$U,2+$E50,0))+IF(ES$5="X",VLOOKUP(ES$10,'VK-Põlevkivi'!$C:$X,2+$G50,0))+IF(ES$4="X",VLOOKUP(ES$10,'VK-Võrgud'!$C:$X,2+$F50,0)))</f>
        <v>10.67</v>
      </c>
      <c r="ET50" s="209"/>
      <c r="EU50" s="209"/>
      <c r="EV50" s="87">
        <f>'KSH järjestus'!AS43</f>
        <v>1365</v>
      </c>
      <c r="EX50" s="236"/>
      <c r="EY50" s="236"/>
      <c r="EZ50" s="237">
        <f t="shared" si="44"/>
        <v>0.36609829488465395</v>
      </c>
      <c r="FA50" s="209">
        <f>IF(FA$7="X",VLOOKUP(FA$10,'VK-Hooned-Soojus'!$C:$X,2+$C50,FALSE),0)+IF(FA$6="X",VLOOKUP(FA$10,'VK-Transport'!$C:$X,2+$B50,0))+IF(FA$8="X",VLOOKUP(FA$10,'VK-Elekter'!$C:$X,2+$D50,0))+IF(FA$9="X",VLOOKUP(FA$10,'VK-Biokütused'!$C:$U,2+$E50,0))+IF(FA$5="X",VLOOKUP(FA$10,'VK-Põlevkivi'!$C:$X,2+$G50,0))+IF(FA$4="X",VLOOKUP(FA$10,'VK-Võrgud'!$C:$X,2+$F50,0))</f>
        <v>3367.9070000000002</v>
      </c>
      <c r="FB50" s="279">
        <f>(IF(FB$7="X",VLOOKUP(FB$10,'VK-Hooned-Soojus'!$C:$X,2+$C50,FALSE),0)+IF(FB$6="X",VLOOKUP(FB$10,'VK-Transport'!$C:$X,2+$B50,0))+IF(FB$8="X",VLOOKUP(FB$10,'VK-Elekter'!$C:$X,2+$D50,0))+IF(FB$9="X",VLOOKUP(FB$10,'VK-Biokütused'!$C:$U,2+$E50,0))+IF(FB$5="X",VLOOKUP(FB$10,'VK-Põlevkivi'!$C:$X,2+$G50,0))+IF(FB$4="X",VLOOKUP(FB$10,'VK-Võrgud'!$C:$X,2+$F50,0)))/16</f>
        <v>144.50053647366767</v>
      </c>
      <c r="FC50" s="209">
        <f>IF(FC$7="X",VLOOKUP(FC$10,'VK-Hooned-Soojus'!$C:$X,2+$C50,FALSE),0)+IF(FC$6="X",VLOOKUP(FC$10,'VK-Transport'!$C:$X,2+$B50,0))+IF(FC$8="X",VLOOKUP(FC$10,'VK-Elekter'!$C:$X,2+$D50,0))+IF(FC$9="X",VLOOKUP(FC$10,'VK-Biokütused'!$C:$U,2+$E50,0))+IF(FC$5="X",VLOOKUP(FC$10,'VK-Põlevkivi'!$C:$X,2+$G50,0))+IF(FC$4="X",VLOOKUP(FC$10,'VK-Võrgud'!$C:$X,2+$F50,0))</f>
        <v>309.2</v>
      </c>
      <c r="FD50" s="209">
        <f>(IF(FD$7="X",VLOOKUP(FD$10,'VK-Hooned-Soojus'!$C:$X,2+$C50,FALSE),0)+IF(FD$6="X",VLOOKUP(FD$10,'VK-Transport'!$C:$X,2+$B50,0))+IF(FD$8="X",VLOOKUP(FD$10,'VK-Elekter'!$C:$X,2+$D50,0))+IF(FD$9="X",VLOOKUP(FD$10,'VK-Biokütused'!$C:$U,2+$E50,0))+IF(FD$5="X",VLOOKUP(FD$10,'VK-Põlevkivi'!$C:$X,2+$G50,0))+IF(FD$4="X",VLOOKUP(FD$10,'VK-Võrgud'!$C:$X,2+$F50,0)))/16</f>
        <v>144.50053647366767</v>
      </c>
      <c r="FE50" s="209">
        <f>(IF(FE$7="X",VLOOKUP(FE$10,'VK-Hooned-Soojus'!$C:$X,2+$C50,FALSE),0)+IF(FE$6="X",VLOOKUP(FE$10,'VK-Transport'!$C:$X,2+$B50,0))+IF(FE$8="X",VLOOKUP(FE$10,'VK-Elekter'!$C:$X,2+$D50,0))+IF(FE$9="X",VLOOKUP(FE$10,'VK-Biokütused'!$C:$U,2+$E50,0))+IF(FE$5="X",VLOOKUP(FE$10,'VK-Põlevkivi'!$C:$X,2+$G50,0))+IF(FE$4="X",VLOOKUP(FE$10,'VK-Võrgud'!$C:$X,2+$F50,0)))/16</f>
        <v>-122.42</v>
      </c>
      <c r="FF50" s="209">
        <f>(IF(FF$7="X",VLOOKUP(FF$10,'VK-Hooned-Soojus'!$C:$X,2+$C50,FALSE),0)+IF(FF$6="X",VLOOKUP(FF$10,'VK-Transport'!$C:$X,2+$B50,0))+IF(FF$8="X",VLOOKUP(FF$10,'VK-Elekter'!$C:$X,2+$D50,0))+IF(FF$9="X",VLOOKUP(FF$10,'VK-Biokütused'!$C:$U,2+$E50,0))+IF(FF$5="X",VLOOKUP(FF$10,'VK-Põlevkivi'!$C:$X,2+$G50,0))+IF(FF$4="X",VLOOKUP(FF$10,'VK-Võrgud'!$C:$X,2+$F50,0)))/16</f>
        <v>73.850932899034802</v>
      </c>
      <c r="FG50" s="88">
        <f t="shared" ca="1" si="30"/>
        <v>-48.569067100965199</v>
      </c>
      <c r="FH50" s="88"/>
      <c r="FI50" s="88"/>
      <c r="FJ50" s="88">
        <f>VLOOKUP(Tulemused!$BN$12,data!M$7:N$12,2,FALSE)-SUM(L50,M50)</f>
        <v>-2.20664444444445</v>
      </c>
      <c r="FK50" s="209" t="str">
        <f>IF(AZ50&lt;=VLOOKUP(Tulemused!$BN$15,data!$E$36:$F$39,2,FALSE),"JAH","EI")</f>
        <v>JAH</v>
      </c>
      <c r="FL50" s="235">
        <f ca="1">IF(ISNA(MATCH($A50,INDIRECT(VLOOKUP(Tulemused!$BF$11,data!$J$57:$M$71,4,FALSE)))),0,MATCH($A50,INDIRECT(VLOOKUP(Tulemused!$BF$11,data!$J$57:$M$71,4,FALSE))))</f>
        <v>0</v>
      </c>
      <c r="FM50" s="235" t="str">
        <f t="shared" ca="1" si="45"/>
        <v>JAH</v>
      </c>
      <c r="FN50" s="209">
        <f>VLOOKUP(Tulemused!$BN$13,data!$C$132:$D$137,2,FALSE)-KOMBI!R50</f>
        <v>3.2483331784169405</v>
      </c>
      <c r="FO50" s="209"/>
      <c r="FP50" s="209">
        <f>VLOOKUP(Tulemused!$BN$17,NO_x,2,FALSE)-CJ50</f>
        <v>11.281278206757182</v>
      </c>
      <c r="FQ50" s="209">
        <f>VLOOKUP(Tulemused!$BN$18,SO_2,2,FALSE)-CK50</f>
        <v>45.872254612848778</v>
      </c>
      <c r="FR50" s="209">
        <f>VLOOKUP(Tulemused!$BN$19,LOU,2,FALSE)-CN50</f>
        <v>34.324000000000005</v>
      </c>
      <c r="FS50" s="209">
        <f>VLOOKUP(Tulemused!$BN$20,PM_2.5,2,FALSE)-CM50</f>
        <v>9.2621686429099039</v>
      </c>
      <c r="FT50" s="209">
        <f>VLOOKUP(Tulemused!$BN$13,data!$C$132:$D$137,2,FALSE)-FA50/1000</f>
        <v>2.8780630000000005</v>
      </c>
      <c r="FU50" s="209">
        <f>VLOOKUP(Tulemused!$BN$17,NO_x,2,FALSE)-CO50</f>
        <v>5.5443502267145455</v>
      </c>
      <c r="FV50" s="209">
        <f>VLOOKUP(Tulemused!$BN$18,SO_2,2,FALSE)-CP50</f>
        <v>45.260051415704389</v>
      </c>
      <c r="FW50" s="209">
        <f>VLOOKUP(Tulemused!$BN$19,LOU,2,FALSE)-CS50</f>
        <v>33.163847594878391</v>
      </c>
      <c r="FX50" s="209">
        <f>VLOOKUP(Tulemused!$BN$20,PM_2.5,2,FALSE)-CR50</f>
        <v>9.1992466437251963</v>
      </c>
      <c r="FY50" s="209">
        <f>VLOOKUP(Tulemused!$BN$14,KHG_2050,2,FALSE)-EF50</f>
        <v>96.32036317841694</v>
      </c>
      <c r="FZ50" s="231" t="str">
        <f t="shared" ca="1" si="31"/>
        <v>EI</v>
      </c>
      <c r="GA50" s="209"/>
      <c r="GB50" s="209"/>
      <c r="GC50" s="209"/>
      <c r="GD50" s="231"/>
      <c r="GE50" s="87">
        <f t="shared" si="46"/>
        <v>1365</v>
      </c>
      <c r="GF50" s="232" t="str">
        <f t="shared" ca="1" si="32"/>
        <v/>
      </c>
      <c r="GH50" s="238" t="e">
        <f t="shared" ca="1" si="47"/>
        <v>#NUM!</v>
      </c>
      <c r="GI50" s="87" t="e">
        <f t="array" aca="1" ref="GI50" ca="1">INDEX($A$11:$A$145, SMALL(IF(GH50=$GF$11:$GF$145, MATCH(ROW($GF$11:$GF$145), ROW($GF$11:$GF$145))), SUM(--(GH50=$GH$11:GH50))))</f>
        <v>#NUM!</v>
      </c>
      <c r="GM50" s="209">
        <f>IF(GM$7="X",VLOOKUP(GM$10,'VK-Hooned-Soojus'!$C:$X,2+$C50,FALSE),0)+IF(GM$6="X",VLOOKUP(GM$10,'VK-Transport'!$C:$X,2+$B50,0))+IF(GM$8="X",VLOOKUP(GM$10,'VK-Elekter'!$C:$X,2+$D50,0))+IF(GM$9="X",VLOOKUP(GM$10,'VK-Biokütused'!$C:$U,2+$E50,0))+IF(GM$5="X",VLOOKUP(GM$10,'VK-Põlevkivi'!$C:$X,2+$G50,0))+IF(GM$4="X",VLOOKUP(GM$10,'VK-Võrgud'!$C:$X,2+$F50,0))</f>
        <v>0</v>
      </c>
      <c r="GN50" s="209">
        <f>IF(GN$7="X",VLOOKUP(GN$10,'VK-Hooned-Soojus'!$C:$X,2+$C50,FALSE),0)+IF(GN$6="X",VLOOKUP(GN$10,'VK-Transport'!$C:$X,2+$B50,0))+IF(GN$8="X",VLOOKUP(GN$10,'VK-Elekter'!$C:$X,2+$D50,0))+IF(GN$9="X",VLOOKUP(GN$10,'VK-Biokütused'!$C:$U,2+$E50,0))+IF(GN$5="X",VLOOKUP(GN$10,'VK-Põlevkivi'!$C:$X,2+$G50,0))+IF(GN$4="X",VLOOKUP(GN$10,'VK-Võrgud'!$C:$X,2+$F50,0))</f>
        <v>7.5434676424145266</v>
      </c>
      <c r="GO50" s="209">
        <f>IF(GO$7="X",VLOOKUP(GO$10,'VK-Hooned-Soojus'!$C:$X,2+$C50,FALSE),0)+IF(GO$6="X",VLOOKUP(GO$10,'VK-Transport'!$C:$X,2+$B50,0))+IF(GO$8="X",VLOOKUP(GO$10,'VK-Elekter'!$C:$X,2+$D50,0))+IF(GO$9="X",VLOOKUP(GO$10,'VK-Biokütused'!$C:$U,2+$E50,0))+IF(GO$5="X",VLOOKUP(GO$10,'VK-Põlevkivi'!$C:$X,2+$G50,0))+IF(GO$4="X",VLOOKUP(GO$10,'VK-Võrgud'!$C:$X,2+$F50,0))</f>
        <v>7.5763700102722566</v>
      </c>
      <c r="GP50" s="209">
        <f>IF(GP$7="X",VLOOKUP(GP$10,'VK-Hooned-Soojus'!$C:$X,2+$C50,FALSE),0)+IF(GP$6="X",VLOOKUP(GP$10,'VK-Transport'!$C:$X,2+$B50,0))+IF(GP$8="X",VLOOKUP(GP$10,'VK-Elekter'!$C:$X,2+$D50,0))+IF(GP$9="X",VLOOKUP(GP$10,'VK-Biokütused'!$C:$U,2+$E50,0))+IF(GP$5="X",VLOOKUP(GP$10,'VK-Põlevkivi'!$C:$X,2+$G50,0))+IF(GP$4="X",VLOOKUP(GP$10,'VK-Võrgud'!$C:$X,2+$F50,0))</f>
        <v>8.9326558040707589</v>
      </c>
      <c r="GQ50" s="88">
        <f>IF(GQ$7="X",VLOOKUP(GQ$10,'VK-Hooned-Soojus'!$C:$X,2+$C50,FALSE),0)+IF(GQ$6="X",VLOOKUP(GQ$10,'VK-Transport'!$C:$X,2+$B50,0))+IF(GQ$8="X",VLOOKUP(GQ$10,'VK-Elekter'!$C:$X,2+$D50,0))+IF(GQ$9="X",VLOOKUP(GQ$10,'VK-Biokütused'!$C:$U,2+$E50,0))+IF(GQ$5="X",VLOOKUP(GQ$10,'VK-Põlevkivi'!$C:$X,2+$G50,0))+IF(GQ$4="X",VLOOKUP(GQ$10,'VK-Võrgud'!$C:$X,2+$F50,0))</f>
        <v>0.9682855968523334</v>
      </c>
      <c r="GR50" s="186">
        <f t="shared" si="33"/>
        <v>0.4978506172092993</v>
      </c>
    </row>
    <row r="51" spans="1:200" x14ac:dyDescent="0.2">
      <c r="A51" s="184">
        <v>41</v>
      </c>
      <c r="B51" s="87">
        <v>1</v>
      </c>
      <c r="C51" s="87">
        <v>3</v>
      </c>
      <c r="D51" s="87">
        <v>4</v>
      </c>
      <c r="E51" s="87">
        <v>2</v>
      </c>
      <c r="F51" s="87">
        <f>VLOOKUP(Tulemused!$BF$7,data!$J$6:$K$8,2,FALSE)</f>
        <v>2</v>
      </c>
      <c r="G51" s="87">
        <f>VLOOKUP(data!$H$2,data!$J$12:$K$14,2,FALSE)</f>
        <v>2</v>
      </c>
      <c r="I51" s="209">
        <f>IF(I$7="X",VLOOKUP(I$10,'VK-Hooned-Soojus'!$C:$X,2+$C51,FALSE),0)+IF(I$6="X",VLOOKUP(I$10,'VK-Transport'!$C:$X,2+$B51,0))+IF(I$8="X",VLOOKUP(I$10,'VK-Elekter'!$C:$X,2+$D51,0))+IF(I$9="X",VLOOKUP(I$10,'VK-Biokütused'!$C:$U,2+$E51,0))+IF(I$5="X",VLOOKUP(I$10,'VK-Põlevkivi'!$C:$X,2+$G51,0))+IF(I$4="X",VLOOKUP(I$10,'VK-Võrgud'!$C:$X,2+$F51,0))</f>
        <v>23.490000000000002</v>
      </c>
      <c r="J51" s="209">
        <f>IF(J$7="X",VLOOKUP(J$10,'VK-Hooned-Soojus'!$C:$X,2+$C51,FALSE),0)+IF(J$6="X",VLOOKUP(J$10,'VK-Transport'!$C:$X,2+$B51,0))+IF(J$8="X",VLOOKUP(J$10,'VK-Elekter'!$C:$X,2+$D51,0))+IF(J$9="X",VLOOKUP(J$10,'VK-Biokütused'!$C:$U,2+$E51,0))+IF(J$5="X",VLOOKUP(J$10,'VK-Põlevkivi'!$C:$X,2+$G51,0))+IF(J$4="X",VLOOKUP(J$10,'VK-Võrgud'!$C:$X,2+$F51,0))</f>
        <v>13.295833333333334</v>
      </c>
      <c r="K51" s="209">
        <f>IF(K$7="X",VLOOKUP(K$10,'VK-Hooned-Soojus'!$C:$X,2+$C51,FALSE),0)+IF(K$6="X",VLOOKUP(K$10,'VK-Transport'!$C:$X,2+$B51,0))+IF(K$8="X",VLOOKUP(K$10,'VK-Elekter'!$C:$X,2+$D51,0))+IF(K$9="X",VLOOKUP(K$10,'VK-Biokütused'!$C:$U,2+$E51,0))+IF(K$5="X",VLOOKUP(K$10,'VK-Põlevkivi'!$C:$X,2+$G51,0))+IF(K$4="X",VLOOKUP(K$10,'VK-Võrgud'!$C:$X,2+$F51,0))</f>
        <v>13.780000000000001</v>
      </c>
      <c r="L51" s="209">
        <f>IF(L$7="X",VLOOKUP(L$10,'VK-Hooned-Soojus'!$C:$X,2+$C51,FALSE),0)+IF(L$6="X",VLOOKUP(L$10,'VK-Transport'!$C:$X,2+$B51,0))+IF(L$8="X",VLOOKUP(L$10,'VK-Elekter'!$C:$X,2+$D51,0))+IF(L$9="X",VLOOKUP(L$10,'VK-Biokütused'!$C:$U,2+$E51,0))+IF(L$5="X",VLOOKUP(L$10,'VK-Põlevkivi'!$C:$X,2+$G51,0))+IF(L$4="X",VLOOKUP(L$10,'VK-Võrgud'!$C:$X,2+$F51,0))</f>
        <v>23.75</v>
      </c>
      <c r="M51" s="209">
        <f>IF(M$7="X",VLOOKUP(M$10,'VK-Hooned-Soojus'!$C:$X,2+$C51,FALSE),0)+IF(M$6="X",VLOOKUP(M$10,'VK-Transport'!$C:$X,2+$B51,0))+IF(M$8="X",VLOOKUP(M$10,'VK-Elekter'!$C:$X,2+$D51,0))+IF(M$9="X",VLOOKUP(M$10,'VK-Biokütused'!$C:$U,2+$E51,0))+IF(M$5="X",VLOOKUP(M$10,'VK-Põlevkivi'!$C:$X,2+$G51,0))+IF(M$4="X",VLOOKUP(M$10,'VK-Võrgud'!$C:$X,2+$F51,0))</f>
        <v>11.289444444444445</v>
      </c>
      <c r="N51" s="209">
        <f>IF(N$7="X",VLOOKUP(N$10,'VK-Hooned-Soojus'!$C:$X,2+$C51,FALSE),0)+IF(N$6="X",VLOOKUP(N$10,'VK-Transport'!$C:$X,2+$B51,0))+IF(N$8="X",VLOOKUP(N$10,'VK-Elekter'!$C:$X,2+$D51,0))+IF(N$9="X",VLOOKUP(N$10,'VK-Biokütused'!$C:$U,2+$E51,0))+IF(N$5="X",VLOOKUP(N$10,'VK-Põlevkivi'!$C:$X,2+$G51,0))+IF(N$4="X",VLOOKUP(N$10,'VK-Võrgud'!$C:$X,2+$F51,0))</f>
        <v>15.25</v>
      </c>
      <c r="O51" s="209">
        <f t="shared" si="13"/>
        <v>36.785833333333336</v>
      </c>
      <c r="P51" s="209"/>
      <c r="Q51" s="209">
        <f>(IF(Q$7="X",VLOOKUP(Q$10,'VK-Hooned-Soojus'!$C:$X,2+$C51,FALSE),0)+IF(Q$6="X",VLOOKUP(Q$10,'VK-Transport'!$C:$X,2+$B51,0))+IF(Q$8="X",VLOOKUP(Q$10,'VK-Elekter'!$C:$X,2+$D51,0))+IF(Q$9="X",VLOOKUP(Q$10,'VK-Biokütused'!$C:$U,2+$E51,0))+IF(Q$5="X",VLOOKUP(Q$10,'VK-Põlevkivi'!$C:$X,2+$G51,0))+IF(Q$4="X",VLOOKUP(Q$10,'VK-Võrgud'!$C:$X,2+$F51,0)))/1000</f>
        <v>1.177</v>
      </c>
      <c r="R51" s="209">
        <f>(IF(R$7="X",VLOOKUP(R$10,'VK-Hooned-Soojus'!$C:$X,2+$C51,FALSE),0)+IF(R$6="X",VLOOKUP(R$10,'VK-Transport'!$C:$X,2+$B51,0))+IF(R$8="X",VLOOKUP(R$10,'VK-Elekter'!$C:$X,2+$D51,0))+IF(R$9="X",VLOOKUP(R$10,'VK-Biokütused'!$C:$U,2+$E51,0))+IF(R$5="X",VLOOKUP(R$10,'VK-Põlevkivi'!$C:$X,2+$G51,0))+IF(R$4="X",VLOOKUP(R$10,'VK-Võrgud'!$C:$X,2+$F51,0)))/1000</f>
        <v>3.3751368215830602</v>
      </c>
      <c r="S51" s="226">
        <f>VLOOKUP(S$10,'VK-Hooned-Soojus'!$C:$I,2+$C51,FALSE) + VLOOKUP(S$10,'VK-Transport'!$C:$I,2+$B51,FALSE)+ VLOOKUP(S$10,'VK-Biokütused'!$C:$G,2+$E51,FALSE)+ VLOOKUP(S$10,'VK-Elekter'!$C:$I,2+$D51,FALSE)+ VLOOKUP(S$10,'VK-Põlevkivi'!$C:$I,2+$G51,FALSE)+ VLOOKUP(S$10,'VK-Võrgud'!$C:$I,2+$F51,FALSE)</f>
        <v>1.2122751805769823E-2</v>
      </c>
      <c r="T51" s="226">
        <f>VLOOKUP(T$10,'VK-Hooned-Soojus'!$C:$I,2+$C51,FALSE) + VLOOKUP(T$10,'VK-Transport'!$C:$I,2+$B51,FALSE)+ VLOOKUP(T$10,'VK-Biokütused'!$C:$G,2+$E51,FALSE)+ VLOOKUP(T$10,'VK-Elekter'!$C:$I,2+$D51,FALSE)+ VLOOKUP(T$10,'VK-Põlevkivi'!$C:$I,2+$G51,FALSE)+ VLOOKUP(T$10,'VK-Võrgud'!$C:$I,2+$F51,FALSE)</f>
        <v>-7.5488129897789552E-3</v>
      </c>
      <c r="U51" s="226">
        <f>VLOOKUP(U$10,'VK-Hooned-Soojus'!$C:$I,2+$C51,FALSE) + VLOOKUP(U$10,'VK-Transport'!$C:$I,2+$B51,FALSE)+ VLOOKUP(U$10,'VK-Biokütused'!$C:$G,2+$E51,FALSE)+ VLOOKUP(U$10,'VK-Elekter'!$C:$I,2+$D51,FALSE)+ VLOOKUP(U$10,'VK-Põlevkivi'!$C:$I,2+$G51,FALSE)+ VLOOKUP(U$10,'VK-Võrgud'!$C:$I,2+$F51,FALSE)</f>
        <v>-9.644883887744149E-4</v>
      </c>
      <c r="V51" s="226">
        <f>VLOOKUP(V$10,'VK-Hooned-Soojus'!$C:$I,2+$C51,FALSE) + VLOOKUP(V$10,'VK-Transport'!$C:$I,2+$B51,FALSE)+ VLOOKUP(V$10,'VK-Biokütused'!$C:$G,2+$E51,FALSE)+ VLOOKUP(V$10,'VK-Elekter'!$C:$I,2+$D51,FALSE)+ VLOOKUP(V$10,'VK-Põlevkivi'!$C:$I,2+$G51,FALSE)+ VLOOKUP(V$10,'VK-Võrgud'!$C:$I,2+$F51,FALSE)</f>
        <v>1.3160655644373598E-2</v>
      </c>
      <c r="W51" s="226">
        <f>VLOOKUP(W$10,'VK-Hooned-Soojus'!$C:$I,2+$C51,FALSE) + VLOOKUP(W$10,'VK-Transport'!$C:$I,2+$B51,FALSE)+ VLOOKUP(W$10,'VK-Biokütused'!$C:$G,2+$E51,FALSE)+ VLOOKUP(W$10,'VK-Elekter'!$C:$I,2+$D51,FALSE)+ VLOOKUP(W$10,'VK-Põlevkivi'!$C:$I,2+$G51,FALSE)+ VLOOKUP(W$10,'VK-Võrgud'!$C:$I,2+$F51,FALSE)</f>
        <v>-3.7771044403597229E-2</v>
      </c>
      <c r="X51" s="226">
        <f>VLOOKUP(X$10,'VK-Hooned-Soojus'!$C:$I,2+$C51,FALSE) + VLOOKUP(X$10,'VK-Transport'!$C:$I,2+$B51,FALSE)+ VLOOKUP(X$10,'VK-Biokütused'!$C:$G,2+$E51,FALSE)+ VLOOKUP(X$10,'VK-Elekter'!$C:$I,2+$D51,FALSE)+ VLOOKUP(X$10,'VK-Põlevkivi'!$C:$I,2+$G51,FALSE)+ VLOOKUP(X$10,'VK-Võrgud'!$C:$I,2+$F51,FALSE)</f>
        <v>-0.15753079798993427</v>
      </c>
      <c r="Y51" s="226">
        <f>VLOOKUP(Y$10,'VK-Hooned-Soojus'!$C:$I,2+$C51,FALSE) + VLOOKUP(Y$10,'VK-Transport'!$C:$I,2+$B51,FALSE)+ VLOOKUP(Y$10,'VK-Biokütused'!$C:$G,2+$E51,FALSE)+ VLOOKUP(Y$10,'VK-Elekter'!$C:$I,2+$D51,FALSE)+ VLOOKUP(Y$10,'VK-Põlevkivi'!$C:$I,2+$G51,FALSE)+ VLOOKUP(Y$10,'VK-Võrgud'!$C:$I,2+$F51,FALSE)</f>
        <v>-8.1138970544223782E-2</v>
      </c>
      <c r="Z51" s="227">
        <f>(S51*Tulemused!$Q$9*10+T51*Tulemused!$Q$10*10+KOMBI!U51*Tulemused!$Q$11*10+KOMBI!V51*Tulemused!$Q$12*10)*Tulemused!$Q$8+-(W51*Tulemused!$Q$14*10+KOMBI!X51*Tulemused!$Q$15*10+KOMBI!Y51*Tulemused!$Q$16*10)*Tulemused!$Q$13</f>
        <v>6.7479596311619492</v>
      </c>
      <c r="AA51" s="228">
        <f>(IF(AA$7="X",VLOOKUP(AA$10,'VK-Hooned-Soojus'!$C:$X,2+$C51,FALSE),0)+IF(AA$6="X",VLOOKUP(AA$10,'VK-Transport'!$C:$X,2+$B51,0))+IF(AA$8="X",VLOOKUP(AA$10,'VK-Elekter'!$C:$X,2+$D51,0))+IF(AA$9="X",VLOOKUP(AA$10,'VK-Biokütused'!$C:$U,2+$E51,0))+IF(AA$5="X",VLOOKUP(AA$10,'VK-Põlevkivi'!$C:$X,2+$G51,0))+IF(AA$4="X",VLOOKUP(AA$10,'VK-Võrgud'!$C:$X,2+$F51,0)))</f>
        <v>0</v>
      </c>
      <c r="AB51" s="228">
        <f>(IF(AB$7="X",VLOOKUP(AB$10,'VK-Hooned-Soojus'!$C:$X,2+$C51,FALSE),0)+IF(AB$6="X",VLOOKUP(AB$10,'VK-Transport'!$C:$X,2+$B51,0))+IF(AB$8="X",VLOOKUP(AB$10,'VK-Elekter'!$C:$X,2+$D51,0))+IF(AB$9="X",VLOOKUP(AB$10,'VK-Biokütused'!$C:$U,2+$E51,0))+IF(AB$5="X",VLOOKUP(AB$10,'VK-Põlevkivi'!$C:$X,2+$G51,0))+IF(AB$4="X",VLOOKUP(AB$10,'VK-Võrgud'!$C:$X,2+$F51,0)))</f>
        <v>1177</v>
      </c>
      <c r="AC51" s="228">
        <f>(IF(AC$7="X",VLOOKUP(AC$10,'VK-Hooned-Soojus'!$C:$X,2+$C51,FALSE),0)+IF(AC$6="X",VLOOKUP(AC$10,'VK-Transport'!$C:$X,2+$B51,0))+IF(AC$8="X",VLOOKUP(AC$10,'VK-Elekter'!$C:$X,2+$D51,0))+IF(AC$9="X",VLOOKUP(AC$10,'VK-Biokütused'!$C:$U,2+$E51,0))+IF(AC$5="X",VLOOKUP(AC$10,'VK-Põlevkivi'!$C:$X,2+$G51,0))+IF(AC$4="X",VLOOKUP(AC$10,'VK-Võrgud'!$C:$X,2+$F51,0)))</f>
        <v>2346</v>
      </c>
      <c r="AD51" s="228">
        <f>(IF(AD$7="X",VLOOKUP(AD$10,'VK-Hooned-Soojus'!$C:$X,2+$C51,FALSE),0)+IF(AD$6="X",VLOOKUP(AD$10,'VK-Transport'!$C:$X,2+$B51,0))+IF(AD$8="X",VLOOKUP(AD$10,'VK-Elekter'!$C:$X,2+$D51,0))+IF(AD$9="X",VLOOKUP(AD$10,'VK-Biokütused'!$C:$U,2+$E51,0))+IF(AD$5="X",VLOOKUP(AD$10,'VK-Põlevkivi'!$C:$X,2+$G51,0))+IF(AD$4="X",VLOOKUP(AD$10,'VK-Võrgud'!$C:$X,2+$F51,0)))</f>
        <v>377.5</v>
      </c>
      <c r="AE51" s="228">
        <f>(IF(AE$7="X",VLOOKUP(AE$10,'VK-Hooned-Soojus'!$C:$X,2+$C51,FALSE),0)+IF(AE$6="X",VLOOKUP(AE$10,'VK-Transport'!$C:$X,2+$B51,0))+IF(AE$8="X",VLOOKUP(AE$10,'VK-Elekter'!$C:$X,2+$D51,0))+IF(AE$9="X",VLOOKUP(AE$10,'VK-Biokütused'!$C:$U,2+$E51,0))+IF(AE$5="X",VLOOKUP(AE$10,'VK-Põlevkivi'!$C:$X,2+$G51,0))+IF(AE$4="X",VLOOKUP(AE$10,'VK-Võrgud'!$C:$X,2+$F51,0)))</f>
        <v>507</v>
      </c>
      <c r="AF51" s="228">
        <f>(IF(AF$7="X",VLOOKUP(AF$10,'VK-Hooned-Soojus'!$C:$X,2+$C51,FALSE),0)+IF(AF$6="X",VLOOKUP(AF$10,'VK-Transport'!$C:$X,2+$B51,0))+IF(AF$8="X",VLOOKUP(AF$10,'VK-Elekter'!$C:$X,2+$D51,0))+IF(AF$9="X",VLOOKUP(AF$10,'VK-Biokütused'!$C:$U,2+$E51,0))+IF(AF$5="X",VLOOKUP(AF$10,'VK-Põlevkivi'!$C:$X,2+$G51,0))+IF(AF$4="X",VLOOKUP(AF$10,'VK-Võrgud'!$C:$X,2+$F51,0)))</f>
        <v>2490.6368215830603</v>
      </c>
      <c r="AG51" s="209"/>
      <c r="AH51" s="209">
        <f>IF(AH$7="X",VLOOKUP(AH$10,'VK-Hooned-Soojus'!$C:$X,2+$C51,FALSE),0)+IF(AH$6="X",VLOOKUP(AH$10,'VK-Transport'!$C:$X,2+$B51,0))+IF(AH$8="X",VLOOKUP(AH$10,'VK-Elekter'!$C:$X,2+$D51,0))+IF(AH$9="X",VLOOKUP(AH$10,'VK-Biokütused'!$C:$U,2+$E51,0))+IF(AH$5="X",VLOOKUP(AH$10,'VK-Põlevkivi'!$C:$X,2+$G51,0))+IF(AH$4="X",VLOOKUP(AH$10,'VK-Võrgud'!$C:$X,2+$F51,0))</f>
        <v>0</v>
      </c>
      <c r="AI51" s="209">
        <f>IF(AI$7="X",VLOOKUP(AI$10,'VK-Hooned-Soojus'!$C:$X,2+$C51,FALSE),0)+IF(AI$6="X",VLOOKUP(AI$10,'VK-Transport'!$C:$X,2+$B51,0))+IF(AI$8="X",VLOOKUP(AI$10,'VK-Elekter'!$C:$X,2+$D51,0))+IF(AI$9="X",VLOOKUP(AI$10,'VK-Biokütused'!$C:$U,2+$E51,0))+IF(AI$5="X",VLOOKUP(AI$10,'VK-Põlevkivi'!$C:$X,2+$G51,0))+IF(AI$4="X",VLOOKUP(AI$10,'VK-Võrgud'!$C:$X,2+$F51,0))</f>
        <v>11.489999999999998</v>
      </c>
      <c r="AJ51" s="209">
        <f>IF(AJ$7="X",VLOOKUP(AJ$10,'VK-Hooned-Soojus'!$C:$X,2+$C51,FALSE),0)+IF(AJ$6="X",VLOOKUP(AJ$10,'VK-Transport'!$C:$X,2+$B51,0))+IF(AJ$8="X",VLOOKUP(AJ$10,'VK-Elekter'!$C:$X,2+$D51,0))+IF(AJ$9="X",VLOOKUP(AJ$10,'VK-Biokütused'!$C:$U,2+$E51,0))+IF(AJ$5="X",VLOOKUP(AJ$10,'VK-Põlevkivi'!$C:$X,2+$G51,0))+IF(AJ$4="X",VLOOKUP(AJ$10,'VK-Võrgud'!$C:$X,2+$F51,0))</f>
        <v>0</v>
      </c>
      <c r="AK51" s="209">
        <f>IF(AK$7="X",VLOOKUP(AK$10,'VK-Hooned-Soojus'!$C:$X,2+$C51,FALSE),0)+IF(AK$6="X",VLOOKUP(AK$10,'VK-Transport'!$C:$X,2+$B51,0))+IF(AK$8="X",VLOOKUP(AK$10,'VK-Elekter'!$C:$X,2+$D51,0))+IF(AK$9="X",VLOOKUP(AK$10,'VK-Biokütused'!$C:$U,2+$E51,0))+IF(AK$5="X",VLOOKUP(AK$10,'VK-Põlevkivi'!$C:$X,2+$G51,0))+IF(AK$4="X",VLOOKUP(AK$10,'VK-Võrgud'!$C:$X,2+$F51,0))</f>
        <v>3.65</v>
      </c>
      <c r="AL51" s="209">
        <f>IF(AL$7="X",VLOOKUP(AL$10,'VK-Hooned-Soojus'!$C:$X,2+$C51,FALSE),0)+IF(AL$6="X",VLOOKUP(AL$10,'VK-Transport'!$C:$X,2+$B51,0))+IF(AL$8="X",VLOOKUP(AL$10,'VK-Elekter'!$C:$X,2+$D51,0))+IF(AL$9="X",VLOOKUP(AL$10,'VK-Biokütused'!$C:$U,2+$E51,0))+IF(AL$5="X",VLOOKUP(AL$10,'VK-Põlevkivi'!$C:$X,2+$G51,0))+IF(AL$4="X",VLOOKUP(AL$10,'VK-Võrgud'!$C:$X,2+$F51,0))</f>
        <v>7.1</v>
      </c>
      <c r="AM51" s="209">
        <f>IF(AM$7="X",VLOOKUP(AM$10,'VK-Hooned-Soojus'!$C:$X,2+$C51,FALSE),0)+IF(AM$6="X",VLOOKUP(AM$10,'VK-Transport'!$C:$X,2+$B51,0))+IF(AM$8="X",VLOOKUP(AM$10,'VK-Elekter'!$C:$X,2+$D51,0))+IF(AM$9="X",VLOOKUP(AM$10,'VK-Biokütused'!$C:$U,2+$E51,0))+IF(AM$5="X",VLOOKUP(AM$10,'VK-Põlevkivi'!$C:$X,2+$G51,0))+IF(AM$4="X",VLOOKUP(AM$10,'VK-Võrgud'!$C:$X,2+$F51,0))</f>
        <v>11.5</v>
      </c>
      <c r="AN51" s="209">
        <f>IF(AN$7="X",VLOOKUP(AN$10,'VK-Hooned-Soojus'!$C:$X,2+$C51,FALSE),0)+IF(AN$6="X",VLOOKUP(AN$10,'VK-Transport'!$C:$X,2+$B51,0))+IF(AN$8="X",VLOOKUP(AN$10,'VK-Elekter'!$C:$X,2+$D51,0))+IF(AN$9="X",VLOOKUP(AN$10,'VK-Biokütused'!$C:$U,2+$E51,0))+IF(AN$5="X",VLOOKUP(AN$10,'VK-Põlevkivi'!$C:$X,2+$G51,0))+IF(AN$4="X",VLOOKUP(AN$10,'VK-Võrgud'!$C:$X,2+$F51,0))</f>
        <v>4.0999999999999996</v>
      </c>
      <c r="AO51" s="209">
        <f>IF(AO$7="X",VLOOKUP(AO$10,'VK-Hooned-Soojus'!$C:$X,2+$C51,FALSE),0)+IF(AO$6="X",VLOOKUP(AO$10,'VK-Transport'!$C:$X,2+$B51,0))+IF(AO$8="X",VLOOKUP(AO$10,'VK-Elekter'!$C:$X,2+$D51,0))+IF(AO$9="X",VLOOKUP(AO$10,'VK-Biokütused'!$C:$U,2+$E51,0))+IF(AO$5="X",VLOOKUP(AO$10,'VK-Põlevkivi'!$C:$X,2+$G51,0))+IF(AO$4="X",VLOOKUP(AO$10,'VK-Võrgud'!$C:$X,2+$F51,0))</f>
        <v>21.34</v>
      </c>
      <c r="AP51" s="209">
        <f>IF(AP$7="X",VLOOKUP(AP$10,'VK-Hooned-Soojus'!$C:$X,2+$C51,FALSE),0)+IF(AP$6="X",VLOOKUP(AP$10,'VK-Transport'!$C:$X,2+$B51,0))+IF(AP$8="X",VLOOKUP(AP$10,'VK-Elekter'!$C:$X,2+$D51,0))+IF(AP$9="X",VLOOKUP(AP$10,'VK-Biokütused'!$C:$U,2+$E51,0))+IF(AP$5="X",VLOOKUP(AP$10,'VK-Põlevkivi'!$C:$X,2+$G51,0))+IF(AP$4="X",VLOOKUP(AP$10,'VK-Võrgud'!$C:$X,2+$F51,0))</f>
        <v>10.67</v>
      </c>
      <c r="AQ51" s="320">
        <f t="shared" si="14"/>
        <v>9.0399999999999991</v>
      </c>
      <c r="AR51" s="209">
        <f>IF(AR$7="X",VLOOKUP(AR$10,'VK-Hooned-Soojus'!$C:$X,2+$C51,FALSE),0)+IF(AR$6="X",VLOOKUP(AR$10,'VK-Transport'!$C:$X,2+$B51,0))+IF(AR$8="X",VLOOKUP(AR$10,'VK-Elekter'!$C:$X,2+$D51,0))+IF(AR$9="X",VLOOKUP(AR$10,'VK-Biokütused'!$C:$U,2+$E51,0))+IF(AR$5="X",VLOOKUP(AR$10,'VK-Põlevkivi'!$C:$X,2+$G51,0))+IF(AR$4="X",VLOOKUP(AR$10,'VK-Võrgud'!$C:$X,2+$F51,0))</f>
        <v>0</v>
      </c>
      <c r="AS51" s="320">
        <f>VLOOKUP("Kütuste tarbimine @ 2030 - UTTEGAAS",'VK-Hooned-Soojus'!$C:$X,2+$C51,FALSE)/0.172+VLOOKUP("Kütuste tarbimine @ 2030 - UTTEGAAS",'VK-Elekter'!$C:$X,2+$D51,FALSE)/0.172-AR51-AU51</f>
        <v>0</v>
      </c>
      <c r="AT51" s="209">
        <f>IF(AT$7="X",VLOOKUP(AT$10,'VK-Hooned-Soojus'!$C:$X,2+$C51,FALSE),0)+IF(AT$6="X",VLOOKUP(AT$10,'VK-Transport'!$C:$X,2+$B51,0))+IF(AT$8="X",VLOOKUP(AT$10,'VK-Elekter'!$C:$X,2+$D51,0))+IF(AT$9="X",VLOOKUP(AT$10,'VK-Biokütused'!$C:$U,2+$E51,0))+IF(AT$5="X",VLOOKUP(AT$10,'VK-Põlevkivi'!$C:$X,2+$G51,0))+IF(AT$4="X",VLOOKUP(AT$10,'VK-Võrgud'!$C:$X,2+$F51,0))</f>
        <v>12.004929222526066</v>
      </c>
      <c r="AU51" s="229">
        <f>MAX(0,(VLOOKUP("Kütuste tarbimine @ 2030 - UTTEGAAS",'VK-Hooned-Soojus'!$C:$X,2+$C51,FALSE)/0.172+VLOOKUP("Kütuste tarbimine @ 2030 - UTTEGAAS",'VK-Elekter'!$C:$X,2+$D51,FALSE)/0.172)*0.52-VLOOKUP("Kütuste tarbimine @ 2030 - PÕLEVKIVIÕLI",'VK-Hooned-Soojus'!$C:$X,2+$C51,FALSE))</f>
        <v>0</v>
      </c>
      <c r="AV51" s="209">
        <f>IF(AV$7="X",VLOOKUP(AV$10,'VK-Hooned-Soojus'!$C:$X,2+$C51,FALSE),0)+IF(AV$6="X",VLOOKUP(AV$10,'VK-Transport'!$C:$X,2+$B51,0))+IF(AV$8="X",VLOOKUP(AV$10,'VK-Elekter'!$C:$X,2+$D51,0))+IF(AV$9="X",VLOOKUP(AV$10,'VK-Biokütused'!$C:$U,2+$E51,0))+IF(AV$5="X",VLOOKUP(AV$10,'VK-Põlevkivi'!$C:$X,2+$G51,0))+IF(AV$4="X",VLOOKUP(AV$10,'VK-Võrgud'!$C:$X,2+$F51,0))</f>
        <v>1.1831224847375093</v>
      </c>
      <c r="AW51" s="209">
        <f>IF(AW$7="X",VLOOKUP(AW$10,'VK-Hooned-Soojus'!$C:$X,2+$C51,FALSE),0)+IF(AW$6="X",VLOOKUP(AW$10,'VK-Transport'!$C:$X,2+$B51,0))+IF(AW$8="X",VLOOKUP(AW$10,'VK-Elekter'!$C:$X,2+$D51,0))+IF(AW$9="X",VLOOKUP(AW$10,'VK-Biokütused'!$C:$U,2+$E51,0))+IF(AW$5="X",VLOOKUP(AW$10,'VK-Põlevkivi'!$C:$X,2+$G51,0))+IF(AW$4="X",VLOOKUP(AW$10,'VK-Võrgud'!$C:$X,2+$F51,0))</f>
        <v>2.141</v>
      </c>
      <c r="AX51" s="229">
        <f t="shared" si="34"/>
        <v>0.95787751526249076</v>
      </c>
      <c r="AY51" s="229">
        <f t="shared" si="15"/>
        <v>0</v>
      </c>
      <c r="AZ51" s="230">
        <f t="shared" si="36"/>
        <v>0.65105573511718828</v>
      </c>
      <c r="BA51" s="209">
        <f>IF(BA$7="X",VLOOKUP(BA$10,'VK-Hooned-Soojus'!$C:$X,2+$C51,FALSE),0)+IF(BA$6="X",VLOOKUP(BA$10,'VK-Transport'!$C:$X,2+$B51,0))+IF(BA$8="X",VLOOKUP(BA$10,'VK-Elekter'!$C:$X,2+$D51,0))+IF(BA$9="X",VLOOKUP(BA$10,'VK-Biokütused'!$C:$U,2+$E51,0))+IF(BA$5="X",VLOOKUP(BA$10,'VK-Põlevkivi'!$C:$X,2+$G51,0))+IF(BA$4="X",VLOOKUP(BA$10,'VK-Võrgud'!$C:$X,2+$F51,0))</f>
        <v>0</v>
      </c>
      <c r="BB51" s="209">
        <f>IF(BB$7="X",VLOOKUP(BB$10,'VK-Hooned-Soojus'!$C:$X,2+$C51,FALSE),0)+IF(BB$6="X",VLOOKUP(BB$10,'VK-Transport'!$C:$X,2+$B51,0))+IF(BB$8="X",VLOOKUP(BB$10,'VK-Elekter'!$C:$X,2+$D51,0))+IF(BB$9="X",VLOOKUP(BB$10,'VK-Biokütused'!$C:$U,2+$E51,0))+IF(BB$5="X",VLOOKUP(BB$10,'VK-Põlevkivi'!$C:$X,2+$G51,0))+IF(BB$4="X",VLOOKUP(BB$10,'VK-Võrgud'!$C:$X,2+$F51,0))</f>
        <v>6.32</v>
      </c>
      <c r="BC51" s="209">
        <f>IF(BC$7="X",VLOOKUP(BC$10,'VK-Hooned-Soojus'!$C:$X,2+$C51,FALSE),0)+IF(BC$6="X",VLOOKUP(BC$10,'VK-Transport'!$C:$X,2+$B51,0))+IF(BC$8="X",VLOOKUP(BC$10,'VK-Elekter'!$C:$X,2+$D51,0))+IF(BC$9="X",VLOOKUP(BC$10,'VK-Biokütused'!$C:$U,2+$E51,0))+IF(BC$5="X",VLOOKUP(BC$10,'VK-Põlevkivi'!$C:$X,2+$G51,0))+IF(BC$4="X",VLOOKUP(BC$10,'VK-Võrgud'!$C:$X,2+$F51,0))</f>
        <v>5.2376666666666667</v>
      </c>
      <c r="BD51" s="209">
        <f>IF(BD$7="X",VLOOKUP(BD$10,'VK-Hooned-Soojus'!$C:$X,2+$C51,FALSE),0)+IF(BD$6="X",VLOOKUP(BD$10,'VK-Transport'!$C:$X,2+$B51,0))+IF(BD$8="X",VLOOKUP(BD$10,'VK-Elekter'!$C:$X,2+$D51,0))+IF(BD$9="X",VLOOKUP(BD$10,'VK-Biokütused'!$C:$U,2+$E51,0))+IF(BD$5="X",VLOOKUP(BD$10,'VK-Põlevkivi'!$C:$X,2+$G51,0))+IF(BD$4="X",VLOOKUP(BD$10,'VK-Võrgud'!$C:$X,2+$F51,0))</f>
        <v>9.1105555555555569</v>
      </c>
      <c r="BE51" s="230"/>
      <c r="BF51" s="229">
        <f t="shared" si="16"/>
        <v>0.54655630190147675</v>
      </c>
      <c r="BG51" s="209" t="e">
        <f>(IF(BG$7="X",VLOOKUP(BG$10,'VK-Hooned-Soojus'!$C:$X,2+$C51,FALSE),0)+IF(BG$6="X",VLOOKUP(BG$10,'VK-Transport'!$C:$X,2+$B51,0))+IF(BG$8="X",VLOOKUP(BG$10,'VK-Elekter'!$C:$X,2+$D51,0))+IF(BG$9="X",VLOOKUP(BG$10,'VK-Biokütused'!$C:$U,2+$E51,0))+IF(BG$5="X",VLOOKUP(BG$10,'VK-Põlevkivi'!$C:$X,2+$G51,0))+IF(BG$4="X",VLOOKUP(BG$10,'VK-Võrgud'!$C:$X,2+$F51,0)))/20</f>
        <v>#N/A</v>
      </c>
      <c r="BH51" s="209">
        <f>(IF(BH$7="X",VLOOKUP(BH$10,'VK-Hooned-Soojus'!$C:$X,2+$C51,FALSE),0)+IF(BH$6="X",VLOOKUP(BH$10,'VK-Transport'!$C:$X,2+$B51,0))+IF(BH$8="X",VLOOKUP(BH$10,'VK-Elekter'!$C:$X,2+$D51,0))+IF(BH$9="X",VLOOKUP(BH$10,'VK-Biokütused'!$C:$U,2+$E51,0))+IF(BH$5="X",VLOOKUP(BH$10,'VK-Põlevkivi'!$C:$X,2+$G51,0))+IF(BH$4="X",VLOOKUP(BH$10,'VK-Võrgud'!$C:$X,2+$F51,0)))/20</f>
        <v>84.204999999999998</v>
      </c>
      <c r="BI51" s="209">
        <f>(IF(BI$7="X",VLOOKUP(BI$10,'VK-Hooned-Soojus'!$C:$X,2+$C51,FALSE),0)+IF(BI$6="X",VLOOKUP(BI$10,'VK-Transport'!$C:$X,2+$B51,0))+IF(BI$8="X",VLOOKUP(BI$10,'VK-Elekter'!$C:$X,2+$D51,0))+IF(BI$9="X",VLOOKUP(BI$10,'VK-Biokütused'!$C:$U,2+$E51,0))+IF(BI$5="X",VLOOKUP(BI$10,'VK-Põlevkivi'!$C:$X,2+$G51,0))+IF(BI$4="X",VLOOKUP(BI$10,'VK-Võrgud'!$C:$X,2+$F51,0)))/16</f>
        <v>8.9375</v>
      </c>
      <c r="BJ51" s="209">
        <f>(IF(BJ$7="X",VLOOKUP(BJ$10,'VK-Hooned-Soojus'!$C:$X,2+$C51,FALSE),0)+IF(BJ$6="X",VLOOKUP(BJ$10,'VK-Transport'!$C:$X,2+$B51,0))+IF(BJ$8="X",VLOOKUP(BJ$10,'VK-Elekter'!$C:$X,2+$D51,0))+IF(BJ$9="X",VLOOKUP(BJ$10,'VK-Biokütused'!$C:$U,2+$E51,0))+IF(BJ$5="X",VLOOKUP(BJ$10,'VK-Põlevkivi'!$C:$X,2+$G51,0))+IF(BJ$4="X",VLOOKUP(BJ$10,'VK-Võrgud'!$C:$X,2+$F51,0)))/20</f>
        <v>5.33</v>
      </c>
      <c r="BK51" s="209"/>
      <c r="BL51" s="209"/>
      <c r="BM51" s="209"/>
      <c r="BN51" s="209" t="e">
        <f>(IF(BN$7="X",VLOOKUP(BN$10,'VK-Hooned-Soojus'!$C:$X,2+$C51,FALSE),0)+IF(BN$6="X",VLOOKUP(BN$10,'VK-Transport'!$C:$X,2+$B51,0))+IF(BN$8="X",VLOOKUP(BN$10,'VK-Elekter'!$C:$X,2+$D51,0))+IF(BN$9="X",VLOOKUP(BN$10,'VK-Biokütused'!$C:$U,2+$E51,0))+IF(BN$5="X",VLOOKUP(BN$10,'VK-Põlevkivi'!$C:$X,2+$G51,0))+IF(BN$4="X",VLOOKUP(BN$10,'VK-Võrgud'!$C:$X,2+$F51,0)))/16</f>
        <v>#N/A</v>
      </c>
      <c r="BO51" s="209">
        <f>(IF(BO$7="X",VLOOKUP(BO$10,'VK-Hooned-Soojus'!$C:$X,2+$C51,FALSE),0)+IF(BO$6="X",VLOOKUP(BO$10,'VK-Transport'!$C:$X,2+$B51,0))+IF(BO$8="X",VLOOKUP(BO$10,'VK-Elekter'!$C:$X,2+$D51,0))+IF(BO$9="X",VLOOKUP(BO$10,'VK-Biokütused'!$C:$U,2+$E51,0))+IF(BO$5="X",VLOOKUP(BO$10,'VK-Põlevkivi'!$C:$X,2+$G51,0))+IF(BO$4="X",VLOOKUP(BO$10,'VK-Võrgud'!$C:$X,2+$F51,0)))/16</f>
        <v>496.33125000000001</v>
      </c>
      <c r="BP51" s="209"/>
      <c r="BQ51" s="209">
        <f>(IF(BQ$7="X",VLOOKUP(BQ$10,'VK-Hooned-Soojus'!$C:$X,2+$C51,FALSE),0)+IF(BQ$6="X",VLOOKUP(BQ$10,'VK-Transport'!$C:$X,2+$B51,0))+IF(BQ$8="X",VLOOKUP(BQ$10,'VK-Elekter'!$C:$X,2+$D51,0))+IF(BQ$9="X",VLOOKUP(BQ$10,'VK-Biokütused'!$C:$U,2+$E51,0))+IF(BQ$5="X",VLOOKUP(BQ$10,'VK-Põlevkivi'!$C:$X,2+$G51,0))+IF(BQ$4="X",VLOOKUP(BQ$10,'VK-Võrgud'!$C:$X,2+$F51,0)))/16</f>
        <v>4.7249999999999996</v>
      </c>
      <c r="BR51" s="209">
        <f>(IF(BR$7="X",VLOOKUP(BR$10,'VK-Hooned-Soojus'!$C:$X,2+$C51,FALSE),0)+IF(BR$6="X",VLOOKUP(BR$10,'VK-Transport'!$C:$X,2+$B51,0))+IF(BR$8="X",VLOOKUP(BR$10,'VK-Elekter'!$C:$X,2+$D51,0))+IF(BR$9="X",VLOOKUP(BR$10,'VK-Biokütused'!$C:$U,2+$E51,0))+IF(BR$5="X",VLOOKUP(BR$10,'VK-Põlevkivi'!$C:$X,2+$G51,0))+IF(BR$4="X",VLOOKUP(BR$10,'VK-Võrgud'!$C:$X,2+$F51,0)))/16</f>
        <v>-74.512500000000003</v>
      </c>
      <c r="BS51" s="209">
        <f>(IF(BS$7="X",VLOOKUP(BS$10,'VK-Hooned-Soojus'!$C:$X,2+$C51,FALSE),0)+IF(BS$6="X",VLOOKUP(BS$10,'VK-Transport'!$C:$X,2+$B51,0))+IF(BS$8="X",VLOOKUP(BS$10,'VK-Elekter'!$C:$X,2+$D51,0))+IF(BS$9="X",VLOOKUP(BS$10,'VK-Biokütused'!$C:$U,2+$E51,0))+IF(BS$5="X",VLOOKUP(BS$10,'VK-Põlevkivi'!$C:$X,2+$G51,0))+IF(BS$4="X",VLOOKUP(BS$10,'VK-Võrgud'!$C:$X,2+$F51,0)))/16</f>
        <v>-100.68125000000001</v>
      </c>
      <c r="BT51" s="209"/>
      <c r="BU51" s="209"/>
      <c r="BV51" s="209">
        <f>(IF(BV$7="X",VLOOKUP(BV$10,'VK-Hooned-Soojus'!$C:$X,2+$C51,FALSE),0)+IF(BV$6="X",VLOOKUP(BV$10,'VK-Transport'!$C:$X,2+$B51,0))+IF(BV$8="X",VLOOKUP(BV$10,'VK-Elekter'!$C:$X,2+$D51,0))+IF(BV$9="X",VLOOKUP(BV$10,'VK-Biokütused'!$C:$U,2+$E51,0))+IF(BV$5="X",VLOOKUP(BV$10,'VK-Põlevkivi'!$C:$X,2+$G51,0))+IF(BV$4="X",VLOOKUP(BV$10,'VK-Võrgud'!$C:$X,2+$F51,0)))/16</f>
        <v>0</v>
      </c>
      <c r="BW51" s="209"/>
      <c r="BX51" s="209">
        <f>(IF(BX$7="X",VLOOKUP(BX$10,'VK-Hooned-Soojus'!$C:$X,2+$C51,FALSE),0)+IF(BX$6="X",VLOOKUP(BX$10,'VK-Transport'!$C:$X,2+$B51,0))+IF(BX$8="X",VLOOKUP(BX$10,'VK-Elekter'!$C:$X,2+$D51,0))+IF(BX$9="X",VLOOKUP(BX$10,'VK-Biokütused'!$C:$U,2+$E51,0))+IF(BX$5="X",VLOOKUP(BX$10,'VK-Põlevkivi'!$C:$X,2+$G51,0))+IF(BX$4="X",VLOOKUP(BX$10,'VK-Võrgud'!$C:$X,2+$F51,0)))/16</f>
        <v>-19.25</v>
      </c>
      <c r="BY51" s="209"/>
      <c r="BZ51" s="209"/>
      <c r="CA51" s="209" t="e">
        <f>(IF(CA$7="X",VLOOKUP(CA$10,'VK-Hooned-Soojus'!$C:$X,2+$C51,FALSE),0)+IF(CA$6="X",VLOOKUP(CA$10,'VK-Transport'!$C:$X,2+$B51,0))+IF(CA$8="X",VLOOKUP(CA$10,'VK-Elekter'!$C:$X,2+$D51,0))+IF(CA$9="X",VLOOKUP(CA$10,'VK-Biokütused'!$C:$U,2+$E51,0))+IF(CA$5="X",VLOOKUP(CA$10,'VK-Põlevkivi'!$C:$X,2+$G51,0))+IF(CA$4="X",VLOOKUP(CA$10,'VK-Võrgud'!$C:$X,2+$F51,0)))/16</f>
        <v>#N/A</v>
      </c>
      <c r="CB51" s="209">
        <f>(IF(CB$7="X",VLOOKUP(CB$10,'VK-Hooned-Soojus'!$C:$X,2+$C51,FALSE),0)+IF(CB$6="X",VLOOKUP(CB$10,'VK-Transport'!$C:$X,2+$B51,0))+IF(CB$8="X",VLOOKUP(CB$10,'VK-Elekter'!$C:$X,2+$D51,0))+IF(CB$9="X",VLOOKUP(CB$10,'VK-Biokütused'!$C:$U,2+$E51,0))+IF(CB$5="X",VLOOKUP(CB$10,'VK-Põlevkivi'!$C:$X,2+$G51,0))+IF(CB$4="X",VLOOKUP(CB$10,'VK-Võrgud'!$C:$X,2+$F51,0)))/16</f>
        <v>0</v>
      </c>
      <c r="CC51" s="209">
        <f>(IF(CC$7="X",VLOOKUP(CC$10,'VK-Hooned-Soojus'!$C:$X,2+$C51,FALSE),0)+IF(CC$6="X",VLOOKUP(CC$10,'VK-Transport'!$C:$X,2+$B51,0))+IF(CC$8="X",VLOOKUP(CC$10,'VK-Elekter'!$C:$X,2+$D51,0))+IF(CC$9="X",VLOOKUP(CC$10,'VK-Biokütused'!$C:$U,2+$E51,0))+IF(CC$5="X",VLOOKUP(CC$10,'VK-Põlevkivi'!$C:$X,2+$G51,0))+IF(CC$4="X",VLOOKUP(CC$10,'VK-Võrgud'!$C:$X,2+$F51,0)))/16</f>
        <v>0</v>
      </c>
      <c r="CD51" s="209"/>
      <c r="CE51" s="209">
        <f>(IF(CE$7="X",VLOOKUP(CE$10,'VK-Hooned-Soojus'!$C:$X,2+$C51,FALSE),0)+IF(CE$6="X",VLOOKUP(CE$10,'VK-Transport'!$C:$X,2+$B51,0))+IF(CE$8="X",VLOOKUP(CE$10,'VK-Elekter'!$C:$X,2+$D51,0))+IF(CE$9="X",VLOOKUP(CE$10,'VK-Biokütused'!$C:$U,2+$E51,0))+IF(CE$5="X",VLOOKUP(CE$10,'VK-Põlevkivi'!$C:$X,2+$G51,0))+IF(CE$4="X",VLOOKUP(CE$10,'VK-Võrgud'!$C:$X,2+$F51,0)))/16</f>
        <v>24.15625</v>
      </c>
      <c r="CF51" s="209"/>
      <c r="CG51" s="209">
        <f>(IF(CG$7="X",VLOOKUP(CG$10,'VK-Hooned-Soojus'!$C:$X,2+$C51,FALSE),0)+IF(CG$6="X",VLOOKUP(CG$10,'VK-Transport'!$C:$X,2+$B51,0))+IF(CG$8="X",VLOOKUP(CG$10,'VK-Elekter'!$C:$X,2+$D51,0))+IF(CG$9="X",VLOOKUP(CG$10,'VK-Biokütused'!$C:$U,2+$E51,0))+IF(CG$5="X",VLOOKUP(CG$10,'VK-Põlevkivi'!$C:$X,2+$G51,0))+IF(CG$4="X",VLOOKUP(CG$10,'VK-Võrgud'!$C:$X,2+$F51,0)))/16</f>
        <v>0</v>
      </c>
      <c r="CH51" s="209">
        <f>(IF(CH$7="X",VLOOKUP(CH$10,'VK-Hooned-Soojus'!$C:$X,2+$C51,FALSE),0)+IF(CH$6="X",VLOOKUP(CH$10,'VK-Transport'!$C:$X,2+$B51,0))+IF(CH$8="X",VLOOKUP(CH$10,'VK-Elekter'!$C:$X,2+$D51,0))+IF(CH$9="X",VLOOKUP(CH$10,'VK-Biokütused'!$C:$U,2+$E51,0))+IF(CH$5="X",VLOOKUP(CH$10,'VK-Põlevkivi'!$C:$X,2+$G51,0))+IF(CH$4="X",VLOOKUP(CH$10,'VK-Võrgud'!$C:$X,2+$F51,0)))/20*0.21</f>
        <v>26.9178</v>
      </c>
      <c r="CI51" s="209"/>
      <c r="CJ51" s="209">
        <f>(IF(CJ$7="X",VLOOKUP(CJ$10,'VK-Hooned-Soojus'!$C:$X,2+$C51,FALSE),0)+IF(CJ$6="X",VLOOKUP(CJ$10,'VK-Transport'!$C:$X,2+$B51,0))+IF(CJ$8="X",VLOOKUP(CJ$10,'VK-Elekter'!$C:$X,2+$D51,0))+IF(CJ$9="X",VLOOKUP(CJ$10,'VK-Biokütused'!$C:$U,2+$E51,0))+IF(CJ$5="X",VLOOKUP(CJ$10,'VK-Põlevkivi'!$C:$X,2+$G51,0))+IF(CJ$4="X",VLOOKUP(CJ$10,'VK-Võrgud'!$C:$X,2+$F51,0)))/1000</f>
        <v>18.156721793242816</v>
      </c>
      <c r="CK51" s="209">
        <f>(IF(CK$7="X",VLOOKUP(CK$10,'VK-Hooned-Soojus'!$C:$X,2+$C51,FALSE),0)+IF(CK$6="X",VLOOKUP(CK$10,'VK-Transport'!$C:$X,2+$B51,0))+IF(CK$8="X",VLOOKUP(CK$10,'VK-Elekter'!$C:$X,2+$D51,0))+IF(CK$9="X",VLOOKUP(CK$10,'VK-Biokütused'!$C:$U,2+$E51,0))+IF(CK$5="X",VLOOKUP(CK$10,'VK-Põlevkivi'!$C:$X,2+$G51,0))+IF(CK$4="X",VLOOKUP(CK$10,'VK-Võrgud'!$C:$X,2+$F51,0)))/1000</f>
        <v>6.0117453871512243</v>
      </c>
      <c r="CL51" s="235">
        <f>(IF(CL$7="X",VLOOKUP(CL$10,'VK-Hooned-Soojus'!$C:$X,2+$C51,FALSE),0)+IF(CL$6="X",VLOOKUP(CL$10,'VK-Transport'!$C:$X,2+$B51,0))+IF(CL$8="X",VLOOKUP(CL$10,'VK-Elekter'!$C:$X,2+$D51,0))+IF(CL$9="X",VLOOKUP(CL$10,'VK-Biokütused'!$C:$U,2+$E51,0)))/1000</f>
        <v>5.1330005094011817</v>
      </c>
      <c r="CM51" s="209">
        <f>(IF(CM$7="X",VLOOKUP(CM$10,'VK-Hooned-Soojus'!$C:$X,2+$C51,FALSE),0)+IF(CM$6="X",VLOOKUP(CM$10,'VK-Transport'!$C:$X,2+$B51,0))+IF(CM$8="X",VLOOKUP(CM$10,'VK-Elekter'!$C:$X,2+$D51,0))+IF(CM$9="X",VLOOKUP(CM$10,'VK-Biokütused'!$C:$U,2+$E51,0))+IF(CM$5="X",VLOOKUP(CM$10,'VK-Põlevkivi'!$C:$X,2+$G51,0))+IF(CM$4="X",VLOOKUP(CM$10,'VK-Võrgud'!$C:$X,2+$F51,0)))/1000</f>
        <v>7.6528313570900952</v>
      </c>
      <c r="CN51" s="209">
        <f>(IF(CN$7="X",VLOOKUP(CN$10,'VK-Hooned-Soojus'!$C:$X,2+$C51,FALSE),0)+IF(CN$6="X",VLOOKUP(CN$10,'VK-Transport'!$C:$X,2+$B51,0))+IF(CN$8="X",VLOOKUP(CN$10,'VK-Elekter'!$C:$X,2+$D51,0))+IF(CN$9="X",VLOOKUP(CN$10,'VK-Biokütused'!$C:$U,2+$E51,0))+IF(CN$5="X",VLOOKUP(CN$10,'VK-Põlevkivi'!$C:$X,2+$G51,0))+IF(CN$4="X",VLOOKUP(CN$10,'VK-Võrgud'!$C:$X,2+$F51,0)))/1000</f>
        <v>2.7559999999999998</v>
      </c>
      <c r="CO51" s="209">
        <f>(IF(CO$7="X",VLOOKUP(CO$10,'VK-Hooned-Soojus'!$C:$X,2+$C51,FALSE),0)+IF(CO$6="X",VLOOKUP(CO$10,'VK-Transport'!$C:$X,2+$B51,0))+IF(CO$8="X",VLOOKUP(CO$10,'VK-Elekter'!$C:$X,2+$D51,0))+IF(CO$9="X",VLOOKUP(CO$10,'VK-Biokütused'!$C:$U,2+$E51,0))+IF(CO$5="X",VLOOKUP(CO$10,'VK-Põlevkivi'!$C:$X,2+$G51,0))+IF(CO$4="X",VLOOKUP(CO$10,'VK-Võrgud'!$C:$X,2+$F51,0)))/1000</f>
        <v>23.893649773285453</v>
      </c>
      <c r="CP51" s="209">
        <f>(IF(CP$7="X",VLOOKUP(CP$10,'VK-Hooned-Soojus'!$C:$X,2+$C51,FALSE),0)+IF(CP$6="X",VLOOKUP(CP$10,'VK-Transport'!$C:$X,2+$B51,0))+IF(CP$8="X",VLOOKUP(CP$10,'VK-Elekter'!$C:$X,2+$D51,0))+IF(CP$9="X",VLOOKUP(CP$10,'VK-Biokütused'!$C:$U,2+$E51,0))+IF(CP$5="X",VLOOKUP(CP$10,'VK-Põlevkivi'!$C:$X,2+$G51,0))+IF(CP$4="X",VLOOKUP(CP$10,'VK-Võrgud'!$C:$X,2+$F51,0)))/1000</f>
        <v>6.6239485842956141</v>
      </c>
      <c r="CQ51" s="235">
        <f>(IF(CQ$7="X",VLOOKUP(CQ$10,'VK-Hooned-Soojus'!$C:$X,2+$C51,FALSE),0)+IF(CQ$6="X",VLOOKUP(CQ$10,'VK-Transport'!$C:$X,2+$B51,0))+IF(CQ$8="X",VLOOKUP(CQ$10,'VK-Elekter'!$C:$X,2+$D51,0))+IF(CQ$9="X",VLOOKUP(CQ$10,'VK-Biokütused'!$C:$U,2+$E51,0)))/1000</f>
        <v>5.312907</v>
      </c>
      <c r="CR51" s="209">
        <f>(IF(CR$7="X",VLOOKUP(CR$10,'VK-Hooned-Soojus'!$C:$X,2+$C51,FALSE),0)+IF(CR$6="X",VLOOKUP(CR$10,'VK-Transport'!$C:$X,2+$B51,0))+IF(CR$8="X",VLOOKUP(CR$10,'VK-Elekter'!$C:$X,2+$D51,0))+IF(CR$9="X",VLOOKUP(CR$10,'VK-Biokütused'!$C:$U,2+$E51,0))+IF(CR$5="X",VLOOKUP(CR$10,'VK-Põlevkivi'!$C:$X,2+$G51,0))+IF(CR$4="X",VLOOKUP(CR$10,'VK-Võrgud'!$C:$X,2+$F51,0)))/1000</f>
        <v>7.7157533562748037</v>
      </c>
      <c r="CS51" s="209">
        <f>(IF(CS$7="X",VLOOKUP(CS$10,'VK-Hooned-Soojus'!$C:$X,2+$C51,FALSE),0)+IF(CS$6="X",VLOOKUP(CS$10,'VK-Transport'!$C:$X,2+$B51,0))+IF(CS$8="X",VLOOKUP(CS$10,'VK-Elekter'!$C:$X,2+$D51,0))+IF(CS$9="X",VLOOKUP(CS$10,'VK-Biokütused'!$C:$U,2+$E51,0))+IF(CS$5="X",VLOOKUP(CS$10,'VK-Põlevkivi'!$C:$X,2+$G51,0))+IF(CS$4="X",VLOOKUP(CS$10,'VK-Võrgud'!$C:$X,2+$F51,0)))/1000</f>
        <v>3.9161524051216152</v>
      </c>
      <c r="CT51" s="209">
        <f>IF(CT$7="X",VLOOKUP(CT$10,'VK-Hooned-Soojus'!$C:$X,2+$C51,FALSE),0)+IF(CT$6="X",VLOOKUP(CT$10,'VK-Transport'!$C:$X,2+$B51,0))+IF(CT$8="X",VLOOKUP(CT$10,'VK-Elekter'!$C:$X,2+$D51,0))+IF(CT$9="X",VLOOKUP(CT$10,'VK-Biokütused'!$C:$U,2+$E51,0))+IF(CT$5="X",VLOOKUP(CT$10,'VK-Põlevkivi'!$C:$X,2+$G51,0))+IF(CT$4="X",VLOOKUP(CT$10,'VK-Võrgud'!$C:$X,2+$F51,0))</f>
        <v>90</v>
      </c>
      <c r="CU51" s="209">
        <f>IF(CU$7="X",VLOOKUP(CU$10,'VK-Hooned-Soojus'!$C:$X,2+$C51,FALSE),0)+IF(CU$6="X",VLOOKUP(CU$10,'VK-Transport'!$C:$X,2+$B51,0))+IF(CU$8="X",VLOOKUP(CU$10,'VK-Elekter'!$C:$X,2+$D51,0))+IF(CU$9="X",VLOOKUP(CU$10,'VK-Biokütused'!$C:$U,2+$E51,0))+IF(CU$5="X",VLOOKUP(CU$10,'VK-Põlevkivi'!$C:$X,2+$G51,0))+IF(CU$4="X",VLOOKUP(CU$10,'VK-Võrgud'!$C:$X,2+$F51,0))</f>
        <v>0.63390170511534605</v>
      </c>
      <c r="CV51" s="209">
        <f t="shared" si="37"/>
        <v>0.91028830406496797</v>
      </c>
      <c r="CW51" s="209">
        <f>(IF(CW$7="X",VLOOKUP(CW$10,'VK-Hooned-Soojus'!$C:$X,2+$C51,FALSE),0)+IF(CW$6="X",VLOOKUP(CW$10,'VK-Transport'!$C:$X,2+$B51,0))+IF(CW$8="X",VLOOKUP(CW$10,'VK-Elekter'!$C:$X,2+$D51,0))+IF(CW$9="X",VLOOKUP(CW$10,'VK-Biokütused'!$C:$U,2+$E51,0))+IF(CW$5="X",VLOOKUP(CW$10,'VK-Põlevkivi'!$C:$X,2+$G51,0))+IF(CW$4="X",VLOOKUP(CW$10,'VK-Võrgud'!$C:$X,2+$F51,0)))/16</f>
        <v>59.743749999999999</v>
      </c>
      <c r="CY51" s="209">
        <f>(IF(CY$7="X",VLOOKUP(CY$10,'VK-Hooned-Soojus'!$C:$X,2+$C51,FALSE),0)+IF(CY$6="X",VLOOKUP(CY$10,'VK-Transport'!$C:$X,2+$B51,0))+IF(CY$8="X",VLOOKUP(CY$10,'VK-Elekter'!$C:$X,2+$D51,0))+IF(CY$9="X",VLOOKUP(CY$10,'VK-Biokütused'!$C:$U,2+$E51,0))+IF(CY$5="X",VLOOKUP(CY$10,'VK-Põlevkivi'!$C:$X,2+$G51,0))+IF(CY$4="X",VLOOKUP(CY$10,'VK-Võrgud'!$C:$X,2+$F51,0)))/1000</f>
        <v>10.35</v>
      </c>
      <c r="CZ51" s="209">
        <f>(IF(CZ$7="X",VLOOKUP(CZ$10,'VK-Hooned-Soojus'!$C:$X,2+$C51,FALSE),0)+IF(CZ$6="X",VLOOKUP(CZ$10,'VK-Transport'!$C:$X,2+$B51,0))+IF(CZ$8="X",VLOOKUP(CZ$10,'VK-Elekter'!$C:$X,2+$D51,0))+IF(CZ$9="X",VLOOKUP(CZ$10,'VK-Biokütused'!$C:$U,2+$E51,0))+IF(CZ$5="X",VLOOKUP(CZ$10,'VK-Põlevkivi'!$C:$X,2+$G51,0))+IF(CZ$4="X",VLOOKUP(CZ$10,'VK-Võrgud'!$C:$X,2+$F51,0)))</f>
        <v>83.4</v>
      </c>
      <c r="DA51" s="209">
        <f>(IF(DA$7="X",VLOOKUP(DA$10,'VK-Hooned-Soojus'!$C:$X,2+$C51,FALSE),0)+IF(DA$6="X",VLOOKUP(DA$10,'VK-Transport'!$C:$X,2+$B51,0))+IF(DA$8="X",VLOOKUP(DA$10,'VK-Elekter'!$C:$X,2+$D51,0))+IF(DA$9="X",VLOOKUP(DA$10,'VK-Biokütused'!$C:$U,2+$E51,0))+IF(DA$5="X",VLOOKUP(DA$10,'VK-Põlevkivi'!$C:$X,2+$G51,0))+IF(DA$4="X",VLOOKUP(DA$10,'VK-Võrgud'!$C:$X,2+$F51,0)))/1000</f>
        <v>10.268000000000001</v>
      </c>
      <c r="DB51" s="209">
        <f>(IF(DB$7="X",VLOOKUP(DB$10,'VK-Hooned-Soojus'!$C:$X,2+$C51,FALSE),0)+IF(DB$6="X",VLOOKUP(DB$10,'VK-Transport'!$C:$X,2+$B51,0))+IF(DB$8="X",VLOOKUP(DB$10,'VK-Elekter'!$C:$X,2+$D51,0))+IF(DB$9="X",VLOOKUP(DB$10,'VK-Biokütused'!$C:$U,2+$E51,0))+IF(DB$5="X",VLOOKUP(DB$10,'VK-Põlevkivi'!$C:$X,2+$G51,0))+IF(DB$4="X",VLOOKUP(DB$10,'VK-Võrgud'!$C:$X,2+$F51,0)))/1000/3.6</f>
        <v>41.143888888888888</v>
      </c>
      <c r="DC51" s="209">
        <f>(IF(DC$7="X",VLOOKUP(DC$10,'VK-Hooned-Soojus'!$C:$X,2+$C51,FALSE),0)+IF(DC$6="X",VLOOKUP(DC$10,'VK-Transport'!$C:$X,2+$B51,0))+IF(DC$8="X",VLOOKUP(DC$10,'VK-Elekter'!$C:$X,2+$D51,0))+IF(DC$9="X",VLOOKUP(DC$10,'VK-Biokütused'!$C:$U,2+$E51,0))+IF(DC$5="X",VLOOKUP(DC$10,'VK-Põlevkivi'!$C:$X,2+$G51,0))+IF(DC$4="X",VLOOKUP(DC$10,'VK-Võrgud'!$C:$X,2+$F51,0)))/1000000</f>
        <v>4.2289490000000001</v>
      </c>
      <c r="DD51" s="209"/>
      <c r="DE51" s="88">
        <f>VLOOKUP(Tulemused!$BN$12,data!M$7:N$12,2,FALSE)-SUM(L51,M51)</f>
        <v>-2.20664444444445</v>
      </c>
      <c r="DF51" s="209" t="str">
        <f>IF(AZ51&lt;=VLOOKUP(Tulemused!$BN$15,data!$E$36:$F$39,2,FALSE),"JAH","EI")</f>
        <v>JAH</v>
      </c>
      <c r="DG51" s="209"/>
      <c r="DH51" s="209">
        <f t="shared" si="38"/>
        <v>10.67</v>
      </c>
      <c r="DI51" s="231" t="str">
        <f t="shared" si="17"/>
        <v>EI</v>
      </c>
      <c r="DK51" s="232">
        <f t="shared" si="39"/>
        <v>-993.25204036883804</v>
      </c>
      <c r="DM51" s="233">
        <f t="shared" si="40"/>
        <v>-993.06935751555932</v>
      </c>
      <c r="DN51" s="87">
        <f t="array" ref="DN51">INDEX($A$11:$A$145, SMALL(IF(DM51=$DK$11:$DK$145, MATCH(ROW($DK$11:$DK$145), ROW($DK$11:$DK$145))), SUM(--(DM51=$DM$11:DM51))))</f>
        <v>118</v>
      </c>
      <c r="DP51" s="87" t="e">
        <f t="shared" ca="1" si="18"/>
        <v>#N/A</v>
      </c>
      <c r="DQ51" s="87" t="e">
        <f t="shared" ca="1" si="19"/>
        <v>#N/A</v>
      </c>
      <c r="DR51" s="87">
        <f t="shared" ca="1" si="20"/>
        <v>0</v>
      </c>
      <c r="DS51" s="87" t="e">
        <f t="shared" ca="1" si="21"/>
        <v>#N/A</v>
      </c>
      <c r="DT51" s="87">
        <f t="shared" ca="1" si="22"/>
        <v>0</v>
      </c>
      <c r="DU51" s="87" t="e">
        <f t="shared" ca="1" si="23"/>
        <v>#N/A</v>
      </c>
      <c r="DV51" s="87" t="e">
        <f t="shared" ca="1" si="24"/>
        <v>#N/A</v>
      </c>
      <c r="DW51" s="87">
        <f t="shared" ca="1" si="25"/>
        <v>0</v>
      </c>
      <c r="DX51" s="87">
        <f t="shared" ca="1" si="26"/>
        <v>0</v>
      </c>
      <c r="DZ51" s="87">
        <f t="shared" ca="1" si="35"/>
        <v>0</v>
      </c>
      <c r="EB51" s="87">
        <f t="shared" ca="1" si="27"/>
        <v>0</v>
      </c>
      <c r="EC51" s="87" t="e">
        <f t="shared" ca="1" si="28"/>
        <v>#N/A</v>
      </c>
      <c r="EE51" s="228">
        <f>(IF(EE$7="X",VLOOKUP(EE$10,'VK-Hooned-Soojus'!$C:$X,2+$C51,FALSE),0)+IF(EE$6="X",VLOOKUP(EE$10,'VK-Transport'!$C:$X,2+$B51,0))+IF(EE$8="X",VLOOKUP(EE$10,'VK-Elekter'!$C:$X,2+$D51,0))+IF(EE$9="X",VLOOKUP(EE$10,'VK-Biokütused'!$C:$U,2+$E51,0))+IF(EE$5="X",VLOOKUP(EE$10,'VK-Põlevkivi'!$C:$X,2+$G51,0))+IF(EE$4="X",VLOOKUP(EE$10,'VK-Võrgud'!$C:$X,2+$F51,0)))</f>
        <v>7024.8256205147027</v>
      </c>
      <c r="EF51" s="235">
        <f>(IF(EF$7="X",VLOOKUP(EF$10,'VK-Hooned-Soojus'!$C:$X,2+$C51,FALSE),0)+IF(EF$6="X",VLOOKUP(EF$10,'VK-Transport'!$C:$X,2+$B51,0))+IF(EF$8="X",VLOOKUP(EF$10,'VK-Elekter'!$C:$X,2+$D51,0))+IF(EF$9="X",VLOOKUP(EF$10,'VK-Biokütused'!$C:$U,2+$E51,0)))/1000</f>
        <v>3.6796368215830602</v>
      </c>
      <c r="EG51" s="209">
        <f>(IF(EG$7="X",VLOOKUP(EG$10,'VK-Hooned-Soojus'!$C:$X,2+$C51,FALSE),0)+IF(EG$6="X",VLOOKUP(EG$10,'VK-Transport'!$C:$X,2+$B51,0))+IF(EG$8="X",VLOOKUP(EG$10,'VK-Elekter'!$C:$X,2+$D51,0))+IF(EG$9="X",VLOOKUP(EG$10,'VK-Biokütused'!$C:$U,2+$E51,0))+IF(EG$5="X",VLOOKUP(EG$10,'VK-Põlevkivi'!$C:$X,2+$G51,0))+IF(EG$4="X",VLOOKUP(EG$10,'VK-Võrgud'!$C:$X,2+$F51,0)))</f>
        <v>0.81</v>
      </c>
      <c r="EH51" s="209">
        <f>(IF(EH$7="X",VLOOKUP(EH$10,'VK-Hooned-Soojus'!$C:$X,2+$C51,FALSE),0)+IF(EH$6="X",VLOOKUP(EH$10,'VK-Transport'!$C:$X,2+$B51,0))+IF(EH$8="X",VLOOKUP(EH$10,'VK-Elekter'!$C:$X,2+$D51,0))+IF(EH$9="X",VLOOKUP(EH$10,'VK-Biokütused'!$C:$U,2+$E51,0)))+AR51+AS51+AU51+AX51</f>
        <v>45.185933070818045</v>
      </c>
      <c r="EI51" s="320">
        <f t="shared" si="41"/>
        <v>44.228055555555557</v>
      </c>
      <c r="EJ51" s="322">
        <f t="shared" si="42"/>
        <v>2.201934621570804E-2</v>
      </c>
      <c r="EK51" s="323">
        <f t="shared" si="29"/>
        <v>0.45163250455002329</v>
      </c>
      <c r="EM51" s="209"/>
      <c r="EN51" s="209">
        <f t="shared" ca="1" si="43"/>
        <v>0</v>
      </c>
      <c r="EO51" s="209"/>
      <c r="EP51" s="234"/>
      <c r="EQ51" s="209">
        <f>(IF(EQ$7="X",VLOOKUP(EQ$10,'VK-Hooned-Soojus'!$C:$X,2+$C51,FALSE),0)+IF(EQ$6="X",VLOOKUP(EQ$10,'VK-Transport'!$C:$X,2+$B51,0))+IF(EQ$8="X",VLOOKUP(EQ$10,'VK-Elekter'!$C:$X,2+$D51,0))+IF(EQ$9="X",VLOOKUP(EQ$10,'VK-Biokütused'!$C:$U,2+$E51,0))+IF(EQ$5="X",VLOOKUP(EQ$10,'VK-Põlevkivi'!$C:$X,2+$G51,0))+IF(EQ$4="X",VLOOKUP(EQ$10,'VK-Võrgud'!$C:$X,2+$F51,0)))/1000</f>
        <v>0.19900000000000001</v>
      </c>
      <c r="ER51" s="209">
        <f>(IF(ER$7="X",VLOOKUP(ER$10,'VK-Hooned-Soojus'!$C:$X,2+$C51,FALSE),0)+IF(ER$6="X",VLOOKUP(ER$10,'VK-Transport'!$C:$X,2+$B51,0))+IF(ER$8="X",VLOOKUP(ER$10,'VK-Elekter'!$C:$X,2+$D51,0))+IF(ER$9="X",VLOOKUP(ER$10,'VK-Biokütused'!$C:$U,2+$E51,0))+IF(ER$5="X",VLOOKUP(ER$10,'VK-Põlevkivi'!$C:$X,2+$G51,0))+IF(ER$4="X",VLOOKUP(ER$10,'VK-Võrgud'!$C:$X,2+$F51,0)))</f>
        <v>0.72299999999999998</v>
      </c>
      <c r="ES51" s="209">
        <f>(IF(ES$7="X",VLOOKUP(ES$10,'VK-Hooned-Soojus'!$C:$X,2+$C51,FALSE),0)+IF(ES$6="X",VLOOKUP(ES$10,'VK-Transport'!$C:$X,2+$B51,0))+IF(ES$8="X",VLOOKUP(ES$10,'VK-Elekter'!$C:$X,2+$D51,0))+IF(ES$9="X",VLOOKUP(ES$10,'VK-Biokütused'!$C:$U,2+$E51,0))+IF(ES$5="X",VLOOKUP(ES$10,'VK-Põlevkivi'!$C:$X,2+$G51,0))+IF(ES$4="X",VLOOKUP(ES$10,'VK-Võrgud'!$C:$X,2+$F51,0)))</f>
        <v>10.67</v>
      </c>
      <c r="ET51" s="209"/>
      <c r="EU51" s="209"/>
      <c r="EV51" s="87">
        <f>'KSH järjestus'!AS44</f>
        <v>1293</v>
      </c>
      <c r="EX51" s="236"/>
      <c r="EY51" s="236"/>
      <c r="EZ51" s="237">
        <f t="shared" si="44"/>
        <v>0.36609829488465395</v>
      </c>
      <c r="FA51" s="209">
        <f>IF(FA$7="X",VLOOKUP(FA$10,'VK-Hooned-Soojus'!$C:$X,2+$C51,FALSE),0)+IF(FA$6="X",VLOOKUP(FA$10,'VK-Transport'!$C:$X,2+$B51,0))+IF(FA$8="X",VLOOKUP(FA$10,'VK-Elekter'!$C:$X,2+$D51,0))+IF(FA$9="X",VLOOKUP(FA$10,'VK-Biokütused'!$C:$U,2+$E51,0))+IF(FA$5="X",VLOOKUP(FA$10,'VK-Põlevkivi'!$C:$X,2+$G51,0))+IF(FA$4="X",VLOOKUP(FA$10,'VK-Võrgud'!$C:$X,2+$F51,0))</f>
        <v>3579.9070000000002</v>
      </c>
      <c r="FB51" s="279">
        <f>(IF(FB$7="X",VLOOKUP(FB$10,'VK-Hooned-Soojus'!$C:$X,2+$C51,FALSE),0)+IF(FB$6="X",VLOOKUP(FB$10,'VK-Transport'!$C:$X,2+$B51,0))+IF(FB$8="X",VLOOKUP(FB$10,'VK-Elekter'!$C:$X,2+$D51,0))+IF(FB$9="X",VLOOKUP(FB$10,'VK-Biokütused'!$C:$U,2+$E51,0))+IF(FB$5="X",VLOOKUP(FB$10,'VK-Põlevkivi'!$C:$X,2+$G51,0))+IF(FB$4="X",VLOOKUP(FB$10,'VK-Võrgud'!$C:$X,2+$F51,0)))/16</f>
        <v>304.98056874293093</v>
      </c>
      <c r="FC51" s="209">
        <f>IF(FC$7="X",VLOOKUP(FC$10,'VK-Hooned-Soojus'!$C:$X,2+$C51,FALSE),0)+IF(FC$6="X",VLOOKUP(FC$10,'VK-Transport'!$C:$X,2+$B51,0))+IF(FC$8="X",VLOOKUP(FC$10,'VK-Elekter'!$C:$X,2+$D51,0))+IF(FC$9="X",VLOOKUP(FC$10,'VK-Biokütused'!$C:$U,2+$E51,0))+IF(FC$5="X",VLOOKUP(FC$10,'VK-Põlevkivi'!$C:$X,2+$G51,0))+IF(FC$4="X",VLOOKUP(FC$10,'VK-Võrgud'!$C:$X,2+$F51,0))</f>
        <v>309.2</v>
      </c>
      <c r="FD51" s="209">
        <f>(IF(FD$7="X",VLOOKUP(FD$10,'VK-Hooned-Soojus'!$C:$X,2+$C51,FALSE),0)+IF(FD$6="X",VLOOKUP(FD$10,'VK-Transport'!$C:$X,2+$B51,0))+IF(FD$8="X",VLOOKUP(FD$10,'VK-Elekter'!$C:$X,2+$D51,0))+IF(FD$9="X",VLOOKUP(FD$10,'VK-Biokütused'!$C:$U,2+$E51,0))+IF(FD$5="X",VLOOKUP(FD$10,'VK-Põlevkivi'!$C:$X,2+$G51,0))+IF(FD$4="X",VLOOKUP(FD$10,'VK-Võrgud'!$C:$X,2+$F51,0)))/16</f>
        <v>304.98056874293093</v>
      </c>
      <c r="FE51" s="209">
        <f>(IF(FE$7="X",VLOOKUP(FE$10,'VK-Hooned-Soojus'!$C:$X,2+$C51,FALSE),0)+IF(FE$6="X",VLOOKUP(FE$10,'VK-Transport'!$C:$X,2+$B51,0))+IF(FE$8="X",VLOOKUP(FE$10,'VK-Elekter'!$C:$X,2+$D51,0))+IF(FE$9="X",VLOOKUP(FE$10,'VK-Biokütused'!$C:$U,2+$E51,0))+IF(FE$5="X",VLOOKUP(FE$10,'VK-Põlevkivi'!$C:$X,2+$G51,0))+IF(FE$4="X",VLOOKUP(FE$10,'VK-Võrgud'!$C:$X,2+$F51,0)))/16</f>
        <v>-137.65321988063209</v>
      </c>
      <c r="FF51" s="209">
        <f>(IF(FF$7="X",VLOOKUP(FF$10,'VK-Hooned-Soojus'!$C:$X,2+$C51,FALSE),0)+IF(FF$6="X",VLOOKUP(FF$10,'VK-Transport'!$C:$X,2+$B51,0))+IF(FF$8="X",VLOOKUP(FF$10,'VK-Elekter'!$C:$X,2+$D51,0))+IF(FF$9="X",VLOOKUP(FF$10,'VK-Biokütused'!$C:$U,2+$E51,0))+IF(FF$5="X",VLOOKUP(FF$10,'VK-Põlevkivi'!$C:$X,2+$G51,0))+IF(FF$4="X",VLOOKUP(FF$10,'VK-Võrgud'!$C:$X,2+$F51,0)))/16</f>
        <v>118.249474808202</v>
      </c>
      <c r="FG51" s="88">
        <f t="shared" ca="1" si="30"/>
        <v>-19.403745072430098</v>
      </c>
      <c r="FH51" s="88"/>
      <c r="FI51" s="88"/>
      <c r="FJ51" s="88">
        <f>VLOOKUP(Tulemused!$BN$12,data!M$7:N$12,2,FALSE)-SUM(L51,M51)</f>
        <v>-2.20664444444445</v>
      </c>
      <c r="FK51" s="209" t="str">
        <f>IF(AZ51&lt;=VLOOKUP(Tulemused!$BN$15,data!$E$36:$F$39,2,FALSE),"JAH","EI")</f>
        <v>JAH</v>
      </c>
      <c r="FL51" s="235">
        <f ca="1">IF(ISNA(MATCH($A51,INDIRECT(VLOOKUP(Tulemused!$BF$11,data!$J$57:$M$71,4,FALSE)))),0,MATCH($A51,INDIRECT(VLOOKUP(Tulemused!$BF$11,data!$J$57:$M$71,4,FALSE))))</f>
        <v>0</v>
      </c>
      <c r="FM51" s="235" t="str">
        <f t="shared" ca="1" si="45"/>
        <v>JAH</v>
      </c>
      <c r="FN51" s="209">
        <f>VLOOKUP(Tulemused!$BN$13,data!$C$132:$D$137,2,FALSE)-KOMBI!R51</f>
        <v>2.8708331784169405</v>
      </c>
      <c r="FO51" s="209"/>
      <c r="FP51" s="209">
        <f>VLOOKUP(Tulemused!$BN$17,NO_x,2,FALSE)-CJ51</f>
        <v>11.281278206757182</v>
      </c>
      <c r="FQ51" s="209">
        <f>VLOOKUP(Tulemused!$BN$18,SO_2,2,FALSE)-CK51</f>
        <v>45.872254612848778</v>
      </c>
      <c r="FR51" s="209">
        <f>VLOOKUP(Tulemused!$BN$19,LOU,2,FALSE)-CN51</f>
        <v>34.324000000000005</v>
      </c>
      <c r="FS51" s="209">
        <f>VLOOKUP(Tulemused!$BN$20,PM_2.5,2,FALSE)-CM51</f>
        <v>9.2621686429099039</v>
      </c>
      <c r="FT51" s="209">
        <f>VLOOKUP(Tulemused!$BN$13,data!$C$132:$D$137,2,FALSE)-FA51/1000</f>
        <v>2.6660630000000007</v>
      </c>
      <c r="FU51" s="209">
        <f>VLOOKUP(Tulemused!$BN$17,NO_x,2,FALSE)-CO51</f>
        <v>5.5443502267145455</v>
      </c>
      <c r="FV51" s="209">
        <f>VLOOKUP(Tulemused!$BN$18,SO_2,2,FALSE)-CP51</f>
        <v>45.260051415704389</v>
      </c>
      <c r="FW51" s="209">
        <f>VLOOKUP(Tulemused!$BN$19,LOU,2,FALSE)-CS51</f>
        <v>33.163847594878391</v>
      </c>
      <c r="FX51" s="209">
        <f>VLOOKUP(Tulemused!$BN$20,PM_2.5,2,FALSE)-CR51</f>
        <v>9.1992466437251963</v>
      </c>
      <c r="FY51" s="209">
        <f>VLOOKUP(Tulemused!$BN$14,KHG_2050,2,FALSE)-EF51</f>
        <v>96.32036317841694</v>
      </c>
      <c r="FZ51" s="231" t="str">
        <f t="shared" ca="1" si="31"/>
        <v>EI</v>
      </c>
      <c r="GA51" s="209"/>
      <c r="GB51" s="209"/>
      <c r="GC51" s="209"/>
      <c r="GD51" s="231"/>
      <c r="GE51" s="87">
        <f t="shared" si="46"/>
        <v>1293</v>
      </c>
      <c r="GF51" s="232" t="str">
        <f t="shared" ca="1" si="32"/>
        <v/>
      </c>
      <c r="GH51" s="238" t="e">
        <f t="shared" ca="1" si="47"/>
        <v>#NUM!</v>
      </c>
      <c r="GI51" s="87" t="e">
        <f t="array" aca="1" ref="GI51" ca="1">INDEX($A$11:$A$145, SMALL(IF(GH51=$GF$11:$GF$145, MATCH(ROW($GF$11:$GF$145), ROW($GF$11:$GF$145))), SUM(--(GH51=$GH$11:GH51))))</f>
        <v>#NUM!</v>
      </c>
      <c r="GM51" s="209">
        <f>IF(GM$7="X",VLOOKUP(GM$10,'VK-Hooned-Soojus'!$C:$X,2+$C51,FALSE),0)+IF(GM$6="X",VLOOKUP(GM$10,'VK-Transport'!$C:$X,2+$B51,0))+IF(GM$8="X",VLOOKUP(GM$10,'VK-Elekter'!$C:$X,2+$D51,0))+IF(GM$9="X",VLOOKUP(GM$10,'VK-Biokütused'!$C:$U,2+$E51,0))+IF(GM$5="X",VLOOKUP(GM$10,'VK-Põlevkivi'!$C:$X,2+$G51,0))+IF(GM$4="X",VLOOKUP(GM$10,'VK-Võrgud'!$C:$X,2+$F51,0))</f>
        <v>0</v>
      </c>
      <c r="GN51" s="209">
        <f>IF(GN$7="X",VLOOKUP(GN$10,'VK-Hooned-Soojus'!$C:$X,2+$C51,FALSE),0)+IF(GN$6="X",VLOOKUP(GN$10,'VK-Transport'!$C:$X,2+$B51,0))+IF(GN$8="X",VLOOKUP(GN$10,'VK-Elekter'!$C:$X,2+$D51,0))+IF(GN$9="X",VLOOKUP(GN$10,'VK-Biokütused'!$C:$U,2+$E51,0))+IF(GN$5="X",VLOOKUP(GN$10,'VK-Põlevkivi'!$C:$X,2+$G51,0))+IF(GN$4="X",VLOOKUP(GN$10,'VK-Võrgud'!$C:$X,2+$F51,0))</f>
        <v>7.5434676424145266</v>
      </c>
      <c r="GO51" s="209">
        <f>IF(GO$7="X",VLOOKUP(GO$10,'VK-Hooned-Soojus'!$C:$X,2+$C51,FALSE),0)+IF(GO$6="X",VLOOKUP(GO$10,'VK-Transport'!$C:$X,2+$B51,0))+IF(GO$8="X",VLOOKUP(GO$10,'VK-Elekter'!$C:$X,2+$D51,0))+IF(GO$9="X",VLOOKUP(GO$10,'VK-Biokütused'!$C:$U,2+$E51,0))+IF(GO$5="X",VLOOKUP(GO$10,'VK-Põlevkivi'!$C:$X,2+$G51,0))+IF(GO$4="X",VLOOKUP(GO$10,'VK-Võrgud'!$C:$X,2+$F51,0))</f>
        <v>7.5763700102722566</v>
      </c>
      <c r="GP51" s="209">
        <f>IF(GP$7="X",VLOOKUP(GP$10,'VK-Hooned-Soojus'!$C:$X,2+$C51,FALSE),0)+IF(GP$6="X",VLOOKUP(GP$10,'VK-Transport'!$C:$X,2+$B51,0))+IF(GP$8="X",VLOOKUP(GP$10,'VK-Elekter'!$C:$X,2+$D51,0))+IF(GP$9="X",VLOOKUP(GP$10,'VK-Biokütused'!$C:$U,2+$E51,0))+IF(GP$5="X",VLOOKUP(GP$10,'VK-Põlevkivi'!$C:$X,2+$G51,0))+IF(GP$4="X",VLOOKUP(GP$10,'VK-Võrgud'!$C:$X,2+$F51,0))</f>
        <v>8.9326558040707589</v>
      </c>
      <c r="GQ51" s="88">
        <f>IF(GQ$7="X",VLOOKUP(GQ$10,'VK-Hooned-Soojus'!$C:$X,2+$C51,FALSE),0)+IF(GQ$6="X",VLOOKUP(GQ$10,'VK-Transport'!$C:$X,2+$B51,0))+IF(GQ$8="X",VLOOKUP(GQ$10,'VK-Elekter'!$C:$X,2+$D51,0))+IF(GQ$9="X",VLOOKUP(GQ$10,'VK-Biokütused'!$C:$U,2+$E51,0))+IF(GQ$5="X",VLOOKUP(GQ$10,'VK-Põlevkivi'!$C:$X,2+$G51,0))+IF(GQ$4="X",VLOOKUP(GQ$10,'VK-Võrgud'!$C:$X,2+$F51,0))</f>
        <v>0.9682855968523334</v>
      </c>
      <c r="GR51" s="186">
        <f t="shared" si="33"/>
        <v>0.4978506172092993</v>
      </c>
    </row>
    <row r="52" spans="1:200" x14ac:dyDescent="0.2">
      <c r="A52" s="184">
        <v>42</v>
      </c>
      <c r="B52" s="87">
        <v>1</v>
      </c>
      <c r="C52" s="87">
        <v>3</v>
      </c>
      <c r="D52" s="87">
        <v>4</v>
      </c>
      <c r="E52" s="87">
        <v>3</v>
      </c>
      <c r="F52" s="87">
        <f>VLOOKUP(Tulemused!$BF$7,data!$J$6:$K$8,2,FALSE)</f>
        <v>2</v>
      </c>
      <c r="G52" s="87">
        <f>VLOOKUP(data!$H$2,data!$J$12:$K$14,2,FALSE)</f>
        <v>2</v>
      </c>
      <c r="I52" s="209">
        <f>IF(I$7="X",VLOOKUP(I$10,'VK-Hooned-Soojus'!$C:$X,2+$C52,FALSE),0)+IF(I$6="X",VLOOKUP(I$10,'VK-Transport'!$C:$X,2+$B52,0))+IF(I$8="X",VLOOKUP(I$10,'VK-Elekter'!$C:$X,2+$D52,0))+IF(I$9="X",VLOOKUP(I$10,'VK-Biokütused'!$C:$U,2+$E52,0))+IF(I$5="X",VLOOKUP(I$10,'VK-Põlevkivi'!$C:$X,2+$G52,0))+IF(I$4="X",VLOOKUP(I$10,'VK-Võrgud'!$C:$X,2+$F52,0))</f>
        <v>23.490000000000002</v>
      </c>
      <c r="J52" s="209">
        <f>IF(J$7="X",VLOOKUP(J$10,'VK-Hooned-Soojus'!$C:$X,2+$C52,FALSE),0)+IF(J$6="X",VLOOKUP(J$10,'VK-Transport'!$C:$X,2+$B52,0))+IF(J$8="X",VLOOKUP(J$10,'VK-Elekter'!$C:$X,2+$D52,0))+IF(J$9="X",VLOOKUP(J$10,'VK-Biokütused'!$C:$U,2+$E52,0))+IF(J$5="X",VLOOKUP(J$10,'VK-Põlevkivi'!$C:$X,2+$G52,0))+IF(J$4="X",VLOOKUP(J$10,'VK-Võrgud'!$C:$X,2+$F52,0))</f>
        <v>13.295833333333334</v>
      </c>
      <c r="K52" s="209">
        <f>IF(K$7="X",VLOOKUP(K$10,'VK-Hooned-Soojus'!$C:$X,2+$C52,FALSE),0)+IF(K$6="X",VLOOKUP(K$10,'VK-Transport'!$C:$X,2+$B52,0))+IF(K$8="X",VLOOKUP(K$10,'VK-Elekter'!$C:$X,2+$D52,0))+IF(K$9="X",VLOOKUP(K$10,'VK-Biokütused'!$C:$U,2+$E52,0))+IF(K$5="X",VLOOKUP(K$10,'VK-Põlevkivi'!$C:$X,2+$G52,0))+IF(K$4="X",VLOOKUP(K$10,'VK-Võrgud'!$C:$X,2+$F52,0))</f>
        <v>13.780000000000001</v>
      </c>
      <c r="L52" s="209">
        <f>IF(L$7="X",VLOOKUP(L$10,'VK-Hooned-Soojus'!$C:$X,2+$C52,FALSE),0)+IF(L$6="X",VLOOKUP(L$10,'VK-Transport'!$C:$X,2+$B52,0))+IF(L$8="X",VLOOKUP(L$10,'VK-Elekter'!$C:$X,2+$D52,0))+IF(L$9="X",VLOOKUP(L$10,'VK-Biokütused'!$C:$U,2+$E52,0))+IF(L$5="X",VLOOKUP(L$10,'VK-Põlevkivi'!$C:$X,2+$G52,0))+IF(L$4="X",VLOOKUP(L$10,'VK-Võrgud'!$C:$X,2+$F52,0))</f>
        <v>23.75</v>
      </c>
      <c r="M52" s="209">
        <f>IF(M$7="X",VLOOKUP(M$10,'VK-Hooned-Soojus'!$C:$X,2+$C52,FALSE),0)+IF(M$6="X",VLOOKUP(M$10,'VK-Transport'!$C:$X,2+$B52,0))+IF(M$8="X",VLOOKUP(M$10,'VK-Elekter'!$C:$X,2+$D52,0))+IF(M$9="X",VLOOKUP(M$10,'VK-Biokütused'!$C:$U,2+$E52,0))+IF(M$5="X",VLOOKUP(M$10,'VK-Põlevkivi'!$C:$X,2+$G52,0))+IF(M$4="X",VLOOKUP(M$10,'VK-Võrgud'!$C:$X,2+$F52,0))</f>
        <v>11.289444444444445</v>
      </c>
      <c r="N52" s="209">
        <f>IF(N$7="X",VLOOKUP(N$10,'VK-Hooned-Soojus'!$C:$X,2+$C52,FALSE),0)+IF(N$6="X",VLOOKUP(N$10,'VK-Transport'!$C:$X,2+$B52,0))+IF(N$8="X",VLOOKUP(N$10,'VK-Elekter'!$C:$X,2+$D52,0))+IF(N$9="X",VLOOKUP(N$10,'VK-Biokütused'!$C:$U,2+$E52,0))+IF(N$5="X",VLOOKUP(N$10,'VK-Põlevkivi'!$C:$X,2+$G52,0))+IF(N$4="X",VLOOKUP(N$10,'VK-Võrgud'!$C:$X,2+$F52,0))</f>
        <v>15.25</v>
      </c>
      <c r="O52" s="209">
        <f t="shared" si="13"/>
        <v>36.785833333333336</v>
      </c>
      <c r="P52" s="209"/>
      <c r="Q52" s="209">
        <f>(IF(Q$7="X",VLOOKUP(Q$10,'VK-Hooned-Soojus'!$C:$X,2+$C52,FALSE),0)+IF(Q$6="X",VLOOKUP(Q$10,'VK-Transport'!$C:$X,2+$B52,0))+IF(Q$8="X",VLOOKUP(Q$10,'VK-Elekter'!$C:$X,2+$D52,0))+IF(Q$9="X",VLOOKUP(Q$10,'VK-Biokütused'!$C:$U,2+$E52,0))+IF(Q$5="X",VLOOKUP(Q$10,'VK-Põlevkivi'!$C:$X,2+$G52,0))+IF(Q$4="X",VLOOKUP(Q$10,'VK-Võrgud'!$C:$X,2+$F52,0)))/1000</f>
        <v>1.177</v>
      </c>
      <c r="R52" s="209">
        <f>(IF(R$7="X",VLOOKUP(R$10,'VK-Hooned-Soojus'!$C:$X,2+$C52,FALSE),0)+IF(R$6="X",VLOOKUP(R$10,'VK-Transport'!$C:$X,2+$B52,0))+IF(R$8="X",VLOOKUP(R$10,'VK-Elekter'!$C:$X,2+$D52,0))+IF(R$9="X",VLOOKUP(R$10,'VK-Biokütused'!$C:$U,2+$E52,0))+IF(R$5="X",VLOOKUP(R$10,'VK-Põlevkivi'!$C:$X,2+$G52,0))+IF(R$4="X",VLOOKUP(R$10,'VK-Võrgud'!$C:$X,2+$F52,0)))/1000</f>
        <v>3.5838368215830605</v>
      </c>
      <c r="S52" s="226">
        <f>VLOOKUP(S$10,'VK-Hooned-Soojus'!$C:$I,2+$C52,FALSE) + VLOOKUP(S$10,'VK-Transport'!$C:$I,2+$B52,FALSE)+ VLOOKUP(S$10,'VK-Biokütused'!$C:$G,2+$E52,FALSE)+ VLOOKUP(S$10,'VK-Elekter'!$C:$I,2+$D52,FALSE)+ VLOOKUP(S$10,'VK-Põlevkivi'!$C:$I,2+$G52,FALSE)+ VLOOKUP(S$10,'VK-Võrgud'!$C:$I,2+$F52,FALSE)</f>
        <v>1.6773807184016346E-2</v>
      </c>
      <c r="T52" s="226">
        <f>VLOOKUP(T$10,'VK-Hooned-Soojus'!$C:$I,2+$C52,FALSE) + VLOOKUP(T$10,'VK-Transport'!$C:$I,2+$B52,FALSE)+ VLOOKUP(T$10,'VK-Biokütused'!$C:$G,2+$E52,FALSE)+ VLOOKUP(T$10,'VK-Elekter'!$C:$I,2+$D52,FALSE)+ VLOOKUP(T$10,'VK-Põlevkivi'!$C:$I,2+$G52,FALSE)+ VLOOKUP(T$10,'VK-Võrgud'!$C:$I,2+$F52,FALSE)</f>
        <v>-7.5360472627375684E-3</v>
      </c>
      <c r="U52" s="226">
        <f>VLOOKUP(U$10,'VK-Hooned-Soojus'!$C:$I,2+$C52,FALSE) + VLOOKUP(U$10,'VK-Transport'!$C:$I,2+$B52,FALSE)+ VLOOKUP(U$10,'VK-Biokütused'!$C:$G,2+$E52,FALSE)+ VLOOKUP(U$10,'VK-Elekter'!$C:$I,2+$D52,FALSE)+ VLOOKUP(U$10,'VK-Põlevkivi'!$C:$I,2+$G52,FALSE)+ VLOOKUP(U$10,'VK-Võrgud'!$C:$I,2+$F52,FALSE)</f>
        <v>3.6630144727231584E-4</v>
      </c>
      <c r="V52" s="226">
        <f>VLOOKUP(V$10,'VK-Hooned-Soojus'!$C:$I,2+$C52,FALSE) + VLOOKUP(V$10,'VK-Transport'!$C:$I,2+$B52,FALSE)+ VLOOKUP(V$10,'VK-Biokütused'!$C:$G,2+$E52,FALSE)+ VLOOKUP(V$10,'VK-Elekter'!$C:$I,2+$D52,FALSE)+ VLOOKUP(V$10,'VK-Põlevkivi'!$C:$I,2+$G52,FALSE)+ VLOOKUP(V$10,'VK-Võrgud'!$C:$I,2+$F52,FALSE)</f>
        <v>1.6554519092538453E-2</v>
      </c>
      <c r="W52" s="226">
        <f>VLOOKUP(W$10,'VK-Hooned-Soojus'!$C:$I,2+$C52,FALSE) + VLOOKUP(W$10,'VK-Transport'!$C:$I,2+$B52,FALSE)+ VLOOKUP(W$10,'VK-Biokütused'!$C:$G,2+$E52,FALSE)+ VLOOKUP(W$10,'VK-Elekter'!$C:$I,2+$D52,FALSE)+ VLOOKUP(W$10,'VK-Põlevkivi'!$C:$I,2+$G52,FALSE)+ VLOOKUP(W$10,'VK-Võrgud'!$C:$I,2+$F52,FALSE)</f>
        <v>-3.3791557273151335E-2</v>
      </c>
      <c r="X52" s="226">
        <f>VLOOKUP(X$10,'VK-Hooned-Soojus'!$C:$I,2+$C52,FALSE) + VLOOKUP(X$10,'VK-Transport'!$C:$I,2+$B52,FALSE)+ VLOOKUP(X$10,'VK-Biokütused'!$C:$G,2+$E52,FALSE)+ VLOOKUP(X$10,'VK-Elekter'!$C:$I,2+$D52,FALSE)+ VLOOKUP(X$10,'VK-Põlevkivi'!$C:$I,2+$G52,FALSE)+ VLOOKUP(X$10,'VK-Võrgud'!$C:$I,2+$F52,FALSE)</f>
        <v>-0.1562716380736458</v>
      </c>
      <c r="Y52" s="226">
        <f>VLOOKUP(Y$10,'VK-Hooned-Soojus'!$C:$I,2+$C52,FALSE) + VLOOKUP(Y$10,'VK-Transport'!$C:$I,2+$B52,FALSE)+ VLOOKUP(Y$10,'VK-Biokütused'!$C:$G,2+$E52,FALSE)+ VLOOKUP(Y$10,'VK-Elekter'!$C:$I,2+$D52,FALSE)+ VLOOKUP(Y$10,'VK-Põlevkivi'!$C:$I,2+$G52,FALSE)+ VLOOKUP(Y$10,'VK-Võrgud'!$C:$I,2+$F52,FALSE)</f>
        <v>-7.9678251570997533E-2</v>
      </c>
      <c r="Z52" s="227">
        <f>(S52*Tulemused!$Q$9*10+T52*Tulemused!$Q$10*10+KOMBI!U52*Tulemused!$Q$11*10+KOMBI!V52*Tulemused!$Q$12*10)*Tulemused!$Q$8+-(W52*Tulemused!$Q$14*10+KOMBI!X52*Tulemused!$Q$15*10+KOMBI!Y52*Tulemused!$Q$16*10)*Tulemused!$Q$13</f>
        <v>7.6530593534034779</v>
      </c>
      <c r="AA52" s="228">
        <f>(IF(AA$7="X",VLOOKUP(AA$10,'VK-Hooned-Soojus'!$C:$X,2+$C52,FALSE),0)+IF(AA$6="X",VLOOKUP(AA$10,'VK-Transport'!$C:$X,2+$B52,0))+IF(AA$8="X",VLOOKUP(AA$10,'VK-Elekter'!$C:$X,2+$D52,0))+IF(AA$9="X",VLOOKUP(AA$10,'VK-Biokütused'!$C:$U,2+$E52,0))+IF(AA$5="X",VLOOKUP(AA$10,'VK-Põlevkivi'!$C:$X,2+$G52,0))+IF(AA$4="X",VLOOKUP(AA$10,'VK-Võrgud'!$C:$X,2+$F52,0)))</f>
        <v>0</v>
      </c>
      <c r="AB52" s="228">
        <f>(IF(AB$7="X",VLOOKUP(AB$10,'VK-Hooned-Soojus'!$C:$X,2+$C52,FALSE),0)+IF(AB$6="X",VLOOKUP(AB$10,'VK-Transport'!$C:$X,2+$B52,0))+IF(AB$8="X",VLOOKUP(AB$10,'VK-Elekter'!$C:$X,2+$D52,0))+IF(AB$9="X",VLOOKUP(AB$10,'VK-Biokütused'!$C:$U,2+$E52,0))+IF(AB$5="X",VLOOKUP(AB$10,'VK-Põlevkivi'!$C:$X,2+$G52,0))+IF(AB$4="X",VLOOKUP(AB$10,'VK-Võrgud'!$C:$X,2+$F52,0)))</f>
        <v>1177</v>
      </c>
      <c r="AC52" s="228">
        <f>(IF(AC$7="X",VLOOKUP(AC$10,'VK-Hooned-Soojus'!$C:$X,2+$C52,FALSE),0)+IF(AC$6="X",VLOOKUP(AC$10,'VK-Transport'!$C:$X,2+$B52,0))+IF(AC$8="X",VLOOKUP(AC$10,'VK-Elekter'!$C:$X,2+$D52,0))+IF(AC$9="X",VLOOKUP(AC$10,'VK-Biokütused'!$C:$U,2+$E52,0))+IF(AC$5="X",VLOOKUP(AC$10,'VK-Põlevkivi'!$C:$X,2+$G52,0))+IF(AC$4="X",VLOOKUP(AC$10,'VK-Võrgud'!$C:$X,2+$F52,0)))</f>
        <v>2346</v>
      </c>
      <c r="AD52" s="228">
        <f>(IF(AD$7="X",VLOOKUP(AD$10,'VK-Hooned-Soojus'!$C:$X,2+$C52,FALSE),0)+IF(AD$6="X",VLOOKUP(AD$10,'VK-Transport'!$C:$X,2+$B52,0))+IF(AD$8="X",VLOOKUP(AD$10,'VK-Elekter'!$C:$X,2+$D52,0))+IF(AD$9="X",VLOOKUP(AD$10,'VK-Biokütused'!$C:$U,2+$E52,0))+IF(AD$5="X",VLOOKUP(AD$10,'VK-Põlevkivi'!$C:$X,2+$G52,0))+IF(AD$4="X",VLOOKUP(AD$10,'VK-Võrgud'!$C:$X,2+$F52,0)))</f>
        <v>586.20000000000005</v>
      </c>
      <c r="AE52" s="228">
        <f>(IF(AE$7="X",VLOOKUP(AE$10,'VK-Hooned-Soojus'!$C:$X,2+$C52,FALSE),0)+IF(AE$6="X",VLOOKUP(AE$10,'VK-Transport'!$C:$X,2+$B52,0))+IF(AE$8="X",VLOOKUP(AE$10,'VK-Elekter'!$C:$X,2+$D52,0))+IF(AE$9="X",VLOOKUP(AE$10,'VK-Biokütused'!$C:$U,2+$E52,0))+IF(AE$5="X",VLOOKUP(AE$10,'VK-Põlevkivi'!$C:$X,2+$G52,0))+IF(AE$4="X",VLOOKUP(AE$10,'VK-Võrgud'!$C:$X,2+$F52,0)))</f>
        <v>507</v>
      </c>
      <c r="AF52" s="228">
        <f>(IF(AF$7="X",VLOOKUP(AF$10,'VK-Hooned-Soojus'!$C:$X,2+$C52,FALSE),0)+IF(AF$6="X",VLOOKUP(AF$10,'VK-Transport'!$C:$X,2+$B52,0))+IF(AF$8="X",VLOOKUP(AF$10,'VK-Elekter'!$C:$X,2+$D52,0))+IF(AF$9="X",VLOOKUP(AF$10,'VK-Biokütused'!$C:$U,2+$E52,0))+IF(AF$5="X",VLOOKUP(AF$10,'VK-Põlevkivi'!$C:$X,2+$G52,0))+IF(AF$4="X",VLOOKUP(AF$10,'VK-Võrgud'!$C:$X,2+$F52,0)))</f>
        <v>2490.6368215830603</v>
      </c>
      <c r="AG52" s="209"/>
      <c r="AH52" s="209">
        <f>IF(AH$7="X",VLOOKUP(AH$10,'VK-Hooned-Soojus'!$C:$X,2+$C52,FALSE),0)+IF(AH$6="X",VLOOKUP(AH$10,'VK-Transport'!$C:$X,2+$B52,0))+IF(AH$8="X",VLOOKUP(AH$10,'VK-Elekter'!$C:$X,2+$D52,0))+IF(AH$9="X",VLOOKUP(AH$10,'VK-Biokütused'!$C:$U,2+$E52,0))+IF(AH$5="X",VLOOKUP(AH$10,'VK-Põlevkivi'!$C:$X,2+$G52,0))+IF(AH$4="X",VLOOKUP(AH$10,'VK-Võrgud'!$C:$X,2+$F52,0))</f>
        <v>0</v>
      </c>
      <c r="AI52" s="209">
        <f>IF(AI$7="X",VLOOKUP(AI$10,'VK-Hooned-Soojus'!$C:$X,2+$C52,FALSE),0)+IF(AI$6="X",VLOOKUP(AI$10,'VK-Transport'!$C:$X,2+$B52,0))+IF(AI$8="X",VLOOKUP(AI$10,'VK-Elekter'!$C:$X,2+$D52,0))+IF(AI$9="X",VLOOKUP(AI$10,'VK-Biokütused'!$C:$U,2+$E52,0))+IF(AI$5="X",VLOOKUP(AI$10,'VK-Põlevkivi'!$C:$X,2+$G52,0))+IF(AI$4="X",VLOOKUP(AI$10,'VK-Võrgud'!$C:$X,2+$F52,0))</f>
        <v>11.489999999999998</v>
      </c>
      <c r="AJ52" s="209">
        <f>IF(AJ$7="X",VLOOKUP(AJ$10,'VK-Hooned-Soojus'!$C:$X,2+$C52,FALSE),0)+IF(AJ$6="X",VLOOKUP(AJ$10,'VK-Transport'!$C:$X,2+$B52,0))+IF(AJ$8="X",VLOOKUP(AJ$10,'VK-Elekter'!$C:$X,2+$D52,0))+IF(AJ$9="X",VLOOKUP(AJ$10,'VK-Biokütused'!$C:$U,2+$E52,0))+IF(AJ$5="X",VLOOKUP(AJ$10,'VK-Põlevkivi'!$C:$X,2+$G52,0))+IF(AJ$4="X",VLOOKUP(AJ$10,'VK-Võrgud'!$C:$X,2+$F52,0))</f>
        <v>0</v>
      </c>
      <c r="AK52" s="209">
        <f>IF(AK$7="X",VLOOKUP(AK$10,'VK-Hooned-Soojus'!$C:$X,2+$C52,FALSE),0)+IF(AK$6="X",VLOOKUP(AK$10,'VK-Transport'!$C:$X,2+$B52,0))+IF(AK$8="X",VLOOKUP(AK$10,'VK-Elekter'!$C:$X,2+$D52,0))+IF(AK$9="X",VLOOKUP(AK$10,'VK-Biokütused'!$C:$U,2+$E52,0))+IF(AK$5="X",VLOOKUP(AK$10,'VK-Põlevkivi'!$C:$X,2+$G52,0))+IF(AK$4="X",VLOOKUP(AK$10,'VK-Võrgud'!$C:$X,2+$F52,0))</f>
        <v>3.65</v>
      </c>
      <c r="AL52" s="209">
        <f>IF(AL$7="X",VLOOKUP(AL$10,'VK-Hooned-Soojus'!$C:$X,2+$C52,FALSE),0)+IF(AL$6="X",VLOOKUP(AL$10,'VK-Transport'!$C:$X,2+$B52,0))+IF(AL$8="X",VLOOKUP(AL$10,'VK-Elekter'!$C:$X,2+$D52,0))+IF(AL$9="X",VLOOKUP(AL$10,'VK-Biokütused'!$C:$U,2+$E52,0))+IF(AL$5="X",VLOOKUP(AL$10,'VK-Põlevkivi'!$C:$X,2+$G52,0))+IF(AL$4="X",VLOOKUP(AL$10,'VK-Võrgud'!$C:$X,2+$F52,0))</f>
        <v>7.1</v>
      </c>
      <c r="AM52" s="209">
        <f>IF(AM$7="X",VLOOKUP(AM$10,'VK-Hooned-Soojus'!$C:$X,2+$C52,FALSE),0)+IF(AM$6="X",VLOOKUP(AM$10,'VK-Transport'!$C:$X,2+$B52,0))+IF(AM$8="X",VLOOKUP(AM$10,'VK-Elekter'!$C:$X,2+$D52,0))+IF(AM$9="X",VLOOKUP(AM$10,'VK-Biokütused'!$C:$U,2+$E52,0))+IF(AM$5="X",VLOOKUP(AM$10,'VK-Põlevkivi'!$C:$X,2+$G52,0))+IF(AM$4="X",VLOOKUP(AM$10,'VK-Võrgud'!$C:$X,2+$F52,0))</f>
        <v>11.5</v>
      </c>
      <c r="AN52" s="209">
        <f>IF(AN$7="X",VLOOKUP(AN$10,'VK-Hooned-Soojus'!$C:$X,2+$C52,FALSE),0)+IF(AN$6="X",VLOOKUP(AN$10,'VK-Transport'!$C:$X,2+$B52,0))+IF(AN$8="X",VLOOKUP(AN$10,'VK-Elekter'!$C:$X,2+$D52,0))+IF(AN$9="X",VLOOKUP(AN$10,'VK-Biokütused'!$C:$U,2+$E52,0))+IF(AN$5="X",VLOOKUP(AN$10,'VK-Põlevkivi'!$C:$X,2+$G52,0))+IF(AN$4="X",VLOOKUP(AN$10,'VK-Võrgud'!$C:$X,2+$F52,0))</f>
        <v>4.0999999999999996</v>
      </c>
      <c r="AO52" s="209">
        <f>IF(AO$7="X",VLOOKUP(AO$10,'VK-Hooned-Soojus'!$C:$X,2+$C52,FALSE),0)+IF(AO$6="X",VLOOKUP(AO$10,'VK-Transport'!$C:$X,2+$B52,0))+IF(AO$8="X",VLOOKUP(AO$10,'VK-Elekter'!$C:$X,2+$D52,0))+IF(AO$9="X",VLOOKUP(AO$10,'VK-Biokütused'!$C:$U,2+$E52,0))+IF(AO$5="X",VLOOKUP(AO$10,'VK-Põlevkivi'!$C:$X,2+$G52,0))+IF(AO$4="X",VLOOKUP(AO$10,'VK-Võrgud'!$C:$X,2+$F52,0))</f>
        <v>21.34</v>
      </c>
      <c r="AP52" s="209">
        <f>IF(AP$7="X",VLOOKUP(AP$10,'VK-Hooned-Soojus'!$C:$X,2+$C52,FALSE),0)+IF(AP$6="X",VLOOKUP(AP$10,'VK-Transport'!$C:$X,2+$B52,0))+IF(AP$8="X",VLOOKUP(AP$10,'VK-Elekter'!$C:$X,2+$D52,0))+IF(AP$9="X",VLOOKUP(AP$10,'VK-Biokütused'!$C:$U,2+$E52,0))+IF(AP$5="X",VLOOKUP(AP$10,'VK-Põlevkivi'!$C:$X,2+$G52,0))+IF(AP$4="X",VLOOKUP(AP$10,'VK-Võrgud'!$C:$X,2+$F52,0))</f>
        <v>10.67</v>
      </c>
      <c r="AQ52" s="320">
        <f t="shared" si="14"/>
        <v>9.0399999999999991</v>
      </c>
      <c r="AR52" s="209">
        <f>IF(AR$7="X",VLOOKUP(AR$10,'VK-Hooned-Soojus'!$C:$X,2+$C52,FALSE),0)+IF(AR$6="X",VLOOKUP(AR$10,'VK-Transport'!$C:$X,2+$B52,0))+IF(AR$8="X",VLOOKUP(AR$10,'VK-Elekter'!$C:$X,2+$D52,0))+IF(AR$9="X",VLOOKUP(AR$10,'VK-Biokütused'!$C:$U,2+$E52,0))+IF(AR$5="X",VLOOKUP(AR$10,'VK-Põlevkivi'!$C:$X,2+$G52,0))+IF(AR$4="X",VLOOKUP(AR$10,'VK-Võrgud'!$C:$X,2+$F52,0))</f>
        <v>0</v>
      </c>
      <c r="AS52" s="320">
        <f>VLOOKUP("Kütuste tarbimine @ 2030 - UTTEGAAS",'VK-Hooned-Soojus'!$C:$X,2+$C52,FALSE)/0.172+VLOOKUP("Kütuste tarbimine @ 2030 - UTTEGAAS",'VK-Elekter'!$C:$X,2+$D52,FALSE)/0.172-AR52-AU52</f>
        <v>0</v>
      </c>
      <c r="AT52" s="209">
        <f>IF(AT$7="X",VLOOKUP(AT$10,'VK-Hooned-Soojus'!$C:$X,2+$C52,FALSE),0)+IF(AT$6="X",VLOOKUP(AT$10,'VK-Transport'!$C:$X,2+$B52,0))+IF(AT$8="X",VLOOKUP(AT$10,'VK-Elekter'!$C:$X,2+$D52,0))+IF(AT$9="X",VLOOKUP(AT$10,'VK-Biokütused'!$C:$U,2+$E52,0))+IF(AT$5="X",VLOOKUP(AT$10,'VK-Põlevkivi'!$C:$X,2+$G52,0))+IF(AT$4="X",VLOOKUP(AT$10,'VK-Võrgud'!$C:$X,2+$F52,0))</f>
        <v>12.004929222526066</v>
      </c>
      <c r="AU52" s="229">
        <f>MAX(0,(VLOOKUP("Kütuste tarbimine @ 2030 - UTTEGAAS",'VK-Hooned-Soojus'!$C:$X,2+$C52,FALSE)/0.172+VLOOKUP("Kütuste tarbimine @ 2030 - UTTEGAAS",'VK-Elekter'!$C:$X,2+$D52,FALSE)/0.172)*0.52-VLOOKUP("Kütuste tarbimine @ 2030 - PÕLEVKIVIÕLI",'VK-Hooned-Soojus'!$C:$X,2+$C52,FALSE))</f>
        <v>0</v>
      </c>
      <c r="AV52" s="209">
        <f>IF(AV$7="X",VLOOKUP(AV$10,'VK-Hooned-Soojus'!$C:$X,2+$C52,FALSE),0)+IF(AV$6="X",VLOOKUP(AV$10,'VK-Transport'!$C:$X,2+$B52,0))+IF(AV$8="X",VLOOKUP(AV$10,'VK-Elekter'!$C:$X,2+$D52,0))+IF(AV$9="X",VLOOKUP(AV$10,'VK-Biokütused'!$C:$U,2+$E52,0))+IF(AV$5="X",VLOOKUP(AV$10,'VK-Põlevkivi'!$C:$X,2+$G52,0))+IF(AV$4="X",VLOOKUP(AV$10,'VK-Võrgud'!$C:$X,2+$F52,0))</f>
        <v>1.1831224847375093</v>
      </c>
      <c r="AW52" s="209">
        <f>IF(AW$7="X",VLOOKUP(AW$10,'VK-Hooned-Soojus'!$C:$X,2+$C52,FALSE),0)+IF(AW$6="X",VLOOKUP(AW$10,'VK-Transport'!$C:$X,2+$B52,0))+IF(AW$8="X",VLOOKUP(AW$10,'VK-Elekter'!$C:$X,2+$D52,0))+IF(AW$9="X",VLOOKUP(AW$10,'VK-Biokütused'!$C:$U,2+$E52,0))+IF(AW$5="X",VLOOKUP(AW$10,'VK-Põlevkivi'!$C:$X,2+$G52,0))+IF(AW$4="X",VLOOKUP(AW$10,'VK-Võrgud'!$C:$X,2+$F52,0))</f>
        <v>4.2799999999999994</v>
      </c>
      <c r="AX52" s="229">
        <f t="shared" si="34"/>
        <v>3.0968775152624901</v>
      </c>
      <c r="AY52" s="229">
        <f t="shared" si="15"/>
        <v>0</v>
      </c>
      <c r="AZ52" s="230">
        <f t="shared" si="36"/>
        <v>0.65105573511718828</v>
      </c>
      <c r="BA52" s="209">
        <f>IF(BA$7="X",VLOOKUP(BA$10,'VK-Hooned-Soojus'!$C:$X,2+$C52,FALSE),0)+IF(BA$6="X",VLOOKUP(BA$10,'VK-Transport'!$C:$X,2+$B52,0))+IF(BA$8="X",VLOOKUP(BA$10,'VK-Elekter'!$C:$X,2+$D52,0))+IF(BA$9="X",VLOOKUP(BA$10,'VK-Biokütused'!$C:$U,2+$E52,0))+IF(BA$5="X",VLOOKUP(BA$10,'VK-Põlevkivi'!$C:$X,2+$G52,0))+IF(BA$4="X",VLOOKUP(BA$10,'VK-Võrgud'!$C:$X,2+$F52,0))</f>
        <v>0</v>
      </c>
      <c r="BB52" s="209">
        <f>IF(BB$7="X",VLOOKUP(BB$10,'VK-Hooned-Soojus'!$C:$X,2+$C52,FALSE),0)+IF(BB$6="X",VLOOKUP(BB$10,'VK-Transport'!$C:$X,2+$B52,0))+IF(BB$8="X",VLOOKUP(BB$10,'VK-Elekter'!$C:$X,2+$D52,0))+IF(BB$9="X",VLOOKUP(BB$10,'VK-Biokütused'!$C:$U,2+$E52,0))+IF(BB$5="X",VLOOKUP(BB$10,'VK-Põlevkivi'!$C:$X,2+$G52,0))+IF(BB$4="X",VLOOKUP(BB$10,'VK-Võrgud'!$C:$X,2+$F52,0))</f>
        <v>6.32</v>
      </c>
      <c r="BC52" s="209">
        <f>IF(BC$7="X",VLOOKUP(BC$10,'VK-Hooned-Soojus'!$C:$X,2+$C52,FALSE),0)+IF(BC$6="X",VLOOKUP(BC$10,'VK-Transport'!$C:$X,2+$B52,0))+IF(BC$8="X",VLOOKUP(BC$10,'VK-Elekter'!$C:$X,2+$D52,0))+IF(BC$9="X",VLOOKUP(BC$10,'VK-Biokütused'!$C:$U,2+$E52,0))+IF(BC$5="X",VLOOKUP(BC$10,'VK-Põlevkivi'!$C:$X,2+$G52,0))+IF(BC$4="X",VLOOKUP(BC$10,'VK-Võrgud'!$C:$X,2+$F52,0))</f>
        <v>5.2376666666666667</v>
      </c>
      <c r="BD52" s="209">
        <f>IF(BD$7="X",VLOOKUP(BD$10,'VK-Hooned-Soojus'!$C:$X,2+$C52,FALSE),0)+IF(BD$6="X",VLOOKUP(BD$10,'VK-Transport'!$C:$X,2+$B52,0))+IF(BD$8="X",VLOOKUP(BD$10,'VK-Elekter'!$C:$X,2+$D52,0))+IF(BD$9="X",VLOOKUP(BD$10,'VK-Biokütused'!$C:$U,2+$E52,0))+IF(BD$5="X",VLOOKUP(BD$10,'VK-Põlevkivi'!$C:$X,2+$G52,0))+IF(BD$4="X",VLOOKUP(BD$10,'VK-Võrgud'!$C:$X,2+$F52,0))</f>
        <v>9.1105555555555569</v>
      </c>
      <c r="BE52" s="230"/>
      <c r="BF52" s="229">
        <f t="shared" si="16"/>
        <v>0.54655630190147675</v>
      </c>
      <c r="BG52" s="209" t="e">
        <f>(IF(BG$7="X",VLOOKUP(BG$10,'VK-Hooned-Soojus'!$C:$X,2+$C52,FALSE),0)+IF(BG$6="X",VLOOKUP(BG$10,'VK-Transport'!$C:$X,2+$B52,0))+IF(BG$8="X",VLOOKUP(BG$10,'VK-Elekter'!$C:$X,2+$D52,0))+IF(BG$9="X",VLOOKUP(BG$10,'VK-Biokütused'!$C:$U,2+$E52,0))+IF(BG$5="X",VLOOKUP(BG$10,'VK-Põlevkivi'!$C:$X,2+$G52,0))+IF(BG$4="X",VLOOKUP(BG$10,'VK-Võrgud'!$C:$X,2+$F52,0)))/20</f>
        <v>#N/A</v>
      </c>
      <c r="BH52" s="209">
        <f>(IF(BH$7="X",VLOOKUP(BH$10,'VK-Hooned-Soojus'!$C:$X,2+$C52,FALSE),0)+IF(BH$6="X",VLOOKUP(BH$10,'VK-Transport'!$C:$X,2+$B52,0))+IF(BH$8="X",VLOOKUP(BH$10,'VK-Elekter'!$C:$X,2+$D52,0))+IF(BH$9="X",VLOOKUP(BH$10,'VK-Biokütused'!$C:$U,2+$E52,0))+IF(BH$5="X",VLOOKUP(BH$10,'VK-Põlevkivi'!$C:$X,2+$G52,0))+IF(BH$4="X",VLOOKUP(BH$10,'VK-Võrgud'!$C:$X,2+$F52,0)))/20</f>
        <v>84.204999999999998</v>
      </c>
      <c r="BI52" s="209">
        <f>(IF(BI$7="X",VLOOKUP(BI$10,'VK-Hooned-Soojus'!$C:$X,2+$C52,FALSE),0)+IF(BI$6="X",VLOOKUP(BI$10,'VK-Transport'!$C:$X,2+$B52,0))+IF(BI$8="X",VLOOKUP(BI$10,'VK-Elekter'!$C:$X,2+$D52,0))+IF(BI$9="X",VLOOKUP(BI$10,'VK-Biokütused'!$C:$U,2+$E52,0))+IF(BI$5="X",VLOOKUP(BI$10,'VK-Põlevkivi'!$C:$X,2+$G52,0))+IF(BI$4="X",VLOOKUP(BI$10,'VK-Võrgud'!$C:$X,2+$F52,0)))/16</f>
        <v>8.9375</v>
      </c>
      <c r="BJ52" s="209">
        <f>(IF(BJ$7="X",VLOOKUP(BJ$10,'VK-Hooned-Soojus'!$C:$X,2+$C52,FALSE),0)+IF(BJ$6="X",VLOOKUP(BJ$10,'VK-Transport'!$C:$X,2+$B52,0))+IF(BJ$8="X",VLOOKUP(BJ$10,'VK-Elekter'!$C:$X,2+$D52,0))+IF(BJ$9="X",VLOOKUP(BJ$10,'VK-Biokütused'!$C:$U,2+$E52,0))+IF(BJ$5="X",VLOOKUP(BJ$10,'VK-Põlevkivi'!$C:$X,2+$G52,0))+IF(BJ$4="X",VLOOKUP(BJ$10,'VK-Võrgud'!$C:$X,2+$F52,0)))/20</f>
        <v>5.33</v>
      </c>
      <c r="BK52" s="209"/>
      <c r="BL52" s="209"/>
      <c r="BM52" s="209"/>
      <c r="BN52" s="209" t="e">
        <f>(IF(BN$7="X",VLOOKUP(BN$10,'VK-Hooned-Soojus'!$C:$X,2+$C52,FALSE),0)+IF(BN$6="X",VLOOKUP(BN$10,'VK-Transport'!$C:$X,2+$B52,0))+IF(BN$8="X",VLOOKUP(BN$10,'VK-Elekter'!$C:$X,2+$D52,0))+IF(BN$9="X",VLOOKUP(BN$10,'VK-Biokütused'!$C:$U,2+$E52,0))+IF(BN$5="X",VLOOKUP(BN$10,'VK-Põlevkivi'!$C:$X,2+$G52,0))+IF(BN$4="X",VLOOKUP(BN$10,'VK-Võrgud'!$C:$X,2+$F52,0)))/16</f>
        <v>#N/A</v>
      </c>
      <c r="BO52" s="209">
        <f>(IF(BO$7="X",VLOOKUP(BO$10,'VK-Hooned-Soojus'!$C:$X,2+$C52,FALSE),0)+IF(BO$6="X",VLOOKUP(BO$10,'VK-Transport'!$C:$X,2+$B52,0))+IF(BO$8="X",VLOOKUP(BO$10,'VK-Elekter'!$C:$X,2+$D52,0))+IF(BO$9="X",VLOOKUP(BO$10,'VK-Biokütused'!$C:$U,2+$E52,0))+IF(BO$5="X",VLOOKUP(BO$10,'VK-Põlevkivi'!$C:$X,2+$G52,0))+IF(BO$4="X",VLOOKUP(BO$10,'VK-Võrgud'!$C:$X,2+$F52,0)))/16</f>
        <v>496.33125000000001</v>
      </c>
      <c r="BP52" s="209"/>
      <c r="BQ52" s="209">
        <f>(IF(BQ$7="X",VLOOKUP(BQ$10,'VK-Hooned-Soojus'!$C:$X,2+$C52,FALSE),0)+IF(BQ$6="X",VLOOKUP(BQ$10,'VK-Transport'!$C:$X,2+$B52,0))+IF(BQ$8="X",VLOOKUP(BQ$10,'VK-Elekter'!$C:$X,2+$D52,0))+IF(BQ$9="X",VLOOKUP(BQ$10,'VK-Biokütused'!$C:$U,2+$E52,0))+IF(BQ$5="X",VLOOKUP(BQ$10,'VK-Põlevkivi'!$C:$X,2+$G52,0))+IF(BQ$4="X",VLOOKUP(BQ$10,'VK-Võrgud'!$C:$X,2+$F52,0)))/16</f>
        <v>4.7249999999999996</v>
      </c>
      <c r="BR52" s="209">
        <f>(IF(BR$7="X",VLOOKUP(BR$10,'VK-Hooned-Soojus'!$C:$X,2+$C52,FALSE),0)+IF(BR$6="X",VLOOKUP(BR$10,'VK-Transport'!$C:$X,2+$B52,0))+IF(BR$8="X",VLOOKUP(BR$10,'VK-Elekter'!$C:$X,2+$D52,0))+IF(BR$9="X",VLOOKUP(BR$10,'VK-Biokütused'!$C:$U,2+$E52,0))+IF(BR$5="X",VLOOKUP(BR$10,'VK-Põlevkivi'!$C:$X,2+$G52,0))+IF(BR$4="X",VLOOKUP(BR$10,'VK-Võrgud'!$C:$X,2+$F52,0)))/16</f>
        <v>-74.512500000000003</v>
      </c>
      <c r="BS52" s="209">
        <f>(IF(BS$7="X",VLOOKUP(BS$10,'VK-Hooned-Soojus'!$C:$X,2+$C52,FALSE),0)+IF(BS$6="X",VLOOKUP(BS$10,'VK-Transport'!$C:$X,2+$B52,0))+IF(BS$8="X",VLOOKUP(BS$10,'VK-Elekter'!$C:$X,2+$D52,0))+IF(BS$9="X",VLOOKUP(BS$10,'VK-Biokütused'!$C:$U,2+$E52,0))+IF(BS$5="X",VLOOKUP(BS$10,'VK-Põlevkivi'!$C:$X,2+$G52,0))+IF(BS$4="X",VLOOKUP(BS$10,'VK-Võrgud'!$C:$X,2+$F52,0)))/16</f>
        <v>-100.68125000000001</v>
      </c>
      <c r="BT52" s="209"/>
      <c r="BU52" s="209"/>
      <c r="BV52" s="209">
        <f>(IF(BV$7="X",VLOOKUP(BV$10,'VK-Hooned-Soojus'!$C:$X,2+$C52,FALSE),0)+IF(BV$6="X",VLOOKUP(BV$10,'VK-Transport'!$C:$X,2+$B52,0))+IF(BV$8="X",VLOOKUP(BV$10,'VK-Elekter'!$C:$X,2+$D52,0))+IF(BV$9="X",VLOOKUP(BV$10,'VK-Biokütused'!$C:$U,2+$E52,0))+IF(BV$5="X",VLOOKUP(BV$10,'VK-Põlevkivi'!$C:$X,2+$G52,0))+IF(BV$4="X",VLOOKUP(BV$10,'VK-Võrgud'!$C:$X,2+$F52,0)))/16</f>
        <v>0</v>
      </c>
      <c r="BW52" s="209"/>
      <c r="BX52" s="209">
        <f>(IF(BX$7="X",VLOOKUP(BX$10,'VK-Hooned-Soojus'!$C:$X,2+$C52,FALSE),0)+IF(BX$6="X",VLOOKUP(BX$10,'VK-Transport'!$C:$X,2+$B52,0))+IF(BX$8="X",VLOOKUP(BX$10,'VK-Elekter'!$C:$X,2+$D52,0))+IF(BX$9="X",VLOOKUP(BX$10,'VK-Biokütused'!$C:$U,2+$E52,0))+IF(BX$5="X",VLOOKUP(BX$10,'VK-Põlevkivi'!$C:$X,2+$G52,0))+IF(BX$4="X",VLOOKUP(BX$10,'VK-Võrgud'!$C:$X,2+$F52,0)))/16</f>
        <v>-19.25</v>
      </c>
      <c r="BY52" s="209"/>
      <c r="BZ52" s="209"/>
      <c r="CA52" s="209" t="e">
        <f>(IF(CA$7="X",VLOOKUP(CA$10,'VK-Hooned-Soojus'!$C:$X,2+$C52,FALSE),0)+IF(CA$6="X",VLOOKUP(CA$10,'VK-Transport'!$C:$X,2+$B52,0))+IF(CA$8="X",VLOOKUP(CA$10,'VK-Elekter'!$C:$X,2+$D52,0))+IF(CA$9="X",VLOOKUP(CA$10,'VK-Biokütused'!$C:$U,2+$E52,0))+IF(CA$5="X",VLOOKUP(CA$10,'VK-Põlevkivi'!$C:$X,2+$G52,0))+IF(CA$4="X",VLOOKUP(CA$10,'VK-Võrgud'!$C:$X,2+$F52,0)))/16</f>
        <v>#N/A</v>
      </c>
      <c r="CB52" s="209">
        <f>(IF(CB$7="X",VLOOKUP(CB$10,'VK-Hooned-Soojus'!$C:$X,2+$C52,FALSE),0)+IF(CB$6="X",VLOOKUP(CB$10,'VK-Transport'!$C:$X,2+$B52,0))+IF(CB$8="X",VLOOKUP(CB$10,'VK-Elekter'!$C:$X,2+$D52,0))+IF(CB$9="X",VLOOKUP(CB$10,'VK-Biokütused'!$C:$U,2+$E52,0))+IF(CB$5="X",VLOOKUP(CB$10,'VK-Põlevkivi'!$C:$X,2+$G52,0))+IF(CB$4="X",VLOOKUP(CB$10,'VK-Võrgud'!$C:$X,2+$F52,0)))/16</f>
        <v>0</v>
      </c>
      <c r="CC52" s="209">
        <f>(IF(CC$7="X",VLOOKUP(CC$10,'VK-Hooned-Soojus'!$C:$X,2+$C52,FALSE),0)+IF(CC$6="X",VLOOKUP(CC$10,'VK-Transport'!$C:$X,2+$B52,0))+IF(CC$8="X",VLOOKUP(CC$10,'VK-Elekter'!$C:$X,2+$D52,0))+IF(CC$9="X",VLOOKUP(CC$10,'VK-Biokütused'!$C:$U,2+$E52,0))+IF(CC$5="X",VLOOKUP(CC$10,'VK-Põlevkivi'!$C:$X,2+$G52,0))+IF(CC$4="X",VLOOKUP(CC$10,'VK-Võrgud'!$C:$X,2+$F52,0)))/16</f>
        <v>0</v>
      </c>
      <c r="CD52" s="209"/>
      <c r="CE52" s="209">
        <f>(IF(CE$7="X",VLOOKUP(CE$10,'VK-Hooned-Soojus'!$C:$X,2+$C52,FALSE),0)+IF(CE$6="X",VLOOKUP(CE$10,'VK-Transport'!$C:$X,2+$B52,0))+IF(CE$8="X",VLOOKUP(CE$10,'VK-Elekter'!$C:$X,2+$D52,0))+IF(CE$9="X",VLOOKUP(CE$10,'VK-Biokütused'!$C:$U,2+$E52,0))+IF(CE$5="X",VLOOKUP(CE$10,'VK-Põlevkivi'!$C:$X,2+$G52,0))+IF(CE$4="X",VLOOKUP(CE$10,'VK-Võrgud'!$C:$X,2+$F52,0)))/16</f>
        <v>24.15625</v>
      </c>
      <c r="CF52" s="209"/>
      <c r="CG52" s="209">
        <f>(IF(CG$7="X",VLOOKUP(CG$10,'VK-Hooned-Soojus'!$C:$X,2+$C52,FALSE),0)+IF(CG$6="X",VLOOKUP(CG$10,'VK-Transport'!$C:$X,2+$B52,0))+IF(CG$8="X",VLOOKUP(CG$10,'VK-Elekter'!$C:$X,2+$D52,0))+IF(CG$9="X",VLOOKUP(CG$10,'VK-Biokütused'!$C:$U,2+$E52,0))+IF(CG$5="X",VLOOKUP(CG$10,'VK-Põlevkivi'!$C:$X,2+$G52,0))+IF(CG$4="X",VLOOKUP(CG$10,'VK-Võrgud'!$C:$X,2+$F52,0)))/16</f>
        <v>0</v>
      </c>
      <c r="CH52" s="209">
        <f>(IF(CH$7="X",VLOOKUP(CH$10,'VK-Hooned-Soojus'!$C:$X,2+$C52,FALSE),0)+IF(CH$6="X",VLOOKUP(CH$10,'VK-Transport'!$C:$X,2+$B52,0))+IF(CH$8="X",VLOOKUP(CH$10,'VK-Elekter'!$C:$X,2+$D52,0))+IF(CH$9="X",VLOOKUP(CH$10,'VK-Biokütused'!$C:$U,2+$E52,0))+IF(CH$5="X",VLOOKUP(CH$10,'VK-Põlevkivi'!$C:$X,2+$G52,0))+IF(CH$4="X",VLOOKUP(CH$10,'VK-Võrgud'!$C:$X,2+$F52,0)))/20*0.21</f>
        <v>26.9178</v>
      </c>
      <c r="CI52" s="209"/>
      <c r="CJ52" s="209">
        <f>(IF(CJ$7="X",VLOOKUP(CJ$10,'VK-Hooned-Soojus'!$C:$X,2+$C52,FALSE),0)+IF(CJ$6="X",VLOOKUP(CJ$10,'VK-Transport'!$C:$X,2+$B52,0))+IF(CJ$8="X",VLOOKUP(CJ$10,'VK-Elekter'!$C:$X,2+$D52,0))+IF(CJ$9="X",VLOOKUP(CJ$10,'VK-Biokütused'!$C:$U,2+$E52,0))+IF(CJ$5="X",VLOOKUP(CJ$10,'VK-Põlevkivi'!$C:$X,2+$G52,0))+IF(CJ$4="X",VLOOKUP(CJ$10,'VK-Võrgud'!$C:$X,2+$F52,0)))/1000</f>
        <v>18.156721793242816</v>
      </c>
      <c r="CK52" s="209">
        <f>(IF(CK$7="X",VLOOKUP(CK$10,'VK-Hooned-Soojus'!$C:$X,2+$C52,FALSE),0)+IF(CK$6="X",VLOOKUP(CK$10,'VK-Transport'!$C:$X,2+$B52,0))+IF(CK$8="X",VLOOKUP(CK$10,'VK-Elekter'!$C:$X,2+$D52,0))+IF(CK$9="X",VLOOKUP(CK$10,'VK-Biokütused'!$C:$U,2+$E52,0))+IF(CK$5="X",VLOOKUP(CK$10,'VK-Põlevkivi'!$C:$X,2+$G52,0))+IF(CK$4="X",VLOOKUP(CK$10,'VK-Võrgud'!$C:$X,2+$F52,0)))/1000</f>
        <v>6.0117453871512243</v>
      </c>
      <c r="CL52" s="235">
        <f>(IF(CL$7="X",VLOOKUP(CL$10,'VK-Hooned-Soojus'!$C:$X,2+$C52,FALSE),0)+IF(CL$6="X",VLOOKUP(CL$10,'VK-Transport'!$C:$X,2+$B52,0))+IF(CL$8="X",VLOOKUP(CL$10,'VK-Elekter'!$C:$X,2+$D52,0))+IF(CL$9="X",VLOOKUP(CL$10,'VK-Biokütused'!$C:$U,2+$E52,0)))/1000</f>
        <v>5.1330005094011817</v>
      </c>
      <c r="CM52" s="209">
        <f>(IF(CM$7="X",VLOOKUP(CM$10,'VK-Hooned-Soojus'!$C:$X,2+$C52,FALSE),0)+IF(CM$6="X",VLOOKUP(CM$10,'VK-Transport'!$C:$X,2+$B52,0))+IF(CM$8="X",VLOOKUP(CM$10,'VK-Elekter'!$C:$X,2+$D52,0))+IF(CM$9="X",VLOOKUP(CM$10,'VK-Biokütused'!$C:$U,2+$E52,0))+IF(CM$5="X",VLOOKUP(CM$10,'VK-Põlevkivi'!$C:$X,2+$G52,0))+IF(CM$4="X",VLOOKUP(CM$10,'VK-Võrgud'!$C:$X,2+$F52,0)))/1000</f>
        <v>7.6528313570900952</v>
      </c>
      <c r="CN52" s="209">
        <f>(IF(CN$7="X",VLOOKUP(CN$10,'VK-Hooned-Soojus'!$C:$X,2+$C52,FALSE),0)+IF(CN$6="X",VLOOKUP(CN$10,'VK-Transport'!$C:$X,2+$B52,0))+IF(CN$8="X",VLOOKUP(CN$10,'VK-Elekter'!$C:$X,2+$D52,0))+IF(CN$9="X",VLOOKUP(CN$10,'VK-Biokütused'!$C:$U,2+$E52,0))+IF(CN$5="X",VLOOKUP(CN$10,'VK-Põlevkivi'!$C:$X,2+$G52,0))+IF(CN$4="X",VLOOKUP(CN$10,'VK-Võrgud'!$C:$X,2+$F52,0)))/1000</f>
        <v>2.7559999999999998</v>
      </c>
      <c r="CO52" s="209">
        <f>(IF(CO$7="X",VLOOKUP(CO$10,'VK-Hooned-Soojus'!$C:$X,2+$C52,FALSE),0)+IF(CO$6="X",VLOOKUP(CO$10,'VK-Transport'!$C:$X,2+$B52,0))+IF(CO$8="X",VLOOKUP(CO$10,'VK-Elekter'!$C:$X,2+$D52,0))+IF(CO$9="X",VLOOKUP(CO$10,'VK-Biokütused'!$C:$U,2+$E52,0))+IF(CO$5="X",VLOOKUP(CO$10,'VK-Põlevkivi'!$C:$X,2+$G52,0))+IF(CO$4="X",VLOOKUP(CO$10,'VK-Võrgud'!$C:$X,2+$F52,0)))/1000</f>
        <v>23.893649773285453</v>
      </c>
      <c r="CP52" s="209">
        <f>(IF(CP$7="X",VLOOKUP(CP$10,'VK-Hooned-Soojus'!$C:$X,2+$C52,FALSE),0)+IF(CP$6="X",VLOOKUP(CP$10,'VK-Transport'!$C:$X,2+$B52,0))+IF(CP$8="X",VLOOKUP(CP$10,'VK-Elekter'!$C:$X,2+$D52,0))+IF(CP$9="X",VLOOKUP(CP$10,'VK-Biokütused'!$C:$U,2+$E52,0))+IF(CP$5="X",VLOOKUP(CP$10,'VK-Põlevkivi'!$C:$X,2+$G52,0))+IF(CP$4="X",VLOOKUP(CP$10,'VK-Võrgud'!$C:$X,2+$F52,0)))/1000</f>
        <v>6.6239485842956141</v>
      </c>
      <c r="CQ52" s="235">
        <f>(IF(CQ$7="X",VLOOKUP(CQ$10,'VK-Hooned-Soojus'!$C:$X,2+$C52,FALSE),0)+IF(CQ$6="X",VLOOKUP(CQ$10,'VK-Transport'!$C:$X,2+$B52,0))+IF(CQ$8="X",VLOOKUP(CQ$10,'VK-Elekter'!$C:$X,2+$D52,0))+IF(CQ$9="X",VLOOKUP(CQ$10,'VK-Biokütused'!$C:$U,2+$E52,0)))/1000</f>
        <v>5.312907</v>
      </c>
      <c r="CR52" s="209">
        <f>(IF(CR$7="X",VLOOKUP(CR$10,'VK-Hooned-Soojus'!$C:$X,2+$C52,FALSE),0)+IF(CR$6="X",VLOOKUP(CR$10,'VK-Transport'!$C:$X,2+$B52,0))+IF(CR$8="X",VLOOKUP(CR$10,'VK-Elekter'!$C:$X,2+$D52,0))+IF(CR$9="X",VLOOKUP(CR$10,'VK-Biokütused'!$C:$U,2+$E52,0))+IF(CR$5="X",VLOOKUP(CR$10,'VK-Põlevkivi'!$C:$X,2+$G52,0))+IF(CR$4="X",VLOOKUP(CR$10,'VK-Võrgud'!$C:$X,2+$F52,0)))/1000</f>
        <v>7.7157533562748037</v>
      </c>
      <c r="CS52" s="209">
        <f>(IF(CS$7="X",VLOOKUP(CS$10,'VK-Hooned-Soojus'!$C:$X,2+$C52,FALSE),0)+IF(CS$6="X",VLOOKUP(CS$10,'VK-Transport'!$C:$X,2+$B52,0))+IF(CS$8="X",VLOOKUP(CS$10,'VK-Elekter'!$C:$X,2+$D52,0))+IF(CS$9="X",VLOOKUP(CS$10,'VK-Biokütused'!$C:$U,2+$E52,0))+IF(CS$5="X",VLOOKUP(CS$10,'VK-Põlevkivi'!$C:$X,2+$G52,0))+IF(CS$4="X",VLOOKUP(CS$10,'VK-Võrgud'!$C:$X,2+$F52,0)))/1000</f>
        <v>3.9161524051216152</v>
      </c>
      <c r="CT52" s="209">
        <f>IF(CT$7="X",VLOOKUP(CT$10,'VK-Hooned-Soojus'!$C:$X,2+$C52,FALSE),0)+IF(CT$6="X",VLOOKUP(CT$10,'VK-Transport'!$C:$X,2+$B52,0))+IF(CT$8="X",VLOOKUP(CT$10,'VK-Elekter'!$C:$X,2+$D52,0))+IF(CT$9="X",VLOOKUP(CT$10,'VK-Biokütused'!$C:$U,2+$E52,0))+IF(CT$5="X",VLOOKUP(CT$10,'VK-Põlevkivi'!$C:$X,2+$G52,0))+IF(CT$4="X",VLOOKUP(CT$10,'VK-Võrgud'!$C:$X,2+$F52,0))</f>
        <v>90</v>
      </c>
      <c r="CU52" s="209">
        <f>IF(CU$7="X",VLOOKUP(CU$10,'VK-Hooned-Soojus'!$C:$X,2+$C52,FALSE),0)+IF(CU$6="X",VLOOKUP(CU$10,'VK-Transport'!$C:$X,2+$B52,0))+IF(CU$8="X",VLOOKUP(CU$10,'VK-Elekter'!$C:$X,2+$D52,0))+IF(CU$9="X",VLOOKUP(CU$10,'VK-Biokütused'!$C:$U,2+$E52,0))+IF(CU$5="X",VLOOKUP(CU$10,'VK-Põlevkivi'!$C:$X,2+$G52,0))+IF(CU$4="X",VLOOKUP(CU$10,'VK-Võrgud'!$C:$X,2+$F52,0))</f>
        <v>0.63390170511534605</v>
      </c>
      <c r="CV52" s="209">
        <f t="shared" si="37"/>
        <v>0.91028830406496786</v>
      </c>
      <c r="CW52" s="209">
        <f>(IF(CW$7="X",VLOOKUP(CW$10,'VK-Hooned-Soojus'!$C:$X,2+$C52,FALSE),0)+IF(CW$6="X",VLOOKUP(CW$10,'VK-Transport'!$C:$X,2+$B52,0))+IF(CW$8="X",VLOOKUP(CW$10,'VK-Elekter'!$C:$X,2+$D52,0))+IF(CW$9="X",VLOOKUP(CW$10,'VK-Biokütused'!$C:$U,2+$E52,0))+IF(CW$5="X",VLOOKUP(CW$10,'VK-Põlevkivi'!$C:$X,2+$G52,0))+IF(CW$4="X",VLOOKUP(CW$10,'VK-Võrgud'!$C:$X,2+$F52,0)))/16</f>
        <v>126.01875</v>
      </c>
      <c r="CY52" s="209">
        <f>(IF(CY$7="X",VLOOKUP(CY$10,'VK-Hooned-Soojus'!$C:$X,2+$C52,FALSE),0)+IF(CY$6="X",VLOOKUP(CY$10,'VK-Transport'!$C:$X,2+$B52,0))+IF(CY$8="X",VLOOKUP(CY$10,'VK-Elekter'!$C:$X,2+$D52,0))+IF(CY$9="X",VLOOKUP(CY$10,'VK-Biokütused'!$C:$U,2+$E52,0))+IF(CY$5="X",VLOOKUP(CY$10,'VK-Põlevkivi'!$C:$X,2+$G52,0))+IF(CY$4="X",VLOOKUP(CY$10,'VK-Võrgud'!$C:$X,2+$F52,0)))/1000</f>
        <v>10.574</v>
      </c>
      <c r="CZ52" s="209">
        <f>(IF(CZ$7="X",VLOOKUP(CZ$10,'VK-Hooned-Soojus'!$C:$X,2+$C52,FALSE),0)+IF(CZ$6="X",VLOOKUP(CZ$10,'VK-Transport'!$C:$X,2+$B52,0))+IF(CZ$8="X",VLOOKUP(CZ$10,'VK-Elekter'!$C:$X,2+$D52,0))+IF(CZ$9="X",VLOOKUP(CZ$10,'VK-Biokütused'!$C:$U,2+$E52,0))+IF(CZ$5="X",VLOOKUP(CZ$10,'VK-Põlevkivi'!$C:$X,2+$G52,0))+IF(CZ$4="X",VLOOKUP(CZ$10,'VK-Võrgud'!$C:$X,2+$F52,0)))</f>
        <v>85</v>
      </c>
      <c r="DA52" s="209">
        <f>(IF(DA$7="X",VLOOKUP(DA$10,'VK-Hooned-Soojus'!$C:$X,2+$C52,FALSE),0)+IF(DA$6="X",VLOOKUP(DA$10,'VK-Transport'!$C:$X,2+$B52,0))+IF(DA$8="X",VLOOKUP(DA$10,'VK-Elekter'!$C:$X,2+$D52,0))+IF(DA$9="X",VLOOKUP(DA$10,'VK-Biokütused'!$C:$U,2+$E52,0))+IF(DA$5="X",VLOOKUP(DA$10,'VK-Põlevkivi'!$C:$X,2+$G52,0))+IF(DA$4="X",VLOOKUP(DA$10,'VK-Võrgud'!$C:$X,2+$F52,0)))/1000</f>
        <v>10.52</v>
      </c>
      <c r="DB52" s="209">
        <f>(IF(DB$7="X",VLOOKUP(DB$10,'VK-Hooned-Soojus'!$C:$X,2+$C52,FALSE),0)+IF(DB$6="X",VLOOKUP(DB$10,'VK-Transport'!$C:$X,2+$B52,0))+IF(DB$8="X",VLOOKUP(DB$10,'VK-Elekter'!$C:$X,2+$D52,0))+IF(DB$9="X",VLOOKUP(DB$10,'VK-Biokütused'!$C:$U,2+$E52,0))+IF(DB$5="X",VLOOKUP(DB$10,'VK-Põlevkivi'!$C:$X,2+$G52,0))+IF(DB$4="X",VLOOKUP(DB$10,'VK-Võrgud'!$C:$X,2+$F52,0)))/1000/3.6</f>
        <v>42.051944444444445</v>
      </c>
      <c r="DC52" s="209">
        <f>(IF(DC$7="X",VLOOKUP(DC$10,'VK-Hooned-Soojus'!$C:$X,2+$C52,FALSE),0)+IF(DC$6="X",VLOOKUP(DC$10,'VK-Transport'!$C:$X,2+$B52,0))+IF(DC$8="X",VLOOKUP(DC$10,'VK-Elekter'!$C:$X,2+$D52,0))+IF(DC$9="X",VLOOKUP(DC$10,'VK-Biokütused'!$C:$U,2+$E52,0))+IF(DC$5="X",VLOOKUP(DC$10,'VK-Põlevkivi'!$C:$X,2+$G52,0))+IF(DC$4="X",VLOOKUP(DC$10,'VK-Võrgud'!$C:$X,2+$F52,0)))/1000000</f>
        <v>4.3222940000000003</v>
      </c>
      <c r="DD52" s="209"/>
      <c r="DE52" s="88">
        <f>VLOOKUP(Tulemused!$BN$12,data!M$7:N$12,2,FALSE)-SUM(L52,M52)</f>
        <v>-2.20664444444445</v>
      </c>
      <c r="DF52" s="209" t="str">
        <f>IF(AZ52&lt;=VLOOKUP(Tulemused!$BN$15,data!$E$36:$F$39,2,FALSE),"JAH","EI")</f>
        <v>JAH</v>
      </c>
      <c r="DG52" s="209"/>
      <c r="DH52" s="209">
        <f t="shared" si="38"/>
        <v>10.67</v>
      </c>
      <c r="DI52" s="231" t="str">
        <f t="shared" si="17"/>
        <v>EI</v>
      </c>
      <c r="DK52" s="232">
        <f t="shared" si="39"/>
        <v>-992.34694064659652</v>
      </c>
      <c r="DM52" s="233">
        <f t="shared" si="40"/>
        <v>-993.25204036883804</v>
      </c>
      <c r="DN52" s="87">
        <f t="array" ref="DN52">INDEX($A$11:$A$145, SMALL(IF(DM52=$DK$11:$DK$145, MATCH(ROW($DK$11:$DK$145), ROW($DK$11:$DK$145))), SUM(--(DM52=$DM$11:DM52))))</f>
        <v>41</v>
      </c>
      <c r="DP52" s="87" t="e">
        <f t="shared" ca="1" si="18"/>
        <v>#N/A</v>
      </c>
      <c r="DQ52" s="87" t="e">
        <f t="shared" ca="1" si="19"/>
        <v>#N/A</v>
      </c>
      <c r="DR52" s="87">
        <f t="shared" ca="1" si="20"/>
        <v>0</v>
      </c>
      <c r="DS52" s="87" t="e">
        <f t="shared" ca="1" si="21"/>
        <v>#N/A</v>
      </c>
      <c r="DT52" s="87">
        <f t="shared" ca="1" si="22"/>
        <v>0</v>
      </c>
      <c r="DU52" s="87" t="e">
        <f t="shared" ca="1" si="23"/>
        <v>#N/A</v>
      </c>
      <c r="DV52" s="87" t="e">
        <f t="shared" ca="1" si="24"/>
        <v>#N/A</v>
      </c>
      <c r="DW52" s="87">
        <f t="shared" ca="1" si="25"/>
        <v>0</v>
      </c>
      <c r="DX52" s="87">
        <f t="shared" ca="1" si="26"/>
        <v>0</v>
      </c>
      <c r="DZ52" s="87">
        <f t="shared" ca="1" si="35"/>
        <v>0</v>
      </c>
      <c r="EB52" s="87">
        <f t="shared" ca="1" si="27"/>
        <v>0</v>
      </c>
      <c r="EC52" s="87" t="e">
        <f t="shared" ca="1" si="28"/>
        <v>#N/A</v>
      </c>
      <c r="EE52" s="228">
        <f>(IF(EE$7="X",VLOOKUP(EE$10,'VK-Hooned-Soojus'!$C:$X,2+$C52,FALSE),0)+IF(EE$6="X",VLOOKUP(EE$10,'VK-Transport'!$C:$X,2+$B52,0))+IF(EE$8="X",VLOOKUP(EE$10,'VK-Elekter'!$C:$X,2+$D52,0))+IF(EE$9="X",VLOOKUP(EE$10,'VK-Biokütused'!$C:$U,2+$E52,0))+IF(EE$5="X",VLOOKUP(EE$10,'VK-Põlevkivi'!$C:$X,2+$G52,0))+IF(EE$4="X",VLOOKUP(EE$10,'VK-Võrgud'!$C:$X,2+$F52,0)))</f>
        <v>10096.415561713553</v>
      </c>
      <c r="EF52" s="235">
        <f>(IF(EF$7="X",VLOOKUP(EF$10,'VK-Hooned-Soojus'!$C:$X,2+$C52,FALSE),0)+IF(EF$6="X",VLOOKUP(EF$10,'VK-Transport'!$C:$X,2+$B52,0))+IF(EF$8="X",VLOOKUP(EF$10,'VK-Elekter'!$C:$X,2+$D52,0))+IF(EF$9="X",VLOOKUP(EF$10,'VK-Biokütused'!$C:$U,2+$E52,0)))/1000</f>
        <v>3.6796368215830602</v>
      </c>
      <c r="EG52" s="209">
        <f>(IF(EG$7="X",VLOOKUP(EG$10,'VK-Hooned-Soojus'!$C:$X,2+$C52,FALSE),0)+IF(EG$6="X",VLOOKUP(EG$10,'VK-Transport'!$C:$X,2+$B52,0))+IF(EG$8="X",VLOOKUP(EG$10,'VK-Elekter'!$C:$X,2+$D52,0))+IF(EG$9="X",VLOOKUP(EG$10,'VK-Biokütused'!$C:$U,2+$E52,0))+IF(EG$5="X",VLOOKUP(EG$10,'VK-Põlevkivi'!$C:$X,2+$G52,0))+IF(EG$4="X",VLOOKUP(EG$10,'VK-Võrgud'!$C:$X,2+$F52,0)))</f>
        <v>0.81</v>
      </c>
      <c r="EH52" s="209">
        <f>(IF(EH$7="X",VLOOKUP(EH$10,'VK-Hooned-Soojus'!$C:$X,2+$C52,FALSE),0)+IF(EH$6="X",VLOOKUP(EH$10,'VK-Transport'!$C:$X,2+$B52,0))+IF(EH$8="X",VLOOKUP(EH$10,'VK-Elekter'!$C:$X,2+$D52,0))+IF(EH$9="X",VLOOKUP(EH$10,'VK-Biokütused'!$C:$U,2+$E52,0)))+AR52+AS52+AU52+AX52</f>
        <v>47.324933070818048</v>
      </c>
      <c r="EI52" s="320">
        <f t="shared" si="41"/>
        <v>44.228055555555557</v>
      </c>
      <c r="EJ52" s="322">
        <f t="shared" si="42"/>
        <v>2.201934621570804E-2</v>
      </c>
      <c r="EK52" s="323">
        <f t="shared" si="29"/>
        <v>0.45163250455002329</v>
      </c>
      <c r="EM52" s="209"/>
      <c r="EN52" s="209">
        <f t="shared" ca="1" si="43"/>
        <v>0</v>
      </c>
      <c r="EO52" s="209"/>
      <c r="EP52" s="234"/>
      <c r="EQ52" s="209">
        <f>(IF(EQ$7="X",VLOOKUP(EQ$10,'VK-Hooned-Soojus'!$C:$X,2+$C52,FALSE),0)+IF(EQ$6="X",VLOOKUP(EQ$10,'VK-Transport'!$C:$X,2+$B52,0))+IF(EQ$8="X",VLOOKUP(EQ$10,'VK-Elekter'!$C:$X,2+$D52,0))+IF(EQ$9="X",VLOOKUP(EQ$10,'VK-Biokütused'!$C:$U,2+$E52,0))+IF(EQ$5="X",VLOOKUP(EQ$10,'VK-Põlevkivi'!$C:$X,2+$G52,0))+IF(EQ$4="X",VLOOKUP(EQ$10,'VK-Võrgud'!$C:$X,2+$F52,0)))/1000</f>
        <v>0.19900000000000001</v>
      </c>
      <c r="ER52" s="209">
        <f>(IF(ER$7="X",VLOOKUP(ER$10,'VK-Hooned-Soojus'!$C:$X,2+$C52,FALSE),0)+IF(ER$6="X",VLOOKUP(ER$10,'VK-Transport'!$C:$X,2+$B52,0))+IF(ER$8="X",VLOOKUP(ER$10,'VK-Elekter'!$C:$X,2+$D52,0))+IF(ER$9="X",VLOOKUP(ER$10,'VK-Biokütused'!$C:$U,2+$E52,0))+IF(ER$5="X",VLOOKUP(ER$10,'VK-Põlevkivi'!$C:$X,2+$G52,0))+IF(ER$4="X",VLOOKUP(ER$10,'VK-Võrgud'!$C:$X,2+$F52,0)))</f>
        <v>0.72299999999999998</v>
      </c>
      <c r="ES52" s="209">
        <f>(IF(ES$7="X",VLOOKUP(ES$10,'VK-Hooned-Soojus'!$C:$X,2+$C52,FALSE),0)+IF(ES$6="X",VLOOKUP(ES$10,'VK-Transport'!$C:$X,2+$B52,0))+IF(ES$8="X",VLOOKUP(ES$10,'VK-Elekter'!$C:$X,2+$D52,0))+IF(ES$9="X",VLOOKUP(ES$10,'VK-Biokütused'!$C:$U,2+$E52,0))+IF(ES$5="X",VLOOKUP(ES$10,'VK-Põlevkivi'!$C:$X,2+$G52,0))+IF(ES$4="X",VLOOKUP(ES$10,'VK-Võrgud'!$C:$X,2+$F52,0)))</f>
        <v>10.67</v>
      </c>
      <c r="ET52" s="209"/>
      <c r="EU52" s="209"/>
      <c r="EV52" s="87">
        <f>'KSH järjestus'!AS45</f>
        <v>1222</v>
      </c>
      <c r="EX52" s="236"/>
      <c r="EY52" s="236"/>
      <c r="EZ52" s="237">
        <f t="shared" si="44"/>
        <v>0.36609829488465395</v>
      </c>
      <c r="FA52" s="209">
        <f>IF(FA$7="X",VLOOKUP(FA$10,'VK-Hooned-Soojus'!$C:$X,2+$C52,FALSE),0)+IF(FA$6="X",VLOOKUP(FA$10,'VK-Transport'!$C:$X,2+$B52,0))+IF(FA$8="X",VLOOKUP(FA$10,'VK-Elekter'!$C:$X,2+$D52,0))+IF(FA$9="X",VLOOKUP(FA$10,'VK-Biokütused'!$C:$U,2+$E52,0))+IF(FA$5="X",VLOOKUP(FA$10,'VK-Põlevkivi'!$C:$X,2+$G52,0))+IF(FA$4="X",VLOOKUP(FA$10,'VK-Võrgud'!$C:$X,2+$F52,0))</f>
        <v>3656.9070000000002</v>
      </c>
      <c r="FB52" s="279">
        <f>(IF(FB$7="X",VLOOKUP(FB$10,'VK-Hooned-Soojus'!$C:$X,2+$C52,FALSE),0)+IF(FB$6="X",VLOOKUP(FB$10,'VK-Transport'!$C:$X,2+$B52,0))+IF(FB$8="X",VLOOKUP(FB$10,'VK-Elekter'!$C:$X,2+$D52,0))+IF(FB$9="X",VLOOKUP(FB$10,'VK-Biokütused'!$C:$U,2+$E52,0))+IF(FB$5="X",VLOOKUP(FB$10,'VK-Põlevkivi'!$C:$X,2+$G52,0))+IF(FB$4="X",VLOOKUP(FB$10,'VK-Võrgud'!$C:$X,2+$F52,0)))/16</f>
        <v>421.59135976041023</v>
      </c>
      <c r="FC52" s="209">
        <f>IF(FC$7="X",VLOOKUP(FC$10,'VK-Hooned-Soojus'!$C:$X,2+$C52,FALSE),0)+IF(FC$6="X",VLOOKUP(FC$10,'VK-Transport'!$C:$X,2+$B52,0))+IF(FC$8="X",VLOOKUP(FC$10,'VK-Elekter'!$C:$X,2+$D52,0))+IF(FC$9="X",VLOOKUP(FC$10,'VK-Biokütused'!$C:$U,2+$E52,0))+IF(FC$5="X",VLOOKUP(FC$10,'VK-Põlevkivi'!$C:$X,2+$G52,0))+IF(FC$4="X",VLOOKUP(FC$10,'VK-Võrgud'!$C:$X,2+$F52,0))</f>
        <v>309.2</v>
      </c>
      <c r="FD52" s="209">
        <f>(IF(FD$7="X",VLOOKUP(FD$10,'VK-Hooned-Soojus'!$C:$X,2+$C52,FALSE),0)+IF(FD$6="X",VLOOKUP(FD$10,'VK-Transport'!$C:$X,2+$B52,0))+IF(FD$8="X",VLOOKUP(FD$10,'VK-Elekter'!$C:$X,2+$D52,0))+IF(FD$9="X",VLOOKUP(FD$10,'VK-Biokütused'!$C:$U,2+$E52,0))+IF(FD$5="X",VLOOKUP(FD$10,'VK-Põlevkivi'!$C:$X,2+$G52,0))+IF(FD$4="X",VLOOKUP(FD$10,'VK-Võrgud'!$C:$X,2+$F52,0)))/16</f>
        <v>421.59135976041023</v>
      </c>
      <c r="FE52" s="209">
        <f>(IF(FE$7="X",VLOOKUP(FE$10,'VK-Hooned-Soojus'!$C:$X,2+$C52,FALSE),0)+IF(FE$6="X",VLOOKUP(FE$10,'VK-Transport'!$C:$X,2+$B52,0))+IF(FE$8="X",VLOOKUP(FE$10,'VK-Elekter'!$C:$X,2+$D52,0))+IF(FE$9="X",VLOOKUP(FE$10,'VK-Biokütused'!$C:$U,2+$E52,0))+IF(FE$5="X",VLOOKUP(FE$10,'VK-Põlevkivi'!$C:$X,2+$G52,0))+IF(FE$4="X",VLOOKUP(FE$10,'VK-Võrgud'!$C:$X,2+$F52,0)))/16</f>
        <v>-156.76081369909105</v>
      </c>
      <c r="FF52" s="209">
        <f>(IF(FF$7="X",VLOOKUP(FF$10,'VK-Hooned-Soojus'!$C:$X,2+$C52,FALSE),0)+IF(FF$6="X",VLOOKUP(FF$10,'VK-Transport'!$C:$X,2+$B52,0))+IF(FF$8="X",VLOOKUP(FF$10,'VK-Elekter'!$C:$X,2+$D52,0))+IF(FF$9="X",VLOOKUP(FF$10,'VK-Biokütused'!$C:$U,2+$E52,0))+IF(FF$5="X",VLOOKUP(FF$10,'VK-Põlevkivi'!$C:$X,2+$G52,0))+IF(FF$4="X",VLOOKUP(FF$10,'VK-Võrgud'!$C:$X,2+$F52,0)))/16</f>
        <v>153.91148298574586</v>
      </c>
      <c r="FG52" s="88">
        <f t="shared" ca="1" si="30"/>
        <v>-2.8493307133451822</v>
      </c>
      <c r="FH52" s="88"/>
      <c r="FI52" s="88"/>
      <c r="FJ52" s="88">
        <f>VLOOKUP(Tulemused!$BN$12,data!M$7:N$12,2,FALSE)-SUM(L52,M52)</f>
        <v>-2.20664444444445</v>
      </c>
      <c r="FK52" s="209" t="str">
        <f>IF(AZ52&lt;=VLOOKUP(Tulemused!$BN$15,data!$E$36:$F$39,2,FALSE),"JAH","EI")</f>
        <v>JAH</v>
      </c>
      <c r="FL52" s="235">
        <f ca="1">IF(ISNA(MATCH($A52,INDIRECT(VLOOKUP(Tulemused!$BF$11,data!$J$57:$M$71,4,FALSE)))),0,MATCH($A52,INDIRECT(VLOOKUP(Tulemused!$BF$11,data!$J$57:$M$71,4,FALSE))))</f>
        <v>0</v>
      </c>
      <c r="FM52" s="235" t="str">
        <f t="shared" ca="1" si="45"/>
        <v>JAH</v>
      </c>
      <c r="FN52" s="209">
        <f>VLOOKUP(Tulemused!$BN$13,data!$C$132:$D$137,2,FALSE)-KOMBI!R52</f>
        <v>2.6621331784169402</v>
      </c>
      <c r="FO52" s="209"/>
      <c r="FP52" s="209">
        <f>VLOOKUP(Tulemused!$BN$17,NO_x,2,FALSE)-CJ52</f>
        <v>11.281278206757182</v>
      </c>
      <c r="FQ52" s="209">
        <f>VLOOKUP(Tulemused!$BN$18,SO_2,2,FALSE)-CK52</f>
        <v>45.872254612848778</v>
      </c>
      <c r="FR52" s="209">
        <f>VLOOKUP(Tulemused!$BN$19,LOU,2,FALSE)-CN52</f>
        <v>34.324000000000005</v>
      </c>
      <c r="FS52" s="209">
        <f>VLOOKUP(Tulemused!$BN$20,PM_2.5,2,FALSE)-CM52</f>
        <v>9.2621686429099039</v>
      </c>
      <c r="FT52" s="209">
        <f>VLOOKUP(Tulemused!$BN$13,data!$C$132:$D$137,2,FALSE)-FA52/1000</f>
        <v>2.5890630000000003</v>
      </c>
      <c r="FU52" s="209">
        <f>VLOOKUP(Tulemused!$BN$17,NO_x,2,FALSE)-CO52</f>
        <v>5.5443502267145455</v>
      </c>
      <c r="FV52" s="209">
        <f>VLOOKUP(Tulemused!$BN$18,SO_2,2,FALSE)-CP52</f>
        <v>45.260051415704389</v>
      </c>
      <c r="FW52" s="209">
        <f>VLOOKUP(Tulemused!$BN$19,LOU,2,FALSE)-CS52</f>
        <v>33.163847594878391</v>
      </c>
      <c r="FX52" s="209">
        <f>VLOOKUP(Tulemused!$BN$20,PM_2.5,2,FALSE)-CR52</f>
        <v>9.1992466437251963</v>
      </c>
      <c r="FY52" s="209">
        <f>VLOOKUP(Tulemused!$BN$14,KHG_2050,2,FALSE)-EF52</f>
        <v>96.32036317841694</v>
      </c>
      <c r="FZ52" s="231" t="str">
        <f t="shared" ca="1" si="31"/>
        <v>EI</v>
      </c>
      <c r="GA52" s="209"/>
      <c r="GB52" s="209"/>
      <c r="GC52" s="209"/>
      <c r="GD52" s="231"/>
      <c r="GE52" s="87">
        <f t="shared" si="46"/>
        <v>1222</v>
      </c>
      <c r="GF52" s="232" t="str">
        <f t="shared" ca="1" si="32"/>
        <v/>
      </c>
      <c r="GH52" s="238" t="e">
        <f t="shared" ca="1" si="47"/>
        <v>#NUM!</v>
      </c>
      <c r="GI52" s="87" t="e">
        <f t="array" aca="1" ref="GI52" ca="1">INDEX($A$11:$A$145, SMALL(IF(GH52=$GF$11:$GF$145, MATCH(ROW($GF$11:$GF$145), ROW($GF$11:$GF$145))), SUM(--(GH52=$GH$11:GH52))))</f>
        <v>#NUM!</v>
      </c>
      <c r="GM52" s="209">
        <f>IF(GM$7="X",VLOOKUP(GM$10,'VK-Hooned-Soojus'!$C:$X,2+$C52,FALSE),0)+IF(GM$6="X",VLOOKUP(GM$10,'VK-Transport'!$C:$X,2+$B52,0))+IF(GM$8="X",VLOOKUP(GM$10,'VK-Elekter'!$C:$X,2+$D52,0))+IF(GM$9="X",VLOOKUP(GM$10,'VK-Biokütused'!$C:$U,2+$E52,0))+IF(GM$5="X",VLOOKUP(GM$10,'VK-Põlevkivi'!$C:$X,2+$G52,0))+IF(GM$4="X",VLOOKUP(GM$10,'VK-Võrgud'!$C:$X,2+$F52,0))</f>
        <v>0</v>
      </c>
      <c r="GN52" s="209">
        <f>IF(GN$7="X",VLOOKUP(GN$10,'VK-Hooned-Soojus'!$C:$X,2+$C52,FALSE),0)+IF(GN$6="X",VLOOKUP(GN$10,'VK-Transport'!$C:$X,2+$B52,0))+IF(GN$8="X",VLOOKUP(GN$10,'VK-Elekter'!$C:$X,2+$D52,0))+IF(GN$9="X",VLOOKUP(GN$10,'VK-Biokütused'!$C:$U,2+$E52,0))+IF(GN$5="X",VLOOKUP(GN$10,'VK-Põlevkivi'!$C:$X,2+$G52,0))+IF(GN$4="X",VLOOKUP(GN$10,'VK-Võrgud'!$C:$X,2+$F52,0))</f>
        <v>7.5434676424145266</v>
      </c>
      <c r="GO52" s="209">
        <f>IF(GO$7="X",VLOOKUP(GO$10,'VK-Hooned-Soojus'!$C:$X,2+$C52,FALSE),0)+IF(GO$6="X",VLOOKUP(GO$10,'VK-Transport'!$C:$X,2+$B52,0))+IF(GO$8="X",VLOOKUP(GO$10,'VK-Elekter'!$C:$X,2+$D52,0))+IF(GO$9="X",VLOOKUP(GO$10,'VK-Biokütused'!$C:$U,2+$E52,0))+IF(GO$5="X",VLOOKUP(GO$10,'VK-Põlevkivi'!$C:$X,2+$G52,0))+IF(GO$4="X",VLOOKUP(GO$10,'VK-Võrgud'!$C:$X,2+$F52,0))</f>
        <v>7.5763700102722566</v>
      </c>
      <c r="GP52" s="209">
        <f>IF(GP$7="X",VLOOKUP(GP$10,'VK-Hooned-Soojus'!$C:$X,2+$C52,FALSE),0)+IF(GP$6="X",VLOOKUP(GP$10,'VK-Transport'!$C:$X,2+$B52,0))+IF(GP$8="X",VLOOKUP(GP$10,'VK-Elekter'!$C:$X,2+$D52,0))+IF(GP$9="X",VLOOKUP(GP$10,'VK-Biokütused'!$C:$U,2+$E52,0))+IF(GP$5="X",VLOOKUP(GP$10,'VK-Põlevkivi'!$C:$X,2+$G52,0))+IF(GP$4="X",VLOOKUP(GP$10,'VK-Võrgud'!$C:$X,2+$F52,0))</f>
        <v>8.9326558040707589</v>
      </c>
      <c r="GQ52" s="88">
        <f>IF(GQ$7="X",VLOOKUP(GQ$10,'VK-Hooned-Soojus'!$C:$X,2+$C52,FALSE),0)+IF(GQ$6="X",VLOOKUP(GQ$10,'VK-Transport'!$C:$X,2+$B52,0))+IF(GQ$8="X",VLOOKUP(GQ$10,'VK-Elekter'!$C:$X,2+$D52,0))+IF(GQ$9="X",VLOOKUP(GQ$10,'VK-Biokütused'!$C:$U,2+$E52,0))+IF(GQ$5="X",VLOOKUP(GQ$10,'VK-Põlevkivi'!$C:$X,2+$G52,0))+IF(GQ$4="X",VLOOKUP(GQ$10,'VK-Võrgud'!$C:$X,2+$F52,0))</f>
        <v>0.9682855968523334</v>
      </c>
      <c r="GR52" s="186">
        <f t="shared" si="33"/>
        <v>0.4978506172092993</v>
      </c>
    </row>
    <row r="53" spans="1:200" x14ac:dyDescent="0.2">
      <c r="A53" s="184">
        <v>43</v>
      </c>
      <c r="B53" s="87">
        <v>1</v>
      </c>
      <c r="C53" s="87">
        <v>3</v>
      </c>
      <c r="D53" s="87">
        <v>5</v>
      </c>
      <c r="E53" s="87">
        <v>1</v>
      </c>
      <c r="F53" s="87">
        <f>VLOOKUP(Tulemused!$BF$7,data!$J$6:$K$8,2,FALSE)</f>
        <v>2</v>
      </c>
      <c r="G53" s="87">
        <f>VLOOKUP(data!$H$2,data!$J$12:$K$14,2,FALSE)</f>
        <v>2</v>
      </c>
      <c r="I53" s="209">
        <f>IF(I$7="X",VLOOKUP(I$10,'VK-Hooned-Soojus'!$C:$X,2+$C53,FALSE),0)+IF(I$6="X",VLOOKUP(I$10,'VK-Transport'!$C:$X,2+$B53,0))+IF(I$8="X",VLOOKUP(I$10,'VK-Elekter'!$C:$X,2+$D53,0))+IF(I$9="X",VLOOKUP(I$10,'VK-Biokütused'!$C:$U,2+$E53,0))+IF(I$5="X",VLOOKUP(I$10,'VK-Põlevkivi'!$C:$X,2+$G53,0))+IF(I$4="X",VLOOKUP(I$10,'VK-Võrgud'!$C:$X,2+$F53,0))</f>
        <v>23.490000000000002</v>
      </c>
      <c r="J53" s="209">
        <f>IF(J$7="X",VLOOKUP(J$10,'VK-Hooned-Soojus'!$C:$X,2+$C53,FALSE),0)+IF(J$6="X",VLOOKUP(J$10,'VK-Transport'!$C:$X,2+$B53,0))+IF(J$8="X",VLOOKUP(J$10,'VK-Elekter'!$C:$X,2+$D53,0))+IF(J$9="X",VLOOKUP(J$10,'VK-Biokütused'!$C:$U,2+$E53,0))+IF(J$5="X",VLOOKUP(J$10,'VK-Põlevkivi'!$C:$X,2+$G53,0))+IF(J$4="X",VLOOKUP(J$10,'VK-Võrgud'!$C:$X,2+$F53,0))</f>
        <v>13.295833333333334</v>
      </c>
      <c r="K53" s="209">
        <f>IF(K$7="X",VLOOKUP(K$10,'VK-Hooned-Soojus'!$C:$X,2+$C53,FALSE),0)+IF(K$6="X",VLOOKUP(K$10,'VK-Transport'!$C:$X,2+$B53,0))+IF(K$8="X",VLOOKUP(K$10,'VK-Elekter'!$C:$X,2+$D53,0))+IF(K$9="X",VLOOKUP(K$10,'VK-Biokütused'!$C:$U,2+$E53,0))+IF(K$5="X",VLOOKUP(K$10,'VK-Põlevkivi'!$C:$X,2+$G53,0))+IF(K$4="X",VLOOKUP(K$10,'VK-Võrgud'!$C:$X,2+$F53,0))</f>
        <v>13.780000000000001</v>
      </c>
      <c r="L53" s="209">
        <f>IF(L$7="X",VLOOKUP(L$10,'VK-Hooned-Soojus'!$C:$X,2+$C53,FALSE),0)+IF(L$6="X",VLOOKUP(L$10,'VK-Transport'!$C:$X,2+$B53,0))+IF(L$8="X",VLOOKUP(L$10,'VK-Elekter'!$C:$X,2+$D53,0))+IF(L$9="X",VLOOKUP(L$10,'VK-Biokütused'!$C:$U,2+$E53,0))+IF(L$5="X",VLOOKUP(L$10,'VK-Põlevkivi'!$C:$X,2+$G53,0))+IF(L$4="X",VLOOKUP(L$10,'VK-Võrgud'!$C:$X,2+$F53,0))</f>
        <v>23.75</v>
      </c>
      <c r="M53" s="209">
        <f>IF(M$7="X",VLOOKUP(M$10,'VK-Hooned-Soojus'!$C:$X,2+$C53,FALSE),0)+IF(M$6="X",VLOOKUP(M$10,'VK-Transport'!$C:$X,2+$B53,0))+IF(M$8="X",VLOOKUP(M$10,'VK-Elekter'!$C:$X,2+$D53,0))+IF(M$9="X",VLOOKUP(M$10,'VK-Biokütused'!$C:$U,2+$E53,0))+IF(M$5="X",VLOOKUP(M$10,'VK-Põlevkivi'!$C:$X,2+$G53,0))+IF(M$4="X",VLOOKUP(M$10,'VK-Võrgud'!$C:$X,2+$F53,0))</f>
        <v>11.289444444444445</v>
      </c>
      <c r="N53" s="209">
        <f>IF(N$7="X",VLOOKUP(N$10,'VK-Hooned-Soojus'!$C:$X,2+$C53,FALSE),0)+IF(N$6="X",VLOOKUP(N$10,'VK-Transport'!$C:$X,2+$B53,0))+IF(N$8="X",VLOOKUP(N$10,'VK-Elekter'!$C:$X,2+$D53,0))+IF(N$9="X",VLOOKUP(N$10,'VK-Biokütused'!$C:$U,2+$E53,0))+IF(N$5="X",VLOOKUP(N$10,'VK-Põlevkivi'!$C:$X,2+$G53,0))+IF(N$4="X",VLOOKUP(N$10,'VK-Võrgud'!$C:$X,2+$F53,0))</f>
        <v>15.25</v>
      </c>
      <c r="O53" s="209">
        <f t="shared" si="13"/>
        <v>36.785833333333336</v>
      </c>
      <c r="P53" s="209"/>
      <c r="Q53" s="209">
        <f>(IF(Q$7="X",VLOOKUP(Q$10,'VK-Hooned-Soojus'!$C:$X,2+$C53,FALSE),0)+IF(Q$6="X",VLOOKUP(Q$10,'VK-Transport'!$C:$X,2+$B53,0))+IF(Q$8="X",VLOOKUP(Q$10,'VK-Elekter'!$C:$X,2+$D53,0))+IF(Q$9="X",VLOOKUP(Q$10,'VK-Biokütused'!$C:$U,2+$E53,0))+IF(Q$5="X",VLOOKUP(Q$10,'VK-Põlevkivi'!$C:$X,2+$G53,0))+IF(Q$4="X",VLOOKUP(Q$10,'VK-Võrgud'!$C:$X,2+$F53,0)))/1000</f>
        <v>5.9039999999999999</v>
      </c>
      <c r="R53" s="209">
        <f>(IF(R$7="X",VLOOKUP(R$10,'VK-Hooned-Soojus'!$C:$X,2+$C53,FALSE),0)+IF(R$6="X",VLOOKUP(R$10,'VK-Transport'!$C:$X,2+$B53,0))+IF(R$8="X",VLOOKUP(R$10,'VK-Elekter'!$C:$X,2+$D53,0))+IF(R$9="X",VLOOKUP(R$10,'VK-Biokütused'!$C:$U,2+$E53,0))+IF(R$5="X",VLOOKUP(R$10,'VK-Põlevkivi'!$C:$X,2+$G53,0))+IF(R$4="X",VLOOKUP(R$10,'VK-Võrgud'!$C:$X,2+$F53,0)))/1000</f>
        <v>2.9976368215830602</v>
      </c>
      <c r="S53" s="226">
        <f>VLOOKUP(S$10,'VK-Hooned-Soojus'!$C:$I,2+$C53,FALSE) + VLOOKUP(S$10,'VK-Transport'!$C:$I,2+$B53,FALSE)+ VLOOKUP(S$10,'VK-Biokütused'!$C:$G,2+$E53,FALSE)+ VLOOKUP(S$10,'VK-Elekter'!$C:$I,2+$D53,FALSE)+ VLOOKUP(S$10,'VK-Põlevkivi'!$C:$I,2+$G53,FALSE)+ VLOOKUP(S$10,'VK-Võrgud'!$C:$I,2+$F53,FALSE)</f>
        <v>2.0825038977317873E-2</v>
      </c>
      <c r="T53" s="226">
        <f>VLOOKUP(T$10,'VK-Hooned-Soojus'!$C:$I,2+$C53,FALSE) + VLOOKUP(T$10,'VK-Transport'!$C:$I,2+$B53,FALSE)+ VLOOKUP(T$10,'VK-Biokütused'!$C:$G,2+$E53,FALSE)+ VLOOKUP(T$10,'VK-Elekter'!$C:$I,2+$D53,FALSE)+ VLOOKUP(T$10,'VK-Põlevkivi'!$C:$I,2+$G53,FALSE)+ VLOOKUP(T$10,'VK-Võrgud'!$C:$I,2+$F53,FALSE)</f>
        <v>3.4735933360016073E-3</v>
      </c>
      <c r="U53" s="226">
        <f>VLOOKUP(U$10,'VK-Hooned-Soojus'!$C:$I,2+$C53,FALSE) + VLOOKUP(U$10,'VK-Transport'!$C:$I,2+$B53,FALSE)+ VLOOKUP(U$10,'VK-Biokütused'!$C:$G,2+$E53,FALSE)+ VLOOKUP(U$10,'VK-Elekter'!$C:$I,2+$D53,FALSE)+ VLOOKUP(U$10,'VK-Põlevkivi'!$C:$I,2+$G53,FALSE)+ VLOOKUP(U$10,'VK-Võrgud'!$C:$I,2+$F53,FALSE)</f>
        <v>6.2812956822676791E-3</v>
      </c>
      <c r="V53" s="226">
        <f>VLOOKUP(V$10,'VK-Hooned-Soojus'!$C:$I,2+$C53,FALSE) + VLOOKUP(V$10,'VK-Transport'!$C:$I,2+$B53,FALSE)+ VLOOKUP(V$10,'VK-Biokütused'!$C:$G,2+$E53,FALSE)+ VLOOKUP(V$10,'VK-Elekter'!$C:$I,2+$D53,FALSE)+ VLOOKUP(V$10,'VK-Põlevkivi'!$C:$I,2+$G53,FALSE)+ VLOOKUP(V$10,'VK-Võrgud'!$C:$I,2+$F53,FALSE)</f>
        <v>1.4858780472795987E-2</v>
      </c>
      <c r="W53" s="226">
        <f>VLOOKUP(W$10,'VK-Hooned-Soojus'!$C:$I,2+$C53,FALSE) + VLOOKUP(W$10,'VK-Transport'!$C:$I,2+$B53,FALSE)+ VLOOKUP(W$10,'VK-Biokütused'!$C:$G,2+$E53,FALSE)+ VLOOKUP(W$10,'VK-Elekter'!$C:$I,2+$D53,FALSE)+ VLOOKUP(W$10,'VK-Põlevkivi'!$C:$I,2+$G53,FALSE)+ VLOOKUP(W$10,'VK-Võrgud'!$C:$I,2+$F53,FALSE)</f>
        <v>-1.1750027993583189E-2</v>
      </c>
      <c r="X53" s="226">
        <f>VLOOKUP(X$10,'VK-Hooned-Soojus'!$C:$I,2+$C53,FALSE) + VLOOKUP(X$10,'VK-Transport'!$C:$I,2+$B53,FALSE)+ VLOOKUP(X$10,'VK-Biokütused'!$C:$G,2+$E53,FALSE)+ VLOOKUP(X$10,'VK-Elekter'!$C:$I,2+$D53,FALSE)+ VLOOKUP(X$10,'VK-Põlevkivi'!$C:$I,2+$G53,FALSE)+ VLOOKUP(X$10,'VK-Võrgud'!$C:$I,2+$F53,FALSE)</f>
        <v>6.9525406445097554E-2</v>
      </c>
      <c r="Y53" s="226">
        <f>VLOOKUP(Y$10,'VK-Hooned-Soojus'!$C:$I,2+$C53,FALSE) + VLOOKUP(Y$10,'VK-Transport'!$C:$I,2+$B53,FALSE)+ VLOOKUP(Y$10,'VK-Biokütused'!$C:$G,2+$E53,FALSE)+ VLOOKUP(Y$10,'VK-Elekter'!$C:$I,2+$D53,FALSE)+ VLOOKUP(Y$10,'VK-Põlevkivi'!$C:$I,2+$G53,FALSE)+ VLOOKUP(Y$10,'VK-Võrgud'!$C:$I,2+$F53,FALSE)</f>
        <v>6.1657269177901562E-2</v>
      </c>
      <c r="Z53" s="227">
        <f>(S53*Tulemused!$Q$9*10+T53*Tulemused!$Q$10*10+KOMBI!U53*Tulemused!$Q$11*10+KOMBI!V53*Tulemused!$Q$12*10)*Tulemused!$Q$8+-(W53*Tulemused!$Q$14*10+KOMBI!X53*Tulemused!$Q$15*10+KOMBI!Y53*Tulemused!$Q$16*10)*Tulemused!$Q$13</f>
        <v>2.8407297028045986</v>
      </c>
      <c r="AA53" s="228">
        <f>(IF(AA$7="X",VLOOKUP(AA$10,'VK-Hooned-Soojus'!$C:$X,2+$C53,FALSE),0)+IF(AA$6="X",VLOOKUP(AA$10,'VK-Transport'!$C:$X,2+$B53,0))+IF(AA$8="X",VLOOKUP(AA$10,'VK-Elekter'!$C:$X,2+$D53,0))+IF(AA$9="X",VLOOKUP(AA$10,'VK-Biokütused'!$C:$U,2+$E53,0))+IF(AA$5="X",VLOOKUP(AA$10,'VK-Põlevkivi'!$C:$X,2+$G53,0))+IF(AA$4="X",VLOOKUP(AA$10,'VK-Võrgud'!$C:$X,2+$F53,0)))</f>
        <v>4727</v>
      </c>
      <c r="AB53" s="228">
        <f>(IF(AB$7="X",VLOOKUP(AB$10,'VK-Hooned-Soojus'!$C:$X,2+$C53,FALSE),0)+IF(AB$6="X",VLOOKUP(AB$10,'VK-Transport'!$C:$X,2+$B53,0))+IF(AB$8="X",VLOOKUP(AB$10,'VK-Elekter'!$C:$X,2+$D53,0))+IF(AB$9="X",VLOOKUP(AB$10,'VK-Biokütused'!$C:$U,2+$E53,0))+IF(AB$5="X",VLOOKUP(AB$10,'VK-Põlevkivi'!$C:$X,2+$G53,0))+IF(AB$4="X",VLOOKUP(AB$10,'VK-Võrgud'!$C:$X,2+$F53,0)))</f>
        <v>1177</v>
      </c>
      <c r="AC53" s="228">
        <f>(IF(AC$7="X",VLOOKUP(AC$10,'VK-Hooned-Soojus'!$C:$X,2+$C53,FALSE),0)+IF(AC$6="X",VLOOKUP(AC$10,'VK-Transport'!$C:$X,2+$B53,0))+IF(AC$8="X",VLOOKUP(AC$10,'VK-Elekter'!$C:$X,2+$D53,0))+IF(AC$9="X",VLOOKUP(AC$10,'VK-Biokütused'!$C:$U,2+$E53,0))+IF(AC$5="X",VLOOKUP(AC$10,'VK-Põlevkivi'!$C:$X,2+$G53,0))+IF(AC$4="X",VLOOKUP(AC$10,'VK-Võrgud'!$C:$X,2+$F53,0)))</f>
        <v>2346</v>
      </c>
      <c r="AD53" s="228">
        <f>(IF(AD$7="X",VLOOKUP(AD$10,'VK-Hooned-Soojus'!$C:$X,2+$C53,FALSE),0)+IF(AD$6="X",VLOOKUP(AD$10,'VK-Transport'!$C:$X,2+$B53,0))+IF(AD$8="X",VLOOKUP(AD$10,'VK-Elekter'!$C:$X,2+$D53,0))+IF(AD$9="X",VLOOKUP(AD$10,'VK-Biokütused'!$C:$U,2+$E53,0))+IF(AD$5="X",VLOOKUP(AD$10,'VK-Põlevkivi'!$C:$X,2+$G53,0))+IF(AD$4="X",VLOOKUP(AD$10,'VK-Võrgud'!$C:$X,2+$F53,0)))</f>
        <v>0</v>
      </c>
      <c r="AE53" s="228">
        <f>(IF(AE$7="X",VLOOKUP(AE$10,'VK-Hooned-Soojus'!$C:$X,2+$C53,FALSE),0)+IF(AE$6="X",VLOOKUP(AE$10,'VK-Transport'!$C:$X,2+$B53,0))+IF(AE$8="X",VLOOKUP(AE$10,'VK-Elekter'!$C:$X,2+$D53,0))+IF(AE$9="X",VLOOKUP(AE$10,'VK-Biokütused'!$C:$U,2+$E53,0))+IF(AE$5="X",VLOOKUP(AE$10,'VK-Põlevkivi'!$C:$X,2+$G53,0))+IF(AE$4="X",VLOOKUP(AE$10,'VK-Võrgud'!$C:$X,2+$F53,0)))</f>
        <v>507</v>
      </c>
      <c r="AF53" s="228">
        <f>(IF(AF$7="X",VLOOKUP(AF$10,'VK-Hooned-Soojus'!$C:$X,2+$C53,FALSE),0)+IF(AF$6="X",VLOOKUP(AF$10,'VK-Transport'!$C:$X,2+$B53,0))+IF(AF$8="X",VLOOKUP(AF$10,'VK-Elekter'!$C:$X,2+$D53,0))+IF(AF$9="X",VLOOKUP(AF$10,'VK-Biokütused'!$C:$U,2+$E53,0))+IF(AF$5="X",VLOOKUP(AF$10,'VK-Põlevkivi'!$C:$X,2+$G53,0))+IF(AF$4="X",VLOOKUP(AF$10,'VK-Võrgud'!$C:$X,2+$F53,0)))</f>
        <v>2490.6368215830603</v>
      </c>
      <c r="AG53" s="209"/>
      <c r="AH53" s="209">
        <f>IF(AH$7="X",VLOOKUP(AH$10,'VK-Hooned-Soojus'!$C:$X,2+$C53,FALSE),0)+IF(AH$6="X",VLOOKUP(AH$10,'VK-Transport'!$C:$X,2+$B53,0))+IF(AH$8="X",VLOOKUP(AH$10,'VK-Elekter'!$C:$X,2+$D53,0))+IF(AH$9="X",VLOOKUP(AH$10,'VK-Biokütused'!$C:$U,2+$E53,0))+IF(AH$5="X",VLOOKUP(AH$10,'VK-Põlevkivi'!$C:$X,2+$G53,0))+IF(AH$4="X",VLOOKUP(AH$10,'VK-Võrgud'!$C:$X,2+$F53,0))</f>
        <v>17.400000000000002</v>
      </c>
      <c r="AI53" s="209">
        <f>IF(AI$7="X",VLOOKUP(AI$10,'VK-Hooned-Soojus'!$C:$X,2+$C53,FALSE),0)+IF(AI$6="X",VLOOKUP(AI$10,'VK-Transport'!$C:$X,2+$B53,0))+IF(AI$8="X",VLOOKUP(AI$10,'VK-Elekter'!$C:$X,2+$D53,0))+IF(AI$9="X",VLOOKUP(AI$10,'VK-Biokütused'!$C:$U,2+$E53,0))+IF(AI$5="X",VLOOKUP(AI$10,'VK-Põlevkivi'!$C:$X,2+$G53,0))+IF(AI$4="X",VLOOKUP(AI$10,'VK-Võrgud'!$C:$X,2+$F53,0))</f>
        <v>2.3100000000000005</v>
      </c>
      <c r="AJ53" s="209">
        <f>IF(AJ$7="X",VLOOKUP(AJ$10,'VK-Hooned-Soojus'!$C:$X,2+$C53,FALSE),0)+IF(AJ$6="X",VLOOKUP(AJ$10,'VK-Transport'!$C:$X,2+$B53,0))+IF(AJ$8="X",VLOOKUP(AJ$10,'VK-Elekter'!$C:$X,2+$D53,0))+IF(AJ$9="X",VLOOKUP(AJ$10,'VK-Biokütused'!$C:$U,2+$E53,0))+IF(AJ$5="X",VLOOKUP(AJ$10,'VK-Põlevkivi'!$C:$X,2+$G53,0))+IF(AJ$4="X",VLOOKUP(AJ$10,'VK-Võrgud'!$C:$X,2+$F53,0))</f>
        <v>4.59</v>
      </c>
      <c r="AK53" s="209">
        <f>IF(AK$7="X",VLOOKUP(AK$10,'VK-Hooned-Soojus'!$C:$X,2+$C53,FALSE),0)+IF(AK$6="X",VLOOKUP(AK$10,'VK-Transport'!$C:$X,2+$B53,0))+IF(AK$8="X",VLOOKUP(AK$10,'VK-Elekter'!$C:$X,2+$D53,0))+IF(AK$9="X",VLOOKUP(AK$10,'VK-Biokütused'!$C:$U,2+$E53,0))+IF(AK$5="X",VLOOKUP(AK$10,'VK-Põlevkivi'!$C:$X,2+$G53,0))+IF(AK$4="X",VLOOKUP(AK$10,'VK-Võrgud'!$C:$X,2+$F53,0))</f>
        <v>-0.41</v>
      </c>
      <c r="AL53" s="209">
        <f>IF(AL$7="X",VLOOKUP(AL$10,'VK-Hooned-Soojus'!$C:$X,2+$C53,FALSE),0)+IF(AL$6="X",VLOOKUP(AL$10,'VK-Transport'!$C:$X,2+$B53,0))+IF(AL$8="X",VLOOKUP(AL$10,'VK-Elekter'!$C:$X,2+$D53,0))+IF(AL$9="X",VLOOKUP(AL$10,'VK-Biokütused'!$C:$U,2+$E53,0))+IF(AL$5="X",VLOOKUP(AL$10,'VK-Põlevkivi'!$C:$X,2+$G53,0))+IF(AL$4="X",VLOOKUP(AL$10,'VK-Võrgud'!$C:$X,2+$F53,0))</f>
        <v>7.1</v>
      </c>
      <c r="AM53" s="209">
        <f>IF(AM$7="X",VLOOKUP(AM$10,'VK-Hooned-Soojus'!$C:$X,2+$C53,FALSE),0)+IF(AM$6="X",VLOOKUP(AM$10,'VK-Transport'!$C:$X,2+$B53,0))+IF(AM$8="X",VLOOKUP(AM$10,'VK-Elekter'!$C:$X,2+$D53,0))+IF(AM$9="X",VLOOKUP(AM$10,'VK-Biokütused'!$C:$U,2+$E53,0))+IF(AM$5="X",VLOOKUP(AM$10,'VK-Põlevkivi'!$C:$X,2+$G53,0))+IF(AM$4="X",VLOOKUP(AM$10,'VK-Võrgud'!$C:$X,2+$F53,0))</f>
        <v>11.5</v>
      </c>
      <c r="AN53" s="209">
        <f>IF(AN$7="X",VLOOKUP(AN$10,'VK-Hooned-Soojus'!$C:$X,2+$C53,FALSE),0)+IF(AN$6="X",VLOOKUP(AN$10,'VK-Transport'!$C:$X,2+$B53,0))+IF(AN$8="X",VLOOKUP(AN$10,'VK-Elekter'!$C:$X,2+$D53,0))+IF(AN$9="X",VLOOKUP(AN$10,'VK-Biokütused'!$C:$U,2+$E53,0))+IF(AN$5="X",VLOOKUP(AN$10,'VK-Põlevkivi'!$C:$X,2+$G53,0))+IF(AN$4="X",VLOOKUP(AN$10,'VK-Võrgud'!$C:$X,2+$F53,0))</f>
        <v>4.0999999999999996</v>
      </c>
      <c r="AO53" s="209">
        <f>IF(AO$7="X",VLOOKUP(AO$10,'VK-Hooned-Soojus'!$C:$X,2+$C53,FALSE),0)+IF(AO$6="X",VLOOKUP(AO$10,'VK-Transport'!$C:$X,2+$B53,0))+IF(AO$8="X",VLOOKUP(AO$10,'VK-Elekter'!$C:$X,2+$D53,0))+IF(AO$9="X",VLOOKUP(AO$10,'VK-Biokütused'!$C:$U,2+$E53,0))+IF(AO$5="X",VLOOKUP(AO$10,'VK-Põlevkivi'!$C:$X,2+$G53,0))+IF(AO$4="X",VLOOKUP(AO$10,'VK-Võrgud'!$C:$X,2+$F53,0))</f>
        <v>12.16</v>
      </c>
      <c r="AP53" s="209">
        <f>IF(AP$7="X",VLOOKUP(AP$10,'VK-Hooned-Soojus'!$C:$X,2+$C53,FALSE),0)+IF(AP$6="X",VLOOKUP(AP$10,'VK-Transport'!$C:$X,2+$B53,0))+IF(AP$8="X",VLOOKUP(AP$10,'VK-Elekter'!$C:$X,2+$D53,0))+IF(AP$9="X",VLOOKUP(AP$10,'VK-Biokütused'!$C:$U,2+$E53,0))+IF(AP$5="X",VLOOKUP(AP$10,'VK-Põlevkivi'!$C:$X,2+$G53,0))+IF(AP$4="X",VLOOKUP(AP$10,'VK-Võrgud'!$C:$X,2+$F53,0))</f>
        <v>6.08</v>
      </c>
      <c r="AQ53" s="320">
        <f t="shared" si="14"/>
        <v>0</v>
      </c>
      <c r="AR53" s="209">
        <f>IF(AR$7="X",VLOOKUP(AR$10,'VK-Hooned-Soojus'!$C:$X,2+$C53,FALSE),0)+IF(AR$6="X",VLOOKUP(AR$10,'VK-Transport'!$C:$X,2+$B53,0))+IF(AR$8="X",VLOOKUP(AR$10,'VK-Elekter'!$C:$X,2+$D53,0))+IF(AR$9="X",VLOOKUP(AR$10,'VK-Biokütused'!$C:$U,2+$E53,0))+IF(AR$5="X",VLOOKUP(AR$10,'VK-Põlevkivi'!$C:$X,2+$G53,0))+IF(AR$4="X",VLOOKUP(AR$10,'VK-Võrgud'!$C:$X,2+$F53,0))</f>
        <v>12.809999999999999</v>
      </c>
      <c r="AS53" s="235">
        <f>'VK-Põlevkivi'!$F$8-AR53-AU53</f>
        <v>14.298622986547709</v>
      </c>
      <c r="AT53" s="209">
        <f>IF(AT$7="X",VLOOKUP(AT$10,'VK-Hooned-Soojus'!$C:$X,2+$C53,FALSE),0)+IF(AT$6="X",VLOOKUP(AT$10,'VK-Transport'!$C:$X,2+$B53,0))+IF(AT$8="X",VLOOKUP(AT$10,'VK-Elekter'!$C:$X,2+$D53,0))+IF(AT$9="X",VLOOKUP(AT$10,'VK-Biokütused'!$C:$U,2+$E53,0))+IF(AT$5="X",VLOOKUP(AT$10,'VK-Põlevkivi'!$C:$X,2+$G53,0))+IF(AT$4="X",VLOOKUP(AT$10,'VK-Võrgud'!$C:$X,2+$F53,0))</f>
        <v>12.004929222526066</v>
      </c>
      <c r="AU53" s="235">
        <f>'VK-Põlevkivi'!$F$9-VLOOKUP("Kütuste tarbimine @ 2030 - PÕLEVKIVIÕLI",'VK-Hooned-Soojus'!$C:$X,2+$C53,FALSE)</f>
        <v>29.428043680118964</v>
      </c>
      <c r="AV53" s="209">
        <f>IF(AV$7="X",VLOOKUP(AV$10,'VK-Hooned-Soojus'!$C:$X,2+$C53,FALSE),0)+IF(AV$6="X",VLOOKUP(AV$10,'VK-Transport'!$C:$X,2+$B53,0))+IF(AV$8="X",VLOOKUP(AV$10,'VK-Elekter'!$C:$X,2+$D53,0))+IF(AV$9="X",VLOOKUP(AV$10,'VK-Biokütused'!$C:$U,2+$E53,0))+IF(AV$5="X",VLOOKUP(AV$10,'VK-Põlevkivi'!$C:$X,2+$G53,0))+IF(AV$4="X",VLOOKUP(AV$10,'VK-Võrgud'!$C:$X,2+$F53,0))</f>
        <v>1.1831224847375093</v>
      </c>
      <c r="AW53" s="209">
        <f>IF(AW$7="X",VLOOKUP(AW$10,'VK-Hooned-Soojus'!$C:$X,2+$C53,FALSE),0)+IF(AW$6="X",VLOOKUP(AW$10,'VK-Transport'!$C:$X,2+$B53,0))+IF(AW$8="X",VLOOKUP(AW$10,'VK-Elekter'!$C:$X,2+$D53,0))+IF(AW$9="X",VLOOKUP(AW$10,'VK-Biokütused'!$C:$U,2+$E53,0))+IF(AW$5="X",VLOOKUP(AW$10,'VK-Põlevkivi'!$C:$X,2+$G53,0))+IF(AW$4="X",VLOOKUP(AW$10,'VK-Võrgud'!$C:$X,2+$F53,0))</f>
        <v>0</v>
      </c>
      <c r="AX53" s="229">
        <f t="shared" si="34"/>
        <v>0</v>
      </c>
      <c r="AY53" s="229">
        <f t="shared" si="15"/>
        <v>1.1831224847375093</v>
      </c>
      <c r="AZ53" s="230">
        <f t="shared" si="36"/>
        <v>0.3467385639430251</v>
      </c>
      <c r="BA53" s="209">
        <f>IF(BA$7="X",VLOOKUP(BA$10,'VK-Hooned-Soojus'!$C:$X,2+$C53,FALSE),0)+IF(BA$6="X",VLOOKUP(BA$10,'VK-Transport'!$C:$X,2+$B53,0))+IF(BA$8="X",VLOOKUP(BA$10,'VK-Elekter'!$C:$X,2+$D53,0))+IF(BA$9="X",VLOOKUP(BA$10,'VK-Biokütused'!$C:$U,2+$E53,0))+IF(BA$5="X",VLOOKUP(BA$10,'VK-Põlevkivi'!$C:$X,2+$G53,0))+IF(BA$4="X",VLOOKUP(BA$10,'VK-Võrgud'!$C:$X,2+$F53,0))</f>
        <v>7.41</v>
      </c>
      <c r="BB53" s="209">
        <f>IF(BB$7="X",VLOOKUP(BB$10,'VK-Hooned-Soojus'!$C:$X,2+$C53,FALSE),0)+IF(BB$6="X",VLOOKUP(BB$10,'VK-Transport'!$C:$X,2+$B53,0))+IF(BB$8="X",VLOOKUP(BB$10,'VK-Elekter'!$C:$X,2+$D53,0))+IF(BB$9="X",VLOOKUP(BB$10,'VK-Biokütused'!$C:$U,2+$E53,0))+IF(BB$5="X",VLOOKUP(BB$10,'VK-Põlevkivi'!$C:$X,2+$G53,0))+IF(BB$4="X",VLOOKUP(BB$10,'VK-Võrgud'!$C:$X,2+$F53,0))</f>
        <v>2.96</v>
      </c>
      <c r="BC53" s="209">
        <f>IF(BC$7="X",VLOOKUP(BC$10,'VK-Hooned-Soojus'!$C:$X,2+$C53,FALSE),0)+IF(BC$6="X",VLOOKUP(BC$10,'VK-Transport'!$C:$X,2+$B53,0))+IF(BC$8="X",VLOOKUP(BC$10,'VK-Elekter'!$C:$X,2+$D53,0))+IF(BC$9="X",VLOOKUP(BC$10,'VK-Biokütused'!$C:$U,2+$E53,0))+IF(BC$5="X",VLOOKUP(BC$10,'VK-Põlevkivi'!$C:$X,2+$G53,0))+IF(BC$4="X",VLOOKUP(BC$10,'VK-Võrgud'!$C:$X,2+$F53,0))</f>
        <v>5.2376666666666667</v>
      </c>
      <c r="BD53" s="209">
        <f>IF(BD$7="X",VLOOKUP(BD$10,'VK-Hooned-Soojus'!$C:$X,2+$C53,FALSE),0)+IF(BD$6="X",VLOOKUP(BD$10,'VK-Transport'!$C:$X,2+$B53,0))+IF(BD$8="X",VLOOKUP(BD$10,'VK-Elekter'!$C:$X,2+$D53,0))+IF(BD$9="X",VLOOKUP(BD$10,'VK-Biokütused'!$C:$U,2+$E53,0))+IF(BD$5="X",VLOOKUP(BD$10,'VK-Põlevkivi'!$C:$X,2+$G53,0))+IF(BD$4="X",VLOOKUP(BD$10,'VK-Võrgud'!$C:$X,2+$F53,0))</f>
        <v>9.1105555555555569</v>
      </c>
      <c r="BE53" s="230"/>
      <c r="BF53" s="229">
        <f t="shared" si="16"/>
        <v>0.2376214220964559</v>
      </c>
      <c r="BG53" s="209" t="e">
        <f>(IF(BG$7="X",VLOOKUP(BG$10,'VK-Hooned-Soojus'!$C:$X,2+$C53,FALSE),0)+IF(BG$6="X",VLOOKUP(BG$10,'VK-Transport'!$C:$X,2+$B53,0))+IF(BG$8="X",VLOOKUP(BG$10,'VK-Elekter'!$C:$X,2+$D53,0))+IF(BG$9="X",VLOOKUP(BG$10,'VK-Biokütused'!$C:$U,2+$E53,0))+IF(BG$5="X",VLOOKUP(BG$10,'VK-Põlevkivi'!$C:$X,2+$G53,0))+IF(BG$4="X",VLOOKUP(BG$10,'VK-Võrgud'!$C:$X,2+$F53,0)))/20</f>
        <v>#N/A</v>
      </c>
      <c r="BH53" s="209">
        <f>(IF(BH$7="X",VLOOKUP(BH$10,'VK-Hooned-Soojus'!$C:$X,2+$C53,FALSE),0)+IF(BH$6="X",VLOOKUP(BH$10,'VK-Transport'!$C:$X,2+$B53,0))+IF(BH$8="X",VLOOKUP(BH$10,'VK-Elekter'!$C:$X,2+$D53,0))+IF(BH$9="X",VLOOKUP(BH$10,'VK-Biokütused'!$C:$U,2+$E53,0))+IF(BH$5="X",VLOOKUP(BH$10,'VK-Põlevkivi'!$C:$X,2+$G53,0))+IF(BH$4="X",VLOOKUP(BH$10,'VK-Võrgud'!$C:$X,2+$F53,0)))/20</f>
        <v>84.204999999999998</v>
      </c>
      <c r="BI53" s="209">
        <f>(IF(BI$7="X",VLOOKUP(BI$10,'VK-Hooned-Soojus'!$C:$X,2+$C53,FALSE),0)+IF(BI$6="X",VLOOKUP(BI$10,'VK-Transport'!$C:$X,2+$B53,0))+IF(BI$8="X",VLOOKUP(BI$10,'VK-Elekter'!$C:$X,2+$D53,0))+IF(BI$9="X",VLOOKUP(BI$10,'VK-Biokütused'!$C:$U,2+$E53,0))+IF(BI$5="X",VLOOKUP(BI$10,'VK-Põlevkivi'!$C:$X,2+$G53,0))+IF(BI$4="X",VLOOKUP(BI$10,'VK-Võrgud'!$C:$X,2+$F53,0)))/16</f>
        <v>8.9375</v>
      </c>
      <c r="BJ53" s="209">
        <f>(IF(BJ$7="X",VLOOKUP(BJ$10,'VK-Hooned-Soojus'!$C:$X,2+$C53,FALSE),0)+IF(BJ$6="X",VLOOKUP(BJ$10,'VK-Transport'!$C:$X,2+$B53,0))+IF(BJ$8="X",VLOOKUP(BJ$10,'VK-Elekter'!$C:$X,2+$D53,0))+IF(BJ$9="X",VLOOKUP(BJ$10,'VK-Biokütused'!$C:$U,2+$E53,0))+IF(BJ$5="X",VLOOKUP(BJ$10,'VK-Põlevkivi'!$C:$X,2+$G53,0))+IF(BJ$4="X",VLOOKUP(BJ$10,'VK-Võrgud'!$C:$X,2+$F53,0)))/20</f>
        <v>5.33</v>
      </c>
      <c r="BK53" s="209"/>
      <c r="BL53" s="209"/>
      <c r="BM53" s="209"/>
      <c r="BN53" s="209" t="e">
        <f>(IF(BN$7="X",VLOOKUP(BN$10,'VK-Hooned-Soojus'!$C:$X,2+$C53,FALSE),0)+IF(BN$6="X",VLOOKUP(BN$10,'VK-Transport'!$C:$X,2+$B53,0))+IF(BN$8="X",VLOOKUP(BN$10,'VK-Elekter'!$C:$X,2+$D53,0))+IF(BN$9="X",VLOOKUP(BN$10,'VK-Biokütused'!$C:$U,2+$E53,0))+IF(BN$5="X",VLOOKUP(BN$10,'VK-Põlevkivi'!$C:$X,2+$G53,0))+IF(BN$4="X",VLOOKUP(BN$10,'VK-Võrgud'!$C:$X,2+$F53,0)))/16</f>
        <v>#N/A</v>
      </c>
      <c r="BO53" s="209">
        <f>(IF(BO$7="X",VLOOKUP(BO$10,'VK-Hooned-Soojus'!$C:$X,2+$C53,FALSE),0)+IF(BO$6="X",VLOOKUP(BO$10,'VK-Transport'!$C:$X,2+$B53,0))+IF(BO$8="X",VLOOKUP(BO$10,'VK-Elekter'!$C:$X,2+$D53,0))+IF(BO$9="X",VLOOKUP(BO$10,'VK-Biokütused'!$C:$U,2+$E53,0))+IF(BO$5="X",VLOOKUP(BO$10,'VK-Põlevkivi'!$C:$X,2+$G53,0))+IF(BO$4="X",VLOOKUP(BO$10,'VK-Võrgud'!$C:$X,2+$F53,0)))/16</f>
        <v>496.33125000000001</v>
      </c>
      <c r="BP53" s="209"/>
      <c r="BQ53" s="209">
        <f>(IF(BQ$7="X",VLOOKUP(BQ$10,'VK-Hooned-Soojus'!$C:$X,2+$C53,FALSE),0)+IF(BQ$6="X",VLOOKUP(BQ$10,'VK-Transport'!$C:$X,2+$B53,0))+IF(BQ$8="X",VLOOKUP(BQ$10,'VK-Elekter'!$C:$X,2+$D53,0))+IF(BQ$9="X",VLOOKUP(BQ$10,'VK-Biokütused'!$C:$U,2+$E53,0))+IF(BQ$5="X",VLOOKUP(BQ$10,'VK-Põlevkivi'!$C:$X,2+$G53,0))+IF(BQ$4="X",VLOOKUP(BQ$10,'VK-Võrgud'!$C:$X,2+$F53,0)))/16</f>
        <v>4.7249999999999996</v>
      </c>
      <c r="BR53" s="209">
        <f>(IF(BR$7="X",VLOOKUP(BR$10,'VK-Hooned-Soojus'!$C:$X,2+$C53,FALSE),0)+IF(BR$6="X",VLOOKUP(BR$10,'VK-Transport'!$C:$X,2+$B53,0))+IF(BR$8="X",VLOOKUP(BR$10,'VK-Elekter'!$C:$X,2+$D53,0))+IF(BR$9="X",VLOOKUP(BR$10,'VK-Biokütused'!$C:$U,2+$E53,0))+IF(BR$5="X",VLOOKUP(BR$10,'VK-Põlevkivi'!$C:$X,2+$G53,0))+IF(BR$4="X",VLOOKUP(BR$10,'VK-Võrgud'!$C:$X,2+$F53,0)))/16</f>
        <v>-74.512500000000003</v>
      </c>
      <c r="BS53" s="209">
        <f>(IF(BS$7="X",VLOOKUP(BS$10,'VK-Hooned-Soojus'!$C:$X,2+$C53,FALSE),0)+IF(BS$6="X",VLOOKUP(BS$10,'VK-Transport'!$C:$X,2+$B53,0))+IF(BS$8="X",VLOOKUP(BS$10,'VK-Elekter'!$C:$X,2+$D53,0))+IF(BS$9="X",VLOOKUP(BS$10,'VK-Biokütused'!$C:$U,2+$E53,0))+IF(BS$5="X",VLOOKUP(BS$10,'VK-Põlevkivi'!$C:$X,2+$G53,0))+IF(BS$4="X",VLOOKUP(BS$10,'VK-Võrgud'!$C:$X,2+$F53,0)))/16</f>
        <v>-100.68125000000001</v>
      </c>
      <c r="BT53" s="209"/>
      <c r="BU53" s="209"/>
      <c r="BV53" s="209">
        <f>(IF(BV$7="X",VLOOKUP(BV$10,'VK-Hooned-Soojus'!$C:$X,2+$C53,FALSE),0)+IF(BV$6="X",VLOOKUP(BV$10,'VK-Transport'!$C:$X,2+$B53,0))+IF(BV$8="X",VLOOKUP(BV$10,'VK-Elekter'!$C:$X,2+$D53,0))+IF(BV$9="X",VLOOKUP(BV$10,'VK-Biokütused'!$C:$U,2+$E53,0))+IF(BV$5="X",VLOOKUP(BV$10,'VK-Põlevkivi'!$C:$X,2+$G53,0))+IF(BV$4="X",VLOOKUP(BV$10,'VK-Võrgud'!$C:$X,2+$F53,0)))/16</f>
        <v>0</v>
      </c>
      <c r="BW53" s="209"/>
      <c r="BX53" s="209">
        <f>(IF(BX$7="X",VLOOKUP(BX$10,'VK-Hooned-Soojus'!$C:$X,2+$C53,FALSE),0)+IF(BX$6="X",VLOOKUP(BX$10,'VK-Transport'!$C:$X,2+$B53,0))+IF(BX$8="X",VLOOKUP(BX$10,'VK-Elekter'!$C:$X,2+$D53,0))+IF(BX$9="X",VLOOKUP(BX$10,'VK-Biokütused'!$C:$U,2+$E53,0))+IF(BX$5="X",VLOOKUP(BX$10,'VK-Põlevkivi'!$C:$X,2+$G53,0))+IF(BX$4="X",VLOOKUP(BX$10,'VK-Võrgud'!$C:$X,2+$F53,0)))/16</f>
        <v>-145.125</v>
      </c>
      <c r="BY53" s="209"/>
      <c r="BZ53" s="209"/>
      <c r="CA53" s="209" t="e">
        <f>(IF(CA$7="X",VLOOKUP(CA$10,'VK-Hooned-Soojus'!$C:$X,2+$C53,FALSE),0)+IF(CA$6="X",VLOOKUP(CA$10,'VK-Transport'!$C:$X,2+$B53,0))+IF(CA$8="X",VLOOKUP(CA$10,'VK-Elekter'!$C:$X,2+$D53,0))+IF(CA$9="X",VLOOKUP(CA$10,'VK-Biokütused'!$C:$U,2+$E53,0))+IF(CA$5="X",VLOOKUP(CA$10,'VK-Põlevkivi'!$C:$X,2+$G53,0))+IF(CA$4="X",VLOOKUP(CA$10,'VK-Võrgud'!$C:$X,2+$F53,0)))/16</f>
        <v>#N/A</v>
      </c>
      <c r="CB53" s="209">
        <f>(IF(CB$7="X",VLOOKUP(CB$10,'VK-Hooned-Soojus'!$C:$X,2+$C53,FALSE),0)+IF(CB$6="X",VLOOKUP(CB$10,'VK-Transport'!$C:$X,2+$B53,0))+IF(CB$8="X",VLOOKUP(CB$10,'VK-Elekter'!$C:$X,2+$D53,0))+IF(CB$9="X",VLOOKUP(CB$10,'VK-Biokütused'!$C:$U,2+$E53,0))+IF(CB$5="X",VLOOKUP(CB$10,'VK-Põlevkivi'!$C:$X,2+$G53,0))+IF(CB$4="X",VLOOKUP(CB$10,'VK-Võrgud'!$C:$X,2+$F53,0)))/16</f>
        <v>0</v>
      </c>
      <c r="CC53" s="209">
        <f>(IF(CC$7="X",VLOOKUP(CC$10,'VK-Hooned-Soojus'!$C:$X,2+$C53,FALSE),0)+IF(CC$6="X",VLOOKUP(CC$10,'VK-Transport'!$C:$X,2+$B53,0))+IF(CC$8="X",VLOOKUP(CC$10,'VK-Elekter'!$C:$X,2+$D53,0))+IF(CC$9="X",VLOOKUP(CC$10,'VK-Biokütused'!$C:$U,2+$E53,0))+IF(CC$5="X",VLOOKUP(CC$10,'VK-Põlevkivi'!$C:$X,2+$G53,0))+IF(CC$4="X",VLOOKUP(CC$10,'VK-Võrgud'!$C:$X,2+$F53,0)))/16</f>
        <v>0</v>
      </c>
      <c r="CD53" s="209"/>
      <c r="CE53" s="209">
        <f>(IF(CE$7="X",VLOOKUP(CE$10,'VK-Hooned-Soojus'!$C:$X,2+$C53,FALSE),0)+IF(CE$6="X",VLOOKUP(CE$10,'VK-Transport'!$C:$X,2+$B53,0))+IF(CE$8="X",VLOOKUP(CE$10,'VK-Elekter'!$C:$X,2+$D53,0))+IF(CE$9="X",VLOOKUP(CE$10,'VK-Biokütused'!$C:$U,2+$E53,0))+IF(CE$5="X",VLOOKUP(CE$10,'VK-Põlevkivi'!$C:$X,2+$G53,0))+IF(CE$4="X",VLOOKUP(CE$10,'VK-Võrgud'!$C:$X,2+$F53,0)))/16</f>
        <v>24.15625</v>
      </c>
      <c r="CF53" s="209"/>
      <c r="CG53" s="209">
        <f>(IF(CG$7="X",VLOOKUP(CG$10,'VK-Hooned-Soojus'!$C:$X,2+$C53,FALSE),0)+IF(CG$6="X",VLOOKUP(CG$10,'VK-Transport'!$C:$X,2+$B53,0))+IF(CG$8="X",VLOOKUP(CG$10,'VK-Elekter'!$C:$X,2+$D53,0))+IF(CG$9="X",VLOOKUP(CG$10,'VK-Biokütused'!$C:$U,2+$E53,0))+IF(CG$5="X",VLOOKUP(CG$10,'VK-Põlevkivi'!$C:$X,2+$G53,0))+IF(CG$4="X",VLOOKUP(CG$10,'VK-Võrgud'!$C:$X,2+$F53,0)))/16</f>
        <v>0</v>
      </c>
      <c r="CH53" s="209">
        <f>(IF(CH$7="X",VLOOKUP(CH$10,'VK-Hooned-Soojus'!$C:$X,2+$C53,FALSE),0)+IF(CH$6="X",VLOOKUP(CH$10,'VK-Transport'!$C:$X,2+$B53,0))+IF(CH$8="X",VLOOKUP(CH$10,'VK-Elekter'!$C:$X,2+$D53,0))+IF(CH$9="X",VLOOKUP(CH$10,'VK-Biokütused'!$C:$U,2+$E53,0))+IF(CH$5="X",VLOOKUP(CH$10,'VK-Põlevkivi'!$C:$X,2+$G53,0))+IF(CH$4="X",VLOOKUP(CH$10,'VK-Võrgud'!$C:$X,2+$F53,0)))/20*0.21</f>
        <v>26.9178</v>
      </c>
      <c r="CI53" s="209"/>
      <c r="CJ53" s="209">
        <f>(IF(CJ$7="X",VLOOKUP(CJ$10,'VK-Hooned-Soojus'!$C:$X,2+$C53,FALSE),0)+IF(CJ$6="X",VLOOKUP(CJ$10,'VK-Transport'!$C:$X,2+$B53,0))+IF(CJ$8="X",VLOOKUP(CJ$10,'VK-Elekter'!$C:$X,2+$D53,0))+IF(CJ$9="X",VLOOKUP(CJ$10,'VK-Biokütused'!$C:$U,2+$E53,0))+IF(CJ$5="X",VLOOKUP(CJ$10,'VK-Põlevkivi'!$C:$X,2+$G53,0))+IF(CJ$4="X",VLOOKUP(CJ$10,'VK-Võrgud'!$C:$X,2+$F53,0)))/1000</f>
        <v>23.055</v>
      </c>
      <c r="CK53" s="209">
        <f>(IF(CK$7="X",VLOOKUP(CK$10,'VK-Hooned-Soojus'!$C:$X,2+$C53,FALSE),0)+IF(CK$6="X",VLOOKUP(CK$10,'VK-Transport'!$C:$X,2+$B53,0))+IF(CK$8="X",VLOOKUP(CK$10,'VK-Elekter'!$C:$X,2+$D53,0))+IF(CK$9="X",VLOOKUP(CK$10,'VK-Biokütused'!$C:$U,2+$E53,0))+IF(CK$5="X",VLOOKUP(CK$10,'VK-Põlevkivi'!$C:$X,2+$G53,0))+IF(CK$4="X",VLOOKUP(CK$10,'VK-Võrgud'!$C:$X,2+$F53,0)))/1000</f>
        <v>37.843716140171821</v>
      </c>
      <c r="CL53" s="209">
        <f>(IF(CL$7="X",VLOOKUP(CL$10,'VK-Hooned-Soojus'!$C:$X,2+$C53,FALSE),0)+IF(CL$6="X",VLOOKUP(CL$10,'VK-Transport'!$C:$X,2+$B53,0))+IF(CL$8="X",VLOOKUP(CL$10,'VK-Elekter'!$C:$X,2+$D53,0))+IF(CL$9="X",VLOOKUP(CL$10,'VK-Biokütused'!$C:$U,2+$E53,0))+IF(CL$5="X",VLOOKUP(CL$10,'VK-Põlevkivi'!$C:$X,2+$G53,0))+IF(CL$4="X",VLOOKUP(CL$10,'VK-Võrgud'!$C:$X,2+$F53,0)))/1000</f>
        <v>12.14223327039346</v>
      </c>
      <c r="CM53" s="209">
        <f>(IF(CM$7="X",VLOOKUP(CM$10,'VK-Hooned-Soojus'!$C:$X,2+$C53,FALSE),0)+IF(CM$6="X",VLOOKUP(CM$10,'VK-Transport'!$C:$X,2+$B53,0))+IF(CM$8="X",VLOOKUP(CM$10,'VK-Elekter'!$C:$X,2+$D53,0))+IF(CM$9="X",VLOOKUP(CM$10,'VK-Biokütused'!$C:$U,2+$E53,0))+IF(CM$5="X",VLOOKUP(CM$10,'VK-Põlevkivi'!$C:$X,2+$G53,0))+IF(CM$4="X",VLOOKUP(CM$10,'VK-Võrgud'!$C:$X,2+$F53,0)))/1000</f>
        <v>7.5689896156049166</v>
      </c>
      <c r="CN53" s="209">
        <f>(IF(CN$7="X",VLOOKUP(CN$10,'VK-Hooned-Soojus'!$C:$X,2+$C53,FALSE),0)+IF(CN$6="X",VLOOKUP(CN$10,'VK-Transport'!$C:$X,2+$B53,0))+IF(CN$8="X",VLOOKUP(CN$10,'VK-Elekter'!$C:$X,2+$D53,0))+IF(CN$9="X",VLOOKUP(CN$10,'VK-Biokütused'!$C:$U,2+$E53,0))+IF(CN$5="X",VLOOKUP(CN$10,'VK-Põlevkivi'!$C:$X,2+$G53,0))+IF(CN$4="X",VLOOKUP(CN$10,'VK-Võrgud'!$C:$X,2+$F53,0)))/1000</f>
        <v>2.7559999999999998</v>
      </c>
      <c r="CO53" s="209">
        <f>(IF(CO$7="X",VLOOKUP(CO$10,'VK-Hooned-Soojus'!$C:$X,2+$C53,FALSE),0)+IF(CO$6="X",VLOOKUP(CO$10,'VK-Transport'!$C:$X,2+$B53,0))+IF(CO$8="X",VLOOKUP(CO$10,'VK-Elekter'!$C:$X,2+$D53,0))+IF(CO$9="X",VLOOKUP(CO$10,'VK-Biokütused'!$C:$U,2+$E53,0))+IF(CO$5="X",VLOOKUP(CO$10,'VK-Põlevkivi'!$C:$X,2+$G53,0))+IF(CO$4="X",VLOOKUP(CO$10,'VK-Võrgud'!$C:$X,2+$F53,0)))/1000</f>
        <v>30.469649773285454</v>
      </c>
      <c r="CP53" s="209">
        <f>(IF(CP$7="X",VLOOKUP(CP$10,'VK-Hooned-Soojus'!$C:$X,2+$C53,FALSE),0)+IF(CP$6="X",VLOOKUP(CP$10,'VK-Transport'!$C:$X,2+$B53,0))+IF(CP$8="X",VLOOKUP(CP$10,'VK-Elekter'!$C:$X,2+$D53,0))+IF(CP$9="X",VLOOKUP(CP$10,'VK-Biokütused'!$C:$U,2+$E53,0))+IF(CP$5="X",VLOOKUP(CP$10,'VK-Põlevkivi'!$C:$X,2+$G53,0))+IF(CP$4="X",VLOOKUP(CP$10,'VK-Võrgud'!$C:$X,2+$F53,0)))/1000</f>
        <v>32.304430478599883</v>
      </c>
      <c r="CQ53" s="209">
        <f>(IF(CQ$7="X",VLOOKUP(CQ$10,'VK-Hooned-Soojus'!$C:$X,2+$C53,FALSE),0)+IF(CQ$6="X",VLOOKUP(CQ$10,'VK-Transport'!$C:$X,2+$B53,0))+IF(CQ$8="X",VLOOKUP(CQ$10,'VK-Elekter'!$C:$X,2+$D53,0))+IF(CQ$9="X",VLOOKUP(CQ$10,'VK-Biokütused'!$C:$U,2+$E53,0))+IF(CQ$5="X",VLOOKUP(CQ$10,'VK-Põlevkivi'!$C:$X,2+$G53,0))+IF(CQ$4="X",VLOOKUP(CQ$10,'VK-Võrgud'!$C:$X,2+$F53,0)))/1000</f>
        <v>17.287907000000001</v>
      </c>
      <c r="CR53" s="209">
        <f>(IF(CR$7="X",VLOOKUP(CR$10,'VK-Hooned-Soojus'!$C:$X,2+$C53,FALSE),0)+IF(CR$6="X",VLOOKUP(CR$10,'VK-Transport'!$C:$X,2+$B53,0))+IF(CR$8="X",VLOOKUP(CR$10,'VK-Elekter'!$C:$X,2+$D53,0))+IF(CR$9="X",VLOOKUP(CR$10,'VK-Biokütused'!$C:$U,2+$E53,0))+IF(CR$5="X",VLOOKUP(CR$10,'VK-Põlevkivi'!$C:$X,2+$G53,0))+IF(CR$4="X",VLOOKUP(CR$10,'VK-Võrgud'!$C:$X,2+$F53,0)))/1000</f>
        <v>8.0467533562748041</v>
      </c>
      <c r="CS53" s="209">
        <f>(IF(CS$7="X",VLOOKUP(CS$10,'VK-Hooned-Soojus'!$C:$X,2+$C53,FALSE),0)+IF(CS$6="X",VLOOKUP(CS$10,'VK-Transport'!$C:$X,2+$B53,0))+IF(CS$8="X",VLOOKUP(CS$10,'VK-Elekter'!$C:$X,2+$D53,0))+IF(CS$9="X",VLOOKUP(CS$10,'VK-Biokütused'!$C:$U,2+$E53,0))+IF(CS$5="X",VLOOKUP(CS$10,'VK-Põlevkivi'!$C:$X,2+$G53,0))+IF(CS$4="X",VLOOKUP(CS$10,'VK-Võrgud'!$C:$X,2+$F53,0)))/1000</f>
        <v>3.9161524051216152</v>
      </c>
      <c r="CT53" s="209">
        <f>IF(CT$7="X",VLOOKUP(CT$10,'VK-Hooned-Soojus'!$C:$X,2+$C53,FALSE),0)+IF(CT$6="X",VLOOKUP(CT$10,'VK-Transport'!$C:$X,2+$B53,0))+IF(CT$8="X",VLOOKUP(CT$10,'VK-Elekter'!$C:$X,2+$D53,0))+IF(CT$9="X",VLOOKUP(CT$10,'VK-Biokütused'!$C:$U,2+$E53,0))+IF(CT$5="X",VLOOKUP(CT$10,'VK-Põlevkivi'!$C:$X,2+$G53,0))+IF(CT$4="X",VLOOKUP(CT$10,'VK-Võrgud'!$C:$X,2+$F53,0))</f>
        <v>90</v>
      </c>
      <c r="CU53" s="209">
        <f>IF(CU$7="X",VLOOKUP(CU$10,'VK-Hooned-Soojus'!$C:$X,2+$C53,FALSE),0)+IF(CU$6="X",VLOOKUP(CU$10,'VK-Transport'!$C:$X,2+$B53,0))+IF(CU$8="X",VLOOKUP(CU$10,'VK-Elekter'!$C:$X,2+$D53,0))+IF(CU$9="X",VLOOKUP(CU$10,'VK-Biokütused'!$C:$U,2+$E53,0))+IF(CU$5="X",VLOOKUP(CU$10,'VK-Põlevkivi'!$C:$X,2+$G53,0))+IF(CU$4="X",VLOOKUP(CU$10,'VK-Võrgud'!$C:$X,2+$F53,0))</f>
        <v>1</v>
      </c>
      <c r="CV53" s="209">
        <f t="shared" si="37"/>
        <v>1</v>
      </c>
      <c r="CW53" s="209">
        <f>(IF(CW$7="X",VLOOKUP(CW$10,'VK-Hooned-Soojus'!$C:$X,2+$C53,FALSE),0)+IF(CW$6="X",VLOOKUP(CW$10,'VK-Transport'!$C:$X,2+$B53,0))+IF(CW$8="X",VLOOKUP(CW$10,'VK-Elekter'!$C:$X,2+$D53,0))+IF(CW$9="X",VLOOKUP(CW$10,'VK-Biokütused'!$C:$U,2+$E53,0))+IF(CW$5="X",VLOOKUP(CW$10,'VK-Põlevkivi'!$C:$X,2+$G53,0))+IF(CW$4="X",VLOOKUP(CW$10,'VK-Võrgud'!$C:$X,2+$F53,0)))/16</f>
        <v>0</v>
      </c>
      <c r="CY53" s="209">
        <f>(IF(CY$7="X",VLOOKUP(CY$10,'VK-Hooned-Soojus'!$C:$X,2+$C53,FALSE),0)+IF(CY$6="X",VLOOKUP(CY$10,'VK-Transport'!$C:$X,2+$B53,0))+IF(CY$8="X",VLOOKUP(CY$10,'VK-Elekter'!$C:$X,2+$D53,0))+IF(CY$9="X",VLOOKUP(CY$10,'VK-Biokütused'!$C:$U,2+$E53,0))+IF(CY$5="X",VLOOKUP(CY$10,'VK-Põlevkivi'!$C:$X,2+$G53,0))+IF(CY$4="X",VLOOKUP(CY$10,'VK-Võrgud'!$C:$X,2+$F53,0)))/1000</f>
        <v>11.757</v>
      </c>
      <c r="CZ53" s="209">
        <f>(IF(CZ$7="X",VLOOKUP(CZ$10,'VK-Hooned-Soojus'!$C:$X,2+$C53,FALSE),0)+IF(CZ$6="X",VLOOKUP(CZ$10,'VK-Transport'!$C:$X,2+$B53,0))+IF(CZ$8="X",VLOOKUP(CZ$10,'VK-Elekter'!$C:$X,2+$D53,0))+IF(CZ$9="X",VLOOKUP(CZ$10,'VK-Biokütused'!$C:$U,2+$E53,0))+IF(CZ$5="X",VLOOKUP(CZ$10,'VK-Põlevkivi'!$C:$X,2+$G53,0))+IF(CZ$4="X",VLOOKUP(CZ$10,'VK-Võrgud'!$C:$X,2+$F53,0)))</f>
        <v>99</v>
      </c>
      <c r="DA53" s="209">
        <f>(IF(DA$7="X",VLOOKUP(DA$10,'VK-Hooned-Soojus'!$C:$X,2+$C53,FALSE),0)+IF(DA$6="X",VLOOKUP(DA$10,'VK-Transport'!$C:$X,2+$B53,0))+IF(DA$8="X",VLOOKUP(DA$10,'VK-Elekter'!$C:$X,2+$D53,0))+IF(DA$9="X",VLOOKUP(DA$10,'VK-Biokütused'!$C:$U,2+$E53,0))+IF(DA$5="X",VLOOKUP(DA$10,'VK-Põlevkivi'!$C:$X,2+$G53,0))+IF(DA$4="X",VLOOKUP(DA$10,'VK-Võrgud'!$C:$X,2+$F53,0)))/1000</f>
        <v>16.84</v>
      </c>
      <c r="DB53" s="209">
        <f>(IF(DB$7="X",VLOOKUP(DB$10,'VK-Hooned-Soojus'!$C:$X,2+$C53,FALSE),0)+IF(DB$6="X",VLOOKUP(DB$10,'VK-Transport'!$C:$X,2+$B53,0))+IF(DB$8="X",VLOOKUP(DB$10,'VK-Elekter'!$C:$X,2+$D53,0))+IF(DB$9="X",VLOOKUP(DB$10,'VK-Biokütused'!$C:$U,2+$E53,0))+IF(DB$5="X",VLOOKUP(DB$10,'VK-Põlevkivi'!$C:$X,2+$G53,0))+IF(DB$4="X",VLOOKUP(DB$10,'VK-Võrgud'!$C:$X,2+$F53,0)))/1000/3.6</f>
        <v>137.56333333333333</v>
      </c>
      <c r="DC53" s="209">
        <f>(IF(DC$7="X",VLOOKUP(DC$10,'VK-Hooned-Soojus'!$C:$X,2+$C53,FALSE),0)+IF(DC$6="X",VLOOKUP(DC$10,'VK-Transport'!$C:$X,2+$B53,0))+IF(DC$8="X",VLOOKUP(DC$10,'VK-Elekter'!$C:$X,2+$D53,0))+IF(DC$9="X",VLOOKUP(DC$10,'VK-Biokütused'!$C:$U,2+$E53,0))+IF(DC$5="X",VLOOKUP(DC$10,'VK-Põlevkivi'!$C:$X,2+$G53,0))+IF(DC$4="X",VLOOKUP(DC$10,'VK-Võrgud'!$C:$X,2+$F53,0)))/1000000</f>
        <v>7.508489</v>
      </c>
      <c r="DD53" s="209"/>
      <c r="DE53" s="88">
        <f>VLOOKUP(Tulemused!$BN$12,data!M$7:N$12,2,FALSE)-SUM(L53,M53)</f>
        <v>-2.20664444444445</v>
      </c>
      <c r="DF53" s="209" t="str">
        <f>IF(AZ53&lt;=VLOOKUP(Tulemused!$BN$15,data!$E$36:$F$39,2,FALSE),"JAH","EI")</f>
        <v>JAH</v>
      </c>
      <c r="DG53" s="209"/>
      <c r="DH53" s="209">
        <f t="shared" si="38"/>
        <v>6.08</v>
      </c>
      <c r="DI53" s="231" t="str">
        <f t="shared" si="17"/>
        <v>EI</v>
      </c>
      <c r="DK53" s="232">
        <f t="shared" si="39"/>
        <v>-997.15927029719535</v>
      </c>
      <c r="DM53" s="233">
        <f t="shared" si="40"/>
        <v>-993.25697057861828</v>
      </c>
      <c r="DN53" s="87">
        <f t="array" ref="DN53">INDEX($A$11:$A$145, SMALL(IF(DM53=$DK$11:$DK$145, MATCH(ROW($DK$11:$DK$145), ROW($DK$11:$DK$145))), SUM(--(DM53=$DM$11:DM53))))</f>
        <v>90</v>
      </c>
      <c r="DP53" s="87" t="e">
        <f t="shared" ca="1" si="18"/>
        <v>#N/A</v>
      </c>
      <c r="DQ53" s="87" t="e">
        <f t="shared" ca="1" si="19"/>
        <v>#N/A</v>
      </c>
      <c r="DR53" s="87">
        <f t="shared" ca="1" si="20"/>
        <v>0</v>
      </c>
      <c r="DS53" s="87" t="e">
        <f t="shared" ca="1" si="21"/>
        <v>#N/A</v>
      </c>
      <c r="DT53" s="87">
        <f t="shared" ca="1" si="22"/>
        <v>0</v>
      </c>
      <c r="DU53" s="87" t="e">
        <f t="shared" ca="1" si="23"/>
        <v>#N/A</v>
      </c>
      <c r="DV53" s="87" t="e">
        <f t="shared" ca="1" si="24"/>
        <v>#N/A</v>
      </c>
      <c r="DW53" s="87">
        <f t="shared" ca="1" si="25"/>
        <v>0</v>
      </c>
      <c r="DX53" s="87">
        <f t="shared" ca="1" si="26"/>
        <v>0</v>
      </c>
      <c r="DZ53" s="87">
        <f t="shared" ca="1" si="35"/>
        <v>0</v>
      </c>
      <c r="EB53" s="87">
        <f t="shared" ca="1" si="27"/>
        <v>0</v>
      </c>
      <c r="EC53" s="87" t="e">
        <f t="shared" ca="1" si="28"/>
        <v>#N/A</v>
      </c>
      <c r="EE53" s="228">
        <f>(IF(EE$7="X",VLOOKUP(EE$10,'VK-Hooned-Soojus'!$C:$X,2+$C53,FALSE),0)+IF(EE$6="X",VLOOKUP(EE$10,'VK-Transport'!$C:$X,2+$B53,0))+IF(EE$8="X",VLOOKUP(EE$10,'VK-Elekter'!$C:$X,2+$D53,0))+IF(EE$9="X",VLOOKUP(EE$10,'VK-Biokütused'!$C:$U,2+$E53,0))+IF(EE$5="X",VLOOKUP(EE$10,'VK-Põlevkivi'!$C:$X,2+$G53,0))+IF(EE$4="X",VLOOKUP(EE$10,'VK-Võrgud'!$C:$X,2+$F53,0)))</f>
        <v>6685.334433929851</v>
      </c>
      <c r="EF53" s="209">
        <f>(IF(EF$7="X",VLOOKUP(EF$10,'VK-Hooned-Soojus'!$C:$X,2+$C53,FALSE),0)+IF(EF$6="X",VLOOKUP(EF$10,'VK-Transport'!$C:$X,2+$B53,0))+IF(EF$8="X",VLOOKUP(EF$10,'VK-Elekter'!$C:$X,2+$D53,0))+IF(EF$9="X",VLOOKUP(EF$10,'VK-Biokütused'!$C:$U,2+$E53,0))+IF(EF$5="X",VLOOKUP(EF$10,'VK-Põlevkivi'!$C:$X,2+$G53,0))+IF(EF$4="X",VLOOKUP(EF$10,'VK-Võrgud'!$C:$X,2+$F53,0)))/1000</f>
        <v>9.183636821583061</v>
      </c>
      <c r="EG53" s="209">
        <f>(IF(EG$7="X",VLOOKUP(EG$10,'VK-Hooned-Soojus'!$C:$X,2+$C53,FALSE),0)+IF(EG$6="X",VLOOKUP(EG$10,'VK-Transport'!$C:$X,2+$B53,0))+IF(EG$8="X",VLOOKUP(EG$10,'VK-Elekter'!$C:$X,2+$D53,0))+IF(EG$9="X",VLOOKUP(EG$10,'VK-Biokütused'!$C:$U,2+$E53,0))+IF(EG$5="X",VLOOKUP(EG$10,'VK-Põlevkivi'!$C:$X,2+$G53,0))+IF(EG$4="X",VLOOKUP(EG$10,'VK-Võrgud'!$C:$X,2+$F53,0)))</f>
        <v>0.81</v>
      </c>
      <c r="EH53" s="209">
        <f>(IF(EH$7="X",VLOOKUP(EH$10,'VK-Hooned-Soojus'!$C:$X,2+$C53,FALSE),0)+IF(EH$6="X",VLOOKUP(EH$10,'VK-Transport'!$C:$X,2+$B53,0))+IF(EH$8="X",VLOOKUP(EH$10,'VK-Elekter'!$C:$X,2+$D53,0))+IF(EH$9="X",VLOOKUP(EH$10,'VK-Biokütused'!$C:$U,2+$E53,0)))+AR53+AS53+AU53+AX53</f>
        <v>92.524722222222223</v>
      </c>
      <c r="EI53" s="320">
        <f t="shared" si="41"/>
        <v>63.096678542103263</v>
      </c>
      <c r="EJ53" s="322">
        <f t="shared" si="42"/>
        <v>2.201934621570804E-2</v>
      </c>
      <c r="EK53" s="323">
        <f t="shared" si="29"/>
        <v>0.36029299432190109</v>
      </c>
      <c r="EM53" s="209"/>
      <c r="EN53" s="209">
        <f t="shared" ca="1" si="43"/>
        <v>0</v>
      </c>
      <c r="EO53" s="209"/>
      <c r="EP53" s="234"/>
      <c r="EQ53" s="209">
        <f>(IF(EQ$7="X",VLOOKUP(EQ$10,'VK-Hooned-Soojus'!$C:$X,2+$C53,FALSE),0)+IF(EQ$6="X",VLOOKUP(EQ$10,'VK-Transport'!$C:$X,2+$B53,0))+IF(EQ$8="X",VLOOKUP(EQ$10,'VK-Elekter'!$C:$X,2+$D53,0))+IF(EQ$9="X",VLOOKUP(EQ$10,'VK-Biokütused'!$C:$U,2+$E53,0))+IF(EQ$5="X",VLOOKUP(EQ$10,'VK-Põlevkivi'!$C:$X,2+$G53,0))+IF(EQ$4="X",VLOOKUP(EQ$10,'VK-Võrgud'!$C:$X,2+$F53,0)))/1000</f>
        <v>0.19900000000000001</v>
      </c>
      <c r="ER53" s="209">
        <f>(IF(ER$7="X",VLOOKUP(ER$10,'VK-Hooned-Soojus'!$C:$X,2+$C53,FALSE),0)+IF(ER$6="X",VLOOKUP(ER$10,'VK-Transport'!$C:$X,2+$B53,0))+IF(ER$8="X",VLOOKUP(ER$10,'VK-Elekter'!$C:$X,2+$D53,0))+IF(ER$9="X",VLOOKUP(ER$10,'VK-Biokütused'!$C:$U,2+$E53,0))+IF(ER$5="X",VLOOKUP(ER$10,'VK-Põlevkivi'!$C:$X,2+$G53,0))+IF(ER$4="X",VLOOKUP(ER$10,'VK-Võrgud'!$C:$X,2+$F53,0)))</f>
        <v>0.72299999999999998</v>
      </c>
      <c r="ES53" s="209">
        <f>(IF(ES$7="X",VLOOKUP(ES$10,'VK-Hooned-Soojus'!$C:$X,2+$C53,FALSE),0)+IF(ES$6="X",VLOOKUP(ES$10,'VK-Transport'!$C:$X,2+$B53,0))+IF(ES$8="X",VLOOKUP(ES$10,'VK-Elekter'!$C:$X,2+$D53,0))+IF(ES$9="X",VLOOKUP(ES$10,'VK-Biokütused'!$C:$U,2+$E53,0))+IF(ES$5="X",VLOOKUP(ES$10,'VK-Põlevkivi'!$C:$X,2+$G53,0))+IF(ES$4="X",VLOOKUP(ES$10,'VK-Võrgud'!$C:$X,2+$F53,0)))</f>
        <v>6.08</v>
      </c>
      <c r="ET53" s="209"/>
      <c r="EU53" s="209"/>
      <c r="EV53" s="87">
        <f>'KSH järjestus'!AS46</f>
        <v>1670</v>
      </c>
      <c r="EX53" s="236"/>
      <c r="EY53" s="236"/>
      <c r="EZ53" s="237">
        <f t="shared" si="44"/>
        <v>0</v>
      </c>
      <c r="FA53" s="209">
        <f>IF(FA$7="X",VLOOKUP(FA$10,'VK-Hooned-Soojus'!$C:$X,2+$C53,FALSE),0)+IF(FA$6="X",VLOOKUP(FA$10,'VK-Transport'!$C:$X,2+$B53,0))+IF(FA$8="X",VLOOKUP(FA$10,'VK-Elekter'!$C:$X,2+$D53,0))+IF(FA$9="X",VLOOKUP(FA$10,'VK-Biokütused'!$C:$U,2+$E53,0))+IF(FA$5="X",VLOOKUP(FA$10,'VK-Põlevkivi'!$C:$X,2+$G53,0))+IF(FA$4="X",VLOOKUP(FA$10,'VK-Võrgud'!$C:$X,2+$F53,0))</f>
        <v>3367.9070000000002</v>
      </c>
      <c r="FB53" s="279">
        <f>(IF(FB$7="X",VLOOKUP(FB$10,'VK-Hooned-Soojus'!$C:$X,2+$C53,FALSE),0)+IF(FB$6="X",VLOOKUP(FB$10,'VK-Transport'!$C:$X,2+$B53,0))+IF(FB$8="X",VLOOKUP(FB$10,'VK-Elekter'!$C:$X,2+$D53,0))+IF(FB$9="X",VLOOKUP(FB$10,'VK-Biokütused'!$C:$U,2+$E53,0))+IF(FB$5="X",VLOOKUP(FB$10,'VK-Põlevkivi'!$C:$X,2+$G53,0))+IF(FB$4="X",VLOOKUP(FB$10,'VK-Võrgud'!$C:$X,2+$F53,0)))/16</f>
        <v>564.71401116746983</v>
      </c>
      <c r="FC53" s="209">
        <f>IF(FC$7="X",VLOOKUP(FC$10,'VK-Hooned-Soojus'!$C:$X,2+$C53,FALSE),0)+IF(FC$6="X",VLOOKUP(FC$10,'VK-Transport'!$C:$X,2+$B53,0))+IF(FC$8="X",VLOOKUP(FC$10,'VK-Elekter'!$C:$X,2+$D53,0))+IF(FC$9="X",VLOOKUP(FC$10,'VK-Biokütused'!$C:$U,2+$E53,0))+IF(FC$5="X",VLOOKUP(FC$10,'VK-Põlevkivi'!$C:$X,2+$G53,0))+IF(FC$4="X",VLOOKUP(FC$10,'VK-Võrgud'!$C:$X,2+$F53,0))</f>
        <v>309</v>
      </c>
      <c r="FD53" s="209">
        <f>(IF(FD$7="X",VLOOKUP(FD$10,'VK-Hooned-Soojus'!$C:$X,2+$C53,FALSE),0)+IF(FD$6="X",VLOOKUP(FD$10,'VK-Transport'!$C:$X,2+$B53,0))+IF(FD$8="X",VLOOKUP(FD$10,'VK-Elekter'!$C:$X,2+$D53,0))+IF(FD$9="X",VLOOKUP(FD$10,'VK-Biokütused'!$C:$U,2+$E53,0))+IF(FD$5="X",VLOOKUP(FD$10,'VK-Põlevkivi'!$C:$X,2+$G53,0))+IF(FD$4="X",VLOOKUP(FD$10,'VK-Võrgud'!$C:$X,2+$F53,0)))/16</f>
        <v>564.71401116746983</v>
      </c>
      <c r="FE53" s="209">
        <f>(IF(FE$7="X",VLOOKUP(FE$10,'VK-Hooned-Soojus'!$C:$X,2+$C53,FALSE),0)+IF(FE$6="X",VLOOKUP(FE$10,'VK-Transport'!$C:$X,2+$B53,0))+IF(FE$8="X",VLOOKUP(FE$10,'VK-Elekter'!$C:$X,2+$D53,0))+IF(FE$9="X",VLOOKUP(FE$10,'VK-Biokütused'!$C:$U,2+$E53,0))+IF(FE$5="X",VLOOKUP(FE$10,'VK-Põlevkivi'!$C:$X,2+$G53,0))+IF(FE$4="X",VLOOKUP(FE$10,'VK-Võrgud'!$C:$X,2+$F53,0)))/16</f>
        <v>-122.42</v>
      </c>
      <c r="FF53" s="209">
        <f>(IF(FF$7="X",VLOOKUP(FF$10,'VK-Hooned-Soojus'!$C:$X,2+$C53,FALSE),0)+IF(FF$6="X",VLOOKUP(FF$10,'VK-Transport'!$C:$X,2+$B53,0))+IF(FF$8="X",VLOOKUP(FF$10,'VK-Elekter'!$C:$X,2+$D53,0))+IF(FF$9="X",VLOOKUP(FF$10,'VK-Biokütused'!$C:$U,2+$E53,0))+IF(FF$5="X",VLOOKUP(FF$10,'VK-Põlevkivi'!$C:$X,2+$G53,0))+IF(FF$4="X",VLOOKUP(FF$10,'VK-Võrgud'!$C:$X,2+$F53,0)))/16</f>
        <v>166.68875369475629</v>
      </c>
      <c r="FG53" s="88">
        <f t="shared" ca="1" si="30"/>
        <v>44.268753694756285</v>
      </c>
      <c r="FH53" s="88"/>
      <c r="FI53" s="88"/>
      <c r="FJ53" s="88">
        <f>VLOOKUP(Tulemused!$BN$12,data!M$7:N$12,2,FALSE)-SUM(L53,M53)</f>
        <v>-2.20664444444445</v>
      </c>
      <c r="FK53" s="209" t="str">
        <f>IF(AZ53&lt;=VLOOKUP(Tulemused!$BN$15,data!$E$36:$F$39,2,FALSE),"JAH","EI")</f>
        <v>JAH</v>
      </c>
      <c r="FL53" s="235">
        <f ca="1">IF(ISNA(MATCH($A53,INDIRECT(VLOOKUP(Tulemused!$BF$11,data!$J$57:$M$71,4,FALSE)))),0,MATCH($A53,INDIRECT(VLOOKUP(Tulemused!$BF$11,data!$J$57:$M$71,4,FALSE))))</f>
        <v>0</v>
      </c>
      <c r="FM53" s="235" t="str">
        <f t="shared" ca="1" si="45"/>
        <v>JAH</v>
      </c>
      <c r="FN53" s="209">
        <f>VLOOKUP(Tulemused!$BN$13,data!$C$132:$D$137,2,FALSE)-KOMBI!R53</f>
        <v>3.2483331784169405</v>
      </c>
      <c r="FO53" s="209"/>
      <c r="FP53" s="209">
        <f>VLOOKUP(Tulemused!$BN$17,NO_x,2,FALSE)-CJ53</f>
        <v>6.3829999999999991</v>
      </c>
      <c r="FQ53" s="209">
        <f>VLOOKUP(Tulemused!$BN$18,SO_2,2,FALSE)-CK53</f>
        <v>14.040283859828179</v>
      </c>
      <c r="FR53" s="209">
        <f>VLOOKUP(Tulemused!$BN$19,LOU,2,FALSE)-CN53</f>
        <v>34.324000000000005</v>
      </c>
      <c r="FS53" s="209">
        <f>VLOOKUP(Tulemused!$BN$20,PM_2.5,2,FALSE)-CM53</f>
        <v>9.3460103843950826</v>
      </c>
      <c r="FT53" s="209">
        <f>VLOOKUP(Tulemused!$BN$13,data!$C$132:$D$137,2,FALSE)-FA53/1000</f>
        <v>2.8780630000000005</v>
      </c>
      <c r="FU53" s="209">
        <f>VLOOKUP(Tulemused!$BN$17,NO_x,2,FALSE)-CO53</f>
        <v>-1.031649773285455</v>
      </c>
      <c r="FV53" s="209">
        <f>VLOOKUP(Tulemused!$BN$18,SO_2,2,FALSE)-CP53</f>
        <v>19.579569521400117</v>
      </c>
      <c r="FW53" s="209">
        <f>VLOOKUP(Tulemused!$BN$19,LOU,2,FALSE)-CS53</f>
        <v>33.163847594878391</v>
      </c>
      <c r="FX53" s="209">
        <f>VLOOKUP(Tulemused!$BN$20,PM_2.5,2,FALSE)-CR53</f>
        <v>8.868246643725195</v>
      </c>
      <c r="FY53" s="209">
        <f>VLOOKUP(Tulemused!$BN$14,KHG_2050,2,FALSE)-EF53</f>
        <v>90.816363178416935</v>
      </c>
      <c r="FZ53" s="231" t="str">
        <f t="shared" ca="1" si="31"/>
        <v>EI</v>
      </c>
      <c r="GA53" s="209"/>
      <c r="GB53" s="209"/>
      <c r="GC53" s="209"/>
      <c r="GD53" s="231"/>
      <c r="GE53" s="87">
        <f t="shared" si="46"/>
        <v>1670</v>
      </c>
      <c r="GF53" s="232" t="str">
        <f t="shared" ca="1" si="32"/>
        <v/>
      </c>
      <c r="GH53" s="238" t="e">
        <f t="shared" ca="1" si="47"/>
        <v>#NUM!</v>
      </c>
      <c r="GI53" s="87" t="e">
        <f t="array" aca="1" ref="GI53" ca="1">INDEX($A$11:$A$145, SMALL(IF(GH53=$GF$11:$GF$145, MATCH(ROW($GF$11:$GF$145), ROW($GF$11:$GF$145))), SUM(--(GH53=$GH$11:GH53))))</f>
        <v>#NUM!</v>
      </c>
      <c r="GM53" s="209">
        <f>IF(GM$7="X",VLOOKUP(GM$10,'VK-Hooned-Soojus'!$C:$X,2+$C53,FALSE),0)+IF(GM$6="X",VLOOKUP(GM$10,'VK-Transport'!$C:$X,2+$B53,0))+IF(GM$8="X",VLOOKUP(GM$10,'VK-Elekter'!$C:$X,2+$D53,0))+IF(GM$9="X",VLOOKUP(GM$10,'VK-Biokütused'!$C:$U,2+$E53,0))+IF(GM$5="X",VLOOKUP(GM$10,'VK-Põlevkivi'!$C:$X,2+$G53,0))+IF(GM$4="X",VLOOKUP(GM$10,'VK-Võrgud'!$C:$X,2+$F53,0))</f>
        <v>11.189888530766083</v>
      </c>
      <c r="GN53" s="209">
        <f>IF(GN$7="X",VLOOKUP(GN$10,'VK-Hooned-Soojus'!$C:$X,2+$C53,FALSE),0)+IF(GN$6="X",VLOOKUP(GN$10,'VK-Transport'!$C:$X,2+$B53,0))+IF(GN$8="X",VLOOKUP(GN$10,'VK-Elekter'!$C:$X,2+$D53,0))+IF(GN$9="X",VLOOKUP(GN$10,'VK-Biokütused'!$C:$U,2+$E53,0))+IF(GN$5="X",VLOOKUP(GN$10,'VK-Põlevkivi'!$C:$X,2+$G53,0))+IF(GN$4="X",VLOOKUP(GN$10,'VK-Võrgud'!$C:$X,2+$F53,0))</f>
        <v>2.9930837725682502</v>
      </c>
      <c r="GO53" s="209">
        <f>IF(GO$7="X",VLOOKUP(GO$10,'VK-Hooned-Soojus'!$C:$X,2+$C53,FALSE),0)+IF(GO$6="X",VLOOKUP(GO$10,'VK-Transport'!$C:$X,2+$B53,0))+IF(GO$8="X",VLOOKUP(GO$10,'VK-Elekter'!$C:$X,2+$D53,0))+IF(GO$9="X",VLOOKUP(GO$10,'VK-Biokütused'!$C:$U,2+$E53,0))+IF(GO$5="X",VLOOKUP(GO$10,'VK-Põlevkivi'!$C:$X,2+$G53,0))+IF(GO$4="X",VLOOKUP(GO$10,'VK-Võrgud'!$C:$X,2+$F53,0))</f>
        <v>7.5763700102722566</v>
      </c>
      <c r="GP53" s="209">
        <f>IF(GP$7="X",VLOOKUP(GP$10,'VK-Hooned-Soojus'!$C:$X,2+$C53,FALSE),0)+IF(GP$6="X",VLOOKUP(GP$10,'VK-Transport'!$C:$X,2+$B53,0))+IF(GP$8="X",VLOOKUP(GP$10,'VK-Elekter'!$C:$X,2+$D53,0))+IF(GP$9="X",VLOOKUP(GP$10,'VK-Biokütused'!$C:$U,2+$E53,0))+IF(GP$5="X",VLOOKUP(GP$10,'VK-Põlevkivi'!$C:$X,2+$G53,0))+IF(GP$4="X",VLOOKUP(GP$10,'VK-Võrgud'!$C:$X,2+$F53,0))</f>
        <v>8.9326558040707589</v>
      </c>
      <c r="GQ53" s="88">
        <f>IF(GQ$7="X",VLOOKUP(GQ$10,'VK-Hooned-Soojus'!$C:$X,2+$C53,FALSE),0)+IF(GQ$6="X",VLOOKUP(GQ$10,'VK-Transport'!$C:$X,2+$B53,0))+IF(GQ$8="X",VLOOKUP(GQ$10,'VK-Elekter'!$C:$X,2+$D53,0))+IF(GQ$9="X",VLOOKUP(GQ$10,'VK-Biokütused'!$C:$U,2+$E53,0))+IF(GQ$5="X",VLOOKUP(GQ$10,'VK-Põlevkivi'!$C:$X,2+$G53,0))+IF(GQ$4="X",VLOOKUP(GQ$10,'VK-Võrgud'!$C:$X,2+$F53,0))</f>
        <v>0.9682855968523334</v>
      </c>
      <c r="GR53" s="186">
        <f t="shared" si="33"/>
        <v>0.36798600485618455</v>
      </c>
    </row>
    <row r="54" spans="1:200" x14ac:dyDescent="0.2">
      <c r="A54" s="184">
        <v>44</v>
      </c>
      <c r="B54" s="87">
        <v>1</v>
      </c>
      <c r="C54" s="87">
        <v>3</v>
      </c>
      <c r="D54" s="87">
        <v>5</v>
      </c>
      <c r="E54" s="87">
        <v>2</v>
      </c>
      <c r="F54" s="87">
        <f>VLOOKUP(Tulemused!$BF$7,data!$J$6:$K$8,2,FALSE)</f>
        <v>2</v>
      </c>
      <c r="G54" s="87">
        <f>VLOOKUP(data!$H$2,data!$J$12:$K$14,2,FALSE)</f>
        <v>2</v>
      </c>
      <c r="I54" s="209">
        <f>IF(I$7="X",VLOOKUP(I$10,'VK-Hooned-Soojus'!$C:$X,2+$C54,FALSE),0)+IF(I$6="X",VLOOKUP(I$10,'VK-Transport'!$C:$X,2+$B54,0))+IF(I$8="X",VLOOKUP(I$10,'VK-Elekter'!$C:$X,2+$D54,0))+IF(I$9="X",VLOOKUP(I$10,'VK-Biokütused'!$C:$U,2+$E54,0))+IF(I$5="X",VLOOKUP(I$10,'VK-Põlevkivi'!$C:$X,2+$G54,0))+IF(I$4="X",VLOOKUP(I$10,'VK-Võrgud'!$C:$X,2+$F54,0))</f>
        <v>23.490000000000002</v>
      </c>
      <c r="J54" s="209">
        <f>IF(J$7="X",VLOOKUP(J$10,'VK-Hooned-Soojus'!$C:$X,2+$C54,FALSE),0)+IF(J$6="X",VLOOKUP(J$10,'VK-Transport'!$C:$X,2+$B54,0))+IF(J$8="X",VLOOKUP(J$10,'VK-Elekter'!$C:$X,2+$D54,0))+IF(J$9="X",VLOOKUP(J$10,'VK-Biokütused'!$C:$U,2+$E54,0))+IF(J$5="X",VLOOKUP(J$10,'VK-Põlevkivi'!$C:$X,2+$G54,0))+IF(J$4="X",VLOOKUP(J$10,'VK-Võrgud'!$C:$X,2+$F54,0))</f>
        <v>13.295833333333334</v>
      </c>
      <c r="K54" s="209">
        <f>IF(K$7="X",VLOOKUP(K$10,'VK-Hooned-Soojus'!$C:$X,2+$C54,FALSE),0)+IF(K$6="X",VLOOKUP(K$10,'VK-Transport'!$C:$X,2+$B54,0))+IF(K$8="X",VLOOKUP(K$10,'VK-Elekter'!$C:$X,2+$D54,0))+IF(K$9="X",VLOOKUP(K$10,'VK-Biokütused'!$C:$U,2+$E54,0))+IF(K$5="X",VLOOKUP(K$10,'VK-Põlevkivi'!$C:$X,2+$G54,0))+IF(K$4="X",VLOOKUP(K$10,'VK-Võrgud'!$C:$X,2+$F54,0))</f>
        <v>13.780000000000001</v>
      </c>
      <c r="L54" s="209">
        <f>IF(L$7="X",VLOOKUP(L$10,'VK-Hooned-Soojus'!$C:$X,2+$C54,FALSE),0)+IF(L$6="X",VLOOKUP(L$10,'VK-Transport'!$C:$X,2+$B54,0))+IF(L$8="X",VLOOKUP(L$10,'VK-Elekter'!$C:$X,2+$D54,0))+IF(L$9="X",VLOOKUP(L$10,'VK-Biokütused'!$C:$U,2+$E54,0))+IF(L$5="X",VLOOKUP(L$10,'VK-Põlevkivi'!$C:$X,2+$G54,0))+IF(L$4="X",VLOOKUP(L$10,'VK-Võrgud'!$C:$X,2+$F54,0))</f>
        <v>23.75</v>
      </c>
      <c r="M54" s="209">
        <f>IF(M$7="X",VLOOKUP(M$10,'VK-Hooned-Soojus'!$C:$X,2+$C54,FALSE),0)+IF(M$6="X",VLOOKUP(M$10,'VK-Transport'!$C:$X,2+$B54,0))+IF(M$8="X",VLOOKUP(M$10,'VK-Elekter'!$C:$X,2+$D54,0))+IF(M$9="X",VLOOKUP(M$10,'VK-Biokütused'!$C:$U,2+$E54,0))+IF(M$5="X",VLOOKUP(M$10,'VK-Põlevkivi'!$C:$X,2+$G54,0))+IF(M$4="X",VLOOKUP(M$10,'VK-Võrgud'!$C:$X,2+$F54,0))</f>
        <v>11.289444444444445</v>
      </c>
      <c r="N54" s="209">
        <f>IF(N$7="X",VLOOKUP(N$10,'VK-Hooned-Soojus'!$C:$X,2+$C54,FALSE),0)+IF(N$6="X",VLOOKUP(N$10,'VK-Transport'!$C:$X,2+$B54,0))+IF(N$8="X",VLOOKUP(N$10,'VK-Elekter'!$C:$X,2+$D54,0))+IF(N$9="X",VLOOKUP(N$10,'VK-Biokütused'!$C:$U,2+$E54,0))+IF(N$5="X",VLOOKUP(N$10,'VK-Põlevkivi'!$C:$X,2+$G54,0))+IF(N$4="X",VLOOKUP(N$10,'VK-Võrgud'!$C:$X,2+$F54,0))</f>
        <v>15.25</v>
      </c>
      <c r="O54" s="209">
        <f t="shared" si="13"/>
        <v>36.785833333333336</v>
      </c>
      <c r="P54" s="209"/>
      <c r="Q54" s="209">
        <f>(IF(Q$7="X",VLOOKUP(Q$10,'VK-Hooned-Soojus'!$C:$X,2+$C54,FALSE),0)+IF(Q$6="X",VLOOKUP(Q$10,'VK-Transport'!$C:$X,2+$B54,0))+IF(Q$8="X",VLOOKUP(Q$10,'VK-Elekter'!$C:$X,2+$D54,0))+IF(Q$9="X",VLOOKUP(Q$10,'VK-Biokütused'!$C:$U,2+$E54,0))+IF(Q$5="X",VLOOKUP(Q$10,'VK-Põlevkivi'!$C:$X,2+$G54,0))+IF(Q$4="X",VLOOKUP(Q$10,'VK-Võrgud'!$C:$X,2+$F54,0)))/1000</f>
        <v>5.9039999999999999</v>
      </c>
      <c r="R54" s="209">
        <f>(IF(R$7="X",VLOOKUP(R$10,'VK-Hooned-Soojus'!$C:$X,2+$C54,FALSE),0)+IF(R$6="X",VLOOKUP(R$10,'VK-Transport'!$C:$X,2+$B54,0))+IF(R$8="X",VLOOKUP(R$10,'VK-Elekter'!$C:$X,2+$D54,0))+IF(R$9="X",VLOOKUP(R$10,'VK-Biokütused'!$C:$U,2+$E54,0))+IF(R$5="X",VLOOKUP(R$10,'VK-Põlevkivi'!$C:$X,2+$G54,0))+IF(R$4="X",VLOOKUP(R$10,'VK-Võrgud'!$C:$X,2+$F54,0)))/1000</f>
        <v>3.3751368215830602</v>
      </c>
      <c r="S54" s="226">
        <f>VLOOKUP(S$10,'VK-Hooned-Soojus'!$C:$I,2+$C54,FALSE) + VLOOKUP(S$10,'VK-Transport'!$C:$I,2+$B54,FALSE)+ VLOOKUP(S$10,'VK-Biokütused'!$C:$G,2+$E54,FALSE)+ VLOOKUP(S$10,'VK-Elekter'!$C:$I,2+$D54,FALSE)+ VLOOKUP(S$10,'VK-Põlevkivi'!$C:$I,2+$G54,FALSE)+ VLOOKUP(S$10,'VK-Võrgud'!$C:$I,2+$F54,FALSE)</f>
        <v>2.7107432063740201E-2</v>
      </c>
      <c r="T54" s="226">
        <f>VLOOKUP(T$10,'VK-Hooned-Soojus'!$C:$I,2+$C54,FALSE) + VLOOKUP(T$10,'VK-Transport'!$C:$I,2+$B54,FALSE)+ VLOOKUP(T$10,'VK-Biokütused'!$C:$G,2+$E54,FALSE)+ VLOOKUP(T$10,'VK-Elekter'!$C:$I,2+$D54,FALSE)+ VLOOKUP(T$10,'VK-Põlevkivi'!$C:$I,2+$G54,FALSE)+ VLOOKUP(T$10,'VK-Võrgud'!$C:$I,2+$F54,FALSE)</f>
        <v>7.8054048658599343E-4</v>
      </c>
      <c r="U54" s="226">
        <f>VLOOKUP(U$10,'VK-Hooned-Soojus'!$C:$I,2+$C54,FALSE) + VLOOKUP(U$10,'VK-Transport'!$C:$I,2+$B54,FALSE)+ VLOOKUP(U$10,'VK-Biokütused'!$C:$G,2+$E54,FALSE)+ VLOOKUP(U$10,'VK-Elekter'!$C:$I,2+$D54,FALSE)+ VLOOKUP(U$10,'VK-Põlevkivi'!$C:$I,2+$G54,FALSE)+ VLOOKUP(U$10,'VK-Võrgud'!$C:$I,2+$F54,FALSE)</f>
        <v>8.7741655436255062E-3</v>
      </c>
      <c r="V54" s="226">
        <f>VLOOKUP(V$10,'VK-Hooned-Soojus'!$C:$I,2+$C54,FALSE) + VLOOKUP(V$10,'VK-Transport'!$C:$I,2+$B54,FALSE)+ VLOOKUP(V$10,'VK-Biokütused'!$C:$G,2+$E54,FALSE)+ VLOOKUP(V$10,'VK-Elekter'!$C:$I,2+$D54,FALSE)+ VLOOKUP(V$10,'VK-Põlevkivi'!$C:$I,2+$G54,FALSE)+ VLOOKUP(V$10,'VK-Võrgud'!$C:$I,2+$F54,FALSE)</f>
        <v>1.8683667016672817E-2</v>
      </c>
      <c r="W54" s="226">
        <f>VLOOKUP(W$10,'VK-Hooned-Soojus'!$C:$I,2+$C54,FALSE) + VLOOKUP(W$10,'VK-Transport'!$C:$I,2+$B54,FALSE)+ VLOOKUP(W$10,'VK-Biokütused'!$C:$G,2+$E54,FALSE)+ VLOOKUP(W$10,'VK-Elekter'!$C:$I,2+$D54,FALSE)+ VLOOKUP(W$10,'VK-Põlevkivi'!$C:$I,2+$G54,FALSE)+ VLOOKUP(W$10,'VK-Võrgud'!$C:$I,2+$F54,FALSE)</f>
        <v>-7.5162289823184677E-3</v>
      </c>
      <c r="X54" s="226">
        <f>VLOOKUP(X$10,'VK-Hooned-Soojus'!$C:$I,2+$C54,FALSE) + VLOOKUP(X$10,'VK-Transport'!$C:$I,2+$B54,FALSE)+ VLOOKUP(X$10,'VK-Biokütused'!$C:$G,2+$E54,FALSE)+ VLOOKUP(X$10,'VK-Elekter'!$C:$I,2+$D54,FALSE)+ VLOOKUP(X$10,'VK-Põlevkivi'!$C:$I,2+$G54,FALSE)+ VLOOKUP(X$10,'VK-Võrgud'!$C:$I,2+$F54,FALSE)</f>
        <v>7.0859018664733125E-2</v>
      </c>
      <c r="Y54" s="226">
        <f>VLOOKUP(Y$10,'VK-Hooned-Soojus'!$C:$I,2+$C54,FALSE) + VLOOKUP(Y$10,'VK-Transport'!$C:$I,2+$B54,FALSE)+ VLOOKUP(Y$10,'VK-Biokütused'!$C:$G,2+$E54,FALSE)+ VLOOKUP(Y$10,'VK-Elekter'!$C:$I,2+$D54,FALSE)+ VLOOKUP(Y$10,'VK-Põlevkivi'!$C:$I,2+$G54,FALSE)+ VLOOKUP(Y$10,'VK-Võrgud'!$C:$I,2+$F54,FALSE)</f>
        <v>6.2756231977295518E-2</v>
      </c>
      <c r="Z54" s="227">
        <f>(S54*Tulemused!$Q$9*10+T54*Tulemused!$Q$10*10+KOMBI!U54*Tulemused!$Q$11*10+KOMBI!V54*Tulemused!$Q$12*10)*Tulemused!$Q$8+-(W54*Tulemused!$Q$14*10+KOMBI!X54*Tulemused!$Q$15*10+KOMBI!Y54*Tulemused!$Q$16*10)*Tulemused!$Q$13</f>
        <v>3.7566413514504391</v>
      </c>
      <c r="AA54" s="228">
        <f>(IF(AA$7="X",VLOOKUP(AA$10,'VK-Hooned-Soojus'!$C:$X,2+$C54,FALSE),0)+IF(AA$6="X",VLOOKUP(AA$10,'VK-Transport'!$C:$X,2+$B54,0))+IF(AA$8="X",VLOOKUP(AA$10,'VK-Elekter'!$C:$X,2+$D54,0))+IF(AA$9="X",VLOOKUP(AA$10,'VK-Biokütused'!$C:$U,2+$E54,0))+IF(AA$5="X",VLOOKUP(AA$10,'VK-Põlevkivi'!$C:$X,2+$G54,0))+IF(AA$4="X",VLOOKUP(AA$10,'VK-Võrgud'!$C:$X,2+$F54,0)))</f>
        <v>4727</v>
      </c>
      <c r="AB54" s="228">
        <f>(IF(AB$7="X",VLOOKUP(AB$10,'VK-Hooned-Soojus'!$C:$X,2+$C54,FALSE),0)+IF(AB$6="X",VLOOKUP(AB$10,'VK-Transport'!$C:$X,2+$B54,0))+IF(AB$8="X",VLOOKUP(AB$10,'VK-Elekter'!$C:$X,2+$D54,0))+IF(AB$9="X",VLOOKUP(AB$10,'VK-Biokütused'!$C:$U,2+$E54,0))+IF(AB$5="X",VLOOKUP(AB$10,'VK-Põlevkivi'!$C:$X,2+$G54,0))+IF(AB$4="X",VLOOKUP(AB$10,'VK-Võrgud'!$C:$X,2+$F54,0)))</f>
        <v>1177</v>
      </c>
      <c r="AC54" s="228">
        <f>(IF(AC$7="X",VLOOKUP(AC$10,'VK-Hooned-Soojus'!$C:$X,2+$C54,FALSE),0)+IF(AC$6="X",VLOOKUP(AC$10,'VK-Transport'!$C:$X,2+$B54,0))+IF(AC$8="X",VLOOKUP(AC$10,'VK-Elekter'!$C:$X,2+$D54,0))+IF(AC$9="X",VLOOKUP(AC$10,'VK-Biokütused'!$C:$U,2+$E54,0))+IF(AC$5="X",VLOOKUP(AC$10,'VK-Põlevkivi'!$C:$X,2+$G54,0))+IF(AC$4="X",VLOOKUP(AC$10,'VK-Võrgud'!$C:$X,2+$F54,0)))</f>
        <v>2346</v>
      </c>
      <c r="AD54" s="228">
        <f>(IF(AD$7="X",VLOOKUP(AD$10,'VK-Hooned-Soojus'!$C:$X,2+$C54,FALSE),0)+IF(AD$6="X",VLOOKUP(AD$10,'VK-Transport'!$C:$X,2+$B54,0))+IF(AD$8="X",VLOOKUP(AD$10,'VK-Elekter'!$C:$X,2+$D54,0))+IF(AD$9="X",VLOOKUP(AD$10,'VK-Biokütused'!$C:$U,2+$E54,0))+IF(AD$5="X",VLOOKUP(AD$10,'VK-Põlevkivi'!$C:$X,2+$G54,0))+IF(AD$4="X",VLOOKUP(AD$10,'VK-Võrgud'!$C:$X,2+$F54,0)))</f>
        <v>377.5</v>
      </c>
      <c r="AE54" s="228">
        <f>(IF(AE$7="X",VLOOKUP(AE$10,'VK-Hooned-Soojus'!$C:$X,2+$C54,FALSE),0)+IF(AE$6="X",VLOOKUP(AE$10,'VK-Transport'!$C:$X,2+$B54,0))+IF(AE$8="X",VLOOKUP(AE$10,'VK-Elekter'!$C:$X,2+$D54,0))+IF(AE$9="X",VLOOKUP(AE$10,'VK-Biokütused'!$C:$U,2+$E54,0))+IF(AE$5="X",VLOOKUP(AE$10,'VK-Põlevkivi'!$C:$X,2+$G54,0))+IF(AE$4="X",VLOOKUP(AE$10,'VK-Võrgud'!$C:$X,2+$F54,0)))</f>
        <v>507</v>
      </c>
      <c r="AF54" s="228">
        <f>(IF(AF$7="X",VLOOKUP(AF$10,'VK-Hooned-Soojus'!$C:$X,2+$C54,FALSE),0)+IF(AF$6="X",VLOOKUP(AF$10,'VK-Transport'!$C:$X,2+$B54,0))+IF(AF$8="X",VLOOKUP(AF$10,'VK-Elekter'!$C:$X,2+$D54,0))+IF(AF$9="X",VLOOKUP(AF$10,'VK-Biokütused'!$C:$U,2+$E54,0))+IF(AF$5="X",VLOOKUP(AF$10,'VK-Põlevkivi'!$C:$X,2+$G54,0))+IF(AF$4="X",VLOOKUP(AF$10,'VK-Võrgud'!$C:$X,2+$F54,0)))</f>
        <v>2490.6368215830603</v>
      </c>
      <c r="AG54" s="209"/>
      <c r="AH54" s="209">
        <f>IF(AH$7="X",VLOOKUP(AH$10,'VK-Hooned-Soojus'!$C:$X,2+$C54,FALSE),0)+IF(AH$6="X",VLOOKUP(AH$10,'VK-Transport'!$C:$X,2+$B54,0))+IF(AH$8="X",VLOOKUP(AH$10,'VK-Elekter'!$C:$X,2+$D54,0))+IF(AH$9="X",VLOOKUP(AH$10,'VK-Biokütused'!$C:$U,2+$E54,0))+IF(AH$5="X",VLOOKUP(AH$10,'VK-Põlevkivi'!$C:$X,2+$G54,0))+IF(AH$4="X",VLOOKUP(AH$10,'VK-Võrgud'!$C:$X,2+$F54,0))</f>
        <v>17.400000000000002</v>
      </c>
      <c r="AI54" s="209">
        <f>IF(AI$7="X",VLOOKUP(AI$10,'VK-Hooned-Soojus'!$C:$X,2+$C54,FALSE),0)+IF(AI$6="X",VLOOKUP(AI$10,'VK-Transport'!$C:$X,2+$B54,0))+IF(AI$8="X",VLOOKUP(AI$10,'VK-Elekter'!$C:$X,2+$D54,0))+IF(AI$9="X",VLOOKUP(AI$10,'VK-Biokütused'!$C:$U,2+$E54,0))+IF(AI$5="X",VLOOKUP(AI$10,'VK-Põlevkivi'!$C:$X,2+$G54,0))+IF(AI$4="X",VLOOKUP(AI$10,'VK-Võrgud'!$C:$X,2+$F54,0))</f>
        <v>2.3100000000000005</v>
      </c>
      <c r="AJ54" s="209">
        <f>IF(AJ$7="X",VLOOKUP(AJ$10,'VK-Hooned-Soojus'!$C:$X,2+$C54,FALSE),0)+IF(AJ$6="X",VLOOKUP(AJ$10,'VK-Transport'!$C:$X,2+$B54,0))+IF(AJ$8="X",VLOOKUP(AJ$10,'VK-Elekter'!$C:$X,2+$D54,0))+IF(AJ$9="X",VLOOKUP(AJ$10,'VK-Biokütused'!$C:$U,2+$E54,0))+IF(AJ$5="X",VLOOKUP(AJ$10,'VK-Põlevkivi'!$C:$X,2+$G54,0))+IF(AJ$4="X",VLOOKUP(AJ$10,'VK-Võrgud'!$C:$X,2+$F54,0))</f>
        <v>4.59</v>
      </c>
      <c r="AK54" s="209">
        <f>IF(AK$7="X",VLOOKUP(AK$10,'VK-Hooned-Soojus'!$C:$X,2+$C54,FALSE),0)+IF(AK$6="X",VLOOKUP(AK$10,'VK-Transport'!$C:$X,2+$B54,0))+IF(AK$8="X",VLOOKUP(AK$10,'VK-Elekter'!$C:$X,2+$D54,0))+IF(AK$9="X",VLOOKUP(AK$10,'VK-Biokütused'!$C:$U,2+$E54,0))+IF(AK$5="X",VLOOKUP(AK$10,'VK-Põlevkivi'!$C:$X,2+$G54,0))+IF(AK$4="X",VLOOKUP(AK$10,'VK-Võrgud'!$C:$X,2+$F54,0))</f>
        <v>-0.41</v>
      </c>
      <c r="AL54" s="209">
        <f>IF(AL$7="X",VLOOKUP(AL$10,'VK-Hooned-Soojus'!$C:$X,2+$C54,FALSE),0)+IF(AL$6="X",VLOOKUP(AL$10,'VK-Transport'!$C:$X,2+$B54,0))+IF(AL$8="X",VLOOKUP(AL$10,'VK-Elekter'!$C:$X,2+$D54,0))+IF(AL$9="X",VLOOKUP(AL$10,'VK-Biokütused'!$C:$U,2+$E54,0))+IF(AL$5="X",VLOOKUP(AL$10,'VK-Põlevkivi'!$C:$X,2+$G54,0))+IF(AL$4="X",VLOOKUP(AL$10,'VK-Võrgud'!$C:$X,2+$F54,0))</f>
        <v>7.1</v>
      </c>
      <c r="AM54" s="209">
        <f>IF(AM$7="X",VLOOKUP(AM$10,'VK-Hooned-Soojus'!$C:$X,2+$C54,FALSE),0)+IF(AM$6="X",VLOOKUP(AM$10,'VK-Transport'!$C:$X,2+$B54,0))+IF(AM$8="X",VLOOKUP(AM$10,'VK-Elekter'!$C:$X,2+$D54,0))+IF(AM$9="X",VLOOKUP(AM$10,'VK-Biokütused'!$C:$U,2+$E54,0))+IF(AM$5="X",VLOOKUP(AM$10,'VK-Põlevkivi'!$C:$X,2+$G54,0))+IF(AM$4="X",VLOOKUP(AM$10,'VK-Võrgud'!$C:$X,2+$F54,0))</f>
        <v>11.5</v>
      </c>
      <c r="AN54" s="209">
        <f>IF(AN$7="X",VLOOKUP(AN$10,'VK-Hooned-Soojus'!$C:$X,2+$C54,FALSE),0)+IF(AN$6="X",VLOOKUP(AN$10,'VK-Transport'!$C:$X,2+$B54,0))+IF(AN$8="X",VLOOKUP(AN$10,'VK-Elekter'!$C:$X,2+$D54,0))+IF(AN$9="X",VLOOKUP(AN$10,'VK-Biokütused'!$C:$U,2+$E54,0))+IF(AN$5="X",VLOOKUP(AN$10,'VK-Põlevkivi'!$C:$X,2+$G54,0))+IF(AN$4="X",VLOOKUP(AN$10,'VK-Võrgud'!$C:$X,2+$F54,0))</f>
        <v>4.0999999999999996</v>
      </c>
      <c r="AO54" s="209">
        <f>IF(AO$7="X",VLOOKUP(AO$10,'VK-Hooned-Soojus'!$C:$X,2+$C54,FALSE),0)+IF(AO$6="X",VLOOKUP(AO$10,'VK-Transport'!$C:$X,2+$B54,0))+IF(AO$8="X",VLOOKUP(AO$10,'VK-Elekter'!$C:$X,2+$D54,0))+IF(AO$9="X",VLOOKUP(AO$10,'VK-Biokütused'!$C:$U,2+$E54,0))+IF(AO$5="X",VLOOKUP(AO$10,'VK-Põlevkivi'!$C:$X,2+$G54,0))+IF(AO$4="X",VLOOKUP(AO$10,'VK-Võrgud'!$C:$X,2+$F54,0))</f>
        <v>12.16</v>
      </c>
      <c r="AP54" s="209">
        <f>IF(AP$7="X",VLOOKUP(AP$10,'VK-Hooned-Soojus'!$C:$X,2+$C54,FALSE),0)+IF(AP$6="X",VLOOKUP(AP$10,'VK-Transport'!$C:$X,2+$B54,0))+IF(AP$8="X",VLOOKUP(AP$10,'VK-Elekter'!$C:$X,2+$D54,0))+IF(AP$9="X",VLOOKUP(AP$10,'VK-Biokütused'!$C:$U,2+$E54,0))+IF(AP$5="X",VLOOKUP(AP$10,'VK-Põlevkivi'!$C:$X,2+$G54,0))+IF(AP$4="X",VLOOKUP(AP$10,'VK-Võrgud'!$C:$X,2+$F54,0))</f>
        <v>6.08</v>
      </c>
      <c r="AQ54" s="320">
        <f t="shared" si="14"/>
        <v>0</v>
      </c>
      <c r="AR54" s="209">
        <f>IF(AR$7="X",VLOOKUP(AR$10,'VK-Hooned-Soojus'!$C:$X,2+$C54,FALSE),0)+IF(AR$6="X",VLOOKUP(AR$10,'VK-Transport'!$C:$X,2+$B54,0))+IF(AR$8="X",VLOOKUP(AR$10,'VK-Elekter'!$C:$X,2+$D54,0))+IF(AR$9="X",VLOOKUP(AR$10,'VK-Biokütused'!$C:$U,2+$E54,0))+IF(AR$5="X",VLOOKUP(AR$10,'VK-Põlevkivi'!$C:$X,2+$G54,0))+IF(AR$4="X",VLOOKUP(AR$10,'VK-Võrgud'!$C:$X,2+$F54,0))</f>
        <v>12.809999999999999</v>
      </c>
      <c r="AS54" s="235">
        <f>'VK-Põlevkivi'!$F$8-AR54-AU54</f>
        <v>14.298622986547709</v>
      </c>
      <c r="AT54" s="209">
        <f>IF(AT$7="X",VLOOKUP(AT$10,'VK-Hooned-Soojus'!$C:$X,2+$C54,FALSE),0)+IF(AT$6="X",VLOOKUP(AT$10,'VK-Transport'!$C:$X,2+$B54,0))+IF(AT$8="X",VLOOKUP(AT$10,'VK-Elekter'!$C:$X,2+$D54,0))+IF(AT$9="X",VLOOKUP(AT$10,'VK-Biokütused'!$C:$U,2+$E54,0))+IF(AT$5="X",VLOOKUP(AT$10,'VK-Põlevkivi'!$C:$X,2+$G54,0))+IF(AT$4="X",VLOOKUP(AT$10,'VK-Võrgud'!$C:$X,2+$F54,0))</f>
        <v>12.004929222526066</v>
      </c>
      <c r="AU54" s="235">
        <f>'VK-Põlevkivi'!$F$9-VLOOKUP("Kütuste tarbimine @ 2030 - PÕLEVKIVIÕLI",'VK-Hooned-Soojus'!$C:$X,2+$C54,FALSE)</f>
        <v>29.428043680118964</v>
      </c>
      <c r="AV54" s="209">
        <f>IF(AV$7="X",VLOOKUP(AV$10,'VK-Hooned-Soojus'!$C:$X,2+$C54,FALSE),0)+IF(AV$6="X",VLOOKUP(AV$10,'VK-Transport'!$C:$X,2+$B54,0))+IF(AV$8="X",VLOOKUP(AV$10,'VK-Elekter'!$C:$X,2+$D54,0))+IF(AV$9="X",VLOOKUP(AV$10,'VK-Biokütused'!$C:$U,2+$E54,0))+IF(AV$5="X",VLOOKUP(AV$10,'VK-Põlevkivi'!$C:$X,2+$G54,0))+IF(AV$4="X",VLOOKUP(AV$10,'VK-Võrgud'!$C:$X,2+$F54,0))</f>
        <v>1.1831224847375093</v>
      </c>
      <c r="AW54" s="209">
        <f>IF(AW$7="X",VLOOKUP(AW$10,'VK-Hooned-Soojus'!$C:$X,2+$C54,FALSE),0)+IF(AW$6="X",VLOOKUP(AW$10,'VK-Transport'!$C:$X,2+$B54,0))+IF(AW$8="X",VLOOKUP(AW$10,'VK-Elekter'!$C:$X,2+$D54,0))+IF(AW$9="X",VLOOKUP(AW$10,'VK-Biokütused'!$C:$U,2+$E54,0))+IF(AW$5="X",VLOOKUP(AW$10,'VK-Põlevkivi'!$C:$X,2+$G54,0))+IF(AW$4="X",VLOOKUP(AW$10,'VK-Võrgud'!$C:$X,2+$F54,0))</f>
        <v>2.141</v>
      </c>
      <c r="AX54" s="229">
        <f t="shared" si="34"/>
        <v>0.95787751526249076</v>
      </c>
      <c r="AY54" s="229">
        <f t="shared" si="15"/>
        <v>0</v>
      </c>
      <c r="AZ54" s="230">
        <f t="shared" si="36"/>
        <v>0.32798761679216937</v>
      </c>
      <c r="BA54" s="209">
        <f>IF(BA$7="X",VLOOKUP(BA$10,'VK-Hooned-Soojus'!$C:$X,2+$C54,FALSE),0)+IF(BA$6="X",VLOOKUP(BA$10,'VK-Transport'!$C:$X,2+$B54,0))+IF(BA$8="X",VLOOKUP(BA$10,'VK-Elekter'!$C:$X,2+$D54,0))+IF(BA$9="X",VLOOKUP(BA$10,'VK-Biokütused'!$C:$U,2+$E54,0))+IF(BA$5="X",VLOOKUP(BA$10,'VK-Põlevkivi'!$C:$X,2+$G54,0))+IF(BA$4="X",VLOOKUP(BA$10,'VK-Võrgud'!$C:$X,2+$F54,0))</f>
        <v>7.41</v>
      </c>
      <c r="BB54" s="209">
        <f>IF(BB$7="X",VLOOKUP(BB$10,'VK-Hooned-Soojus'!$C:$X,2+$C54,FALSE),0)+IF(BB$6="X",VLOOKUP(BB$10,'VK-Transport'!$C:$X,2+$B54,0))+IF(BB$8="X",VLOOKUP(BB$10,'VK-Elekter'!$C:$X,2+$D54,0))+IF(BB$9="X",VLOOKUP(BB$10,'VK-Biokütused'!$C:$U,2+$E54,0))+IF(BB$5="X",VLOOKUP(BB$10,'VK-Põlevkivi'!$C:$X,2+$G54,0))+IF(BB$4="X",VLOOKUP(BB$10,'VK-Võrgud'!$C:$X,2+$F54,0))</f>
        <v>2.96</v>
      </c>
      <c r="BC54" s="209">
        <f>IF(BC$7="X",VLOOKUP(BC$10,'VK-Hooned-Soojus'!$C:$X,2+$C54,FALSE),0)+IF(BC$6="X",VLOOKUP(BC$10,'VK-Transport'!$C:$X,2+$B54,0))+IF(BC$8="X",VLOOKUP(BC$10,'VK-Elekter'!$C:$X,2+$D54,0))+IF(BC$9="X",VLOOKUP(BC$10,'VK-Biokütused'!$C:$U,2+$E54,0))+IF(BC$5="X",VLOOKUP(BC$10,'VK-Põlevkivi'!$C:$X,2+$G54,0))+IF(BC$4="X",VLOOKUP(BC$10,'VK-Võrgud'!$C:$X,2+$F54,0))</f>
        <v>5.2376666666666667</v>
      </c>
      <c r="BD54" s="209">
        <f>IF(BD$7="X",VLOOKUP(BD$10,'VK-Hooned-Soojus'!$C:$X,2+$C54,FALSE),0)+IF(BD$6="X",VLOOKUP(BD$10,'VK-Transport'!$C:$X,2+$B54,0))+IF(BD$8="X",VLOOKUP(BD$10,'VK-Elekter'!$C:$X,2+$D54,0))+IF(BD$9="X",VLOOKUP(BD$10,'VK-Biokütused'!$C:$U,2+$E54,0))+IF(BD$5="X",VLOOKUP(BD$10,'VK-Põlevkivi'!$C:$X,2+$G54,0))+IF(BD$4="X",VLOOKUP(BD$10,'VK-Võrgud'!$C:$X,2+$F54,0))</f>
        <v>9.1105555555555569</v>
      </c>
      <c r="BE54" s="230"/>
      <c r="BF54" s="229">
        <f t="shared" si="16"/>
        <v>0.23762142209645587</v>
      </c>
      <c r="BG54" s="209" t="e">
        <f>(IF(BG$7="X",VLOOKUP(BG$10,'VK-Hooned-Soojus'!$C:$X,2+$C54,FALSE),0)+IF(BG$6="X",VLOOKUP(BG$10,'VK-Transport'!$C:$X,2+$B54,0))+IF(BG$8="X",VLOOKUP(BG$10,'VK-Elekter'!$C:$X,2+$D54,0))+IF(BG$9="X",VLOOKUP(BG$10,'VK-Biokütused'!$C:$U,2+$E54,0))+IF(BG$5="X",VLOOKUP(BG$10,'VK-Põlevkivi'!$C:$X,2+$G54,0))+IF(BG$4="X",VLOOKUP(BG$10,'VK-Võrgud'!$C:$X,2+$F54,0)))/20</f>
        <v>#N/A</v>
      </c>
      <c r="BH54" s="209">
        <f>(IF(BH$7="X",VLOOKUP(BH$10,'VK-Hooned-Soojus'!$C:$X,2+$C54,FALSE),0)+IF(BH$6="X",VLOOKUP(BH$10,'VK-Transport'!$C:$X,2+$B54,0))+IF(BH$8="X",VLOOKUP(BH$10,'VK-Elekter'!$C:$X,2+$D54,0))+IF(BH$9="X",VLOOKUP(BH$10,'VK-Biokütused'!$C:$U,2+$E54,0))+IF(BH$5="X",VLOOKUP(BH$10,'VK-Põlevkivi'!$C:$X,2+$G54,0))+IF(BH$4="X",VLOOKUP(BH$10,'VK-Võrgud'!$C:$X,2+$F54,0)))/20</f>
        <v>84.204999999999998</v>
      </c>
      <c r="BI54" s="209">
        <f>(IF(BI$7="X",VLOOKUP(BI$10,'VK-Hooned-Soojus'!$C:$X,2+$C54,FALSE),0)+IF(BI$6="X",VLOOKUP(BI$10,'VK-Transport'!$C:$X,2+$B54,0))+IF(BI$8="X",VLOOKUP(BI$10,'VK-Elekter'!$C:$X,2+$D54,0))+IF(BI$9="X",VLOOKUP(BI$10,'VK-Biokütused'!$C:$U,2+$E54,0))+IF(BI$5="X",VLOOKUP(BI$10,'VK-Põlevkivi'!$C:$X,2+$G54,0))+IF(BI$4="X",VLOOKUP(BI$10,'VK-Võrgud'!$C:$X,2+$F54,0)))/16</f>
        <v>8.9375</v>
      </c>
      <c r="BJ54" s="209">
        <f>(IF(BJ$7="X",VLOOKUP(BJ$10,'VK-Hooned-Soojus'!$C:$X,2+$C54,FALSE),0)+IF(BJ$6="X",VLOOKUP(BJ$10,'VK-Transport'!$C:$X,2+$B54,0))+IF(BJ$8="X",VLOOKUP(BJ$10,'VK-Elekter'!$C:$X,2+$D54,0))+IF(BJ$9="X",VLOOKUP(BJ$10,'VK-Biokütused'!$C:$U,2+$E54,0))+IF(BJ$5="X",VLOOKUP(BJ$10,'VK-Põlevkivi'!$C:$X,2+$G54,0))+IF(BJ$4="X",VLOOKUP(BJ$10,'VK-Võrgud'!$C:$X,2+$F54,0)))/20</f>
        <v>5.33</v>
      </c>
      <c r="BK54" s="209"/>
      <c r="BL54" s="209"/>
      <c r="BM54" s="209"/>
      <c r="BN54" s="209" t="e">
        <f>(IF(BN$7="X",VLOOKUP(BN$10,'VK-Hooned-Soojus'!$C:$X,2+$C54,FALSE),0)+IF(BN$6="X",VLOOKUP(BN$10,'VK-Transport'!$C:$X,2+$B54,0))+IF(BN$8="X",VLOOKUP(BN$10,'VK-Elekter'!$C:$X,2+$D54,0))+IF(BN$9="X",VLOOKUP(BN$10,'VK-Biokütused'!$C:$U,2+$E54,0))+IF(BN$5="X",VLOOKUP(BN$10,'VK-Põlevkivi'!$C:$X,2+$G54,0))+IF(BN$4="X",VLOOKUP(BN$10,'VK-Võrgud'!$C:$X,2+$F54,0)))/16</f>
        <v>#N/A</v>
      </c>
      <c r="BO54" s="209">
        <f>(IF(BO$7="X",VLOOKUP(BO$10,'VK-Hooned-Soojus'!$C:$X,2+$C54,FALSE),0)+IF(BO$6="X",VLOOKUP(BO$10,'VK-Transport'!$C:$X,2+$B54,0))+IF(BO$8="X",VLOOKUP(BO$10,'VK-Elekter'!$C:$X,2+$D54,0))+IF(BO$9="X",VLOOKUP(BO$10,'VK-Biokütused'!$C:$U,2+$E54,0))+IF(BO$5="X",VLOOKUP(BO$10,'VK-Põlevkivi'!$C:$X,2+$G54,0))+IF(BO$4="X",VLOOKUP(BO$10,'VK-Võrgud'!$C:$X,2+$F54,0)))/16</f>
        <v>496.33125000000001</v>
      </c>
      <c r="BP54" s="209"/>
      <c r="BQ54" s="209">
        <f>(IF(BQ$7="X",VLOOKUP(BQ$10,'VK-Hooned-Soojus'!$C:$X,2+$C54,FALSE),0)+IF(BQ$6="X",VLOOKUP(BQ$10,'VK-Transport'!$C:$X,2+$B54,0))+IF(BQ$8="X",VLOOKUP(BQ$10,'VK-Elekter'!$C:$X,2+$D54,0))+IF(BQ$9="X",VLOOKUP(BQ$10,'VK-Biokütused'!$C:$U,2+$E54,0))+IF(BQ$5="X",VLOOKUP(BQ$10,'VK-Põlevkivi'!$C:$X,2+$G54,0))+IF(BQ$4="X",VLOOKUP(BQ$10,'VK-Võrgud'!$C:$X,2+$F54,0)))/16</f>
        <v>4.7249999999999996</v>
      </c>
      <c r="BR54" s="209">
        <f>(IF(BR$7="X",VLOOKUP(BR$10,'VK-Hooned-Soojus'!$C:$X,2+$C54,FALSE),0)+IF(BR$6="X",VLOOKUP(BR$10,'VK-Transport'!$C:$X,2+$B54,0))+IF(BR$8="X",VLOOKUP(BR$10,'VK-Elekter'!$C:$X,2+$D54,0))+IF(BR$9="X",VLOOKUP(BR$10,'VK-Biokütused'!$C:$U,2+$E54,0))+IF(BR$5="X",VLOOKUP(BR$10,'VK-Põlevkivi'!$C:$X,2+$G54,0))+IF(BR$4="X",VLOOKUP(BR$10,'VK-Võrgud'!$C:$X,2+$F54,0)))/16</f>
        <v>-74.512500000000003</v>
      </c>
      <c r="BS54" s="209">
        <f>(IF(BS$7="X",VLOOKUP(BS$10,'VK-Hooned-Soojus'!$C:$X,2+$C54,FALSE),0)+IF(BS$6="X",VLOOKUP(BS$10,'VK-Transport'!$C:$X,2+$B54,0))+IF(BS$8="X",VLOOKUP(BS$10,'VK-Elekter'!$C:$X,2+$D54,0))+IF(BS$9="X",VLOOKUP(BS$10,'VK-Biokütused'!$C:$U,2+$E54,0))+IF(BS$5="X",VLOOKUP(BS$10,'VK-Põlevkivi'!$C:$X,2+$G54,0))+IF(BS$4="X",VLOOKUP(BS$10,'VK-Võrgud'!$C:$X,2+$F54,0)))/16</f>
        <v>-100.68125000000001</v>
      </c>
      <c r="BT54" s="209"/>
      <c r="BU54" s="209"/>
      <c r="BV54" s="209">
        <f>(IF(BV$7="X",VLOOKUP(BV$10,'VK-Hooned-Soojus'!$C:$X,2+$C54,FALSE),0)+IF(BV$6="X",VLOOKUP(BV$10,'VK-Transport'!$C:$X,2+$B54,0))+IF(BV$8="X",VLOOKUP(BV$10,'VK-Elekter'!$C:$X,2+$D54,0))+IF(BV$9="X",VLOOKUP(BV$10,'VK-Biokütused'!$C:$U,2+$E54,0))+IF(BV$5="X",VLOOKUP(BV$10,'VK-Põlevkivi'!$C:$X,2+$G54,0))+IF(BV$4="X",VLOOKUP(BV$10,'VK-Võrgud'!$C:$X,2+$F54,0)))/16</f>
        <v>0</v>
      </c>
      <c r="BW54" s="209"/>
      <c r="BX54" s="209">
        <f>(IF(BX$7="X",VLOOKUP(BX$10,'VK-Hooned-Soojus'!$C:$X,2+$C54,FALSE),0)+IF(BX$6="X",VLOOKUP(BX$10,'VK-Transport'!$C:$X,2+$B54,0))+IF(BX$8="X",VLOOKUP(BX$10,'VK-Elekter'!$C:$X,2+$D54,0))+IF(BX$9="X",VLOOKUP(BX$10,'VK-Biokütused'!$C:$U,2+$E54,0))+IF(BX$5="X",VLOOKUP(BX$10,'VK-Põlevkivi'!$C:$X,2+$G54,0))+IF(BX$4="X",VLOOKUP(BX$10,'VK-Võrgud'!$C:$X,2+$F54,0)))/16</f>
        <v>-145.125</v>
      </c>
      <c r="BY54" s="209"/>
      <c r="BZ54" s="209"/>
      <c r="CA54" s="209" t="e">
        <f>(IF(CA$7="X",VLOOKUP(CA$10,'VK-Hooned-Soojus'!$C:$X,2+$C54,FALSE),0)+IF(CA$6="X",VLOOKUP(CA$10,'VK-Transport'!$C:$X,2+$B54,0))+IF(CA$8="X",VLOOKUP(CA$10,'VK-Elekter'!$C:$X,2+$D54,0))+IF(CA$9="X",VLOOKUP(CA$10,'VK-Biokütused'!$C:$U,2+$E54,0))+IF(CA$5="X",VLOOKUP(CA$10,'VK-Põlevkivi'!$C:$X,2+$G54,0))+IF(CA$4="X",VLOOKUP(CA$10,'VK-Võrgud'!$C:$X,2+$F54,0)))/16</f>
        <v>#N/A</v>
      </c>
      <c r="CB54" s="209">
        <f>(IF(CB$7="X",VLOOKUP(CB$10,'VK-Hooned-Soojus'!$C:$X,2+$C54,FALSE),0)+IF(CB$6="X",VLOOKUP(CB$10,'VK-Transport'!$C:$X,2+$B54,0))+IF(CB$8="X",VLOOKUP(CB$10,'VK-Elekter'!$C:$X,2+$D54,0))+IF(CB$9="X",VLOOKUP(CB$10,'VK-Biokütused'!$C:$U,2+$E54,0))+IF(CB$5="X",VLOOKUP(CB$10,'VK-Põlevkivi'!$C:$X,2+$G54,0))+IF(CB$4="X",VLOOKUP(CB$10,'VK-Võrgud'!$C:$X,2+$F54,0)))/16</f>
        <v>0</v>
      </c>
      <c r="CC54" s="209">
        <f>(IF(CC$7="X",VLOOKUP(CC$10,'VK-Hooned-Soojus'!$C:$X,2+$C54,FALSE),0)+IF(CC$6="X",VLOOKUP(CC$10,'VK-Transport'!$C:$X,2+$B54,0))+IF(CC$8="X",VLOOKUP(CC$10,'VK-Elekter'!$C:$X,2+$D54,0))+IF(CC$9="X",VLOOKUP(CC$10,'VK-Biokütused'!$C:$U,2+$E54,0))+IF(CC$5="X",VLOOKUP(CC$10,'VK-Põlevkivi'!$C:$X,2+$G54,0))+IF(CC$4="X",VLOOKUP(CC$10,'VK-Võrgud'!$C:$X,2+$F54,0)))/16</f>
        <v>0</v>
      </c>
      <c r="CD54" s="209"/>
      <c r="CE54" s="209">
        <f>(IF(CE$7="X",VLOOKUP(CE$10,'VK-Hooned-Soojus'!$C:$X,2+$C54,FALSE),0)+IF(CE$6="X",VLOOKUP(CE$10,'VK-Transport'!$C:$X,2+$B54,0))+IF(CE$8="X",VLOOKUP(CE$10,'VK-Elekter'!$C:$X,2+$D54,0))+IF(CE$9="X",VLOOKUP(CE$10,'VK-Biokütused'!$C:$U,2+$E54,0))+IF(CE$5="X",VLOOKUP(CE$10,'VK-Põlevkivi'!$C:$X,2+$G54,0))+IF(CE$4="X",VLOOKUP(CE$10,'VK-Võrgud'!$C:$X,2+$F54,0)))/16</f>
        <v>24.15625</v>
      </c>
      <c r="CF54" s="209"/>
      <c r="CG54" s="209">
        <f>(IF(CG$7="X",VLOOKUP(CG$10,'VK-Hooned-Soojus'!$C:$X,2+$C54,FALSE),0)+IF(CG$6="X",VLOOKUP(CG$10,'VK-Transport'!$C:$X,2+$B54,0))+IF(CG$8="X",VLOOKUP(CG$10,'VK-Elekter'!$C:$X,2+$D54,0))+IF(CG$9="X",VLOOKUP(CG$10,'VK-Biokütused'!$C:$U,2+$E54,0))+IF(CG$5="X",VLOOKUP(CG$10,'VK-Põlevkivi'!$C:$X,2+$G54,0))+IF(CG$4="X",VLOOKUP(CG$10,'VK-Võrgud'!$C:$X,2+$F54,0)))/16</f>
        <v>0</v>
      </c>
      <c r="CH54" s="209">
        <f>(IF(CH$7="X",VLOOKUP(CH$10,'VK-Hooned-Soojus'!$C:$X,2+$C54,FALSE),0)+IF(CH$6="X",VLOOKUP(CH$10,'VK-Transport'!$C:$X,2+$B54,0))+IF(CH$8="X",VLOOKUP(CH$10,'VK-Elekter'!$C:$X,2+$D54,0))+IF(CH$9="X",VLOOKUP(CH$10,'VK-Biokütused'!$C:$U,2+$E54,0))+IF(CH$5="X",VLOOKUP(CH$10,'VK-Põlevkivi'!$C:$X,2+$G54,0))+IF(CH$4="X",VLOOKUP(CH$10,'VK-Võrgud'!$C:$X,2+$F54,0)))/20*0.21</f>
        <v>26.9178</v>
      </c>
      <c r="CI54" s="209"/>
      <c r="CJ54" s="209">
        <f>(IF(CJ$7="X",VLOOKUP(CJ$10,'VK-Hooned-Soojus'!$C:$X,2+$C54,FALSE),0)+IF(CJ$6="X",VLOOKUP(CJ$10,'VK-Transport'!$C:$X,2+$B54,0))+IF(CJ$8="X",VLOOKUP(CJ$10,'VK-Elekter'!$C:$X,2+$D54,0))+IF(CJ$9="X",VLOOKUP(CJ$10,'VK-Biokütused'!$C:$U,2+$E54,0))+IF(CJ$5="X",VLOOKUP(CJ$10,'VK-Põlevkivi'!$C:$X,2+$G54,0))+IF(CJ$4="X",VLOOKUP(CJ$10,'VK-Võrgud'!$C:$X,2+$F54,0)))/1000</f>
        <v>23.055</v>
      </c>
      <c r="CK54" s="209">
        <f>(IF(CK$7="X",VLOOKUP(CK$10,'VK-Hooned-Soojus'!$C:$X,2+$C54,FALSE),0)+IF(CK$6="X",VLOOKUP(CK$10,'VK-Transport'!$C:$X,2+$B54,0))+IF(CK$8="X",VLOOKUP(CK$10,'VK-Elekter'!$C:$X,2+$D54,0))+IF(CK$9="X",VLOOKUP(CK$10,'VK-Biokütused'!$C:$U,2+$E54,0))+IF(CK$5="X",VLOOKUP(CK$10,'VK-Põlevkivi'!$C:$X,2+$G54,0))+IF(CK$4="X",VLOOKUP(CK$10,'VK-Võrgud'!$C:$X,2+$F54,0)))/1000</f>
        <v>37.843716140171821</v>
      </c>
      <c r="CL54" s="209">
        <f>(IF(CL$7="X",VLOOKUP(CL$10,'VK-Hooned-Soojus'!$C:$X,2+$C54,FALSE),0)+IF(CL$6="X",VLOOKUP(CL$10,'VK-Transport'!$C:$X,2+$B54,0))+IF(CL$8="X",VLOOKUP(CL$10,'VK-Elekter'!$C:$X,2+$D54,0))+IF(CL$9="X",VLOOKUP(CL$10,'VK-Biokütused'!$C:$U,2+$E54,0))+IF(CL$5="X",VLOOKUP(CL$10,'VK-Põlevkivi'!$C:$X,2+$G54,0))+IF(CL$4="X",VLOOKUP(CL$10,'VK-Võrgud'!$C:$X,2+$F54,0)))/1000</f>
        <v>12.14223327039346</v>
      </c>
      <c r="CM54" s="209">
        <f>(IF(CM$7="X",VLOOKUP(CM$10,'VK-Hooned-Soojus'!$C:$X,2+$C54,FALSE),0)+IF(CM$6="X",VLOOKUP(CM$10,'VK-Transport'!$C:$X,2+$B54,0))+IF(CM$8="X",VLOOKUP(CM$10,'VK-Elekter'!$C:$X,2+$D54,0))+IF(CM$9="X",VLOOKUP(CM$10,'VK-Biokütused'!$C:$U,2+$E54,0))+IF(CM$5="X",VLOOKUP(CM$10,'VK-Põlevkivi'!$C:$X,2+$G54,0))+IF(CM$4="X",VLOOKUP(CM$10,'VK-Võrgud'!$C:$X,2+$F54,0)))/1000</f>
        <v>7.5689896156049166</v>
      </c>
      <c r="CN54" s="209">
        <f>(IF(CN$7="X",VLOOKUP(CN$10,'VK-Hooned-Soojus'!$C:$X,2+$C54,FALSE),0)+IF(CN$6="X",VLOOKUP(CN$10,'VK-Transport'!$C:$X,2+$B54,0))+IF(CN$8="X",VLOOKUP(CN$10,'VK-Elekter'!$C:$X,2+$D54,0))+IF(CN$9="X",VLOOKUP(CN$10,'VK-Biokütused'!$C:$U,2+$E54,0))+IF(CN$5="X",VLOOKUP(CN$10,'VK-Põlevkivi'!$C:$X,2+$G54,0))+IF(CN$4="X",VLOOKUP(CN$10,'VK-Võrgud'!$C:$X,2+$F54,0)))/1000</f>
        <v>2.7559999999999998</v>
      </c>
      <c r="CO54" s="209">
        <f>(IF(CO$7="X",VLOOKUP(CO$10,'VK-Hooned-Soojus'!$C:$X,2+$C54,FALSE),0)+IF(CO$6="X",VLOOKUP(CO$10,'VK-Transport'!$C:$X,2+$B54,0))+IF(CO$8="X",VLOOKUP(CO$10,'VK-Elekter'!$C:$X,2+$D54,0))+IF(CO$9="X",VLOOKUP(CO$10,'VK-Biokütused'!$C:$U,2+$E54,0))+IF(CO$5="X",VLOOKUP(CO$10,'VK-Põlevkivi'!$C:$X,2+$G54,0))+IF(CO$4="X",VLOOKUP(CO$10,'VK-Võrgud'!$C:$X,2+$F54,0)))/1000</f>
        <v>30.469649773285454</v>
      </c>
      <c r="CP54" s="209">
        <f>(IF(CP$7="X",VLOOKUP(CP$10,'VK-Hooned-Soojus'!$C:$X,2+$C54,FALSE),0)+IF(CP$6="X",VLOOKUP(CP$10,'VK-Transport'!$C:$X,2+$B54,0))+IF(CP$8="X",VLOOKUP(CP$10,'VK-Elekter'!$C:$X,2+$D54,0))+IF(CP$9="X",VLOOKUP(CP$10,'VK-Biokütused'!$C:$U,2+$E54,0))+IF(CP$5="X",VLOOKUP(CP$10,'VK-Põlevkivi'!$C:$X,2+$G54,0))+IF(CP$4="X",VLOOKUP(CP$10,'VK-Võrgud'!$C:$X,2+$F54,0)))/1000</f>
        <v>32.304430478599883</v>
      </c>
      <c r="CQ54" s="209">
        <f>(IF(CQ$7="X",VLOOKUP(CQ$10,'VK-Hooned-Soojus'!$C:$X,2+$C54,FALSE),0)+IF(CQ$6="X",VLOOKUP(CQ$10,'VK-Transport'!$C:$X,2+$B54,0))+IF(CQ$8="X",VLOOKUP(CQ$10,'VK-Elekter'!$C:$X,2+$D54,0))+IF(CQ$9="X",VLOOKUP(CQ$10,'VK-Biokütused'!$C:$U,2+$E54,0))+IF(CQ$5="X",VLOOKUP(CQ$10,'VK-Põlevkivi'!$C:$X,2+$G54,0))+IF(CQ$4="X",VLOOKUP(CQ$10,'VK-Võrgud'!$C:$X,2+$F54,0)))/1000</f>
        <v>17.287907000000001</v>
      </c>
      <c r="CR54" s="209">
        <f>(IF(CR$7="X",VLOOKUP(CR$10,'VK-Hooned-Soojus'!$C:$X,2+$C54,FALSE),0)+IF(CR$6="X",VLOOKUP(CR$10,'VK-Transport'!$C:$X,2+$B54,0))+IF(CR$8="X",VLOOKUP(CR$10,'VK-Elekter'!$C:$X,2+$D54,0))+IF(CR$9="X",VLOOKUP(CR$10,'VK-Biokütused'!$C:$U,2+$E54,0))+IF(CR$5="X",VLOOKUP(CR$10,'VK-Põlevkivi'!$C:$X,2+$G54,0))+IF(CR$4="X",VLOOKUP(CR$10,'VK-Võrgud'!$C:$X,2+$F54,0)))/1000</f>
        <v>8.0467533562748041</v>
      </c>
      <c r="CS54" s="209">
        <f>(IF(CS$7="X",VLOOKUP(CS$10,'VK-Hooned-Soojus'!$C:$X,2+$C54,FALSE),0)+IF(CS$6="X",VLOOKUP(CS$10,'VK-Transport'!$C:$X,2+$B54,0))+IF(CS$8="X",VLOOKUP(CS$10,'VK-Elekter'!$C:$X,2+$D54,0))+IF(CS$9="X",VLOOKUP(CS$10,'VK-Biokütused'!$C:$U,2+$E54,0))+IF(CS$5="X",VLOOKUP(CS$10,'VK-Põlevkivi'!$C:$X,2+$G54,0))+IF(CS$4="X",VLOOKUP(CS$10,'VK-Võrgud'!$C:$X,2+$F54,0)))/1000</f>
        <v>3.9161524051216152</v>
      </c>
      <c r="CT54" s="209">
        <f>IF(CT$7="X",VLOOKUP(CT$10,'VK-Hooned-Soojus'!$C:$X,2+$C54,FALSE),0)+IF(CT$6="X",VLOOKUP(CT$10,'VK-Transport'!$C:$X,2+$B54,0))+IF(CT$8="X",VLOOKUP(CT$10,'VK-Elekter'!$C:$X,2+$D54,0))+IF(CT$9="X",VLOOKUP(CT$10,'VK-Biokütused'!$C:$U,2+$E54,0))+IF(CT$5="X",VLOOKUP(CT$10,'VK-Põlevkivi'!$C:$X,2+$G54,0))+IF(CT$4="X",VLOOKUP(CT$10,'VK-Võrgud'!$C:$X,2+$F54,0))</f>
        <v>90</v>
      </c>
      <c r="CU54" s="209">
        <f>IF(CU$7="X",VLOOKUP(CU$10,'VK-Hooned-Soojus'!$C:$X,2+$C54,FALSE),0)+IF(CU$6="X",VLOOKUP(CU$10,'VK-Transport'!$C:$X,2+$B54,0))+IF(CU$8="X",VLOOKUP(CU$10,'VK-Elekter'!$C:$X,2+$D54,0))+IF(CU$9="X",VLOOKUP(CU$10,'VK-Biokütused'!$C:$U,2+$E54,0))+IF(CU$5="X",VLOOKUP(CU$10,'VK-Põlevkivi'!$C:$X,2+$G54,0))+IF(CU$4="X",VLOOKUP(CU$10,'VK-Võrgud'!$C:$X,2+$F54,0))</f>
        <v>1</v>
      </c>
      <c r="CV54" s="209">
        <f t="shared" si="37"/>
        <v>0.91028830406496797</v>
      </c>
      <c r="CW54" s="209">
        <f>(IF(CW$7="X",VLOOKUP(CW$10,'VK-Hooned-Soojus'!$C:$X,2+$C54,FALSE),0)+IF(CW$6="X",VLOOKUP(CW$10,'VK-Transport'!$C:$X,2+$B54,0))+IF(CW$8="X",VLOOKUP(CW$10,'VK-Elekter'!$C:$X,2+$D54,0))+IF(CW$9="X",VLOOKUP(CW$10,'VK-Biokütused'!$C:$U,2+$E54,0))+IF(CW$5="X",VLOOKUP(CW$10,'VK-Põlevkivi'!$C:$X,2+$G54,0))+IF(CW$4="X",VLOOKUP(CW$10,'VK-Võrgud'!$C:$X,2+$F54,0)))/16</f>
        <v>59.743749999999999</v>
      </c>
      <c r="CY54" s="209">
        <f>(IF(CY$7="X",VLOOKUP(CY$10,'VK-Hooned-Soojus'!$C:$X,2+$C54,FALSE),0)+IF(CY$6="X",VLOOKUP(CY$10,'VK-Transport'!$C:$X,2+$B54,0))+IF(CY$8="X",VLOOKUP(CY$10,'VK-Elekter'!$C:$X,2+$D54,0))+IF(CY$9="X",VLOOKUP(CY$10,'VK-Biokütused'!$C:$U,2+$E54,0))+IF(CY$5="X",VLOOKUP(CY$10,'VK-Põlevkivi'!$C:$X,2+$G54,0))+IF(CY$4="X",VLOOKUP(CY$10,'VK-Võrgud'!$C:$X,2+$F54,0)))/1000</f>
        <v>11.848000000000001</v>
      </c>
      <c r="CZ54" s="209">
        <f>(IF(CZ$7="X",VLOOKUP(CZ$10,'VK-Hooned-Soojus'!$C:$X,2+$C54,FALSE),0)+IF(CZ$6="X",VLOOKUP(CZ$10,'VK-Transport'!$C:$X,2+$B54,0))+IF(CZ$8="X",VLOOKUP(CZ$10,'VK-Elekter'!$C:$X,2+$D54,0))+IF(CZ$9="X",VLOOKUP(CZ$10,'VK-Biokütused'!$C:$U,2+$E54,0))+IF(CZ$5="X",VLOOKUP(CZ$10,'VK-Põlevkivi'!$C:$X,2+$G54,0))+IF(CZ$4="X",VLOOKUP(CZ$10,'VK-Võrgud'!$C:$X,2+$F54,0)))</f>
        <v>99.4</v>
      </c>
      <c r="DA54" s="209">
        <f>(IF(DA$7="X",VLOOKUP(DA$10,'VK-Hooned-Soojus'!$C:$X,2+$C54,FALSE),0)+IF(DA$6="X",VLOOKUP(DA$10,'VK-Transport'!$C:$X,2+$B54,0))+IF(DA$8="X",VLOOKUP(DA$10,'VK-Elekter'!$C:$X,2+$D54,0))+IF(DA$9="X",VLOOKUP(DA$10,'VK-Biokütused'!$C:$U,2+$E54,0))+IF(DA$5="X",VLOOKUP(DA$10,'VK-Põlevkivi'!$C:$X,2+$G54,0))+IF(DA$4="X",VLOOKUP(DA$10,'VK-Võrgud'!$C:$X,2+$F54,0)))/1000</f>
        <v>16.928999999999998</v>
      </c>
      <c r="DB54" s="209">
        <f>(IF(DB$7="X",VLOOKUP(DB$10,'VK-Hooned-Soojus'!$C:$X,2+$C54,FALSE),0)+IF(DB$6="X",VLOOKUP(DB$10,'VK-Transport'!$C:$X,2+$B54,0))+IF(DB$8="X",VLOOKUP(DB$10,'VK-Elekter'!$C:$X,2+$D54,0))+IF(DB$9="X",VLOOKUP(DB$10,'VK-Biokütused'!$C:$U,2+$E54,0))+IF(DB$5="X",VLOOKUP(DB$10,'VK-Põlevkivi'!$C:$X,2+$G54,0))+IF(DB$4="X",VLOOKUP(DB$10,'VK-Võrgud'!$C:$X,2+$F54,0)))/1000/3.6</f>
        <v>137.9036111111111</v>
      </c>
      <c r="DC54" s="209">
        <f>(IF(DC$7="X",VLOOKUP(DC$10,'VK-Hooned-Soojus'!$C:$X,2+$C54,FALSE),0)+IF(DC$6="X",VLOOKUP(DC$10,'VK-Transport'!$C:$X,2+$B54,0))+IF(DC$8="X",VLOOKUP(DC$10,'VK-Elekter'!$C:$X,2+$D54,0))+IF(DC$9="X",VLOOKUP(DC$10,'VK-Biokütused'!$C:$U,2+$E54,0))+IF(DC$5="X",VLOOKUP(DC$10,'VK-Põlevkivi'!$C:$X,2+$G54,0))+IF(DC$4="X",VLOOKUP(DC$10,'VK-Võrgud'!$C:$X,2+$F54,0)))/1000000</f>
        <v>7.5417810000000003</v>
      </c>
      <c r="DD54" s="209"/>
      <c r="DE54" s="88">
        <f>VLOOKUP(Tulemused!$BN$12,data!M$7:N$12,2,FALSE)-SUM(L54,M54)</f>
        <v>-2.20664444444445</v>
      </c>
      <c r="DF54" s="209" t="str">
        <f>IF(AZ54&lt;=VLOOKUP(Tulemused!$BN$15,data!$E$36:$F$39,2,FALSE),"JAH","EI")</f>
        <v>JAH</v>
      </c>
      <c r="DG54" s="209"/>
      <c r="DH54" s="209">
        <f t="shared" si="38"/>
        <v>6.08</v>
      </c>
      <c r="DI54" s="231" t="str">
        <f t="shared" si="17"/>
        <v>EI</v>
      </c>
      <c r="DK54" s="232">
        <f t="shared" si="39"/>
        <v>-996.24335864854959</v>
      </c>
      <c r="DM54" s="233">
        <f t="shared" si="40"/>
        <v>-993.28666600509871</v>
      </c>
      <c r="DN54" s="87">
        <f t="array" ref="DN54">INDEX($A$11:$A$145, SMALL(IF(DM54=$DK$11:$DK$145, MATCH(ROW($DK$11:$DK$145), ROW($DK$11:$DK$145))), SUM(--(DM54=$DM$11:DM54))))</f>
        <v>55</v>
      </c>
      <c r="DP54" s="87" t="e">
        <f t="shared" ca="1" si="18"/>
        <v>#N/A</v>
      </c>
      <c r="DQ54" s="87" t="e">
        <f t="shared" ca="1" si="19"/>
        <v>#N/A</v>
      </c>
      <c r="DR54" s="87">
        <f t="shared" ca="1" si="20"/>
        <v>0</v>
      </c>
      <c r="DS54" s="87" t="e">
        <f t="shared" ca="1" si="21"/>
        <v>#N/A</v>
      </c>
      <c r="DT54" s="87">
        <f t="shared" ca="1" si="22"/>
        <v>0</v>
      </c>
      <c r="DU54" s="87" t="e">
        <f t="shared" ca="1" si="23"/>
        <v>#N/A</v>
      </c>
      <c r="DV54" s="87" t="e">
        <f t="shared" ca="1" si="24"/>
        <v>#N/A</v>
      </c>
      <c r="DW54" s="87">
        <f t="shared" ca="1" si="25"/>
        <v>0</v>
      </c>
      <c r="DX54" s="87">
        <f t="shared" ca="1" si="26"/>
        <v>0</v>
      </c>
      <c r="DZ54" s="87">
        <f t="shared" ca="1" si="35"/>
        <v>0</v>
      </c>
      <c r="EB54" s="87">
        <f t="shared" ca="1" si="27"/>
        <v>0</v>
      </c>
      <c r="EC54" s="87" t="e">
        <f t="shared" ca="1" si="28"/>
        <v>#N/A</v>
      </c>
      <c r="EE54" s="228">
        <f>(IF(EE$7="X",VLOOKUP(EE$10,'VK-Hooned-Soojus'!$C:$X,2+$C54,FALSE),0)+IF(EE$6="X",VLOOKUP(EE$10,'VK-Transport'!$C:$X,2+$B54,0))+IF(EE$8="X",VLOOKUP(EE$10,'VK-Elekter'!$C:$X,2+$D54,0))+IF(EE$9="X",VLOOKUP(EE$10,'VK-Biokütused'!$C:$U,2+$E54,0))+IF(EE$5="X",VLOOKUP(EE$10,'VK-Põlevkivi'!$C:$X,2+$G54,0))+IF(EE$4="X",VLOOKUP(EE$10,'VK-Võrgud'!$C:$X,2+$F54,0)))</f>
        <v>9798.8236797507216</v>
      </c>
      <c r="EF54" s="209">
        <f>(IF(EF$7="X",VLOOKUP(EF$10,'VK-Hooned-Soojus'!$C:$X,2+$C54,FALSE),0)+IF(EF$6="X",VLOOKUP(EF$10,'VK-Transport'!$C:$X,2+$B54,0))+IF(EF$8="X",VLOOKUP(EF$10,'VK-Elekter'!$C:$X,2+$D54,0))+IF(EF$9="X",VLOOKUP(EF$10,'VK-Biokütused'!$C:$U,2+$E54,0))+IF(EF$5="X",VLOOKUP(EF$10,'VK-Põlevkivi'!$C:$X,2+$G54,0))+IF(EF$4="X",VLOOKUP(EF$10,'VK-Võrgud'!$C:$X,2+$F54,0)))/1000</f>
        <v>9.183636821583061</v>
      </c>
      <c r="EG54" s="209">
        <f>(IF(EG$7="X",VLOOKUP(EG$10,'VK-Hooned-Soojus'!$C:$X,2+$C54,FALSE),0)+IF(EG$6="X",VLOOKUP(EG$10,'VK-Transport'!$C:$X,2+$B54,0))+IF(EG$8="X",VLOOKUP(EG$10,'VK-Elekter'!$C:$X,2+$D54,0))+IF(EG$9="X",VLOOKUP(EG$10,'VK-Biokütused'!$C:$U,2+$E54,0))+IF(EG$5="X",VLOOKUP(EG$10,'VK-Põlevkivi'!$C:$X,2+$G54,0))+IF(EG$4="X",VLOOKUP(EG$10,'VK-Võrgud'!$C:$X,2+$F54,0)))</f>
        <v>0.81</v>
      </c>
      <c r="EH54" s="209">
        <f>(IF(EH$7="X",VLOOKUP(EH$10,'VK-Hooned-Soojus'!$C:$X,2+$C54,FALSE),0)+IF(EH$6="X",VLOOKUP(EH$10,'VK-Transport'!$C:$X,2+$B54,0))+IF(EH$8="X",VLOOKUP(EH$10,'VK-Elekter'!$C:$X,2+$D54,0))+IF(EH$9="X",VLOOKUP(EH$10,'VK-Biokütused'!$C:$U,2+$E54,0)))+AR54+AS54+AU54+AX54</f>
        <v>93.482599737484719</v>
      </c>
      <c r="EI54" s="320">
        <f t="shared" si="41"/>
        <v>63.09667854210327</v>
      </c>
      <c r="EJ54" s="322">
        <f t="shared" si="42"/>
        <v>2.201934621570804E-2</v>
      </c>
      <c r="EK54" s="323">
        <f t="shared" si="29"/>
        <v>0.36029299432190109</v>
      </c>
      <c r="EM54" s="209"/>
      <c r="EN54" s="209">
        <f t="shared" ca="1" si="43"/>
        <v>0</v>
      </c>
      <c r="EO54" s="209"/>
      <c r="EP54" s="234"/>
      <c r="EQ54" s="209">
        <f>(IF(EQ$7="X",VLOOKUP(EQ$10,'VK-Hooned-Soojus'!$C:$X,2+$C54,FALSE),0)+IF(EQ$6="X",VLOOKUP(EQ$10,'VK-Transport'!$C:$X,2+$B54,0))+IF(EQ$8="X",VLOOKUP(EQ$10,'VK-Elekter'!$C:$X,2+$D54,0))+IF(EQ$9="X",VLOOKUP(EQ$10,'VK-Biokütused'!$C:$U,2+$E54,0))+IF(EQ$5="X",VLOOKUP(EQ$10,'VK-Põlevkivi'!$C:$X,2+$G54,0))+IF(EQ$4="X",VLOOKUP(EQ$10,'VK-Võrgud'!$C:$X,2+$F54,0)))/1000</f>
        <v>0.19900000000000001</v>
      </c>
      <c r="ER54" s="209">
        <f>(IF(ER$7="X",VLOOKUP(ER$10,'VK-Hooned-Soojus'!$C:$X,2+$C54,FALSE),0)+IF(ER$6="X",VLOOKUP(ER$10,'VK-Transport'!$C:$X,2+$B54,0))+IF(ER$8="X",VLOOKUP(ER$10,'VK-Elekter'!$C:$X,2+$D54,0))+IF(ER$9="X",VLOOKUP(ER$10,'VK-Biokütused'!$C:$U,2+$E54,0))+IF(ER$5="X",VLOOKUP(ER$10,'VK-Põlevkivi'!$C:$X,2+$G54,0))+IF(ER$4="X",VLOOKUP(ER$10,'VK-Võrgud'!$C:$X,2+$F54,0)))</f>
        <v>0.72299999999999998</v>
      </c>
      <c r="ES54" s="209">
        <f>(IF(ES$7="X",VLOOKUP(ES$10,'VK-Hooned-Soojus'!$C:$X,2+$C54,FALSE),0)+IF(ES$6="X",VLOOKUP(ES$10,'VK-Transport'!$C:$X,2+$B54,0))+IF(ES$8="X",VLOOKUP(ES$10,'VK-Elekter'!$C:$X,2+$D54,0))+IF(ES$9="X",VLOOKUP(ES$10,'VK-Biokütused'!$C:$U,2+$E54,0))+IF(ES$5="X",VLOOKUP(ES$10,'VK-Põlevkivi'!$C:$X,2+$G54,0))+IF(ES$4="X",VLOOKUP(ES$10,'VK-Võrgud'!$C:$X,2+$F54,0)))</f>
        <v>6.08</v>
      </c>
      <c r="ET54" s="209"/>
      <c r="EU54" s="209"/>
      <c r="EV54" s="87">
        <f>'KSH järjestus'!AS47</f>
        <v>1605</v>
      </c>
      <c r="EX54" s="236"/>
      <c r="EY54" s="236"/>
      <c r="EZ54" s="237">
        <f t="shared" si="44"/>
        <v>0</v>
      </c>
      <c r="FA54" s="209">
        <f>IF(FA$7="X",VLOOKUP(FA$10,'VK-Hooned-Soojus'!$C:$X,2+$C54,FALSE),0)+IF(FA$6="X",VLOOKUP(FA$10,'VK-Transport'!$C:$X,2+$B54,0))+IF(FA$8="X",VLOOKUP(FA$10,'VK-Elekter'!$C:$X,2+$D54,0))+IF(FA$9="X",VLOOKUP(FA$10,'VK-Biokütused'!$C:$U,2+$E54,0))+IF(FA$5="X",VLOOKUP(FA$10,'VK-Põlevkivi'!$C:$X,2+$G54,0))+IF(FA$4="X",VLOOKUP(FA$10,'VK-Võrgud'!$C:$X,2+$F54,0))</f>
        <v>3579.9070000000002</v>
      </c>
      <c r="FB54" s="279">
        <f>(IF(FB$7="X",VLOOKUP(FB$10,'VK-Hooned-Soojus'!$C:$X,2+$C54,FALSE),0)+IF(FB$6="X",VLOOKUP(FB$10,'VK-Transport'!$C:$X,2+$B54,0))+IF(FB$8="X",VLOOKUP(FB$10,'VK-Elekter'!$C:$X,2+$D54,0))+IF(FB$9="X",VLOOKUP(FB$10,'VK-Biokütused'!$C:$U,2+$E54,0))+IF(FB$5="X",VLOOKUP(FB$10,'VK-Põlevkivi'!$C:$X,2+$G54,0))+IF(FB$4="X",VLOOKUP(FB$10,'VK-Võrgud'!$C:$X,2+$F54,0)))/16</f>
        <v>725.19404343673307</v>
      </c>
      <c r="FC54" s="209">
        <f>IF(FC$7="X",VLOOKUP(FC$10,'VK-Hooned-Soojus'!$C:$X,2+$C54,FALSE),0)+IF(FC$6="X",VLOOKUP(FC$10,'VK-Transport'!$C:$X,2+$B54,0))+IF(FC$8="X",VLOOKUP(FC$10,'VK-Elekter'!$C:$X,2+$D54,0))+IF(FC$9="X",VLOOKUP(FC$10,'VK-Biokütused'!$C:$U,2+$E54,0))+IF(FC$5="X",VLOOKUP(FC$10,'VK-Põlevkivi'!$C:$X,2+$G54,0))+IF(FC$4="X",VLOOKUP(FC$10,'VK-Võrgud'!$C:$X,2+$F54,0))</f>
        <v>309</v>
      </c>
      <c r="FD54" s="209">
        <f>(IF(FD$7="X",VLOOKUP(FD$10,'VK-Hooned-Soojus'!$C:$X,2+$C54,FALSE),0)+IF(FD$6="X",VLOOKUP(FD$10,'VK-Transport'!$C:$X,2+$B54,0))+IF(FD$8="X",VLOOKUP(FD$10,'VK-Elekter'!$C:$X,2+$D54,0))+IF(FD$9="X",VLOOKUP(FD$10,'VK-Biokütused'!$C:$U,2+$E54,0))+IF(FD$5="X",VLOOKUP(FD$10,'VK-Põlevkivi'!$C:$X,2+$G54,0))+IF(FD$4="X",VLOOKUP(FD$10,'VK-Võrgud'!$C:$X,2+$F54,0)))/16</f>
        <v>725.19404343673307</v>
      </c>
      <c r="FE54" s="209">
        <f>(IF(FE$7="X",VLOOKUP(FE$10,'VK-Hooned-Soojus'!$C:$X,2+$C54,FALSE),0)+IF(FE$6="X",VLOOKUP(FE$10,'VK-Transport'!$C:$X,2+$B54,0))+IF(FE$8="X",VLOOKUP(FE$10,'VK-Elekter'!$C:$X,2+$D54,0))+IF(FE$9="X",VLOOKUP(FE$10,'VK-Biokütused'!$C:$U,2+$E54,0))+IF(FE$5="X",VLOOKUP(FE$10,'VK-Põlevkivi'!$C:$X,2+$G54,0))+IF(FE$4="X",VLOOKUP(FE$10,'VK-Võrgud'!$C:$X,2+$F54,0)))/16</f>
        <v>-137.65321988063209</v>
      </c>
      <c r="FF54" s="209">
        <f>(IF(FF$7="X",VLOOKUP(FF$10,'VK-Hooned-Soojus'!$C:$X,2+$C54,FALSE),0)+IF(FF$6="X",VLOOKUP(FF$10,'VK-Transport'!$C:$X,2+$B54,0))+IF(FF$8="X",VLOOKUP(FF$10,'VK-Elekter'!$C:$X,2+$D54,0))+IF(FF$9="X",VLOOKUP(FF$10,'VK-Biokütused'!$C:$U,2+$E54,0))+IF(FF$5="X",VLOOKUP(FF$10,'VK-Põlevkivi'!$C:$X,2+$G54,0))+IF(FF$4="X",VLOOKUP(FF$10,'VK-Võrgud'!$C:$X,2+$F54,0)))/16</f>
        <v>211.08729560392348</v>
      </c>
      <c r="FG54" s="88">
        <f t="shared" ca="1" si="30"/>
        <v>73.434075723291386</v>
      </c>
      <c r="FH54" s="88"/>
      <c r="FI54" s="88"/>
      <c r="FJ54" s="88">
        <f>VLOOKUP(Tulemused!$BN$12,data!M$7:N$12,2,FALSE)-SUM(L54,M54)</f>
        <v>-2.20664444444445</v>
      </c>
      <c r="FK54" s="209" t="str">
        <f>IF(AZ54&lt;=VLOOKUP(Tulemused!$BN$15,data!$E$36:$F$39,2,FALSE),"JAH","EI")</f>
        <v>JAH</v>
      </c>
      <c r="FL54" s="235">
        <f ca="1">IF(ISNA(MATCH($A54,INDIRECT(VLOOKUP(Tulemused!$BF$11,data!$J$57:$M$71,4,FALSE)))),0,MATCH($A54,INDIRECT(VLOOKUP(Tulemused!$BF$11,data!$J$57:$M$71,4,FALSE))))</f>
        <v>0</v>
      </c>
      <c r="FM54" s="235" t="str">
        <f t="shared" ca="1" si="45"/>
        <v>JAH</v>
      </c>
      <c r="FN54" s="209">
        <f>VLOOKUP(Tulemused!$BN$13,data!$C$132:$D$137,2,FALSE)-KOMBI!R54</f>
        <v>2.8708331784169405</v>
      </c>
      <c r="FO54" s="209"/>
      <c r="FP54" s="209">
        <f>VLOOKUP(Tulemused!$BN$17,NO_x,2,FALSE)-CJ54</f>
        <v>6.3829999999999991</v>
      </c>
      <c r="FQ54" s="209">
        <f>VLOOKUP(Tulemused!$BN$18,SO_2,2,FALSE)-CK54</f>
        <v>14.040283859828179</v>
      </c>
      <c r="FR54" s="209">
        <f>VLOOKUP(Tulemused!$BN$19,LOU,2,FALSE)-CN54</f>
        <v>34.324000000000005</v>
      </c>
      <c r="FS54" s="209">
        <f>VLOOKUP(Tulemused!$BN$20,PM_2.5,2,FALSE)-CM54</f>
        <v>9.3460103843950826</v>
      </c>
      <c r="FT54" s="209">
        <f>VLOOKUP(Tulemused!$BN$13,data!$C$132:$D$137,2,FALSE)-FA54/1000</f>
        <v>2.6660630000000007</v>
      </c>
      <c r="FU54" s="209">
        <f>VLOOKUP(Tulemused!$BN$17,NO_x,2,FALSE)-CO54</f>
        <v>-1.031649773285455</v>
      </c>
      <c r="FV54" s="209">
        <f>VLOOKUP(Tulemused!$BN$18,SO_2,2,FALSE)-CP54</f>
        <v>19.579569521400117</v>
      </c>
      <c r="FW54" s="209">
        <f>VLOOKUP(Tulemused!$BN$19,LOU,2,FALSE)-CS54</f>
        <v>33.163847594878391</v>
      </c>
      <c r="FX54" s="209">
        <f>VLOOKUP(Tulemused!$BN$20,PM_2.5,2,FALSE)-CR54</f>
        <v>8.868246643725195</v>
      </c>
      <c r="FY54" s="209">
        <f>VLOOKUP(Tulemused!$BN$14,KHG_2050,2,FALSE)-EF54</f>
        <v>90.816363178416935</v>
      </c>
      <c r="FZ54" s="231" t="str">
        <f t="shared" ca="1" si="31"/>
        <v>EI</v>
      </c>
      <c r="GA54" s="209"/>
      <c r="GB54" s="209"/>
      <c r="GC54" s="209"/>
      <c r="GD54" s="231"/>
      <c r="GE54" s="87">
        <f t="shared" si="46"/>
        <v>1605</v>
      </c>
      <c r="GF54" s="232" t="str">
        <f t="shared" ca="1" si="32"/>
        <v/>
      </c>
      <c r="GH54" s="238" t="e">
        <f t="shared" ca="1" si="47"/>
        <v>#NUM!</v>
      </c>
      <c r="GI54" s="87" t="e">
        <f t="array" aca="1" ref="GI54" ca="1">INDEX($A$11:$A$145, SMALL(IF(GH54=$GF$11:$GF$145, MATCH(ROW($GF$11:$GF$145), ROW($GF$11:$GF$145))), SUM(--(GH54=$GH$11:GH54))))</f>
        <v>#NUM!</v>
      </c>
      <c r="GM54" s="209">
        <f>IF(GM$7="X",VLOOKUP(GM$10,'VK-Hooned-Soojus'!$C:$X,2+$C54,FALSE),0)+IF(GM$6="X",VLOOKUP(GM$10,'VK-Transport'!$C:$X,2+$B54,0))+IF(GM$8="X",VLOOKUP(GM$10,'VK-Elekter'!$C:$X,2+$D54,0))+IF(GM$9="X",VLOOKUP(GM$10,'VK-Biokütused'!$C:$U,2+$E54,0))+IF(GM$5="X",VLOOKUP(GM$10,'VK-Põlevkivi'!$C:$X,2+$G54,0))+IF(GM$4="X",VLOOKUP(GM$10,'VK-Võrgud'!$C:$X,2+$F54,0))</f>
        <v>11.189888530766083</v>
      </c>
      <c r="GN54" s="209">
        <f>IF(GN$7="X",VLOOKUP(GN$10,'VK-Hooned-Soojus'!$C:$X,2+$C54,FALSE),0)+IF(GN$6="X",VLOOKUP(GN$10,'VK-Transport'!$C:$X,2+$B54,0))+IF(GN$8="X",VLOOKUP(GN$10,'VK-Elekter'!$C:$X,2+$D54,0))+IF(GN$9="X",VLOOKUP(GN$10,'VK-Biokütused'!$C:$U,2+$E54,0))+IF(GN$5="X",VLOOKUP(GN$10,'VK-Põlevkivi'!$C:$X,2+$G54,0))+IF(GN$4="X",VLOOKUP(GN$10,'VK-Võrgud'!$C:$X,2+$F54,0))</f>
        <v>2.9930837725682502</v>
      </c>
      <c r="GO54" s="209">
        <f>IF(GO$7="X",VLOOKUP(GO$10,'VK-Hooned-Soojus'!$C:$X,2+$C54,FALSE),0)+IF(GO$6="X",VLOOKUP(GO$10,'VK-Transport'!$C:$X,2+$B54,0))+IF(GO$8="X",VLOOKUP(GO$10,'VK-Elekter'!$C:$X,2+$D54,0))+IF(GO$9="X",VLOOKUP(GO$10,'VK-Biokütused'!$C:$U,2+$E54,0))+IF(GO$5="X",VLOOKUP(GO$10,'VK-Põlevkivi'!$C:$X,2+$G54,0))+IF(GO$4="X",VLOOKUP(GO$10,'VK-Võrgud'!$C:$X,2+$F54,0))</f>
        <v>7.5763700102722566</v>
      </c>
      <c r="GP54" s="209">
        <f>IF(GP$7="X",VLOOKUP(GP$10,'VK-Hooned-Soojus'!$C:$X,2+$C54,FALSE),0)+IF(GP$6="X",VLOOKUP(GP$10,'VK-Transport'!$C:$X,2+$B54,0))+IF(GP$8="X",VLOOKUP(GP$10,'VK-Elekter'!$C:$X,2+$D54,0))+IF(GP$9="X",VLOOKUP(GP$10,'VK-Biokütused'!$C:$U,2+$E54,0))+IF(GP$5="X",VLOOKUP(GP$10,'VK-Põlevkivi'!$C:$X,2+$G54,0))+IF(GP$4="X",VLOOKUP(GP$10,'VK-Võrgud'!$C:$X,2+$F54,0))</f>
        <v>8.9326558040707589</v>
      </c>
      <c r="GQ54" s="88">
        <f>IF(GQ$7="X",VLOOKUP(GQ$10,'VK-Hooned-Soojus'!$C:$X,2+$C54,FALSE),0)+IF(GQ$6="X",VLOOKUP(GQ$10,'VK-Transport'!$C:$X,2+$B54,0))+IF(GQ$8="X",VLOOKUP(GQ$10,'VK-Elekter'!$C:$X,2+$D54,0))+IF(GQ$9="X",VLOOKUP(GQ$10,'VK-Biokütused'!$C:$U,2+$E54,0))+IF(GQ$5="X",VLOOKUP(GQ$10,'VK-Põlevkivi'!$C:$X,2+$G54,0))+IF(GQ$4="X",VLOOKUP(GQ$10,'VK-Võrgud'!$C:$X,2+$F54,0))</f>
        <v>0.9682855968523334</v>
      </c>
      <c r="GR54" s="186">
        <f t="shared" si="33"/>
        <v>0.36798600485618455</v>
      </c>
    </row>
    <row r="55" spans="1:200" x14ac:dyDescent="0.2">
      <c r="A55" s="184">
        <v>45</v>
      </c>
      <c r="B55" s="87">
        <v>1</v>
      </c>
      <c r="C55" s="87">
        <v>3</v>
      </c>
      <c r="D55" s="87">
        <v>5</v>
      </c>
      <c r="E55" s="87">
        <v>3</v>
      </c>
      <c r="F55" s="87">
        <f>VLOOKUP(Tulemused!$BF$7,data!$J$6:$K$8,2,FALSE)</f>
        <v>2</v>
      </c>
      <c r="G55" s="87">
        <f>VLOOKUP(data!$H$2,data!$J$12:$K$14,2,FALSE)</f>
        <v>2</v>
      </c>
      <c r="I55" s="209">
        <f>IF(I$7="X",VLOOKUP(I$10,'VK-Hooned-Soojus'!$C:$X,2+$C55,FALSE),0)+IF(I$6="X",VLOOKUP(I$10,'VK-Transport'!$C:$X,2+$B55,0))+IF(I$8="X",VLOOKUP(I$10,'VK-Elekter'!$C:$X,2+$D55,0))+IF(I$9="X",VLOOKUP(I$10,'VK-Biokütused'!$C:$U,2+$E55,0))+IF(I$5="X",VLOOKUP(I$10,'VK-Põlevkivi'!$C:$X,2+$G55,0))+IF(I$4="X",VLOOKUP(I$10,'VK-Võrgud'!$C:$X,2+$F55,0))</f>
        <v>23.490000000000002</v>
      </c>
      <c r="J55" s="209">
        <f>IF(J$7="X",VLOOKUP(J$10,'VK-Hooned-Soojus'!$C:$X,2+$C55,FALSE),0)+IF(J$6="X",VLOOKUP(J$10,'VK-Transport'!$C:$X,2+$B55,0))+IF(J$8="X",VLOOKUP(J$10,'VK-Elekter'!$C:$X,2+$D55,0))+IF(J$9="X",VLOOKUP(J$10,'VK-Biokütused'!$C:$U,2+$E55,0))+IF(J$5="X",VLOOKUP(J$10,'VK-Põlevkivi'!$C:$X,2+$G55,0))+IF(J$4="X",VLOOKUP(J$10,'VK-Võrgud'!$C:$X,2+$F55,0))</f>
        <v>13.295833333333334</v>
      </c>
      <c r="K55" s="209">
        <f>IF(K$7="X",VLOOKUP(K$10,'VK-Hooned-Soojus'!$C:$X,2+$C55,FALSE),0)+IF(K$6="X",VLOOKUP(K$10,'VK-Transport'!$C:$X,2+$B55,0))+IF(K$8="X",VLOOKUP(K$10,'VK-Elekter'!$C:$X,2+$D55,0))+IF(K$9="X",VLOOKUP(K$10,'VK-Biokütused'!$C:$U,2+$E55,0))+IF(K$5="X",VLOOKUP(K$10,'VK-Põlevkivi'!$C:$X,2+$G55,0))+IF(K$4="X",VLOOKUP(K$10,'VK-Võrgud'!$C:$X,2+$F55,0))</f>
        <v>13.780000000000001</v>
      </c>
      <c r="L55" s="209">
        <f>IF(L$7="X",VLOOKUP(L$10,'VK-Hooned-Soojus'!$C:$X,2+$C55,FALSE),0)+IF(L$6="X",VLOOKUP(L$10,'VK-Transport'!$C:$X,2+$B55,0))+IF(L$8="X",VLOOKUP(L$10,'VK-Elekter'!$C:$X,2+$D55,0))+IF(L$9="X",VLOOKUP(L$10,'VK-Biokütused'!$C:$U,2+$E55,0))+IF(L$5="X",VLOOKUP(L$10,'VK-Põlevkivi'!$C:$X,2+$G55,0))+IF(L$4="X",VLOOKUP(L$10,'VK-Võrgud'!$C:$X,2+$F55,0))</f>
        <v>23.75</v>
      </c>
      <c r="M55" s="209">
        <f>IF(M$7="X",VLOOKUP(M$10,'VK-Hooned-Soojus'!$C:$X,2+$C55,FALSE),0)+IF(M$6="X",VLOOKUP(M$10,'VK-Transport'!$C:$X,2+$B55,0))+IF(M$8="X",VLOOKUP(M$10,'VK-Elekter'!$C:$X,2+$D55,0))+IF(M$9="X",VLOOKUP(M$10,'VK-Biokütused'!$C:$U,2+$E55,0))+IF(M$5="X",VLOOKUP(M$10,'VK-Põlevkivi'!$C:$X,2+$G55,0))+IF(M$4="X",VLOOKUP(M$10,'VK-Võrgud'!$C:$X,2+$F55,0))</f>
        <v>11.289444444444445</v>
      </c>
      <c r="N55" s="209">
        <f>IF(N$7="X",VLOOKUP(N$10,'VK-Hooned-Soojus'!$C:$X,2+$C55,FALSE),0)+IF(N$6="X",VLOOKUP(N$10,'VK-Transport'!$C:$X,2+$B55,0))+IF(N$8="X",VLOOKUP(N$10,'VK-Elekter'!$C:$X,2+$D55,0))+IF(N$9="X",VLOOKUP(N$10,'VK-Biokütused'!$C:$U,2+$E55,0))+IF(N$5="X",VLOOKUP(N$10,'VK-Põlevkivi'!$C:$X,2+$G55,0))+IF(N$4="X",VLOOKUP(N$10,'VK-Võrgud'!$C:$X,2+$F55,0))</f>
        <v>15.25</v>
      </c>
      <c r="O55" s="209">
        <f t="shared" si="13"/>
        <v>36.785833333333336</v>
      </c>
      <c r="P55" s="209"/>
      <c r="Q55" s="209">
        <f>(IF(Q$7="X",VLOOKUP(Q$10,'VK-Hooned-Soojus'!$C:$X,2+$C55,FALSE),0)+IF(Q$6="X",VLOOKUP(Q$10,'VK-Transport'!$C:$X,2+$B55,0))+IF(Q$8="X",VLOOKUP(Q$10,'VK-Elekter'!$C:$X,2+$D55,0))+IF(Q$9="X",VLOOKUP(Q$10,'VK-Biokütused'!$C:$U,2+$E55,0))+IF(Q$5="X",VLOOKUP(Q$10,'VK-Põlevkivi'!$C:$X,2+$G55,0))+IF(Q$4="X",VLOOKUP(Q$10,'VK-Võrgud'!$C:$X,2+$F55,0)))/1000</f>
        <v>5.9039999999999999</v>
      </c>
      <c r="R55" s="209">
        <f>(IF(R$7="X",VLOOKUP(R$10,'VK-Hooned-Soojus'!$C:$X,2+$C55,FALSE),0)+IF(R$6="X",VLOOKUP(R$10,'VK-Transport'!$C:$X,2+$B55,0))+IF(R$8="X",VLOOKUP(R$10,'VK-Elekter'!$C:$X,2+$D55,0))+IF(R$9="X",VLOOKUP(R$10,'VK-Biokütused'!$C:$U,2+$E55,0))+IF(R$5="X",VLOOKUP(R$10,'VK-Põlevkivi'!$C:$X,2+$G55,0))+IF(R$4="X",VLOOKUP(R$10,'VK-Võrgud'!$C:$X,2+$F55,0)))/1000</f>
        <v>3.5838368215830605</v>
      </c>
      <c r="S55" s="226">
        <f>VLOOKUP(S$10,'VK-Hooned-Soojus'!$C:$I,2+$C55,FALSE) + VLOOKUP(S$10,'VK-Transport'!$C:$I,2+$B55,FALSE)+ VLOOKUP(S$10,'VK-Biokütused'!$C:$G,2+$E55,FALSE)+ VLOOKUP(S$10,'VK-Elekter'!$C:$I,2+$D55,FALSE)+ VLOOKUP(S$10,'VK-Põlevkivi'!$C:$I,2+$G55,FALSE)+ VLOOKUP(S$10,'VK-Võrgud'!$C:$I,2+$F55,FALSE)</f>
        <v>3.175848744198672E-2</v>
      </c>
      <c r="T55" s="226">
        <f>VLOOKUP(T$10,'VK-Hooned-Soojus'!$C:$I,2+$C55,FALSE) + VLOOKUP(T$10,'VK-Transport'!$C:$I,2+$B55,FALSE)+ VLOOKUP(T$10,'VK-Biokütused'!$C:$G,2+$E55,FALSE)+ VLOOKUP(T$10,'VK-Elekter'!$C:$I,2+$D55,FALSE)+ VLOOKUP(T$10,'VK-Põlevkivi'!$C:$I,2+$G55,FALSE)+ VLOOKUP(T$10,'VK-Võrgud'!$C:$I,2+$F55,FALSE)</f>
        <v>7.9330621362738024E-4</v>
      </c>
      <c r="U55" s="226">
        <f>VLOOKUP(U$10,'VK-Hooned-Soojus'!$C:$I,2+$C55,FALSE) + VLOOKUP(U$10,'VK-Transport'!$C:$I,2+$B55,FALSE)+ VLOOKUP(U$10,'VK-Biokütused'!$C:$G,2+$E55,FALSE)+ VLOOKUP(U$10,'VK-Elekter'!$C:$I,2+$D55,FALSE)+ VLOOKUP(U$10,'VK-Põlevkivi'!$C:$I,2+$G55,FALSE)+ VLOOKUP(U$10,'VK-Võrgud'!$C:$I,2+$F55,FALSE)</f>
        <v>1.0104955379672237E-2</v>
      </c>
      <c r="V55" s="226">
        <f>VLOOKUP(V$10,'VK-Hooned-Soojus'!$C:$I,2+$C55,FALSE) + VLOOKUP(V$10,'VK-Transport'!$C:$I,2+$B55,FALSE)+ VLOOKUP(V$10,'VK-Biokütused'!$C:$G,2+$E55,FALSE)+ VLOOKUP(V$10,'VK-Elekter'!$C:$I,2+$D55,FALSE)+ VLOOKUP(V$10,'VK-Põlevkivi'!$C:$I,2+$G55,FALSE)+ VLOOKUP(V$10,'VK-Võrgud'!$C:$I,2+$F55,FALSE)</f>
        <v>2.2077530464837673E-2</v>
      </c>
      <c r="W55" s="226">
        <f>VLOOKUP(W$10,'VK-Hooned-Soojus'!$C:$I,2+$C55,FALSE) + VLOOKUP(W$10,'VK-Transport'!$C:$I,2+$B55,FALSE)+ VLOOKUP(W$10,'VK-Biokütused'!$C:$G,2+$E55,FALSE)+ VLOOKUP(W$10,'VK-Elekter'!$C:$I,2+$D55,FALSE)+ VLOOKUP(W$10,'VK-Põlevkivi'!$C:$I,2+$G55,FALSE)+ VLOOKUP(W$10,'VK-Võrgud'!$C:$I,2+$F55,FALSE)</f>
        <v>-3.5367418518725702E-3</v>
      </c>
      <c r="X55" s="226">
        <f>VLOOKUP(X$10,'VK-Hooned-Soojus'!$C:$I,2+$C55,FALSE) + VLOOKUP(X$10,'VK-Transport'!$C:$I,2+$B55,FALSE)+ VLOOKUP(X$10,'VK-Biokütused'!$C:$G,2+$E55,FALSE)+ VLOOKUP(X$10,'VK-Elekter'!$C:$I,2+$D55,FALSE)+ VLOOKUP(X$10,'VK-Põlevkivi'!$C:$I,2+$G55,FALSE)+ VLOOKUP(X$10,'VK-Võrgud'!$C:$I,2+$F55,FALSE)</f>
        <v>7.2118178581021569E-2</v>
      </c>
      <c r="Y55" s="226">
        <f>VLOOKUP(Y$10,'VK-Hooned-Soojus'!$C:$I,2+$C55,FALSE) + VLOOKUP(Y$10,'VK-Transport'!$C:$I,2+$B55,FALSE)+ VLOOKUP(Y$10,'VK-Biokütused'!$C:$G,2+$E55,FALSE)+ VLOOKUP(Y$10,'VK-Elekter'!$C:$I,2+$D55,FALSE)+ VLOOKUP(Y$10,'VK-Põlevkivi'!$C:$I,2+$G55,FALSE)+ VLOOKUP(Y$10,'VK-Võrgud'!$C:$I,2+$F55,FALSE)</f>
        <v>6.4216950950521767E-2</v>
      </c>
      <c r="Z55" s="227">
        <f>(S55*Tulemused!$Q$9*10+T55*Tulemused!$Q$10*10+KOMBI!U55*Tulemused!$Q$11*10+KOMBI!V55*Tulemused!$Q$12*10)*Tulemused!$Q$8+-(W55*Tulemused!$Q$14*10+KOMBI!X55*Tulemused!$Q$15*10+KOMBI!Y55*Tulemused!$Q$16*10)*Tulemused!$Q$13</f>
        <v>4.6617410736919673</v>
      </c>
      <c r="AA55" s="228">
        <f>(IF(AA$7="X",VLOOKUP(AA$10,'VK-Hooned-Soojus'!$C:$X,2+$C55,FALSE),0)+IF(AA$6="X",VLOOKUP(AA$10,'VK-Transport'!$C:$X,2+$B55,0))+IF(AA$8="X",VLOOKUP(AA$10,'VK-Elekter'!$C:$X,2+$D55,0))+IF(AA$9="X",VLOOKUP(AA$10,'VK-Biokütused'!$C:$U,2+$E55,0))+IF(AA$5="X",VLOOKUP(AA$10,'VK-Põlevkivi'!$C:$X,2+$G55,0))+IF(AA$4="X",VLOOKUP(AA$10,'VK-Võrgud'!$C:$X,2+$F55,0)))</f>
        <v>4727</v>
      </c>
      <c r="AB55" s="228">
        <f>(IF(AB$7="X",VLOOKUP(AB$10,'VK-Hooned-Soojus'!$C:$X,2+$C55,FALSE),0)+IF(AB$6="X",VLOOKUP(AB$10,'VK-Transport'!$C:$X,2+$B55,0))+IF(AB$8="X",VLOOKUP(AB$10,'VK-Elekter'!$C:$X,2+$D55,0))+IF(AB$9="X",VLOOKUP(AB$10,'VK-Biokütused'!$C:$U,2+$E55,0))+IF(AB$5="X",VLOOKUP(AB$10,'VK-Põlevkivi'!$C:$X,2+$G55,0))+IF(AB$4="X",VLOOKUP(AB$10,'VK-Võrgud'!$C:$X,2+$F55,0)))</f>
        <v>1177</v>
      </c>
      <c r="AC55" s="228">
        <f>(IF(AC$7="X",VLOOKUP(AC$10,'VK-Hooned-Soojus'!$C:$X,2+$C55,FALSE),0)+IF(AC$6="X",VLOOKUP(AC$10,'VK-Transport'!$C:$X,2+$B55,0))+IF(AC$8="X",VLOOKUP(AC$10,'VK-Elekter'!$C:$X,2+$D55,0))+IF(AC$9="X",VLOOKUP(AC$10,'VK-Biokütused'!$C:$U,2+$E55,0))+IF(AC$5="X",VLOOKUP(AC$10,'VK-Põlevkivi'!$C:$X,2+$G55,0))+IF(AC$4="X",VLOOKUP(AC$10,'VK-Võrgud'!$C:$X,2+$F55,0)))</f>
        <v>2346</v>
      </c>
      <c r="AD55" s="228">
        <f>(IF(AD$7="X",VLOOKUP(AD$10,'VK-Hooned-Soojus'!$C:$X,2+$C55,FALSE),0)+IF(AD$6="X",VLOOKUP(AD$10,'VK-Transport'!$C:$X,2+$B55,0))+IF(AD$8="X",VLOOKUP(AD$10,'VK-Elekter'!$C:$X,2+$D55,0))+IF(AD$9="X",VLOOKUP(AD$10,'VK-Biokütused'!$C:$U,2+$E55,0))+IF(AD$5="X",VLOOKUP(AD$10,'VK-Põlevkivi'!$C:$X,2+$G55,0))+IF(AD$4="X",VLOOKUP(AD$10,'VK-Võrgud'!$C:$X,2+$F55,0)))</f>
        <v>586.20000000000005</v>
      </c>
      <c r="AE55" s="228">
        <f>(IF(AE$7="X",VLOOKUP(AE$10,'VK-Hooned-Soojus'!$C:$X,2+$C55,FALSE),0)+IF(AE$6="X",VLOOKUP(AE$10,'VK-Transport'!$C:$X,2+$B55,0))+IF(AE$8="X",VLOOKUP(AE$10,'VK-Elekter'!$C:$X,2+$D55,0))+IF(AE$9="X",VLOOKUP(AE$10,'VK-Biokütused'!$C:$U,2+$E55,0))+IF(AE$5="X",VLOOKUP(AE$10,'VK-Põlevkivi'!$C:$X,2+$G55,0))+IF(AE$4="X",VLOOKUP(AE$10,'VK-Võrgud'!$C:$X,2+$F55,0)))</f>
        <v>507</v>
      </c>
      <c r="AF55" s="228">
        <f>(IF(AF$7="X",VLOOKUP(AF$10,'VK-Hooned-Soojus'!$C:$X,2+$C55,FALSE),0)+IF(AF$6="X",VLOOKUP(AF$10,'VK-Transport'!$C:$X,2+$B55,0))+IF(AF$8="X",VLOOKUP(AF$10,'VK-Elekter'!$C:$X,2+$D55,0))+IF(AF$9="X",VLOOKUP(AF$10,'VK-Biokütused'!$C:$U,2+$E55,0))+IF(AF$5="X",VLOOKUP(AF$10,'VK-Põlevkivi'!$C:$X,2+$G55,0))+IF(AF$4="X",VLOOKUP(AF$10,'VK-Võrgud'!$C:$X,2+$F55,0)))</f>
        <v>2490.6368215830603</v>
      </c>
      <c r="AG55" s="209"/>
      <c r="AH55" s="209">
        <f>IF(AH$7="X",VLOOKUP(AH$10,'VK-Hooned-Soojus'!$C:$X,2+$C55,FALSE),0)+IF(AH$6="X",VLOOKUP(AH$10,'VK-Transport'!$C:$X,2+$B55,0))+IF(AH$8="X",VLOOKUP(AH$10,'VK-Elekter'!$C:$X,2+$D55,0))+IF(AH$9="X",VLOOKUP(AH$10,'VK-Biokütused'!$C:$U,2+$E55,0))+IF(AH$5="X",VLOOKUP(AH$10,'VK-Põlevkivi'!$C:$X,2+$G55,0))+IF(AH$4="X",VLOOKUP(AH$10,'VK-Võrgud'!$C:$X,2+$F55,0))</f>
        <v>17.400000000000002</v>
      </c>
      <c r="AI55" s="209">
        <f>IF(AI$7="X",VLOOKUP(AI$10,'VK-Hooned-Soojus'!$C:$X,2+$C55,FALSE),0)+IF(AI$6="X",VLOOKUP(AI$10,'VK-Transport'!$C:$X,2+$B55,0))+IF(AI$8="X",VLOOKUP(AI$10,'VK-Elekter'!$C:$X,2+$D55,0))+IF(AI$9="X",VLOOKUP(AI$10,'VK-Biokütused'!$C:$U,2+$E55,0))+IF(AI$5="X",VLOOKUP(AI$10,'VK-Põlevkivi'!$C:$X,2+$G55,0))+IF(AI$4="X",VLOOKUP(AI$10,'VK-Võrgud'!$C:$X,2+$F55,0))</f>
        <v>2.3100000000000005</v>
      </c>
      <c r="AJ55" s="209">
        <f>IF(AJ$7="X",VLOOKUP(AJ$10,'VK-Hooned-Soojus'!$C:$X,2+$C55,FALSE),0)+IF(AJ$6="X",VLOOKUP(AJ$10,'VK-Transport'!$C:$X,2+$B55,0))+IF(AJ$8="X",VLOOKUP(AJ$10,'VK-Elekter'!$C:$X,2+$D55,0))+IF(AJ$9="X",VLOOKUP(AJ$10,'VK-Biokütused'!$C:$U,2+$E55,0))+IF(AJ$5="X",VLOOKUP(AJ$10,'VK-Põlevkivi'!$C:$X,2+$G55,0))+IF(AJ$4="X",VLOOKUP(AJ$10,'VK-Võrgud'!$C:$X,2+$F55,0))</f>
        <v>4.59</v>
      </c>
      <c r="AK55" s="209">
        <f>IF(AK$7="X",VLOOKUP(AK$10,'VK-Hooned-Soojus'!$C:$X,2+$C55,FALSE),0)+IF(AK$6="X",VLOOKUP(AK$10,'VK-Transport'!$C:$X,2+$B55,0))+IF(AK$8="X",VLOOKUP(AK$10,'VK-Elekter'!$C:$X,2+$D55,0))+IF(AK$9="X",VLOOKUP(AK$10,'VK-Biokütused'!$C:$U,2+$E55,0))+IF(AK$5="X",VLOOKUP(AK$10,'VK-Põlevkivi'!$C:$X,2+$G55,0))+IF(AK$4="X",VLOOKUP(AK$10,'VK-Võrgud'!$C:$X,2+$F55,0))</f>
        <v>-0.41</v>
      </c>
      <c r="AL55" s="209">
        <f>IF(AL$7="X",VLOOKUP(AL$10,'VK-Hooned-Soojus'!$C:$X,2+$C55,FALSE),0)+IF(AL$6="X",VLOOKUP(AL$10,'VK-Transport'!$C:$X,2+$B55,0))+IF(AL$8="X",VLOOKUP(AL$10,'VK-Elekter'!$C:$X,2+$D55,0))+IF(AL$9="X",VLOOKUP(AL$10,'VK-Biokütused'!$C:$U,2+$E55,0))+IF(AL$5="X",VLOOKUP(AL$10,'VK-Põlevkivi'!$C:$X,2+$G55,0))+IF(AL$4="X",VLOOKUP(AL$10,'VK-Võrgud'!$C:$X,2+$F55,0))</f>
        <v>7.1</v>
      </c>
      <c r="AM55" s="209">
        <f>IF(AM$7="X",VLOOKUP(AM$10,'VK-Hooned-Soojus'!$C:$X,2+$C55,FALSE),0)+IF(AM$6="X",VLOOKUP(AM$10,'VK-Transport'!$C:$X,2+$B55,0))+IF(AM$8="X",VLOOKUP(AM$10,'VK-Elekter'!$C:$X,2+$D55,0))+IF(AM$9="X",VLOOKUP(AM$10,'VK-Biokütused'!$C:$U,2+$E55,0))+IF(AM$5="X",VLOOKUP(AM$10,'VK-Põlevkivi'!$C:$X,2+$G55,0))+IF(AM$4="X",VLOOKUP(AM$10,'VK-Võrgud'!$C:$X,2+$F55,0))</f>
        <v>11.5</v>
      </c>
      <c r="AN55" s="209">
        <f>IF(AN$7="X",VLOOKUP(AN$10,'VK-Hooned-Soojus'!$C:$X,2+$C55,FALSE),0)+IF(AN$6="X",VLOOKUP(AN$10,'VK-Transport'!$C:$X,2+$B55,0))+IF(AN$8="X",VLOOKUP(AN$10,'VK-Elekter'!$C:$X,2+$D55,0))+IF(AN$9="X",VLOOKUP(AN$10,'VK-Biokütused'!$C:$U,2+$E55,0))+IF(AN$5="X",VLOOKUP(AN$10,'VK-Põlevkivi'!$C:$X,2+$G55,0))+IF(AN$4="X",VLOOKUP(AN$10,'VK-Võrgud'!$C:$X,2+$F55,0))</f>
        <v>4.0999999999999996</v>
      </c>
      <c r="AO55" s="209">
        <f>IF(AO$7="X",VLOOKUP(AO$10,'VK-Hooned-Soojus'!$C:$X,2+$C55,FALSE),0)+IF(AO$6="X",VLOOKUP(AO$10,'VK-Transport'!$C:$X,2+$B55,0))+IF(AO$8="X",VLOOKUP(AO$10,'VK-Elekter'!$C:$X,2+$D55,0))+IF(AO$9="X",VLOOKUP(AO$10,'VK-Biokütused'!$C:$U,2+$E55,0))+IF(AO$5="X",VLOOKUP(AO$10,'VK-Põlevkivi'!$C:$X,2+$G55,0))+IF(AO$4="X",VLOOKUP(AO$10,'VK-Võrgud'!$C:$X,2+$F55,0))</f>
        <v>12.16</v>
      </c>
      <c r="AP55" s="209">
        <f>IF(AP$7="X",VLOOKUP(AP$10,'VK-Hooned-Soojus'!$C:$X,2+$C55,FALSE),0)+IF(AP$6="X",VLOOKUP(AP$10,'VK-Transport'!$C:$X,2+$B55,0))+IF(AP$8="X",VLOOKUP(AP$10,'VK-Elekter'!$C:$X,2+$D55,0))+IF(AP$9="X",VLOOKUP(AP$10,'VK-Biokütused'!$C:$U,2+$E55,0))+IF(AP$5="X",VLOOKUP(AP$10,'VK-Põlevkivi'!$C:$X,2+$G55,0))+IF(AP$4="X",VLOOKUP(AP$10,'VK-Võrgud'!$C:$X,2+$F55,0))</f>
        <v>6.08</v>
      </c>
      <c r="AQ55" s="320">
        <f t="shared" si="14"/>
        <v>0</v>
      </c>
      <c r="AR55" s="209">
        <f>IF(AR$7="X",VLOOKUP(AR$10,'VK-Hooned-Soojus'!$C:$X,2+$C55,FALSE),0)+IF(AR$6="X",VLOOKUP(AR$10,'VK-Transport'!$C:$X,2+$B55,0))+IF(AR$8="X",VLOOKUP(AR$10,'VK-Elekter'!$C:$X,2+$D55,0))+IF(AR$9="X",VLOOKUP(AR$10,'VK-Biokütused'!$C:$U,2+$E55,0))+IF(AR$5="X",VLOOKUP(AR$10,'VK-Põlevkivi'!$C:$X,2+$G55,0))+IF(AR$4="X",VLOOKUP(AR$10,'VK-Võrgud'!$C:$X,2+$F55,0))</f>
        <v>12.809999999999999</v>
      </c>
      <c r="AS55" s="235">
        <f>'VK-Põlevkivi'!$F$8-AR55-AU55</f>
        <v>14.298622986547709</v>
      </c>
      <c r="AT55" s="209">
        <f>IF(AT$7="X",VLOOKUP(AT$10,'VK-Hooned-Soojus'!$C:$X,2+$C55,FALSE),0)+IF(AT$6="X",VLOOKUP(AT$10,'VK-Transport'!$C:$X,2+$B55,0))+IF(AT$8="X",VLOOKUP(AT$10,'VK-Elekter'!$C:$X,2+$D55,0))+IF(AT$9="X",VLOOKUP(AT$10,'VK-Biokütused'!$C:$U,2+$E55,0))+IF(AT$5="X",VLOOKUP(AT$10,'VK-Põlevkivi'!$C:$X,2+$G55,0))+IF(AT$4="X",VLOOKUP(AT$10,'VK-Võrgud'!$C:$X,2+$F55,0))</f>
        <v>12.004929222526066</v>
      </c>
      <c r="AU55" s="235">
        <f>'VK-Põlevkivi'!$F$9-VLOOKUP("Kütuste tarbimine @ 2030 - PÕLEVKIVIÕLI",'VK-Hooned-Soojus'!$C:$X,2+$C55,FALSE)</f>
        <v>29.428043680118964</v>
      </c>
      <c r="AV55" s="209">
        <f>IF(AV$7="X",VLOOKUP(AV$10,'VK-Hooned-Soojus'!$C:$X,2+$C55,FALSE),0)+IF(AV$6="X",VLOOKUP(AV$10,'VK-Transport'!$C:$X,2+$B55,0))+IF(AV$8="X",VLOOKUP(AV$10,'VK-Elekter'!$C:$X,2+$D55,0))+IF(AV$9="X",VLOOKUP(AV$10,'VK-Biokütused'!$C:$U,2+$E55,0))+IF(AV$5="X",VLOOKUP(AV$10,'VK-Põlevkivi'!$C:$X,2+$G55,0))+IF(AV$4="X",VLOOKUP(AV$10,'VK-Võrgud'!$C:$X,2+$F55,0))</f>
        <v>1.1831224847375093</v>
      </c>
      <c r="AW55" s="209">
        <f>IF(AW$7="X",VLOOKUP(AW$10,'VK-Hooned-Soojus'!$C:$X,2+$C55,FALSE),0)+IF(AW$6="X",VLOOKUP(AW$10,'VK-Transport'!$C:$X,2+$B55,0))+IF(AW$8="X",VLOOKUP(AW$10,'VK-Elekter'!$C:$X,2+$D55,0))+IF(AW$9="X",VLOOKUP(AW$10,'VK-Biokütused'!$C:$U,2+$E55,0))+IF(AW$5="X",VLOOKUP(AW$10,'VK-Põlevkivi'!$C:$X,2+$G55,0))+IF(AW$4="X",VLOOKUP(AW$10,'VK-Võrgud'!$C:$X,2+$F55,0))</f>
        <v>4.2799999999999994</v>
      </c>
      <c r="AX55" s="229">
        <f t="shared" si="34"/>
        <v>3.0968775152624901</v>
      </c>
      <c r="AY55" s="229">
        <f t="shared" si="15"/>
        <v>0</v>
      </c>
      <c r="AZ55" s="230">
        <f t="shared" si="36"/>
        <v>0.32798761679216942</v>
      </c>
      <c r="BA55" s="209">
        <f>IF(BA$7="X",VLOOKUP(BA$10,'VK-Hooned-Soojus'!$C:$X,2+$C55,FALSE),0)+IF(BA$6="X",VLOOKUP(BA$10,'VK-Transport'!$C:$X,2+$B55,0))+IF(BA$8="X",VLOOKUP(BA$10,'VK-Elekter'!$C:$X,2+$D55,0))+IF(BA$9="X",VLOOKUP(BA$10,'VK-Biokütused'!$C:$U,2+$E55,0))+IF(BA$5="X",VLOOKUP(BA$10,'VK-Põlevkivi'!$C:$X,2+$G55,0))+IF(BA$4="X",VLOOKUP(BA$10,'VK-Võrgud'!$C:$X,2+$F55,0))</f>
        <v>7.41</v>
      </c>
      <c r="BB55" s="209">
        <f>IF(BB$7="X",VLOOKUP(BB$10,'VK-Hooned-Soojus'!$C:$X,2+$C55,FALSE),0)+IF(BB$6="X",VLOOKUP(BB$10,'VK-Transport'!$C:$X,2+$B55,0))+IF(BB$8="X",VLOOKUP(BB$10,'VK-Elekter'!$C:$X,2+$D55,0))+IF(BB$9="X",VLOOKUP(BB$10,'VK-Biokütused'!$C:$U,2+$E55,0))+IF(BB$5="X",VLOOKUP(BB$10,'VK-Põlevkivi'!$C:$X,2+$G55,0))+IF(BB$4="X",VLOOKUP(BB$10,'VK-Võrgud'!$C:$X,2+$F55,0))</f>
        <v>2.96</v>
      </c>
      <c r="BC55" s="209">
        <f>IF(BC$7="X",VLOOKUP(BC$10,'VK-Hooned-Soojus'!$C:$X,2+$C55,FALSE),0)+IF(BC$6="X",VLOOKUP(BC$10,'VK-Transport'!$C:$X,2+$B55,0))+IF(BC$8="X",VLOOKUP(BC$10,'VK-Elekter'!$C:$X,2+$D55,0))+IF(BC$9="X",VLOOKUP(BC$10,'VK-Biokütused'!$C:$U,2+$E55,0))+IF(BC$5="X",VLOOKUP(BC$10,'VK-Põlevkivi'!$C:$X,2+$G55,0))+IF(BC$4="X",VLOOKUP(BC$10,'VK-Võrgud'!$C:$X,2+$F55,0))</f>
        <v>5.2376666666666667</v>
      </c>
      <c r="BD55" s="209">
        <f>IF(BD$7="X",VLOOKUP(BD$10,'VK-Hooned-Soojus'!$C:$X,2+$C55,FALSE),0)+IF(BD$6="X",VLOOKUP(BD$10,'VK-Transport'!$C:$X,2+$B55,0))+IF(BD$8="X",VLOOKUP(BD$10,'VK-Elekter'!$C:$X,2+$D55,0))+IF(BD$9="X",VLOOKUP(BD$10,'VK-Biokütused'!$C:$U,2+$E55,0))+IF(BD$5="X",VLOOKUP(BD$10,'VK-Põlevkivi'!$C:$X,2+$G55,0))+IF(BD$4="X",VLOOKUP(BD$10,'VK-Võrgud'!$C:$X,2+$F55,0))</f>
        <v>9.1105555555555569</v>
      </c>
      <c r="BE55" s="230"/>
      <c r="BF55" s="229">
        <f t="shared" si="16"/>
        <v>0.2376214220964559</v>
      </c>
      <c r="BG55" s="209" t="e">
        <f>(IF(BG$7="X",VLOOKUP(BG$10,'VK-Hooned-Soojus'!$C:$X,2+$C55,FALSE),0)+IF(BG$6="X",VLOOKUP(BG$10,'VK-Transport'!$C:$X,2+$B55,0))+IF(BG$8="X",VLOOKUP(BG$10,'VK-Elekter'!$C:$X,2+$D55,0))+IF(BG$9="X",VLOOKUP(BG$10,'VK-Biokütused'!$C:$U,2+$E55,0))+IF(BG$5="X",VLOOKUP(BG$10,'VK-Põlevkivi'!$C:$X,2+$G55,0))+IF(BG$4="X",VLOOKUP(BG$10,'VK-Võrgud'!$C:$X,2+$F55,0)))/20</f>
        <v>#N/A</v>
      </c>
      <c r="BH55" s="209">
        <f>(IF(BH$7="X",VLOOKUP(BH$10,'VK-Hooned-Soojus'!$C:$X,2+$C55,FALSE),0)+IF(BH$6="X",VLOOKUP(BH$10,'VK-Transport'!$C:$X,2+$B55,0))+IF(BH$8="X",VLOOKUP(BH$10,'VK-Elekter'!$C:$X,2+$D55,0))+IF(BH$9="X",VLOOKUP(BH$10,'VK-Biokütused'!$C:$U,2+$E55,0))+IF(BH$5="X",VLOOKUP(BH$10,'VK-Põlevkivi'!$C:$X,2+$G55,0))+IF(BH$4="X",VLOOKUP(BH$10,'VK-Võrgud'!$C:$X,2+$F55,0)))/20</f>
        <v>84.204999999999998</v>
      </c>
      <c r="BI55" s="209">
        <f>(IF(BI$7="X",VLOOKUP(BI$10,'VK-Hooned-Soojus'!$C:$X,2+$C55,FALSE),0)+IF(BI$6="X",VLOOKUP(BI$10,'VK-Transport'!$C:$X,2+$B55,0))+IF(BI$8="X",VLOOKUP(BI$10,'VK-Elekter'!$C:$X,2+$D55,0))+IF(BI$9="X",VLOOKUP(BI$10,'VK-Biokütused'!$C:$U,2+$E55,0))+IF(BI$5="X",VLOOKUP(BI$10,'VK-Põlevkivi'!$C:$X,2+$G55,0))+IF(BI$4="X",VLOOKUP(BI$10,'VK-Võrgud'!$C:$X,2+$F55,0)))/16</f>
        <v>8.9375</v>
      </c>
      <c r="BJ55" s="209">
        <f>(IF(BJ$7="X",VLOOKUP(BJ$10,'VK-Hooned-Soojus'!$C:$X,2+$C55,FALSE),0)+IF(BJ$6="X",VLOOKUP(BJ$10,'VK-Transport'!$C:$X,2+$B55,0))+IF(BJ$8="X",VLOOKUP(BJ$10,'VK-Elekter'!$C:$X,2+$D55,0))+IF(BJ$9="X",VLOOKUP(BJ$10,'VK-Biokütused'!$C:$U,2+$E55,0))+IF(BJ$5="X",VLOOKUP(BJ$10,'VK-Põlevkivi'!$C:$X,2+$G55,0))+IF(BJ$4="X",VLOOKUP(BJ$10,'VK-Võrgud'!$C:$X,2+$F55,0)))/20</f>
        <v>5.33</v>
      </c>
      <c r="BK55" s="209"/>
      <c r="BL55" s="209"/>
      <c r="BM55" s="209"/>
      <c r="BN55" s="209" t="e">
        <f>(IF(BN$7="X",VLOOKUP(BN$10,'VK-Hooned-Soojus'!$C:$X,2+$C55,FALSE),0)+IF(BN$6="X",VLOOKUP(BN$10,'VK-Transport'!$C:$X,2+$B55,0))+IF(BN$8="X",VLOOKUP(BN$10,'VK-Elekter'!$C:$X,2+$D55,0))+IF(BN$9="X",VLOOKUP(BN$10,'VK-Biokütused'!$C:$U,2+$E55,0))+IF(BN$5="X",VLOOKUP(BN$10,'VK-Põlevkivi'!$C:$X,2+$G55,0))+IF(BN$4="X",VLOOKUP(BN$10,'VK-Võrgud'!$C:$X,2+$F55,0)))/16</f>
        <v>#N/A</v>
      </c>
      <c r="BO55" s="209">
        <f>(IF(BO$7="X",VLOOKUP(BO$10,'VK-Hooned-Soojus'!$C:$X,2+$C55,FALSE),0)+IF(BO$6="X",VLOOKUP(BO$10,'VK-Transport'!$C:$X,2+$B55,0))+IF(BO$8="X",VLOOKUP(BO$10,'VK-Elekter'!$C:$X,2+$D55,0))+IF(BO$9="X",VLOOKUP(BO$10,'VK-Biokütused'!$C:$U,2+$E55,0))+IF(BO$5="X",VLOOKUP(BO$10,'VK-Põlevkivi'!$C:$X,2+$G55,0))+IF(BO$4="X",VLOOKUP(BO$10,'VK-Võrgud'!$C:$X,2+$F55,0)))/16</f>
        <v>496.33125000000001</v>
      </c>
      <c r="BP55" s="209"/>
      <c r="BQ55" s="209">
        <f>(IF(BQ$7="X",VLOOKUP(BQ$10,'VK-Hooned-Soojus'!$C:$X,2+$C55,FALSE),0)+IF(BQ$6="X",VLOOKUP(BQ$10,'VK-Transport'!$C:$X,2+$B55,0))+IF(BQ$8="X",VLOOKUP(BQ$10,'VK-Elekter'!$C:$X,2+$D55,0))+IF(BQ$9="X",VLOOKUP(BQ$10,'VK-Biokütused'!$C:$U,2+$E55,0))+IF(BQ$5="X",VLOOKUP(BQ$10,'VK-Põlevkivi'!$C:$X,2+$G55,0))+IF(BQ$4="X",VLOOKUP(BQ$10,'VK-Võrgud'!$C:$X,2+$F55,0)))/16</f>
        <v>4.7249999999999996</v>
      </c>
      <c r="BR55" s="209">
        <f>(IF(BR$7="X",VLOOKUP(BR$10,'VK-Hooned-Soojus'!$C:$X,2+$C55,FALSE),0)+IF(BR$6="X",VLOOKUP(BR$10,'VK-Transport'!$C:$X,2+$B55,0))+IF(BR$8="X",VLOOKUP(BR$10,'VK-Elekter'!$C:$X,2+$D55,0))+IF(BR$9="X",VLOOKUP(BR$10,'VK-Biokütused'!$C:$U,2+$E55,0))+IF(BR$5="X",VLOOKUP(BR$10,'VK-Põlevkivi'!$C:$X,2+$G55,0))+IF(BR$4="X",VLOOKUP(BR$10,'VK-Võrgud'!$C:$X,2+$F55,0)))/16</f>
        <v>-74.512500000000003</v>
      </c>
      <c r="BS55" s="209">
        <f>(IF(BS$7="X",VLOOKUP(BS$10,'VK-Hooned-Soojus'!$C:$X,2+$C55,FALSE),0)+IF(BS$6="X",VLOOKUP(BS$10,'VK-Transport'!$C:$X,2+$B55,0))+IF(BS$8="X",VLOOKUP(BS$10,'VK-Elekter'!$C:$X,2+$D55,0))+IF(BS$9="X",VLOOKUP(BS$10,'VK-Biokütused'!$C:$U,2+$E55,0))+IF(BS$5="X",VLOOKUP(BS$10,'VK-Põlevkivi'!$C:$X,2+$G55,0))+IF(BS$4="X",VLOOKUP(BS$10,'VK-Võrgud'!$C:$X,2+$F55,0)))/16</f>
        <v>-100.68125000000001</v>
      </c>
      <c r="BT55" s="209"/>
      <c r="BU55" s="209"/>
      <c r="BV55" s="209">
        <f>(IF(BV$7="X",VLOOKUP(BV$10,'VK-Hooned-Soojus'!$C:$X,2+$C55,FALSE),0)+IF(BV$6="X",VLOOKUP(BV$10,'VK-Transport'!$C:$X,2+$B55,0))+IF(BV$8="X",VLOOKUP(BV$10,'VK-Elekter'!$C:$X,2+$D55,0))+IF(BV$9="X",VLOOKUP(BV$10,'VK-Biokütused'!$C:$U,2+$E55,0))+IF(BV$5="X",VLOOKUP(BV$10,'VK-Põlevkivi'!$C:$X,2+$G55,0))+IF(BV$4="X",VLOOKUP(BV$10,'VK-Võrgud'!$C:$X,2+$F55,0)))/16</f>
        <v>0</v>
      </c>
      <c r="BW55" s="209"/>
      <c r="BX55" s="209">
        <f>(IF(BX$7="X",VLOOKUP(BX$10,'VK-Hooned-Soojus'!$C:$X,2+$C55,FALSE),0)+IF(BX$6="X",VLOOKUP(BX$10,'VK-Transport'!$C:$X,2+$B55,0))+IF(BX$8="X",VLOOKUP(BX$10,'VK-Elekter'!$C:$X,2+$D55,0))+IF(BX$9="X",VLOOKUP(BX$10,'VK-Biokütused'!$C:$U,2+$E55,0))+IF(BX$5="X",VLOOKUP(BX$10,'VK-Põlevkivi'!$C:$X,2+$G55,0))+IF(BX$4="X",VLOOKUP(BX$10,'VK-Võrgud'!$C:$X,2+$F55,0)))/16</f>
        <v>-145.125</v>
      </c>
      <c r="BY55" s="209"/>
      <c r="BZ55" s="209"/>
      <c r="CA55" s="209" t="e">
        <f>(IF(CA$7="X",VLOOKUP(CA$10,'VK-Hooned-Soojus'!$C:$X,2+$C55,FALSE),0)+IF(CA$6="X",VLOOKUP(CA$10,'VK-Transport'!$C:$X,2+$B55,0))+IF(CA$8="X",VLOOKUP(CA$10,'VK-Elekter'!$C:$X,2+$D55,0))+IF(CA$9="X",VLOOKUP(CA$10,'VK-Biokütused'!$C:$U,2+$E55,0))+IF(CA$5="X",VLOOKUP(CA$10,'VK-Põlevkivi'!$C:$X,2+$G55,0))+IF(CA$4="X",VLOOKUP(CA$10,'VK-Võrgud'!$C:$X,2+$F55,0)))/16</f>
        <v>#N/A</v>
      </c>
      <c r="CB55" s="209">
        <f>(IF(CB$7="X",VLOOKUP(CB$10,'VK-Hooned-Soojus'!$C:$X,2+$C55,FALSE),0)+IF(CB$6="X",VLOOKUP(CB$10,'VK-Transport'!$C:$X,2+$B55,0))+IF(CB$8="X",VLOOKUP(CB$10,'VK-Elekter'!$C:$X,2+$D55,0))+IF(CB$9="X",VLOOKUP(CB$10,'VK-Biokütused'!$C:$U,2+$E55,0))+IF(CB$5="X",VLOOKUP(CB$10,'VK-Põlevkivi'!$C:$X,2+$G55,0))+IF(CB$4="X",VLOOKUP(CB$10,'VK-Võrgud'!$C:$X,2+$F55,0)))/16</f>
        <v>0</v>
      </c>
      <c r="CC55" s="209">
        <f>(IF(CC$7="X",VLOOKUP(CC$10,'VK-Hooned-Soojus'!$C:$X,2+$C55,FALSE),0)+IF(CC$6="X",VLOOKUP(CC$10,'VK-Transport'!$C:$X,2+$B55,0))+IF(CC$8="X",VLOOKUP(CC$10,'VK-Elekter'!$C:$X,2+$D55,0))+IF(CC$9="X",VLOOKUP(CC$10,'VK-Biokütused'!$C:$U,2+$E55,0))+IF(CC$5="X",VLOOKUP(CC$10,'VK-Põlevkivi'!$C:$X,2+$G55,0))+IF(CC$4="X",VLOOKUP(CC$10,'VK-Võrgud'!$C:$X,2+$F55,0)))/16</f>
        <v>0</v>
      </c>
      <c r="CD55" s="209"/>
      <c r="CE55" s="209">
        <f>(IF(CE$7="X",VLOOKUP(CE$10,'VK-Hooned-Soojus'!$C:$X,2+$C55,FALSE),0)+IF(CE$6="X",VLOOKUP(CE$10,'VK-Transport'!$C:$X,2+$B55,0))+IF(CE$8="X",VLOOKUP(CE$10,'VK-Elekter'!$C:$X,2+$D55,0))+IF(CE$9="X",VLOOKUP(CE$10,'VK-Biokütused'!$C:$U,2+$E55,0))+IF(CE$5="X",VLOOKUP(CE$10,'VK-Põlevkivi'!$C:$X,2+$G55,0))+IF(CE$4="X",VLOOKUP(CE$10,'VK-Võrgud'!$C:$X,2+$F55,0)))/16</f>
        <v>24.15625</v>
      </c>
      <c r="CF55" s="209"/>
      <c r="CG55" s="209">
        <f>(IF(CG$7="X",VLOOKUP(CG$10,'VK-Hooned-Soojus'!$C:$X,2+$C55,FALSE),0)+IF(CG$6="X",VLOOKUP(CG$10,'VK-Transport'!$C:$X,2+$B55,0))+IF(CG$8="X",VLOOKUP(CG$10,'VK-Elekter'!$C:$X,2+$D55,0))+IF(CG$9="X",VLOOKUP(CG$10,'VK-Biokütused'!$C:$U,2+$E55,0))+IF(CG$5="X",VLOOKUP(CG$10,'VK-Põlevkivi'!$C:$X,2+$G55,0))+IF(CG$4="X",VLOOKUP(CG$10,'VK-Võrgud'!$C:$X,2+$F55,0)))/16</f>
        <v>0</v>
      </c>
      <c r="CH55" s="209">
        <f>(IF(CH$7="X",VLOOKUP(CH$10,'VK-Hooned-Soojus'!$C:$X,2+$C55,FALSE),0)+IF(CH$6="X",VLOOKUP(CH$10,'VK-Transport'!$C:$X,2+$B55,0))+IF(CH$8="X",VLOOKUP(CH$10,'VK-Elekter'!$C:$X,2+$D55,0))+IF(CH$9="X",VLOOKUP(CH$10,'VK-Biokütused'!$C:$U,2+$E55,0))+IF(CH$5="X",VLOOKUP(CH$10,'VK-Põlevkivi'!$C:$X,2+$G55,0))+IF(CH$4="X",VLOOKUP(CH$10,'VK-Võrgud'!$C:$X,2+$F55,0)))/20*0.21</f>
        <v>26.9178</v>
      </c>
      <c r="CI55" s="209"/>
      <c r="CJ55" s="209">
        <f>(IF(CJ$7="X",VLOOKUP(CJ$10,'VK-Hooned-Soojus'!$C:$X,2+$C55,FALSE),0)+IF(CJ$6="X",VLOOKUP(CJ$10,'VK-Transport'!$C:$X,2+$B55,0))+IF(CJ$8="X",VLOOKUP(CJ$10,'VK-Elekter'!$C:$X,2+$D55,0))+IF(CJ$9="X",VLOOKUP(CJ$10,'VK-Biokütused'!$C:$U,2+$E55,0))+IF(CJ$5="X",VLOOKUP(CJ$10,'VK-Põlevkivi'!$C:$X,2+$G55,0))+IF(CJ$4="X",VLOOKUP(CJ$10,'VK-Võrgud'!$C:$X,2+$F55,0)))/1000</f>
        <v>23.055</v>
      </c>
      <c r="CK55" s="209">
        <f>(IF(CK$7="X",VLOOKUP(CK$10,'VK-Hooned-Soojus'!$C:$X,2+$C55,FALSE),0)+IF(CK$6="X",VLOOKUP(CK$10,'VK-Transport'!$C:$X,2+$B55,0))+IF(CK$8="X",VLOOKUP(CK$10,'VK-Elekter'!$C:$X,2+$D55,0))+IF(CK$9="X",VLOOKUP(CK$10,'VK-Biokütused'!$C:$U,2+$E55,0))+IF(CK$5="X",VLOOKUP(CK$10,'VK-Põlevkivi'!$C:$X,2+$G55,0))+IF(CK$4="X",VLOOKUP(CK$10,'VK-Võrgud'!$C:$X,2+$F55,0)))/1000</f>
        <v>37.843716140171821</v>
      </c>
      <c r="CL55" s="209">
        <f>(IF(CL$7="X",VLOOKUP(CL$10,'VK-Hooned-Soojus'!$C:$X,2+$C55,FALSE),0)+IF(CL$6="X",VLOOKUP(CL$10,'VK-Transport'!$C:$X,2+$B55,0))+IF(CL$8="X",VLOOKUP(CL$10,'VK-Elekter'!$C:$X,2+$D55,0))+IF(CL$9="X",VLOOKUP(CL$10,'VK-Biokütused'!$C:$U,2+$E55,0))+IF(CL$5="X",VLOOKUP(CL$10,'VK-Põlevkivi'!$C:$X,2+$G55,0))+IF(CL$4="X",VLOOKUP(CL$10,'VK-Võrgud'!$C:$X,2+$F55,0)))/1000</f>
        <v>12.14223327039346</v>
      </c>
      <c r="CM55" s="209">
        <f>(IF(CM$7="X",VLOOKUP(CM$10,'VK-Hooned-Soojus'!$C:$X,2+$C55,FALSE),0)+IF(CM$6="X",VLOOKUP(CM$10,'VK-Transport'!$C:$X,2+$B55,0))+IF(CM$8="X",VLOOKUP(CM$10,'VK-Elekter'!$C:$X,2+$D55,0))+IF(CM$9="X",VLOOKUP(CM$10,'VK-Biokütused'!$C:$U,2+$E55,0))+IF(CM$5="X",VLOOKUP(CM$10,'VK-Põlevkivi'!$C:$X,2+$G55,0))+IF(CM$4="X",VLOOKUP(CM$10,'VK-Võrgud'!$C:$X,2+$F55,0)))/1000</f>
        <v>7.5689896156049166</v>
      </c>
      <c r="CN55" s="209">
        <f>(IF(CN$7="X",VLOOKUP(CN$10,'VK-Hooned-Soojus'!$C:$X,2+$C55,FALSE),0)+IF(CN$6="X",VLOOKUP(CN$10,'VK-Transport'!$C:$X,2+$B55,0))+IF(CN$8="X",VLOOKUP(CN$10,'VK-Elekter'!$C:$X,2+$D55,0))+IF(CN$9="X",VLOOKUP(CN$10,'VK-Biokütused'!$C:$U,2+$E55,0))+IF(CN$5="X",VLOOKUP(CN$10,'VK-Põlevkivi'!$C:$X,2+$G55,0))+IF(CN$4="X",VLOOKUP(CN$10,'VK-Võrgud'!$C:$X,2+$F55,0)))/1000</f>
        <v>2.7559999999999998</v>
      </c>
      <c r="CO55" s="209">
        <f>(IF(CO$7="X",VLOOKUP(CO$10,'VK-Hooned-Soojus'!$C:$X,2+$C55,FALSE),0)+IF(CO$6="X",VLOOKUP(CO$10,'VK-Transport'!$C:$X,2+$B55,0))+IF(CO$8="X",VLOOKUP(CO$10,'VK-Elekter'!$C:$X,2+$D55,0))+IF(CO$9="X",VLOOKUP(CO$10,'VK-Biokütused'!$C:$U,2+$E55,0))+IF(CO$5="X",VLOOKUP(CO$10,'VK-Põlevkivi'!$C:$X,2+$G55,0))+IF(CO$4="X",VLOOKUP(CO$10,'VK-Võrgud'!$C:$X,2+$F55,0)))/1000</f>
        <v>30.469649773285454</v>
      </c>
      <c r="CP55" s="209">
        <f>(IF(CP$7="X",VLOOKUP(CP$10,'VK-Hooned-Soojus'!$C:$X,2+$C55,FALSE),0)+IF(CP$6="X",VLOOKUP(CP$10,'VK-Transport'!$C:$X,2+$B55,0))+IF(CP$8="X",VLOOKUP(CP$10,'VK-Elekter'!$C:$X,2+$D55,0))+IF(CP$9="X",VLOOKUP(CP$10,'VK-Biokütused'!$C:$U,2+$E55,0))+IF(CP$5="X",VLOOKUP(CP$10,'VK-Põlevkivi'!$C:$X,2+$G55,0))+IF(CP$4="X",VLOOKUP(CP$10,'VK-Võrgud'!$C:$X,2+$F55,0)))/1000</f>
        <v>32.304430478599883</v>
      </c>
      <c r="CQ55" s="209">
        <f>(IF(CQ$7="X",VLOOKUP(CQ$10,'VK-Hooned-Soojus'!$C:$X,2+$C55,FALSE),0)+IF(CQ$6="X",VLOOKUP(CQ$10,'VK-Transport'!$C:$X,2+$B55,0))+IF(CQ$8="X",VLOOKUP(CQ$10,'VK-Elekter'!$C:$X,2+$D55,0))+IF(CQ$9="X",VLOOKUP(CQ$10,'VK-Biokütused'!$C:$U,2+$E55,0))+IF(CQ$5="X",VLOOKUP(CQ$10,'VK-Põlevkivi'!$C:$X,2+$G55,0))+IF(CQ$4="X",VLOOKUP(CQ$10,'VK-Võrgud'!$C:$X,2+$F55,0)))/1000</f>
        <v>17.287907000000001</v>
      </c>
      <c r="CR55" s="209">
        <f>(IF(CR$7="X",VLOOKUP(CR$10,'VK-Hooned-Soojus'!$C:$X,2+$C55,FALSE),0)+IF(CR$6="X",VLOOKUP(CR$10,'VK-Transport'!$C:$X,2+$B55,0))+IF(CR$8="X",VLOOKUP(CR$10,'VK-Elekter'!$C:$X,2+$D55,0))+IF(CR$9="X",VLOOKUP(CR$10,'VK-Biokütused'!$C:$U,2+$E55,0))+IF(CR$5="X",VLOOKUP(CR$10,'VK-Põlevkivi'!$C:$X,2+$G55,0))+IF(CR$4="X",VLOOKUP(CR$10,'VK-Võrgud'!$C:$X,2+$F55,0)))/1000</f>
        <v>8.0467533562748041</v>
      </c>
      <c r="CS55" s="209">
        <f>(IF(CS$7="X",VLOOKUP(CS$10,'VK-Hooned-Soojus'!$C:$X,2+$C55,FALSE),0)+IF(CS$6="X",VLOOKUP(CS$10,'VK-Transport'!$C:$X,2+$B55,0))+IF(CS$8="X",VLOOKUP(CS$10,'VK-Elekter'!$C:$X,2+$D55,0))+IF(CS$9="X",VLOOKUP(CS$10,'VK-Biokütused'!$C:$U,2+$E55,0))+IF(CS$5="X",VLOOKUP(CS$10,'VK-Põlevkivi'!$C:$X,2+$G55,0))+IF(CS$4="X",VLOOKUP(CS$10,'VK-Võrgud'!$C:$X,2+$F55,0)))/1000</f>
        <v>3.9161524051216152</v>
      </c>
      <c r="CT55" s="209">
        <f>IF(CT$7="X",VLOOKUP(CT$10,'VK-Hooned-Soojus'!$C:$X,2+$C55,FALSE),0)+IF(CT$6="X",VLOOKUP(CT$10,'VK-Transport'!$C:$X,2+$B55,0))+IF(CT$8="X",VLOOKUP(CT$10,'VK-Elekter'!$C:$X,2+$D55,0))+IF(CT$9="X",VLOOKUP(CT$10,'VK-Biokütused'!$C:$U,2+$E55,0))+IF(CT$5="X",VLOOKUP(CT$10,'VK-Põlevkivi'!$C:$X,2+$G55,0))+IF(CT$4="X",VLOOKUP(CT$10,'VK-Võrgud'!$C:$X,2+$F55,0))</f>
        <v>90</v>
      </c>
      <c r="CU55" s="209">
        <f>IF(CU$7="X",VLOOKUP(CU$10,'VK-Hooned-Soojus'!$C:$X,2+$C55,FALSE),0)+IF(CU$6="X",VLOOKUP(CU$10,'VK-Transport'!$C:$X,2+$B55,0))+IF(CU$8="X",VLOOKUP(CU$10,'VK-Elekter'!$C:$X,2+$D55,0))+IF(CU$9="X",VLOOKUP(CU$10,'VK-Biokütused'!$C:$U,2+$E55,0))+IF(CU$5="X",VLOOKUP(CU$10,'VK-Põlevkivi'!$C:$X,2+$G55,0))+IF(CU$4="X",VLOOKUP(CU$10,'VK-Võrgud'!$C:$X,2+$F55,0))</f>
        <v>1</v>
      </c>
      <c r="CV55" s="209">
        <f t="shared" si="37"/>
        <v>0.91028830406496786</v>
      </c>
      <c r="CW55" s="209">
        <f>(IF(CW$7="X",VLOOKUP(CW$10,'VK-Hooned-Soojus'!$C:$X,2+$C55,FALSE),0)+IF(CW$6="X",VLOOKUP(CW$10,'VK-Transport'!$C:$X,2+$B55,0))+IF(CW$8="X",VLOOKUP(CW$10,'VK-Elekter'!$C:$X,2+$D55,0))+IF(CW$9="X",VLOOKUP(CW$10,'VK-Biokütused'!$C:$U,2+$E55,0))+IF(CW$5="X",VLOOKUP(CW$10,'VK-Põlevkivi'!$C:$X,2+$G55,0))+IF(CW$4="X",VLOOKUP(CW$10,'VK-Võrgud'!$C:$X,2+$F55,0)))/16</f>
        <v>126.01875</v>
      </c>
      <c r="CY55" s="209">
        <f>(IF(CY$7="X",VLOOKUP(CY$10,'VK-Hooned-Soojus'!$C:$X,2+$C55,FALSE),0)+IF(CY$6="X",VLOOKUP(CY$10,'VK-Transport'!$C:$X,2+$B55,0))+IF(CY$8="X",VLOOKUP(CY$10,'VK-Elekter'!$C:$X,2+$D55,0))+IF(CY$9="X",VLOOKUP(CY$10,'VK-Biokütused'!$C:$U,2+$E55,0))+IF(CY$5="X",VLOOKUP(CY$10,'VK-Põlevkivi'!$C:$X,2+$G55,0))+IF(CY$4="X",VLOOKUP(CY$10,'VK-Võrgud'!$C:$X,2+$F55,0)))/1000</f>
        <v>12.071999999999999</v>
      </c>
      <c r="CZ55" s="209">
        <f>(IF(CZ$7="X",VLOOKUP(CZ$10,'VK-Hooned-Soojus'!$C:$X,2+$C55,FALSE),0)+IF(CZ$6="X",VLOOKUP(CZ$10,'VK-Transport'!$C:$X,2+$B55,0))+IF(CZ$8="X",VLOOKUP(CZ$10,'VK-Elekter'!$C:$X,2+$D55,0))+IF(CZ$9="X",VLOOKUP(CZ$10,'VK-Biokütused'!$C:$U,2+$E55,0))+IF(CZ$5="X",VLOOKUP(CZ$10,'VK-Põlevkivi'!$C:$X,2+$G55,0))+IF(CZ$4="X",VLOOKUP(CZ$10,'VK-Võrgud'!$C:$X,2+$F55,0)))</f>
        <v>101</v>
      </c>
      <c r="DA55" s="209">
        <f>(IF(DA$7="X",VLOOKUP(DA$10,'VK-Hooned-Soojus'!$C:$X,2+$C55,FALSE),0)+IF(DA$6="X",VLOOKUP(DA$10,'VK-Transport'!$C:$X,2+$B55,0))+IF(DA$8="X",VLOOKUP(DA$10,'VK-Elekter'!$C:$X,2+$D55,0))+IF(DA$9="X",VLOOKUP(DA$10,'VK-Biokütused'!$C:$U,2+$E55,0))+IF(DA$5="X",VLOOKUP(DA$10,'VK-Põlevkivi'!$C:$X,2+$G55,0))+IF(DA$4="X",VLOOKUP(DA$10,'VK-Võrgud'!$C:$X,2+$F55,0)))/1000</f>
        <v>17.181000000000001</v>
      </c>
      <c r="DB55" s="209">
        <f>(IF(DB$7="X",VLOOKUP(DB$10,'VK-Hooned-Soojus'!$C:$X,2+$C55,FALSE),0)+IF(DB$6="X",VLOOKUP(DB$10,'VK-Transport'!$C:$X,2+$B55,0))+IF(DB$8="X",VLOOKUP(DB$10,'VK-Elekter'!$C:$X,2+$D55,0))+IF(DB$9="X",VLOOKUP(DB$10,'VK-Biokütused'!$C:$U,2+$E55,0))+IF(DB$5="X",VLOOKUP(DB$10,'VK-Põlevkivi'!$C:$X,2+$G55,0))+IF(DB$4="X",VLOOKUP(DB$10,'VK-Võrgud'!$C:$X,2+$F55,0)))/1000/3.6</f>
        <v>138.81166666666667</v>
      </c>
      <c r="DC55" s="209">
        <f>(IF(DC$7="X",VLOOKUP(DC$10,'VK-Hooned-Soojus'!$C:$X,2+$C55,FALSE),0)+IF(DC$6="X",VLOOKUP(DC$10,'VK-Transport'!$C:$X,2+$B55,0))+IF(DC$8="X",VLOOKUP(DC$10,'VK-Elekter'!$C:$X,2+$D55,0))+IF(DC$9="X",VLOOKUP(DC$10,'VK-Biokütused'!$C:$U,2+$E55,0))+IF(DC$5="X",VLOOKUP(DC$10,'VK-Põlevkivi'!$C:$X,2+$G55,0))+IF(DC$4="X",VLOOKUP(DC$10,'VK-Võrgud'!$C:$X,2+$F55,0)))/1000000</f>
        <v>7.6351259999999996</v>
      </c>
      <c r="DD55" s="209"/>
      <c r="DE55" s="88">
        <f>VLOOKUP(Tulemused!$BN$12,data!M$7:N$12,2,FALSE)-SUM(L55,M55)</f>
        <v>-2.20664444444445</v>
      </c>
      <c r="DF55" s="209" t="str">
        <f>IF(AZ55&lt;=VLOOKUP(Tulemused!$BN$15,data!$E$36:$F$39,2,FALSE),"JAH","EI")</f>
        <v>JAH</v>
      </c>
      <c r="DG55" s="209"/>
      <c r="DH55" s="209">
        <f t="shared" si="38"/>
        <v>6.08</v>
      </c>
      <c r="DI55" s="231" t="str">
        <f t="shared" si="17"/>
        <v>EI</v>
      </c>
      <c r="DK55" s="232">
        <f t="shared" si="39"/>
        <v>-995.33825892630807</v>
      </c>
      <c r="DM55" s="233">
        <f t="shared" si="40"/>
        <v>-993.54614808375754</v>
      </c>
      <c r="DN55" s="87">
        <f t="array" ref="DN55">INDEX($A$11:$A$145, SMALL(IF(DM55=$DK$11:$DK$145, MATCH(ROW($DK$11:$DK$145), ROW($DK$11:$DK$145))), SUM(--(DM55=$DM$11:DM55))))</f>
        <v>26</v>
      </c>
      <c r="DP55" s="87" t="e">
        <f t="shared" ca="1" si="18"/>
        <v>#N/A</v>
      </c>
      <c r="DQ55" s="87" t="e">
        <f t="shared" ca="1" si="19"/>
        <v>#N/A</v>
      </c>
      <c r="DR55" s="87">
        <f t="shared" ca="1" si="20"/>
        <v>0</v>
      </c>
      <c r="DS55" s="87" t="e">
        <f t="shared" ca="1" si="21"/>
        <v>#N/A</v>
      </c>
      <c r="DT55" s="87">
        <f t="shared" ca="1" si="22"/>
        <v>0</v>
      </c>
      <c r="DU55" s="87" t="e">
        <f t="shared" ca="1" si="23"/>
        <v>#N/A</v>
      </c>
      <c r="DV55" s="87" t="e">
        <f t="shared" ca="1" si="24"/>
        <v>#N/A</v>
      </c>
      <c r="DW55" s="87">
        <f t="shared" ca="1" si="25"/>
        <v>0</v>
      </c>
      <c r="DX55" s="87">
        <f t="shared" ca="1" si="26"/>
        <v>0</v>
      </c>
      <c r="DZ55" s="87">
        <f t="shared" ca="1" si="35"/>
        <v>0</v>
      </c>
      <c r="EB55" s="87">
        <f t="shared" ca="1" si="27"/>
        <v>0</v>
      </c>
      <c r="EC55" s="87" t="e">
        <f t="shared" ca="1" si="28"/>
        <v>#N/A</v>
      </c>
      <c r="EE55" s="228">
        <f>(IF(EE$7="X",VLOOKUP(EE$10,'VK-Hooned-Soojus'!$C:$X,2+$C55,FALSE),0)+IF(EE$6="X",VLOOKUP(EE$10,'VK-Transport'!$C:$X,2+$B55,0))+IF(EE$8="X",VLOOKUP(EE$10,'VK-Elekter'!$C:$X,2+$D55,0))+IF(EE$9="X",VLOOKUP(EE$10,'VK-Biokütused'!$C:$U,2+$E55,0))+IF(EE$5="X",VLOOKUP(EE$10,'VK-Põlevkivi'!$C:$X,2+$G55,0))+IF(EE$4="X",VLOOKUP(EE$10,'VK-Võrgud'!$C:$X,2+$F55,0)))</f>
        <v>12870.41362094957</v>
      </c>
      <c r="EF55" s="209">
        <f>(IF(EF$7="X",VLOOKUP(EF$10,'VK-Hooned-Soojus'!$C:$X,2+$C55,FALSE),0)+IF(EF$6="X",VLOOKUP(EF$10,'VK-Transport'!$C:$X,2+$B55,0))+IF(EF$8="X",VLOOKUP(EF$10,'VK-Elekter'!$C:$X,2+$D55,0))+IF(EF$9="X",VLOOKUP(EF$10,'VK-Biokütused'!$C:$U,2+$E55,0))+IF(EF$5="X",VLOOKUP(EF$10,'VK-Põlevkivi'!$C:$X,2+$G55,0))+IF(EF$4="X",VLOOKUP(EF$10,'VK-Võrgud'!$C:$X,2+$F55,0)))/1000</f>
        <v>9.183636821583061</v>
      </c>
      <c r="EG55" s="209">
        <f>(IF(EG$7="X",VLOOKUP(EG$10,'VK-Hooned-Soojus'!$C:$X,2+$C55,FALSE),0)+IF(EG$6="X",VLOOKUP(EG$10,'VK-Transport'!$C:$X,2+$B55,0))+IF(EG$8="X",VLOOKUP(EG$10,'VK-Elekter'!$C:$X,2+$D55,0))+IF(EG$9="X",VLOOKUP(EG$10,'VK-Biokütused'!$C:$U,2+$E55,0))+IF(EG$5="X",VLOOKUP(EG$10,'VK-Põlevkivi'!$C:$X,2+$G55,0))+IF(EG$4="X",VLOOKUP(EG$10,'VK-Võrgud'!$C:$X,2+$F55,0)))</f>
        <v>0.81</v>
      </c>
      <c r="EH55" s="209">
        <f>(IF(EH$7="X",VLOOKUP(EH$10,'VK-Hooned-Soojus'!$C:$X,2+$C55,FALSE),0)+IF(EH$6="X",VLOOKUP(EH$10,'VK-Transport'!$C:$X,2+$B55,0))+IF(EH$8="X",VLOOKUP(EH$10,'VK-Elekter'!$C:$X,2+$D55,0))+IF(EH$9="X",VLOOKUP(EH$10,'VK-Biokütused'!$C:$U,2+$E55,0)))+AR55+AS55+AU55+AX55</f>
        <v>95.621599737484715</v>
      </c>
      <c r="EI55" s="320">
        <f t="shared" si="41"/>
        <v>63.096678542103263</v>
      </c>
      <c r="EJ55" s="322">
        <f t="shared" si="42"/>
        <v>2.201934621570804E-2</v>
      </c>
      <c r="EK55" s="323">
        <f t="shared" si="29"/>
        <v>0.36029299432190109</v>
      </c>
      <c r="EM55" s="209"/>
      <c r="EN55" s="209">
        <f t="shared" ca="1" si="43"/>
        <v>0</v>
      </c>
      <c r="EO55" s="209"/>
      <c r="EP55" s="234"/>
      <c r="EQ55" s="209">
        <f>(IF(EQ$7="X",VLOOKUP(EQ$10,'VK-Hooned-Soojus'!$C:$X,2+$C55,FALSE),0)+IF(EQ$6="X",VLOOKUP(EQ$10,'VK-Transport'!$C:$X,2+$B55,0))+IF(EQ$8="X",VLOOKUP(EQ$10,'VK-Elekter'!$C:$X,2+$D55,0))+IF(EQ$9="X",VLOOKUP(EQ$10,'VK-Biokütused'!$C:$U,2+$E55,0))+IF(EQ$5="X",VLOOKUP(EQ$10,'VK-Põlevkivi'!$C:$X,2+$G55,0))+IF(EQ$4="X",VLOOKUP(EQ$10,'VK-Võrgud'!$C:$X,2+$F55,0)))/1000</f>
        <v>0.19900000000000001</v>
      </c>
      <c r="ER55" s="209">
        <f>(IF(ER$7="X",VLOOKUP(ER$10,'VK-Hooned-Soojus'!$C:$X,2+$C55,FALSE),0)+IF(ER$6="X",VLOOKUP(ER$10,'VK-Transport'!$C:$X,2+$B55,0))+IF(ER$8="X",VLOOKUP(ER$10,'VK-Elekter'!$C:$X,2+$D55,0))+IF(ER$9="X",VLOOKUP(ER$10,'VK-Biokütused'!$C:$U,2+$E55,0))+IF(ER$5="X",VLOOKUP(ER$10,'VK-Põlevkivi'!$C:$X,2+$G55,0))+IF(ER$4="X",VLOOKUP(ER$10,'VK-Võrgud'!$C:$X,2+$F55,0)))</f>
        <v>0.72299999999999998</v>
      </c>
      <c r="ES55" s="209">
        <f>(IF(ES$7="X",VLOOKUP(ES$10,'VK-Hooned-Soojus'!$C:$X,2+$C55,FALSE),0)+IF(ES$6="X",VLOOKUP(ES$10,'VK-Transport'!$C:$X,2+$B55,0))+IF(ES$8="X",VLOOKUP(ES$10,'VK-Elekter'!$C:$X,2+$D55,0))+IF(ES$9="X",VLOOKUP(ES$10,'VK-Biokütused'!$C:$U,2+$E55,0))+IF(ES$5="X",VLOOKUP(ES$10,'VK-Põlevkivi'!$C:$X,2+$G55,0))+IF(ES$4="X",VLOOKUP(ES$10,'VK-Võrgud'!$C:$X,2+$F55,0)))</f>
        <v>6.08</v>
      </c>
      <c r="ET55" s="209"/>
      <c r="EU55" s="209"/>
      <c r="EV55" s="87">
        <f>'KSH järjestus'!AS48</f>
        <v>1569</v>
      </c>
      <c r="EX55" s="236"/>
      <c r="EY55" s="236"/>
      <c r="EZ55" s="237">
        <f t="shared" si="44"/>
        <v>0</v>
      </c>
      <c r="FA55" s="209">
        <f>IF(FA$7="X",VLOOKUP(FA$10,'VK-Hooned-Soojus'!$C:$X,2+$C55,FALSE),0)+IF(FA$6="X",VLOOKUP(FA$10,'VK-Transport'!$C:$X,2+$B55,0))+IF(FA$8="X",VLOOKUP(FA$10,'VK-Elekter'!$C:$X,2+$D55,0))+IF(FA$9="X",VLOOKUP(FA$10,'VK-Biokütused'!$C:$U,2+$E55,0))+IF(FA$5="X",VLOOKUP(FA$10,'VK-Põlevkivi'!$C:$X,2+$G55,0))+IF(FA$4="X",VLOOKUP(FA$10,'VK-Võrgud'!$C:$X,2+$F55,0))</f>
        <v>3656.9070000000002</v>
      </c>
      <c r="FB55" s="279">
        <f>(IF(FB$7="X",VLOOKUP(FB$10,'VK-Hooned-Soojus'!$C:$X,2+$C55,FALSE),0)+IF(FB$6="X",VLOOKUP(FB$10,'VK-Transport'!$C:$X,2+$B55,0))+IF(FB$8="X",VLOOKUP(FB$10,'VK-Elekter'!$C:$X,2+$D55,0))+IF(FB$9="X",VLOOKUP(FB$10,'VK-Biokütused'!$C:$U,2+$E55,0))+IF(FB$5="X",VLOOKUP(FB$10,'VK-Põlevkivi'!$C:$X,2+$G55,0))+IF(FB$4="X",VLOOKUP(FB$10,'VK-Võrgud'!$C:$X,2+$F55,0)))/16</f>
        <v>841.80483445421237</v>
      </c>
      <c r="FC55" s="209">
        <f>IF(FC$7="X",VLOOKUP(FC$10,'VK-Hooned-Soojus'!$C:$X,2+$C55,FALSE),0)+IF(FC$6="X",VLOOKUP(FC$10,'VK-Transport'!$C:$X,2+$B55,0))+IF(FC$8="X",VLOOKUP(FC$10,'VK-Elekter'!$C:$X,2+$D55,0))+IF(FC$9="X",VLOOKUP(FC$10,'VK-Biokütused'!$C:$U,2+$E55,0))+IF(FC$5="X",VLOOKUP(FC$10,'VK-Põlevkivi'!$C:$X,2+$G55,0))+IF(FC$4="X",VLOOKUP(FC$10,'VK-Võrgud'!$C:$X,2+$F55,0))</f>
        <v>309</v>
      </c>
      <c r="FD55" s="209">
        <f>(IF(FD$7="X",VLOOKUP(FD$10,'VK-Hooned-Soojus'!$C:$X,2+$C55,FALSE),0)+IF(FD$6="X",VLOOKUP(FD$10,'VK-Transport'!$C:$X,2+$B55,0))+IF(FD$8="X",VLOOKUP(FD$10,'VK-Elekter'!$C:$X,2+$D55,0))+IF(FD$9="X",VLOOKUP(FD$10,'VK-Biokütused'!$C:$U,2+$E55,0))+IF(FD$5="X",VLOOKUP(FD$10,'VK-Põlevkivi'!$C:$X,2+$G55,0))+IF(FD$4="X",VLOOKUP(FD$10,'VK-Võrgud'!$C:$X,2+$F55,0)))/16</f>
        <v>841.80483445421237</v>
      </c>
      <c r="FE55" s="209">
        <f>(IF(FE$7="X",VLOOKUP(FE$10,'VK-Hooned-Soojus'!$C:$X,2+$C55,FALSE),0)+IF(FE$6="X",VLOOKUP(FE$10,'VK-Transport'!$C:$X,2+$B55,0))+IF(FE$8="X",VLOOKUP(FE$10,'VK-Elekter'!$C:$X,2+$D55,0))+IF(FE$9="X",VLOOKUP(FE$10,'VK-Biokütused'!$C:$U,2+$E55,0))+IF(FE$5="X",VLOOKUP(FE$10,'VK-Põlevkivi'!$C:$X,2+$G55,0))+IF(FE$4="X",VLOOKUP(FE$10,'VK-Võrgud'!$C:$X,2+$F55,0)))/16</f>
        <v>-156.76081369909105</v>
      </c>
      <c r="FF55" s="209">
        <f>(IF(FF$7="X",VLOOKUP(FF$10,'VK-Hooned-Soojus'!$C:$X,2+$C55,FALSE),0)+IF(FF$6="X",VLOOKUP(FF$10,'VK-Transport'!$C:$X,2+$B55,0))+IF(FF$8="X",VLOOKUP(FF$10,'VK-Elekter'!$C:$X,2+$D55,0))+IF(FF$9="X",VLOOKUP(FF$10,'VK-Biokütused'!$C:$U,2+$E55,0))+IF(FF$5="X",VLOOKUP(FF$10,'VK-Põlevkivi'!$C:$X,2+$G55,0))+IF(FF$4="X",VLOOKUP(FF$10,'VK-Võrgud'!$C:$X,2+$F55,0)))/16</f>
        <v>246.74930378146735</v>
      </c>
      <c r="FG55" s="88">
        <f t="shared" ca="1" si="30"/>
        <v>89.988490082376302</v>
      </c>
      <c r="FH55" s="88"/>
      <c r="FI55" s="88"/>
      <c r="FJ55" s="88">
        <f>VLOOKUP(Tulemused!$BN$12,data!M$7:N$12,2,FALSE)-SUM(L55,M55)</f>
        <v>-2.20664444444445</v>
      </c>
      <c r="FK55" s="209" t="str">
        <f>IF(AZ55&lt;=VLOOKUP(Tulemused!$BN$15,data!$E$36:$F$39,2,FALSE),"JAH","EI")</f>
        <v>JAH</v>
      </c>
      <c r="FL55" s="235">
        <f ca="1">IF(ISNA(MATCH($A55,INDIRECT(VLOOKUP(Tulemused!$BF$11,data!$J$57:$M$71,4,FALSE)))),0,MATCH($A55,INDIRECT(VLOOKUP(Tulemused!$BF$11,data!$J$57:$M$71,4,FALSE))))</f>
        <v>0</v>
      </c>
      <c r="FM55" s="235" t="str">
        <f t="shared" ca="1" si="45"/>
        <v>JAH</v>
      </c>
      <c r="FN55" s="209">
        <f>VLOOKUP(Tulemused!$BN$13,data!$C$132:$D$137,2,FALSE)-KOMBI!R55</f>
        <v>2.6621331784169402</v>
      </c>
      <c r="FO55" s="209"/>
      <c r="FP55" s="209">
        <f>VLOOKUP(Tulemused!$BN$17,NO_x,2,FALSE)-CJ55</f>
        <v>6.3829999999999991</v>
      </c>
      <c r="FQ55" s="209">
        <f>VLOOKUP(Tulemused!$BN$18,SO_2,2,FALSE)-CK55</f>
        <v>14.040283859828179</v>
      </c>
      <c r="FR55" s="209">
        <f>VLOOKUP(Tulemused!$BN$19,LOU,2,FALSE)-CN55</f>
        <v>34.324000000000005</v>
      </c>
      <c r="FS55" s="209">
        <f>VLOOKUP(Tulemused!$BN$20,PM_2.5,2,FALSE)-CM55</f>
        <v>9.3460103843950826</v>
      </c>
      <c r="FT55" s="209">
        <f>VLOOKUP(Tulemused!$BN$13,data!$C$132:$D$137,2,FALSE)-FA55/1000</f>
        <v>2.5890630000000003</v>
      </c>
      <c r="FU55" s="209">
        <f>VLOOKUP(Tulemused!$BN$17,NO_x,2,FALSE)-CO55</f>
        <v>-1.031649773285455</v>
      </c>
      <c r="FV55" s="209">
        <f>VLOOKUP(Tulemused!$BN$18,SO_2,2,FALSE)-CP55</f>
        <v>19.579569521400117</v>
      </c>
      <c r="FW55" s="209">
        <f>VLOOKUP(Tulemused!$BN$19,LOU,2,FALSE)-CS55</f>
        <v>33.163847594878391</v>
      </c>
      <c r="FX55" s="209">
        <f>VLOOKUP(Tulemused!$BN$20,PM_2.5,2,FALSE)-CR55</f>
        <v>8.868246643725195</v>
      </c>
      <c r="FY55" s="209">
        <f>VLOOKUP(Tulemused!$BN$14,KHG_2050,2,FALSE)-EF55</f>
        <v>90.816363178416935</v>
      </c>
      <c r="FZ55" s="231" t="str">
        <f t="shared" ca="1" si="31"/>
        <v>EI</v>
      </c>
      <c r="GA55" s="209"/>
      <c r="GB55" s="209"/>
      <c r="GC55" s="209"/>
      <c r="GD55" s="231"/>
      <c r="GE55" s="87">
        <f t="shared" si="46"/>
        <v>1569</v>
      </c>
      <c r="GF55" s="232" t="str">
        <f t="shared" ca="1" si="32"/>
        <v/>
      </c>
      <c r="GH55" s="238" t="e">
        <f t="shared" ca="1" si="47"/>
        <v>#NUM!</v>
      </c>
      <c r="GI55" s="87" t="e">
        <f t="array" aca="1" ref="GI55" ca="1">INDEX($A$11:$A$145, SMALL(IF(GH55=$GF$11:$GF$145, MATCH(ROW($GF$11:$GF$145), ROW($GF$11:$GF$145))), SUM(--(GH55=$GH$11:GH55))))</f>
        <v>#NUM!</v>
      </c>
      <c r="GM55" s="209">
        <f>IF(GM$7="X",VLOOKUP(GM$10,'VK-Hooned-Soojus'!$C:$X,2+$C55,FALSE),0)+IF(GM$6="X",VLOOKUP(GM$10,'VK-Transport'!$C:$X,2+$B55,0))+IF(GM$8="X",VLOOKUP(GM$10,'VK-Elekter'!$C:$X,2+$D55,0))+IF(GM$9="X",VLOOKUP(GM$10,'VK-Biokütused'!$C:$U,2+$E55,0))+IF(GM$5="X",VLOOKUP(GM$10,'VK-Põlevkivi'!$C:$X,2+$G55,0))+IF(GM$4="X",VLOOKUP(GM$10,'VK-Võrgud'!$C:$X,2+$F55,0))</f>
        <v>11.189888530766083</v>
      </c>
      <c r="GN55" s="209">
        <f>IF(GN$7="X",VLOOKUP(GN$10,'VK-Hooned-Soojus'!$C:$X,2+$C55,FALSE),0)+IF(GN$6="X",VLOOKUP(GN$10,'VK-Transport'!$C:$X,2+$B55,0))+IF(GN$8="X",VLOOKUP(GN$10,'VK-Elekter'!$C:$X,2+$D55,0))+IF(GN$9="X",VLOOKUP(GN$10,'VK-Biokütused'!$C:$U,2+$E55,0))+IF(GN$5="X",VLOOKUP(GN$10,'VK-Põlevkivi'!$C:$X,2+$G55,0))+IF(GN$4="X",VLOOKUP(GN$10,'VK-Võrgud'!$C:$X,2+$F55,0))</f>
        <v>2.9930837725682502</v>
      </c>
      <c r="GO55" s="209">
        <f>IF(GO$7="X",VLOOKUP(GO$10,'VK-Hooned-Soojus'!$C:$X,2+$C55,FALSE),0)+IF(GO$6="X",VLOOKUP(GO$10,'VK-Transport'!$C:$X,2+$B55,0))+IF(GO$8="X",VLOOKUP(GO$10,'VK-Elekter'!$C:$X,2+$D55,0))+IF(GO$9="X",VLOOKUP(GO$10,'VK-Biokütused'!$C:$U,2+$E55,0))+IF(GO$5="X",VLOOKUP(GO$10,'VK-Põlevkivi'!$C:$X,2+$G55,0))+IF(GO$4="X",VLOOKUP(GO$10,'VK-Võrgud'!$C:$X,2+$F55,0))</f>
        <v>7.5763700102722566</v>
      </c>
      <c r="GP55" s="209">
        <f>IF(GP$7="X",VLOOKUP(GP$10,'VK-Hooned-Soojus'!$C:$X,2+$C55,FALSE),0)+IF(GP$6="X",VLOOKUP(GP$10,'VK-Transport'!$C:$X,2+$B55,0))+IF(GP$8="X",VLOOKUP(GP$10,'VK-Elekter'!$C:$X,2+$D55,0))+IF(GP$9="X",VLOOKUP(GP$10,'VK-Biokütused'!$C:$U,2+$E55,0))+IF(GP$5="X",VLOOKUP(GP$10,'VK-Põlevkivi'!$C:$X,2+$G55,0))+IF(GP$4="X",VLOOKUP(GP$10,'VK-Võrgud'!$C:$X,2+$F55,0))</f>
        <v>8.9326558040707589</v>
      </c>
      <c r="GQ55" s="88">
        <f>IF(GQ$7="X",VLOOKUP(GQ$10,'VK-Hooned-Soojus'!$C:$X,2+$C55,FALSE),0)+IF(GQ$6="X",VLOOKUP(GQ$10,'VK-Transport'!$C:$X,2+$B55,0))+IF(GQ$8="X",VLOOKUP(GQ$10,'VK-Elekter'!$C:$X,2+$D55,0))+IF(GQ$9="X",VLOOKUP(GQ$10,'VK-Biokütused'!$C:$U,2+$E55,0))+IF(GQ$5="X",VLOOKUP(GQ$10,'VK-Põlevkivi'!$C:$X,2+$G55,0))+IF(GQ$4="X",VLOOKUP(GQ$10,'VK-Võrgud'!$C:$X,2+$F55,0))</f>
        <v>0.9682855968523334</v>
      </c>
      <c r="GR55" s="186">
        <f t="shared" si="33"/>
        <v>0.36798600485618455</v>
      </c>
    </row>
    <row r="56" spans="1:200" x14ac:dyDescent="0.2">
      <c r="A56" s="184">
        <v>46</v>
      </c>
      <c r="B56" s="87">
        <v>2</v>
      </c>
      <c r="C56" s="87">
        <v>1</v>
      </c>
      <c r="D56" s="87">
        <v>1</v>
      </c>
      <c r="E56" s="87">
        <v>1</v>
      </c>
      <c r="F56" s="87">
        <f>VLOOKUP(Tulemused!$BF$7,data!$J$6:$K$8,2,FALSE)</f>
        <v>2</v>
      </c>
      <c r="G56" s="87">
        <f>VLOOKUP(data!$H$2,data!$J$12:$K$14,2,FALSE)</f>
        <v>2</v>
      </c>
      <c r="I56" s="209">
        <f>IF(I$7="X",VLOOKUP(I$10,'VK-Hooned-Soojus'!$C:$X,2+$C56,FALSE),0)+IF(I$6="X",VLOOKUP(I$10,'VK-Transport'!$C:$X,2+$B56,0))+IF(I$8="X",VLOOKUP(I$10,'VK-Elekter'!$C:$X,2+$D56,0))+IF(I$9="X",VLOOKUP(I$10,'VK-Biokütused'!$C:$U,2+$E56,0))+IF(I$5="X",VLOOKUP(I$10,'VK-Põlevkivi'!$C:$X,2+$G56,0))+IF(I$4="X",VLOOKUP(I$10,'VK-Võrgud'!$C:$X,2+$F56,0))</f>
        <v>26.89</v>
      </c>
      <c r="J56" s="209">
        <f>IF(J$7="X",VLOOKUP(J$10,'VK-Hooned-Soojus'!$C:$X,2+$C56,FALSE),0)+IF(J$6="X",VLOOKUP(J$10,'VK-Transport'!$C:$X,2+$B56,0))+IF(J$8="X",VLOOKUP(J$10,'VK-Elekter'!$C:$X,2+$D56,0))+IF(J$9="X",VLOOKUP(J$10,'VK-Biokütused'!$C:$U,2+$E56,0))+IF(J$5="X",VLOOKUP(J$10,'VK-Põlevkivi'!$C:$X,2+$G56,0))+IF(J$4="X",VLOOKUP(J$10,'VK-Võrgud'!$C:$X,2+$F56,0))</f>
        <v>11.138055555555555</v>
      </c>
      <c r="K56" s="209">
        <f>IF(K$7="X",VLOOKUP(K$10,'VK-Hooned-Soojus'!$C:$X,2+$C56,FALSE),0)+IF(K$6="X",VLOOKUP(K$10,'VK-Transport'!$C:$X,2+$B56,0))+IF(K$8="X",VLOOKUP(K$10,'VK-Elekter'!$C:$X,2+$D56,0))+IF(K$9="X",VLOOKUP(K$10,'VK-Biokütused'!$C:$U,2+$E56,0))+IF(K$5="X",VLOOKUP(K$10,'VK-Põlevkivi'!$C:$X,2+$G56,0))+IF(K$4="X",VLOOKUP(K$10,'VK-Võrgud'!$C:$X,2+$F56,0))</f>
        <v>16.75</v>
      </c>
      <c r="L56" s="209">
        <f>IF(L$7="X",VLOOKUP(L$10,'VK-Hooned-Soojus'!$C:$X,2+$C56,FALSE),0)+IF(L$6="X",VLOOKUP(L$10,'VK-Transport'!$C:$X,2+$B56,0))+IF(L$8="X",VLOOKUP(L$10,'VK-Elekter'!$C:$X,2+$D56,0))+IF(L$9="X",VLOOKUP(L$10,'VK-Biokütused'!$C:$U,2+$E56,0))+IF(L$5="X",VLOOKUP(L$10,'VK-Põlevkivi'!$C:$X,2+$G56,0))+IF(L$4="X",VLOOKUP(L$10,'VK-Võrgud'!$C:$X,2+$F56,0))</f>
        <v>24.95</v>
      </c>
      <c r="M56" s="209">
        <f>IF(M$7="X",VLOOKUP(M$10,'VK-Hooned-Soojus'!$C:$X,2+$C56,FALSE),0)+IF(M$6="X",VLOOKUP(M$10,'VK-Transport'!$C:$X,2+$B56,0))+IF(M$8="X",VLOOKUP(M$10,'VK-Elekter'!$C:$X,2+$D56,0))+IF(M$9="X",VLOOKUP(M$10,'VK-Biokütused'!$C:$U,2+$E56,0))+IF(M$5="X",VLOOKUP(M$10,'VK-Põlevkivi'!$C:$X,2+$G56,0))+IF(M$4="X",VLOOKUP(M$10,'VK-Võrgud'!$C:$X,2+$F56,0))</f>
        <v>9.8566666666666674</v>
      </c>
      <c r="N56" s="209">
        <f>IF(N$7="X",VLOOKUP(N$10,'VK-Hooned-Soojus'!$C:$X,2+$C56,FALSE),0)+IF(N$6="X",VLOOKUP(N$10,'VK-Transport'!$C:$X,2+$B56,0))+IF(N$8="X",VLOOKUP(N$10,'VK-Elekter'!$C:$X,2+$D56,0))+IF(N$9="X",VLOOKUP(N$10,'VK-Biokütused'!$C:$U,2+$E56,0))+IF(N$5="X",VLOOKUP(N$10,'VK-Põlevkivi'!$C:$X,2+$G56,0))+IF(N$4="X",VLOOKUP(N$10,'VK-Võrgud'!$C:$X,2+$F56,0))</f>
        <v>16.75</v>
      </c>
      <c r="O56" s="209">
        <f t="shared" si="13"/>
        <v>38.028055555555554</v>
      </c>
      <c r="P56" s="209"/>
      <c r="Q56" s="209">
        <f>(IF(Q$7="X",VLOOKUP(Q$10,'VK-Hooned-Soojus'!$C:$X,2+$C56,FALSE),0)+IF(Q$6="X",VLOOKUP(Q$10,'VK-Transport'!$C:$X,2+$B56,0))+IF(Q$8="X",VLOOKUP(Q$10,'VK-Elekter'!$C:$X,2+$D56,0))+IF(Q$9="X",VLOOKUP(Q$10,'VK-Biokütused'!$C:$U,2+$E56,0))+IF(Q$5="X",VLOOKUP(Q$10,'VK-Põlevkivi'!$C:$X,2+$G56,0))+IF(Q$4="X",VLOOKUP(Q$10,'VK-Võrgud'!$C:$X,2+$F56,0)))/1000</f>
        <v>5.3310000000000004</v>
      </c>
      <c r="R56" s="209">
        <f>(IF(R$7="X",VLOOKUP(R$10,'VK-Hooned-Soojus'!$C:$X,2+$C56,FALSE),0)+IF(R$6="X",VLOOKUP(R$10,'VK-Transport'!$C:$X,2+$B56,0))+IF(R$8="X",VLOOKUP(R$10,'VK-Elekter'!$C:$X,2+$D56,0))+IF(R$9="X",VLOOKUP(R$10,'VK-Biokütused'!$C:$U,2+$E56,0))+IF(R$5="X",VLOOKUP(R$10,'VK-Põlevkivi'!$C:$X,2+$G56,0))+IF(R$4="X",VLOOKUP(R$10,'VK-Võrgud'!$C:$X,2+$F56,0)))/1000</f>
        <v>2.7043823271229703</v>
      </c>
      <c r="S56" s="226">
        <f>VLOOKUP(S$10,'VK-Hooned-Soojus'!$C:$I,2+$C56,FALSE) + VLOOKUP(S$10,'VK-Transport'!$C:$I,2+$B56,FALSE)+ VLOOKUP(S$10,'VK-Biokütused'!$C:$G,2+$E56,FALSE)+ VLOOKUP(S$10,'VK-Elekter'!$C:$I,2+$D56,FALSE)+ VLOOKUP(S$10,'VK-Põlevkivi'!$C:$I,2+$G56,FALSE)+ VLOOKUP(S$10,'VK-Võrgud'!$C:$I,2+$F56,FALSE)</f>
        <v>4.7917448731006019E-3</v>
      </c>
      <c r="T56" s="226">
        <f>VLOOKUP(T$10,'VK-Hooned-Soojus'!$C:$I,2+$C56,FALSE) + VLOOKUP(T$10,'VK-Transport'!$C:$I,2+$B56,FALSE)+ VLOOKUP(T$10,'VK-Biokütused'!$C:$G,2+$E56,FALSE)+ VLOOKUP(T$10,'VK-Elekter'!$C:$I,2+$D56,FALSE)+ VLOOKUP(T$10,'VK-Põlevkivi'!$C:$I,2+$G56,FALSE)+ VLOOKUP(T$10,'VK-Võrgud'!$C:$I,2+$F56,FALSE)</f>
        <v>2.9285228715681937E-3</v>
      </c>
      <c r="U56" s="226">
        <f>VLOOKUP(U$10,'VK-Hooned-Soojus'!$C:$I,2+$C56,FALSE) + VLOOKUP(U$10,'VK-Transport'!$C:$I,2+$B56,FALSE)+ VLOOKUP(U$10,'VK-Biokütused'!$C:$G,2+$E56,FALSE)+ VLOOKUP(U$10,'VK-Elekter'!$C:$I,2+$D56,FALSE)+ VLOOKUP(U$10,'VK-Põlevkivi'!$C:$I,2+$G56,FALSE)+ VLOOKUP(U$10,'VK-Võrgud'!$C:$I,2+$F56,FALSE)</f>
        <v>1.8305353612646513E-3</v>
      </c>
      <c r="V56" s="226">
        <f>VLOOKUP(V$10,'VK-Hooned-Soojus'!$C:$I,2+$C56,FALSE) + VLOOKUP(V$10,'VK-Transport'!$C:$I,2+$B56,FALSE)+ VLOOKUP(V$10,'VK-Biokütused'!$C:$G,2+$E56,FALSE)+ VLOOKUP(V$10,'VK-Elekter'!$C:$I,2+$D56,FALSE)+ VLOOKUP(V$10,'VK-Põlevkivi'!$C:$I,2+$G56,FALSE)+ VLOOKUP(V$10,'VK-Võrgud'!$C:$I,2+$F56,FALSE)</f>
        <v>2.9754243991861676E-3</v>
      </c>
      <c r="W56" s="226">
        <f>VLOOKUP(W$10,'VK-Hooned-Soojus'!$C:$I,2+$C56,FALSE) + VLOOKUP(W$10,'VK-Transport'!$C:$I,2+$B56,FALSE)+ VLOOKUP(W$10,'VK-Biokütused'!$C:$G,2+$E56,FALSE)+ VLOOKUP(W$10,'VK-Elekter'!$C:$I,2+$D56,FALSE)+ VLOOKUP(W$10,'VK-Põlevkivi'!$C:$I,2+$G56,FALSE)+ VLOOKUP(W$10,'VK-Võrgud'!$C:$I,2+$F56,FALSE)</f>
        <v>-1.5799259147920276E-2</v>
      </c>
      <c r="X56" s="226">
        <f>VLOOKUP(X$10,'VK-Hooned-Soojus'!$C:$I,2+$C56,FALSE) + VLOOKUP(X$10,'VK-Transport'!$C:$I,2+$B56,FALSE)+ VLOOKUP(X$10,'VK-Biokütused'!$C:$G,2+$E56,FALSE)+ VLOOKUP(X$10,'VK-Elekter'!$C:$I,2+$D56,FALSE)+ VLOOKUP(X$10,'VK-Põlevkivi'!$C:$I,2+$G56,FALSE)+ VLOOKUP(X$10,'VK-Võrgud'!$C:$I,2+$F56,FALSE)</f>
        <v>-2.0789962137892092E-2</v>
      </c>
      <c r="Y56" s="226">
        <f>VLOOKUP(Y$10,'VK-Hooned-Soojus'!$C:$I,2+$C56,FALSE) + VLOOKUP(Y$10,'VK-Transport'!$C:$I,2+$B56,FALSE)+ VLOOKUP(Y$10,'VK-Biokütused'!$C:$G,2+$E56,FALSE)+ VLOOKUP(Y$10,'VK-Elekter'!$C:$I,2+$D56,FALSE)+ VLOOKUP(Y$10,'VK-Põlevkivi'!$C:$I,2+$G56,FALSE)+ VLOOKUP(Y$10,'VK-Võrgud'!$C:$I,2+$F56,FALSE)</f>
        <v>-2.4056044240144722E-2</v>
      </c>
      <c r="Z56" s="227">
        <f>(S56*Tulemused!$Q$9*10+T56*Tulemused!$Q$10*10+KOMBI!U56*Tulemused!$Q$11*10+KOMBI!V56*Tulemused!$Q$12*10)*Tulemused!$Q$8+-(W56*Tulemused!$Q$14*10+KOMBI!X56*Tulemused!$Q$15*10+KOMBI!Y56*Tulemused!$Q$16*10)*Tulemused!$Q$13</f>
        <v>2.1402335167962878</v>
      </c>
      <c r="AA56" s="228">
        <f>(IF(AA$7="X",VLOOKUP(AA$10,'VK-Hooned-Soojus'!$C:$X,2+$C56,FALSE),0)+IF(AA$6="X",VLOOKUP(AA$10,'VK-Transport'!$C:$X,2+$B56,0))+IF(AA$8="X",VLOOKUP(AA$10,'VK-Elekter'!$C:$X,2+$D56,0))+IF(AA$9="X",VLOOKUP(AA$10,'VK-Biokütused'!$C:$U,2+$E56,0))+IF(AA$5="X",VLOOKUP(AA$10,'VK-Põlevkivi'!$C:$X,2+$G56,0))+IF(AA$4="X",VLOOKUP(AA$10,'VK-Võrgud'!$C:$X,2+$F56,0)))</f>
        <v>3729</v>
      </c>
      <c r="AB56" s="228">
        <f>(IF(AB$7="X",VLOOKUP(AB$10,'VK-Hooned-Soojus'!$C:$X,2+$C56,FALSE),0)+IF(AB$6="X",VLOOKUP(AB$10,'VK-Transport'!$C:$X,2+$B56,0))+IF(AB$8="X",VLOOKUP(AB$10,'VK-Elekter'!$C:$X,2+$D56,0))+IF(AB$9="X",VLOOKUP(AB$10,'VK-Biokütused'!$C:$U,2+$E56,0))+IF(AB$5="X",VLOOKUP(AB$10,'VK-Põlevkivi'!$C:$X,2+$G56,0))+IF(AB$4="X",VLOOKUP(AB$10,'VK-Võrgud'!$C:$X,2+$F56,0)))</f>
        <v>1602</v>
      </c>
      <c r="AC56" s="228">
        <f>(IF(AC$7="X",VLOOKUP(AC$10,'VK-Hooned-Soojus'!$C:$X,2+$C56,FALSE),0)+IF(AC$6="X",VLOOKUP(AC$10,'VK-Transport'!$C:$X,2+$B56,0))+IF(AC$8="X",VLOOKUP(AC$10,'VK-Elekter'!$C:$X,2+$D56,0))+IF(AC$9="X",VLOOKUP(AC$10,'VK-Biokütused'!$C:$U,2+$E56,0))+IF(AC$5="X",VLOOKUP(AC$10,'VK-Põlevkivi'!$C:$X,2+$G56,0))+IF(AC$4="X",VLOOKUP(AC$10,'VK-Võrgud'!$C:$X,2+$F56,0)))</f>
        <v>2346</v>
      </c>
      <c r="AD56" s="228">
        <f>(IF(AD$7="X",VLOOKUP(AD$10,'VK-Hooned-Soojus'!$C:$X,2+$C56,FALSE),0)+IF(AD$6="X",VLOOKUP(AD$10,'VK-Transport'!$C:$X,2+$B56,0))+IF(AD$8="X",VLOOKUP(AD$10,'VK-Elekter'!$C:$X,2+$D56,0))+IF(AD$9="X",VLOOKUP(AD$10,'VK-Biokütused'!$C:$U,2+$E56,0))+IF(AD$5="X",VLOOKUP(AD$10,'VK-Põlevkivi'!$C:$X,2+$G56,0))+IF(AD$4="X",VLOOKUP(AD$10,'VK-Võrgud'!$C:$X,2+$F56,0)))</f>
        <v>0</v>
      </c>
      <c r="AE56" s="228">
        <f>(IF(AE$7="X",VLOOKUP(AE$10,'VK-Hooned-Soojus'!$C:$X,2+$C56,FALSE),0)+IF(AE$6="X",VLOOKUP(AE$10,'VK-Transport'!$C:$X,2+$B56,0))+IF(AE$8="X",VLOOKUP(AE$10,'VK-Elekter'!$C:$X,2+$D56,0))+IF(AE$9="X",VLOOKUP(AE$10,'VK-Biokütused'!$C:$U,2+$E56,0))+IF(AE$5="X",VLOOKUP(AE$10,'VK-Põlevkivi'!$C:$X,2+$G56,0))+IF(AE$4="X",VLOOKUP(AE$10,'VK-Võrgud'!$C:$X,2+$F56,0)))</f>
        <v>812</v>
      </c>
      <c r="AF56" s="228">
        <f>(IF(AF$7="X",VLOOKUP(AF$10,'VK-Hooned-Soojus'!$C:$X,2+$C56,FALSE),0)+IF(AF$6="X",VLOOKUP(AF$10,'VK-Transport'!$C:$X,2+$B56,0))+IF(AF$8="X",VLOOKUP(AF$10,'VK-Elekter'!$C:$X,2+$D56,0))+IF(AF$9="X",VLOOKUP(AF$10,'VK-Biokütused'!$C:$U,2+$E56,0))+IF(AF$5="X",VLOOKUP(AF$10,'VK-Põlevkivi'!$C:$X,2+$G56,0))+IF(AF$4="X",VLOOKUP(AF$10,'VK-Võrgud'!$C:$X,2+$F56,0)))</f>
        <v>1892.3823271229701</v>
      </c>
      <c r="AG56" s="209"/>
      <c r="AH56" s="209">
        <f>IF(AH$7="X",VLOOKUP(AH$10,'VK-Hooned-Soojus'!$C:$X,2+$C56,FALSE),0)+IF(AH$6="X",VLOOKUP(AH$10,'VK-Transport'!$C:$X,2+$B56,0))+IF(AH$8="X",VLOOKUP(AH$10,'VK-Elekter'!$C:$X,2+$D56,0))+IF(AH$9="X",VLOOKUP(AH$10,'VK-Biokütused'!$C:$U,2+$E56,0))+IF(AH$5="X",VLOOKUP(AH$10,'VK-Põlevkivi'!$C:$X,2+$G56,0))+IF(AH$4="X",VLOOKUP(AH$10,'VK-Võrgud'!$C:$X,2+$F56,0))</f>
        <v>11.629999999999999</v>
      </c>
      <c r="AI56" s="209">
        <f>IF(AI$7="X",VLOOKUP(AI$10,'VK-Hooned-Soojus'!$C:$X,2+$C56,FALSE),0)+IF(AI$6="X",VLOOKUP(AI$10,'VK-Transport'!$C:$X,2+$B56,0))+IF(AI$8="X",VLOOKUP(AI$10,'VK-Elekter'!$C:$X,2+$D56,0))+IF(AI$9="X",VLOOKUP(AI$10,'VK-Biokütused'!$C:$U,2+$E56,0))+IF(AI$5="X",VLOOKUP(AI$10,'VK-Põlevkivi'!$C:$X,2+$G56,0))+IF(AI$4="X",VLOOKUP(AI$10,'VK-Võrgud'!$C:$X,2+$F56,0))</f>
        <v>2.3100000000000005</v>
      </c>
      <c r="AJ56" s="209">
        <f>IF(AJ$7="X",VLOOKUP(AJ$10,'VK-Hooned-Soojus'!$C:$X,2+$C56,FALSE),0)+IF(AJ$6="X",VLOOKUP(AJ$10,'VK-Transport'!$C:$X,2+$B56,0))+IF(AJ$8="X",VLOOKUP(AJ$10,'VK-Elekter'!$C:$X,2+$D56,0))+IF(AJ$9="X",VLOOKUP(AJ$10,'VK-Biokütused'!$C:$U,2+$E56,0))+IF(AJ$5="X",VLOOKUP(AJ$10,'VK-Põlevkivi'!$C:$X,2+$G56,0))+IF(AJ$4="X",VLOOKUP(AJ$10,'VK-Võrgud'!$C:$X,2+$F56,0))</f>
        <v>9.24</v>
      </c>
      <c r="AK56" s="209">
        <f>IF(AK$7="X",VLOOKUP(AK$10,'VK-Hooned-Soojus'!$C:$X,2+$C56,FALSE),0)+IF(AK$6="X",VLOOKUP(AK$10,'VK-Transport'!$C:$X,2+$B56,0))+IF(AK$8="X",VLOOKUP(AK$10,'VK-Elekter'!$C:$X,2+$D56,0))+IF(AK$9="X",VLOOKUP(AK$10,'VK-Biokütused'!$C:$U,2+$E56,0))+IF(AK$5="X",VLOOKUP(AK$10,'VK-Põlevkivi'!$C:$X,2+$G56,0))+IF(AK$4="X",VLOOKUP(AK$10,'VK-Võrgud'!$C:$X,2+$F56,0))</f>
        <v>2.78</v>
      </c>
      <c r="AL56" s="209">
        <f>IF(AL$7="X",VLOOKUP(AL$10,'VK-Hooned-Soojus'!$C:$X,2+$C56,FALSE),0)+IF(AL$6="X",VLOOKUP(AL$10,'VK-Transport'!$C:$X,2+$B56,0))+IF(AL$8="X",VLOOKUP(AL$10,'VK-Elekter'!$C:$X,2+$D56,0))+IF(AL$9="X",VLOOKUP(AL$10,'VK-Biokütused'!$C:$U,2+$E56,0))+IF(AL$5="X",VLOOKUP(AL$10,'VK-Põlevkivi'!$C:$X,2+$G56,0))+IF(AL$4="X",VLOOKUP(AL$10,'VK-Võrgud'!$C:$X,2+$F56,0))</f>
        <v>7.1999999999999993</v>
      </c>
      <c r="AM56" s="209">
        <f>IF(AM$7="X",VLOOKUP(AM$10,'VK-Hooned-Soojus'!$C:$X,2+$C56,FALSE),0)+IF(AM$6="X",VLOOKUP(AM$10,'VK-Transport'!$C:$X,2+$B56,0))+IF(AM$8="X",VLOOKUP(AM$10,'VK-Elekter'!$C:$X,2+$D56,0))+IF(AM$9="X",VLOOKUP(AM$10,'VK-Biokütused'!$C:$U,2+$E56,0))+IF(AM$5="X",VLOOKUP(AM$10,'VK-Põlevkivi'!$C:$X,2+$G56,0))+IF(AM$4="X",VLOOKUP(AM$10,'VK-Võrgud'!$C:$X,2+$F56,0))</f>
        <v>12.9</v>
      </c>
      <c r="AN56" s="209">
        <f>IF(AN$7="X",VLOOKUP(AN$10,'VK-Hooned-Soojus'!$C:$X,2+$C56,FALSE),0)+IF(AN$6="X",VLOOKUP(AN$10,'VK-Transport'!$C:$X,2+$B56,0))+IF(AN$8="X",VLOOKUP(AN$10,'VK-Elekter'!$C:$X,2+$D56,0))+IF(AN$9="X",VLOOKUP(AN$10,'VK-Biokütused'!$C:$U,2+$E56,0))+IF(AN$5="X",VLOOKUP(AN$10,'VK-Põlevkivi'!$C:$X,2+$G56,0))+IF(AN$4="X",VLOOKUP(AN$10,'VK-Võrgud'!$C:$X,2+$F56,0))</f>
        <v>5.6999999999999993</v>
      </c>
      <c r="AO56" s="209">
        <f>IF(AO$7="X",VLOOKUP(AO$10,'VK-Hooned-Soojus'!$C:$X,2+$C56,FALSE),0)+IF(AO$6="X",VLOOKUP(AO$10,'VK-Transport'!$C:$X,2+$B56,0))+IF(AO$8="X",VLOOKUP(AO$10,'VK-Elekter'!$C:$X,2+$D56,0))+IF(AO$9="X",VLOOKUP(AO$10,'VK-Biokütused'!$C:$U,2+$E56,0))+IF(AO$5="X",VLOOKUP(AO$10,'VK-Põlevkivi'!$C:$X,2+$G56,0))+IF(AO$4="X",VLOOKUP(AO$10,'VK-Võrgud'!$C:$X,2+$F56,0))</f>
        <v>13.56</v>
      </c>
      <c r="AP56" s="209">
        <f>IF(AP$7="X",VLOOKUP(AP$10,'VK-Hooned-Soojus'!$C:$X,2+$C56,FALSE),0)+IF(AP$6="X",VLOOKUP(AP$10,'VK-Transport'!$C:$X,2+$B56,0))+IF(AP$8="X",VLOOKUP(AP$10,'VK-Elekter'!$C:$X,2+$D56,0))+IF(AP$9="X",VLOOKUP(AP$10,'VK-Biokütused'!$C:$U,2+$E56,0))+IF(AP$5="X",VLOOKUP(AP$10,'VK-Põlevkivi'!$C:$X,2+$G56,0))+IF(AP$4="X",VLOOKUP(AP$10,'VK-Võrgud'!$C:$X,2+$F56,0))</f>
        <v>6.78</v>
      </c>
      <c r="AQ56" s="320">
        <f t="shared" si="14"/>
        <v>1.2599999999999998</v>
      </c>
      <c r="AR56" s="209">
        <f>IF(AR$7="X",VLOOKUP(AR$10,'VK-Hooned-Soojus'!$C:$X,2+$C56,FALSE),0)+IF(AR$6="X",VLOOKUP(AR$10,'VK-Transport'!$C:$X,2+$B56,0))+IF(AR$8="X",VLOOKUP(AR$10,'VK-Elekter'!$C:$X,2+$D56,0))+IF(AR$9="X",VLOOKUP(AR$10,'VK-Biokütused'!$C:$U,2+$E56,0))+IF(AR$5="X",VLOOKUP(AR$10,'VK-Põlevkivi'!$C:$X,2+$G56,0))+IF(AR$4="X",VLOOKUP(AR$10,'VK-Võrgud'!$C:$X,2+$F56,0))</f>
        <v>3.4899999999999998</v>
      </c>
      <c r="AS56" s="320">
        <f>VLOOKUP("Kütuste tarbimine @ 2030 - UTTEGAAS",'VK-Hooned-Soojus'!$C:$X,2+$C56,FALSE)/0.172+VLOOKUP("Kütuste tarbimine @ 2030 - UTTEGAAS",'VK-Elekter'!$C:$X,2+$D56,FALSE)/0.172-AR56-AU56</f>
        <v>2.7565116279069759</v>
      </c>
      <c r="AT56" s="209">
        <f>IF(AT$7="X",VLOOKUP(AT$10,'VK-Hooned-Soojus'!$C:$X,2+$C56,FALSE),0)+IF(AT$6="X",VLOOKUP(AT$10,'VK-Transport'!$C:$X,2+$B56,0))+IF(AT$8="X",VLOOKUP(AT$10,'VK-Elekter'!$C:$X,2+$D56,0))+IF(AT$9="X",VLOOKUP(AT$10,'VK-Biokütused'!$C:$U,2+$E56,0))+IF(AT$5="X",VLOOKUP(AT$10,'VK-Põlevkivi'!$C:$X,2+$G56,0))+IF(AT$4="X",VLOOKUP(AT$10,'VK-Võrgud'!$C:$X,2+$F56,0))</f>
        <v>9.2784458909544707</v>
      </c>
      <c r="AU56" s="229">
        <f>MAX(0,(VLOOKUP("Kütuste tarbimine @ 2030 - UTTEGAAS",'VK-Hooned-Soojus'!$C:$X,2+$C56,FALSE)/0.172+VLOOKUP("Kütuste tarbimine @ 2030 - UTTEGAAS",'VK-Elekter'!$C:$X,2+$D56,FALSE)/0.172)*0.52-VLOOKUP("Kütuste tarbimine @ 2030 - PÕLEVKIVIÕLI",'VK-Hooned-Soojus'!$C:$X,2+$C56,FALSE))</f>
        <v>4.6837209302325586</v>
      </c>
      <c r="AV56" s="209">
        <f>IF(AV$7="X",VLOOKUP(AV$10,'VK-Hooned-Soojus'!$C:$X,2+$C56,FALSE),0)+IF(AV$6="X",VLOOKUP(AV$10,'VK-Transport'!$C:$X,2+$B56,0))+IF(AV$8="X",VLOOKUP(AV$10,'VK-Elekter'!$C:$X,2+$D56,0))+IF(AV$9="X",VLOOKUP(AV$10,'VK-Biokütused'!$C:$U,2+$E56,0))+IF(AV$5="X",VLOOKUP(AV$10,'VK-Põlevkivi'!$C:$X,2+$G56,0))+IF(AV$4="X",VLOOKUP(AV$10,'VK-Võrgud'!$C:$X,2+$F56,0))</f>
        <v>1.7257321590343366</v>
      </c>
      <c r="AW56" s="209">
        <f>IF(AW$7="X",VLOOKUP(AW$10,'VK-Hooned-Soojus'!$C:$X,2+$C56,FALSE),0)+IF(AW$6="X",VLOOKUP(AW$10,'VK-Transport'!$C:$X,2+$B56,0))+IF(AW$8="X",VLOOKUP(AW$10,'VK-Elekter'!$C:$X,2+$D56,0))+IF(AW$9="X",VLOOKUP(AW$10,'VK-Biokütused'!$C:$U,2+$E56,0))+IF(AW$5="X",VLOOKUP(AW$10,'VK-Põlevkivi'!$C:$X,2+$G56,0))+IF(AW$4="X",VLOOKUP(AW$10,'VK-Võrgud'!$C:$X,2+$F56,0))</f>
        <v>0</v>
      </c>
      <c r="AX56" s="229">
        <f t="shared" si="34"/>
        <v>0</v>
      </c>
      <c r="AY56" s="229">
        <f t="shared" si="15"/>
        <v>1.7257321590343366</v>
      </c>
      <c r="AZ56" s="230">
        <f t="shared" si="36"/>
        <v>0.59279905017022183</v>
      </c>
      <c r="BA56" s="209">
        <f>IF(BA$7="X",VLOOKUP(BA$10,'VK-Hooned-Soojus'!$C:$X,2+$C56,FALSE),0)+IF(BA$6="X",VLOOKUP(BA$10,'VK-Transport'!$C:$X,2+$B56,0))+IF(BA$8="X",VLOOKUP(BA$10,'VK-Elekter'!$C:$X,2+$D56,0))+IF(BA$9="X",VLOOKUP(BA$10,'VK-Biokütused'!$C:$U,2+$E56,0))+IF(BA$5="X",VLOOKUP(BA$10,'VK-Põlevkivi'!$C:$X,2+$G56,0))+IF(BA$4="X",VLOOKUP(BA$10,'VK-Võrgud'!$C:$X,2+$F56,0))</f>
        <v>4.25</v>
      </c>
      <c r="BB56" s="209">
        <f>IF(BB$7="X",VLOOKUP(BB$10,'VK-Hooned-Soojus'!$C:$X,2+$C56,FALSE),0)+IF(BB$6="X",VLOOKUP(BB$10,'VK-Transport'!$C:$X,2+$B56,0))+IF(BB$8="X",VLOOKUP(BB$10,'VK-Elekter'!$C:$X,2+$D56,0))+IF(BB$9="X",VLOOKUP(BB$10,'VK-Biokütused'!$C:$U,2+$E56,0))+IF(BB$5="X",VLOOKUP(BB$10,'VK-Põlevkivi'!$C:$X,2+$G56,0))+IF(BB$4="X",VLOOKUP(BB$10,'VK-Võrgud'!$C:$X,2+$F56,0))</f>
        <v>2.93</v>
      </c>
      <c r="BC56" s="209">
        <f>IF(BC$7="X",VLOOKUP(BC$10,'VK-Hooned-Soojus'!$C:$X,2+$C56,FALSE),0)+IF(BC$6="X",VLOOKUP(BC$10,'VK-Transport'!$C:$X,2+$B56,0))+IF(BC$8="X",VLOOKUP(BC$10,'VK-Elekter'!$C:$X,2+$D56,0))+IF(BC$9="X",VLOOKUP(BC$10,'VK-Biokütused'!$C:$U,2+$E56,0))+IF(BC$5="X",VLOOKUP(BC$10,'VK-Põlevkivi'!$C:$X,2+$G56,0))+IF(BC$4="X",VLOOKUP(BC$10,'VK-Võrgud'!$C:$X,2+$F56,0))</f>
        <v>8.0523611111111126</v>
      </c>
      <c r="BD56" s="209">
        <f>IF(BD$7="X",VLOOKUP(BD$10,'VK-Hooned-Soojus'!$C:$X,2+$C56,FALSE),0)+IF(BD$6="X",VLOOKUP(BD$10,'VK-Transport'!$C:$X,2+$B56,0))+IF(BD$8="X",VLOOKUP(BD$10,'VK-Elekter'!$C:$X,2+$D56,0))+IF(BD$9="X",VLOOKUP(BD$10,'VK-Biokütused'!$C:$U,2+$E56,0))+IF(BD$5="X",VLOOKUP(BD$10,'VK-Põlevkivi'!$C:$X,2+$G56,0))+IF(BD$4="X",VLOOKUP(BD$10,'VK-Võrgud'!$C:$X,2+$F56,0))</f>
        <v>10.42138888888889</v>
      </c>
      <c r="BE56" s="230"/>
      <c r="BF56" s="229">
        <f t="shared" si="16"/>
        <v>0.3348261179971409</v>
      </c>
      <c r="BG56" s="209" t="e">
        <f>(IF(BG$7="X",VLOOKUP(BG$10,'VK-Hooned-Soojus'!$C:$X,2+$C56,FALSE),0)+IF(BG$6="X",VLOOKUP(BG$10,'VK-Transport'!$C:$X,2+$B56,0))+IF(BG$8="X",VLOOKUP(BG$10,'VK-Elekter'!$C:$X,2+$D56,0))+IF(BG$9="X",VLOOKUP(BG$10,'VK-Biokütused'!$C:$U,2+$E56,0))+IF(BG$5="X",VLOOKUP(BG$10,'VK-Põlevkivi'!$C:$X,2+$G56,0))+IF(BG$4="X",VLOOKUP(BG$10,'VK-Võrgud'!$C:$X,2+$F56,0)))/20</f>
        <v>#N/A</v>
      </c>
      <c r="BH56" s="209">
        <f>(IF(BH$7="X",VLOOKUP(BH$10,'VK-Hooned-Soojus'!$C:$X,2+$C56,FALSE),0)+IF(BH$6="X",VLOOKUP(BH$10,'VK-Transport'!$C:$X,2+$B56,0))+IF(BH$8="X",VLOOKUP(BH$10,'VK-Elekter'!$C:$X,2+$D56,0))+IF(BH$9="X",VLOOKUP(BH$10,'VK-Biokütused'!$C:$U,2+$E56,0))+IF(BH$5="X",VLOOKUP(BH$10,'VK-Põlevkivi'!$C:$X,2+$G56,0))+IF(BH$4="X",VLOOKUP(BH$10,'VK-Võrgud'!$C:$X,2+$F56,0)))/20</f>
        <v>13.99</v>
      </c>
      <c r="BI56" s="209">
        <f>(IF(BI$7="X",VLOOKUP(BI$10,'VK-Hooned-Soojus'!$C:$X,2+$C56,FALSE),0)+IF(BI$6="X",VLOOKUP(BI$10,'VK-Transport'!$C:$X,2+$B56,0))+IF(BI$8="X",VLOOKUP(BI$10,'VK-Elekter'!$C:$X,2+$D56,0))+IF(BI$9="X",VLOOKUP(BI$10,'VK-Biokütused'!$C:$U,2+$E56,0))+IF(BI$5="X",VLOOKUP(BI$10,'VK-Põlevkivi'!$C:$X,2+$G56,0))+IF(BI$4="X",VLOOKUP(BI$10,'VK-Võrgud'!$C:$X,2+$F56,0)))/16</f>
        <v>17.75</v>
      </c>
      <c r="BJ56" s="209">
        <f>(IF(BJ$7="X",VLOOKUP(BJ$10,'VK-Hooned-Soojus'!$C:$X,2+$C56,FALSE),0)+IF(BJ$6="X",VLOOKUP(BJ$10,'VK-Transport'!$C:$X,2+$B56,0))+IF(BJ$8="X",VLOOKUP(BJ$10,'VK-Elekter'!$C:$X,2+$D56,0))+IF(BJ$9="X",VLOOKUP(BJ$10,'VK-Biokütused'!$C:$U,2+$E56,0))+IF(BJ$5="X",VLOOKUP(BJ$10,'VK-Põlevkivi'!$C:$X,2+$G56,0))+IF(BJ$4="X",VLOOKUP(BJ$10,'VK-Võrgud'!$C:$X,2+$F56,0)))/20</f>
        <v>1.85</v>
      </c>
      <c r="BK56" s="209"/>
      <c r="BL56" s="209"/>
      <c r="BM56" s="209"/>
      <c r="BN56" s="209" t="e">
        <f>(IF(BN$7="X",VLOOKUP(BN$10,'VK-Hooned-Soojus'!$C:$X,2+$C56,FALSE),0)+IF(BN$6="X",VLOOKUP(BN$10,'VK-Transport'!$C:$X,2+$B56,0))+IF(BN$8="X",VLOOKUP(BN$10,'VK-Elekter'!$C:$X,2+$D56,0))+IF(BN$9="X",VLOOKUP(BN$10,'VK-Biokütused'!$C:$U,2+$E56,0))+IF(BN$5="X",VLOOKUP(BN$10,'VK-Põlevkivi'!$C:$X,2+$G56,0))+IF(BN$4="X",VLOOKUP(BN$10,'VK-Võrgud'!$C:$X,2+$F56,0)))/16</f>
        <v>#N/A</v>
      </c>
      <c r="BO56" s="209">
        <f>(IF(BO$7="X",VLOOKUP(BO$10,'VK-Hooned-Soojus'!$C:$X,2+$C56,FALSE),0)+IF(BO$6="X",VLOOKUP(BO$10,'VK-Transport'!$C:$X,2+$B56,0))+IF(BO$8="X",VLOOKUP(BO$10,'VK-Elekter'!$C:$X,2+$D56,0))+IF(BO$9="X",VLOOKUP(BO$10,'VK-Biokütused'!$C:$U,2+$E56,0))+IF(BO$5="X",VLOOKUP(BO$10,'VK-Põlevkivi'!$C:$X,2+$G56,0))+IF(BO$4="X",VLOOKUP(BO$10,'VK-Võrgud'!$C:$X,2+$F56,0)))/16</f>
        <v>405.45</v>
      </c>
      <c r="BP56" s="209"/>
      <c r="BQ56" s="209">
        <f>(IF(BQ$7="X",VLOOKUP(BQ$10,'VK-Hooned-Soojus'!$C:$X,2+$C56,FALSE),0)+IF(BQ$6="X",VLOOKUP(BQ$10,'VK-Transport'!$C:$X,2+$B56,0))+IF(BQ$8="X",VLOOKUP(BQ$10,'VK-Elekter'!$C:$X,2+$D56,0))+IF(BQ$9="X",VLOOKUP(BQ$10,'VK-Biokütused'!$C:$U,2+$E56,0))+IF(BQ$5="X",VLOOKUP(BQ$10,'VK-Põlevkivi'!$C:$X,2+$G56,0))+IF(BQ$4="X",VLOOKUP(BQ$10,'VK-Võrgud'!$C:$X,2+$F56,0)))/16</f>
        <v>127.6</v>
      </c>
      <c r="BR56" s="209">
        <f>(IF(BR$7="X",VLOOKUP(BR$10,'VK-Hooned-Soojus'!$C:$X,2+$C56,FALSE),0)+IF(BR$6="X",VLOOKUP(BR$10,'VK-Transport'!$C:$X,2+$B56,0))+IF(BR$8="X",VLOOKUP(BR$10,'VK-Elekter'!$C:$X,2+$D56,0))+IF(BR$9="X",VLOOKUP(BR$10,'VK-Biokütused'!$C:$U,2+$E56,0))+IF(BR$5="X",VLOOKUP(BR$10,'VK-Põlevkivi'!$C:$X,2+$G56,0))+IF(BR$4="X",VLOOKUP(BR$10,'VK-Võrgud'!$C:$X,2+$F56,0)))/16</f>
        <v>27.475000000000001</v>
      </c>
      <c r="BS56" s="209">
        <f>(IF(BS$7="X",VLOOKUP(BS$10,'VK-Hooned-Soojus'!$C:$X,2+$C56,FALSE),0)+IF(BS$6="X",VLOOKUP(BS$10,'VK-Transport'!$C:$X,2+$B56,0))+IF(BS$8="X",VLOOKUP(BS$10,'VK-Elekter'!$C:$X,2+$D56,0))+IF(BS$9="X",VLOOKUP(BS$10,'VK-Biokütused'!$C:$U,2+$E56,0))+IF(BS$5="X",VLOOKUP(BS$10,'VK-Põlevkivi'!$C:$X,2+$G56,0))+IF(BS$4="X",VLOOKUP(BS$10,'VK-Võrgud'!$C:$X,2+$F56,0)))/16</f>
        <v>-23.293749999999999</v>
      </c>
      <c r="BT56" s="209"/>
      <c r="BU56" s="209"/>
      <c r="BV56" s="209">
        <f>(IF(BV$7="X",VLOOKUP(BV$10,'VK-Hooned-Soojus'!$C:$X,2+$C56,FALSE),0)+IF(BV$6="X",VLOOKUP(BV$10,'VK-Transport'!$C:$X,2+$B56,0))+IF(BV$8="X",VLOOKUP(BV$10,'VK-Elekter'!$C:$X,2+$D56,0))+IF(BV$9="X",VLOOKUP(BV$10,'VK-Biokütused'!$C:$U,2+$E56,0))+IF(BV$5="X",VLOOKUP(BV$10,'VK-Põlevkivi'!$C:$X,2+$G56,0))+IF(BV$4="X",VLOOKUP(BV$10,'VK-Võrgud'!$C:$X,2+$F56,0)))/16</f>
        <v>0</v>
      </c>
      <c r="BW56" s="209"/>
      <c r="BX56" s="209">
        <f>(IF(BX$7="X",VLOOKUP(BX$10,'VK-Hooned-Soojus'!$C:$X,2+$C56,FALSE),0)+IF(BX$6="X",VLOOKUP(BX$10,'VK-Transport'!$C:$X,2+$B56,0))+IF(BX$8="X",VLOOKUP(BX$10,'VK-Elekter'!$C:$X,2+$D56,0))+IF(BX$9="X",VLOOKUP(BX$10,'VK-Biokütused'!$C:$U,2+$E56,0))+IF(BX$5="X",VLOOKUP(BX$10,'VK-Põlevkivi'!$C:$X,2+$G56,0))+IF(BX$4="X",VLOOKUP(BX$10,'VK-Võrgud'!$C:$X,2+$F56,0)))/16</f>
        <v>-99.6875</v>
      </c>
      <c r="BY56" s="209"/>
      <c r="BZ56" s="209"/>
      <c r="CA56" s="209" t="e">
        <f>(IF(CA$7="X",VLOOKUP(CA$10,'VK-Hooned-Soojus'!$C:$X,2+$C56,FALSE),0)+IF(CA$6="X",VLOOKUP(CA$10,'VK-Transport'!$C:$X,2+$B56,0))+IF(CA$8="X",VLOOKUP(CA$10,'VK-Elekter'!$C:$X,2+$D56,0))+IF(CA$9="X",VLOOKUP(CA$10,'VK-Biokütused'!$C:$U,2+$E56,0))+IF(CA$5="X",VLOOKUP(CA$10,'VK-Põlevkivi'!$C:$X,2+$G56,0))+IF(CA$4="X",VLOOKUP(CA$10,'VK-Võrgud'!$C:$X,2+$F56,0)))/16</f>
        <v>#N/A</v>
      </c>
      <c r="CB56" s="209">
        <f>(IF(CB$7="X",VLOOKUP(CB$10,'VK-Hooned-Soojus'!$C:$X,2+$C56,FALSE),0)+IF(CB$6="X",VLOOKUP(CB$10,'VK-Transport'!$C:$X,2+$B56,0))+IF(CB$8="X",VLOOKUP(CB$10,'VK-Elekter'!$C:$X,2+$D56,0))+IF(CB$9="X",VLOOKUP(CB$10,'VK-Biokütused'!$C:$U,2+$E56,0))+IF(CB$5="X",VLOOKUP(CB$10,'VK-Põlevkivi'!$C:$X,2+$G56,0))+IF(CB$4="X",VLOOKUP(CB$10,'VK-Võrgud'!$C:$X,2+$F56,0)))/16</f>
        <v>0</v>
      </c>
      <c r="CC56" s="209">
        <f>(IF(CC$7="X",VLOOKUP(CC$10,'VK-Hooned-Soojus'!$C:$X,2+$C56,FALSE),0)+IF(CC$6="X",VLOOKUP(CC$10,'VK-Transport'!$C:$X,2+$B56,0))+IF(CC$8="X",VLOOKUP(CC$10,'VK-Elekter'!$C:$X,2+$D56,0))+IF(CC$9="X",VLOOKUP(CC$10,'VK-Biokütused'!$C:$U,2+$E56,0))+IF(CC$5="X",VLOOKUP(CC$10,'VK-Põlevkivi'!$C:$X,2+$G56,0))+IF(CC$4="X",VLOOKUP(CC$10,'VK-Võrgud'!$C:$X,2+$F56,0)))/16</f>
        <v>0</v>
      </c>
      <c r="CD56" s="209"/>
      <c r="CE56" s="209">
        <f>(IF(CE$7="X",VLOOKUP(CE$10,'VK-Hooned-Soojus'!$C:$X,2+$C56,FALSE),0)+IF(CE$6="X",VLOOKUP(CE$10,'VK-Transport'!$C:$X,2+$B56,0))+IF(CE$8="X",VLOOKUP(CE$10,'VK-Elekter'!$C:$X,2+$D56,0))+IF(CE$9="X",VLOOKUP(CE$10,'VK-Biokütused'!$C:$U,2+$E56,0))+IF(CE$5="X",VLOOKUP(CE$10,'VK-Põlevkivi'!$C:$X,2+$G56,0))+IF(CE$4="X",VLOOKUP(CE$10,'VK-Võrgud'!$C:$X,2+$F56,0)))/16</f>
        <v>24.15625</v>
      </c>
      <c r="CF56" s="209"/>
      <c r="CG56" s="209">
        <f>(IF(CG$7="X",VLOOKUP(CG$10,'VK-Hooned-Soojus'!$C:$X,2+$C56,FALSE),0)+IF(CG$6="X",VLOOKUP(CG$10,'VK-Transport'!$C:$X,2+$B56,0))+IF(CG$8="X",VLOOKUP(CG$10,'VK-Elekter'!$C:$X,2+$D56,0))+IF(CG$9="X",VLOOKUP(CG$10,'VK-Biokütused'!$C:$U,2+$E56,0))+IF(CG$5="X",VLOOKUP(CG$10,'VK-Põlevkivi'!$C:$X,2+$G56,0))+IF(CG$4="X",VLOOKUP(CG$10,'VK-Võrgud'!$C:$X,2+$F56,0)))/16</f>
        <v>0</v>
      </c>
      <c r="CH56" s="209">
        <f>(IF(CH$7="X",VLOOKUP(CH$10,'VK-Hooned-Soojus'!$C:$X,2+$C56,FALSE),0)+IF(CH$6="X",VLOOKUP(CH$10,'VK-Transport'!$C:$X,2+$B56,0))+IF(CH$8="X",VLOOKUP(CH$10,'VK-Elekter'!$C:$X,2+$D56,0))+IF(CH$9="X",VLOOKUP(CH$10,'VK-Biokütused'!$C:$U,2+$E56,0))+IF(CH$5="X",VLOOKUP(CH$10,'VK-Põlevkivi'!$C:$X,2+$G56,0))+IF(CH$4="X",VLOOKUP(CH$10,'VK-Võrgud'!$C:$X,2+$F56,0)))/20*0.21</f>
        <v>5.6122500000000004</v>
      </c>
      <c r="CI56" s="209"/>
      <c r="CJ56" s="209">
        <f>(IF(CJ$7="X",VLOOKUP(CJ$10,'VK-Hooned-Soojus'!$C:$X,2+$C56,FALSE),0)+IF(CJ$6="X",VLOOKUP(CJ$10,'VK-Transport'!$C:$X,2+$B56,0))+IF(CJ$8="X",VLOOKUP(CJ$10,'VK-Elekter'!$C:$X,2+$D56,0))+IF(CJ$9="X",VLOOKUP(CJ$10,'VK-Biokütused'!$C:$U,2+$E56,0))+IF(CJ$5="X",VLOOKUP(CJ$10,'VK-Põlevkivi'!$C:$X,2+$G56,0))+IF(CJ$4="X",VLOOKUP(CJ$10,'VK-Võrgud'!$C:$X,2+$F56,0)))/1000</f>
        <v>19.097999999999999</v>
      </c>
      <c r="CK56" s="209">
        <f>(IF(CK$7="X",VLOOKUP(CK$10,'VK-Hooned-Soojus'!$C:$X,2+$C56,FALSE),0)+IF(CK$6="X",VLOOKUP(CK$10,'VK-Transport'!$C:$X,2+$B56,0))+IF(CK$8="X",VLOOKUP(CK$10,'VK-Elekter'!$C:$X,2+$D56,0))+IF(CK$9="X",VLOOKUP(CK$10,'VK-Biokütused'!$C:$U,2+$E56,0))+IF(CK$5="X",VLOOKUP(CK$10,'VK-Põlevkivi'!$C:$X,2+$G56,0))+IF(CK$4="X",VLOOKUP(CK$10,'VK-Võrgud'!$C:$X,2+$F56,0)))/1000</f>
        <v>12.80574320999272</v>
      </c>
      <c r="CL56" s="235">
        <f>(IF(CL$7="X",VLOOKUP(CL$10,'VK-Hooned-Soojus'!$C:$X,2+$C56,FALSE),0)+IF(CL$6="X",VLOOKUP(CL$10,'VK-Transport'!$C:$X,2+$B56,0))+IF(CL$8="X",VLOOKUP(CL$10,'VK-Elekter'!$C:$X,2+$D56,0))+IF(CL$9="X",VLOOKUP(CL$10,'VK-Biokütused'!$C:$U,2+$E56,0)))/1000</f>
        <v>8.8322895597237885</v>
      </c>
      <c r="CM56" s="209">
        <f>(IF(CM$7="X",VLOOKUP(CM$10,'VK-Hooned-Soojus'!$C:$X,2+$C56,FALSE),0)+IF(CM$6="X",VLOOKUP(CM$10,'VK-Transport'!$C:$X,2+$B56,0))+IF(CM$8="X",VLOOKUP(CM$10,'VK-Elekter'!$C:$X,2+$D56,0))+IF(CM$9="X",VLOOKUP(CM$10,'VK-Biokütused'!$C:$U,2+$E56,0))+IF(CM$5="X",VLOOKUP(CM$10,'VK-Põlevkivi'!$C:$X,2+$G56,0))+IF(CM$4="X",VLOOKUP(CM$10,'VK-Võrgud'!$C:$X,2+$F56,0)))/1000</f>
        <v>8.532</v>
      </c>
      <c r="CN56" s="209">
        <f>(IF(CN$7="X",VLOOKUP(CN$10,'VK-Hooned-Soojus'!$C:$X,2+$C56,FALSE),0)+IF(CN$6="X",VLOOKUP(CN$10,'VK-Transport'!$C:$X,2+$B56,0))+IF(CN$8="X",VLOOKUP(CN$10,'VK-Elekter'!$C:$X,2+$D56,0))+IF(CN$9="X",VLOOKUP(CN$10,'VK-Biokütused'!$C:$U,2+$E56,0))+IF(CN$5="X",VLOOKUP(CN$10,'VK-Põlevkivi'!$C:$X,2+$G56,0))+IF(CN$4="X",VLOOKUP(CN$10,'VK-Võrgud'!$C:$X,2+$F56,0)))/1000</f>
        <v>3.1680000000000001</v>
      </c>
      <c r="CO56" s="209">
        <f>(IF(CO$7="X",VLOOKUP(CO$10,'VK-Hooned-Soojus'!$C:$X,2+$C56,FALSE),0)+IF(CO$6="X",VLOOKUP(CO$10,'VK-Transport'!$C:$X,2+$B56,0))+IF(CO$8="X",VLOOKUP(CO$10,'VK-Elekter'!$C:$X,2+$D56,0))+IF(CO$9="X",VLOOKUP(CO$10,'VK-Biokütused'!$C:$U,2+$E56,0))+IF(CO$5="X",VLOOKUP(CO$10,'VK-Põlevkivi'!$C:$X,2+$G56,0))+IF(CO$4="X",VLOOKUP(CO$10,'VK-Võrgud'!$C:$X,2+$F56,0)))/1000</f>
        <v>24.38157521079728</v>
      </c>
      <c r="CP56" s="209">
        <f>(IF(CP$7="X",VLOOKUP(CP$10,'VK-Hooned-Soojus'!$C:$X,2+$C56,FALSE),0)+IF(CP$6="X",VLOOKUP(CP$10,'VK-Transport'!$C:$X,2+$B56,0))+IF(CP$8="X",VLOOKUP(CP$10,'VK-Elekter'!$C:$X,2+$D56,0))+IF(CP$9="X",VLOOKUP(CP$10,'VK-Biokütused'!$C:$U,2+$E56,0))+IF(CP$5="X",VLOOKUP(CP$10,'VK-Põlevkivi'!$C:$X,2+$G56,0))+IF(CP$4="X",VLOOKUP(CP$10,'VK-Võrgud'!$C:$X,2+$F56,0)))/1000</f>
        <v>13.823994830349823</v>
      </c>
      <c r="CQ56" s="235">
        <f>(IF(CQ$7="X",VLOOKUP(CQ$10,'VK-Hooned-Soojus'!$C:$X,2+$C56,FALSE),0)+IF(CQ$6="X",VLOOKUP(CQ$10,'VK-Transport'!$C:$X,2+$B56,0))+IF(CQ$8="X",VLOOKUP(CQ$10,'VK-Elekter'!$C:$X,2+$D56,0))+IF(CQ$9="X",VLOOKUP(CQ$10,'VK-Biokütused'!$C:$U,2+$E56,0)))/1000</f>
        <v>10.828346</v>
      </c>
      <c r="CR56" s="209">
        <f>(IF(CR$7="X",VLOOKUP(CR$10,'VK-Hooned-Soojus'!$C:$X,2+$C56,FALSE),0)+IF(CR$6="X",VLOOKUP(CR$10,'VK-Transport'!$C:$X,2+$B56,0))+IF(CR$8="X",VLOOKUP(CR$10,'VK-Elekter'!$C:$X,2+$D56,0))+IF(CR$9="X",VLOOKUP(CR$10,'VK-Biokütused'!$C:$U,2+$E56,0))+IF(CR$5="X",VLOOKUP(CR$10,'VK-Põlevkivi'!$C:$X,2+$G56,0))+IF(CR$4="X",VLOOKUP(CR$10,'VK-Võrgud'!$C:$X,2+$F56,0)))/1000</f>
        <v>8.0810872784575754</v>
      </c>
      <c r="CS56" s="209">
        <f>(IF(CS$7="X",VLOOKUP(CS$10,'VK-Hooned-Soojus'!$C:$X,2+$C56,FALSE),0)+IF(CS$6="X",VLOOKUP(CS$10,'VK-Transport'!$C:$X,2+$B56,0))+IF(CS$8="X",VLOOKUP(CS$10,'VK-Elekter'!$C:$X,2+$D56,0))+IF(CS$9="X",VLOOKUP(CS$10,'VK-Biokütused'!$C:$U,2+$E56,0))+IF(CS$5="X",VLOOKUP(CS$10,'VK-Põlevkivi'!$C:$X,2+$G56,0))+IF(CS$4="X",VLOOKUP(CS$10,'VK-Võrgud'!$C:$X,2+$F56,0)))/1000</f>
        <v>3.8643344900598322</v>
      </c>
      <c r="CT56" s="209">
        <f>IF(CT$7="X",VLOOKUP(CT$10,'VK-Hooned-Soojus'!$C:$X,2+$C56,FALSE),0)+IF(CT$6="X",VLOOKUP(CT$10,'VK-Transport'!$C:$X,2+$B56,0))+IF(CT$8="X",VLOOKUP(CT$10,'VK-Elekter'!$C:$X,2+$D56,0))+IF(CT$9="X",VLOOKUP(CT$10,'VK-Biokütused'!$C:$U,2+$E56,0))+IF(CT$5="X",VLOOKUP(CT$10,'VK-Põlevkivi'!$C:$X,2+$G56,0))+IF(CT$4="X",VLOOKUP(CT$10,'VK-Võrgud'!$C:$X,2+$F56,0))</f>
        <v>90</v>
      </c>
      <c r="CU56" s="209">
        <f>IF(CU$7="X",VLOOKUP(CU$10,'VK-Hooned-Soojus'!$C:$X,2+$C56,FALSE),0)+IF(CU$6="X",VLOOKUP(CU$10,'VK-Transport'!$C:$X,2+$B56,0))+IF(CU$8="X",VLOOKUP(CU$10,'VK-Elekter'!$C:$X,2+$D56,0))+IF(CU$9="X",VLOOKUP(CU$10,'VK-Biokütused'!$C:$U,2+$E56,0))+IF(CU$5="X",VLOOKUP(CU$10,'VK-Põlevkivi'!$C:$X,2+$G56,0))+IF(CU$4="X",VLOOKUP(CU$10,'VK-Võrgud'!$C:$X,2+$F56,0))</f>
        <v>0.72088353413654627</v>
      </c>
      <c r="CV56" s="209">
        <f t="shared" si="37"/>
        <v>1</v>
      </c>
      <c r="CW56" s="209">
        <f>(IF(CW$7="X",VLOOKUP(CW$10,'VK-Hooned-Soojus'!$C:$X,2+$C56,FALSE),0)+IF(CW$6="X",VLOOKUP(CW$10,'VK-Transport'!$C:$X,2+$B56,0))+IF(CW$8="X",VLOOKUP(CW$10,'VK-Elekter'!$C:$X,2+$D56,0))+IF(CW$9="X",VLOOKUP(CW$10,'VK-Biokütused'!$C:$U,2+$E56,0))+IF(CW$5="X",VLOOKUP(CW$10,'VK-Põlevkivi'!$C:$X,2+$G56,0))+IF(CW$4="X",VLOOKUP(CW$10,'VK-Võrgud'!$C:$X,2+$F56,0)))/16</f>
        <v>0</v>
      </c>
      <c r="CY56" s="209">
        <f>(IF(CY$7="X",VLOOKUP(CY$10,'VK-Hooned-Soojus'!$C:$X,2+$C56,FALSE),0)+IF(CY$6="X",VLOOKUP(CY$10,'VK-Transport'!$C:$X,2+$B56,0))+IF(CY$8="X",VLOOKUP(CY$10,'VK-Elekter'!$C:$X,2+$D56,0))+IF(CY$9="X",VLOOKUP(CY$10,'VK-Biokütused'!$C:$U,2+$E56,0))+IF(CY$5="X",VLOOKUP(CY$10,'VK-Põlevkivi'!$C:$X,2+$G56,0))+IF(CY$4="X",VLOOKUP(CY$10,'VK-Võrgud'!$C:$X,2+$F56,0)))/1000</f>
        <v>10.901999999999999</v>
      </c>
      <c r="CZ56" s="209">
        <f>(IF(CZ$7="X",VLOOKUP(CZ$10,'VK-Hooned-Soojus'!$C:$X,2+$C56,FALSE),0)+IF(CZ$6="X",VLOOKUP(CZ$10,'VK-Transport'!$C:$X,2+$B56,0))+IF(CZ$8="X",VLOOKUP(CZ$10,'VK-Elekter'!$C:$X,2+$D56,0))+IF(CZ$9="X",VLOOKUP(CZ$10,'VK-Biokütused'!$C:$U,2+$E56,0))+IF(CZ$5="X",VLOOKUP(CZ$10,'VK-Põlevkivi'!$C:$X,2+$G56,0))+IF(CZ$4="X",VLOOKUP(CZ$10,'VK-Võrgud'!$C:$X,2+$F56,0)))</f>
        <v>73</v>
      </c>
      <c r="DA56" s="209">
        <f>(IF(DA$7="X",VLOOKUP(DA$10,'VK-Hooned-Soojus'!$C:$X,2+$C56,FALSE),0)+IF(DA$6="X",VLOOKUP(DA$10,'VK-Transport'!$C:$X,2+$B56,0))+IF(DA$8="X",VLOOKUP(DA$10,'VK-Elekter'!$C:$X,2+$D56,0))+IF(DA$9="X",VLOOKUP(DA$10,'VK-Biokütused'!$C:$U,2+$E56,0))+IF(DA$5="X",VLOOKUP(DA$10,'VK-Põlevkivi'!$C:$X,2+$G56,0))+IF(DA$4="X",VLOOKUP(DA$10,'VK-Võrgud'!$C:$X,2+$F56,0)))/1000</f>
        <v>14.871</v>
      </c>
      <c r="DB56" s="209">
        <f>(IF(DB$7="X",VLOOKUP(DB$10,'VK-Hooned-Soojus'!$C:$X,2+$C56,FALSE),0)+IF(DB$6="X",VLOOKUP(DB$10,'VK-Transport'!$C:$X,2+$B56,0))+IF(DB$8="X",VLOOKUP(DB$10,'VK-Elekter'!$C:$X,2+$D56,0))+IF(DB$9="X",VLOOKUP(DB$10,'VK-Biokütused'!$C:$U,2+$E56,0))+IF(DB$5="X",VLOOKUP(DB$10,'VK-Põlevkivi'!$C:$X,2+$G56,0))+IF(DB$4="X",VLOOKUP(DB$10,'VK-Võrgud'!$C:$X,2+$F56,0)))/1000/3.6</f>
        <v>66.106111111111105</v>
      </c>
      <c r="DC56" s="209">
        <f>(IF(DC$7="X",VLOOKUP(DC$10,'VK-Hooned-Soojus'!$C:$X,2+$C56,FALSE),0)+IF(DC$6="X",VLOOKUP(DC$10,'VK-Transport'!$C:$X,2+$B56,0))+IF(DC$8="X",VLOOKUP(DC$10,'VK-Elekter'!$C:$X,2+$D56,0))+IF(DC$9="X",VLOOKUP(DC$10,'VK-Biokütused'!$C:$U,2+$E56,0))+IF(DC$5="X",VLOOKUP(DC$10,'VK-Põlevkivi'!$C:$X,2+$G56,0))+IF(DC$4="X",VLOOKUP(DC$10,'VK-Võrgud'!$C:$X,2+$F56,0)))/1000000</f>
        <v>5.261984</v>
      </c>
      <c r="DD56" s="209"/>
      <c r="DE56" s="88">
        <f>VLOOKUP(Tulemused!$BN$12,data!M$7:N$12,2,FALSE)-SUM(L56,M56)</f>
        <v>-1.9738666666666731</v>
      </c>
      <c r="DF56" s="209" t="str">
        <f>IF(AZ56&lt;=VLOOKUP(Tulemused!$BN$15,data!$E$36:$F$39,2,FALSE),"JAH","EI")</f>
        <v>JAH</v>
      </c>
      <c r="DG56" s="209"/>
      <c r="DH56" s="209">
        <f t="shared" si="38"/>
        <v>6.78</v>
      </c>
      <c r="DI56" s="231" t="str">
        <f t="shared" si="17"/>
        <v>EI</v>
      </c>
      <c r="DK56" s="232">
        <f t="shared" si="39"/>
        <v>-997.85976648320366</v>
      </c>
      <c r="DM56" s="233">
        <f t="shared" si="40"/>
        <v>-993.54694298190111</v>
      </c>
      <c r="DN56" s="87">
        <f t="array" ref="DN56">INDEX($A$11:$A$145, SMALL(IF(DM56=$DK$11:$DK$145, MATCH(ROW($DK$11:$DK$145), ROW($DK$11:$DK$145))), SUM(--(DM56=$DM$11:DM56))))</f>
        <v>12</v>
      </c>
      <c r="DP56" s="87" t="e">
        <f t="shared" ca="1" si="18"/>
        <v>#N/A</v>
      </c>
      <c r="DQ56" s="87" t="e">
        <f t="shared" ca="1" si="19"/>
        <v>#N/A</v>
      </c>
      <c r="DR56" s="87">
        <f t="shared" ca="1" si="20"/>
        <v>0</v>
      </c>
      <c r="DS56" s="87" t="e">
        <f t="shared" ca="1" si="21"/>
        <v>#N/A</v>
      </c>
      <c r="DT56" s="87">
        <f t="shared" ca="1" si="22"/>
        <v>0</v>
      </c>
      <c r="DU56" s="87" t="e">
        <f t="shared" ca="1" si="23"/>
        <v>#N/A</v>
      </c>
      <c r="DV56" s="87" t="e">
        <f t="shared" ca="1" si="24"/>
        <v>#N/A</v>
      </c>
      <c r="DW56" s="87">
        <f t="shared" ca="1" si="25"/>
        <v>0</v>
      </c>
      <c r="DX56" s="87">
        <f t="shared" ca="1" si="26"/>
        <v>0</v>
      </c>
      <c r="DZ56" s="87">
        <f t="shared" ca="1" si="35"/>
        <v>0</v>
      </c>
      <c r="EB56" s="87">
        <f t="shared" ca="1" si="27"/>
        <v>0</v>
      </c>
      <c r="EC56" s="87" t="e">
        <f t="shared" ca="1" si="28"/>
        <v>#N/A</v>
      </c>
      <c r="EE56" s="228">
        <f>(IF(EE$7="X",VLOOKUP(EE$10,'VK-Hooned-Soojus'!$C:$X,2+$C56,FALSE),0)+IF(EE$6="X",VLOOKUP(EE$10,'VK-Transport'!$C:$X,2+$B56,0))+IF(EE$8="X",VLOOKUP(EE$10,'VK-Elekter'!$C:$X,2+$D56,0))+IF(EE$9="X",VLOOKUP(EE$10,'VK-Biokütused'!$C:$U,2+$E56,0))+IF(EE$5="X",VLOOKUP(EE$10,'VK-Põlevkivi'!$C:$X,2+$G56,0))+IF(EE$4="X",VLOOKUP(EE$10,'VK-Võrgud'!$C:$X,2+$F56,0)))</f>
        <v>1578.9473454660829</v>
      </c>
      <c r="EF56" s="235">
        <f>(IF(EF$7="X",VLOOKUP(EF$10,'VK-Hooned-Soojus'!$C:$X,2+$C56,FALSE),0)+IF(EF$6="X",VLOOKUP(EF$10,'VK-Transport'!$C:$X,2+$B56,0))+IF(EF$8="X",VLOOKUP(EF$10,'VK-Elekter'!$C:$X,2+$D56,0))+IF(EF$9="X",VLOOKUP(EF$10,'VK-Biokütused'!$C:$U,2+$E56,0)))/1000</f>
        <v>5.3593823271229706</v>
      </c>
      <c r="EG56" s="209">
        <f>(IF(EG$7="X",VLOOKUP(EG$10,'VK-Hooned-Soojus'!$C:$X,2+$C56,FALSE),0)+IF(EG$6="X",VLOOKUP(EG$10,'VK-Transport'!$C:$X,2+$B56,0))+IF(EG$8="X",VLOOKUP(EG$10,'VK-Elekter'!$C:$X,2+$D56,0))+IF(EG$9="X",VLOOKUP(EG$10,'VK-Biokütused'!$C:$U,2+$E56,0))+IF(EG$5="X",VLOOKUP(EG$10,'VK-Põlevkivi'!$C:$X,2+$G56,0))+IF(EG$4="X",VLOOKUP(EG$10,'VK-Võrgud'!$C:$X,2+$F56,0)))</f>
        <v>0.81</v>
      </c>
      <c r="EH56" s="209">
        <f>(IF(EH$7="X",VLOOKUP(EH$10,'VK-Hooned-Soojus'!$C:$X,2+$C56,FALSE),0)+IF(EH$6="X",VLOOKUP(EH$10,'VK-Transport'!$C:$X,2+$B56,0))+IF(EH$8="X",VLOOKUP(EH$10,'VK-Elekter'!$C:$X,2+$D56,0))+IF(EH$9="X",VLOOKUP(EH$10,'VK-Biokütused'!$C:$U,2+$E56,0)))+AR56+AS56+AU56+AX56</f>
        <v>55.264399224806198</v>
      </c>
      <c r="EI56" s="320">
        <f t="shared" si="41"/>
        <v>50.580678294573637</v>
      </c>
      <c r="EJ56" s="322">
        <f t="shared" si="42"/>
        <v>2.1300063549572323E-2</v>
      </c>
      <c r="EK56" s="323">
        <f t="shared" si="29"/>
        <v>0.39647362526587548</v>
      </c>
      <c r="EM56" s="209"/>
      <c r="EN56" s="209">
        <f t="shared" ca="1" si="43"/>
        <v>0</v>
      </c>
      <c r="EO56" s="209"/>
      <c r="EP56" s="234"/>
      <c r="EQ56" s="209">
        <f>(IF(EQ$7="X",VLOOKUP(EQ$10,'VK-Hooned-Soojus'!$C:$X,2+$C56,FALSE),0)+IF(EQ$6="X",VLOOKUP(EQ$10,'VK-Transport'!$C:$X,2+$B56,0))+IF(EQ$8="X",VLOOKUP(EQ$10,'VK-Elekter'!$C:$X,2+$D56,0))+IF(EQ$9="X",VLOOKUP(EQ$10,'VK-Biokütused'!$C:$U,2+$E56,0))+IF(EQ$5="X",VLOOKUP(EQ$10,'VK-Põlevkivi'!$C:$X,2+$G56,0))+IF(EQ$4="X",VLOOKUP(EQ$10,'VK-Võrgud'!$C:$X,2+$F56,0)))/1000</f>
        <v>0.22900000000000001</v>
      </c>
      <c r="ER56" s="209">
        <f>(IF(ER$7="X",VLOOKUP(ER$10,'VK-Hooned-Soojus'!$C:$X,2+$C56,FALSE),0)+IF(ER$6="X",VLOOKUP(ER$10,'VK-Transport'!$C:$X,2+$B56,0))+IF(ER$8="X",VLOOKUP(ER$10,'VK-Elekter'!$C:$X,2+$D56,0))+IF(ER$9="X",VLOOKUP(ER$10,'VK-Biokütused'!$C:$U,2+$E56,0))+IF(ER$5="X",VLOOKUP(ER$10,'VK-Põlevkivi'!$C:$X,2+$G56,0))+IF(ER$4="X",VLOOKUP(ER$10,'VK-Võrgud'!$C:$X,2+$F56,0)))</f>
        <v>0.82899999999999996</v>
      </c>
      <c r="ES56" s="209">
        <f>(IF(ES$7="X",VLOOKUP(ES$10,'VK-Hooned-Soojus'!$C:$X,2+$C56,FALSE),0)+IF(ES$6="X",VLOOKUP(ES$10,'VK-Transport'!$C:$X,2+$B56,0))+IF(ES$8="X",VLOOKUP(ES$10,'VK-Elekter'!$C:$X,2+$D56,0))+IF(ES$9="X",VLOOKUP(ES$10,'VK-Biokütused'!$C:$U,2+$E56,0))+IF(ES$5="X",VLOOKUP(ES$10,'VK-Põlevkivi'!$C:$X,2+$G56,0))+IF(ES$4="X",VLOOKUP(ES$10,'VK-Võrgud'!$C:$X,2+$F56,0)))</f>
        <v>6.78</v>
      </c>
      <c r="ET56" s="209"/>
      <c r="EU56" s="209"/>
      <c r="EV56" s="87">
        <f>'KSH järjestus'!AS49</f>
        <v>2163</v>
      </c>
      <c r="EX56" s="236"/>
      <c r="EY56" s="236"/>
      <c r="EZ56" s="237">
        <f t="shared" si="44"/>
        <v>0.27911646586345373</v>
      </c>
      <c r="FA56" s="209">
        <f>IF(FA$7="X",VLOOKUP(FA$10,'VK-Hooned-Soojus'!$C:$X,2+$C56,FALSE),0)+IF(FA$6="X",VLOOKUP(FA$10,'VK-Transport'!$C:$X,2+$B56,0))+IF(FA$8="X",VLOOKUP(FA$10,'VK-Elekter'!$C:$X,2+$D56,0))+IF(FA$9="X",VLOOKUP(FA$10,'VK-Biokütused'!$C:$U,2+$E56,0))+IF(FA$5="X",VLOOKUP(FA$10,'VK-Põlevkivi'!$C:$X,2+$G56,0))+IF(FA$4="X",VLOOKUP(FA$10,'VK-Võrgud'!$C:$X,2+$F56,0))</f>
        <v>3123.346</v>
      </c>
      <c r="FB56" s="279">
        <f>(IF(FB$7="X",VLOOKUP(FB$10,'VK-Hooned-Soojus'!$C:$X,2+$C56,FALSE),0)+IF(FB$6="X",VLOOKUP(FB$10,'VK-Transport'!$C:$X,2+$B56,0))+IF(FB$8="X",VLOOKUP(FB$10,'VK-Elekter'!$C:$X,2+$D56,0))+IF(FB$9="X",VLOOKUP(FB$10,'VK-Biokütused'!$C:$U,2+$E56,0))+IF(FB$5="X",VLOOKUP(FB$10,'VK-Põlevkivi'!$C:$X,2+$G56,0))+IF(FB$4="X",VLOOKUP(FB$10,'VK-Võrgud'!$C:$X,2+$F56,0)))/16</f>
        <v>122.94332330461268</v>
      </c>
      <c r="FC56" s="209">
        <f>IF(FC$7="X",VLOOKUP(FC$10,'VK-Hooned-Soojus'!$C:$X,2+$C56,FALSE),0)+IF(FC$6="X",VLOOKUP(FC$10,'VK-Transport'!$C:$X,2+$B56,0))+IF(FC$8="X",VLOOKUP(FC$10,'VK-Elekter'!$C:$X,2+$D56,0))+IF(FC$9="X",VLOOKUP(FC$10,'VK-Biokütused'!$C:$U,2+$E56,0))+IF(FC$5="X",VLOOKUP(FC$10,'VK-Põlevkivi'!$C:$X,2+$G56,0))+IF(FC$4="X",VLOOKUP(FC$10,'VK-Võrgud'!$C:$X,2+$F56,0))</f>
        <v>327.54999999999995</v>
      </c>
      <c r="FD56" s="209">
        <f>(IF(FD$7="X",VLOOKUP(FD$10,'VK-Hooned-Soojus'!$C:$X,2+$C56,FALSE),0)+IF(FD$6="X",VLOOKUP(FD$10,'VK-Transport'!$C:$X,2+$B56,0))+IF(FD$8="X",VLOOKUP(FD$10,'VK-Elekter'!$C:$X,2+$D56,0))+IF(FD$9="X",VLOOKUP(FD$10,'VK-Biokütused'!$C:$U,2+$E56,0))+IF(FD$5="X",VLOOKUP(FD$10,'VK-Põlevkivi'!$C:$X,2+$G56,0))+IF(FD$4="X",VLOOKUP(FD$10,'VK-Võrgud'!$C:$X,2+$F56,0)))/16</f>
        <v>122.94332330461268</v>
      </c>
      <c r="FE56" s="209">
        <f>(IF(FE$7="X",VLOOKUP(FE$10,'VK-Hooned-Soojus'!$C:$X,2+$C56,FALSE),0)+IF(FE$6="X",VLOOKUP(FE$10,'VK-Transport'!$C:$X,2+$B56,0))+IF(FE$8="X",VLOOKUP(FE$10,'VK-Elekter'!$C:$X,2+$D56,0))+IF(FE$9="X",VLOOKUP(FE$10,'VK-Biokütused'!$C:$U,2+$E56,0))+IF(FE$5="X",VLOOKUP(FE$10,'VK-Põlevkivi'!$C:$X,2+$G56,0))+IF(FE$4="X",VLOOKUP(FE$10,'VK-Võrgud'!$C:$X,2+$F56,0)))/16</f>
        <v>-25.081250000000001</v>
      </c>
      <c r="FF56" s="209">
        <f>(IF(FF$7="X",VLOOKUP(FF$10,'VK-Hooned-Soojus'!$C:$X,2+$C56,FALSE),0)+IF(FF$6="X",VLOOKUP(FF$10,'VK-Transport'!$C:$X,2+$B56,0))+IF(FF$8="X",VLOOKUP(FF$10,'VK-Elekter'!$C:$X,2+$D56,0))+IF(FF$9="X",VLOOKUP(FF$10,'VK-Biokütused'!$C:$U,2+$E56,0))+IF(FF$5="X",VLOOKUP(FF$10,'VK-Põlevkivi'!$C:$X,2+$G56,0))+IF(FF$4="X",VLOOKUP(FF$10,'VK-Võrgud'!$C:$X,2+$F56,0)))/16</f>
        <v>67.00034816586458</v>
      </c>
      <c r="FG56" s="88">
        <f t="shared" ca="1" si="30"/>
        <v>41.919098165864582</v>
      </c>
      <c r="FH56" s="88"/>
      <c r="FI56" s="88"/>
      <c r="FJ56" s="88">
        <f>VLOOKUP(Tulemused!$BN$12,data!M$7:N$12,2,FALSE)-SUM(L56,M56)</f>
        <v>-1.9738666666666731</v>
      </c>
      <c r="FK56" s="209" t="str">
        <f>IF(AZ56&lt;=VLOOKUP(Tulemused!$BN$15,data!$E$36:$F$39,2,FALSE),"JAH","EI")</f>
        <v>JAH</v>
      </c>
      <c r="FL56" s="235">
        <f ca="1">IF(ISNA(MATCH($A56,INDIRECT(VLOOKUP(Tulemused!$BF$11,data!$J$57:$M$71,4,FALSE)))),0,MATCH($A56,INDIRECT(VLOOKUP(Tulemused!$BF$11,data!$J$57:$M$71,4,FALSE))))</f>
        <v>0</v>
      </c>
      <c r="FM56" s="235" t="str">
        <f t="shared" ca="1" si="45"/>
        <v>JAH</v>
      </c>
      <c r="FN56" s="209">
        <f>VLOOKUP(Tulemused!$BN$13,data!$C$132:$D$137,2,FALSE)-KOMBI!R56</f>
        <v>3.5415876728770304</v>
      </c>
      <c r="FO56" s="209"/>
      <c r="FP56" s="209">
        <f>VLOOKUP(Tulemused!$BN$17,NO_x,2,FALSE)-CJ56</f>
        <v>10.34</v>
      </c>
      <c r="FQ56" s="209">
        <f>VLOOKUP(Tulemused!$BN$18,SO_2,2,FALSE)-CK56</f>
        <v>39.078256790007281</v>
      </c>
      <c r="FR56" s="209">
        <f>VLOOKUP(Tulemused!$BN$19,LOU,2,FALSE)-CN56</f>
        <v>33.912000000000006</v>
      </c>
      <c r="FS56" s="209">
        <f>VLOOKUP(Tulemused!$BN$20,PM_2.5,2,FALSE)-CM56</f>
        <v>8.3829999999999991</v>
      </c>
      <c r="FT56" s="209">
        <f>VLOOKUP(Tulemused!$BN$13,data!$C$132:$D$137,2,FALSE)-FA56/1000</f>
        <v>3.1226240000000005</v>
      </c>
      <c r="FU56" s="209">
        <f>VLOOKUP(Tulemused!$BN$17,NO_x,2,FALSE)-CO56</f>
        <v>5.056424789202719</v>
      </c>
      <c r="FV56" s="209">
        <f>VLOOKUP(Tulemused!$BN$18,SO_2,2,FALSE)-CP56</f>
        <v>38.060005169650175</v>
      </c>
      <c r="FW56" s="209">
        <f>VLOOKUP(Tulemused!$BN$19,LOU,2,FALSE)-CS56</f>
        <v>33.215665509940173</v>
      </c>
      <c r="FX56" s="209">
        <f>VLOOKUP(Tulemused!$BN$20,PM_2.5,2,FALSE)-CR56</f>
        <v>8.8339127215424238</v>
      </c>
      <c r="FY56" s="209">
        <f>VLOOKUP(Tulemused!$BN$14,KHG_2050,2,FALSE)-EF56</f>
        <v>94.640617672877028</v>
      </c>
      <c r="FZ56" s="231" t="str">
        <f t="shared" ca="1" si="31"/>
        <v>EI</v>
      </c>
      <c r="GA56" s="209"/>
      <c r="GB56" s="209"/>
      <c r="GC56" s="209"/>
      <c r="GD56" s="231"/>
      <c r="GE56" s="87">
        <f t="shared" si="46"/>
        <v>2163</v>
      </c>
      <c r="GF56" s="232" t="str">
        <f t="shared" ca="1" si="32"/>
        <v/>
      </c>
      <c r="GH56" s="238" t="e">
        <f t="shared" ca="1" si="47"/>
        <v>#NUM!</v>
      </c>
      <c r="GI56" s="87" t="e">
        <f t="array" aca="1" ref="GI56" ca="1">INDEX($A$11:$A$145, SMALL(IF(GH56=$GF$11:$GF$145, MATCH(ROW($GF$11:$GF$145), ROW($GF$11:$GF$145))), SUM(--(GH56=$GH$11:GH56))))</f>
        <v>#NUM!</v>
      </c>
      <c r="GM56" s="209">
        <f>IF(GM$7="X",VLOOKUP(GM$10,'VK-Hooned-Soojus'!$C:$X,2+$C56,FALSE),0)+IF(GM$6="X",VLOOKUP(GM$10,'VK-Transport'!$C:$X,2+$B56,0))+IF(GM$8="X",VLOOKUP(GM$10,'VK-Elekter'!$C:$X,2+$D56,0))+IF(GM$9="X",VLOOKUP(GM$10,'VK-Biokütused'!$C:$U,2+$E56,0))+IF(GM$5="X",VLOOKUP(GM$10,'VK-Põlevkivi'!$C:$X,2+$G56,0))+IF(GM$4="X",VLOOKUP(GM$10,'VK-Võrgud'!$C:$X,2+$F56,0))</f>
        <v>6.012827991027228</v>
      </c>
      <c r="GN56" s="209">
        <f>IF(GN$7="X",VLOOKUP(GN$10,'VK-Hooned-Soojus'!$C:$X,2+$C56,FALSE),0)+IF(GN$6="X",VLOOKUP(GN$10,'VK-Transport'!$C:$X,2+$B56,0))+IF(GN$8="X",VLOOKUP(GN$10,'VK-Elekter'!$C:$X,2+$D56,0))+IF(GN$9="X",VLOOKUP(GN$10,'VK-Biokütused'!$C:$U,2+$E56,0))+IF(GN$5="X",VLOOKUP(GN$10,'VK-Põlevkivi'!$C:$X,2+$G56,0))+IF(GN$4="X",VLOOKUP(GN$10,'VK-Võrgud'!$C:$X,2+$F56,0))</f>
        <v>3.4467619395011728</v>
      </c>
      <c r="GO56" s="209">
        <f>IF(GO$7="X",VLOOKUP(GO$10,'VK-Hooned-Soojus'!$C:$X,2+$C56,FALSE),0)+IF(GO$6="X",VLOOKUP(GO$10,'VK-Transport'!$C:$X,2+$B56,0))+IF(GO$8="X",VLOOKUP(GO$10,'VK-Elekter'!$C:$X,2+$D56,0))+IF(GO$9="X",VLOOKUP(GO$10,'VK-Biokütused'!$C:$U,2+$E56,0))+IF(GO$5="X",VLOOKUP(GO$10,'VK-Põlevkivi'!$C:$X,2+$G56,0))+IF(GO$4="X",VLOOKUP(GO$10,'VK-Võrgud'!$C:$X,2+$F56,0))</f>
        <v>8.7471755658278116</v>
      </c>
      <c r="GP56" s="209">
        <f>IF(GP$7="X",VLOOKUP(GP$10,'VK-Hooned-Soojus'!$C:$X,2+$C56,FALSE),0)+IF(GP$6="X",VLOOKUP(GP$10,'VK-Transport'!$C:$X,2+$B56,0))+IF(GP$8="X",VLOOKUP(GP$10,'VK-Elekter'!$C:$X,2+$D56,0))+IF(GP$9="X",VLOOKUP(GP$10,'VK-Biokütused'!$C:$U,2+$E56,0))+IF(GP$5="X",VLOOKUP(GP$10,'VK-Põlevkivi'!$C:$X,2+$G56,0))+IF(GP$4="X",VLOOKUP(GP$10,'VK-Võrgud'!$C:$X,2+$F56,0))</f>
        <v>9.3279335818485372</v>
      </c>
      <c r="GQ56" s="88">
        <f>IF(GQ$7="X",VLOOKUP(GQ$10,'VK-Hooned-Soojus'!$C:$X,2+$C56,FALSE),0)+IF(GQ$6="X",VLOOKUP(GQ$10,'VK-Transport'!$C:$X,2+$B56,0))+IF(GQ$8="X",VLOOKUP(GQ$10,'VK-Elekter'!$C:$X,2+$D56,0))+IF(GQ$9="X",VLOOKUP(GQ$10,'VK-Biokütused'!$C:$U,2+$E56,0))+IF(GQ$5="X",VLOOKUP(GQ$10,'VK-Põlevkivi'!$C:$X,2+$G56,0))+IF(GQ$4="X",VLOOKUP(GQ$10,'VK-Võrgud'!$C:$X,2+$F56,0))</f>
        <v>0.90618397335647782</v>
      </c>
      <c r="GR56" s="186">
        <f t="shared" si="33"/>
        <v>0.39305342352153388</v>
      </c>
    </row>
    <row r="57" spans="1:200" x14ac:dyDescent="0.2">
      <c r="A57" s="184">
        <v>47</v>
      </c>
      <c r="B57" s="87">
        <v>2</v>
      </c>
      <c r="C57" s="87">
        <v>1</v>
      </c>
      <c r="D57" s="87">
        <v>1</v>
      </c>
      <c r="E57" s="87">
        <v>2</v>
      </c>
      <c r="F57" s="87">
        <f>VLOOKUP(Tulemused!$BF$7,data!$J$6:$K$8,2,FALSE)</f>
        <v>2</v>
      </c>
      <c r="G57" s="87">
        <f>VLOOKUP(data!$H$2,data!$J$12:$K$14,2,FALSE)</f>
        <v>2</v>
      </c>
      <c r="I57" s="209">
        <f>IF(I$7="X",VLOOKUP(I$10,'VK-Hooned-Soojus'!$C:$X,2+$C57,FALSE),0)+IF(I$6="X",VLOOKUP(I$10,'VK-Transport'!$C:$X,2+$B57,0))+IF(I$8="X",VLOOKUP(I$10,'VK-Elekter'!$C:$X,2+$D57,0))+IF(I$9="X",VLOOKUP(I$10,'VK-Biokütused'!$C:$U,2+$E57,0))+IF(I$5="X",VLOOKUP(I$10,'VK-Põlevkivi'!$C:$X,2+$G57,0))+IF(I$4="X",VLOOKUP(I$10,'VK-Võrgud'!$C:$X,2+$F57,0))</f>
        <v>26.89</v>
      </c>
      <c r="J57" s="209">
        <f>IF(J$7="X",VLOOKUP(J$10,'VK-Hooned-Soojus'!$C:$X,2+$C57,FALSE),0)+IF(J$6="X",VLOOKUP(J$10,'VK-Transport'!$C:$X,2+$B57,0))+IF(J$8="X",VLOOKUP(J$10,'VK-Elekter'!$C:$X,2+$D57,0))+IF(J$9="X",VLOOKUP(J$10,'VK-Biokütused'!$C:$U,2+$E57,0))+IF(J$5="X",VLOOKUP(J$10,'VK-Põlevkivi'!$C:$X,2+$G57,0))+IF(J$4="X",VLOOKUP(J$10,'VK-Võrgud'!$C:$X,2+$F57,0))</f>
        <v>11.138055555555555</v>
      </c>
      <c r="K57" s="209">
        <f>IF(K$7="X",VLOOKUP(K$10,'VK-Hooned-Soojus'!$C:$X,2+$C57,FALSE),0)+IF(K$6="X",VLOOKUP(K$10,'VK-Transport'!$C:$X,2+$B57,0))+IF(K$8="X",VLOOKUP(K$10,'VK-Elekter'!$C:$X,2+$D57,0))+IF(K$9="X",VLOOKUP(K$10,'VK-Biokütused'!$C:$U,2+$E57,0))+IF(K$5="X",VLOOKUP(K$10,'VK-Põlevkivi'!$C:$X,2+$G57,0))+IF(K$4="X",VLOOKUP(K$10,'VK-Võrgud'!$C:$X,2+$F57,0))</f>
        <v>16.75</v>
      </c>
      <c r="L57" s="209">
        <f>IF(L$7="X",VLOOKUP(L$10,'VK-Hooned-Soojus'!$C:$X,2+$C57,FALSE),0)+IF(L$6="X",VLOOKUP(L$10,'VK-Transport'!$C:$X,2+$B57,0))+IF(L$8="X",VLOOKUP(L$10,'VK-Elekter'!$C:$X,2+$D57,0))+IF(L$9="X",VLOOKUP(L$10,'VK-Biokütused'!$C:$U,2+$E57,0))+IF(L$5="X",VLOOKUP(L$10,'VK-Põlevkivi'!$C:$X,2+$G57,0))+IF(L$4="X",VLOOKUP(L$10,'VK-Võrgud'!$C:$X,2+$F57,0))</f>
        <v>24.95</v>
      </c>
      <c r="M57" s="209">
        <f>IF(M$7="X",VLOOKUP(M$10,'VK-Hooned-Soojus'!$C:$X,2+$C57,FALSE),0)+IF(M$6="X",VLOOKUP(M$10,'VK-Transport'!$C:$X,2+$B57,0))+IF(M$8="X",VLOOKUP(M$10,'VK-Elekter'!$C:$X,2+$D57,0))+IF(M$9="X",VLOOKUP(M$10,'VK-Biokütused'!$C:$U,2+$E57,0))+IF(M$5="X",VLOOKUP(M$10,'VK-Põlevkivi'!$C:$X,2+$G57,0))+IF(M$4="X",VLOOKUP(M$10,'VK-Võrgud'!$C:$X,2+$F57,0))</f>
        <v>9.8566666666666674</v>
      </c>
      <c r="N57" s="209">
        <f>IF(N$7="X",VLOOKUP(N$10,'VK-Hooned-Soojus'!$C:$X,2+$C57,FALSE),0)+IF(N$6="X",VLOOKUP(N$10,'VK-Transport'!$C:$X,2+$B57,0))+IF(N$8="X",VLOOKUP(N$10,'VK-Elekter'!$C:$X,2+$D57,0))+IF(N$9="X",VLOOKUP(N$10,'VK-Biokütused'!$C:$U,2+$E57,0))+IF(N$5="X",VLOOKUP(N$10,'VK-Põlevkivi'!$C:$X,2+$G57,0))+IF(N$4="X",VLOOKUP(N$10,'VK-Võrgud'!$C:$X,2+$F57,0))</f>
        <v>16.75</v>
      </c>
      <c r="O57" s="209">
        <f t="shared" si="13"/>
        <v>38.028055555555554</v>
      </c>
      <c r="P57" s="209"/>
      <c r="Q57" s="209">
        <f>(IF(Q$7="X",VLOOKUP(Q$10,'VK-Hooned-Soojus'!$C:$X,2+$C57,FALSE),0)+IF(Q$6="X",VLOOKUP(Q$10,'VK-Transport'!$C:$X,2+$B57,0))+IF(Q$8="X",VLOOKUP(Q$10,'VK-Elekter'!$C:$X,2+$D57,0))+IF(Q$9="X",VLOOKUP(Q$10,'VK-Biokütused'!$C:$U,2+$E57,0))+IF(Q$5="X",VLOOKUP(Q$10,'VK-Põlevkivi'!$C:$X,2+$G57,0))+IF(Q$4="X",VLOOKUP(Q$10,'VK-Võrgud'!$C:$X,2+$F57,0)))/1000</f>
        <v>5.3310000000000004</v>
      </c>
      <c r="R57" s="209">
        <f>(IF(R$7="X",VLOOKUP(R$10,'VK-Hooned-Soojus'!$C:$X,2+$C57,FALSE),0)+IF(R$6="X",VLOOKUP(R$10,'VK-Transport'!$C:$X,2+$B57,0))+IF(R$8="X",VLOOKUP(R$10,'VK-Elekter'!$C:$X,2+$D57,0))+IF(R$9="X",VLOOKUP(R$10,'VK-Biokütused'!$C:$U,2+$E57,0))+IF(R$5="X",VLOOKUP(R$10,'VK-Põlevkivi'!$C:$X,2+$G57,0))+IF(R$4="X",VLOOKUP(R$10,'VK-Võrgud'!$C:$X,2+$F57,0)))/1000</f>
        <v>3.0818823271229703</v>
      </c>
      <c r="S57" s="226">
        <f>VLOOKUP(S$10,'VK-Hooned-Soojus'!$C:$I,2+$C57,FALSE) + VLOOKUP(S$10,'VK-Transport'!$C:$I,2+$B57,FALSE)+ VLOOKUP(S$10,'VK-Biokütused'!$C:$G,2+$E57,FALSE)+ VLOOKUP(S$10,'VK-Elekter'!$C:$I,2+$D57,FALSE)+ VLOOKUP(S$10,'VK-Põlevkivi'!$C:$I,2+$G57,FALSE)+ VLOOKUP(S$10,'VK-Võrgud'!$C:$I,2+$F57,FALSE)</f>
        <v>1.1074137959522928E-2</v>
      </c>
      <c r="T57" s="226">
        <f>VLOOKUP(T$10,'VK-Hooned-Soojus'!$C:$I,2+$C57,FALSE) + VLOOKUP(T$10,'VK-Transport'!$C:$I,2+$B57,FALSE)+ VLOOKUP(T$10,'VK-Biokütused'!$C:$G,2+$E57,FALSE)+ VLOOKUP(T$10,'VK-Elekter'!$C:$I,2+$D57,FALSE)+ VLOOKUP(T$10,'VK-Põlevkivi'!$C:$I,2+$G57,FALSE)+ VLOOKUP(T$10,'VK-Võrgud'!$C:$I,2+$F57,FALSE)</f>
        <v>2.3547002215258033E-4</v>
      </c>
      <c r="U57" s="226">
        <f>VLOOKUP(U$10,'VK-Hooned-Soojus'!$C:$I,2+$C57,FALSE) + VLOOKUP(U$10,'VK-Transport'!$C:$I,2+$B57,FALSE)+ VLOOKUP(U$10,'VK-Biokütused'!$C:$G,2+$E57,FALSE)+ VLOOKUP(U$10,'VK-Elekter'!$C:$I,2+$D57,FALSE)+ VLOOKUP(U$10,'VK-Põlevkivi'!$C:$I,2+$G57,FALSE)+ VLOOKUP(U$10,'VK-Võrgud'!$C:$I,2+$F57,FALSE)</f>
        <v>4.3234052226224784E-3</v>
      </c>
      <c r="V57" s="226">
        <f>VLOOKUP(V$10,'VK-Hooned-Soojus'!$C:$I,2+$C57,FALSE) + VLOOKUP(V$10,'VK-Transport'!$C:$I,2+$B57,FALSE)+ VLOOKUP(V$10,'VK-Biokütused'!$C:$G,2+$E57,FALSE)+ VLOOKUP(V$10,'VK-Elekter'!$C:$I,2+$D57,FALSE)+ VLOOKUP(V$10,'VK-Põlevkivi'!$C:$I,2+$G57,FALSE)+ VLOOKUP(V$10,'VK-Võrgud'!$C:$I,2+$F57,FALSE)</f>
        <v>6.8003109430629961E-3</v>
      </c>
      <c r="W57" s="226">
        <f>VLOOKUP(W$10,'VK-Hooned-Soojus'!$C:$I,2+$C57,FALSE) + VLOOKUP(W$10,'VK-Transport'!$C:$I,2+$B57,FALSE)+ VLOOKUP(W$10,'VK-Biokütused'!$C:$G,2+$E57,FALSE)+ VLOOKUP(W$10,'VK-Elekter'!$C:$I,2+$D57,FALSE)+ VLOOKUP(W$10,'VK-Põlevkivi'!$C:$I,2+$G57,FALSE)+ VLOOKUP(W$10,'VK-Võrgud'!$C:$I,2+$F57,FALSE)</f>
        <v>-1.1565460136655555E-2</v>
      </c>
      <c r="X57" s="226">
        <f>VLOOKUP(X$10,'VK-Hooned-Soojus'!$C:$I,2+$C57,FALSE) + VLOOKUP(X$10,'VK-Transport'!$C:$I,2+$B57,FALSE)+ VLOOKUP(X$10,'VK-Biokütused'!$C:$G,2+$E57,FALSE)+ VLOOKUP(X$10,'VK-Elekter'!$C:$I,2+$D57,FALSE)+ VLOOKUP(X$10,'VK-Põlevkivi'!$C:$I,2+$G57,FALSE)+ VLOOKUP(X$10,'VK-Võrgud'!$C:$I,2+$F57,FALSE)</f>
        <v>-1.9456349918256531E-2</v>
      </c>
      <c r="Y57" s="226">
        <f>VLOOKUP(Y$10,'VK-Hooned-Soojus'!$C:$I,2+$C57,FALSE) + VLOOKUP(Y$10,'VK-Transport'!$C:$I,2+$B57,FALSE)+ VLOOKUP(Y$10,'VK-Biokütused'!$C:$G,2+$E57,FALSE)+ VLOOKUP(Y$10,'VK-Elekter'!$C:$I,2+$D57,FALSE)+ VLOOKUP(Y$10,'VK-Põlevkivi'!$C:$I,2+$G57,FALSE)+ VLOOKUP(Y$10,'VK-Võrgud'!$C:$I,2+$F57,FALSE)</f>
        <v>-2.2957081440750763E-2</v>
      </c>
      <c r="Z57" s="227">
        <f>(S57*Tulemused!$Q$9*10+T57*Tulemused!$Q$10*10+KOMBI!U57*Tulemused!$Q$11*10+KOMBI!V57*Tulemused!$Q$12*10)*Tulemused!$Q$8+-(W57*Tulemused!$Q$14*10+KOMBI!X57*Tulemused!$Q$15*10+KOMBI!Y57*Tulemused!$Q$16*10)*Tulemused!$Q$13</f>
        <v>3.0561451654421288</v>
      </c>
      <c r="AA57" s="228">
        <f>(IF(AA$7="X",VLOOKUP(AA$10,'VK-Hooned-Soojus'!$C:$X,2+$C57,FALSE),0)+IF(AA$6="X",VLOOKUP(AA$10,'VK-Transport'!$C:$X,2+$B57,0))+IF(AA$8="X",VLOOKUP(AA$10,'VK-Elekter'!$C:$X,2+$D57,0))+IF(AA$9="X",VLOOKUP(AA$10,'VK-Biokütused'!$C:$U,2+$E57,0))+IF(AA$5="X",VLOOKUP(AA$10,'VK-Põlevkivi'!$C:$X,2+$G57,0))+IF(AA$4="X",VLOOKUP(AA$10,'VK-Võrgud'!$C:$X,2+$F57,0)))</f>
        <v>3729</v>
      </c>
      <c r="AB57" s="228">
        <f>(IF(AB$7="X",VLOOKUP(AB$10,'VK-Hooned-Soojus'!$C:$X,2+$C57,FALSE),0)+IF(AB$6="X",VLOOKUP(AB$10,'VK-Transport'!$C:$X,2+$B57,0))+IF(AB$8="X",VLOOKUP(AB$10,'VK-Elekter'!$C:$X,2+$D57,0))+IF(AB$9="X",VLOOKUP(AB$10,'VK-Biokütused'!$C:$U,2+$E57,0))+IF(AB$5="X",VLOOKUP(AB$10,'VK-Põlevkivi'!$C:$X,2+$G57,0))+IF(AB$4="X",VLOOKUP(AB$10,'VK-Võrgud'!$C:$X,2+$F57,0)))</f>
        <v>1602</v>
      </c>
      <c r="AC57" s="228">
        <f>(IF(AC$7="X",VLOOKUP(AC$10,'VK-Hooned-Soojus'!$C:$X,2+$C57,FALSE),0)+IF(AC$6="X",VLOOKUP(AC$10,'VK-Transport'!$C:$X,2+$B57,0))+IF(AC$8="X",VLOOKUP(AC$10,'VK-Elekter'!$C:$X,2+$D57,0))+IF(AC$9="X",VLOOKUP(AC$10,'VK-Biokütused'!$C:$U,2+$E57,0))+IF(AC$5="X",VLOOKUP(AC$10,'VK-Põlevkivi'!$C:$X,2+$G57,0))+IF(AC$4="X",VLOOKUP(AC$10,'VK-Võrgud'!$C:$X,2+$F57,0)))</f>
        <v>2346</v>
      </c>
      <c r="AD57" s="228">
        <f>(IF(AD$7="X",VLOOKUP(AD$10,'VK-Hooned-Soojus'!$C:$X,2+$C57,FALSE),0)+IF(AD$6="X",VLOOKUP(AD$10,'VK-Transport'!$C:$X,2+$B57,0))+IF(AD$8="X",VLOOKUP(AD$10,'VK-Elekter'!$C:$X,2+$D57,0))+IF(AD$9="X",VLOOKUP(AD$10,'VK-Biokütused'!$C:$U,2+$E57,0))+IF(AD$5="X",VLOOKUP(AD$10,'VK-Põlevkivi'!$C:$X,2+$G57,0))+IF(AD$4="X",VLOOKUP(AD$10,'VK-Võrgud'!$C:$X,2+$F57,0)))</f>
        <v>377.5</v>
      </c>
      <c r="AE57" s="228">
        <f>(IF(AE$7="X",VLOOKUP(AE$10,'VK-Hooned-Soojus'!$C:$X,2+$C57,FALSE),0)+IF(AE$6="X",VLOOKUP(AE$10,'VK-Transport'!$C:$X,2+$B57,0))+IF(AE$8="X",VLOOKUP(AE$10,'VK-Elekter'!$C:$X,2+$D57,0))+IF(AE$9="X",VLOOKUP(AE$10,'VK-Biokütused'!$C:$U,2+$E57,0))+IF(AE$5="X",VLOOKUP(AE$10,'VK-Põlevkivi'!$C:$X,2+$G57,0))+IF(AE$4="X",VLOOKUP(AE$10,'VK-Võrgud'!$C:$X,2+$F57,0)))</f>
        <v>812</v>
      </c>
      <c r="AF57" s="228">
        <f>(IF(AF$7="X",VLOOKUP(AF$10,'VK-Hooned-Soojus'!$C:$X,2+$C57,FALSE),0)+IF(AF$6="X",VLOOKUP(AF$10,'VK-Transport'!$C:$X,2+$B57,0))+IF(AF$8="X",VLOOKUP(AF$10,'VK-Elekter'!$C:$X,2+$D57,0))+IF(AF$9="X",VLOOKUP(AF$10,'VK-Biokütused'!$C:$U,2+$E57,0))+IF(AF$5="X",VLOOKUP(AF$10,'VK-Põlevkivi'!$C:$X,2+$G57,0))+IF(AF$4="X",VLOOKUP(AF$10,'VK-Võrgud'!$C:$X,2+$F57,0)))</f>
        <v>1892.3823271229701</v>
      </c>
      <c r="AG57" s="209"/>
      <c r="AH57" s="209">
        <f>IF(AH$7="X",VLOOKUP(AH$10,'VK-Hooned-Soojus'!$C:$X,2+$C57,FALSE),0)+IF(AH$6="X",VLOOKUP(AH$10,'VK-Transport'!$C:$X,2+$B57,0))+IF(AH$8="X",VLOOKUP(AH$10,'VK-Elekter'!$C:$X,2+$D57,0))+IF(AH$9="X",VLOOKUP(AH$10,'VK-Biokütused'!$C:$U,2+$E57,0))+IF(AH$5="X",VLOOKUP(AH$10,'VK-Põlevkivi'!$C:$X,2+$G57,0))+IF(AH$4="X",VLOOKUP(AH$10,'VK-Võrgud'!$C:$X,2+$F57,0))</f>
        <v>11.629999999999999</v>
      </c>
      <c r="AI57" s="209">
        <f>IF(AI$7="X",VLOOKUP(AI$10,'VK-Hooned-Soojus'!$C:$X,2+$C57,FALSE),0)+IF(AI$6="X",VLOOKUP(AI$10,'VK-Transport'!$C:$X,2+$B57,0))+IF(AI$8="X",VLOOKUP(AI$10,'VK-Elekter'!$C:$X,2+$D57,0))+IF(AI$9="X",VLOOKUP(AI$10,'VK-Biokütused'!$C:$U,2+$E57,0))+IF(AI$5="X",VLOOKUP(AI$10,'VK-Põlevkivi'!$C:$X,2+$G57,0))+IF(AI$4="X",VLOOKUP(AI$10,'VK-Võrgud'!$C:$X,2+$F57,0))</f>
        <v>2.3100000000000005</v>
      </c>
      <c r="AJ57" s="209">
        <f>IF(AJ$7="X",VLOOKUP(AJ$10,'VK-Hooned-Soojus'!$C:$X,2+$C57,FALSE),0)+IF(AJ$6="X",VLOOKUP(AJ$10,'VK-Transport'!$C:$X,2+$B57,0))+IF(AJ$8="X",VLOOKUP(AJ$10,'VK-Elekter'!$C:$X,2+$D57,0))+IF(AJ$9="X",VLOOKUP(AJ$10,'VK-Biokütused'!$C:$U,2+$E57,0))+IF(AJ$5="X",VLOOKUP(AJ$10,'VK-Põlevkivi'!$C:$X,2+$G57,0))+IF(AJ$4="X",VLOOKUP(AJ$10,'VK-Võrgud'!$C:$X,2+$F57,0))</f>
        <v>9.24</v>
      </c>
      <c r="AK57" s="209">
        <f>IF(AK$7="X",VLOOKUP(AK$10,'VK-Hooned-Soojus'!$C:$X,2+$C57,FALSE),0)+IF(AK$6="X",VLOOKUP(AK$10,'VK-Transport'!$C:$X,2+$B57,0))+IF(AK$8="X",VLOOKUP(AK$10,'VK-Elekter'!$C:$X,2+$D57,0))+IF(AK$9="X",VLOOKUP(AK$10,'VK-Biokütused'!$C:$U,2+$E57,0))+IF(AK$5="X",VLOOKUP(AK$10,'VK-Põlevkivi'!$C:$X,2+$G57,0))+IF(AK$4="X",VLOOKUP(AK$10,'VK-Võrgud'!$C:$X,2+$F57,0))</f>
        <v>2.78</v>
      </c>
      <c r="AL57" s="209">
        <f>IF(AL$7="X",VLOOKUP(AL$10,'VK-Hooned-Soojus'!$C:$X,2+$C57,FALSE),0)+IF(AL$6="X",VLOOKUP(AL$10,'VK-Transport'!$C:$X,2+$B57,0))+IF(AL$8="X",VLOOKUP(AL$10,'VK-Elekter'!$C:$X,2+$D57,0))+IF(AL$9="X",VLOOKUP(AL$10,'VK-Biokütused'!$C:$U,2+$E57,0))+IF(AL$5="X",VLOOKUP(AL$10,'VK-Põlevkivi'!$C:$X,2+$G57,0))+IF(AL$4="X",VLOOKUP(AL$10,'VK-Võrgud'!$C:$X,2+$F57,0))</f>
        <v>7.1999999999999993</v>
      </c>
      <c r="AM57" s="209">
        <f>IF(AM$7="X",VLOOKUP(AM$10,'VK-Hooned-Soojus'!$C:$X,2+$C57,FALSE),0)+IF(AM$6="X",VLOOKUP(AM$10,'VK-Transport'!$C:$X,2+$B57,0))+IF(AM$8="X",VLOOKUP(AM$10,'VK-Elekter'!$C:$X,2+$D57,0))+IF(AM$9="X",VLOOKUP(AM$10,'VK-Biokütused'!$C:$U,2+$E57,0))+IF(AM$5="X",VLOOKUP(AM$10,'VK-Põlevkivi'!$C:$X,2+$G57,0))+IF(AM$4="X",VLOOKUP(AM$10,'VK-Võrgud'!$C:$X,2+$F57,0))</f>
        <v>12.9</v>
      </c>
      <c r="AN57" s="209">
        <f>IF(AN$7="X",VLOOKUP(AN$10,'VK-Hooned-Soojus'!$C:$X,2+$C57,FALSE),0)+IF(AN$6="X",VLOOKUP(AN$10,'VK-Transport'!$C:$X,2+$B57,0))+IF(AN$8="X",VLOOKUP(AN$10,'VK-Elekter'!$C:$X,2+$D57,0))+IF(AN$9="X",VLOOKUP(AN$10,'VK-Biokütused'!$C:$U,2+$E57,0))+IF(AN$5="X",VLOOKUP(AN$10,'VK-Põlevkivi'!$C:$X,2+$G57,0))+IF(AN$4="X",VLOOKUP(AN$10,'VK-Võrgud'!$C:$X,2+$F57,0))</f>
        <v>5.6999999999999993</v>
      </c>
      <c r="AO57" s="209">
        <f>IF(AO$7="X",VLOOKUP(AO$10,'VK-Hooned-Soojus'!$C:$X,2+$C57,FALSE),0)+IF(AO$6="X",VLOOKUP(AO$10,'VK-Transport'!$C:$X,2+$B57,0))+IF(AO$8="X",VLOOKUP(AO$10,'VK-Elekter'!$C:$X,2+$D57,0))+IF(AO$9="X",VLOOKUP(AO$10,'VK-Biokütused'!$C:$U,2+$E57,0))+IF(AO$5="X",VLOOKUP(AO$10,'VK-Põlevkivi'!$C:$X,2+$G57,0))+IF(AO$4="X",VLOOKUP(AO$10,'VK-Võrgud'!$C:$X,2+$F57,0))</f>
        <v>13.56</v>
      </c>
      <c r="AP57" s="209">
        <f>IF(AP$7="X",VLOOKUP(AP$10,'VK-Hooned-Soojus'!$C:$X,2+$C57,FALSE),0)+IF(AP$6="X",VLOOKUP(AP$10,'VK-Transport'!$C:$X,2+$B57,0))+IF(AP$8="X",VLOOKUP(AP$10,'VK-Elekter'!$C:$X,2+$D57,0))+IF(AP$9="X",VLOOKUP(AP$10,'VK-Biokütused'!$C:$U,2+$E57,0))+IF(AP$5="X",VLOOKUP(AP$10,'VK-Põlevkivi'!$C:$X,2+$G57,0))+IF(AP$4="X",VLOOKUP(AP$10,'VK-Võrgud'!$C:$X,2+$F57,0))</f>
        <v>6.78</v>
      </c>
      <c r="AQ57" s="320">
        <f t="shared" si="14"/>
        <v>1.2599999999999998</v>
      </c>
      <c r="AR57" s="209">
        <f>IF(AR$7="X",VLOOKUP(AR$10,'VK-Hooned-Soojus'!$C:$X,2+$C57,FALSE),0)+IF(AR$6="X",VLOOKUP(AR$10,'VK-Transport'!$C:$X,2+$B57,0))+IF(AR$8="X",VLOOKUP(AR$10,'VK-Elekter'!$C:$X,2+$D57,0))+IF(AR$9="X",VLOOKUP(AR$10,'VK-Biokütused'!$C:$U,2+$E57,0))+IF(AR$5="X",VLOOKUP(AR$10,'VK-Põlevkivi'!$C:$X,2+$G57,0))+IF(AR$4="X",VLOOKUP(AR$10,'VK-Võrgud'!$C:$X,2+$F57,0))</f>
        <v>3.4899999999999998</v>
      </c>
      <c r="AS57" s="320">
        <f>VLOOKUP("Kütuste tarbimine @ 2030 - UTTEGAAS",'VK-Hooned-Soojus'!$C:$X,2+$C57,FALSE)/0.172+VLOOKUP("Kütuste tarbimine @ 2030 - UTTEGAAS",'VK-Elekter'!$C:$X,2+$D57,FALSE)/0.172-AR57-AU57</f>
        <v>2.7565116279069759</v>
      </c>
      <c r="AT57" s="209">
        <f>IF(AT$7="X",VLOOKUP(AT$10,'VK-Hooned-Soojus'!$C:$X,2+$C57,FALSE),0)+IF(AT$6="X",VLOOKUP(AT$10,'VK-Transport'!$C:$X,2+$B57,0))+IF(AT$8="X",VLOOKUP(AT$10,'VK-Elekter'!$C:$X,2+$D57,0))+IF(AT$9="X",VLOOKUP(AT$10,'VK-Biokütused'!$C:$U,2+$E57,0))+IF(AT$5="X",VLOOKUP(AT$10,'VK-Põlevkivi'!$C:$X,2+$G57,0))+IF(AT$4="X",VLOOKUP(AT$10,'VK-Võrgud'!$C:$X,2+$F57,0))</f>
        <v>9.2784458909544707</v>
      </c>
      <c r="AU57" s="229">
        <f>MAX(0,(VLOOKUP("Kütuste tarbimine @ 2030 - UTTEGAAS",'VK-Hooned-Soojus'!$C:$X,2+$C57,FALSE)/0.172+VLOOKUP("Kütuste tarbimine @ 2030 - UTTEGAAS",'VK-Elekter'!$C:$X,2+$D57,FALSE)/0.172)*0.52-VLOOKUP("Kütuste tarbimine @ 2030 - PÕLEVKIVIÕLI",'VK-Hooned-Soojus'!$C:$X,2+$C57,FALSE))</f>
        <v>4.6837209302325586</v>
      </c>
      <c r="AV57" s="209">
        <f>IF(AV$7="X",VLOOKUP(AV$10,'VK-Hooned-Soojus'!$C:$X,2+$C57,FALSE),0)+IF(AV$6="X",VLOOKUP(AV$10,'VK-Transport'!$C:$X,2+$B57,0))+IF(AV$8="X",VLOOKUP(AV$10,'VK-Elekter'!$C:$X,2+$D57,0))+IF(AV$9="X",VLOOKUP(AV$10,'VK-Biokütused'!$C:$U,2+$E57,0))+IF(AV$5="X",VLOOKUP(AV$10,'VK-Põlevkivi'!$C:$X,2+$G57,0))+IF(AV$4="X",VLOOKUP(AV$10,'VK-Võrgud'!$C:$X,2+$F57,0))</f>
        <v>1.7257321590343366</v>
      </c>
      <c r="AW57" s="209">
        <f>IF(AW$7="X",VLOOKUP(AW$10,'VK-Hooned-Soojus'!$C:$X,2+$C57,FALSE),0)+IF(AW$6="X",VLOOKUP(AW$10,'VK-Transport'!$C:$X,2+$B57,0))+IF(AW$8="X",VLOOKUP(AW$10,'VK-Elekter'!$C:$X,2+$D57,0))+IF(AW$9="X",VLOOKUP(AW$10,'VK-Biokütused'!$C:$U,2+$E57,0))+IF(AW$5="X",VLOOKUP(AW$10,'VK-Põlevkivi'!$C:$X,2+$G57,0))+IF(AW$4="X",VLOOKUP(AW$10,'VK-Võrgud'!$C:$X,2+$F57,0))</f>
        <v>2.141</v>
      </c>
      <c r="AX57" s="229">
        <f t="shared" si="34"/>
        <v>0.41526784096566338</v>
      </c>
      <c r="AY57" s="229">
        <f t="shared" si="15"/>
        <v>0</v>
      </c>
      <c r="AZ57" s="230">
        <f t="shared" si="36"/>
        <v>0.55868064335519341</v>
      </c>
      <c r="BA57" s="209">
        <f>IF(BA$7="X",VLOOKUP(BA$10,'VK-Hooned-Soojus'!$C:$X,2+$C57,FALSE),0)+IF(BA$6="X",VLOOKUP(BA$10,'VK-Transport'!$C:$X,2+$B57,0))+IF(BA$8="X",VLOOKUP(BA$10,'VK-Elekter'!$C:$X,2+$D57,0))+IF(BA$9="X",VLOOKUP(BA$10,'VK-Biokütused'!$C:$U,2+$E57,0))+IF(BA$5="X",VLOOKUP(BA$10,'VK-Põlevkivi'!$C:$X,2+$G57,0))+IF(BA$4="X",VLOOKUP(BA$10,'VK-Võrgud'!$C:$X,2+$F57,0))</f>
        <v>4.25</v>
      </c>
      <c r="BB57" s="209">
        <f>IF(BB$7="X",VLOOKUP(BB$10,'VK-Hooned-Soojus'!$C:$X,2+$C57,FALSE),0)+IF(BB$6="X",VLOOKUP(BB$10,'VK-Transport'!$C:$X,2+$B57,0))+IF(BB$8="X",VLOOKUP(BB$10,'VK-Elekter'!$C:$X,2+$D57,0))+IF(BB$9="X",VLOOKUP(BB$10,'VK-Biokütused'!$C:$U,2+$E57,0))+IF(BB$5="X",VLOOKUP(BB$10,'VK-Põlevkivi'!$C:$X,2+$G57,0))+IF(BB$4="X",VLOOKUP(BB$10,'VK-Võrgud'!$C:$X,2+$F57,0))</f>
        <v>2.93</v>
      </c>
      <c r="BC57" s="209">
        <f>IF(BC$7="X",VLOOKUP(BC$10,'VK-Hooned-Soojus'!$C:$X,2+$C57,FALSE),0)+IF(BC$6="X",VLOOKUP(BC$10,'VK-Transport'!$C:$X,2+$B57,0))+IF(BC$8="X",VLOOKUP(BC$10,'VK-Elekter'!$C:$X,2+$D57,0))+IF(BC$9="X",VLOOKUP(BC$10,'VK-Biokütused'!$C:$U,2+$E57,0))+IF(BC$5="X",VLOOKUP(BC$10,'VK-Põlevkivi'!$C:$X,2+$G57,0))+IF(BC$4="X",VLOOKUP(BC$10,'VK-Võrgud'!$C:$X,2+$F57,0))</f>
        <v>8.0523611111111126</v>
      </c>
      <c r="BD57" s="209">
        <f>IF(BD$7="X",VLOOKUP(BD$10,'VK-Hooned-Soojus'!$C:$X,2+$C57,FALSE),0)+IF(BD$6="X",VLOOKUP(BD$10,'VK-Transport'!$C:$X,2+$B57,0))+IF(BD$8="X",VLOOKUP(BD$10,'VK-Elekter'!$C:$X,2+$D57,0))+IF(BD$9="X",VLOOKUP(BD$10,'VK-Biokütused'!$C:$U,2+$E57,0))+IF(BD$5="X",VLOOKUP(BD$10,'VK-Põlevkivi'!$C:$X,2+$G57,0))+IF(BD$4="X",VLOOKUP(BD$10,'VK-Võrgud'!$C:$X,2+$F57,0))</f>
        <v>10.42138888888889</v>
      </c>
      <c r="BE57" s="230"/>
      <c r="BF57" s="229">
        <f t="shared" si="16"/>
        <v>0.3348261179971409</v>
      </c>
      <c r="BG57" s="209" t="e">
        <f>(IF(BG$7="X",VLOOKUP(BG$10,'VK-Hooned-Soojus'!$C:$X,2+$C57,FALSE),0)+IF(BG$6="X",VLOOKUP(BG$10,'VK-Transport'!$C:$X,2+$B57,0))+IF(BG$8="X",VLOOKUP(BG$10,'VK-Elekter'!$C:$X,2+$D57,0))+IF(BG$9="X",VLOOKUP(BG$10,'VK-Biokütused'!$C:$U,2+$E57,0))+IF(BG$5="X",VLOOKUP(BG$10,'VK-Põlevkivi'!$C:$X,2+$G57,0))+IF(BG$4="X",VLOOKUP(BG$10,'VK-Võrgud'!$C:$X,2+$F57,0)))/20</f>
        <v>#N/A</v>
      </c>
      <c r="BH57" s="209">
        <f>(IF(BH$7="X",VLOOKUP(BH$10,'VK-Hooned-Soojus'!$C:$X,2+$C57,FALSE),0)+IF(BH$6="X",VLOOKUP(BH$10,'VK-Transport'!$C:$X,2+$B57,0))+IF(BH$8="X",VLOOKUP(BH$10,'VK-Elekter'!$C:$X,2+$D57,0))+IF(BH$9="X",VLOOKUP(BH$10,'VK-Biokütused'!$C:$U,2+$E57,0))+IF(BH$5="X",VLOOKUP(BH$10,'VK-Põlevkivi'!$C:$X,2+$G57,0))+IF(BH$4="X",VLOOKUP(BH$10,'VK-Võrgud'!$C:$X,2+$F57,0)))/20</f>
        <v>13.99</v>
      </c>
      <c r="BI57" s="209">
        <f>(IF(BI$7="X",VLOOKUP(BI$10,'VK-Hooned-Soojus'!$C:$X,2+$C57,FALSE),0)+IF(BI$6="X",VLOOKUP(BI$10,'VK-Transport'!$C:$X,2+$B57,0))+IF(BI$8="X",VLOOKUP(BI$10,'VK-Elekter'!$C:$X,2+$D57,0))+IF(BI$9="X",VLOOKUP(BI$10,'VK-Biokütused'!$C:$U,2+$E57,0))+IF(BI$5="X",VLOOKUP(BI$10,'VK-Põlevkivi'!$C:$X,2+$G57,0))+IF(BI$4="X",VLOOKUP(BI$10,'VK-Võrgud'!$C:$X,2+$F57,0)))/16</f>
        <v>17.75</v>
      </c>
      <c r="BJ57" s="209">
        <f>(IF(BJ$7="X",VLOOKUP(BJ$10,'VK-Hooned-Soojus'!$C:$X,2+$C57,FALSE),0)+IF(BJ$6="X",VLOOKUP(BJ$10,'VK-Transport'!$C:$X,2+$B57,0))+IF(BJ$8="X",VLOOKUP(BJ$10,'VK-Elekter'!$C:$X,2+$D57,0))+IF(BJ$9="X",VLOOKUP(BJ$10,'VK-Biokütused'!$C:$U,2+$E57,0))+IF(BJ$5="X",VLOOKUP(BJ$10,'VK-Põlevkivi'!$C:$X,2+$G57,0))+IF(BJ$4="X",VLOOKUP(BJ$10,'VK-Võrgud'!$C:$X,2+$F57,0)))/20</f>
        <v>1.85</v>
      </c>
      <c r="BK57" s="209"/>
      <c r="BL57" s="209"/>
      <c r="BM57" s="209"/>
      <c r="BN57" s="209" t="e">
        <f>(IF(BN$7="X",VLOOKUP(BN$10,'VK-Hooned-Soojus'!$C:$X,2+$C57,FALSE),0)+IF(BN$6="X",VLOOKUP(BN$10,'VK-Transport'!$C:$X,2+$B57,0))+IF(BN$8="X",VLOOKUP(BN$10,'VK-Elekter'!$C:$X,2+$D57,0))+IF(BN$9="X",VLOOKUP(BN$10,'VK-Biokütused'!$C:$U,2+$E57,0))+IF(BN$5="X",VLOOKUP(BN$10,'VK-Põlevkivi'!$C:$X,2+$G57,0))+IF(BN$4="X",VLOOKUP(BN$10,'VK-Võrgud'!$C:$X,2+$F57,0)))/16</f>
        <v>#N/A</v>
      </c>
      <c r="BO57" s="209">
        <f>(IF(BO$7="X",VLOOKUP(BO$10,'VK-Hooned-Soojus'!$C:$X,2+$C57,FALSE),0)+IF(BO$6="X",VLOOKUP(BO$10,'VK-Transport'!$C:$X,2+$B57,0))+IF(BO$8="X",VLOOKUP(BO$10,'VK-Elekter'!$C:$X,2+$D57,0))+IF(BO$9="X",VLOOKUP(BO$10,'VK-Biokütused'!$C:$U,2+$E57,0))+IF(BO$5="X",VLOOKUP(BO$10,'VK-Põlevkivi'!$C:$X,2+$G57,0))+IF(BO$4="X",VLOOKUP(BO$10,'VK-Võrgud'!$C:$X,2+$F57,0)))/16</f>
        <v>405.45</v>
      </c>
      <c r="BP57" s="209"/>
      <c r="BQ57" s="209">
        <f>(IF(BQ$7="X",VLOOKUP(BQ$10,'VK-Hooned-Soojus'!$C:$X,2+$C57,FALSE),0)+IF(BQ$6="X",VLOOKUP(BQ$10,'VK-Transport'!$C:$X,2+$B57,0))+IF(BQ$8="X",VLOOKUP(BQ$10,'VK-Elekter'!$C:$X,2+$D57,0))+IF(BQ$9="X",VLOOKUP(BQ$10,'VK-Biokütused'!$C:$U,2+$E57,0))+IF(BQ$5="X",VLOOKUP(BQ$10,'VK-Põlevkivi'!$C:$X,2+$G57,0))+IF(BQ$4="X",VLOOKUP(BQ$10,'VK-Võrgud'!$C:$X,2+$F57,0)))/16</f>
        <v>127.6</v>
      </c>
      <c r="BR57" s="209">
        <f>(IF(BR$7="X",VLOOKUP(BR$10,'VK-Hooned-Soojus'!$C:$X,2+$C57,FALSE),0)+IF(BR$6="X",VLOOKUP(BR$10,'VK-Transport'!$C:$X,2+$B57,0))+IF(BR$8="X",VLOOKUP(BR$10,'VK-Elekter'!$C:$X,2+$D57,0))+IF(BR$9="X",VLOOKUP(BR$10,'VK-Biokütused'!$C:$U,2+$E57,0))+IF(BR$5="X",VLOOKUP(BR$10,'VK-Põlevkivi'!$C:$X,2+$G57,0))+IF(BR$4="X",VLOOKUP(BR$10,'VK-Võrgud'!$C:$X,2+$F57,0)))/16</f>
        <v>27.475000000000001</v>
      </c>
      <c r="BS57" s="209">
        <f>(IF(BS$7="X",VLOOKUP(BS$10,'VK-Hooned-Soojus'!$C:$X,2+$C57,FALSE),0)+IF(BS$6="X",VLOOKUP(BS$10,'VK-Transport'!$C:$X,2+$B57,0))+IF(BS$8="X",VLOOKUP(BS$10,'VK-Elekter'!$C:$X,2+$D57,0))+IF(BS$9="X",VLOOKUP(BS$10,'VK-Biokütused'!$C:$U,2+$E57,0))+IF(BS$5="X",VLOOKUP(BS$10,'VK-Põlevkivi'!$C:$X,2+$G57,0))+IF(BS$4="X",VLOOKUP(BS$10,'VK-Võrgud'!$C:$X,2+$F57,0)))/16</f>
        <v>-23.293749999999999</v>
      </c>
      <c r="BT57" s="209"/>
      <c r="BU57" s="209"/>
      <c r="BV57" s="209">
        <f>(IF(BV$7="X",VLOOKUP(BV$10,'VK-Hooned-Soojus'!$C:$X,2+$C57,FALSE),0)+IF(BV$6="X",VLOOKUP(BV$10,'VK-Transport'!$C:$X,2+$B57,0))+IF(BV$8="X",VLOOKUP(BV$10,'VK-Elekter'!$C:$X,2+$D57,0))+IF(BV$9="X",VLOOKUP(BV$10,'VK-Biokütused'!$C:$U,2+$E57,0))+IF(BV$5="X",VLOOKUP(BV$10,'VK-Põlevkivi'!$C:$X,2+$G57,0))+IF(BV$4="X",VLOOKUP(BV$10,'VK-Võrgud'!$C:$X,2+$F57,0)))/16</f>
        <v>0</v>
      </c>
      <c r="BW57" s="209"/>
      <c r="BX57" s="209">
        <f>(IF(BX$7="X",VLOOKUP(BX$10,'VK-Hooned-Soojus'!$C:$X,2+$C57,FALSE),0)+IF(BX$6="X",VLOOKUP(BX$10,'VK-Transport'!$C:$X,2+$B57,0))+IF(BX$8="X",VLOOKUP(BX$10,'VK-Elekter'!$C:$X,2+$D57,0))+IF(BX$9="X",VLOOKUP(BX$10,'VK-Biokütused'!$C:$U,2+$E57,0))+IF(BX$5="X",VLOOKUP(BX$10,'VK-Põlevkivi'!$C:$X,2+$G57,0))+IF(BX$4="X",VLOOKUP(BX$10,'VK-Võrgud'!$C:$X,2+$F57,0)))/16</f>
        <v>-99.6875</v>
      </c>
      <c r="BY57" s="209"/>
      <c r="BZ57" s="209"/>
      <c r="CA57" s="209" t="e">
        <f>(IF(CA$7="X",VLOOKUP(CA$10,'VK-Hooned-Soojus'!$C:$X,2+$C57,FALSE),0)+IF(CA$6="X",VLOOKUP(CA$10,'VK-Transport'!$C:$X,2+$B57,0))+IF(CA$8="X",VLOOKUP(CA$10,'VK-Elekter'!$C:$X,2+$D57,0))+IF(CA$9="X",VLOOKUP(CA$10,'VK-Biokütused'!$C:$U,2+$E57,0))+IF(CA$5="X",VLOOKUP(CA$10,'VK-Põlevkivi'!$C:$X,2+$G57,0))+IF(CA$4="X",VLOOKUP(CA$10,'VK-Võrgud'!$C:$X,2+$F57,0)))/16</f>
        <v>#N/A</v>
      </c>
      <c r="CB57" s="209">
        <f>(IF(CB$7="X",VLOOKUP(CB$10,'VK-Hooned-Soojus'!$C:$X,2+$C57,FALSE),0)+IF(CB$6="X",VLOOKUP(CB$10,'VK-Transport'!$C:$X,2+$B57,0))+IF(CB$8="X",VLOOKUP(CB$10,'VK-Elekter'!$C:$X,2+$D57,0))+IF(CB$9="X",VLOOKUP(CB$10,'VK-Biokütused'!$C:$U,2+$E57,0))+IF(CB$5="X",VLOOKUP(CB$10,'VK-Põlevkivi'!$C:$X,2+$G57,0))+IF(CB$4="X",VLOOKUP(CB$10,'VK-Võrgud'!$C:$X,2+$F57,0)))/16</f>
        <v>0</v>
      </c>
      <c r="CC57" s="209">
        <f>(IF(CC$7="X",VLOOKUP(CC$10,'VK-Hooned-Soojus'!$C:$X,2+$C57,FALSE),0)+IF(CC$6="X",VLOOKUP(CC$10,'VK-Transport'!$C:$X,2+$B57,0))+IF(CC$8="X",VLOOKUP(CC$10,'VK-Elekter'!$C:$X,2+$D57,0))+IF(CC$9="X",VLOOKUP(CC$10,'VK-Biokütused'!$C:$U,2+$E57,0))+IF(CC$5="X",VLOOKUP(CC$10,'VK-Põlevkivi'!$C:$X,2+$G57,0))+IF(CC$4="X",VLOOKUP(CC$10,'VK-Võrgud'!$C:$X,2+$F57,0)))/16</f>
        <v>0</v>
      </c>
      <c r="CD57" s="209"/>
      <c r="CE57" s="209">
        <f>(IF(CE$7="X",VLOOKUP(CE$10,'VK-Hooned-Soojus'!$C:$X,2+$C57,FALSE),0)+IF(CE$6="X",VLOOKUP(CE$10,'VK-Transport'!$C:$X,2+$B57,0))+IF(CE$8="X",VLOOKUP(CE$10,'VK-Elekter'!$C:$X,2+$D57,0))+IF(CE$9="X",VLOOKUP(CE$10,'VK-Biokütused'!$C:$U,2+$E57,0))+IF(CE$5="X",VLOOKUP(CE$10,'VK-Põlevkivi'!$C:$X,2+$G57,0))+IF(CE$4="X",VLOOKUP(CE$10,'VK-Võrgud'!$C:$X,2+$F57,0)))/16</f>
        <v>24.15625</v>
      </c>
      <c r="CF57" s="209"/>
      <c r="CG57" s="209">
        <f>(IF(CG$7="X",VLOOKUP(CG$10,'VK-Hooned-Soojus'!$C:$X,2+$C57,FALSE),0)+IF(CG$6="X",VLOOKUP(CG$10,'VK-Transport'!$C:$X,2+$B57,0))+IF(CG$8="X",VLOOKUP(CG$10,'VK-Elekter'!$C:$X,2+$D57,0))+IF(CG$9="X",VLOOKUP(CG$10,'VK-Biokütused'!$C:$U,2+$E57,0))+IF(CG$5="X",VLOOKUP(CG$10,'VK-Põlevkivi'!$C:$X,2+$G57,0))+IF(CG$4="X",VLOOKUP(CG$10,'VK-Võrgud'!$C:$X,2+$F57,0)))/16</f>
        <v>0</v>
      </c>
      <c r="CH57" s="209">
        <f>(IF(CH$7="X",VLOOKUP(CH$10,'VK-Hooned-Soojus'!$C:$X,2+$C57,FALSE),0)+IF(CH$6="X",VLOOKUP(CH$10,'VK-Transport'!$C:$X,2+$B57,0))+IF(CH$8="X",VLOOKUP(CH$10,'VK-Elekter'!$C:$X,2+$D57,0))+IF(CH$9="X",VLOOKUP(CH$10,'VK-Biokütused'!$C:$U,2+$E57,0))+IF(CH$5="X",VLOOKUP(CH$10,'VK-Põlevkivi'!$C:$X,2+$G57,0))+IF(CH$4="X",VLOOKUP(CH$10,'VK-Võrgud'!$C:$X,2+$F57,0)))/20*0.21</f>
        <v>5.6122500000000004</v>
      </c>
      <c r="CI57" s="209"/>
      <c r="CJ57" s="209">
        <f>(IF(CJ$7="X",VLOOKUP(CJ$10,'VK-Hooned-Soojus'!$C:$X,2+$C57,FALSE),0)+IF(CJ$6="X",VLOOKUP(CJ$10,'VK-Transport'!$C:$X,2+$B57,0))+IF(CJ$8="X",VLOOKUP(CJ$10,'VK-Elekter'!$C:$X,2+$D57,0))+IF(CJ$9="X",VLOOKUP(CJ$10,'VK-Biokütused'!$C:$U,2+$E57,0))+IF(CJ$5="X",VLOOKUP(CJ$10,'VK-Põlevkivi'!$C:$X,2+$G57,0))+IF(CJ$4="X",VLOOKUP(CJ$10,'VK-Võrgud'!$C:$X,2+$F57,0)))/1000</f>
        <v>19.097999999999999</v>
      </c>
      <c r="CK57" s="209">
        <f>(IF(CK$7="X",VLOOKUP(CK$10,'VK-Hooned-Soojus'!$C:$X,2+$C57,FALSE),0)+IF(CK$6="X",VLOOKUP(CK$10,'VK-Transport'!$C:$X,2+$B57,0))+IF(CK$8="X",VLOOKUP(CK$10,'VK-Elekter'!$C:$X,2+$D57,0))+IF(CK$9="X",VLOOKUP(CK$10,'VK-Biokütused'!$C:$U,2+$E57,0))+IF(CK$5="X",VLOOKUP(CK$10,'VK-Põlevkivi'!$C:$X,2+$G57,0))+IF(CK$4="X",VLOOKUP(CK$10,'VK-Võrgud'!$C:$X,2+$F57,0)))/1000</f>
        <v>12.80574320999272</v>
      </c>
      <c r="CL57" s="235">
        <f>(IF(CL$7="X",VLOOKUP(CL$10,'VK-Hooned-Soojus'!$C:$X,2+$C57,FALSE),0)+IF(CL$6="X",VLOOKUP(CL$10,'VK-Transport'!$C:$X,2+$B57,0))+IF(CL$8="X",VLOOKUP(CL$10,'VK-Elekter'!$C:$X,2+$D57,0))+IF(CL$9="X",VLOOKUP(CL$10,'VK-Biokütused'!$C:$U,2+$E57,0)))/1000</f>
        <v>8.8322895597237885</v>
      </c>
      <c r="CM57" s="209">
        <f>(IF(CM$7="X",VLOOKUP(CM$10,'VK-Hooned-Soojus'!$C:$X,2+$C57,FALSE),0)+IF(CM$6="X",VLOOKUP(CM$10,'VK-Transport'!$C:$X,2+$B57,0))+IF(CM$8="X",VLOOKUP(CM$10,'VK-Elekter'!$C:$X,2+$D57,0))+IF(CM$9="X",VLOOKUP(CM$10,'VK-Biokütused'!$C:$U,2+$E57,0))+IF(CM$5="X",VLOOKUP(CM$10,'VK-Põlevkivi'!$C:$X,2+$G57,0))+IF(CM$4="X",VLOOKUP(CM$10,'VK-Võrgud'!$C:$X,2+$F57,0)))/1000</f>
        <v>8.532</v>
      </c>
      <c r="CN57" s="209">
        <f>(IF(CN$7="X",VLOOKUP(CN$10,'VK-Hooned-Soojus'!$C:$X,2+$C57,FALSE),0)+IF(CN$6="X",VLOOKUP(CN$10,'VK-Transport'!$C:$X,2+$B57,0))+IF(CN$8="X",VLOOKUP(CN$10,'VK-Elekter'!$C:$X,2+$D57,0))+IF(CN$9="X",VLOOKUP(CN$10,'VK-Biokütused'!$C:$U,2+$E57,0))+IF(CN$5="X",VLOOKUP(CN$10,'VK-Põlevkivi'!$C:$X,2+$G57,0))+IF(CN$4="X",VLOOKUP(CN$10,'VK-Võrgud'!$C:$X,2+$F57,0)))/1000</f>
        <v>3.1680000000000001</v>
      </c>
      <c r="CO57" s="209">
        <f>(IF(CO$7="X",VLOOKUP(CO$10,'VK-Hooned-Soojus'!$C:$X,2+$C57,FALSE),0)+IF(CO$6="X",VLOOKUP(CO$10,'VK-Transport'!$C:$X,2+$B57,0))+IF(CO$8="X",VLOOKUP(CO$10,'VK-Elekter'!$C:$X,2+$D57,0))+IF(CO$9="X",VLOOKUP(CO$10,'VK-Biokütused'!$C:$U,2+$E57,0))+IF(CO$5="X",VLOOKUP(CO$10,'VK-Põlevkivi'!$C:$X,2+$G57,0))+IF(CO$4="X",VLOOKUP(CO$10,'VK-Võrgud'!$C:$X,2+$F57,0)))/1000</f>
        <v>24.38157521079728</v>
      </c>
      <c r="CP57" s="209">
        <f>(IF(CP$7="X",VLOOKUP(CP$10,'VK-Hooned-Soojus'!$C:$X,2+$C57,FALSE),0)+IF(CP$6="X",VLOOKUP(CP$10,'VK-Transport'!$C:$X,2+$B57,0))+IF(CP$8="X",VLOOKUP(CP$10,'VK-Elekter'!$C:$X,2+$D57,0))+IF(CP$9="X",VLOOKUP(CP$10,'VK-Biokütused'!$C:$U,2+$E57,0))+IF(CP$5="X",VLOOKUP(CP$10,'VK-Põlevkivi'!$C:$X,2+$G57,0))+IF(CP$4="X",VLOOKUP(CP$10,'VK-Võrgud'!$C:$X,2+$F57,0)))/1000</f>
        <v>13.823994830349823</v>
      </c>
      <c r="CQ57" s="235">
        <f>(IF(CQ$7="X",VLOOKUP(CQ$10,'VK-Hooned-Soojus'!$C:$X,2+$C57,FALSE),0)+IF(CQ$6="X",VLOOKUP(CQ$10,'VK-Transport'!$C:$X,2+$B57,0))+IF(CQ$8="X",VLOOKUP(CQ$10,'VK-Elekter'!$C:$X,2+$D57,0))+IF(CQ$9="X",VLOOKUP(CQ$10,'VK-Biokütused'!$C:$U,2+$E57,0)))/1000</f>
        <v>10.828346</v>
      </c>
      <c r="CR57" s="209">
        <f>(IF(CR$7="X",VLOOKUP(CR$10,'VK-Hooned-Soojus'!$C:$X,2+$C57,FALSE),0)+IF(CR$6="X",VLOOKUP(CR$10,'VK-Transport'!$C:$X,2+$B57,0))+IF(CR$8="X",VLOOKUP(CR$10,'VK-Elekter'!$C:$X,2+$D57,0))+IF(CR$9="X",VLOOKUP(CR$10,'VK-Biokütused'!$C:$U,2+$E57,0))+IF(CR$5="X",VLOOKUP(CR$10,'VK-Põlevkivi'!$C:$X,2+$G57,0))+IF(CR$4="X",VLOOKUP(CR$10,'VK-Võrgud'!$C:$X,2+$F57,0)))/1000</f>
        <v>8.0810872784575754</v>
      </c>
      <c r="CS57" s="209">
        <f>(IF(CS$7="X",VLOOKUP(CS$10,'VK-Hooned-Soojus'!$C:$X,2+$C57,FALSE),0)+IF(CS$6="X",VLOOKUP(CS$10,'VK-Transport'!$C:$X,2+$B57,0))+IF(CS$8="X",VLOOKUP(CS$10,'VK-Elekter'!$C:$X,2+$D57,0))+IF(CS$9="X",VLOOKUP(CS$10,'VK-Biokütused'!$C:$U,2+$E57,0))+IF(CS$5="X",VLOOKUP(CS$10,'VK-Põlevkivi'!$C:$X,2+$G57,0))+IF(CS$4="X",VLOOKUP(CS$10,'VK-Võrgud'!$C:$X,2+$F57,0)))/1000</f>
        <v>3.8643344900598322</v>
      </c>
      <c r="CT57" s="209">
        <f>IF(CT$7="X",VLOOKUP(CT$10,'VK-Hooned-Soojus'!$C:$X,2+$C57,FALSE),0)+IF(CT$6="X",VLOOKUP(CT$10,'VK-Transport'!$C:$X,2+$B57,0))+IF(CT$8="X",VLOOKUP(CT$10,'VK-Elekter'!$C:$X,2+$D57,0))+IF(CT$9="X",VLOOKUP(CT$10,'VK-Biokütused'!$C:$U,2+$E57,0))+IF(CT$5="X",VLOOKUP(CT$10,'VK-Põlevkivi'!$C:$X,2+$G57,0))+IF(CT$4="X",VLOOKUP(CT$10,'VK-Võrgud'!$C:$X,2+$F57,0))</f>
        <v>90</v>
      </c>
      <c r="CU57" s="209">
        <f>IF(CU$7="X",VLOOKUP(CU$10,'VK-Hooned-Soojus'!$C:$X,2+$C57,FALSE),0)+IF(CU$6="X",VLOOKUP(CU$10,'VK-Transport'!$C:$X,2+$B57,0))+IF(CU$8="X",VLOOKUP(CU$10,'VK-Elekter'!$C:$X,2+$D57,0))+IF(CU$9="X",VLOOKUP(CU$10,'VK-Biokütused'!$C:$U,2+$E57,0))+IF(CU$5="X",VLOOKUP(CU$10,'VK-Põlevkivi'!$C:$X,2+$G57,0))+IF(CU$4="X",VLOOKUP(CU$10,'VK-Võrgud'!$C:$X,2+$F57,0))</f>
        <v>0.72088353413654627</v>
      </c>
      <c r="CV57" s="209">
        <f t="shared" si="37"/>
        <v>0.84317482403548605</v>
      </c>
      <c r="CW57" s="209">
        <f>(IF(CW$7="X",VLOOKUP(CW$10,'VK-Hooned-Soojus'!$C:$X,2+$C57,FALSE),0)+IF(CW$6="X",VLOOKUP(CW$10,'VK-Transport'!$C:$X,2+$B57,0))+IF(CW$8="X",VLOOKUP(CW$10,'VK-Elekter'!$C:$X,2+$D57,0))+IF(CW$9="X",VLOOKUP(CW$10,'VK-Biokütused'!$C:$U,2+$E57,0))+IF(CW$5="X",VLOOKUP(CW$10,'VK-Põlevkivi'!$C:$X,2+$G57,0))+IF(CW$4="X",VLOOKUP(CW$10,'VK-Võrgud'!$C:$X,2+$F57,0)))/16</f>
        <v>59.743749999999999</v>
      </c>
      <c r="CY57" s="209">
        <f>(IF(CY$7="X",VLOOKUP(CY$10,'VK-Hooned-Soojus'!$C:$X,2+$C57,FALSE),0)+IF(CY$6="X",VLOOKUP(CY$10,'VK-Transport'!$C:$X,2+$B57,0))+IF(CY$8="X",VLOOKUP(CY$10,'VK-Elekter'!$C:$X,2+$D57,0))+IF(CY$9="X",VLOOKUP(CY$10,'VK-Biokütused'!$C:$U,2+$E57,0))+IF(CY$5="X",VLOOKUP(CY$10,'VK-Põlevkivi'!$C:$X,2+$G57,0))+IF(CY$4="X",VLOOKUP(CY$10,'VK-Võrgud'!$C:$X,2+$F57,0)))/1000</f>
        <v>10.993</v>
      </c>
      <c r="CZ57" s="209">
        <f>(IF(CZ$7="X",VLOOKUP(CZ$10,'VK-Hooned-Soojus'!$C:$X,2+$C57,FALSE),0)+IF(CZ$6="X",VLOOKUP(CZ$10,'VK-Transport'!$C:$X,2+$B57,0))+IF(CZ$8="X",VLOOKUP(CZ$10,'VK-Elekter'!$C:$X,2+$D57,0))+IF(CZ$9="X",VLOOKUP(CZ$10,'VK-Biokütused'!$C:$U,2+$E57,0))+IF(CZ$5="X",VLOOKUP(CZ$10,'VK-Põlevkivi'!$C:$X,2+$G57,0))+IF(CZ$4="X",VLOOKUP(CZ$10,'VK-Võrgud'!$C:$X,2+$F57,0)))</f>
        <v>73.400000000000006</v>
      </c>
      <c r="DA57" s="209">
        <f>(IF(DA$7="X",VLOOKUP(DA$10,'VK-Hooned-Soojus'!$C:$X,2+$C57,FALSE),0)+IF(DA$6="X",VLOOKUP(DA$10,'VK-Transport'!$C:$X,2+$B57,0))+IF(DA$8="X",VLOOKUP(DA$10,'VK-Elekter'!$C:$X,2+$D57,0))+IF(DA$9="X",VLOOKUP(DA$10,'VK-Biokütused'!$C:$U,2+$E57,0))+IF(DA$5="X",VLOOKUP(DA$10,'VK-Põlevkivi'!$C:$X,2+$G57,0))+IF(DA$4="X",VLOOKUP(DA$10,'VK-Võrgud'!$C:$X,2+$F57,0)))/1000</f>
        <v>14.96</v>
      </c>
      <c r="DB57" s="209">
        <f>(IF(DB$7="X",VLOOKUP(DB$10,'VK-Hooned-Soojus'!$C:$X,2+$C57,FALSE),0)+IF(DB$6="X",VLOOKUP(DB$10,'VK-Transport'!$C:$X,2+$B57,0))+IF(DB$8="X",VLOOKUP(DB$10,'VK-Elekter'!$C:$X,2+$D57,0))+IF(DB$9="X",VLOOKUP(DB$10,'VK-Biokütused'!$C:$U,2+$E57,0))+IF(DB$5="X",VLOOKUP(DB$10,'VK-Põlevkivi'!$C:$X,2+$G57,0))+IF(DB$4="X",VLOOKUP(DB$10,'VK-Võrgud'!$C:$X,2+$F57,0)))/1000/3.6</f>
        <v>66.44638888888889</v>
      </c>
      <c r="DC57" s="209">
        <f>(IF(DC$7="X",VLOOKUP(DC$10,'VK-Hooned-Soojus'!$C:$X,2+$C57,FALSE),0)+IF(DC$6="X",VLOOKUP(DC$10,'VK-Transport'!$C:$X,2+$B57,0))+IF(DC$8="X",VLOOKUP(DC$10,'VK-Elekter'!$C:$X,2+$D57,0))+IF(DC$9="X",VLOOKUP(DC$10,'VK-Biokütused'!$C:$U,2+$E57,0))+IF(DC$5="X",VLOOKUP(DC$10,'VK-Põlevkivi'!$C:$X,2+$G57,0))+IF(DC$4="X",VLOOKUP(DC$10,'VK-Võrgud'!$C:$X,2+$F57,0)))/1000000</f>
        <v>5.2952760000000003</v>
      </c>
      <c r="DD57" s="209"/>
      <c r="DE57" s="88">
        <f>VLOOKUP(Tulemused!$BN$12,data!M$7:N$12,2,FALSE)-SUM(L57,M57)</f>
        <v>-1.9738666666666731</v>
      </c>
      <c r="DF57" s="209" t="str">
        <f>IF(AZ57&lt;=VLOOKUP(Tulemused!$BN$15,data!$E$36:$F$39,2,FALSE),"JAH","EI")</f>
        <v>JAH</v>
      </c>
      <c r="DG57" s="209"/>
      <c r="DH57" s="209">
        <f t="shared" si="38"/>
        <v>6.78</v>
      </c>
      <c r="DI57" s="231" t="str">
        <f t="shared" si="17"/>
        <v>EI</v>
      </c>
      <c r="DK57" s="232">
        <f t="shared" si="39"/>
        <v>-996.9438548345579</v>
      </c>
      <c r="DM57" s="233">
        <f t="shared" si="40"/>
        <v>-993.55107829353778</v>
      </c>
      <c r="DN57" s="87">
        <f t="array" ref="DN57">INDEX($A$11:$A$145, SMALL(IF(DM57=$DK$11:$DK$145, MATCH(ROW($DK$11:$DK$145), ROW($DK$11:$DK$145))), SUM(--(DM57=$DM$11:DM57))))</f>
        <v>75</v>
      </c>
      <c r="DP57" s="87" t="e">
        <f t="shared" ca="1" si="18"/>
        <v>#N/A</v>
      </c>
      <c r="DQ57" s="87" t="e">
        <f t="shared" ca="1" si="19"/>
        <v>#N/A</v>
      </c>
      <c r="DR57" s="87">
        <f t="shared" ca="1" si="20"/>
        <v>0</v>
      </c>
      <c r="DS57" s="87" t="e">
        <f t="shared" ca="1" si="21"/>
        <v>#N/A</v>
      </c>
      <c r="DT57" s="87">
        <f t="shared" ca="1" si="22"/>
        <v>0</v>
      </c>
      <c r="DU57" s="87" t="e">
        <f t="shared" ca="1" si="23"/>
        <v>#N/A</v>
      </c>
      <c r="DV57" s="87" t="e">
        <f t="shared" ca="1" si="24"/>
        <v>#N/A</v>
      </c>
      <c r="DW57" s="87">
        <f t="shared" ca="1" si="25"/>
        <v>0</v>
      </c>
      <c r="DX57" s="87">
        <f t="shared" ca="1" si="26"/>
        <v>0</v>
      </c>
      <c r="DZ57" s="87">
        <f t="shared" ca="1" si="35"/>
        <v>0</v>
      </c>
      <c r="EB57" s="87">
        <f t="shared" ca="1" si="27"/>
        <v>0</v>
      </c>
      <c r="EC57" s="87" t="e">
        <f t="shared" ca="1" si="28"/>
        <v>#N/A</v>
      </c>
      <c r="EE57" s="228">
        <f>(IF(EE$7="X",VLOOKUP(EE$10,'VK-Hooned-Soojus'!$C:$X,2+$C57,FALSE),0)+IF(EE$6="X",VLOOKUP(EE$10,'VK-Transport'!$C:$X,2+$B57,0))+IF(EE$8="X",VLOOKUP(EE$10,'VK-Elekter'!$C:$X,2+$D57,0))+IF(EE$9="X",VLOOKUP(EE$10,'VK-Biokütused'!$C:$U,2+$E57,0))+IF(EE$5="X",VLOOKUP(EE$10,'VK-Põlevkivi'!$C:$X,2+$G57,0))+IF(EE$4="X",VLOOKUP(EE$10,'VK-Võrgud'!$C:$X,2+$F57,0)))</f>
        <v>4692.4365912869525</v>
      </c>
      <c r="EF57" s="235">
        <f>(IF(EF$7="X",VLOOKUP(EF$10,'VK-Hooned-Soojus'!$C:$X,2+$C57,FALSE),0)+IF(EF$6="X",VLOOKUP(EF$10,'VK-Transport'!$C:$X,2+$B57,0))+IF(EF$8="X",VLOOKUP(EF$10,'VK-Elekter'!$C:$X,2+$D57,0))+IF(EF$9="X",VLOOKUP(EF$10,'VK-Biokütused'!$C:$U,2+$E57,0)))/1000</f>
        <v>5.3593823271229706</v>
      </c>
      <c r="EG57" s="209">
        <f>(IF(EG$7="X",VLOOKUP(EG$10,'VK-Hooned-Soojus'!$C:$X,2+$C57,FALSE),0)+IF(EG$6="X",VLOOKUP(EG$10,'VK-Transport'!$C:$X,2+$B57,0))+IF(EG$8="X",VLOOKUP(EG$10,'VK-Elekter'!$C:$X,2+$D57,0))+IF(EG$9="X",VLOOKUP(EG$10,'VK-Biokütused'!$C:$U,2+$E57,0))+IF(EG$5="X",VLOOKUP(EG$10,'VK-Põlevkivi'!$C:$X,2+$G57,0))+IF(EG$4="X",VLOOKUP(EG$10,'VK-Võrgud'!$C:$X,2+$F57,0)))</f>
        <v>0.81</v>
      </c>
      <c r="EH57" s="209">
        <f>(IF(EH$7="X",VLOOKUP(EH$10,'VK-Hooned-Soojus'!$C:$X,2+$C57,FALSE),0)+IF(EH$6="X",VLOOKUP(EH$10,'VK-Transport'!$C:$X,2+$B57,0))+IF(EH$8="X",VLOOKUP(EH$10,'VK-Elekter'!$C:$X,2+$D57,0))+IF(EH$9="X",VLOOKUP(EH$10,'VK-Biokütused'!$C:$U,2+$E57,0)))+AR57+AS57+AU57+AX57</f>
        <v>55.679667065771859</v>
      </c>
      <c r="EI57" s="320">
        <f t="shared" si="41"/>
        <v>50.580678294573637</v>
      </c>
      <c r="EJ57" s="322">
        <f t="shared" si="42"/>
        <v>2.1300063549572323E-2</v>
      </c>
      <c r="EK57" s="323">
        <f t="shared" si="29"/>
        <v>0.39647362526587548</v>
      </c>
      <c r="EM57" s="209"/>
      <c r="EN57" s="209">
        <f t="shared" ca="1" si="43"/>
        <v>0</v>
      </c>
      <c r="EO57" s="209"/>
      <c r="EP57" s="234"/>
      <c r="EQ57" s="209">
        <f>(IF(EQ$7="X",VLOOKUP(EQ$10,'VK-Hooned-Soojus'!$C:$X,2+$C57,FALSE),0)+IF(EQ$6="X",VLOOKUP(EQ$10,'VK-Transport'!$C:$X,2+$B57,0))+IF(EQ$8="X",VLOOKUP(EQ$10,'VK-Elekter'!$C:$X,2+$D57,0))+IF(EQ$9="X",VLOOKUP(EQ$10,'VK-Biokütused'!$C:$U,2+$E57,0))+IF(EQ$5="X",VLOOKUP(EQ$10,'VK-Põlevkivi'!$C:$X,2+$G57,0))+IF(EQ$4="X",VLOOKUP(EQ$10,'VK-Võrgud'!$C:$X,2+$F57,0)))/1000</f>
        <v>0.22900000000000001</v>
      </c>
      <c r="ER57" s="209">
        <f>(IF(ER$7="X",VLOOKUP(ER$10,'VK-Hooned-Soojus'!$C:$X,2+$C57,FALSE),0)+IF(ER$6="X",VLOOKUP(ER$10,'VK-Transport'!$C:$X,2+$B57,0))+IF(ER$8="X",VLOOKUP(ER$10,'VK-Elekter'!$C:$X,2+$D57,0))+IF(ER$9="X",VLOOKUP(ER$10,'VK-Biokütused'!$C:$U,2+$E57,0))+IF(ER$5="X",VLOOKUP(ER$10,'VK-Põlevkivi'!$C:$X,2+$G57,0))+IF(ER$4="X",VLOOKUP(ER$10,'VK-Võrgud'!$C:$X,2+$F57,0)))</f>
        <v>0.82899999999999996</v>
      </c>
      <c r="ES57" s="209">
        <f>(IF(ES$7="X",VLOOKUP(ES$10,'VK-Hooned-Soojus'!$C:$X,2+$C57,FALSE),0)+IF(ES$6="X",VLOOKUP(ES$10,'VK-Transport'!$C:$X,2+$B57,0))+IF(ES$8="X",VLOOKUP(ES$10,'VK-Elekter'!$C:$X,2+$D57,0))+IF(ES$9="X",VLOOKUP(ES$10,'VK-Biokütused'!$C:$U,2+$E57,0))+IF(ES$5="X",VLOOKUP(ES$10,'VK-Põlevkivi'!$C:$X,2+$G57,0))+IF(ES$4="X",VLOOKUP(ES$10,'VK-Võrgud'!$C:$X,2+$F57,0)))</f>
        <v>6.78</v>
      </c>
      <c r="ET57" s="209"/>
      <c r="EU57" s="209"/>
      <c r="EV57" s="87">
        <f>'KSH järjestus'!AS50</f>
        <v>2077</v>
      </c>
      <c r="EX57" s="236"/>
      <c r="EY57" s="236"/>
      <c r="EZ57" s="237">
        <f t="shared" si="44"/>
        <v>0.27911646586345373</v>
      </c>
      <c r="FA57" s="209">
        <f>IF(FA$7="X",VLOOKUP(FA$10,'VK-Hooned-Soojus'!$C:$X,2+$C57,FALSE),0)+IF(FA$6="X",VLOOKUP(FA$10,'VK-Transport'!$C:$X,2+$B57,0))+IF(FA$8="X",VLOOKUP(FA$10,'VK-Elekter'!$C:$X,2+$D57,0))+IF(FA$9="X",VLOOKUP(FA$10,'VK-Biokütused'!$C:$U,2+$E57,0))+IF(FA$5="X",VLOOKUP(FA$10,'VK-Põlevkivi'!$C:$X,2+$G57,0))+IF(FA$4="X",VLOOKUP(FA$10,'VK-Võrgud'!$C:$X,2+$F57,0))</f>
        <v>3335.346</v>
      </c>
      <c r="FB57" s="279">
        <f>(IF(FB$7="X",VLOOKUP(FB$10,'VK-Hooned-Soojus'!$C:$X,2+$C57,FALSE),0)+IF(FB$6="X",VLOOKUP(FB$10,'VK-Transport'!$C:$X,2+$B57,0))+IF(FB$8="X",VLOOKUP(FB$10,'VK-Elekter'!$C:$X,2+$D57,0))+IF(FB$9="X",VLOOKUP(FB$10,'VK-Biokütused'!$C:$U,2+$E57,0))+IF(FB$5="X",VLOOKUP(FB$10,'VK-Põlevkivi'!$C:$X,2+$G57,0))+IF(FB$4="X",VLOOKUP(FB$10,'VK-Võrgud'!$C:$X,2+$F57,0)))/16</f>
        <v>283.42335557387588</v>
      </c>
      <c r="FC57" s="209">
        <f>IF(FC$7="X",VLOOKUP(FC$10,'VK-Hooned-Soojus'!$C:$X,2+$C57,FALSE),0)+IF(FC$6="X",VLOOKUP(FC$10,'VK-Transport'!$C:$X,2+$B57,0))+IF(FC$8="X",VLOOKUP(FC$10,'VK-Elekter'!$C:$X,2+$D57,0))+IF(FC$9="X",VLOOKUP(FC$10,'VK-Biokütused'!$C:$U,2+$E57,0))+IF(FC$5="X",VLOOKUP(FC$10,'VK-Põlevkivi'!$C:$X,2+$G57,0))+IF(FC$4="X",VLOOKUP(FC$10,'VK-Võrgud'!$C:$X,2+$F57,0))</f>
        <v>327.54999999999995</v>
      </c>
      <c r="FD57" s="209">
        <f>(IF(FD$7="X",VLOOKUP(FD$10,'VK-Hooned-Soojus'!$C:$X,2+$C57,FALSE),0)+IF(FD$6="X",VLOOKUP(FD$10,'VK-Transport'!$C:$X,2+$B57,0))+IF(FD$8="X",VLOOKUP(FD$10,'VK-Elekter'!$C:$X,2+$D57,0))+IF(FD$9="X",VLOOKUP(FD$10,'VK-Biokütused'!$C:$U,2+$E57,0))+IF(FD$5="X",VLOOKUP(FD$10,'VK-Põlevkivi'!$C:$X,2+$G57,0))+IF(FD$4="X",VLOOKUP(FD$10,'VK-Võrgud'!$C:$X,2+$F57,0)))/16</f>
        <v>283.42335557387588</v>
      </c>
      <c r="FE57" s="209">
        <f>(IF(FE$7="X",VLOOKUP(FE$10,'VK-Hooned-Soojus'!$C:$X,2+$C57,FALSE),0)+IF(FE$6="X",VLOOKUP(FE$10,'VK-Transport'!$C:$X,2+$B57,0))+IF(FE$8="X",VLOOKUP(FE$10,'VK-Elekter'!$C:$X,2+$D57,0))+IF(FE$9="X",VLOOKUP(FE$10,'VK-Biokütused'!$C:$U,2+$E57,0))+IF(FE$5="X",VLOOKUP(FE$10,'VK-Põlevkivi'!$C:$X,2+$G57,0))+IF(FE$4="X",VLOOKUP(FE$10,'VK-Võrgud'!$C:$X,2+$F57,0)))/16</f>
        <v>-40.314469880632103</v>
      </c>
      <c r="FF57" s="209">
        <f>(IF(FF$7="X",VLOOKUP(FF$10,'VK-Hooned-Soojus'!$C:$X,2+$C57,FALSE),0)+IF(FF$6="X",VLOOKUP(FF$10,'VK-Transport'!$C:$X,2+$B57,0))+IF(FF$8="X",VLOOKUP(FF$10,'VK-Elekter'!$C:$X,2+$D57,0))+IF(FF$9="X",VLOOKUP(FF$10,'VK-Biokütused'!$C:$U,2+$E57,0))+IF(FF$5="X",VLOOKUP(FF$10,'VK-Põlevkivi'!$C:$X,2+$G57,0))+IF(FF$4="X",VLOOKUP(FF$10,'VK-Võrgud'!$C:$X,2+$F57,0)))/16</f>
        <v>111.39889007503177</v>
      </c>
      <c r="FG57" s="88">
        <f t="shared" ca="1" si="30"/>
        <v>71.084420194399669</v>
      </c>
      <c r="FH57" s="88"/>
      <c r="FI57" s="88"/>
      <c r="FJ57" s="88">
        <f>VLOOKUP(Tulemused!$BN$12,data!M$7:N$12,2,FALSE)-SUM(L57,M57)</f>
        <v>-1.9738666666666731</v>
      </c>
      <c r="FK57" s="209" t="str">
        <f>IF(AZ57&lt;=VLOOKUP(Tulemused!$BN$15,data!$E$36:$F$39,2,FALSE),"JAH","EI")</f>
        <v>JAH</v>
      </c>
      <c r="FL57" s="235">
        <f ca="1">IF(ISNA(MATCH($A57,INDIRECT(VLOOKUP(Tulemused!$BF$11,data!$J$57:$M$71,4,FALSE)))),0,MATCH($A57,INDIRECT(VLOOKUP(Tulemused!$BF$11,data!$J$57:$M$71,4,FALSE))))</f>
        <v>0</v>
      </c>
      <c r="FM57" s="235" t="str">
        <f t="shared" ca="1" si="45"/>
        <v>JAH</v>
      </c>
      <c r="FN57" s="209">
        <f>VLOOKUP(Tulemused!$BN$13,data!$C$132:$D$137,2,FALSE)-KOMBI!R57</f>
        <v>3.1640876728770304</v>
      </c>
      <c r="FO57" s="209"/>
      <c r="FP57" s="209">
        <f>VLOOKUP(Tulemused!$BN$17,NO_x,2,FALSE)-CJ57</f>
        <v>10.34</v>
      </c>
      <c r="FQ57" s="209">
        <f>VLOOKUP(Tulemused!$BN$18,SO_2,2,FALSE)-CK57</f>
        <v>39.078256790007281</v>
      </c>
      <c r="FR57" s="209">
        <f>VLOOKUP(Tulemused!$BN$19,LOU,2,FALSE)-CN57</f>
        <v>33.912000000000006</v>
      </c>
      <c r="FS57" s="209">
        <f>VLOOKUP(Tulemused!$BN$20,PM_2.5,2,FALSE)-CM57</f>
        <v>8.3829999999999991</v>
      </c>
      <c r="FT57" s="209">
        <f>VLOOKUP(Tulemused!$BN$13,data!$C$132:$D$137,2,FALSE)-FA57/1000</f>
        <v>2.9106240000000008</v>
      </c>
      <c r="FU57" s="209">
        <f>VLOOKUP(Tulemused!$BN$17,NO_x,2,FALSE)-CO57</f>
        <v>5.056424789202719</v>
      </c>
      <c r="FV57" s="209">
        <f>VLOOKUP(Tulemused!$BN$18,SO_2,2,FALSE)-CP57</f>
        <v>38.060005169650175</v>
      </c>
      <c r="FW57" s="209">
        <f>VLOOKUP(Tulemused!$BN$19,LOU,2,FALSE)-CS57</f>
        <v>33.215665509940173</v>
      </c>
      <c r="FX57" s="209">
        <f>VLOOKUP(Tulemused!$BN$20,PM_2.5,2,FALSE)-CR57</f>
        <v>8.8339127215424238</v>
      </c>
      <c r="FY57" s="209">
        <f>VLOOKUP(Tulemused!$BN$14,KHG_2050,2,FALSE)-EF57</f>
        <v>94.640617672877028</v>
      </c>
      <c r="FZ57" s="231" t="str">
        <f t="shared" ca="1" si="31"/>
        <v>EI</v>
      </c>
      <c r="GA57" s="209"/>
      <c r="GB57" s="209"/>
      <c r="GC57" s="209"/>
      <c r="GD57" s="231"/>
      <c r="GE57" s="87">
        <f t="shared" si="46"/>
        <v>2077</v>
      </c>
      <c r="GF57" s="232" t="str">
        <f t="shared" ca="1" si="32"/>
        <v/>
      </c>
      <c r="GH57" s="238" t="e">
        <f t="shared" ca="1" si="47"/>
        <v>#NUM!</v>
      </c>
      <c r="GI57" s="87" t="e">
        <f t="array" aca="1" ref="GI57" ca="1">INDEX($A$11:$A$145, SMALL(IF(GH57=$GF$11:$GF$145, MATCH(ROW($GF$11:$GF$145), ROW($GF$11:$GF$145))), SUM(--(GH57=$GH$11:GH57))))</f>
        <v>#NUM!</v>
      </c>
      <c r="GM57" s="209">
        <f>IF(GM$7="X",VLOOKUP(GM$10,'VK-Hooned-Soojus'!$C:$X,2+$C57,FALSE),0)+IF(GM$6="X",VLOOKUP(GM$10,'VK-Transport'!$C:$X,2+$B57,0))+IF(GM$8="X",VLOOKUP(GM$10,'VK-Elekter'!$C:$X,2+$D57,0))+IF(GM$9="X",VLOOKUP(GM$10,'VK-Biokütused'!$C:$U,2+$E57,0))+IF(GM$5="X",VLOOKUP(GM$10,'VK-Põlevkivi'!$C:$X,2+$G57,0))+IF(GM$4="X",VLOOKUP(GM$10,'VK-Võrgud'!$C:$X,2+$F57,0))</f>
        <v>6.012827991027228</v>
      </c>
      <c r="GN57" s="209">
        <f>IF(GN$7="X",VLOOKUP(GN$10,'VK-Hooned-Soojus'!$C:$X,2+$C57,FALSE),0)+IF(GN$6="X",VLOOKUP(GN$10,'VK-Transport'!$C:$X,2+$B57,0))+IF(GN$8="X",VLOOKUP(GN$10,'VK-Elekter'!$C:$X,2+$D57,0))+IF(GN$9="X",VLOOKUP(GN$10,'VK-Biokütused'!$C:$U,2+$E57,0))+IF(GN$5="X",VLOOKUP(GN$10,'VK-Põlevkivi'!$C:$X,2+$G57,0))+IF(GN$4="X",VLOOKUP(GN$10,'VK-Võrgud'!$C:$X,2+$F57,0))</f>
        <v>3.4467619395011728</v>
      </c>
      <c r="GO57" s="209">
        <f>IF(GO$7="X",VLOOKUP(GO$10,'VK-Hooned-Soojus'!$C:$X,2+$C57,FALSE),0)+IF(GO$6="X",VLOOKUP(GO$10,'VK-Transport'!$C:$X,2+$B57,0))+IF(GO$8="X",VLOOKUP(GO$10,'VK-Elekter'!$C:$X,2+$D57,0))+IF(GO$9="X",VLOOKUP(GO$10,'VK-Biokütused'!$C:$U,2+$E57,0))+IF(GO$5="X",VLOOKUP(GO$10,'VK-Põlevkivi'!$C:$X,2+$G57,0))+IF(GO$4="X",VLOOKUP(GO$10,'VK-Võrgud'!$C:$X,2+$F57,0))</f>
        <v>8.7471755658278116</v>
      </c>
      <c r="GP57" s="209">
        <f>IF(GP$7="X",VLOOKUP(GP$10,'VK-Hooned-Soojus'!$C:$X,2+$C57,FALSE),0)+IF(GP$6="X",VLOOKUP(GP$10,'VK-Transport'!$C:$X,2+$B57,0))+IF(GP$8="X",VLOOKUP(GP$10,'VK-Elekter'!$C:$X,2+$D57,0))+IF(GP$9="X",VLOOKUP(GP$10,'VK-Biokütused'!$C:$U,2+$E57,0))+IF(GP$5="X",VLOOKUP(GP$10,'VK-Põlevkivi'!$C:$X,2+$G57,0))+IF(GP$4="X",VLOOKUP(GP$10,'VK-Võrgud'!$C:$X,2+$F57,0))</f>
        <v>9.3279335818485372</v>
      </c>
      <c r="GQ57" s="88">
        <f>IF(GQ$7="X",VLOOKUP(GQ$10,'VK-Hooned-Soojus'!$C:$X,2+$C57,FALSE),0)+IF(GQ$6="X",VLOOKUP(GQ$10,'VK-Transport'!$C:$X,2+$B57,0))+IF(GQ$8="X",VLOOKUP(GQ$10,'VK-Elekter'!$C:$X,2+$D57,0))+IF(GQ$9="X",VLOOKUP(GQ$10,'VK-Biokütused'!$C:$U,2+$E57,0))+IF(GQ$5="X",VLOOKUP(GQ$10,'VK-Põlevkivi'!$C:$X,2+$G57,0))+IF(GQ$4="X",VLOOKUP(GQ$10,'VK-Võrgud'!$C:$X,2+$F57,0))</f>
        <v>0.90618397335647782</v>
      </c>
      <c r="GR57" s="186">
        <f t="shared" si="33"/>
        <v>0.39305342352153388</v>
      </c>
    </row>
    <row r="58" spans="1:200" x14ac:dyDescent="0.2">
      <c r="A58" s="184">
        <v>48</v>
      </c>
      <c r="B58" s="87">
        <v>2</v>
      </c>
      <c r="C58" s="87">
        <v>1</v>
      </c>
      <c r="D58" s="87">
        <v>1</v>
      </c>
      <c r="E58" s="87">
        <v>3</v>
      </c>
      <c r="F58" s="87">
        <f>VLOOKUP(Tulemused!$BF$7,data!$J$6:$K$8,2,FALSE)</f>
        <v>2</v>
      </c>
      <c r="G58" s="87">
        <f>VLOOKUP(data!$H$2,data!$J$12:$K$14,2,FALSE)</f>
        <v>2</v>
      </c>
      <c r="I58" s="209">
        <f>IF(I$7="X",VLOOKUP(I$10,'VK-Hooned-Soojus'!$C:$X,2+$C58,FALSE),0)+IF(I$6="X",VLOOKUP(I$10,'VK-Transport'!$C:$X,2+$B58,0))+IF(I$8="X",VLOOKUP(I$10,'VK-Elekter'!$C:$X,2+$D58,0))+IF(I$9="X",VLOOKUP(I$10,'VK-Biokütused'!$C:$U,2+$E58,0))+IF(I$5="X",VLOOKUP(I$10,'VK-Põlevkivi'!$C:$X,2+$G58,0))+IF(I$4="X",VLOOKUP(I$10,'VK-Võrgud'!$C:$X,2+$F58,0))</f>
        <v>26.89</v>
      </c>
      <c r="J58" s="209">
        <f>IF(J$7="X",VLOOKUP(J$10,'VK-Hooned-Soojus'!$C:$X,2+$C58,FALSE),0)+IF(J$6="X",VLOOKUP(J$10,'VK-Transport'!$C:$X,2+$B58,0))+IF(J$8="X",VLOOKUP(J$10,'VK-Elekter'!$C:$X,2+$D58,0))+IF(J$9="X",VLOOKUP(J$10,'VK-Biokütused'!$C:$U,2+$E58,0))+IF(J$5="X",VLOOKUP(J$10,'VK-Põlevkivi'!$C:$X,2+$G58,0))+IF(J$4="X",VLOOKUP(J$10,'VK-Võrgud'!$C:$X,2+$F58,0))</f>
        <v>11.138055555555555</v>
      </c>
      <c r="K58" s="209">
        <f>IF(K$7="X",VLOOKUP(K$10,'VK-Hooned-Soojus'!$C:$X,2+$C58,FALSE),0)+IF(K$6="X",VLOOKUP(K$10,'VK-Transport'!$C:$X,2+$B58,0))+IF(K$8="X",VLOOKUP(K$10,'VK-Elekter'!$C:$X,2+$D58,0))+IF(K$9="X",VLOOKUP(K$10,'VK-Biokütused'!$C:$U,2+$E58,0))+IF(K$5="X",VLOOKUP(K$10,'VK-Põlevkivi'!$C:$X,2+$G58,0))+IF(K$4="X",VLOOKUP(K$10,'VK-Võrgud'!$C:$X,2+$F58,0))</f>
        <v>16.75</v>
      </c>
      <c r="L58" s="209">
        <f>IF(L$7="X",VLOOKUP(L$10,'VK-Hooned-Soojus'!$C:$X,2+$C58,FALSE),0)+IF(L$6="X",VLOOKUP(L$10,'VK-Transport'!$C:$X,2+$B58,0))+IF(L$8="X",VLOOKUP(L$10,'VK-Elekter'!$C:$X,2+$D58,0))+IF(L$9="X",VLOOKUP(L$10,'VK-Biokütused'!$C:$U,2+$E58,0))+IF(L$5="X",VLOOKUP(L$10,'VK-Põlevkivi'!$C:$X,2+$G58,0))+IF(L$4="X",VLOOKUP(L$10,'VK-Võrgud'!$C:$X,2+$F58,0))</f>
        <v>24.95</v>
      </c>
      <c r="M58" s="209">
        <f>IF(M$7="X",VLOOKUP(M$10,'VK-Hooned-Soojus'!$C:$X,2+$C58,FALSE),0)+IF(M$6="X",VLOOKUP(M$10,'VK-Transport'!$C:$X,2+$B58,0))+IF(M$8="X",VLOOKUP(M$10,'VK-Elekter'!$C:$X,2+$D58,0))+IF(M$9="X",VLOOKUP(M$10,'VK-Biokütused'!$C:$U,2+$E58,0))+IF(M$5="X",VLOOKUP(M$10,'VK-Põlevkivi'!$C:$X,2+$G58,0))+IF(M$4="X",VLOOKUP(M$10,'VK-Võrgud'!$C:$X,2+$F58,0))</f>
        <v>9.8566666666666674</v>
      </c>
      <c r="N58" s="209">
        <f>IF(N$7="X",VLOOKUP(N$10,'VK-Hooned-Soojus'!$C:$X,2+$C58,FALSE),0)+IF(N$6="X",VLOOKUP(N$10,'VK-Transport'!$C:$X,2+$B58,0))+IF(N$8="X",VLOOKUP(N$10,'VK-Elekter'!$C:$X,2+$D58,0))+IF(N$9="X",VLOOKUP(N$10,'VK-Biokütused'!$C:$U,2+$E58,0))+IF(N$5="X",VLOOKUP(N$10,'VK-Põlevkivi'!$C:$X,2+$G58,0))+IF(N$4="X",VLOOKUP(N$10,'VK-Võrgud'!$C:$X,2+$F58,0))</f>
        <v>16.75</v>
      </c>
      <c r="O58" s="209">
        <f t="shared" si="13"/>
        <v>38.028055555555554</v>
      </c>
      <c r="P58" s="209"/>
      <c r="Q58" s="209">
        <f>(IF(Q$7="X",VLOOKUP(Q$10,'VK-Hooned-Soojus'!$C:$X,2+$C58,FALSE),0)+IF(Q$6="X",VLOOKUP(Q$10,'VK-Transport'!$C:$X,2+$B58,0))+IF(Q$8="X",VLOOKUP(Q$10,'VK-Elekter'!$C:$X,2+$D58,0))+IF(Q$9="X",VLOOKUP(Q$10,'VK-Biokütused'!$C:$U,2+$E58,0))+IF(Q$5="X",VLOOKUP(Q$10,'VK-Põlevkivi'!$C:$X,2+$G58,0))+IF(Q$4="X",VLOOKUP(Q$10,'VK-Võrgud'!$C:$X,2+$F58,0)))/1000</f>
        <v>5.3310000000000004</v>
      </c>
      <c r="R58" s="209">
        <f>(IF(R$7="X",VLOOKUP(R$10,'VK-Hooned-Soojus'!$C:$X,2+$C58,FALSE),0)+IF(R$6="X",VLOOKUP(R$10,'VK-Transport'!$C:$X,2+$B58,0))+IF(R$8="X",VLOOKUP(R$10,'VK-Elekter'!$C:$X,2+$D58,0))+IF(R$9="X",VLOOKUP(R$10,'VK-Biokütused'!$C:$U,2+$E58,0))+IF(R$5="X",VLOOKUP(R$10,'VK-Põlevkivi'!$C:$X,2+$G58,0))+IF(R$4="X",VLOOKUP(R$10,'VK-Võrgud'!$C:$X,2+$F58,0)))/1000</f>
        <v>3.2905823271229702</v>
      </c>
      <c r="S58" s="226">
        <f>VLOOKUP(S$10,'VK-Hooned-Soojus'!$C:$I,2+$C58,FALSE) + VLOOKUP(S$10,'VK-Transport'!$C:$I,2+$B58,FALSE)+ VLOOKUP(S$10,'VK-Biokütused'!$C:$G,2+$E58,FALSE)+ VLOOKUP(S$10,'VK-Elekter'!$C:$I,2+$D58,FALSE)+ VLOOKUP(S$10,'VK-Põlevkivi'!$C:$I,2+$G58,FALSE)+ VLOOKUP(S$10,'VK-Võrgud'!$C:$I,2+$F58,FALSE)</f>
        <v>1.572519333776945E-2</v>
      </c>
      <c r="T58" s="226">
        <f>VLOOKUP(T$10,'VK-Hooned-Soojus'!$C:$I,2+$C58,FALSE) + VLOOKUP(T$10,'VK-Transport'!$C:$I,2+$B58,FALSE)+ VLOOKUP(T$10,'VK-Biokütused'!$C:$G,2+$E58,FALSE)+ VLOOKUP(T$10,'VK-Elekter'!$C:$I,2+$D58,FALSE)+ VLOOKUP(T$10,'VK-Põlevkivi'!$C:$I,2+$G58,FALSE)+ VLOOKUP(T$10,'VK-Võrgud'!$C:$I,2+$F58,FALSE)</f>
        <v>2.4823574919396671E-4</v>
      </c>
      <c r="U58" s="226">
        <f>VLOOKUP(U$10,'VK-Hooned-Soojus'!$C:$I,2+$C58,FALSE) + VLOOKUP(U$10,'VK-Transport'!$C:$I,2+$B58,FALSE)+ VLOOKUP(U$10,'VK-Biokütused'!$C:$G,2+$E58,FALSE)+ VLOOKUP(U$10,'VK-Elekter'!$C:$I,2+$D58,FALSE)+ VLOOKUP(U$10,'VK-Põlevkivi'!$C:$I,2+$G58,FALSE)+ VLOOKUP(U$10,'VK-Võrgud'!$C:$I,2+$F58,FALSE)</f>
        <v>5.6541950586692091E-3</v>
      </c>
      <c r="V58" s="226">
        <f>VLOOKUP(V$10,'VK-Hooned-Soojus'!$C:$I,2+$C58,FALSE) + VLOOKUP(V$10,'VK-Transport'!$C:$I,2+$B58,FALSE)+ VLOOKUP(V$10,'VK-Biokütused'!$C:$G,2+$E58,FALSE)+ VLOOKUP(V$10,'VK-Elekter'!$C:$I,2+$D58,FALSE)+ VLOOKUP(V$10,'VK-Põlevkivi'!$C:$I,2+$G58,FALSE)+ VLOOKUP(V$10,'VK-Võrgud'!$C:$I,2+$F58,FALSE)</f>
        <v>1.0194174391227851E-2</v>
      </c>
      <c r="W58" s="226">
        <f>VLOOKUP(W$10,'VK-Hooned-Soojus'!$C:$I,2+$C58,FALSE) + VLOOKUP(W$10,'VK-Transport'!$C:$I,2+$B58,FALSE)+ VLOOKUP(W$10,'VK-Biokütused'!$C:$G,2+$E58,FALSE)+ VLOOKUP(W$10,'VK-Elekter'!$C:$I,2+$D58,FALSE)+ VLOOKUP(W$10,'VK-Põlevkivi'!$C:$I,2+$G58,FALSE)+ VLOOKUP(W$10,'VK-Võrgud'!$C:$I,2+$F58,FALSE)</f>
        <v>-7.5859730062096571E-3</v>
      </c>
      <c r="X58" s="226">
        <f>VLOOKUP(X$10,'VK-Hooned-Soojus'!$C:$I,2+$C58,FALSE) + VLOOKUP(X$10,'VK-Transport'!$C:$I,2+$B58,FALSE)+ VLOOKUP(X$10,'VK-Biokütused'!$C:$G,2+$E58,FALSE)+ VLOOKUP(X$10,'VK-Elekter'!$C:$I,2+$D58,FALSE)+ VLOOKUP(X$10,'VK-Põlevkivi'!$C:$I,2+$G58,FALSE)+ VLOOKUP(X$10,'VK-Võrgud'!$C:$I,2+$F58,FALSE)</f>
        <v>-1.8197190001968084E-2</v>
      </c>
      <c r="Y58" s="226">
        <f>VLOOKUP(Y$10,'VK-Hooned-Soojus'!$C:$I,2+$C58,FALSE) + VLOOKUP(Y$10,'VK-Transport'!$C:$I,2+$B58,FALSE)+ VLOOKUP(Y$10,'VK-Biokütused'!$C:$G,2+$E58,FALSE)+ VLOOKUP(Y$10,'VK-Elekter'!$C:$I,2+$D58,FALSE)+ VLOOKUP(Y$10,'VK-Põlevkivi'!$C:$I,2+$G58,FALSE)+ VLOOKUP(Y$10,'VK-Võrgud'!$C:$I,2+$F58,FALSE)</f>
        <v>-2.149636246752451E-2</v>
      </c>
      <c r="Z58" s="227">
        <f>(S58*Tulemused!$Q$9*10+T58*Tulemused!$Q$10*10+KOMBI!U58*Tulemused!$Q$11*10+KOMBI!V58*Tulemused!$Q$12*10)*Tulemused!$Q$8+-(W58*Tulemused!$Q$14*10+KOMBI!X58*Tulemused!$Q$15*10+KOMBI!Y58*Tulemused!$Q$16*10)*Tulemused!$Q$13</f>
        <v>3.9612448876836566</v>
      </c>
      <c r="AA58" s="228">
        <f>(IF(AA$7="X",VLOOKUP(AA$10,'VK-Hooned-Soojus'!$C:$X,2+$C58,FALSE),0)+IF(AA$6="X",VLOOKUP(AA$10,'VK-Transport'!$C:$X,2+$B58,0))+IF(AA$8="X",VLOOKUP(AA$10,'VK-Elekter'!$C:$X,2+$D58,0))+IF(AA$9="X",VLOOKUP(AA$10,'VK-Biokütused'!$C:$U,2+$E58,0))+IF(AA$5="X",VLOOKUP(AA$10,'VK-Põlevkivi'!$C:$X,2+$G58,0))+IF(AA$4="X",VLOOKUP(AA$10,'VK-Võrgud'!$C:$X,2+$F58,0)))</f>
        <v>3729</v>
      </c>
      <c r="AB58" s="228">
        <f>(IF(AB$7="X",VLOOKUP(AB$10,'VK-Hooned-Soojus'!$C:$X,2+$C58,FALSE),0)+IF(AB$6="X",VLOOKUP(AB$10,'VK-Transport'!$C:$X,2+$B58,0))+IF(AB$8="X",VLOOKUP(AB$10,'VK-Elekter'!$C:$X,2+$D58,0))+IF(AB$9="X",VLOOKUP(AB$10,'VK-Biokütused'!$C:$U,2+$E58,0))+IF(AB$5="X",VLOOKUP(AB$10,'VK-Põlevkivi'!$C:$X,2+$G58,0))+IF(AB$4="X",VLOOKUP(AB$10,'VK-Võrgud'!$C:$X,2+$F58,0)))</f>
        <v>1602</v>
      </c>
      <c r="AC58" s="228">
        <f>(IF(AC$7="X",VLOOKUP(AC$10,'VK-Hooned-Soojus'!$C:$X,2+$C58,FALSE),0)+IF(AC$6="X",VLOOKUP(AC$10,'VK-Transport'!$C:$X,2+$B58,0))+IF(AC$8="X",VLOOKUP(AC$10,'VK-Elekter'!$C:$X,2+$D58,0))+IF(AC$9="X",VLOOKUP(AC$10,'VK-Biokütused'!$C:$U,2+$E58,0))+IF(AC$5="X",VLOOKUP(AC$10,'VK-Põlevkivi'!$C:$X,2+$G58,0))+IF(AC$4="X",VLOOKUP(AC$10,'VK-Võrgud'!$C:$X,2+$F58,0)))</f>
        <v>2346</v>
      </c>
      <c r="AD58" s="228">
        <f>(IF(AD$7="X",VLOOKUP(AD$10,'VK-Hooned-Soojus'!$C:$X,2+$C58,FALSE),0)+IF(AD$6="X",VLOOKUP(AD$10,'VK-Transport'!$C:$X,2+$B58,0))+IF(AD$8="X",VLOOKUP(AD$10,'VK-Elekter'!$C:$X,2+$D58,0))+IF(AD$9="X",VLOOKUP(AD$10,'VK-Biokütused'!$C:$U,2+$E58,0))+IF(AD$5="X",VLOOKUP(AD$10,'VK-Põlevkivi'!$C:$X,2+$G58,0))+IF(AD$4="X",VLOOKUP(AD$10,'VK-Võrgud'!$C:$X,2+$F58,0)))</f>
        <v>586.20000000000005</v>
      </c>
      <c r="AE58" s="228">
        <f>(IF(AE$7="X",VLOOKUP(AE$10,'VK-Hooned-Soojus'!$C:$X,2+$C58,FALSE),0)+IF(AE$6="X",VLOOKUP(AE$10,'VK-Transport'!$C:$X,2+$B58,0))+IF(AE$8="X",VLOOKUP(AE$10,'VK-Elekter'!$C:$X,2+$D58,0))+IF(AE$9="X",VLOOKUP(AE$10,'VK-Biokütused'!$C:$U,2+$E58,0))+IF(AE$5="X",VLOOKUP(AE$10,'VK-Põlevkivi'!$C:$X,2+$G58,0))+IF(AE$4="X",VLOOKUP(AE$10,'VK-Võrgud'!$C:$X,2+$F58,0)))</f>
        <v>812</v>
      </c>
      <c r="AF58" s="228">
        <f>(IF(AF$7="X",VLOOKUP(AF$10,'VK-Hooned-Soojus'!$C:$X,2+$C58,FALSE),0)+IF(AF$6="X",VLOOKUP(AF$10,'VK-Transport'!$C:$X,2+$B58,0))+IF(AF$8="X",VLOOKUP(AF$10,'VK-Elekter'!$C:$X,2+$D58,0))+IF(AF$9="X",VLOOKUP(AF$10,'VK-Biokütused'!$C:$U,2+$E58,0))+IF(AF$5="X",VLOOKUP(AF$10,'VK-Põlevkivi'!$C:$X,2+$G58,0))+IF(AF$4="X",VLOOKUP(AF$10,'VK-Võrgud'!$C:$X,2+$F58,0)))</f>
        <v>1892.3823271229701</v>
      </c>
      <c r="AG58" s="209"/>
      <c r="AH58" s="209">
        <f>IF(AH$7="X",VLOOKUP(AH$10,'VK-Hooned-Soojus'!$C:$X,2+$C58,FALSE),0)+IF(AH$6="X",VLOOKUP(AH$10,'VK-Transport'!$C:$X,2+$B58,0))+IF(AH$8="X",VLOOKUP(AH$10,'VK-Elekter'!$C:$X,2+$D58,0))+IF(AH$9="X",VLOOKUP(AH$10,'VK-Biokütused'!$C:$U,2+$E58,0))+IF(AH$5="X",VLOOKUP(AH$10,'VK-Põlevkivi'!$C:$X,2+$G58,0))+IF(AH$4="X",VLOOKUP(AH$10,'VK-Võrgud'!$C:$X,2+$F58,0))</f>
        <v>11.629999999999999</v>
      </c>
      <c r="AI58" s="209">
        <f>IF(AI$7="X",VLOOKUP(AI$10,'VK-Hooned-Soojus'!$C:$X,2+$C58,FALSE),0)+IF(AI$6="X",VLOOKUP(AI$10,'VK-Transport'!$C:$X,2+$B58,0))+IF(AI$8="X",VLOOKUP(AI$10,'VK-Elekter'!$C:$X,2+$D58,0))+IF(AI$9="X",VLOOKUP(AI$10,'VK-Biokütused'!$C:$U,2+$E58,0))+IF(AI$5="X",VLOOKUP(AI$10,'VK-Põlevkivi'!$C:$X,2+$G58,0))+IF(AI$4="X",VLOOKUP(AI$10,'VK-Võrgud'!$C:$X,2+$F58,0))</f>
        <v>2.3100000000000005</v>
      </c>
      <c r="AJ58" s="209">
        <f>IF(AJ$7="X",VLOOKUP(AJ$10,'VK-Hooned-Soojus'!$C:$X,2+$C58,FALSE),0)+IF(AJ$6="X",VLOOKUP(AJ$10,'VK-Transport'!$C:$X,2+$B58,0))+IF(AJ$8="X",VLOOKUP(AJ$10,'VK-Elekter'!$C:$X,2+$D58,0))+IF(AJ$9="X",VLOOKUP(AJ$10,'VK-Biokütused'!$C:$U,2+$E58,0))+IF(AJ$5="X",VLOOKUP(AJ$10,'VK-Põlevkivi'!$C:$X,2+$G58,0))+IF(AJ$4="X",VLOOKUP(AJ$10,'VK-Võrgud'!$C:$X,2+$F58,0))</f>
        <v>9.24</v>
      </c>
      <c r="AK58" s="209">
        <f>IF(AK$7="X",VLOOKUP(AK$10,'VK-Hooned-Soojus'!$C:$X,2+$C58,FALSE),0)+IF(AK$6="X",VLOOKUP(AK$10,'VK-Transport'!$C:$X,2+$B58,0))+IF(AK$8="X",VLOOKUP(AK$10,'VK-Elekter'!$C:$X,2+$D58,0))+IF(AK$9="X",VLOOKUP(AK$10,'VK-Biokütused'!$C:$U,2+$E58,0))+IF(AK$5="X",VLOOKUP(AK$10,'VK-Põlevkivi'!$C:$X,2+$G58,0))+IF(AK$4="X",VLOOKUP(AK$10,'VK-Võrgud'!$C:$X,2+$F58,0))</f>
        <v>2.78</v>
      </c>
      <c r="AL58" s="209">
        <f>IF(AL$7="X",VLOOKUP(AL$10,'VK-Hooned-Soojus'!$C:$X,2+$C58,FALSE),0)+IF(AL$6="X",VLOOKUP(AL$10,'VK-Transport'!$C:$X,2+$B58,0))+IF(AL$8="X",VLOOKUP(AL$10,'VK-Elekter'!$C:$X,2+$D58,0))+IF(AL$9="X",VLOOKUP(AL$10,'VK-Biokütused'!$C:$U,2+$E58,0))+IF(AL$5="X",VLOOKUP(AL$10,'VK-Põlevkivi'!$C:$X,2+$G58,0))+IF(AL$4="X",VLOOKUP(AL$10,'VK-Võrgud'!$C:$X,2+$F58,0))</f>
        <v>7.1999999999999993</v>
      </c>
      <c r="AM58" s="209">
        <f>IF(AM$7="X",VLOOKUP(AM$10,'VK-Hooned-Soojus'!$C:$X,2+$C58,FALSE),0)+IF(AM$6="X",VLOOKUP(AM$10,'VK-Transport'!$C:$X,2+$B58,0))+IF(AM$8="X",VLOOKUP(AM$10,'VK-Elekter'!$C:$X,2+$D58,0))+IF(AM$9="X",VLOOKUP(AM$10,'VK-Biokütused'!$C:$U,2+$E58,0))+IF(AM$5="X",VLOOKUP(AM$10,'VK-Põlevkivi'!$C:$X,2+$G58,0))+IF(AM$4="X",VLOOKUP(AM$10,'VK-Võrgud'!$C:$X,2+$F58,0))</f>
        <v>12.9</v>
      </c>
      <c r="AN58" s="209">
        <f>IF(AN$7="X",VLOOKUP(AN$10,'VK-Hooned-Soojus'!$C:$X,2+$C58,FALSE),0)+IF(AN$6="X",VLOOKUP(AN$10,'VK-Transport'!$C:$X,2+$B58,0))+IF(AN$8="X",VLOOKUP(AN$10,'VK-Elekter'!$C:$X,2+$D58,0))+IF(AN$9="X",VLOOKUP(AN$10,'VK-Biokütused'!$C:$U,2+$E58,0))+IF(AN$5="X",VLOOKUP(AN$10,'VK-Põlevkivi'!$C:$X,2+$G58,0))+IF(AN$4="X",VLOOKUP(AN$10,'VK-Võrgud'!$C:$X,2+$F58,0))</f>
        <v>5.6999999999999993</v>
      </c>
      <c r="AO58" s="209">
        <f>IF(AO$7="X",VLOOKUP(AO$10,'VK-Hooned-Soojus'!$C:$X,2+$C58,FALSE),0)+IF(AO$6="X",VLOOKUP(AO$10,'VK-Transport'!$C:$X,2+$B58,0))+IF(AO$8="X",VLOOKUP(AO$10,'VK-Elekter'!$C:$X,2+$D58,0))+IF(AO$9="X",VLOOKUP(AO$10,'VK-Biokütused'!$C:$U,2+$E58,0))+IF(AO$5="X",VLOOKUP(AO$10,'VK-Põlevkivi'!$C:$X,2+$G58,0))+IF(AO$4="X",VLOOKUP(AO$10,'VK-Võrgud'!$C:$X,2+$F58,0))</f>
        <v>13.56</v>
      </c>
      <c r="AP58" s="209">
        <f>IF(AP$7="X",VLOOKUP(AP$10,'VK-Hooned-Soojus'!$C:$X,2+$C58,FALSE),0)+IF(AP$6="X",VLOOKUP(AP$10,'VK-Transport'!$C:$X,2+$B58,0))+IF(AP$8="X",VLOOKUP(AP$10,'VK-Elekter'!$C:$X,2+$D58,0))+IF(AP$9="X",VLOOKUP(AP$10,'VK-Biokütused'!$C:$U,2+$E58,0))+IF(AP$5="X",VLOOKUP(AP$10,'VK-Põlevkivi'!$C:$X,2+$G58,0))+IF(AP$4="X",VLOOKUP(AP$10,'VK-Võrgud'!$C:$X,2+$F58,0))</f>
        <v>6.78</v>
      </c>
      <c r="AQ58" s="320">
        <f t="shared" si="14"/>
        <v>1.2599999999999998</v>
      </c>
      <c r="AR58" s="209">
        <f>IF(AR$7="X",VLOOKUP(AR$10,'VK-Hooned-Soojus'!$C:$X,2+$C58,FALSE),0)+IF(AR$6="X",VLOOKUP(AR$10,'VK-Transport'!$C:$X,2+$B58,0))+IF(AR$8="X",VLOOKUP(AR$10,'VK-Elekter'!$C:$X,2+$D58,0))+IF(AR$9="X",VLOOKUP(AR$10,'VK-Biokütused'!$C:$U,2+$E58,0))+IF(AR$5="X",VLOOKUP(AR$10,'VK-Põlevkivi'!$C:$X,2+$G58,0))+IF(AR$4="X",VLOOKUP(AR$10,'VK-Võrgud'!$C:$X,2+$F58,0))</f>
        <v>3.4899999999999998</v>
      </c>
      <c r="AS58" s="320">
        <f>VLOOKUP("Kütuste tarbimine @ 2030 - UTTEGAAS",'VK-Hooned-Soojus'!$C:$X,2+$C58,FALSE)/0.172+VLOOKUP("Kütuste tarbimine @ 2030 - UTTEGAAS",'VK-Elekter'!$C:$X,2+$D58,FALSE)/0.172-AR58-AU58</f>
        <v>2.7565116279069759</v>
      </c>
      <c r="AT58" s="209">
        <f>IF(AT$7="X",VLOOKUP(AT$10,'VK-Hooned-Soojus'!$C:$X,2+$C58,FALSE),0)+IF(AT$6="X",VLOOKUP(AT$10,'VK-Transport'!$C:$X,2+$B58,0))+IF(AT$8="X",VLOOKUP(AT$10,'VK-Elekter'!$C:$X,2+$D58,0))+IF(AT$9="X",VLOOKUP(AT$10,'VK-Biokütused'!$C:$U,2+$E58,0))+IF(AT$5="X",VLOOKUP(AT$10,'VK-Põlevkivi'!$C:$X,2+$G58,0))+IF(AT$4="X",VLOOKUP(AT$10,'VK-Võrgud'!$C:$X,2+$F58,0))</f>
        <v>9.2784458909544707</v>
      </c>
      <c r="AU58" s="229">
        <f>MAX(0,(VLOOKUP("Kütuste tarbimine @ 2030 - UTTEGAAS",'VK-Hooned-Soojus'!$C:$X,2+$C58,FALSE)/0.172+VLOOKUP("Kütuste tarbimine @ 2030 - UTTEGAAS",'VK-Elekter'!$C:$X,2+$D58,FALSE)/0.172)*0.52-VLOOKUP("Kütuste tarbimine @ 2030 - PÕLEVKIVIÕLI",'VK-Hooned-Soojus'!$C:$X,2+$C58,FALSE))</f>
        <v>4.6837209302325586</v>
      </c>
      <c r="AV58" s="209">
        <f>IF(AV$7="X",VLOOKUP(AV$10,'VK-Hooned-Soojus'!$C:$X,2+$C58,FALSE),0)+IF(AV$6="X",VLOOKUP(AV$10,'VK-Transport'!$C:$X,2+$B58,0))+IF(AV$8="X",VLOOKUP(AV$10,'VK-Elekter'!$C:$X,2+$D58,0))+IF(AV$9="X",VLOOKUP(AV$10,'VK-Biokütused'!$C:$U,2+$E58,0))+IF(AV$5="X",VLOOKUP(AV$10,'VK-Põlevkivi'!$C:$X,2+$G58,0))+IF(AV$4="X",VLOOKUP(AV$10,'VK-Võrgud'!$C:$X,2+$F58,0))</f>
        <v>1.7257321590343366</v>
      </c>
      <c r="AW58" s="209">
        <f>IF(AW$7="X",VLOOKUP(AW$10,'VK-Hooned-Soojus'!$C:$X,2+$C58,FALSE),0)+IF(AW$6="X",VLOOKUP(AW$10,'VK-Transport'!$C:$X,2+$B58,0))+IF(AW$8="X",VLOOKUP(AW$10,'VK-Elekter'!$C:$X,2+$D58,0))+IF(AW$9="X",VLOOKUP(AW$10,'VK-Biokütused'!$C:$U,2+$E58,0))+IF(AW$5="X",VLOOKUP(AW$10,'VK-Põlevkivi'!$C:$X,2+$G58,0))+IF(AW$4="X",VLOOKUP(AW$10,'VK-Võrgud'!$C:$X,2+$F58,0))</f>
        <v>4.2799999999999994</v>
      </c>
      <c r="AX58" s="229">
        <f t="shared" si="34"/>
        <v>2.5542678409656627</v>
      </c>
      <c r="AY58" s="229">
        <f t="shared" si="15"/>
        <v>0</v>
      </c>
      <c r="AZ58" s="230">
        <f t="shared" si="36"/>
        <v>0.55868064335519341</v>
      </c>
      <c r="BA58" s="209">
        <f>IF(BA$7="X",VLOOKUP(BA$10,'VK-Hooned-Soojus'!$C:$X,2+$C58,FALSE),0)+IF(BA$6="X",VLOOKUP(BA$10,'VK-Transport'!$C:$X,2+$B58,0))+IF(BA$8="X",VLOOKUP(BA$10,'VK-Elekter'!$C:$X,2+$D58,0))+IF(BA$9="X",VLOOKUP(BA$10,'VK-Biokütused'!$C:$U,2+$E58,0))+IF(BA$5="X",VLOOKUP(BA$10,'VK-Põlevkivi'!$C:$X,2+$G58,0))+IF(BA$4="X",VLOOKUP(BA$10,'VK-Võrgud'!$C:$X,2+$F58,0))</f>
        <v>4.25</v>
      </c>
      <c r="BB58" s="209">
        <f>IF(BB$7="X",VLOOKUP(BB$10,'VK-Hooned-Soojus'!$C:$X,2+$C58,FALSE),0)+IF(BB$6="X",VLOOKUP(BB$10,'VK-Transport'!$C:$X,2+$B58,0))+IF(BB$8="X",VLOOKUP(BB$10,'VK-Elekter'!$C:$X,2+$D58,0))+IF(BB$9="X",VLOOKUP(BB$10,'VK-Biokütused'!$C:$U,2+$E58,0))+IF(BB$5="X",VLOOKUP(BB$10,'VK-Põlevkivi'!$C:$X,2+$G58,0))+IF(BB$4="X",VLOOKUP(BB$10,'VK-Võrgud'!$C:$X,2+$F58,0))</f>
        <v>2.93</v>
      </c>
      <c r="BC58" s="209">
        <f>IF(BC$7="X",VLOOKUP(BC$10,'VK-Hooned-Soojus'!$C:$X,2+$C58,FALSE),0)+IF(BC$6="X",VLOOKUP(BC$10,'VK-Transport'!$C:$X,2+$B58,0))+IF(BC$8="X",VLOOKUP(BC$10,'VK-Elekter'!$C:$X,2+$D58,0))+IF(BC$9="X",VLOOKUP(BC$10,'VK-Biokütused'!$C:$U,2+$E58,0))+IF(BC$5="X",VLOOKUP(BC$10,'VK-Põlevkivi'!$C:$X,2+$G58,0))+IF(BC$4="X",VLOOKUP(BC$10,'VK-Võrgud'!$C:$X,2+$F58,0))</f>
        <v>8.0523611111111126</v>
      </c>
      <c r="BD58" s="209">
        <f>IF(BD$7="X",VLOOKUP(BD$10,'VK-Hooned-Soojus'!$C:$X,2+$C58,FALSE),0)+IF(BD$6="X",VLOOKUP(BD$10,'VK-Transport'!$C:$X,2+$B58,0))+IF(BD$8="X",VLOOKUP(BD$10,'VK-Elekter'!$C:$X,2+$D58,0))+IF(BD$9="X",VLOOKUP(BD$10,'VK-Biokütused'!$C:$U,2+$E58,0))+IF(BD$5="X",VLOOKUP(BD$10,'VK-Põlevkivi'!$C:$X,2+$G58,0))+IF(BD$4="X",VLOOKUP(BD$10,'VK-Võrgud'!$C:$X,2+$F58,0))</f>
        <v>10.42138888888889</v>
      </c>
      <c r="BE58" s="230"/>
      <c r="BF58" s="229">
        <f t="shared" si="16"/>
        <v>0.3348261179971409</v>
      </c>
      <c r="BG58" s="209" t="e">
        <f>(IF(BG$7="X",VLOOKUP(BG$10,'VK-Hooned-Soojus'!$C:$X,2+$C58,FALSE),0)+IF(BG$6="X",VLOOKUP(BG$10,'VK-Transport'!$C:$X,2+$B58,0))+IF(BG$8="X",VLOOKUP(BG$10,'VK-Elekter'!$C:$X,2+$D58,0))+IF(BG$9="X",VLOOKUP(BG$10,'VK-Biokütused'!$C:$U,2+$E58,0))+IF(BG$5="X",VLOOKUP(BG$10,'VK-Põlevkivi'!$C:$X,2+$G58,0))+IF(BG$4="X",VLOOKUP(BG$10,'VK-Võrgud'!$C:$X,2+$F58,0)))/20</f>
        <v>#N/A</v>
      </c>
      <c r="BH58" s="209">
        <f>(IF(BH$7="X",VLOOKUP(BH$10,'VK-Hooned-Soojus'!$C:$X,2+$C58,FALSE),0)+IF(BH$6="X",VLOOKUP(BH$10,'VK-Transport'!$C:$X,2+$B58,0))+IF(BH$8="X",VLOOKUP(BH$10,'VK-Elekter'!$C:$X,2+$D58,0))+IF(BH$9="X",VLOOKUP(BH$10,'VK-Biokütused'!$C:$U,2+$E58,0))+IF(BH$5="X",VLOOKUP(BH$10,'VK-Põlevkivi'!$C:$X,2+$G58,0))+IF(BH$4="X",VLOOKUP(BH$10,'VK-Võrgud'!$C:$X,2+$F58,0)))/20</f>
        <v>13.99</v>
      </c>
      <c r="BI58" s="209">
        <f>(IF(BI$7="X",VLOOKUP(BI$10,'VK-Hooned-Soojus'!$C:$X,2+$C58,FALSE),0)+IF(BI$6="X",VLOOKUP(BI$10,'VK-Transport'!$C:$X,2+$B58,0))+IF(BI$8="X",VLOOKUP(BI$10,'VK-Elekter'!$C:$X,2+$D58,0))+IF(BI$9="X",VLOOKUP(BI$10,'VK-Biokütused'!$C:$U,2+$E58,0))+IF(BI$5="X",VLOOKUP(BI$10,'VK-Põlevkivi'!$C:$X,2+$G58,0))+IF(BI$4="X",VLOOKUP(BI$10,'VK-Võrgud'!$C:$X,2+$F58,0)))/16</f>
        <v>17.75</v>
      </c>
      <c r="BJ58" s="209">
        <f>(IF(BJ$7="X",VLOOKUP(BJ$10,'VK-Hooned-Soojus'!$C:$X,2+$C58,FALSE),0)+IF(BJ$6="X",VLOOKUP(BJ$10,'VK-Transport'!$C:$X,2+$B58,0))+IF(BJ$8="X",VLOOKUP(BJ$10,'VK-Elekter'!$C:$X,2+$D58,0))+IF(BJ$9="X",VLOOKUP(BJ$10,'VK-Biokütused'!$C:$U,2+$E58,0))+IF(BJ$5="X",VLOOKUP(BJ$10,'VK-Põlevkivi'!$C:$X,2+$G58,0))+IF(BJ$4="X",VLOOKUP(BJ$10,'VK-Võrgud'!$C:$X,2+$F58,0)))/20</f>
        <v>1.85</v>
      </c>
      <c r="BK58" s="209"/>
      <c r="BL58" s="209"/>
      <c r="BM58" s="209"/>
      <c r="BN58" s="209" t="e">
        <f>(IF(BN$7="X",VLOOKUP(BN$10,'VK-Hooned-Soojus'!$C:$X,2+$C58,FALSE),0)+IF(BN$6="X",VLOOKUP(BN$10,'VK-Transport'!$C:$X,2+$B58,0))+IF(BN$8="X",VLOOKUP(BN$10,'VK-Elekter'!$C:$X,2+$D58,0))+IF(BN$9="X",VLOOKUP(BN$10,'VK-Biokütused'!$C:$U,2+$E58,0))+IF(BN$5="X",VLOOKUP(BN$10,'VK-Põlevkivi'!$C:$X,2+$G58,0))+IF(BN$4="X",VLOOKUP(BN$10,'VK-Võrgud'!$C:$X,2+$F58,0)))/16</f>
        <v>#N/A</v>
      </c>
      <c r="BO58" s="209">
        <f>(IF(BO$7="X",VLOOKUP(BO$10,'VK-Hooned-Soojus'!$C:$X,2+$C58,FALSE),0)+IF(BO$6="X",VLOOKUP(BO$10,'VK-Transport'!$C:$X,2+$B58,0))+IF(BO$8="X",VLOOKUP(BO$10,'VK-Elekter'!$C:$X,2+$D58,0))+IF(BO$9="X",VLOOKUP(BO$10,'VK-Biokütused'!$C:$U,2+$E58,0))+IF(BO$5="X",VLOOKUP(BO$10,'VK-Põlevkivi'!$C:$X,2+$G58,0))+IF(BO$4="X",VLOOKUP(BO$10,'VK-Võrgud'!$C:$X,2+$F58,0)))/16</f>
        <v>405.45</v>
      </c>
      <c r="BP58" s="209"/>
      <c r="BQ58" s="209">
        <f>(IF(BQ$7="X",VLOOKUP(BQ$10,'VK-Hooned-Soojus'!$C:$X,2+$C58,FALSE),0)+IF(BQ$6="X",VLOOKUP(BQ$10,'VK-Transport'!$C:$X,2+$B58,0))+IF(BQ$8="X",VLOOKUP(BQ$10,'VK-Elekter'!$C:$X,2+$D58,0))+IF(BQ$9="X",VLOOKUP(BQ$10,'VK-Biokütused'!$C:$U,2+$E58,0))+IF(BQ$5="X",VLOOKUP(BQ$10,'VK-Põlevkivi'!$C:$X,2+$G58,0))+IF(BQ$4="X",VLOOKUP(BQ$10,'VK-Võrgud'!$C:$X,2+$F58,0)))/16</f>
        <v>127.6</v>
      </c>
      <c r="BR58" s="209">
        <f>(IF(BR$7="X",VLOOKUP(BR$10,'VK-Hooned-Soojus'!$C:$X,2+$C58,FALSE),0)+IF(BR$6="X",VLOOKUP(BR$10,'VK-Transport'!$C:$X,2+$B58,0))+IF(BR$8="X",VLOOKUP(BR$10,'VK-Elekter'!$C:$X,2+$D58,0))+IF(BR$9="X",VLOOKUP(BR$10,'VK-Biokütused'!$C:$U,2+$E58,0))+IF(BR$5="X",VLOOKUP(BR$10,'VK-Põlevkivi'!$C:$X,2+$G58,0))+IF(BR$4="X",VLOOKUP(BR$10,'VK-Võrgud'!$C:$X,2+$F58,0)))/16</f>
        <v>27.475000000000001</v>
      </c>
      <c r="BS58" s="209">
        <f>(IF(BS$7="X",VLOOKUP(BS$10,'VK-Hooned-Soojus'!$C:$X,2+$C58,FALSE),0)+IF(BS$6="X",VLOOKUP(BS$10,'VK-Transport'!$C:$X,2+$B58,0))+IF(BS$8="X",VLOOKUP(BS$10,'VK-Elekter'!$C:$X,2+$D58,0))+IF(BS$9="X",VLOOKUP(BS$10,'VK-Biokütused'!$C:$U,2+$E58,0))+IF(BS$5="X",VLOOKUP(BS$10,'VK-Põlevkivi'!$C:$X,2+$G58,0))+IF(BS$4="X",VLOOKUP(BS$10,'VK-Võrgud'!$C:$X,2+$F58,0)))/16</f>
        <v>-23.293749999999999</v>
      </c>
      <c r="BT58" s="209"/>
      <c r="BU58" s="209"/>
      <c r="BV58" s="209">
        <f>(IF(BV$7="X",VLOOKUP(BV$10,'VK-Hooned-Soojus'!$C:$X,2+$C58,FALSE),0)+IF(BV$6="X",VLOOKUP(BV$10,'VK-Transport'!$C:$X,2+$B58,0))+IF(BV$8="X",VLOOKUP(BV$10,'VK-Elekter'!$C:$X,2+$D58,0))+IF(BV$9="X",VLOOKUP(BV$10,'VK-Biokütused'!$C:$U,2+$E58,0))+IF(BV$5="X",VLOOKUP(BV$10,'VK-Põlevkivi'!$C:$X,2+$G58,0))+IF(BV$4="X",VLOOKUP(BV$10,'VK-Võrgud'!$C:$X,2+$F58,0)))/16</f>
        <v>0</v>
      </c>
      <c r="BW58" s="209"/>
      <c r="BX58" s="209">
        <f>(IF(BX$7="X",VLOOKUP(BX$10,'VK-Hooned-Soojus'!$C:$X,2+$C58,FALSE),0)+IF(BX$6="X",VLOOKUP(BX$10,'VK-Transport'!$C:$X,2+$B58,0))+IF(BX$8="X",VLOOKUP(BX$10,'VK-Elekter'!$C:$X,2+$D58,0))+IF(BX$9="X",VLOOKUP(BX$10,'VK-Biokütused'!$C:$U,2+$E58,0))+IF(BX$5="X",VLOOKUP(BX$10,'VK-Põlevkivi'!$C:$X,2+$G58,0))+IF(BX$4="X",VLOOKUP(BX$10,'VK-Võrgud'!$C:$X,2+$F58,0)))/16</f>
        <v>-99.6875</v>
      </c>
      <c r="BY58" s="209"/>
      <c r="BZ58" s="209"/>
      <c r="CA58" s="209" t="e">
        <f>(IF(CA$7="X",VLOOKUP(CA$10,'VK-Hooned-Soojus'!$C:$X,2+$C58,FALSE),0)+IF(CA$6="X",VLOOKUP(CA$10,'VK-Transport'!$C:$X,2+$B58,0))+IF(CA$8="X",VLOOKUP(CA$10,'VK-Elekter'!$C:$X,2+$D58,0))+IF(CA$9="X",VLOOKUP(CA$10,'VK-Biokütused'!$C:$U,2+$E58,0))+IF(CA$5="X",VLOOKUP(CA$10,'VK-Põlevkivi'!$C:$X,2+$G58,0))+IF(CA$4="X",VLOOKUP(CA$10,'VK-Võrgud'!$C:$X,2+$F58,0)))/16</f>
        <v>#N/A</v>
      </c>
      <c r="CB58" s="209">
        <f>(IF(CB$7="X",VLOOKUP(CB$10,'VK-Hooned-Soojus'!$C:$X,2+$C58,FALSE),0)+IF(CB$6="X",VLOOKUP(CB$10,'VK-Transport'!$C:$X,2+$B58,0))+IF(CB$8="X",VLOOKUP(CB$10,'VK-Elekter'!$C:$X,2+$D58,0))+IF(CB$9="X",VLOOKUP(CB$10,'VK-Biokütused'!$C:$U,2+$E58,0))+IF(CB$5="X",VLOOKUP(CB$10,'VK-Põlevkivi'!$C:$X,2+$G58,0))+IF(CB$4="X",VLOOKUP(CB$10,'VK-Võrgud'!$C:$X,2+$F58,0)))/16</f>
        <v>0</v>
      </c>
      <c r="CC58" s="209">
        <f>(IF(CC$7="X",VLOOKUP(CC$10,'VK-Hooned-Soojus'!$C:$X,2+$C58,FALSE),0)+IF(CC$6="X",VLOOKUP(CC$10,'VK-Transport'!$C:$X,2+$B58,0))+IF(CC$8="X",VLOOKUP(CC$10,'VK-Elekter'!$C:$X,2+$D58,0))+IF(CC$9="X",VLOOKUP(CC$10,'VK-Biokütused'!$C:$U,2+$E58,0))+IF(CC$5="X",VLOOKUP(CC$10,'VK-Põlevkivi'!$C:$X,2+$G58,0))+IF(CC$4="X",VLOOKUP(CC$10,'VK-Võrgud'!$C:$X,2+$F58,0)))/16</f>
        <v>0</v>
      </c>
      <c r="CD58" s="209"/>
      <c r="CE58" s="209">
        <f>(IF(CE$7="X",VLOOKUP(CE$10,'VK-Hooned-Soojus'!$C:$X,2+$C58,FALSE),0)+IF(CE$6="X",VLOOKUP(CE$10,'VK-Transport'!$C:$X,2+$B58,0))+IF(CE$8="X",VLOOKUP(CE$10,'VK-Elekter'!$C:$X,2+$D58,0))+IF(CE$9="X",VLOOKUP(CE$10,'VK-Biokütused'!$C:$U,2+$E58,0))+IF(CE$5="X",VLOOKUP(CE$10,'VK-Põlevkivi'!$C:$X,2+$G58,0))+IF(CE$4="X",VLOOKUP(CE$10,'VK-Võrgud'!$C:$X,2+$F58,0)))/16</f>
        <v>24.15625</v>
      </c>
      <c r="CF58" s="209"/>
      <c r="CG58" s="209">
        <f>(IF(CG$7="X",VLOOKUP(CG$10,'VK-Hooned-Soojus'!$C:$X,2+$C58,FALSE),0)+IF(CG$6="X",VLOOKUP(CG$10,'VK-Transport'!$C:$X,2+$B58,0))+IF(CG$8="X",VLOOKUP(CG$10,'VK-Elekter'!$C:$X,2+$D58,0))+IF(CG$9="X",VLOOKUP(CG$10,'VK-Biokütused'!$C:$U,2+$E58,0))+IF(CG$5="X",VLOOKUP(CG$10,'VK-Põlevkivi'!$C:$X,2+$G58,0))+IF(CG$4="X",VLOOKUP(CG$10,'VK-Võrgud'!$C:$X,2+$F58,0)))/16</f>
        <v>0</v>
      </c>
      <c r="CH58" s="209">
        <f>(IF(CH$7="X",VLOOKUP(CH$10,'VK-Hooned-Soojus'!$C:$X,2+$C58,FALSE),0)+IF(CH$6="X",VLOOKUP(CH$10,'VK-Transport'!$C:$X,2+$B58,0))+IF(CH$8="X",VLOOKUP(CH$10,'VK-Elekter'!$C:$X,2+$D58,0))+IF(CH$9="X",VLOOKUP(CH$10,'VK-Biokütused'!$C:$U,2+$E58,0))+IF(CH$5="X",VLOOKUP(CH$10,'VK-Põlevkivi'!$C:$X,2+$G58,0))+IF(CH$4="X",VLOOKUP(CH$10,'VK-Võrgud'!$C:$X,2+$F58,0)))/20*0.21</f>
        <v>5.6122500000000004</v>
      </c>
      <c r="CI58" s="209"/>
      <c r="CJ58" s="209">
        <f>(IF(CJ$7="X",VLOOKUP(CJ$10,'VK-Hooned-Soojus'!$C:$X,2+$C58,FALSE),0)+IF(CJ$6="X",VLOOKUP(CJ$10,'VK-Transport'!$C:$X,2+$B58,0))+IF(CJ$8="X",VLOOKUP(CJ$10,'VK-Elekter'!$C:$X,2+$D58,0))+IF(CJ$9="X",VLOOKUP(CJ$10,'VK-Biokütused'!$C:$U,2+$E58,0))+IF(CJ$5="X",VLOOKUP(CJ$10,'VK-Põlevkivi'!$C:$X,2+$G58,0))+IF(CJ$4="X",VLOOKUP(CJ$10,'VK-Võrgud'!$C:$X,2+$F58,0)))/1000</f>
        <v>19.097999999999999</v>
      </c>
      <c r="CK58" s="209">
        <f>(IF(CK$7="X",VLOOKUP(CK$10,'VK-Hooned-Soojus'!$C:$X,2+$C58,FALSE),0)+IF(CK$6="X",VLOOKUP(CK$10,'VK-Transport'!$C:$X,2+$B58,0))+IF(CK$8="X",VLOOKUP(CK$10,'VK-Elekter'!$C:$X,2+$D58,0))+IF(CK$9="X",VLOOKUP(CK$10,'VK-Biokütused'!$C:$U,2+$E58,0))+IF(CK$5="X",VLOOKUP(CK$10,'VK-Põlevkivi'!$C:$X,2+$G58,0))+IF(CK$4="X",VLOOKUP(CK$10,'VK-Võrgud'!$C:$X,2+$F58,0)))/1000</f>
        <v>12.80574320999272</v>
      </c>
      <c r="CL58" s="235">
        <f>(IF(CL$7="X",VLOOKUP(CL$10,'VK-Hooned-Soojus'!$C:$X,2+$C58,FALSE),0)+IF(CL$6="X",VLOOKUP(CL$10,'VK-Transport'!$C:$X,2+$B58,0))+IF(CL$8="X",VLOOKUP(CL$10,'VK-Elekter'!$C:$X,2+$D58,0))+IF(CL$9="X",VLOOKUP(CL$10,'VK-Biokütused'!$C:$U,2+$E58,0)))/1000</f>
        <v>8.8322895597237885</v>
      </c>
      <c r="CM58" s="209">
        <f>(IF(CM$7="X",VLOOKUP(CM$10,'VK-Hooned-Soojus'!$C:$X,2+$C58,FALSE),0)+IF(CM$6="X",VLOOKUP(CM$10,'VK-Transport'!$C:$X,2+$B58,0))+IF(CM$8="X",VLOOKUP(CM$10,'VK-Elekter'!$C:$X,2+$D58,0))+IF(CM$9="X",VLOOKUP(CM$10,'VK-Biokütused'!$C:$U,2+$E58,0))+IF(CM$5="X",VLOOKUP(CM$10,'VK-Põlevkivi'!$C:$X,2+$G58,0))+IF(CM$4="X",VLOOKUP(CM$10,'VK-Võrgud'!$C:$X,2+$F58,0)))/1000</f>
        <v>8.532</v>
      </c>
      <c r="CN58" s="209">
        <f>(IF(CN$7="X",VLOOKUP(CN$10,'VK-Hooned-Soojus'!$C:$X,2+$C58,FALSE),0)+IF(CN$6="X",VLOOKUP(CN$10,'VK-Transport'!$C:$X,2+$B58,0))+IF(CN$8="X",VLOOKUP(CN$10,'VK-Elekter'!$C:$X,2+$D58,0))+IF(CN$9="X",VLOOKUP(CN$10,'VK-Biokütused'!$C:$U,2+$E58,0))+IF(CN$5="X",VLOOKUP(CN$10,'VK-Põlevkivi'!$C:$X,2+$G58,0))+IF(CN$4="X",VLOOKUP(CN$10,'VK-Võrgud'!$C:$X,2+$F58,0)))/1000</f>
        <v>3.1680000000000001</v>
      </c>
      <c r="CO58" s="209">
        <f>(IF(CO$7="X",VLOOKUP(CO$10,'VK-Hooned-Soojus'!$C:$X,2+$C58,FALSE),0)+IF(CO$6="X",VLOOKUP(CO$10,'VK-Transport'!$C:$X,2+$B58,0))+IF(CO$8="X",VLOOKUP(CO$10,'VK-Elekter'!$C:$X,2+$D58,0))+IF(CO$9="X",VLOOKUP(CO$10,'VK-Biokütused'!$C:$U,2+$E58,0))+IF(CO$5="X",VLOOKUP(CO$10,'VK-Põlevkivi'!$C:$X,2+$G58,0))+IF(CO$4="X",VLOOKUP(CO$10,'VK-Võrgud'!$C:$X,2+$F58,0)))/1000</f>
        <v>24.38157521079728</v>
      </c>
      <c r="CP58" s="209">
        <f>(IF(CP$7="X",VLOOKUP(CP$10,'VK-Hooned-Soojus'!$C:$X,2+$C58,FALSE),0)+IF(CP$6="X",VLOOKUP(CP$10,'VK-Transport'!$C:$X,2+$B58,0))+IF(CP$8="X",VLOOKUP(CP$10,'VK-Elekter'!$C:$X,2+$D58,0))+IF(CP$9="X",VLOOKUP(CP$10,'VK-Biokütused'!$C:$U,2+$E58,0))+IF(CP$5="X",VLOOKUP(CP$10,'VK-Põlevkivi'!$C:$X,2+$G58,0))+IF(CP$4="X",VLOOKUP(CP$10,'VK-Võrgud'!$C:$X,2+$F58,0)))/1000</f>
        <v>13.823994830349823</v>
      </c>
      <c r="CQ58" s="235">
        <f>(IF(CQ$7="X",VLOOKUP(CQ$10,'VK-Hooned-Soojus'!$C:$X,2+$C58,FALSE),0)+IF(CQ$6="X",VLOOKUP(CQ$10,'VK-Transport'!$C:$X,2+$B58,0))+IF(CQ$8="X",VLOOKUP(CQ$10,'VK-Elekter'!$C:$X,2+$D58,0))+IF(CQ$9="X",VLOOKUP(CQ$10,'VK-Biokütused'!$C:$U,2+$E58,0)))/1000</f>
        <v>10.828346</v>
      </c>
      <c r="CR58" s="209">
        <f>(IF(CR$7="X",VLOOKUP(CR$10,'VK-Hooned-Soojus'!$C:$X,2+$C58,FALSE),0)+IF(CR$6="X",VLOOKUP(CR$10,'VK-Transport'!$C:$X,2+$B58,0))+IF(CR$8="X",VLOOKUP(CR$10,'VK-Elekter'!$C:$X,2+$D58,0))+IF(CR$9="X",VLOOKUP(CR$10,'VK-Biokütused'!$C:$U,2+$E58,0))+IF(CR$5="X",VLOOKUP(CR$10,'VK-Põlevkivi'!$C:$X,2+$G58,0))+IF(CR$4="X",VLOOKUP(CR$10,'VK-Võrgud'!$C:$X,2+$F58,0)))/1000</f>
        <v>8.0810872784575754</v>
      </c>
      <c r="CS58" s="209">
        <f>(IF(CS$7="X",VLOOKUP(CS$10,'VK-Hooned-Soojus'!$C:$X,2+$C58,FALSE),0)+IF(CS$6="X",VLOOKUP(CS$10,'VK-Transport'!$C:$X,2+$B58,0))+IF(CS$8="X",VLOOKUP(CS$10,'VK-Elekter'!$C:$X,2+$D58,0))+IF(CS$9="X",VLOOKUP(CS$10,'VK-Biokütused'!$C:$U,2+$E58,0))+IF(CS$5="X",VLOOKUP(CS$10,'VK-Põlevkivi'!$C:$X,2+$G58,0))+IF(CS$4="X",VLOOKUP(CS$10,'VK-Võrgud'!$C:$X,2+$F58,0)))/1000</f>
        <v>3.8643344900598322</v>
      </c>
      <c r="CT58" s="209">
        <f>IF(CT$7="X",VLOOKUP(CT$10,'VK-Hooned-Soojus'!$C:$X,2+$C58,FALSE),0)+IF(CT$6="X",VLOOKUP(CT$10,'VK-Transport'!$C:$X,2+$B58,0))+IF(CT$8="X",VLOOKUP(CT$10,'VK-Elekter'!$C:$X,2+$D58,0))+IF(CT$9="X",VLOOKUP(CT$10,'VK-Biokütused'!$C:$U,2+$E58,0))+IF(CT$5="X",VLOOKUP(CT$10,'VK-Põlevkivi'!$C:$X,2+$G58,0))+IF(CT$4="X",VLOOKUP(CT$10,'VK-Võrgud'!$C:$X,2+$F58,0))</f>
        <v>90</v>
      </c>
      <c r="CU58" s="209">
        <f>IF(CU$7="X",VLOOKUP(CU$10,'VK-Hooned-Soojus'!$C:$X,2+$C58,FALSE),0)+IF(CU$6="X",VLOOKUP(CU$10,'VK-Transport'!$C:$X,2+$B58,0))+IF(CU$8="X",VLOOKUP(CU$10,'VK-Elekter'!$C:$X,2+$D58,0))+IF(CU$9="X",VLOOKUP(CU$10,'VK-Biokütused'!$C:$U,2+$E58,0))+IF(CU$5="X",VLOOKUP(CU$10,'VK-Põlevkivi'!$C:$X,2+$G58,0))+IF(CU$4="X",VLOOKUP(CU$10,'VK-Võrgud'!$C:$X,2+$F58,0))</f>
        <v>0.72088353413654627</v>
      </c>
      <c r="CV58" s="209">
        <f t="shared" si="37"/>
        <v>0.84317482403548605</v>
      </c>
      <c r="CW58" s="209">
        <f>(IF(CW$7="X",VLOOKUP(CW$10,'VK-Hooned-Soojus'!$C:$X,2+$C58,FALSE),0)+IF(CW$6="X",VLOOKUP(CW$10,'VK-Transport'!$C:$X,2+$B58,0))+IF(CW$8="X",VLOOKUP(CW$10,'VK-Elekter'!$C:$X,2+$D58,0))+IF(CW$9="X",VLOOKUP(CW$10,'VK-Biokütused'!$C:$U,2+$E58,0))+IF(CW$5="X",VLOOKUP(CW$10,'VK-Põlevkivi'!$C:$X,2+$G58,0))+IF(CW$4="X",VLOOKUP(CW$10,'VK-Võrgud'!$C:$X,2+$F58,0)))/16</f>
        <v>126.01875</v>
      </c>
      <c r="CY58" s="209">
        <f>(IF(CY$7="X",VLOOKUP(CY$10,'VK-Hooned-Soojus'!$C:$X,2+$C58,FALSE),0)+IF(CY$6="X",VLOOKUP(CY$10,'VK-Transport'!$C:$X,2+$B58,0))+IF(CY$8="X",VLOOKUP(CY$10,'VK-Elekter'!$C:$X,2+$D58,0))+IF(CY$9="X",VLOOKUP(CY$10,'VK-Biokütused'!$C:$U,2+$E58,0))+IF(CY$5="X",VLOOKUP(CY$10,'VK-Põlevkivi'!$C:$X,2+$G58,0))+IF(CY$4="X",VLOOKUP(CY$10,'VK-Võrgud'!$C:$X,2+$F58,0)))/1000</f>
        <v>11.217000000000001</v>
      </c>
      <c r="CZ58" s="209">
        <f>(IF(CZ$7="X",VLOOKUP(CZ$10,'VK-Hooned-Soojus'!$C:$X,2+$C58,FALSE),0)+IF(CZ$6="X",VLOOKUP(CZ$10,'VK-Transport'!$C:$X,2+$B58,0))+IF(CZ$8="X",VLOOKUP(CZ$10,'VK-Elekter'!$C:$X,2+$D58,0))+IF(CZ$9="X",VLOOKUP(CZ$10,'VK-Biokütused'!$C:$U,2+$E58,0))+IF(CZ$5="X",VLOOKUP(CZ$10,'VK-Põlevkivi'!$C:$X,2+$G58,0))+IF(CZ$4="X",VLOOKUP(CZ$10,'VK-Võrgud'!$C:$X,2+$F58,0)))</f>
        <v>75</v>
      </c>
      <c r="DA58" s="209">
        <f>(IF(DA$7="X",VLOOKUP(DA$10,'VK-Hooned-Soojus'!$C:$X,2+$C58,FALSE),0)+IF(DA$6="X",VLOOKUP(DA$10,'VK-Transport'!$C:$X,2+$B58,0))+IF(DA$8="X",VLOOKUP(DA$10,'VK-Elekter'!$C:$X,2+$D58,0))+IF(DA$9="X",VLOOKUP(DA$10,'VK-Biokütused'!$C:$U,2+$E58,0))+IF(DA$5="X",VLOOKUP(DA$10,'VK-Põlevkivi'!$C:$X,2+$G58,0))+IF(DA$4="X",VLOOKUP(DA$10,'VK-Võrgud'!$C:$X,2+$F58,0)))/1000</f>
        <v>15.212</v>
      </c>
      <c r="DB58" s="209">
        <f>(IF(DB$7="X",VLOOKUP(DB$10,'VK-Hooned-Soojus'!$C:$X,2+$C58,FALSE),0)+IF(DB$6="X",VLOOKUP(DB$10,'VK-Transport'!$C:$X,2+$B58,0))+IF(DB$8="X",VLOOKUP(DB$10,'VK-Elekter'!$C:$X,2+$D58,0))+IF(DB$9="X",VLOOKUP(DB$10,'VK-Biokütused'!$C:$U,2+$E58,0))+IF(DB$5="X",VLOOKUP(DB$10,'VK-Põlevkivi'!$C:$X,2+$G58,0))+IF(DB$4="X",VLOOKUP(DB$10,'VK-Võrgud'!$C:$X,2+$F58,0)))/1000/3.6</f>
        <v>67.354444444444439</v>
      </c>
      <c r="DC58" s="209">
        <f>(IF(DC$7="X",VLOOKUP(DC$10,'VK-Hooned-Soojus'!$C:$X,2+$C58,FALSE),0)+IF(DC$6="X",VLOOKUP(DC$10,'VK-Transport'!$C:$X,2+$B58,0))+IF(DC$8="X",VLOOKUP(DC$10,'VK-Elekter'!$C:$X,2+$D58,0))+IF(DC$9="X",VLOOKUP(DC$10,'VK-Biokütused'!$C:$U,2+$E58,0))+IF(DC$5="X",VLOOKUP(DC$10,'VK-Põlevkivi'!$C:$X,2+$G58,0))+IF(DC$4="X",VLOOKUP(DC$10,'VK-Võrgud'!$C:$X,2+$F58,0)))/1000000</f>
        <v>5.3886209999999997</v>
      </c>
      <c r="DD58" s="209"/>
      <c r="DE58" s="88">
        <f>VLOOKUP(Tulemused!$BN$12,data!M$7:N$12,2,FALSE)-SUM(L58,M58)</f>
        <v>-1.9738666666666731</v>
      </c>
      <c r="DF58" s="209" t="str">
        <f>IF(AZ58&lt;=VLOOKUP(Tulemused!$BN$15,data!$E$36:$F$39,2,FALSE),"JAH","EI")</f>
        <v>JAH</v>
      </c>
      <c r="DG58" s="209"/>
      <c r="DH58" s="209">
        <f t="shared" si="38"/>
        <v>6.78</v>
      </c>
      <c r="DI58" s="231" t="str">
        <f t="shared" si="17"/>
        <v>EI</v>
      </c>
      <c r="DK58" s="232">
        <f t="shared" si="39"/>
        <v>-996.03875511231638</v>
      </c>
      <c r="DM58" s="233">
        <f t="shared" si="40"/>
        <v>-993.7318082326874</v>
      </c>
      <c r="DN58" s="87">
        <f t="array" ref="DN58">INDEX($A$11:$A$145, SMALL(IF(DM58=$DK$11:$DK$145, MATCH(ROW($DK$11:$DK$145), ROW($DK$11:$DK$145))), SUM(--(DM58=$DM$11:DM58))))</f>
        <v>110</v>
      </c>
      <c r="DP58" s="87" t="e">
        <f t="shared" ca="1" si="18"/>
        <v>#N/A</v>
      </c>
      <c r="DQ58" s="87" t="e">
        <f t="shared" ca="1" si="19"/>
        <v>#N/A</v>
      </c>
      <c r="DR58" s="87">
        <f t="shared" ca="1" si="20"/>
        <v>0</v>
      </c>
      <c r="DS58" s="87" t="e">
        <f t="shared" ca="1" si="21"/>
        <v>#N/A</v>
      </c>
      <c r="DT58" s="87">
        <f t="shared" ca="1" si="22"/>
        <v>0</v>
      </c>
      <c r="DU58" s="87" t="e">
        <f t="shared" ca="1" si="23"/>
        <v>#N/A</v>
      </c>
      <c r="DV58" s="87" t="e">
        <f t="shared" ca="1" si="24"/>
        <v>#N/A</v>
      </c>
      <c r="DW58" s="87">
        <f t="shared" ca="1" si="25"/>
        <v>0</v>
      </c>
      <c r="DX58" s="87">
        <f t="shared" ca="1" si="26"/>
        <v>0</v>
      </c>
      <c r="DZ58" s="87">
        <f t="shared" ca="1" si="35"/>
        <v>0</v>
      </c>
      <c r="EB58" s="87">
        <f t="shared" ca="1" si="27"/>
        <v>0</v>
      </c>
      <c r="EC58" s="87" t="e">
        <f t="shared" ca="1" si="28"/>
        <v>#N/A</v>
      </c>
      <c r="EE58" s="228">
        <f>(IF(EE$7="X",VLOOKUP(EE$10,'VK-Hooned-Soojus'!$C:$X,2+$C58,FALSE),0)+IF(EE$6="X",VLOOKUP(EE$10,'VK-Transport'!$C:$X,2+$B58,0))+IF(EE$8="X",VLOOKUP(EE$10,'VK-Elekter'!$C:$X,2+$D58,0))+IF(EE$9="X",VLOOKUP(EE$10,'VK-Biokütused'!$C:$U,2+$E58,0))+IF(EE$5="X",VLOOKUP(EE$10,'VK-Põlevkivi'!$C:$X,2+$G58,0))+IF(EE$4="X",VLOOKUP(EE$10,'VK-Võrgud'!$C:$X,2+$F58,0)))</f>
        <v>7764.0265324858019</v>
      </c>
      <c r="EF58" s="235">
        <f>(IF(EF$7="X",VLOOKUP(EF$10,'VK-Hooned-Soojus'!$C:$X,2+$C58,FALSE),0)+IF(EF$6="X",VLOOKUP(EF$10,'VK-Transport'!$C:$X,2+$B58,0))+IF(EF$8="X",VLOOKUP(EF$10,'VK-Elekter'!$C:$X,2+$D58,0))+IF(EF$9="X",VLOOKUP(EF$10,'VK-Biokütused'!$C:$U,2+$E58,0)))/1000</f>
        <v>5.3593823271229706</v>
      </c>
      <c r="EG58" s="209">
        <f>(IF(EG$7="X",VLOOKUP(EG$10,'VK-Hooned-Soojus'!$C:$X,2+$C58,FALSE),0)+IF(EG$6="X",VLOOKUP(EG$10,'VK-Transport'!$C:$X,2+$B58,0))+IF(EG$8="X",VLOOKUP(EG$10,'VK-Elekter'!$C:$X,2+$D58,0))+IF(EG$9="X",VLOOKUP(EG$10,'VK-Biokütused'!$C:$U,2+$E58,0))+IF(EG$5="X",VLOOKUP(EG$10,'VK-Põlevkivi'!$C:$X,2+$G58,0))+IF(EG$4="X",VLOOKUP(EG$10,'VK-Võrgud'!$C:$X,2+$F58,0)))</f>
        <v>0.81</v>
      </c>
      <c r="EH58" s="209">
        <f>(IF(EH$7="X",VLOOKUP(EH$10,'VK-Hooned-Soojus'!$C:$X,2+$C58,FALSE),0)+IF(EH$6="X",VLOOKUP(EH$10,'VK-Transport'!$C:$X,2+$B58,0))+IF(EH$8="X",VLOOKUP(EH$10,'VK-Elekter'!$C:$X,2+$D58,0))+IF(EH$9="X",VLOOKUP(EH$10,'VK-Biokütused'!$C:$U,2+$E58,0)))+AR58+AS58+AU58+AX58</f>
        <v>57.818667065771862</v>
      </c>
      <c r="EI58" s="320">
        <f t="shared" si="41"/>
        <v>50.580678294573637</v>
      </c>
      <c r="EJ58" s="322">
        <f t="shared" si="42"/>
        <v>2.1300063549572323E-2</v>
      </c>
      <c r="EK58" s="323">
        <f t="shared" si="29"/>
        <v>0.39647362526587548</v>
      </c>
      <c r="EM58" s="209"/>
      <c r="EN58" s="209">
        <f t="shared" ca="1" si="43"/>
        <v>0</v>
      </c>
      <c r="EO58" s="209"/>
      <c r="EP58" s="234"/>
      <c r="EQ58" s="209">
        <f>(IF(EQ$7="X",VLOOKUP(EQ$10,'VK-Hooned-Soojus'!$C:$X,2+$C58,FALSE),0)+IF(EQ$6="X",VLOOKUP(EQ$10,'VK-Transport'!$C:$X,2+$B58,0))+IF(EQ$8="X",VLOOKUP(EQ$10,'VK-Elekter'!$C:$X,2+$D58,0))+IF(EQ$9="X",VLOOKUP(EQ$10,'VK-Biokütused'!$C:$U,2+$E58,0))+IF(EQ$5="X",VLOOKUP(EQ$10,'VK-Põlevkivi'!$C:$X,2+$G58,0))+IF(EQ$4="X",VLOOKUP(EQ$10,'VK-Võrgud'!$C:$X,2+$F58,0)))/1000</f>
        <v>0.22900000000000001</v>
      </c>
      <c r="ER58" s="209">
        <f>(IF(ER$7="X",VLOOKUP(ER$10,'VK-Hooned-Soojus'!$C:$X,2+$C58,FALSE),0)+IF(ER$6="X",VLOOKUP(ER$10,'VK-Transport'!$C:$X,2+$B58,0))+IF(ER$8="X",VLOOKUP(ER$10,'VK-Elekter'!$C:$X,2+$D58,0))+IF(ER$9="X",VLOOKUP(ER$10,'VK-Biokütused'!$C:$U,2+$E58,0))+IF(ER$5="X",VLOOKUP(ER$10,'VK-Põlevkivi'!$C:$X,2+$G58,0))+IF(ER$4="X",VLOOKUP(ER$10,'VK-Võrgud'!$C:$X,2+$F58,0)))</f>
        <v>0.82899999999999996</v>
      </c>
      <c r="ES58" s="209">
        <f>(IF(ES$7="X",VLOOKUP(ES$10,'VK-Hooned-Soojus'!$C:$X,2+$C58,FALSE),0)+IF(ES$6="X",VLOOKUP(ES$10,'VK-Transport'!$C:$X,2+$B58,0))+IF(ES$8="X",VLOOKUP(ES$10,'VK-Elekter'!$C:$X,2+$D58,0))+IF(ES$9="X",VLOOKUP(ES$10,'VK-Biokütused'!$C:$U,2+$E58,0))+IF(ES$5="X",VLOOKUP(ES$10,'VK-Põlevkivi'!$C:$X,2+$G58,0))+IF(ES$4="X",VLOOKUP(ES$10,'VK-Võrgud'!$C:$X,2+$F58,0)))</f>
        <v>6.78</v>
      </c>
      <c r="ET58" s="209"/>
      <c r="EU58" s="209"/>
      <c r="EV58" s="87">
        <f>'KSH järjestus'!AS51</f>
        <v>1991</v>
      </c>
      <c r="EX58" s="236"/>
      <c r="EY58" s="236"/>
      <c r="EZ58" s="237">
        <f t="shared" si="44"/>
        <v>0.27911646586345373</v>
      </c>
      <c r="FA58" s="209">
        <f>IF(FA$7="X",VLOOKUP(FA$10,'VK-Hooned-Soojus'!$C:$X,2+$C58,FALSE),0)+IF(FA$6="X",VLOOKUP(FA$10,'VK-Transport'!$C:$X,2+$B58,0))+IF(FA$8="X",VLOOKUP(FA$10,'VK-Elekter'!$C:$X,2+$D58,0))+IF(FA$9="X",VLOOKUP(FA$10,'VK-Biokütused'!$C:$U,2+$E58,0))+IF(FA$5="X",VLOOKUP(FA$10,'VK-Põlevkivi'!$C:$X,2+$G58,0))+IF(FA$4="X",VLOOKUP(FA$10,'VK-Võrgud'!$C:$X,2+$F58,0))</f>
        <v>3412.346</v>
      </c>
      <c r="FB58" s="279">
        <f>(IF(FB$7="X",VLOOKUP(FB$10,'VK-Hooned-Soojus'!$C:$X,2+$C58,FALSE),0)+IF(FB$6="X",VLOOKUP(FB$10,'VK-Transport'!$C:$X,2+$B58,0))+IF(FB$8="X",VLOOKUP(FB$10,'VK-Elekter'!$C:$X,2+$D58,0))+IF(FB$9="X",VLOOKUP(FB$10,'VK-Biokütused'!$C:$U,2+$E58,0))+IF(FB$5="X",VLOOKUP(FB$10,'VK-Põlevkivi'!$C:$X,2+$G58,0))+IF(FB$4="X",VLOOKUP(FB$10,'VK-Võrgud'!$C:$X,2+$F58,0)))/16</f>
        <v>400.03414659135524</v>
      </c>
      <c r="FC58" s="209">
        <f>IF(FC$7="X",VLOOKUP(FC$10,'VK-Hooned-Soojus'!$C:$X,2+$C58,FALSE),0)+IF(FC$6="X",VLOOKUP(FC$10,'VK-Transport'!$C:$X,2+$B58,0))+IF(FC$8="X",VLOOKUP(FC$10,'VK-Elekter'!$C:$X,2+$D58,0))+IF(FC$9="X",VLOOKUP(FC$10,'VK-Biokütused'!$C:$U,2+$E58,0))+IF(FC$5="X",VLOOKUP(FC$10,'VK-Põlevkivi'!$C:$X,2+$G58,0))+IF(FC$4="X",VLOOKUP(FC$10,'VK-Võrgud'!$C:$X,2+$F58,0))</f>
        <v>327.54999999999995</v>
      </c>
      <c r="FD58" s="209">
        <f>(IF(FD$7="X",VLOOKUP(FD$10,'VK-Hooned-Soojus'!$C:$X,2+$C58,FALSE),0)+IF(FD$6="X",VLOOKUP(FD$10,'VK-Transport'!$C:$X,2+$B58,0))+IF(FD$8="X",VLOOKUP(FD$10,'VK-Elekter'!$C:$X,2+$D58,0))+IF(FD$9="X",VLOOKUP(FD$10,'VK-Biokütused'!$C:$U,2+$E58,0))+IF(FD$5="X",VLOOKUP(FD$10,'VK-Põlevkivi'!$C:$X,2+$G58,0))+IF(FD$4="X",VLOOKUP(FD$10,'VK-Võrgud'!$C:$X,2+$F58,0)))/16</f>
        <v>400.03414659135524</v>
      </c>
      <c r="FE58" s="209">
        <f>(IF(FE$7="X",VLOOKUP(FE$10,'VK-Hooned-Soojus'!$C:$X,2+$C58,FALSE),0)+IF(FE$6="X",VLOOKUP(FE$10,'VK-Transport'!$C:$X,2+$B58,0))+IF(FE$8="X",VLOOKUP(FE$10,'VK-Elekter'!$C:$X,2+$D58,0))+IF(FE$9="X",VLOOKUP(FE$10,'VK-Biokütused'!$C:$U,2+$E58,0))+IF(FE$5="X",VLOOKUP(FE$10,'VK-Põlevkivi'!$C:$X,2+$G58,0))+IF(FE$4="X",VLOOKUP(FE$10,'VK-Võrgud'!$C:$X,2+$F58,0)))/16</f>
        <v>-59.422063699091041</v>
      </c>
      <c r="FF58" s="209">
        <f>(IF(FF$7="X",VLOOKUP(FF$10,'VK-Hooned-Soojus'!$C:$X,2+$C58,FALSE),0)+IF(FF$6="X",VLOOKUP(FF$10,'VK-Transport'!$C:$X,2+$B58,0))+IF(FF$8="X",VLOOKUP(FF$10,'VK-Elekter'!$C:$X,2+$D58,0))+IF(FF$9="X",VLOOKUP(FF$10,'VK-Biokütused'!$C:$U,2+$E58,0))+IF(FF$5="X",VLOOKUP(FF$10,'VK-Põlevkivi'!$C:$X,2+$G58,0))+IF(FF$4="X",VLOOKUP(FF$10,'VK-Võrgud'!$C:$X,2+$F58,0)))/16</f>
        <v>147.06089825257564</v>
      </c>
      <c r="FG58" s="88">
        <f t="shared" ca="1" si="30"/>
        <v>87.6388345534846</v>
      </c>
      <c r="FH58" s="88"/>
      <c r="FI58" s="88"/>
      <c r="FJ58" s="88">
        <f>VLOOKUP(Tulemused!$BN$12,data!M$7:N$12,2,FALSE)-SUM(L58,M58)</f>
        <v>-1.9738666666666731</v>
      </c>
      <c r="FK58" s="209" t="str">
        <f>IF(AZ58&lt;=VLOOKUP(Tulemused!$BN$15,data!$E$36:$F$39,2,FALSE),"JAH","EI")</f>
        <v>JAH</v>
      </c>
      <c r="FL58" s="235">
        <f ca="1">IF(ISNA(MATCH($A58,INDIRECT(VLOOKUP(Tulemused!$BF$11,data!$J$57:$M$71,4,FALSE)))),0,MATCH($A58,INDIRECT(VLOOKUP(Tulemused!$BF$11,data!$J$57:$M$71,4,FALSE))))</f>
        <v>0</v>
      </c>
      <c r="FM58" s="235" t="str">
        <f t="shared" ca="1" si="45"/>
        <v>JAH</v>
      </c>
      <c r="FN58" s="209">
        <f>VLOOKUP(Tulemused!$BN$13,data!$C$132:$D$137,2,FALSE)-KOMBI!R58</f>
        <v>2.9553876728770305</v>
      </c>
      <c r="FO58" s="209"/>
      <c r="FP58" s="209">
        <f>VLOOKUP(Tulemused!$BN$17,NO_x,2,FALSE)-CJ58</f>
        <v>10.34</v>
      </c>
      <c r="FQ58" s="209">
        <f>VLOOKUP(Tulemused!$BN$18,SO_2,2,FALSE)-CK58</f>
        <v>39.078256790007281</v>
      </c>
      <c r="FR58" s="209">
        <f>VLOOKUP(Tulemused!$BN$19,LOU,2,FALSE)-CN58</f>
        <v>33.912000000000006</v>
      </c>
      <c r="FS58" s="209">
        <f>VLOOKUP(Tulemused!$BN$20,PM_2.5,2,FALSE)-CM58</f>
        <v>8.3829999999999991</v>
      </c>
      <c r="FT58" s="209">
        <f>VLOOKUP(Tulemused!$BN$13,data!$C$132:$D$137,2,FALSE)-FA58/1000</f>
        <v>2.8336240000000008</v>
      </c>
      <c r="FU58" s="209">
        <f>VLOOKUP(Tulemused!$BN$17,NO_x,2,FALSE)-CO58</f>
        <v>5.056424789202719</v>
      </c>
      <c r="FV58" s="209">
        <f>VLOOKUP(Tulemused!$BN$18,SO_2,2,FALSE)-CP58</f>
        <v>38.060005169650175</v>
      </c>
      <c r="FW58" s="209">
        <f>VLOOKUP(Tulemused!$BN$19,LOU,2,FALSE)-CS58</f>
        <v>33.215665509940173</v>
      </c>
      <c r="FX58" s="209">
        <f>VLOOKUP(Tulemused!$BN$20,PM_2.5,2,FALSE)-CR58</f>
        <v>8.8339127215424238</v>
      </c>
      <c r="FY58" s="209">
        <f>VLOOKUP(Tulemused!$BN$14,KHG_2050,2,FALSE)-EF58</f>
        <v>94.640617672877028</v>
      </c>
      <c r="FZ58" s="231" t="str">
        <f t="shared" ca="1" si="31"/>
        <v>EI</v>
      </c>
      <c r="GA58" s="209"/>
      <c r="GB58" s="209"/>
      <c r="GC58" s="209"/>
      <c r="GD58" s="231"/>
      <c r="GE58" s="87">
        <f t="shared" si="46"/>
        <v>1991</v>
      </c>
      <c r="GF58" s="232" t="str">
        <f t="shared" ca="1" si="32"/>
        <v/>
      </c>
      <c r="GH58" s="238" t="e">
        <f t="shared" ca="1" si="47"/>
        <v>#NUM!</v>
      </c>
      <c r="GI58" s="87" t="e">
        <f t="array" aca="1" ref="GI58" ca="1">INDEX($A$11:$A$145, SMALL(IF(GH58=$GF$11:$GF$145, MATCH(ROW($GF$11:$GF$145), ROW($GF$11:$GF$145))), SUM(--(GH58=$GH$11:GH58))))</f>
        <v>#NUM!</v>
      </c>
      <c r="GM58" s="209">
        <f>IF(GM$7="X",VLOOKUP(GM$10,'VK-Hooned-Soojus'!$C:$X,2+$C58,FALSE),0)+IF(GM$6="X",VLOOKUP(GM$10,'VK-Transport'!$C:$X,2+$B58,0))+IF(GM$8="X",VLOOKUP(GM$10,'VK-Elekter'!$C:$X,2+$D58,0))+IF(GM$9="X",VLOOKUP(GM$10,'VK-Biokütused'!$C:$U,2+$E58,0))+IF(GM$5="X",VLOOKUP(GM$10,'VK-Põlevkivi'!$C:$X,2+$G58,0))+IF(GM$4="X",VLOOKUP(GM$10,'VK-Võrgud'!$C:$X,2+$F58,0))</f>
        <v>6.012827991027228</v>
      </c>
      <c r="GN58" s="209">
        <f>IF(GN$7="X",VLOOKUP(GN$10,'VK-Hooned-Soojus'!$C:$X,2+$C58,FALSE),0)+IF(GN$6="X",VLOOKUP(GN$10,'VK-Transport'!$C:$X,2+$B58,0))+IF(GN$8="X",VLOOKUP(GN$10,'VK-Elekter'!$C:$X,2+$D58,0))+IF(GN$9="X",VLOOKUP(GN$10,'VK-Biokütused'!$C:$U,2+$E58,0))+IF(GN$5="X",VLOOKUP(GN$10,'VK-Põlevkivi'!$C:$X,2+$G58,0))+IF(GN$4="X",VLOOKUP(GN$10,'VK-Võrgud'!$C:$X,2+$F58,0))</f>
        <v>3.4467619395011728</v>
      </c>
      <c r="GO58" s="209">
        <f>IF(GO$7="X",VLOOKUP(GO$10,'VK-Hooned-Soojus'!$C:$X,2+$C58,FALSE),0)+IF(GO$6="X",VLOOKUP(GO$10,'VK-Transport'!$C:$X,2+$B58,0))+IF(GO$8="X",VLOOKUP(GO$10,'VK-Elekter'!$C:$X,2+$D58,0))+IF(GO$9="X",VLOOKUP(GO$10,'VK-Biokütused'!$C:$U,2+$E58,0))+IF(GO$5="X",VLOOKUP(GO$10,'VK-Põlevkivi'!$C:$X,2+$G58,0))+IF(GO$4="X",VLOOKUP(GO$10,'VK-Võrgud'!$C:$X,2+$F58,0))</f>
        <v>8.7471755658278116</v>
      </c>
      <c r="GP58" s="209">
        <f>IF(GP$7="X",VLOOKUP(GP$10,'VK-Hooned-Soojus'!$C:$X,2+$C58,FALSE),0)+IF(GP$6="X",VLOOKUP(GP$10,'VK-Transport'!$C:$X,2+$B58,0))+IF(GP$8="X",VLOOKUP(GP$10,'VK-Elekter'!$C:$X,2+$D58,0))+IF(GP$9="X",VLOOKUP(GP$10,'VK-Biokütused'!$C:$U,2+$E58,0))+IF(GP$5="X",VLOOKUP(GP$10,'VK-Põlevkivi'!$C:$X,2+$G58,0))+IF(GP$4="X",VLOOKUP(GP$10,'VK-Võrgud'!$C:$X,2+$F58,0))</f>
        <v>9.3279335818485372</v>
      </c>
      <c r="GQ58" s="88">
        <f>IF(GQ$7="X",VLOOKUP(GQ$10,'VK-Hooned-Soojus'!$C:$X,2+$C58,FALSE),0)+IF(GQ$6="X",VLOOKUP(GQ$10,'VK-Transport'!$C:$X,2+$B58,0))+IF(GQ$8="X",VLOOKUP(GQ$10,'VK-Elekter'!$C:$X,2+$D58,0))+IF(GQ$9="X",VLOOKUP(GQ$10,'VK-Biokütused'!$C:$U,2+$E58,0))+IF(GQ$5="X",VLOOKUP(GQ$10,'VK-Põlevkivi'!$C:$X,2+$G58,0))+IF(GQ$4="X",VLOOKUP(GQ$10,'VK-Võrgud'!$C:$X,2+$F58,0))</f>
        <v>0.90618397335647782</v>
      </c>
      <c r="GR58" s="186">
        <f t="shared" si="33"/>
        <v>0.39305342352153388</v>
      </c>
    </row>
    <row r="59" spans="1:200" x14ac:dyDescent="0.2">
      <c r="A59" s="184">
        <v>49</v>
      </c>
      <c r="B59" s="87">
        <v>2</v>
      </c>
      <c r="C59" s="87">
        <v>1</v>
      </c>
      <c r="D59" s="87">
        <v>2</v>
      </c>
      <c r="E59" s="87">
        <v>1</v>
      </c>
      <c r="F59" s="87">
        <f>VLOOKUP(Tulemused!$BF$7,data!$J$6:$K$8,2,FALSE)</f>
        <v>2</v>
      </c>
      <c r="G59" s="87">
        <f>VLOOKUP(data!$H$2,data!$J$12:$K$14,2,FALSE)</f>
        <v>2</v>
      </c>
      <c r="I59" s="209">
        <f>IF(I$7="X",VLOOKUP(I$10,'VK-Hooned-Soojus'!$C:$X,2+$C59,FALSE),0)+IF(I$6="X",VLOOKUP(I$10,'VK-Transport'!$C:$X,2+$B59,0))+IF(I$8="X",VLOOKUP(I$10,'VK-Elekter'!$C:$X,2+$D59,0))+IF(I$9="X",VLOOKUP(I$10,'VK-Biokütused'!$C:$U,2+$E59,0))+IF(I$5="X",VLOOKUP(I$10,'VK-Põlevkivi'!$C:$X,2+$G59,0))+IF(I$4="X",VLOOKUP(I$10,'VK-Võrgud'!$C:$X,2+$F59,0))</f>
        <v>26.89</v>
      </c>
      <c r="J59" s="209">
        <f>IF(J$7="X",VLOOKUP(J$10,'VK-Hooned-Soojus'!$C:$X,2+$C59,FALSE),0)+IF(J$6="X",VLOOKUP(J$10,'VK-Transport'!$C:$X,2+$B59,0))+IF(J$8="X",VLOOKUP(J$10,'VK-Elekter'!$C:$X,2+$D59,0))+IF(J$9="X",VLOOKUP(J$10,'VK-Biokütused'!$C:$U,2+$E59,0))+IF(J$5="X",VLOOKUP(J$10,'VK-Põlevkivi'!$C:$X,2+$G59,0))+IF(J$4="X",VLOOKUP(J$10,'VK-Võrgud'!$C:$X,2+$F59,0))</f>
        <v>11.138055555555555</v>
      </c>
      <c r="K59" s="209">
        <f>IF(K$7="X",VLOOKUP(K$10,'VK-Hooned-Soojus'!$C:$X,2+$C59,FALSE),0)+IF(K$6="X",VLOOKUP(K$10,'VK-Transport'!$C:$X,2+$B59,0))+IF(K$8="X",VLOOKUP(K$10,'VK-Elekter'!$C:$X,2+$D59,0))+IF(K$9="X",VLOOKUP(K$10,'VK-Biokütused'!$C:$U,2+$E59,0))+IF(K$5="X",VLOOKUP(K$10,'VK-Põlevkivi'!$C:$X,2+$G59,0))+IF(K$4="X",VLOOKUP(K$10,'VK-Võrgud'!$C:$X,2+$F59,0))</f>
        <v>16.75</v>
      </c>
      <c r="L59" s="209">
        <f>IF(L$7="X",VLOOKUP(L$10,'VK-Hooned-Soojus'!$C:$X,2+$C59,FALSE),0)+IF(L$6="X",VLOOKUP(L$10,'VK-Transport'!$C:$X,2+$B59,0))+IF(L$8="X",VLOOKUP(L$10,'VK-Elekter'!$C:$X,2+$D59,0))+IF(L$9="X",VLOOKUP(L$10,'VK-Biokütused'!$C:$U,2+$E59,0))+IF(L$5="X",VLOOKUP(L$10,'VK-Põlevkivi'!$C:$X,2+$G59,0))+IF(L$4="X",VLOOKUP(L$10,'VK-Võrgud'!$C:$X,2+$F59,0))</f>
        <v>24.95</v>
      </c>
      <c r="M59" s="209">
        <f>IF(M$7="X",VLOOKUP(M$10,'VK-Hooned-Soojus'!$C:$X,2+$C59,FALSE),0)+IF(M$6="X",VLOOKUP(M$10,'VK-Transport'!$C:$X,2+$B59,0))+IF(M$8="X",VLOOKUP(M$10,'VK-Elekter'!$C:$X,2+$D59,0))+IF(M$9="X",VLOOKUP(M$10,'VK-Biokütused'!$C:$U,2+$E59,0))+IF(M$5="X",VLOOKUP(M$10,'VK-Põlevkivi'!$C:$X,2+$G59,0))+IF(M$4="X",VLOOKUP(M$10,'VK-Võrgud'!$C:$X,2+$F59,0))</f>
        <v>9.8566666666666674</v>
      </c>
      <c r="N59" s="209">
        <f>IF(N$7="X",VLOOKUP(N$10,'VK-Hooned-Soojus'!$C:$X,2+$C59,FALSE),0)+IF(N$6="X",VLOOKUP(N$10,'VK-Transport'!$C:$X,2+$B59,0))+IF(N$8="X",VLOOKUP(N$10,'VK-Elekter'!$C:$X,2+$D59,0))+IF(N$9="X",VLOOKUP(N$10,'VK-Biokütused'!$C:$U,2+$E59,0))+IF(N$5="X",VLOOKUP(N$10,'VK-Põlevkivi'!$C:$X,2+$G59,0))+IF(N$4="X",VLOOKUP(N$10,'VK-Võrgud'!$C:$X,2+$F59,0))</f>
        <v>16.75</v>
      </c>
      <c r="O59" s="209">
        <f t="shared" si="13"/>
        <v>38.028055555555554</v>
      </c>
      <c r="P59" s="209"/>
      <c r="Q59" s="209">
        <f>(IF(Q$7="X",VLOOKUP(Q$10,'VK-Hooned-Soojus'!$C:$X,2+$C59,FALSE),0)+IF(Q$6="X",VLOOKUP(Q$10,'VK-Transport'!$C:$X,2+$B59,0))+IF(Q$8="X",VLOOKUP(Q$10,'VK-Elekter'!$C:$X,2+$D59,0))+IF(Q$9="X",VLOOKUP(Q$10,'VK-Biokütused'!$C:$U,2+$E59,0))+IF(Q$5="X",VLOOKUP(Q$10,'VK-Põlevkivi'!$C:$X,2+$G59,0))+IF(Q$4="X",VLOOKUP(Q$10,'VK-Võrgud'!$C:$X,2+$F59,0)))/1000</f>
        <v>5.3630000000000004</v>
      </c>
      <c r="R59" s="209">
        <f>(IF(R$7="X",VLOOKUP(R$10,'VK-Hooned-Soojus'!$C:$X,2+$C59,FALSE),0)+IF(R$6="X",VLOOKUP(R$10,'VK-Transport'!$C:$X,2+$B59,0))+IF(R$8="X",VLOOKUP(R$10,'VK-Elekter'!$C:$X,2+$D59,0))+IF(R$9="X",VLOOKUP(R$10,'VK-Biokütused'!$C:$U,2+$E59,0))+IF(R$5="X",VLOOKUP(R$10,'VK-Põlevkivi'!$C:$X,2+$G59,0))+IF(R$4="X",VLOOKUP(R$10,'VK-Võrgud'!$C:$X,2+$F59,0)))/1000</f>
        <v>2.7043823271229703</v>
      </c>
      <c r="S59" s="226">
        <f>VLOOKUP(S$10,'VK-Hooned-Soojus'!$C:$I,2+$C59,FALSE) + VLOOKUP(S$10,'VK-Transport'!$C:$I,2+$B59,FALSE)+ VLOOKUP(S$10,'VK-Biokütused'!$C:$G,2+$E59,FALSE)+ VLOOKUP(S$10,'VK-Elekter'!$C:$I,2+$D59,FALSE)+ VLOOKUP(S$10,'VK-Põlevkivi'!$C:$I,2+$G59,FALSE)+ VLOOKUP(S$10,'VK-Võrgud'!$C:$I,2+$F59,FALSE)</f>
        <v>4.8306056490324432E-3</v>
      </c>
      <c r="T59" s="226">
        <f>VLOOKUP(T$10,'VK-Hooned-Soojus'!$C:$I,2+$C59,FALSE) + VLOOKUP(T$10,'VK-Transport'!$C:$I,2+$B59,FALSE)+ VLOOKUP(T$10,'VK-Biokütused'!$C:$G,2+$E59,FALSE)+ VLOOKUP(T$10,'VK-Elekter'!$C:$I,2+$D59,FALSE)+ VLOOKUP(T$10,'VK-Põlevkivi'!$C:$I,2+$G59,FALSE)+ VLOOKUP(T$10,'VK-Võrgud'!$C:$I,2+$F59,FALSE)</f>
        <v>2.8957703396023824E-3</v>
      </c>
      <c r="U59" s="226">
        <f>VLOOKUP(U$10,'VK-Hooned-Soojus'!$C:$I,2+$C59,FALSE) + VLOOKUP(U$10,'VK-Transport'!$C:$I,2+$B59,FALSE)+ VLOOKUP(U$10,'VK-Biokütused'!$C:$G,2+$E59,FALSE)+ VLOOKUP(U$10,'VK-Elekter'!$C:$I,2+$D59,FALSE)+ VLOOKUP(U$10,'VK-Põlevkivi'!$C:$I,2+$G59,FALSE)+ VLOOKUP(U$10,'VK-Võrgud'!$C:$I,2+$F59,FALSE)</f>
        <v>1.8475328584021122E-3</v>
      </c>
      <c r="V59" s="226">
        <f>VLOOKUP(V$10,'VK-Hooned-Soojus'!$C:$I,2+$C59,FALSE) + VLOOKUP(V$10,'VK-Transport'!$C:$I,2+$B59,FALSE)+ VLOOKUP(V$10,'VK-Biokütused'!$C:$G,2+$E59,FALSE)+ VLOOKUP(V$10,'VK-Elekter'!$C:$I,2+$D59,FALSE)+ VLOOKUP(V$10,'VK-Põlevkivi'!$C:$I,2+$G59,FALSE)+ VLOOKUP(V$10,'VK-Võrgud'!$C:$I,2+$F59,FALSE)</f>
        <v>2.9972901874896788E-3</v>
      </c>
      <c r="W59" s="226">
        <f>VLOOKUP(W$10,'VK-Hooned-Soojus'!$C:$I,2+$C59,FALSE) + VLOOKUP(W$10,'VK-Transport'!$C:$I,2+$B59,FALSE)+ VLOOKUP(W$10,'VK-Biokütused'!$C:$G,2+$E59,FALSE)+ VLOOKUP(W$10,'VK-Elekter'!$C:$I,2+$D59,FALSE)+ VLOOKUP(W$10,'VK-Põlevkivi'!$C:$I,2+$G59,FALSE)+ VLOOKUP(W$10,'VK-Võrgud'!$C:$I,2+$F59,FALSE)</f>
        <v>-1.578076229718325E-2</v>
      </c>
      <c r="X59" s="226">
        <f>VLOOKUP(X$10,'VK-Hooned-Soojus'!$C:$I,2+$C59,FALSE) + VLOOKUP(X$10,'VK-Transport'!$C:$I,2+$B59,FALSE)+ VLOOKUP(X$10,'VK-Biokütused'!$C:$G,2+$E59,FALSE)+ VLOOKUP(X$10,'VK-Elekter'!$C:$I,2+$D59,FALSE)+ VLOOKUP(X$10,'VK-Põlevkivi'!$C:$I,2+$G59,FALSE)+ VLOOKUP(X$10,'VK-Võrgud'!$C:$I,2+$F59,FALSE)</f>
        <v>-2.076910185277513E-2</v>
      </c>
      <c r="Y59" s="226">
        <f>VLOOKUP(Y$10,'VK-Hooned-Soojus'!$C:$I,2+$C59,FALSE) + VLOOKUP(Y$10,'VK-Transport'!$C:$I,2+$B59,FALSE)+ VLOOKUP(Y$10,'VK-Biokütused'!$C:$G,2+$E59,FALSE)+ VLOOKUP(Y$10,'VK-Elekter'!$C:$I,2+$D59,FALSE)+ VLOOKUP(Y$10,'VK-Põlevkivi'!$C:$I,2+$G59,FALSE)+ VLOOKUP(Y$10,'VK-Võrgud'!$C:$I,2+$F59,FALSE)</f>
        <v>-2.4017982045407421E-2</v>
      </c>
      <c r="Z59" s="227">
        <f>(S59*Tulemused!$Q$9*10+T59*Tulemused!$Q$10*10+KOMBI!U59*Tulemused!$Q$11*10+KOMBI!V59*Tulemused!$Q$12*10)*Tulemused!$Q$8+-(W59*Tulemused!$Q$14*10+KOMBI!X59*Tulemused!$Q$15*10+KOMBI!Y59*Tulemused!$Q$16*10)*Tulemused!$Q$13</f>
        <v>2.1436533494157466</v>
      </c>
      <c r="AA59" s="228">
        <f>(IF(AA$7="X",VLOOKUP(AA$10,'VK-Hooned-Soojus'!$C:$X,2+$C59,FALSE),0)+IF(AA$6="X",VLOOKUP(AA$10,'VK-Transport'!$C:$X,2+$B59,0))+IF(AA$8="X",VLOOKUP(AA$10,'VK-Elekter'!$C:$X,2+$D59,0))+IF(AA$9="X",VLOOKUP(AA$10,'VK-Biokütused'!$C:$U,2+$E59,0))+IF(AA$5="X",VLOOKUP(AA$10,'VK-Põlevkivi'!$C:$X,2+$G59,0))+IF(AA$4="X",VLOOKUP(AA$10,'VK-Võrgud'!$C:$X,2+$F59,0)))</f>
        <v>3761</v>
      </c>
      <c r="AB59" s="228">
        <f>(IF(AB$7="X",VLOOKUP(AB$10,'VK-Hooned-Soojus'!$C:$X,2+$C59,FALSE),0)+IF(AB$6="X",VLOOKUP(AB$10,'VK-Transport'!$C:$X,2+$B59,0))+IF(AB$8="X",VLOOKUP(AB$10,'VK-Elekter'!$C:$X,2+$D59,0))+IF(AB$9="X",VLOOKUP(AB$10,'VK-Biokütused'!$C:$U,2+$E59,0))+IF(AB$5="X",VLOOKUP(AB$10,'VK-Põlevkivi'!$C:$X,2+$G59,0))+IF(AB$4="X",VLOOKUP(AB$10,'VK-Võrgud'!$C:$X,2+$F59,0)))</f>
        <v>1602</v>
      </c>
      <c r="AC59" s="228">
        <f>(IF(AC$7="X",VLOOKUP(AC$10,'VK-Hooned-Soojus'!$C:$X,2+$C59,FALSE),0)+IF(AC$6="X",VLOOKUP(AC$10,'VK-Transport'!$C:$X,2+$B59,0))+IF(AC$8="X",VLOOKUP(AC$10,'VK-Elekter'!$C:$X,2+$D59,0))+IF(AC$9="X",VLOOKUP(AC$10,'VK-Biokütused'!$C:$U,2+$E59,0))+IF(AC$5="X",VLOOKUP(AC$10,'VK-Põlevkivi'!$C:$X,2+$G59,0))+IF(AC$4="X",VLOOKUP(AC$10,'VK-Võrgud'!$C:$X,2+$F59,0)))</f>
        <v>2346</v>
      </c>
      <c r="AD59" s="228">
        <f>(IF(AD$7="X",VLOOKUP(AD$10,'VK-Hooned-Soojus'!$C:$X,2+$C59,FALSE),0)+IF(AD$6="X",VLOOKUP(AD$10,'VK-Transport'!$C:$X,2+$B59,0))+IF(AD$8="X",VLOOKUP(AD$10,'VK-Elekter'!$C:$X,2+$D59,0))+IF(AD$9="X",VLOOKUP(AD$10,'VK-Biokütused'!$C:$U,2+$E59,0))+IF(AD$5="X",VLOOKUP(AD$10,'VK-Põlevkivi'!$C:$X,2+$G59,0))+IF(AD$4="X",VLOOKUP(AD$10,'VK-Võrgud'!$C:$X,2+$F59,0)))</f>
        <v>0</v>
      </c>
      <c r="AE59" s="228">
        <f>(IF(AE$7="X",VLOOKUP(AE$10,'VK-Hooned-Soojus'!$C:$X,2+$C59,FALSE),0)+IF(AE$6="X",VLOOKUP(AE$10,'VK-Transport'!$C:$X,2+$B59,0))+IF(AE$8="X",VLOOKUP(AE$10,'VK-Elekter'!$C:$X,2+$D59,0))+IF(AE$9="X",VLOOKUP(AE$10,'VK-Biokütused'!$C:$U,2+$E59,0))+IF(AE$5="X",VLOOKUP(AE$10,'VK-Põlevkivi'!$C:$X,2+$G59,0))+IF(AE$4="X",VLOOKUP(AE$10,'VK-Võrgud'!$C:$X,2+$F59,0)))</f>
        <v>812</v>
      </c>
      <c r="AF59" s="228">
        <f>(IF(AF$7="X",VLOOKUP(AF$10,'VK-Hooned-Soojus'!$C:$X,2+$C59,FALSE),0)+IF(AF$6="X",VLOOKUP(AF$10,'VK-Transport'!$C:$X,2+$B59,0))+IF(AF$8="X",VLOOKUP(AF$10,'VK-Elekter'!$C:$X,2+$D59,0))+IF(AF$9="X",VLOOKUP(AF$10,'VK-Biokütused'!$C:$U,2+$E59,0))+IF(AF$5="X",VLOOKUP(AF$10,'VK-Põlevkivi'!$C:$X,2+$G59,0))+IF(AF$4="X",VLOOKUP(AF$10,'VK-Võrgud'!$C:$X,2+$F59,0)))</f>
        <v>1892.3823271229701</v>
      </c>
      <c r="AG59" s="209"/>
      <c r="AH59" s="209">
        <f>IF(AH$7="X",VLOOKUP(AH$10,'VK-Hooned-Soojus'!$C:$X,2+$C59,FALSE),0)+IF(AH$6="X",VLOOKUP(AH$10,'VK-Transport'!$C:$X,2+$B59,0))+IF(AH$8="X",VLOOKUP(AH$10,'VK-Elekter'!$C:$X,2+$D59,0))+IF(AH$9="X",VLOOKUP(AH$10,'VK-Biokütused'!$C:$U,2+$E59,0))+IF(AH$5="X",VLOOKUP(AH$10,'VK-Põlevkivi'!$C:$X,2+$G59,0))+IF(AH$4="X",VLOOKUP(AH$10,'VK-Võrgud'!$C:$X,2+$F59,0))</f>
        <v>11.64</v>
      </c>
      <c r="AI59" s="209">
        <f>IF(AI$7="X",VLOOKUP(AI$10,'VK-Hooned-Soojus'!$C:$X,2+$C59,FALSE),0)+IF(AI$6="X",VLOOKUP(AI$10,'VK-Transport'!$C:$X,2+$B59,0))+IF(AI$8="X",VLOOKUP(AI$10,'VK-Elekter'!$C:$X,2+$D59,0))+IF(AI$9="X",VLOOKUP(AI$10,'VK-Biokütused'!$C:$U,2+$E59,0))+IF(AI$5="X",VLOOKUP(AI$10,'VK-Põlevkivi'!$C:$X,2+$G59,0))+IF(AI$4="X",VLOOKUP(AI$10,'VK-Võrgud'!$C:$X,2+$F59,0))</f>
        <v>2.3100000000000005</v>
      </c>
      <c r="AJ59" s="209">
        <f>IF(AJ$7="X",VLOOKUP(AJ$10,'VK-Hooned-Soojus'!$C:$X,2+$C59,FALSE),0)+IF(AJ$6="X",VLOOKUP(AJ$10,'VK-Transport'!$C:$X,2+$B59,0))+IF(AJ$8="X",VLOOKUP(AJ$10,'VK-Elekter'!$C:$X,2+$D59,0))+IF(AJ$9="X",VLOOKUP(AJ$10,'VK-Biokütused'!$C:$U,2+$E59,0))+IF(AJ$5="X",VLOOKUP(AJ$10,'VK-Põlevkivi'!$C:$X,2+$G59,0))+IF(AJ$4="X",VLOOKUP(AJ$10,'VK-Võrgud'!$C:$X,2+$F59,0))</f>
        <v>9.25</v>
      </c>
      <c r="AK59" s="209">
        <f>IF(AK$7="X",VLOOKUP(AK$10,'VK-Hooned-Soojus'!$C:$X,2+$C59,FALSE),0)+IF(AK$6="X",VLOOKUP(AK$10,'VK-Transport'!$C:$X,2+$B59,0))+IF(AK$8="X",VLOOKUP(AK$10,'VK-Elekter'!$C:$X,2+$D59,0))+IF(AK$9="X",VLOOKUP(AK$10,'VK-Biokütused'!$C:$U,2+$E59,0))+IF(AK$5="X",VLOOKUP(AK$10,'VK-Põlevkivi'!$C:$X,2+$G59,0))+IF(AK$4="X",VLOOKUP(AK$10,'VK-Võrgud'!$C:$X,2+$F59,0))</f>
        <v>2.78</v>
      </c>
      <c r="AL59" s="209">
        <f>IF(AL$7="X",VLOOKUP(AL$10,'VK-Hooned-Soojus'!$C:$X,2+$C59,FALSE),0)+IF(AL$6="X",VLOOKUP(AL$10,'VK-Transport'!$C:$X,2+$B59,0))+IF(AL$8="X",VLOOKUP(AL$10,'VK-Elekter'!$C:$X,2+$D59,0))+IF(AL$9="X",VLOOKUP(AL$10,'VK-Biokütused'!$C:$U,2+$E59,0))+IF(AL$5="X",VLOOKUP(AL$10,'VK-Põlevkivi'!$C:$X,2+$G59,0))+IF(AL$4="X",VLOOKUP(AL$10,'VK-Võrgud'!$C:$X,2+$F59,0))</f>
        <v>7.1999999999999993</v>
      </c>
      <c r="AM59" s="209">
        <f>IF(AM$7="X",VLOOKUP(AM$10,'VK-Hooned-Soojus'!$C:$X,2+$C59,FALSE),0)+IF(AM$6="X",VLOOKUP(AM$10,'VK-Transport'!$C:$X,2+$B59,0))+IF(AM$8="X",VLOOKUP(AM$10,'VK-Elekter'!$C:$X,2+$D59,0))+IF(AM$9="X",VLOOKUP(AM$10,'VK-Biokütused'!$C:$U,2+$E59,0))+IF(AM$5="X",VLOOKUP(AM$10,'VK-Põlevkivi'!$C:$X,2+$G59,0))+IF(AM$4="X",VLOOKUP(AM$10,'VK-Võrgud'!$C:$X,2+$F59,0))</f>
        <v>12.9</v>
      </c>
      <c r="AN59" s="209">
        <f>IF(AN$7="X",VLOOKUP(AN$10,'VK-Hooned-Soojus'!$C:$X,2+$C59,FALSE),0)+IF(AN$6="X",VLOOKUP(AN$10,'VK-Transport'!$C:$X,2+$B59,0))+IF(AN$8="X",VLOOKUP(AN$10,'VK-Elekter'!$C:$X,2+$D59,0))+IF(AN$9="X",VLOOKUP(AN$10,'VK-Biokütused'!$C:$U,2+$E59,0))+IF(AN$5="X",VLOOKUP(AN$10,'VK-Põlevkivi'!$C:$X,2+$G59,0))+IF(AN$4="X",VLOOKUP(AN$10,'VK-Võrgud'!$C:$X,2+$F59,0))</f>
        <v>5.6999999999999993</v>
      </c>
      <c r="AO59" s="209">
        <f>IF(AO$7="X",VLOOKUP(AO$10,'VK-Hooned-Soojus'!$C:$X,2+$C59,FALSE),0)+IF(AO$6="X",VLOOKUP(AO$10,'VK-Transport'!$C:$X,2+$B59,0))+IF(AO$8="X",VLOOKUP(AO$10,'VK-Elekter'!$C:$X,2+$D59,0))+IF(AO$9="X",VLOOKUP(AO$10,'VK-Biokütused'!$C:$U,2+$E59,0))+IF(AO$5="X",VLOOKUP(AO$10,'VK-Põlevkivi'!$C:$X,2+$G59,0))+IF(AO$4="X",VLOOKUP(AO$10,'VK-Võrgud'!$C:$X,2+$F59,0))</f>
        <v>13.56</v>
      </c>
      <c r="AP59" s="209">
        <f>IF(AP$7="X",VLOOKUP(AP$10,'VK-Hooned-Soojus'!$C:$X,2+$C59,FALSE),0)+IF(AP$6="X",VLOOKUP(AP$10,'VK-Transport'!$C:$X,2+$B59,0))+IF(AP$8="X",VLOOKUP(AP$10,'VK-Elekter'!$C:$X,2+$D59,0))+IF(AP$9="X",VLOOKUP(AP$10,'VK-Biokütused'!$C:$U,2+$E59,0))+IF(AP$5="X",VLOOKUP(AP$10,'VK-Põlevkivi'!$C:$X,2+$G59,0))+IF(AP$4="X",VLOOKUP(AP$10,'VK-Võrgud'!$C:$X,2+$F59,0))</f>
        <v>6.78</v>
      </c>
      <c r="AQ59" s="320">
        <f t="shared" si="14"/>
        <v>1.2599999999999998</v>
      </c>
      <c r="AR59" s="209">
        <f>IF(AR$7="X",VLOOKUP(AR$10,'VK-Hooned-Soojus'!$C:$X,2+$C59,FALSE),0)+IF(AR$6="X",VLOOKUP(AR$10,'VK-Transport'!$C:$X,2+$B59,0))+IF(AR$8="X",VLOOKUP(AR$10,'VK-Elekter'!$C:$X,2+$D59,0))+IF(AR$9="X",VLOOKUP(AR$10,'VK-Biokütused'!$C:$U,2+$E59,0))+IF(AR$5="X",VLOOKUP(AR$10,'VK-Põlevkivi'!$C:$X,2+$G59,0))+IF(AR$4="X",VLOOKUP(AR$10,'VK-Võrgud'!$C:$X,2+$F59,0))</f>
        <v>3.4899999999999998</v>
      </c>
      <c r="AS59" s="320">
        <f>VLOOKUP("Kütuste tarbimine @ 2030 - UTTEGAAS",'VK-Hooned-Soojus'!$C:$X,2+$C59,FALSE)/0.172+VLOOKUP("Kütuste tarbimine @ 2030 - UTTEGAAS",'VK-Elekter'!$C:$X,2+$D59,FALSE)/0.172-AR59-AU59</f>
        <v>2.7565116279069759</v>
      </c>
      <c r="AT59" s="209">
        <f>IF(AT$7="X",VLOOKUP(AT$10,'VK-Hooned-Soojus'!$C:$X,2+$C59,FALSE),0)+IF(AT$6="X",VLOOKUP(AT$10,'VK-Transport'!$C:$X,2+$B59,0))+IF(AT$8="X",VLOOKUP(AT$10,'VK-Elekter'!$C:$X,2+$D59,0))+IF(AT$9="X",VLOOKUP(AT$10,'VK-Biokütused'!$C:$U,2+$E59,0))+IF(AT$5="X",VLOOKUP(AT$10,'VK-Põlevkivi'!$C:$X,2+$G59,0))+IF(AT$4="X",VLOOKUP(AT$10,'VK-Võrgud'!$C:$X,2+$F59,0))</f>
        <v>9.2784458909544707</v>
      </c>
      <c r="AU59" s="229">
        <f>MAX(0,(VLOOKUP("Kütuste tarbimine @ 2030 - UTTEGAAS",'VK-Hooned-Soojus'!$C:$X,2+$C59,FALSE)/0.172+VLOOKUP("Kütuste tarbimine @ 2030 - UTTEGAAS",'VK-Elekter'!$C:$X,2+$D59,FALSE)/0.172)*0.52-VLOOKUP("Kütuste tarbimine @ 2030 - PÕLEVKIVIÕLI",'VK-Hooned-Soojus'!$C:$X,2+$C59,FALSE))</f>
        <v>4.6837209302325586</v>
      </c>
      <c r="AV59" s="209">
        <f>IF(AV$7="X",VLOOKUP(AV$10,'VK-Hooned-Soojus'!$C:$X,2+$C59,FALSE),0)+IF(AV$6="X",VLOOKUP(AV$10,'VK-Transport'!$C:$X,2+$B59,0))+IF(AV$8="X",VLOOKUP(AV$10,'VK-Elekter'!$C:$X,2+$D59,0))+IF(AV$9="X",VLOOKUP(AV$10,'VK-Biokütused'!$C:$U,2+$E59,0))+IF(AV$5="X",VLOOKUP(AV$10,'VK-Põlevkivi'!$C:$X,2+$G59,0))+IF(AV$4="X",VLOOKUP(AV$10,'VK-Võrgud'!$C:$X,2+$F59,0))</f>
        <v>1.7257321590343366</v>
      </c>
      <c r="AW59" s="209">
        <f>IF(AW$7="X",VLOOKUP(AW$10,'VK-Hooned-Soojus'!$C:$X,2+$C59,FALSE),0)+IF(AW$6="X",VLOOKUP(AW$10,'VK-Transport'!$C:$X,2+$B59,0))+IF(AW$8="X",VLOOKUP(AW$10,'VK-Elekter'!$C:$X,2+$D59,0))+IF(AW$9="X",VLOOKUP(AW$10,'VK-Biokütused'!$C:$U,2+$E59,0))+IF(AW$5="X",VLOOKUP(AW$10,'VK-Põlevkivi'!$C:$X,2+$G59,0))+IF(AW$4="X",VLOOKUP(AW$10,'VK-Võrgud'!$C:$X,2+$F59,0))</f>
        <v>0</v>
      </c>
      <c r="AX59" s="229">
        <f t="shared" si="34"/>
        <v>0</v>
      </c>
      <c r="AY59" s="229">
        <f t="shared" si="15"/>
        <v>1.7257321590343366</v>
      </c>
      <c r="AZ59" s="230">
        <f t="shared" si="36"/>
        <v>0.59287953949425476</v>
      </c>
      <c r="BA59" s="209">
        <f>IF(BA$7="X",VLOOKUP(BA$10,'VK-Hooned-Soojus'!$C:$X,2+$C59,FALSE),0)+IF(BA$6="X",VLOOKUP(BA$10,'VK-Transport'!$C:$X,2+$B59,0))+IF(BA$8="X",VLOOKUP(BA$10,'VK-Elekter'!$C:$X,2+$D59,0))+IF(BA$9="X",VLOOKUP(BA$10,'VK-Biokütused'!$C:$U,2+$E59,0))+IF(BA$5="X",VLOOKUP(BA$10,'VK-Põlevkivi'!$C:$X,2+$G59,0))+IF(BA$4="X",VLOOKUP(BA$10,'VK-Võrgud'!$C:$X,2+$F59,0))</f>
        <v>4.25</v>
      </c>
      <c r="BB59" s="209">
        <f>IF(BB$7="X",VLOOKUP(BB$10,'VK-Hooned-Soojus'!$C:$X,2+$C59,FALSE),0)+IF(BB$6="X",VLOOKUP(BB$10,'VK-Transport'!$C:$X,2+$B59,0))+IF(BB$8="X",VLOOKUP(BB$10,'VK-Elekter'!$C:$X,2+$D59,0))+IF(BB$9="X",VLOOKUP(BB$10,'VK-Biokütused'!$C:$U,2+$E59,0))+IF(BB$5="X",VLOOKUP(BB$10,'VK-Põlevkivi'!$C:$X,2+$G59,0))+IF(BB$4="X",VLOOKUP(BB$10,'VK-Võrgud'!$C:$X,2+$F59,0))</f>
        <v>2.93</v>
      </c>
      <c r="BC59" s="209">
        <f>IF(BC$7="X",VLOOKUP(BC$10,'VK-Hooned-Soojus'!$C:$X,2+$C59,FALSE),0)+IF(BC$6="X",VLOOKUP(BC$10,'VK-Transport'!$C:$X,2+$B59,0))+IF(BC$8="X",VLOOKUP(BC$10,'VK-Elekter'!$C:$X,2+$D59,0))+IF(BC$9="X",VLOOKUP(BC$10,'VK-Biokütused'!$C:$U,2+$E59,0))+IF(BC$5="X",VLOOKUP(BC$10,'VK-Põlevkivi'!$C:$X,2+$G59,0))+IF(BC$4="X",VLOOKUP(BC$10,'VK-Võrgud'!$C:$X,2+$F59,0))</f>
        <v>8.0523611111111126</v>
      </c>
      <c r="BD59" s="209">
        <f>IF(BD$7="X",VLOOKUP(BD$10,'VK-Hooned-Soojus'!$C:$X,2+$C59,FALSE),0)+IF(BD$6="X",VLOOKUP(BD$10,'VK-Transport'!$C:$X,2+$B59,0))+IF(BD$8="X",VLOOKUP(BD$10,'VK-Elekter'!$C:$X,2+$D59,0))+IF(BD$9="X",VLOOKUP(BD$10,'VK-Biokütused'!$C:$U,2+$E59,0))+IF(BD$5="X",VLOOKUP(BD$10,'VK-Põlevkivi'!$C:$X,2+$G59,0))+IF(BD$4="X",VLOOKUP(BD$10,'VK-Võrgud'!$C:$X,2+$F59,0))</f>
        <v>10.42138888888889</v>
      </c>
      <c r="BE59" s="230"/>
      <c r="BF59" s="229">
        <f t="shared" si="16"/>
        <v>0.33475993463505049</v>
      </c>
      <c r="BG59" s="209" t="e">
        <f>(IF(BG$7="X",VLOOKUP(BG$10,'VK-Hooned-Soojus'!$C:$X,2+$C59,FALSE),0)+IF(BG$6="X",VLOOKUP(BG$10,'VK-Transport'!$C:$X,2+$B59,0))+IF(BG$8="X",VLOOKUP(BG$10,'VK-Elekter'!$C:$X,2+$D59,0))+IF(BG$9="X",VLOOKUP(BG$10,'VK-Biokütused'!$C:$U,2+$E59,0))+IF(BG$5="X",VLOOKUP(BG$10,'VK-Põlevkivi'!$C:$X,2+$G59,0))+IF(BG$4="X",VLOOKUP(BG$10,'VK-Võrgud'!$C:$X,2+$F59,0)))/20</f>
        <v>#N/A</v>
      </c>
      <c r="BH59" s="209">
        <f>(IF(BH$7="X",VLOOKUP(BH$10,'VK-Hooned-Soojus'!$C:$X,2+$C59,FALSE),0)+IF(BH$6="X",VLOOKUP(BH$10,'VK-Transport'!$C:$X,2+$B59,0))+IF(BH$8="X",VLOOKUP(BH$10,'VK-Elekter'!$C:$X,2+$D59,0))+IF(BH$9="X",VLOOKUP(BH$10,'VK-Biokütused'!$C:$U,2+$E59,0))+IF(BH$5="X",VLOOKUP(BH$10,'VK-Põlevkivi'!$C:$X,2+$G59,0))+IF(BH$4="X",VLOOKUP(BH$10,'VK-Võrgud'!$C:$X,2+$F59,0)))/20</f>
        <v>13.99</v>
      </c>
      <c r="BI59" s="209">
        <f>(IF(BI$7="X",VLOOKUP(BI$10,'VK-Hooned-Soojus'!$C:$X,2+$C59,FALSE),0)+IF(BI$6="X",VLOOKUP(BI$10,'VK-Transport'!$C:$X,2+$B59,0))+IF(BI$8="X",VLOOKUP(BI$10,'VK-Elekter'!$C:$X,2+$D59,0))+IF(BI$9="X",VLOOKUP(BI$10,'VK-Biokütused'!$C:$U,2+$E59,0))+IF(BI$5="X",VLOOKUP(BI$10,'VK-Põlevkivi'!$C:$X,2+$G59,0))+IF(BI$4="X",VLOOKUP(BI$10,'VK-Võrgud'!$C:$X,2+$F59,0)))/16</f>
        <v>17.75</v>
      </c>
      <c r="BJ59" s="209">
        <f>(IF(BJ$7="X",VLOOKUP(BJ$10,'VK-Hooned-Soojus'!$C:$X,2+$C59,FALSE),0)+IF(BJ$6="X",VLOOKUP(BJ$10,'VK-Transport'!$C:$X,2+$B59,0))+IF(BJ$8="X",VLOOKUP(BJ$10,'VK-Elekter'!$C:$X,2+$D59,0))+IF(BJ$9="X",VLOOKUP(BJ$10,'VK-Biokütused'!$C:$U,2+$E59,0))+IF(BJ$5="X",VLOOKUP(BJ$10,'VK-Põlevkivi'!$C:$X,2+$G59,0))+IF(BJ$4="X",VLOOKUP(BJ$10,'VK-Võrgud'!$C:$X,2+$F59,0)))/20</f>
        <v>1.85</v>
      </c>
      <c r="BK59" s="209"/>
      <c r="BL59" s="209"/>
      <c r="BM59" s="209"/>
      <c r="BN59" s="209" t="e">
        <f>(IF(BN$7="X",VLOOKUP(BN$10,'VK-Hooned-Soojus'!$C:$X,2+$C59,FALSE),0)+IF(BN$6="X",VLOOKUP(BN$10,'VK-Transport'!$C:$X,2+$B59,0))+IF(BN$8="X",VLOOKUP(BN$10,'VK-Elekter'!$C:$X,2+$D59,0))+IF(BN$9="X",VLOOKUP(BN$10,'VK-Biokütused'!$C:$U,2+$E59,0))+IF(BN$5="X",VLOOKUP(BN$10,'VK-Põlevkivi'!$C:$X,2+$G59,0))+IF(BN$4="X",VLOOKUP(BN$10,'VK-Võrgud'!$C:$X,2+$F59,0)))/16</f>
        <v>#N/A</v>
      </c>
      <c r="BO59" s="209">
        <f>(IF(BO$7="X",VLOOKUP(BO$10,'VK-Hooned-Soojus'!$C:$X,2+$C59,FALSE),0)+IF(BO$6="X",VLOOKUP(BO$10,'VK-Transport'!$C:$X,2+$B59,0))+IF(BO$8="X",VLOOKUP(BO$10,'VK-Elekter'!$C:$X,2+$D59,0))+IF(BO$9="X",VLOOKUP(BO$10,'VK-Biokütused'!$C:$U,2+$E59,0))+IF(BO$5="X",VLOOKUP(BO$10,'VK-Põlevkivi'!$C:$X,2+$G59,0))+IF(BO$4="X",VLOOKUP(BO$10,'VK-Võrgud'!$C:$X,2+$F59,0)))/16</f>
        <v>405.45</v>
      </c>
      <c r="BP59" s="209"/>
      <c r="BQ59" s="209">
        <f>(IF(BQ$7="X",VLOOKUP(BQ$10,'VK-Hooned-Soojus'!$C:$X,2+$C59,FALSE),0)+IF(BQ$6="X",VLOOKUP(BQ$10,'VK-Transport'!$C:$X,2+$B59,0))+IF(BQ$8="X",VLOOKUP(BQ$10,'VK-Elekter'!$C:$X,2+$D59,0))+IF(BQ$9="X",VLOOKUP(BQ$10,'VK-Biokütused'!$C:$U,2+$E59,0))+IF(BQ$5="X",VLOOKUP(BQ$10,'VK-Põlevkivi'!$C:$X,2+$G59,0))+IF(BQ$4="X",VLOOKUP(BQ$10,'VK-Võrgud'!$C:$X,2+$F59,0)))/16</f>
        <v>127.6</v>
      </c>
      <c r="BR59" s="209">
        <f>(IF(BR$7="X",VLOOKUP(BR$10,'VK-Hooned-Soojus'!$C:$X,2+$C59,FALSE),0)+IF(BR$6="X",VLOOKUP(BR$10,'VK-Transport'!$C:$X,2+$B59,0))+IF(BR$8="X",VLOOKUP(BR$10,'VK-Elekter'!$C:$X,2+$D59,0))+IF(BR$9="X",VLOOKUP(BR$10,'VK-Biokütused'!$C:$U,2+$E59,0))+IF(BR$5="X",VLOOKUP(BR$10,'VK-Põlevkivi'!$C:$X,2+$G59,0))+IF(BR$4="X",VLOOKUP(BR$10,'VK-Võrgud'!$C:$X,2+$F59,0)))/16</f>
        <v>27.475000000000001</v>
      </c>
      <c r="BS59" s="209">
        <f>(IF(BS$7="X",VLOOKUP(BS$10,'VK-Hooned-Soojus'!$C:$X,2+$C59,FALSE),0)+IF(BS$6="X",VLOOKUP(BS$10,'VK-Transport'!$C:$X,2+$B59,0))+IF(BS$8="X",VLOOKUP(BS$10,'VK-Elekter'!$C:$X,2+$D59,0))+IF(BS$9="X",VLOOKUP(BS$10,'VK-Biokütused'!$C:$U,2+$E59,0))+IF(BS$5="X",VLOOKUP(BS$10,'VK-Põlevkivi'!$C:$X,2+$G59,0))+IF(BS$4="X",VLOOKUP(BS$10,'VK-Võrgud'!$C:$X,2+$F59,0)))/16</f>
        <v>-23.293749999999999</v>
      </c>
      <c r="BT59" s="209"/>
      <c r="BU59" s="209"/>
      <c r="BV59" s="209">
        <f>(IF(BV$7="X",VLOOKUP(BV$10,'VK-Hooned-Soojus'!$C:$X,2+$C59,FALSE),0)+IF(BV$6="X",VLOOKUP(BV$10,'VK-Transport'!$C:$X,2+$B59,0))+IF(BV$8="X",VLOOKUP(BV$10,'VK-Elekter'!$C:$X,2+$D59,0))+IF(BV$9="X",VLOOKUP(BV$10,'VK-Biokütused'!$C:$U,2+$E59,0))+IF(BV$5="X",VLOOKUP(BV$10,'VK-Põlevkivi'!$C:$X,2+$G59,0))+IF(BV$4="X",VLOOKUP(BV$10,'VK-Võrgud'!$C:$X,2+$F59,0)))/16</f>
        <v>0</v>
      </c>
      <c r="BW59" s="209"/>
      <c r="BX59" s="209">
        <f>(IF(BX$7="X",VLOOKUP(BX$10,'VK-Hooned-Soojus'!$C:$X,2+$C59,FALSE),0)+IF(BX$6="X",VLOOKUP(BX$10,'VK-Transport'!$C:$X,2+$B59,0))+IF(BX$8="X",VLOOKUP(BX$10,'VK-Elekter'!$C:$X,2+$D59,0))+IF(BX$9="X",VLOOKUP(BX$10,'VK-Biokütused'!$C:$U,2+$E59,0))+IF(BX$5="X",VLOOKUP(BX$10,'VK-Põlevkivi'!$C:$X,2+$G59,0))+IF(BX$4="X",VLOOKUP(BX$10,'VK-Võrgud'!$C:$X,2+$F59,0)))/16</f>
        <v>-99.75</v>
      </c>
      <c r="BY59" s="209"/>
      <c r="BZ59" s="209"/>
      <c r="CA59" s="209" t="e">
        <f>(IF(CA$7="X",VLOOKUP(CA$10,'VK-Hooned-Soojus'!$C:$X,2+$C59,FALSE),0)+IF(CA$6="X",VLOOKUP(CA$10,'VK-Transport'!$C:$X,2+$B59,0))+IF(CA$8="X",VLOOKUP(CA$10,'VK-Elekter'!$C:$X,2+$D59,0))+IF(CA$9="X",VLOOKUP(CA$10,'VK-Biokütused'!$C:$U,2+$E59,0))+IF(CA$5="X",VLOOKUP(CA$10,'VK-Põlevkivi'!$C:$X,2+$G59,0))+IF(CA$4="X",VLOOKUP(CA$10,'VK-Võrgud'!$C:$X,2+$F59,0)))/16</f>
        <v>#N/A</v>
      </c>
      <c r="CB59" s="209">
        <f>(IF(CB$7="X",VLOOKUP(CB$10,'VK-Hooned-Soojus'!$C:$X,2+$C59,FALSE),0)+IF(CB$6="X",VLOOKUP(CB$10,'VK-Transport'!$C:$X,2+$B59,0))+IF(CB$8="X",VLOOKUP(CB$10,'VK-Elekter'!$C:$X,2+$D59,0))+IF(CB$9="X",VLOOKUP(CB$10,'VK-Biokütused'!$C:$U,2+$E59,0))+IF(CB$5="X",VLOOKUP(CB$10,'VK-Põlevkivi'!$C:$X,2+$G59,0))+IF(CB$4="X",VLOOKUP(CB$10,'VK-Võrgud'!$C:$X,2+$F59,0)))/16</f>
        <v>0</v>
      </c>
      <c r="CC59" s="209">
        <f>(IF(CC$7="X",VLOOKUP(CC$10,'VK-Hooned-Soojus'!$C:$X,2+$C59,FALSE),0)+IF(CC$6="X",VLOOKUP(CC$10,'VK-Transport'!$C:$X,2+$B59,0))+IF(CC$8="X",VLOOKUP(CC$10,'VK-Elekter'!$C:$X,2+$D59,0))+IF(CC$9="X",VLOOKUP(CC$10,'VK-Biokütused'!$C:$U,2+$E59,0))+IF(CC$5="X",VLOOKUP(CC$10,'VK-Põlevkivi'!$C:$X,2+$G59,0))+IF(CC$4="X",VLOOKUP(CC$10,'VK-Võrgud'!$C:$X,2+$F59,0)))/16</f>
        <v>0</v>
      </c>
      <c r="CD59" s="209"/>
      <c r="CE59" s="209">
        <f>(IF(CE$7="X",VLOOKUP(CE$10,'VK-Hooned-Soojus'!$C:$X,2+$C59,FALSE),0)+IF(CE$6="X",VLOOKUP(CE$10,'VK-Transport'!$C:$X,2+$B59,0))+IF(CE$8="X",VLOOKUP(CE$10,'VK-Elekter'!$C:$X,2+$D59,0))+IF(CE$9="X",VLOOKUP(CE$10,'VK-Biokütused'!$C:$U,2+$E59,0))+IF(CE$5="X",VLOOKUP(CE$10,'VK-Põlevkivi'!$C:$X,2+$G59,0))+IF(CE$4="X",VLOOKUP(CE$10,'VK-Võrgud'!$C:$X,2+$F59,0)))/16</f>
        <v>24.15625</v>
      </c>
      <c r="CF59" s="209"/>
      <c r="CG59" s="209">
        <f>(IF(CG$7="X",VLOOKUP(CG$10,'VK-Hooned-Soojus'!$C:$X,2+$C59,FALSE),0)+IF(CG$6="X",VLOOKUP(CG$10,'VK-Transport'!$C:$X,2+$B59,0))+IF(CG$8="X",VLOOKUP(CG$10,'VK-Elekter'!$C:$X,2+$D59,0))+IF(CG$9="X",VLOOKUP(CG$10,'VK-Biokütused'!$C:$U,2+$E59,0))+IF(CG$5="X",VLOOKUP(CG$10,'VK-Põlevkivi'!$C:$X,2+$G59,0))+IF(CG$4="X",VLOOKUP(CG$10,'VK-Võrgud'!$C:$X,2+$F59,0)))/16</f>
        <v>0</v>
      </c>
      <c r="CH59" s="209">
        <f>(IF(CH$7="X",VLOOKUP(CH$10,'VK-Hooned-Soojus'!$C:$X,2+$C59,FALSE),0)+IF(CH$6="X",VLOOKUP(CH$10,'VK-Transport'!$C:$X,2+$B59,0))+IF(CH$8="X",VLOOKUP(CH$10,'VK-Elekter'!$C:$X,2+$D59,0))+IF(CH$9="X",VLOOKUP(CH$10,'VK-Biokütused'!$C:$U,2+$E59,0))+IF(CH$5="X",VLOOKUP(CH$10,'VK-Põlevkivi'!$C:$X,2+$G59,0))+IF(CH$4="X",VLOOKUP(CH$10,'VK-Võrgud'!$C:$X,2+$F59,0)))/20*0.21</f>
        <v>5.6122500000000004</v>
      </c>
      <c r="CI59" s="209"/>
      <c r="CJ59" s="209">
        <f>(IF(CJ$7="X",VLOOKUP(CJ$10,'VK-Hooned-Soojus'!$C:$X,2+$C59,FALSE),0)+IF(CJ$6="X",VLOOKUP(CJ$10,'VK-Transport'!$C:$X,2+$B59,0))+IF(CJ$8="X",VLOOKUP(CJ$10,'VK-Elekter'!$C:$X,2+$D59,0))+IF(CJ$9="X",VLOOKUP(CJ$10,'VK-Biokütused'!$C:$U,2+$E59,0))+IF(CJ$5="X",VLOOKUP(CJ$10,'VK-Põlevkivi'!$C:$X,2+$G59,0))+IF(CJ$4="X",VLOOKUP(CJ$10,'VK-Võrgud'!$C:$X,2+$F59,0)))/1000</f>
        <v>19.100578011574537</v>
      </c>
      <c r="CK59" s="209">
        <f>(IF(CK$7="X",VLOOKUP(CK$10,'VK-Hooned-Soojus'!$C:$X,2+$C59,FALSE),0)+IF(CK$6="X",VLOOKUP(CK$10,'VK-Transport'!$C:$X,2+$B59,0))+IF(CK$8="X",VLOOKUP(CK$10,'VK-Elekter'!$C:$X,2+$D59,0))+IF(CK$9="X",VLOOKUP(CK$10,'VK-Biokütused'!$C:$U,2+$E59,0))+IF(CK$5="X",VLOOKUP(CK$10,'VK-Põlevkivi'!$C:$X,2+$G59,0))+IF(CK$4="X",VLOOKUP(CK$10,'VK-Võrgud'!$C:$X,2+$F59,0)))/1000</f>
        <v>12.804324637900008</v>
      </c>
      <c r="CL59" s="235">
        <f>(IF(CL$7="X",VLOOKUP(CL$10,'VK-Hooned-Soojus'!$C:$X,2+$C59,FALSE),0)+IF(CL$6="X",VLOOKUP(CL$10,'VK-Transport'!$C:$X,2+$B59,0))+IF(CL$8="X",VLOOKUP(CL$10,'VK-Elekter'!$C:$X,2+$D59,0))+IF(CL$9="X",VLOOKUP(CL$10,'VK-Biokütused'!$C:$U,2+$E59,0)))/1000</f>
        <v>8.8647703590452114</v>
      </c>
      <c r="CM59" s="209">
        <f>(IF(CM$7="X",VLOOKUP(CM$10,'VK-Hooned-Soojus'!$C:$X,2+$C59,FALSE),0)+IF(CM$6="X",VLOOKUP(CM$10,'VK-Transport'!$C:$X,2+$B59,0))+IF(CM$8="X",VLOOKUP(CM$10,'VK-Elekter'!$C:$X,2+$D59,0))+IF(CM$9="X",VLOOKUP(CM$10,'VK-Biokütused'!$C:$U,2+$E59,0))+IF(CM$5="X",VLOOKUP(CM$10,'VK-Põlevkivi'!$C:$X,2+$G59,0))+IF(CM$4="X",VLOOKUP(CM$10,'VK-Võrgud'!$C:$X,2+$F59,0)))/1000</f>
        <v>8.5427605777489077</v>
      </c>
      <c r="CN59" s="209">
        <f>(IF(CN$7="X",VLOOKUP(CN$10,'VK-Hooned-Soojus'!$C:$X,2+$C59,FALSE),0)+IF(CN$6="X",VLOOKUP(CN$10,'VK-Transport'!$C:$X,2+$B59,0))+IF(CN$8="X",VLOOKUP(CN$10,'VK-Elekter'!$C:$X,2+$D59,0))+IF(CN$9="X",VLOOKUP(CN$10,'VK-Biokütused'!$C:$U,2+$E59,0))+IF(CN$5="X",VLOOKUP(CN$10,'VK-Põlevkivi'!$C:$X,2+$G59,0))+IF(CN$4="X",VLOOKUP(CN$10,'VK-Võrgud'!$C:$X,2+$F59,0)))/1000</f>
        <v>3.1680000000000001</v>
      </c>
      <c r="CO59" s="209">
        <f>(IF(CO$7="X",VLOOKUP(CO$10,'VK-Hooned-Soojus'!$C:$X,2+$C59,FALSE),0)+IF(CO$6="X",VLOOKUP(CO$10,'VK-Transport'!$C:$X,2+$B59,0))+IF(CO$8="X",VLOOKUP(CO$10,'VK-Elekter'!$C:$X,2+$D59,0))+IF(CO$9="X",VLOOKUP(CO$10,'VK-Biokütused'!$C:$U,2+$E59,0))+IF(CO$5="X",VLOOKUP(CO$10,'VK-Põlevkivi'!$C:$X,2+$G59,0))+IF(CO$4="X",VLOOKUP(CO$10,'VK-Võrgud'!$C:$X,2+$F59,0)))/1000</f>
        <v>24.38157521079728</v>
      </c>
      <c r="CP59" s="209">
        <f>(IF(CP$7="X",VLOOKUP(CP$10,'VK-Hooned-Soojus'!$C:$X,2+$C59,FALSE),0)+IF(CP$6="X",VLOOKUP(CP$10,'VK-Transport'!$C:$X,2+$B59,0))+IF(CP$8="X",VLOOKUP(CP$10,'VK-Elekter'!$C:$X,2+$D59,0))+IF(CP$9="X",VLOOKUP(CP$10,'VK-Biokütused'!$C:$U,2+$E59,0))+IF(CP$5="X",VLOOKUP(CP$10,'VK-Põlevkivi'!$C:$X,2+$G59,0))+IF(CP$4="X",VLOOKUP(CP$10,'VK-Võrgud'!$C:$X,2+$F59,0)))/1000</f>
        <v>13.823994830349823</v>
      </c>
      <c r="CQ59" s="235">
        <f>(IF(CQ$7="X",VLOOKUP(CQ$10,'VK-Hooned-Soojus'!$C:$X,2+$C59,FALSE),0)+IF(CQ$6="X",VLOOKUP(CQ$10,'VK-Transport'!$C:$X,2+$B59,0))+IF(CQ$8="X",VLOOKUP(CQ$10,'VK-Elekter'!$C:$X,2+$D59,0))+IF(CQ$9="X",VLOOKUP(CQ$10,'VK-Biokütused'!$C:$U,2+$E59,0)))/1000</f>
        <v>10.858345999999999</v>
      </c>
      <c r="CR59" s="209">
        <f>(IF(CR$7="X",VLOOKUP(CR$10,'VK-Hooned-Soojus'!$C:$X,2+$C59,FALSE),0)+IF(CR$6="X",VLOOKUP(CR$10,'VK-Transport'!$C:$X,2+$B59,0))+IF(CR$8="X",VLOOKUP(CR$10,'VK-Elekter'!$C:$X,2+$D59,0))+IF(CR$9="X",VLOOKUP(CR$10,'VK-Biokütused'!$C:$U,2+$E59,0))+IF(CR$5="X",VLOOKUP(CR$10,'VK-Põlevkivi'!$C:$X,2+$G59,0))+IF(CR$4="X",VLOOKUP(CR$10,'VK-Võrgud'!$C:$X,2+$F59,0)))/1000</f>
        <v>8.0920872784575746</v>
      </c>
      <c r="CS59" s="209">
        <f>(IF(CS$7="X",VLOOKUP(CS$10,'VK-Hooned-Soojus'!$C:$X,2+$C59,FALSE),0)+IF(CS$6="X",VLOOKUP(CS$10,'VK-Transport'!$C:$X,2+$B59,0))+IF(CS$8="X",VLOOKUP(CS$10,'VK-Elekter'!$C:$X,2+$D59,0))+IF(CS$9="X",VLOOKUP(CS$10,'VK-Biokütused'!$C:$U,2+$E59,0))+IF(CS$5="X",VLOOKUP(CS$10,'VK-Põlevkivi'!$C:$X,2+$G59,0))+IF(CS$4="X",VLOOKUP(CS$10,'VK-Võrgud'!$C:$X,2+$F59,0)))/1000</f>
        <v>3.8643344900598322</v>
      </c>
      <c r="CT59" s="209">
        <f>IF(CT$7="X",VLOOKUP(CT$10,'VK-Hooned-Soojus'!$C:$X,2+$C59,FALSE),0)+IF(CT$6="X",VLOOKUP(CT$10,'VK-Transport'!$C:$X,2+$B59,0))+IF(CT$8="X",VLOOKUP(CT$10,'VK-Elekter'!$C:$X,2+$D59,0))+IF(CT$9="X",VLOOKUP(CT$10,'VK-Biokütused'!$C:$U,2+$E59,0))+IF(CT$5="X",VLOOKUP(CT$10,'VK-Põlevkivi'!$C:$X,2+$G59,0))+IF(CT$4="X",VLOOKUP(CT$10,'VK-Võrgud'!$C:$X,2+$F59,0))</f>
        <v>90</v>
      </c>
      <c r="CU59" s="209">
        <f>IF(CU$7="X",VLOOKUP(CU$10,'VK-Hooned-Soojus'!$C:$X,2+$C59,FALSE),0)+IF(CU$6="X",VLOOKUP(CU$10,'VK-Transport'!$C:$X,2+$B59,0))+IF(CU$8="X",VLOOKUP(CU$10,'VK-Elekter'!$C:$X,2+$D59,0))+IF(CU$9="X",VLOOKUP(CU$10,'VK-Biokütused'!$C:$U,2+$E59,0))+IF(CU$5="X",VLOOKUP(CU$10,'VK-Põlevkivi'!$C:$X,2+$G59,0))+IF(CU$4="X",VLOOKUP(CU$10,'VK-Võrgud'!$C:$X,2+$F59,0))</f>
        <v>0.72088353413654627</v>
      </c>
      <c r="CV59" s="209">
        <f t="shared" si="37"/>
        <v>1</v>
      </c>
      <c r="CW59" s="209">
        <f>(IF(CW$7="X",VLOOKUP(CW$10,'VK-Hooned-Soojus'!$C:$X,2+$C59,FALSE),0)+IF(CW$6="X",VLOOKUP(CW$10,'VK-Transport'!$C:$X,2+$B59,0))+IF(CW$8="X",VLOOKUP(CW$10,'VK-Elekter'!$C:$X,2+$D59,0))+IF(CW$9="X",VLOOKUP(CW$10,'VK-Biokütused'!$C:$U,2+$E59,0))+IF(CW$5="X",VLOOKUP(CW$10,'VK-Põlevkivi'!$C:$X,2+$G59,0))+IF(CW$4="X",VLOOKUP(CW$10,'VK-Võrgud'!$C:$X,2+$F59,0)))/16</f>
        <v>0</v>
      </c>
      <c r="CY59" s="209">
        <f>(IF(CY$7="X",VLOOKUP(CY$10,'VK-Hooned-Soojus'!$C:$X,2+$C59,FALSE),0)+IF(CY$6="X",VLOOKUP(CY$10,'VK-Transport'!$C:$X,2+$B59,0))+IF(CY$8="X",VLOOKUP(CY$10,'VK-Elekter'!$C:$X,2+$D59,0))+IF(CY$9="X",VLOOKUP(CY$10,'VK-Biokütused'!$C:$U,2+$E59,0))+IF(CY$5="X",VLOOKUP(CY$10,'VK-Põlevkivi'!$C:$X,2+$G59,0))+IF(CY$4="X",VLOOKUP(CY$10,'VK-Võrgud'!$C:$X,2+$F59,0)))/1000</f>
        <v>10.901999999999999</v>
      </c>
      <c r="CZ59" s="209">
        <f>(IF(CZ$7="X",VLOOKUP(CZ$10,'VK-Hooned-Soojus'!$C:$X,2+$C59,FALSE),0)+IF(CZ$6="X",VLOOKUP(CZ$10,'VK-Transport'!$C:$X,2+$B59,0))+IF(CZ$8="X",VLOOKUP(CZ$10,'VK-Elekter'!$C:$X,2+$D59,0))+IF(CZ$9="X",VLOOKUP(CZ$10,'VK-Biokütused'!$C:$U,2+$E59,0))+IF(CZ$5="X",VLOOKUP(CZ$10,'VK-Põlevkivi'!$C:$X,2+$G59,0))+IF(CZ$4="X",VLOOKUP(CZ$10,'VK-Võrgud'!$C:$X,2+$F59,0)))</f>
        <v>73</v>
      </c>
      <c r="DA59" s="209">
        <f>(IF(DA$7="X",VLOOKUP(DA$10,'VK-Hooned-Soojus'!$C:$X,2+$C59,FALSE),0)+IF(DA$6="X",VLOOKUP(DA$10,'VK-Transport'!$C:$X,2+$B59,0))+IF(DA$8="X",VLOOKUP(DA$10,'VK-Elekter'!$C:$X,2+$D59,0))+IF(DA$9="X",VLOOKUP(DA$10,'VK-Biokütused'!$C:$U,2+$E59,0))+IF(DA$5="X",VLOOKUP(DA$10,'VK-Põlevkivi'!$C:$X,2+$G59,0))+IF(DA$4="X",VLOOKUP(DA$10,'VK-Võrgud'!$C:$X,2+$F59,0)))/1000</f>
        <v>14.872999999999999</v>
      </c>
      <c r="DB59" s="209">
        <f>(IF(DB$7="X",VLOOKUP(DB$10,'VK-Hooned-Soojus'!$C:$X,2+$C59,FALSE),0)+IF(DB$6="X",VLOOKUP(DB$10,'VK-Transport'!$C:$X,2+$B59,0))+IF(DB$8="X",VLOOKUP(DB$10,'VK-Elekter'!$C:$X,2+$D59,0))+IF(DB$9="X",VLOOKUP(DB$10,'VK-Biokütused'!$C:$U,2+$E59,0))+IF(DB$5="X",VLOOKUP(DB$10,'VK-Põlevkivi'!$C:$X,2+$G59,0))+IF(DB$4="X",VLOOKUP(DB$10,'VK-Võrgud'!$C:$X,2+$F59,0)))/1000/3.6</f>
        <v>66.113611111111112</v>
      </c>
      <c r="DC59" s="209">
        <f>(IF(DC$7="X",VLOOKUP(DC$10,'VK-Hooned-Soojus'!$C:$X,2+$C59,FALSE),0)+IF(DC$6="X",VLOOKUP(DC$10,'VK-Transport'!$C:$X,2+$B59,0))+IF(DC$8="X",VLOOKUP(DC$10,'VK-Elekter'!$C:$X,2+$D59,0))+IF(DC$9="X",VLOOKUP(DC$10,'VK-Biokütused'!$C:$U,2+$E59,0))+IF(DC$5="X",VLOOKUP(DC$10,'VK-Põlevkivi'!$C:$X,2+$G59,0))+IF(DC$4="X",VLOOKUP(DC$10,'VK-Võrgud'!$C:$X,2+$F59,0)))/1000000</f>
        <v>5.2625529999999996</v>
      </c>
      <c r="DD59" s="209"/>
      <c r="DE59" s="88">
        <f>VLOOKUP(Tulemused!$BN$12,data!M$7:N$12,2,FALSE)-SUM(L59,M59)</f>
        <v>-1.9738666666666731</v>
      </c>
      <c r="DF59" s="209" t="str">
        <f>IF(AZ59&lt;=VLOOKUP(Tulemused!$BN$15,data!$E$36:$F$39,2,FALSE),"JAH","EI")</f>
        <v>JAH</v>
      </c>
      <c r="DG59" s="209"/>
      <c r="DH59" s="209">
        <f t="shared" si="38"/>
        <v>6.78</v>
      </c>
      <c r="DI59" s="231" t="str">
        <f t="shared" si="17"/>
        <v>EI</v>
      </c>
      <c r="DK59" s="232">
        <f t="shared" si="39"/>
        <v>-997.85634665058421</v>
      </c>
      <c r="DM59" s="233">
        <f t="shared" si="40"/>
        <v>-993.73260313083097</v>
      </c>
      <c r="DN59" s="87">
        <f t="array" ref="DN59">INDEX($A$11:$A$145, SMALL(IF(DM59=$DK$11:$DK$145, MATCH(ROW($DK$11:$DK$145), ROW($DK$11:$DK$145))), SUM(--(DM59=$DM$11:DM59))))</f>
        <v>96</v>
      </c>
      <c r="DP59" s="87" t="e">
        <f t="shared" ca="1" si="18"/>
        <v>#N/A</v>
      </c>
      <c r="DQ59" s="87" t="e">
        <f t="shared" ca="1" si="19"/>
        <v>#N/A</v>
      </c>
      <c r="DR59" s="87">
        <f t="shared" ca="1" si="20"/>
        <v>0</v>
      </c>
      <c r="DS59" s="87" t="e">
        <f t="shared" ca="1" si="21"/>
        <v>#N/A</v>
      </c>
      <c r="DT59" s="87">
        <f t="shared" ca="1" si="22"/>
        <v>0</v>
      </c>
      <c r="DU59" s="87" t="e">
        <f t="shared" ca="1" si="23"/>
        <v>#N/A</v>
      </c>
      <c r="DV59" s="87" t="e">
        <f t="shared" ca="1" si="24"/>
        <v>#N/A</v>
      </c>
      <c r="DW59" s="87">
        <f t="shared" ca="1" si="25"/>
        <v>0</v>
      </c>
      <c r="DX59" s="87">
        <f t="shared" ca="1" si="26"/>
        <v>0</v>
      </c>
      <c r="DZ59" s="87">
        <f t="shared" ca="1" si="35"/>
        <v>0</v>
      </c>
      <c r="EB59" s="87">
        <f t="shared" ca="1" si="27"/>
        <v>0</v>
      </c>
      <c r="EC59" s="87" t="e">
        <f t="shared" ca="1" si="28"/>
        <v>#N/A</v>
      </c>
      <c r="EE59" s="228">
        <f>(IF(EE$7="X",VLOOKUP(EE$10,'VK-Hooned-Soojus'!$C:$X,2+$C59,FALSE),0)+IF(EE$6="X",VLOOKUP(EE$10,'VK-Transport'!$C:$X,2+$B59,0))+IF(EE$8="X",VLOOKUP(EE$10,'VK-Elekter'!$C:$X,2+$D59,0))+IF(EE$9="X",VLOOKUP(EE$10,'VK-Biokütused'!$C:$U,2+$E59,0))+IF(EE$5="X",VLOOKUP(EE$10,'VK-Põlevkivi'!$C:$X,2+$G59,0))+IF(EE$4="X",VLOOKUP(EE$10,'VK-Võrgud'!$C:$X,2+$F59,0)))</f>
        <v>1580.7312853607443</v>
      </c>
      <c r="EF59" s="235">
        <f>(IF(EF$7="X",VLOOKUP(EF$10,'VK-Hooned-Soojus'!$C:$X,2+$C59,FALSE),0)+IF(EF$6="X",VLOOKUP(EF$10,'VK-Transport'!$C:$X,2+$B59,0))+IF(EF$8="X",VLOOKUP(EF$10,'VK-Elekter'!$C:$X,2+$D59,0))+IF(EF$9="X",VLOOKUP(EF$10,'VK-Biokütused'!$C:$U,2+$E59,0)))/1000</f>
        <v>6.0743823271229704</v>
      </c>
      <c r="EG59" s="209">
        <f>(IF(EG$7="X",VLOOKUP(EG$10,'VK-Hooned-Soojus'!$C:$X,2+$C59,FALSE),0)+IF(EG$6="X",VLOOKUP(EG$10,'VK-Transport'!$C:$X,2+$B59,0))+IF(EG$8="X",VLOOKUP(EG$10,'VK-Elekter'!$C:$X,2+$D59,0))+IF(EG$9="X",VLOOKUP(EG$10,'VK-Biokütused'!$C:$U,2+$E59,0))+IF(EG$5="X",VLOOKUP(EG$10,'VK-Põlevkivi'!$C:$X,2+$G59,0))+IF(EG$4="X",VLOOKUP(EG$10,'VK-Võrgud'!$C:$X,2+$F59,0)))</f>
        <v>0.81</v>
      </c>
      <c r="EH59" s="209">
        <f>(IF(EH$7="X",VLOOKUP(EH$10,'VK-Hooned-Soojus'!$C:$X,2+$C59,FALSE),0)+IF(EH$6="X",VLOOKUP(EH$10,'VK-Transport'!$C:$X,2+$B59,0))+IF(EH$8="X",VLOOKUP(EH$10,'VK-Elekter'!$C:$X,2+$D59,0))+IF(EH$9="X",VLOOKUP(EH$10,'VK-Biokütused'!$C:$U,2+$E59,0)))+AR59+AS59+AU59+AX59</f>
        <v>55.274399224806196</v>
      </c>
      <c r="EI59" s="320">
        <f t="shared" si="41"/>
        <v>50.590678294573635</v>
      </c>
      <c r="EJ59" s="322">
        <f t="shared" si="42"/>
        <v>2.1300063549572323E-2</v>
      </c>
      <c r="EK59" s="323">
        <f t="shared" si="29"/>
        <v>0.39647362526587548</v>
      </c>
      <c r="EM59" s="209"/>
      <c r="EN59" s="209">
        <f t="shared" ca="1" si="43"/>
        <v>0</v>
      </c>
      <c r="EO59" s="209"/>
      <c r="EP59" s="234"/>
      <c r="EQ59" s="209">
        <f>(IF(EQ$7="X",VLOOKUP(EQ$10,'VK-Hooned-Soojus'!$C:$X,2+$C59,FALSE),0)+IF(EQ$6="X",VLOOKUP(EQ$10,'VK-Transport'!$C:$X,2+$B59,0))+IF(EQ$8="X",VLOOKUP(EQ$10,'VK-Elekter'!$C:$X,2+$D59,0))+IF(EQ$9="X",VLOOKUP(EQ$10,'VK-Biokütused'!$C:$U,2+$E59,0))+IF(EQ$5="X",VLOOKUP(EQ$10,'VK-Põlevkivi'!$C:$X,2+$G59,0))+IF(EQ$4="X",VLOOKUP(EQ$10,'VK-Võrgud'!$C:$X,2+$F59,0)))/1000</f>
        <v>0.22900000000000001</v>
      </c>
      <c r="ER59" s="209">
        <f>(IF(ER$7="X",VLOOKUP(ER$10,'VK-Hooned-Soojus'!$C:$X,2+$C59,FALSE),0)+IF(ER$6="X",VLOOKUP(ER$10,'VK-Transport'!$C:$X,2+$B59,0))+IF(ER$8="X",VLOOKUP(ER$10,'VK-Elekter'!$C:$X,2+$D59,0))+IF(ER$9="X",VLOOKUP(ER$10,'VK-Biokütused'!$C:$U,2+$E59,0))+IF(ER$5="X",VLOOKUP(ER$10,'VK-Põlevkivi'!$C:$X,2+$G59,0))+IF(ER$4="X",VLOOKUP(ER$10,'VK-Võrgud'!$C:$X,2+$F59,0)))</f>
        <v>0.82899999999999996</v>
      </c>
      <c r="ES59" s="209">
        <f>(IF(ES$7="X",VLOOKUP(ES$10,'VK-Hooned-Soojus'!$C:$X,2+$C59,FALSE),0)+IF(ES$6="X",VLOOKUP(ES$10,'VK-Transport'!$C:$X,2+$B59,0))+IF(ES$8="X",VLOOKUP(ES$10,'VK-Elekter'!$C:$X,2+$D59,0))+IF(ES$9="X",VLOOKUP(ES$10,'VK-Biokütused'!$C:$U,2+$E59,0))+IF(ES$5="X",VLOOKUP(ES$10,'VK-Põlevkivi'!$C:$X,2+$G59,0))+IF(ES$4="X",VLOOKUP(ES$10,'VK-Võrgud'!$C:$X,2+$F59,0)))</f>
        <v>6.78</v>
      </c>
      <c r="ET59" s="209"/>
      <c r="EU59" s="209"/>
      <c r="EV59" s="87">
        <f>'KSH järjestus'!AS52</f>
        <v>2167</v>
      </c>
      <c r="EX59" s="236"/>
      <c r="EY59" s="236"/>
      <c r="EZ59" s="237">
        <f t="shared" si="44"/>
        <v>0.27911646586345373</v>
      </c>
      <c r="FA59" s="209">
        <f>IF(FA$7="X",VLOOKUP(FA$10,'VK-Hooned-Soojus'!$C:$X,2+$C59,FALSE),0)+IF(FA$6="X",VLOOKUP(FA$10,'VK-Transport'!$C:$X,2+$B59,0))+IF(FA$8="X",VLOOKUP(FA$10,'VK-Elekter'!$C:$X,2+$D59,0))+IF(FA$9="X",VLOOKUP(FA$10,'VK-Biokütused'!$C:$U,2+$E59,0))+IF(FA$5="X",VLOOKUP(FA$10,'VK-Põlevkivi'!$C:$X,2+$G59,0))+IF(FA$4="X",VLOOKUP(FA$10,'VK-Võrgud'!$C:$X,2+$F59,0))</f>
        <v>3123.346</v>
      </c>
      <c r="FB59" s="279">
        <f>(IF(FB$7="X",VLOOKUP(FB$10,'VK-Hooned-Soojus'!$C:$X,2+$C59,FALSE),0)+IF(FB$6="X",VLOOKUP(FB$10,'VK-Transport'!$C:$X,2+$B59,0))+IF(FB$8="X",VLOOKUP(FB$10,'VK-Elekter'!$C:$X,2+$D59,0))+IF(FB$9="X",VLOOKUP(FB$10,'VK-Biokütused'!$C:$U,2+$E59,0))+IF(FB$5="X",VLOOKUP(FB$10,'VK-Põlevkivi'!$C:$X,2+$G59,0))+IF(FB$4="X",VLOOKUP(FB$10,'VK-Võrgud'!$C:$X,2+$F59,0)))/16</f>
        <v>123.52694262109659</v>
      </c>
      <c r="FC59" s="209">
        <f>IF(FC$7="X",VLOOKUP(FC$10,'VK-Hooned-Soojus'!$C:$X,2+$C59,FALSE),0)+IF(FC$6="X",VLOOKUP(FC$10,'VK-Transport'!$C:$X,2+$B59,0))+IF(FC$8="X",VLOOKUP(FC$10,'VK-Elekter'!$C:$X,2+$D59,0))+IF(FC$9="X",VLOOKUP(FC$10,'VK-Biokütused'!$C:$U,2+$E59,0))+IF(FC$5="X",VLOOKUP(FC$10,'VK-Põlevkivi'!$C:$X,2+$G59,0))+IF(FC$4="X",VLOOKUP(FC$10,'VK-Võrgud'!$C:$X,2+$F59,0))</f>
        <v>327.54999999999995</v>
      </c>
      <c r="FD59" s="209">
        <f>(IF(FD$7="X",VLOOKUP(FD$10,'VK-Hooned-Soojus'!$C:$X,2+$C59,FALSE),0)+IF(FD$6="X",VLOOKUP(FD$10,'VK-Transport'!$C:$X,2+$B59,0))+IF(FD$8="X",VLOOKUP(FD$10,'VK-Elekter'!$C:$X,2+$D59,0))+IF(FD$9="X",VLOOKUP(FD$10,'VK-Biokütused'!$C:$U,2+$E59,0))+IF(FD$5="X",VLOOKUP(FD$10,'VK-Põlevkivi'!$C:$X,2+$G59,0))+IF(FD$4="X",VLOOKUP(FD$10,'VK-Võrgud'!$C:$X,2+$F59,0)))/16</f>
        <v>123.52694262109659</v>
      </c>
      <c r="FE59" s="209">
        <f>(IF(FE$7="X",VLOOKUP(FE$10,'VK-Hooned-Soojus'!$C:$X,2+$C59,FALSE),0)+IF(FE$6="X",VLOOKUP(FE$10,'VK-Transport'!$C:$X,2+$B59,0))+IF(FE$8="X",VLOOKUP(FE$10,'VK-Elekter'!$C:$X,2+$D59,0))+IF(FE$9="X",VLOOKUP(FE$10,'VK-Biokütused'!$C:$U,2+$E59,0))+IF(FE$5="X",VLOOKUP(FE$10,'VK-Põlevkivi'!$C:$X,2+$G59,0))+IF(FE$4="X",VLOOKUP(FE$10,'VK-Võrgud'!$C:$X,2+$F59,0)))/16</f>
        <v>-25.081250000000001</v>
      </c>
      <c r="FF59" s="209">
        <f>(IF(FF$7="X",VLOOKUP(FF$10,'VK-Hooned-Soojus'!$C:$X,2+$C59,FALSE),0)+IF(FF$6="X",VLOOKUP(FF$10,'VK-Transport'!$C:$X,2+$B59,0))+IF(FF$8="X",VLOOKUP(FF$10,'VK-Elekter'!$C:$X,2+$D59,0))+IF(FF$9="X",VLOOKUP(FF$10,'VK-Biokütused'!$C:$U,2+$E59,0))+IF(FF$5="X",VLOOKUP(FF$10,'VK-Põlevkivi'!$C:$X,2+$G59,0))+IF(FF$4="X",VLOOKUP(FF$10,'VK-Võrgud'!$C:$X,2+$F59,0)))/16</f>
        <v>67.197752920538164</v>
      </c>
      <c r="FG59" s="88">
        <f t="shared" ca="1" si="30"/>
        <v>42.116502920538167</v>
      </c>
      <c r="FH59" s="88"/>
      <c r="FI59" s="88"/>
      <c r="FJ59" s="88">
        <f>VLOOKUP(Tulemused!$BN$12,data!M$7:N$12,2,FALSE)-SUM(L59,M59)</f>
        <v>-1.9738666666666731</v>
      </c>
      <c r="FK59" s="209" t="str">
        <f>IF(AZ59&lt;=VLOOKUP(Tulemused!$BN$15,data!$E$36:$F$39,2,FALSE),"JAH","EI")</f>
        <v>JAH</v>
      </c>
      <c r="FL59" s="235">
        <f ca="1">IF(ISNA(MATCH($A59,INDIRECT(VLOOKUP(Tulemused!$BF$11,data!$J$57:$M$71,4,FALSE)))),0,MATCH($A59,INDIRECT(VLOOKUP(Tulemused!$BF$11,data!$J$57:$M$71,4,FALSE))))</f>
        <v>0</v>
      </c>
      <c r="FM59" s="235" t="str">
        <f t="shared" ca="1" si="45"/>
        <v>JAH</v>
      </c>
      <c r="FN59" s="209">
        <f>VLOOKUP(Tulemused!$BN$13,data!$C$132:$D$137,2,FALSE)-KOMBI!R59</f>
        <v>3.5415876728770304</v>
      </c>
      <c r="FO59" s="209"/>
      <c r="FP59" s="209">
        <f>VLOOKUP(Tulemused!$BN$17,NO_x,2,FALSE)-CJ59</f>
        <v>10.337421988425461</v>
      </c>
      <c r="FQ59" s="209">
        <f>VLOOKUP(Tulemused!$BN$18,SO_2,2,FALSE)-CK59</f>
        <v>39.079675362099991</v>
      </c>
      <c r="FR59" s="209">
        <f>VLOOKUP(Tulemused!$BN$19,LOU,2,FALSE)-CN59</f>
        <v>33.912000000000006</v>
      </c>
      <c r="FS59" s="209">
        <f>VLOOKUP(Tulemused!$BN$20,PM_2.5,2,FALSE)-CM59</f>
        <v>8.3722394222510914</v>
      </c>
      <c r="FT59" s="209">
        <f>VLOOKUP(Tulemused!$BN$13,data!$C$132:$D$137,2,FALSE)-FA59/1000</f>
        <v>3.1226240000000005</v>
      </c>
      <c r="FU59" s="209">
        <f>VLOOKUP(Tulemused!$BN$17,NO_x,2,FALSE)-CO59</f>
        <v>5.056424789202719</v>
      </c>
      <c r="FV59" s="209">
        <f>VLOOKUP(Tulemused!$BN$18,SO_2,2,FALSE)-CP59</f>
        <v>38.060005169650175</v>
      </c>
      <c r="FW59" s="209">
        <f>VLOOKUP(Tulemused!$BN$19,LOU,2,FALSE)-CS59</f>
        <v>33.215665509940173</v>
      </c>
      <c r="FX59" s="209">
        <f>VLOOKUP(Tulemused!$BN$20,PM_2.5,2,FALSE)-CR59</f>
        <v>8.8229127215424246</v>
      </c>
      <c r="FY59" s="209">
        <f>VLOOKUP(Tulemused!$BN$14,KHG_2050,2,FALSE)-EF59</f>
        <v>93.925617672877024</v>
      </c>
      <c r="FZ59" s="231" t="str">
        <f t="shared" ca="1" si="31"/>
        <v>EI</v>
      </c>
      <c r="GA59" s="209"/>
      <c r="GB59" s="209"/>
      <c r="GC59" s="209"/>
      <c r="GD59" s="231"/>
      <c r="GE59" s="87">
        <f t="shared" si="46"/>
        <v>2167</v>
      </c>
      <c r="GF59" s="232" t="str">
        <f t="shared" ca="1" si="32"/>
        <v/>
      </c>
      <c r="GH59" s="238" t="e">
        <f t="shared" ca="1" si="47"/>
        <v>#NUM!</v>
      </c>
      <c r="GI59" s="87" t="e">
        <f t="array" aca="1" ref="GI59" ca="1">INDEX($A$11:$A$145, SMALL(IF(GH59=$GF$11:$GF$145, MATCH(ROW($GF$11:$GF$145), ROW($GF$11:$GF$145))), SUM(--(GH59=$GH$11:GH59))))</f>
        <v>#NUM!</v>
      </c>
      <c r="GM59" s="209">
        <f>IF(GM$7="X",VLOOKUP(GM$10,'VK-Hooned-Soojus'!$C:$X,2+$C59,FALSE),0)+IF(GM$6="X",VLOOKUP(GM$10,'VK-Transport'!$C:$X,2+$B59,0))+IF(GM$8="X",VLOOKUP(GM$10,'VK-Elekter'!$C:$X,2+$D59,0))+IF(GM$9="X",VLOOKUP(GM$10,'VK-Biokütused'!$C:$U,2+$E59,0))+IF(GM$5="X",VLOOKUP(GM$10,'VK-Põlevkivi'!$C:$X,2+$G59,0))+IF(GM$4="X",VLOOKUP(GM$10,'VK-Võrgud'!$C:$X,2+$F59,0))</f>
        <v>6.0128279910272253</v>
      </c>
      <c r="GN59" s="209">
        <f>IF(GN$7="X",VLOOKUP(GN$10,'VK-Hooned-Soojus'!$C:$X,2+$C59,FALSE),0)+IF(GN$6="X",VLOOKUP(GN$10,'VK-Transport'!$C:$X,2+$B59,0))+IF(GN$8="X",VLOOKUP(GN$10,'VK-Elekter'!$C:$X,2+$D59,0))+IF(GN$9="X",VLOOKUP(GN$10,'VK-Biokütused'!$C:$U,2+$E59,0))+IF(GN$5="X",VLOOKUP(GN$10,'VK-Põlevkivi'!$C:$X,2+$G59,0))+IF(GN$4="X",VLOOKUP(GN$10,'VK-Võrgud'!$C:$X,2+$F59,0))</f>
        <v>3.4467619395011728</v>
      </c>
      <c r="GO59" s="209">
        <f>IF(GO$7="X",VLOOKUP(GO$10,'VK-Hooned-Soojus'!$C:$X,2+$C59,FALSE),0)+IF(GO$6="X",VLOOKUP(GO$10,'VK-Transport'!$C:$X,2+$B59,0))+IF(GO$8="X",VLOOKUP(GO$10,'VK-Elekter'!$C:$X,2+$D59,0))+IF(GO$9="X",VLOOKUP(GO$10,'VK-Biokütused'!$C:$U,2+$E59,0))+IF(GO$5="X",VLOOKUP(GO$10,'VK-Põlevkivi'!$C:$X,2+$G59,0))+IF(GO$4="X",VLOOKUP(GO$10,'VK-Võrgud'!$C:$X,2+$F59,0))</f>
        <v>8.7471755658278116</v>
      </c>
      <c r="GP59" s="209">
        <f>IF(GP$7="X",VLOOKUP(GP$10,'VK-Hooned-Soojus'!$C:$X,2+$C59,FALSE),0)+IF(GP$6="X",VLOOKUP(GP$10,'VK-Transport'!$C:$X,2+$B59,0))+IF(GP$8="X",VLOOKUP(GP$10,'VK-Elekter'!$C:$X,2+$D59,0))+IF(GP$9="X",VLOOKUP(GP$10,'VK-Biokütused'!$C:$U,2+$E59,0))+IF(GP$5="X",VLOOKUP(GP$10,'VK-Põlevkivi'!$C:$X,2+$G59,0))+IF(GP$4="X",VLOOKUP(GP$10,'VK-Võrgud'!$C:$X,2+$F59,0))</f>
        <v>9.3279335818485372</v>
      </c>
      <c r="GQ59" s="88">
        <f>IF(GQ$7="X",VLOOKUP(GQ$10,'VK-Hooned-Soojus'!$C:$X,2+$C59,FALSE),0)+IF(GQ$6="X",VLOOKUP(GQ$10,'VK-Transport'!$C:$X,2+$B59,0))+IF(GQ$8="X",VLOOKUP(GQ$10,'VK-Elekter'!$C:$X,2+$D59,0))+IF(GQ$9="X",VLOOKUP(GQ$10,'VK-Biokütused'!$C:$U,2+$E59,0))+IF(GQ$5="X",VLOOKUP(GQ$10,'VK-Põlevkivi'!$C:$X,2+$G59,0))+IF(GQ$4="X",VLOOKUP(GQ$10,'VK-Võrgud'!$C:$X,2+$F59,0))</f>
        <v>0.90618397335647782</v>
      </c>
      <c r="GR59" s="186">
        <f t="shared" si="33"/>
        <v>0.39305342352153388</v>
      </c>
    </row>
    <row r="60" spans="1:200" x14ac:dyDescent="0.2">
      <c r="A60" s="184">
        <v>50</v>
      </c>
      <c r="B60" s="87">
        <v>2</v>
      </c>
      <c r="C60" s="87">
        <v>1</v>
      </c>
      <c r="D60" s="87">
        <v>2</v>
      </c>
      <c r="E60" s="87">
        <v>2</v>
      </c>
      <c r="F60" s="87">
        <f>VLOOKUP(Tulemused!$BF$7,data!$J$6:$K$8,2,FALSE)</f>
        <v>2</v>
      </c>
      <c r="G60" s="87">
        <f>VLOOKUP(data!$H$2,data!$J$12:$K$14,2,FALSE)</f>
        <v>2</v>
      </c>
      <c r="I60" s="209">
        <f>IF(I$7="X",VLOOKUP(I$10,'VK-Hooned-Soojus'!$C:$X,2+$C60,FALSE),0)+IF(I$6="X",VLOOKUP(I$10,'VK-Transport'!$C:$X,2+$B60,0))+IF(I$8="X",VLOOKUP(I$10,'VK-Elekter'!$C:$X,2+$D60,0))+IF(I$9="X",VLOOKUP(I$10,'VK-Biokütused'!$C:$U,2+$E60,0))+IF(I$5="X",VLOOKUP(I$10,'VK-Põlevkivi'!$C:$X,2+$G60,0))+IF(I$4="X",VLOOKUP(I$10,'VK-Võrgud'!$C:$X,2+$F60,0))</f>
        <v>26.89</v>
      </c>
      <c r="J60" s="209">
        <f>IF(J$7="X",VLOOKUP(J$10,'VK-Hooned-Soojus'!$C:$X,2+$C60,FALSE),0)+IF(J$6="X",VLOOKUP(J$10,'VK-Transport'!$C:$X,2+$B60,0))+IF(J$8="X",VLOOKUP(J$10,'VK-Elekter'!$C:$X,2+$D60,0))+IF(J$9="X",VLOOKUP(J$10,'VK-Biokütused'!$C:$U,2+$E60,0))+IF(J$5="X",VLOOKUP(J$10,'VK-Põlevkivi'!$C:$X,2+$G60,0))+IF(J$4="X",VLOOKUP(J$10,'VK-Võrgud'!$C:$X,2+$F60,0))</f>
        <v>11.138055555555555</v>
      </c>
      <c r="K60" s="209">
        <f>IF(K$7="X",VLOOKUP(K$10,'VK-Hooned-Soojus'!$C:$X,2+$C60,FALSE),0)+IF(K$6="X",VLOOKUP(K$10,'VK-Transport'!$C:$X,2+$B60,0))+IF(K$8="X",VLOOKUP(K$10,'VK-Elekter'!$C:$X,2+$D60,0))+IF(K$9="X",VLOOKUP(K$10,'VK-Biokütused'!$C:$U,2+$E60,0))+IF(K$5="X",VLOOKUP(K$10,'VK-Põlevkivi'!$C:$X,2+$G60,0))+IF(K$4="X",VLOOKUP(K$10,'VK-Võrgud'!$C:$X,2+$F60,0))</f>
        <v>16.75</v>
      </c>
      <c r="L60" s="209">
        <f>IF(L$7="X",VLOOKUP(L$10,'VK-Hooned-Soojus'!$C:$X,2+$C60,FALSE),0)+IF(L$6="X",VLOOKUP(L$10,'VK-Transport'!$C:$X,2+$B60,0))+IF(L$8="X",VLOOKUP(L$10,'VK-Elekter'!$C:$X,2+$D60,0))+IF(L$9="X",VLOOKUP(L$10,'VK-Biokütused'!$C:$U,2+$E60,0))+IF(L$5="X",VLOOKUP(L$10,'VK-Põlevkivi'!$C:$X,2+$G60,0))+IF(L$4="X",VLOOKUP(L$10,'VK-Võrgud'!$C:$X,2+$F60,0))</f>
        <v>24.95</v>
      </c>
      <c r="M60" s="209">
        <f>IF(M$7="X",VLOOKUP(M$10,'VK-Hooned-Soojus'!$C:$X,2+$C60,FALSE),0)+IF(M$6="X",VLOOKUP(M$10,'VK-Transport'!$C:$X,2+$B60,0))+IF(M$8="X",VLOOKUP(M$10,'VK-Elekter'!$C:$X,2+$D60,0))+IF(M$9="X",VLOOKUP(M$10,'VK-Biokütused'!$C:$U,2+$E60,0))+IF(M$5="X",VLOOKUP(M$10,'VK-Põlevkivi'!$C:$X,2+$G60,0))+IF(M$4="X",VLOOKUP(M$10,'VK-Võrgud'!$C:$X,2+$F60,0))</f>
        <v>9.8566666666666674</v>
      </c>
      <c r="N60" s="209">
        <f>IF(N$7="X",VLOOKUP(N$10,'VK-Hooned-Soojus'!$C:$X,2+$C60,FALSE),0)+IF(N$6="X",VLOOKUP(N$10,'VK-Transport'!$C:$X,2+$B60,0))+IF(N$8="X",VLOOKUP(N$10,'VK-Elekter'!$C:$X,2+$D60,0))+IF(N$9="X",VLOOKUP(N$10,'VK-Biokütused'!$C:$U,2+$E60,0))+IF(N$5="X",VLOOKUP(N$10,'VK-Põlevkivi'!$C:$X,2+$G60,0))+IF(N$4="X",VLOOKUP(N$10,'VK-Võrgud'!$C:$X,2+$F60,0))</f>
        <v>16.75</v>
      </c>
      <c r="O60" s="209">
        <f t="shared" si="13"/>
        <v>38.028055555555554</v>
      </c>
      <c r="P60" s="209"/>
      <c r="Q60" s="209">
        <f>(IF(Q$7="X",VLOOKUP(Q$10,'VK-Hooned-Soojus'!$C:$X,2+$C60,FALSE),0)+IF(Q$6="X",VLOOKUP(Q$10,'VK-Transport'!$C:$X,2+$B60,0))+IF(Q$8="X",VLOOKUP(Q$10,'VK-Elekter'!$C:$X,2+$D60,0))+IF(Q$9="X",VLOOKUP(Q$10,'VK-Biokütused'!$C:$U,2+$E60,0))+IF(Q$5="X",VLOOKUP(Q$10,'VK-Põlevkivi'!$C:$X,2+$G60,0))+IF(Q$4="X",VLOOKUP(Q$10,'VK-Võrgud'!$C:$X,2+$F60,0)))/1000</f>
        <v>5.3630000000000004</v>
      </c>
      <c r="R60" s="209">
        <f>(IF(R$7="X",VLOOKUP(R$10,'VK-Hooned-Soojus'!$C:$X,2+$C60,FALSE),0)+IF(R$6="X",VLOOKUP(R$10,'VK-Transport'!$C:$X,2+$B60,0))+IF(R$8="X",VLOOKUP(R$10,'VK-Elekter'!$C:$X,2+$D60,0))+IF(R$9="X",VLOOKUP(R$10,'VK-Biokütused'!$C:$U,2+$E60,0))+IF(R$5="X",VLOOKUP(R$10,'VK-Põlevkivi'!$C:$X,2+$G60,0))+IF(R$4="X",VLOOKUP(R$10,'VK-Võrgud'!$C:$X,2+$F60,0)))/1000</f>
        <v>3.0818823271229703</v>
      </c>
      <c r="S60" s="226">
        <f>VLOOKUP(S$10,'VK-Hooned-Soojus'!$C:$I,2+$C60,FALSE) + VLOOKUP(S$10,'VK-Transport'!$C:$I,2+$B60,FALSE)+ VLOOKUP(S$10,'VK-Biokütused'!$C:$G,2+$E60,FALSE)+ VLOOKUP(S$10,'VK-Elekter'!$C:$I,2+$D60,FALSE)+ VLOOKUP(S$10,'VK-Põlevkivi'!$C:$I,2+$G60,FALSE)+ VLOOKUP(S$10,'VK-Võrgud'!$C:$I,2+$F60,FALSE)</f>
        <v>1.1112998735454769E-2</v>
      </c>
      <c r="T60" s="226">
        <f>VLOOKUP(T$10,'VK-Hooned-Soojus'!$C:$I,2+$C60,FALSE) + VLOOKUP(T$10,'VK-Transport'!$C:$I,2+$B60,FALSE)+ VLOOKUP(T$10,'VK-Biokütused'!$C:$G,2+$E60,FALSE)+ VLOOKUP(T$10,'VK-Elekter'!$C:$I,2+$D60,FALSE)+ VLOOKUP(T$10,'VK-Põlevkivi'!$C:$I,2+$G60,FALSE)+ VLOOKUP(T$10,'VK-Võrgud'!$C:$I,2+$F60,FALSE)</f>
        <v>2.0271749018676948E-4</v>
      </c>
      <c r="U60" s="226">
        <f>VLOOKUP(U$10,'VK-Hooned-Soojus'!$C:$I,2+$C60,FALSE) + VLOOKUP(U$10,'VK-Transport'!$C:$I,2+$B60,FALSE)+ VLOOKUP(U$10,'VK-Biokütused'!$C:$G,2+$E60,FALSE)+ VLOOKUP(U$10,'VK-Elekter'!$C:$I,2+$D60,FALSE)+ VLOOKUP(U$10,'VK-Põlevkivi'!$C:$I,2+$G60,FALSE)+ VLOOKUP(U$10,'VK-Võrgud'!$C:$I,2+$F60,FALSE)</f>
        <v>4.3404027197599393E-3</v>
      </c>
      <c r="V60" s="226">
        <f>VLOOKUP(V$10,'VK-Hooned-Soojus'!$C:$I,2+$C60,FALSE) + VLOOKUP(V$10,'VK-Transport'!$C:$I,2+$B60,FALSE)+ VLOOKUP(V$10,'VK-Biokütused'!$C:$G,2+$E60,FALSE)+ VLOOKUP(V$10,'VK-Elekter'!$C:$I,2+$D60,FALSE)+ VLOOKUP(V$10,'VK-Põlevkivi'!$C:$I,2+$G60,FALSE)+ VLOOKUP(V$10,'VK-Võrgud'!$C:$I,2+$F60,FALSE)</f>
        <v>6.8221767313665065E-3</v>
      </c>
      <c r="W60" s="226">
        <f>VLOOKUP(W$10,'VK-Hooned-Soojus'!$C:$I,2+$C60,FALSE) + VLOOKUP(W$10,'VK-Transport'!$C:$I,2+$B60,FALSE)+ VLOOKUP(W$10,'VK-Biokütused'!$C:$G,2+$E60,FALSE)+ VLOOKUP(W$10,'VK-Elekter'!$C:$I,2+$D60,FALSE)+ VLOOKUP(W$10,'VK-Põlevkivi'!$C:$I,2+$G60,FALSE)+ VLOOKUP(W$10,'VK-Võrgud'!$C:$I,2+$F60,FALSE)</f>
        <v>-1.1546963285918527E-2</v>
      </c>
      <c r="X60" s="226">
        <f>VLOOKUP(X$10,'VK-Hooned-Soojus'!$C:$I,2+$C60,FALSE) + VLOOKUP(X$10,'VK-Transport'!$C:$I,2+$B60,FALSE)+ VLOOKUP(X$10,'VK-Biokütused'!$C:$G,2+$E60,FALSE)+ VLOOKUP(X$10,'VK-Elekter'!$C:$I,2+$D60,FALSE)+ VLOOKUP(X$10,'VK-Põlevkivi'!$C:$I,2+$G60,FALSE)+ VLOOKUP(X$10,'VK-Võrgud'!$C:$I,2+$F60,FALSE)</f>
        <v>-1.9435489633139569E-2</v>
      </c>
      <c r="Y60" s="226">
        <f>VLOOKUP(Y$10,'VK-Hooned-Soojus'!$C:$I,2+$C60,FALSE) + VLOOKUP(Y$10,'VK-Transport'!$C:$I,2+$B60,FALSE)+ VLOOKUP(Y$10,'VK-Biokütused'!$C:$G,2+$E60,FALSE)+ VLOOKUP(Y$10,'VK-Elekter'!$C:$I,2+$D60,FALSE)+ VLOOKUP(Y$10,'VK-Põlevkivi'!$C:$I,2+$G60,FALSE)+ VLOOKUP(Y$10,'VK-Võrgud'!$C:$I,2+$F60,FALSE)</f>
        <v>-2.2919019246013462E-2</v>
      </c>
      <c r="Z60" s="227">
        <f>(S60*Tulemused!$Q$9*10+T60*Tulemused!$Q$10*10+KOMBI!U60*Tulemused!$Q$11*10+KOMBI!V60*Tulemused!$Q$12*10)*Tulemused!$Q$8+-(W60*Tulemused!$Q$14*10+KOMBI!X60*Tulemused!$Q$15*10+KOMBI!Y60*Tulemused!$Q$16*10)*Tulemused!$Q$13</f>
        <v>3.0595649980615867</v>
      </c>
      <c r="AA60" s="228">
        <f>(IF(AA$7="X",VLOOKUP(AA$10,'VK-Hooned-Soojus'!$C:$X,2+$C60,FALSE),0)+IF(AA$6="X",VLOOKUP(AA$10,'VK-Transport'!$C:$X,2+$B60,0))+IF(AA$8="X",VLOOKUP(AA$10,'VK-Elekter'!$C:$X,2+$D60,0))+IF(AA$9="X",VLOOKUP(AA$10,'VK-Biokütused'!$C:$U,2+$E60,0))+IF(AA$5="X",VLOOKUP(AA$10,'VK-Põlevkivi'!$C:$X,2+$G60,0))+IF(AA$4="X",VLOOKUP(AA$10,'VK-Võrgud'!$C:$X,2+$F60,0)))</f>
        <v>3761</v>
      </c>
      <c r="AB60" s="228">
        <f>(IF(AB$7="X",VLOOKUP(AB$10,'VK-Hooned-Soojus'!$C:$X,2+$C60,FALSE),0)+IF(AB$6="X",VLOOKUP(AB$10,'VK-Transport'!$C:$X,2+$B60,0))+IF(AB$8="X",VLOOKUP(AB$10,'VK-Elekter'!$C:$X,2+$D60,0))+IF(AB$9="X",VLOOKUP(AB$10,'VK-Biokütused'!$C:$U,2+$E60,0))+IF(AB$5="X",VLOOKUP(AB$10,'VK-Põlevkivi'!$C:$X,2+$G60,0))+IF(AB$4="X",VLOOKUP(AB$10,'VK-Võrgud'!$C:$X,2+$F60,0)))</f>
        <v>1602</v>
      </c>
      <c r="AC60" s="228">
        <f>(IF(AC$7="X",VLOOKUP(AC$10,'VK-Hooned-Soojus'!$C:$X,2+$C60,FALSE),0)+IF(AC$6="X",VLOOKUP(AC$10,'VK-Transport'!$C:$X,2+$B60,0))+IF(AC$8="X",VLOOKUP(AC$10,'VK-Elekter'!$C:$X,2+$D60,0))+IF(AC$9="X",VLOOKUP(AC$10,'VK-Biokütused'!$C:$U,2+$E60,0))+IF(AC$5="X",VLOOKUP(AC$10,'VK-Põlevkivi'!$C:$X,2+$G60,0))+IF(AC$4="X",VLOOKUP(AC$10,'VK-Võrgud'!$C:$X,2+$F60,0)))</f>
        <v>2346</v>
      </c>
      <c r="AD60" s="228">
        <f>(IF(AD$7="X",VLOOKUP(AD$10,'VK-Hooned-Soojus'!$C:$X,2+$C60,FALSE),0)+IF(AD$6="X",VLOOKUP(AD$10,'VK-Transport'!$C:$X,2+$B60,0))+IF(AD$8="X",VLOOKUP(AD$10,'VK-Elekter'!$C:$X,2+$D60,0))+IF(AD$9="X",VLOOKUP(AD$10,'VK-Biokütused'!$C:$U,2+$E60,0))+IF(AD$5="X",VLOOKUP(AD$10,'VK-Põlevkivi'!$C:$X,2+$G60,0))+IF(AD$4="X",VLOOKUP(AD$10,'VK-Võrgud'!$C:$X,2+$F60,0)))</f>
        <v>377.5</v>
      </c>
      <c r="AE60" s="228">
        <f>(IF(AE$7="X",VLOOKUP(AE$10,'VK-Hooned-Soojus'!$C:$X,2+$C60,FALSE),0)+IF(AE$6="X",VLOOKUP(AE$10,'VK-Transport'!$C:$X,2+$B60,0))+IF(AE$8="X",VLOOKUP(AE$10,'VK-Elekter'!$C:$X,2+$D60,0))+IF(AE$9="X",VLOOKUP(AE$10,'VK-Biokütused'!$C:$U,2+$E60,0))+IF(AE$5="X",VLOOKUP(AE$10,'VK-Põlevkivi'!$C:$X,2+$G60,0))+IF(AE$4="X",VLOOKUP(AE$10,'VK-Võrgud'!$C:$X,2+$F60,0)))</f>
        <v>812</v>
      </c>
      <c r="AF60" s="228">
        <f>(IF(AF$7="X",VLOOKUP(AF$10,'VK-Hooned-Soojus'!$C:$X,2+$C60,FALSE),0)+IF(AF$6="X",VLOOKUP(AF$10,'VK-Transport'!$C:$X,2+$B60,0))+IF(AF$8="X",VLOOKUP(AF$10,'VK-Elekter'!$C:$X,2+$D60,0))+IF(AF$9="X",VLOOKUP(AF$10,'VK-Biokütused'!$C:$U,2+$E60,0))+IF(AF$5="X",VLOOKUP(AF$10,'VK-Põlevkivi'!$C:$X,2+$G60,0))+IF(AF$4="X",VLOOKUP(AF$10,'VK-Võrgud'!$C:$X,2+$F60,0)))</f>
        <v>1892.3823271229701</v>
      </c>
      <c r="AG60" s="209"/>
      <c r="AH60" s="209">
        <f>IF(AH$7="X",VLOOKUP(AH$10,'VK-Hooned-Soojus'!$C:$X,2+$C60,FALSE),0)+IF(AH$6="X",VLOOKUP(AH$10,'VK-Transport'!$C:$X,2+$B60,0))+IF(AH$8="X",VLOOKUP(AH$10,'VK-Elekter'!$C:$X,2+$D60,0))+IF(AH$9="X",VLOOKUP(AH$10,'VK-Biokütused'!$C:$U,2+$E60,0))+IF(AH$5="X",VLOOKUP(AH$10,'VK-Põlevkivi'!$C:$X,2+$G60,0))+IF(AH$4="X",VLOOKUP(AH$10,'VK-Võrgud'!$C:$X,2+$F60,0))</f>
        <v>11.64</v>
      </c>
      <c r="AI60" s="209">
        <f>IF(AI$7="X",VLOOKUP(AI$10,'VK-Hooned-Soojus'!$C:$X,2+$C60,FALSE),0)+IF(AI$6="X",VLOOKUP(AI$10,'VK-Transport'!$C:$X,2+$B60,0))+IF(AI$8="X",VLOOKUP(AI$10,'VK-Elekter'!$C:$X,2+$D60,0))+IF(AI$9="X",VLOOKUP(AI$10,'VK-Biokütused'!$C:$U,2+$E60,0))+IF(AI$5="X",VLOOKUP(AI$10,'VK-Põlevkivi'!$C:$X,2+$G60,0))+IF(AI$4="X",VLOOKUP(AI$10,'VK-Võrgud'!$C:$X,2+$F60,0))</f>
        <v>2.3100000000000005</v>
      </c>
      <c r="AJ60" s="209">
        <f>IF(AJ$7="X",VLOOKUP(AJ$10,'VK-Hooned-Soojus'!$C:$X,2+$C60,FALSE),0)+IF(AJ$6="X",VLOOKUP(AJ$10,'VK-Transport'!$C:$X,2+$B60,0))+IF(AJ$8="X",VLOOKUP(AJ$10,'VK-Elekter'!$C:$X,2+$D60,0))+IF(AJ$9="X",VLOOKUP(AJ$10,'VK-Biokütused'!$C:$U,2+$E60,0))+IF(AJ$5="X",VLOOKUP(AJ$10,'VK-Põlevkivi'!$C:$X,2+$G60,0))+IF(AJ$4="X",VLOOKUP(AJ$10,'VK-Võrgud'!$C:$X,2+$F60,0))</f>
        <v>9.25</v>
      </c>
      <c r="AK60" s="209">
        <f>IF(AK$7="X",VLOOKUP(AK$10,'VK-Hooned-Soojus'!$C:$X,2+$C60,FALSE),0)+IF(AK$6="X",VLOOKUP(AK$10,'VK-Transport'!$C:$X,2+$B60,0))+IF(AK$8="X",VLOOKUP(AK$10,'VK-Elekter'!$C:$X,2+$D60,0))+IF(AK$9="X",VLOOKUP(AK$10,'VK-Biokütused'!$C:$U,2+$E60,0))+IF(AK$5="X",VLOOKUP(AK$10,'VK-Põlevkivi'!$C:$X,2+$G60,0))+IF(AK$4="X",VLOOKUP(AK$10,'VK-Võrgud'!$C:$X,2+$F60,0))</f>
        <v>2.78</v>
      </c>
      <c r="AL60" s="209">
        <f>IF(AL$7="X",VLOOKUP(AL$10,'VK-Hooned-Soojus'!$C:$X,2+$C60,FALSE),0)+IF(AL$6="X",VLOOKUP(AL$10,'VK-Transport'!$C:$X,2+$B60,0))+IF(AL$8="X",VLOOKUP(AL$10,'VK-Elekter'!$C:$X,2+$D60,0))+IF(AL$9="X",VLOOKUP(AL$10,'VK-Biokütused'!$C:$U,2+$E60,0))+IF(AL$5="X",VLOOKUP(AL$10,'VK-Põlevkivi'!$C:$X,2+$G60,0))+IF(AL$4="X",VLOOKUP(AL$10,'VK-Võrgud'!$C:$X,2+$F60,0))</f>
        <v>7.1999999999999993</v>
      </c>
      <c r="AM60" s="209">
        <f>IF(AM$7="X",VLOOKUP(AM$10,'VK-Hooned-Soojus'!$C:$X,2+$C60,FALSE),0)+IF(AM$6="X",VLOOKUP(AM$10,'VK-Transport'!$C:$X,2+$B60,0))+IF(AM$8="X",VLOOKUP(AM$10,'VK-Elekter'!$C:$X,2+$D60,0))+IF(AM$9="X",VLOOKUP(AM$10,'VK-Biokütused'!$C:$U,2+$E60,0))+IF(AM$5="X",VLOOKUP(AM$10,'VK-Põlevkivi'!$C:$X,2+$G60,0))+IF(AM$4="X",VLOOKUP(AM$10,'VK-Võrgud'!$C:$X,2+$F60,0))</f>
        <v>12.9</v>
      </c>
      <c r="AN60" s="209">
        <f>IF(AN$7="X",VLOOKUP(AN$10,'VK-Hooned-Soojus'!$C:$X,2+$C60,FALSE),0)+IF(AN$6="X",VLOOKUP(AN$10,'VK-Transport'!$C:$X,2+$B60,0))+IF(AN$8="X",VLOOKUP(AN$10,'VK-Elekter'!$C:$X,2+$D60,0))+IF(AN$9="X",VLOOKUP(AN$10,'VK-Biokütused'!$C:$U,2+$E60,0))+IF(AN$5="X",VLOOKUP(AN$10,'VK-Põlevkivi'!$C:$X,2+$G60,0))+IF(AN$4="X",VLOOKUP(AN$10,'VK-Võrgud'!$C:$X,2+$F60,0))</f>
        <v>5.6999999999999993</v>
      </c>
      <c r="AO60" s="209">
        <f>IF(AO$7="X",VLOOKUP(AO$10,'VK-Hooned-Soojus'!$C:$X,2+$C60,FALSE),0)+IF(AO$6="X",VLOOKUP(AO$10,'VK-Transport'!$C:$X,2+$B60,0))+IF(AO$8="X",VLOOKUP(AO$10,'VK-Elekter'!$C:$X,2+$D60,0))+IF(AO$9="X",VLOOKUP(AO$10,'VK-Biokütused'!$C:$U,2+$E60,0))+IF(AO$5="X",VLOOKUP(AO$10,'VK-Põlevkivi'!$C:$X,2+$G60,0))+IF(AO$4="X",VLOOKUP(AO$10,'VK-Võrgud'!$C:$X,2+$F60,0))</f>
        <v>13.56</v>
      </c>
      <c r="AP60" s="209">
        <f>IF(AP$7="X",VLOOKUP(AP$10,'VK-Hooned-Soojus'!$C:$X,2+$C60,FALSE),0)+IF(AP$6="X",VLOOKUP(AP$10,'VK-Transport'!$C:$X,2+$B60,0))+IF(AP$8="X",VLOOKUP(AP$10,'VK-Elekter'!$C:$X,2+$D60,0))+IF(AP$9="X",VLOOKUP(AP$10,'VK-Biokütused'!$C:$U,2+$E60,0))+IF(AP$5="X",VLOOKUP(AP$10,'VK-Põlevkivi'!$C:$X,2+$G60,0))+IF(AP$4="X",VLOOKUP(AP$10,'VK-Võrgud'!$C:$X,2+$F60,0))</f>
        <v>6.78</v>
      </c>
      <c r="AQ60" s="320">
        <f t="shared" si="14"/>
        <v>1.2599999999999998</v>
      </c>
      <c r="AR60" s="209">
        <f>IF(AR$7="X",VLOOKUP(AR$10,'VK-Hooned-Soojus'!$C:$X,2+$C60,FALSE),0)+IF(AR$6="X",VLOOKUP(AR$10,'VK-Transport'!$C:$X,2+$B60,0))+IF(AR$8="X",VLOOKUP(AR$10,'VK-Elekter'!$C:$X,2+$D60,0))+IF(AR$9="X",VLOOKUP(AR$10,'VK-Biokütused'!$C:$U,2+$E60,0))+IF(AR$5="X",VLOOKUP(AR$10,'VK-Põlevkivi'!$C:$X,2+$G60,0))+IF(AR$4="X",VLOOKUP(AR$10,'VK-Võrgud'!$C:$X,2+$F60,0))</f>
        <v>3.4899999999999998</v>
      </c>
      <c r="AS60" s="320">
        <f>VLOOKUP("Kütuste tarbimine @ 2030 - UTTEGAAS",'VK-Hooned-Soojus'!$C:$X,2+$C60,FALSE)/0.172+VLOOKUP("Kütuste tarbimine @ 2030 - UTTEGAAS",'VK-Elekter'!$C:$X,2+$D60,FALSE)/0.172-AR60-AU60</f>
        <v>2.7565116279069759</v>
      </c>
      <c r="AT60" s="209">
        <f>IF(AT$7="X",VLOOKUP(AT$10,'VK-Hooned-Soojus'!$C:$X,2+$C60,FALSE),0)+IF(AT$6="X",VLOOKUP(AT$10,'VK-Transport'!$C:$X,2+$B60,0))+IF(AT$8="X",VLOOKUP(AT$10,'VK-Elekter'!$C:$X,2+$D60,0))+IF(AT$9="X",VLOOKUP(AT$10,'VK-Biokütused'!$C:$U,2+$E60,0))+IF(AT$5="X",VLOOKUP(AT$10,'VK-Põlevkivi'!$C:$X,2+$G60,0))+IF(AT$4="X",VLOOKUP(AT$10,'VK-Võrgud'!$C:$X,2+$F60,0))</f>
        <v>9.2784458909544707</v>
      </c>
      <c r="AU60" s="229">
        <f>MAX(0,(VLOOKUP("Kütuste tarbimine @ 2030 - UTTEGAAS",'VK-Hooned-Soojus'!$C:$X,2+$C60,FALSE)/0.172+VLOOKUP("Kütuste tarbimine @ 2030 - UTTEGAAS",'VK-Elekter'!$C:$X,2+$D60,FALSE)/0.172)*0.52-VLOOKUP("Kütuste tarbimine @ 2030 - PÕLEVKIVIÕLI",'VK-Hooned-Soojus'!$C:$X,2+$C60,FALSE))</f>
        <v>4.6837209302325586</v>
      </c>
      <c r="AV60" s="209">
        <f>IF(AV$7="X",VLOOKUP(AV$10,'VK-Hooned-Soojus'!$C:$X,2+$C60,FALSE),0)+IF(AV$6="X",VLOOKUP(AV$10,'VK-Transport'!$C:$X,2+$B60,0))+IF(AV$8="X",VLOOKUP(AV$10,'VK-Elekter'!$C:$X,2+$D60,0))+IF(AV$9="X",VLOOKUP(AV$10,'VK-Biokütused'!$C:$U,2+$E60,0))+IF(AV$5="X",VLOOKUP(AV$10,'VK-Põlevkivi'!$C:$X,2+$G60,0))+IF(AV$4="X",VLOOKUP(AV$10,'VK-Võrgud'!$C:$X,2+$F60,0))</f>
        <v>1.7257321590343366</v>
      </c>
      <c r="AW60" s="209">
        <f>IF(AW$7="X",VLOOKUP(AW$10,'VK-Hooned-Soojus'!$C:$X,2+$C60,FALSE),0)+IF(AW$6="X",VLOOKUP(AW$10,'VK-Transport'!$C:$X,2+$B60,0))+IF(AW$8="X",VLOOKUP(AW$10,'VK-Elekter'!$C:$X,2+$D60,0))+IF(AW$9="X",VLOOKUP(AW$10,'VK-Biokütused'!$C:$U,2+$E60,0))+IF(AW$5="X",VLOOKUP(AW$10,'VK-Põlevkivi'!$C:$X,2+$G60,0))+IF(AW$4="X",VLOOKUP(AW$10,'VK-Võrgud'!$C:$X,2+$F60,0))</f>
        <v>2.141</v>
      </c>
      <c r="AX60" s="229">
        <f t="shared" si="34"/>
        <v>0.41526784096566338</v>
      </c>
      <c r="AY60" s="229">
        <f t="shared" si="15"/>
        <v>0</v>
      </c>
      <c r="AZ60" s="230">
        <f t="shared" si="36"/>
        <v>0.55876787668977634</v>
      </c>
      <c r="BA60" s="209">
        <f>IF(BA$7="X",VLOOKUP(BA$10,'VK-Hooned-Soojus'!$C:$X,2+$C60,FALSE),0)+IF(BA$6="X",VLOOKUP(BA$10,'VK-Transport'!$C:$X,2+$B60,0))+IF(BA$8="X",VLOOKUP(BA$10,'VK-Elekter'!$C:$X,2+$D60,0))+IF(BA$9="X",VLOOKUP(BA$10,'VK-Biokütused'!$C:$U,2+$E60,0))+IF(BA$5="X",VLOOKUP(BA$10,'VK-Põlevkivi'!$C:$X,2+$G60,0))+IF(BA$4="X",VLOOKUP(BA$10,'VK-Võrgud'!$C:$X,2+$F60,0))</f>
        <v>4.25</v>
      </c>
      <c r="BB60" s="209">
        <f>IF(BB$7="X",VLOOKUP(BB$10,'VK-Hooned-Soojus'!$C:$X,2+$C60,FALSE),0)+IF(BB$6="X",VLOOKUP(BB$10,'VK-Transport'!$C:$X,2+$B60,0))+IF(BB$8="X",VLOOKUP(BB$10,'VK-Elekter'!$C:$X,2+$D60,0))+IF(BB$9="X",VLOOKUP(BB$10,'VK-Biokütused'!$C:$U,2+$E60,0))+IF(BB$5="X",VLOOKUP(BB$10,'VK-Põlevkivi'!$C:$X,2+$G60,0))+IF(BB$4="X",VLOOKUP(BB$10,'VK-Võrgud'!$C:$X,2+$F60,0))</f>
        <v>2.93</v>
      </c>
      <c r="BC60" s="209">
        <f>IF(BC$7="X",VLOOKUP(BC$10,'VK-Hooned-Soojus'!$C:$X,2+$C60,FALSE),0)+IF(BC$6="X",VLOOKUP(BC$10,'VK-Transport'!$C:$X,2+$B60,0))+IF(BC$8="X",VLOOKUP(BC$10,'VK-Elekter'!$C:$X,2+$D60,0))+IF(BC$9="X",VLOOKUP(BC$10,'VK-Biokütused'!$C:$U,2+$E60,0))+IF(BC$5="X",VLOOKUP(BC$10,'VK-Põlevkivi'!$C:$X,2+$G60,0))+IF(BC$4="X",VLOOKUP(BC$10,'VK-Võrgud'!$C:$X,2+$F60,0))</f>
        <v>8.0523611111111126</v>
      </c>
      <c r="BD60" s="209">
        <f>IF(BD$7="X",VLOOKUP(BD$10,'VK-Hooned-Soojus'!$C:$X,2+$C60,FALSE),0)+IF(BD$6="X",VLOOKUP(BD$10,'VK-Transport'!$C:$X,2+$B60,0))+IF(BD$8="X",VLOOKUP(BD$10,'VK-Elekter'!$C:$X,2+$D60,0))+IF(BD$9="X",VLOOKUP(BD$10,'VK-Biokütused'!$C:$U,2+$E60,0))+IF(BD$5="X",VLOOKUP(BD$10,'VK-Põlevkivi'!$C:$X,2+$G60,0))+IF(BD$4="X",VLOOKUP(BD$10,'VK-Võrgud'!$C:$X,2+$F60,0))</f>
        <v>10.42138888888889</v>
      </c>
      <c r="BE60" s="230"/>
      <c r="BF60" s="229">
        <f t="shared" si="16"/>
        <v>0.33475993463505049</v>
      </c>
      <c r="BG60" s="209" t="e">
        <f>(IF(BG$7="X",VLOOKUP(BG$10,'VK-Hooned-Soojus'!$C:$X,2+$C60,FALSE),0)+IF(BG$6="X",VLOOKUP(BG$10,'VK-Transport'!$C:$X,2+$B60,0))+IF(BG$8="X",VLOOKUP(BG$10,'VK-Elekter'!$C:$X,2+$D60,0))+IF(BG$9="X",VLOOKUP(BG$10,'VK-Biokütused'!$C:$U,2+$E60,0))+IF(BG$5="X",VLOOKUP(BG$10,'VK-Põlevkivi'!$C:$X,2+$G60,0))+IF(BG$4="X",VLOOKUP(BG$10,'VK-Võrgud'!$C:$X,2+$F60,0)))/20</f>
        <v>#N/A</v>
      </c>
      <c r="BH60" s="209">
        <f>(IF(BH$7="X",VLOOKUP(BH$10,'VK-Hooned-Soojus'!$C:$X,2+$C60,FALSE),0)+IF(BH$6="X",VLOOKUP(BH$10,'VK-Transport'!$C:$X,2+$B60,0))+IF(BH$8="X",VLOOKUP(BH$10,'VK-Elekter'!$C:$X,2+$D60,0))+IF(BH$9="X",VLOOKUP(BH$10,'VK-Biokütused'!$C:$U,2+$E60,0))+IF(BH$5="X",VLOOKUP(BH$10,'VK-Põlevkivi'!$C:$X,2+$G60,0))+IF(BH$4="X",VLOOKUP(BH$10,'VK-Võrgud'!$C:$X,2+$F60,0)))/20</f>
        <v>13.99</v>
      </c>
      <c r="BI60" s="209">
        <f>(IF(BI$7="X",VLOOKUP(BI$10,'VK-Hooned-Soojus'!$C:$X,2+$C60,FALSE),0)+IF(BI$6="X",VLOOKUP(BI$10,'VK-Transport'!$C:$X,2+$B60,0))+IF(BI$8="X",VLOOKUP(BI$10,'VK-Elekter'!$C:$X,2+$D60,0))+IF(BI$9="X",VLOOKUP(BI$10,'VK-Biokütused'!$C:$U,2+$E60,0))+IF(BI$5="X",VLOOKUP(BI$10,'VK-Põlevkivi'!$C:$X,2+$G60,0))+IF(BI$4="X",VLOOKUP(BI$10,'VK-Võrgud'!$C:$X,2+$F60,0)))/16</f>
        <v>17.75</v>
      </c>
      <c r="BJ60" s="209">
        <f>(IF(BJ$7="X",VLOOKUP(BJ$10,'VK-Hooned-Soojus'!$C:$X,2+$C60,FALSE),0)+IF(BJ$6="X",VLOOKUP(BJ$10,'VK-Transport'!$C:$X,2+$B60,0))+IF(BJ$8="X",VLOOKUP(BJ$10,'VK-Elekter'!$C:$X,2+$D60,0))+IF(BJ$9="X",VLOOKUP(BJ$10,'VK-Biokütused'!$C:$U,2+$E60,0))+IF(BJ$5="X",VLOOKUP(BJ$10,'VK-Põlevkivi'!$C:$X,2+$G60,0))+IF(BJ$4="X",VLOOKUP(BJ$10,'VK-Võrgud'!$C:$X,2+$F60,0)))/20</f>
        <v>1.85</v>
      </c>
      <c r="BK60" s="209"/>
      <c r="BL60" s="209"/>
      <c r="BM60" s="209"/>
      <c r="BN60" s="209" t="e">
        <f>(IF(BN$7="X",VLOOKUP(BN$10,'VK-Hooned-Soojus'!$C:$X,2+$C60,FALSE),0)+IF(BN$6="X",VLOOKUP(BN$10,'VK-Transport'!$C:$X,2+$B60,0))+IF(BN$8="X",VLOOKUP(BN$10,'VK-Elekter'!$C:$X,2+$D60,0))+IF(BN$9="X",VLOOKUP(BN$10,'VK-Biokütused'!$C:$U,2+$E60,0))+IF(BN$5="X",VLOOKUP(BN$10,'VK-Põlevkivi'!$C:$X,2+$G60,0))+IF(BN$4="X",VLOOKUP(BN$10,'VK-Võrgud'!$C:$X,2+$F60,0)))/16</f>
        <v>#N/A</v>
      </c>
      <c r="BO60" s="209">
        <f>(IF(BO$7="X",VLOOKUP(BO$10,'VK-Hooned-Soojus'!$C:$X,2+$C60,FALSE),0)+IF(BO$6="X",VLOOKUP(BO$10,'VK-Transport'!$C:$X,2+$B60,0))+IF(BO$8="X",VLOOKUP(BO$10,'VK-Elekter'!$C:$X,2+$D60,0))+IF(BO$9="X",VLOOKUP(BO$10,'VK-Biokütused'!$C:$U,2+$E60,0))+IF(BO$5="X",VLOOKUP(BO$10,'VK-Põlevkivi'!$C:$X,2+$G60,0))+IF(BO$4="X",VLOOKUP(BO$10,'VK-Võrgud'!$C:$X,2+$F60,0)))/16</f>
        <v>405.45</v>
      </c>
      <c r="BP60" s="209"/>
      <c r="BQ60" s="209">
        <f>(IF(BQ$7="X",VLOOKUP(BQ$10,'VK-Hooned-Soojus'!$C:$X,2+$C60,FALSE),0)+IF(BQ$6="X",VLOOKUP(BQ$10,'VK-Transport'!$C:$X,2+$B60,0))+IF(BQ$8="X",VLOOKUP(BQ$10,'VK-Elekter'!$C:$X,2+$D60,0))+IF(BQ$9="X",VLOOKUP(BQ$10,'VK-Biokütused'!$C:$U,2+$E60,0))+IF(BQ$5="X",VLOOKUP(BQ$10,'VK-Põlevkivi'!$C:$X,2+$G60,0))+IF(BQ$4="X",VLOOKUP(BQ$10,'VK-Võrgud'!$C:$X,2+$F60,0)))/16</f>
        <v>127.6</v>
      </c>
      <c r="BR60" s="209">
        <f>(IF(BR$7="X",VLOOKUP(BR$10,'VK-Hooned-Soojus'!$C:$X,2+$C60,FALSE),0)+IF(BR$6="X",VLOOKUP(BR$10,'VK-Transport'!$C:$X,2+$B60,0))+IF(BR$8="X",VLOOKUP(BR$10,'VK-Elekter'!$C:$X,2+$D60,0))+IF(BR$9="X",VLOOKUP(BR$10,'VK-Biokütused'!$C:$U,2+$E60,0))+IF(BR$5="X",VLOOKUP(BR$10,'VK-Põlevkivi'!$C:$X,2+$G60,0))+IF(BR$4="X",VLOOKUP(BR$10,'VK-Võrgud'!$C:$X,2+$F60,0)))/16</f>
        <v>27.475000000000001</v>
      </c>
      <c r="BS60" s="209">
        <f>(IF(BS$7="X",VLOOKUP(BS$10,'VK-Hooned-Soojus'!$C:$X,2+$C60,FALSE),0)+IF(BS$6="X",VLOOKUP(BS$10,'VK-Transport'!$C:$X,2+$B60,0))+IF(BS$8="X",VLOOKUP(BS$10,'VK-Elekter'!$C:$X,2+$D60,0))+IF(BS$9="X",VLOOKUP(BS$10,'VK-Biokütused'!$C:$U,2+$E60,0))+IF(BS$5="X",VLOOKUP(BS$10,'VK-Põlevkivi'!$C:$X,2+$G60,0))+IF(BS$4="X",VLOOKUP(BS$10,'VK-Võrgud'!$C:$X,2+$F60,0)))/16</f>
        <v>-23.293749999999999</v>
      </c>
      <c r="BT60" s="209"/>
      <c r="BU60" s="209"/>
      <c r="BV60" s="209">
        <f>(IF(BV$7="X",VLOOKUP(BV$10,'VK-Hooned-Soojus'!$C:$X,2+$C60,FALSE),0)+IF(BV$6="X",VLOOKUP(BV$10,'VK-Transport'!$C:$X,2+$B60,0))+IF(BV$8="X",VLOOKUP(BV$10,'VK-Elekter'!$C:$X,2+$D60,0))+IF(BV$9="X",VLOOKUP(BV$10,'VK-Biokütused'!$C:$U,2+$E60,0))+IF(BV$5="X",VLOOKUP(BV$10,'VK-Põlevkivi'!$C:$X,2+$G60,0))+IF(BV$4="X",VLOOKUP(BV$10,'VK-Võrgud'!$C:$X,2+$F60,0)))/16</f>
        <v>0</v>
      </c>
      <c r="BW60" s="209"/>
      <c r="BX60" s="209">
        <f>(IF(BX$7="X",VLOOKUP(BX$10,'VK-Hooned-Soojus'!$C:$X,2+$C60,FALSE),0)+IF(BX$6="X",VLOOKUP(BX$10,'VK-Transport'!$C:$X,2+$B60,0))+IF(BX$8="X",VLOOKUP(BX$10,'VK-Elekter'!$C:$X,2+$D60,0))+IF(BX$9="X",VLOOKUP(BX$10,'VK-Biokütused'!$C:$U,2+$E60,0))+IF(BX$5="X",VLOOKUP(BX$10,'VK-Põlevkivi'!$C:$X,2+$G60,0))+IF(BX$4="X",VLOOKUP(BX$10,'VK-Võrgud'!$C:$X,2+$F60,0)))/16</f>
        <v>-99.75</v>
      </c>
      <c r="BY60" s="209"/>
      <c r="BZ60" s="209"/>
      <c r="CA60" s="209" t="e">
        <f>(IF(CA$7="X",VLOOKUP(CA$10,'VK-Hooned-Soojus'!$C:$X,2+$C60,FALSE),0)+IF(CA$6="X",VLOOKUP(CA$10,'VK-Transport'!$C:$X,2+$B60,0))+IF(CA$8="X",VLOOKUP(CA$10,'VK-Elekter'!$C:$X,2+$D60,0))+IF(CA$9="X",VLOOKUP(CA$10,'VK-Biokütused'!$C:$U,2+$E60,0))+IF(CA$5="X",VLOOKUP(CA$10,'VK-Põlevkivi'!$C:$X,2+$G60,0))+IF(CA$4="X",VLOOKUP(CA$10,'VK-Võrgud'!$C:$X,2+$F60,0)))/16</f>
        <v>#N/A</v>
      </c>
      <c r="CB60" s="209">
        <f>(IF(CB$7="X",VLOOKUP(CB$10,'VK-Hooned-Soojus'!$C:$X,2+$C60,FALSE),0)+IF(CB$6="X",VLOOKUP(CB$10,'VK-Transport'!$C:$X,2+$B60,0))+IF(CB$8="X",VLOOKUP(CB$10,'VK-Elekter'!$C:$X,2+$D60,0))+IF(CB$9="X",VLOOKUP(CB$10,'VK-Biokütused'!$C:$U,2+$E60,0))+IF(CB$5="X",VLOOKUP(CB$10,'VK-Põlevkivi'!$C:$X,2+$G60,0))+IF(CB$4="X",VLOOKUP(CB$10,'VK-Võrgud'!$C:$X,2+$F60,0)))/16</f>
        <v>0</v>
      </c>
      <c r="CC60" s="209">
        <f>(IF(CC$7="X",VLOOKUP(CC$10,'VK-Hooned-Soojus'!$C:$X,2+$C60,FALSE),0)+IF(CC$6="X",VLOOKUP(CC$10,'VK-Transport'!$C:$X,2+$B60,0))+IF(CC$8="X",VLOOKUP(CC$10,'VK-Elekter'!$C:$X,2+$D60,0))+IF(CC$9="X",VLOOKUP(CC$10,'VK-Biokütused'!$C:$U,2+$E60,0))+IF(CC$5="X",VLOOKUP(CC$10,'VK-Põlevkivi'!$C:$X,2+$G60,0))+IF(CC$4="X",VLOOKUP(CC$10,'VK-Võrgud'!$C:$X,2+$F60,0)))/16</f>
        <v>0</v>
      </c>
      <c r="CD60" s="209"/>
      <c r="CE60" s="209">
        <f>(IF(CE$7="X",VLOOKUP(CE$10,'VK-Hooned-Soojus'!$C:$X,2+$C60,FALSE),0)+IF(CE$6="X",VLOOKUP(CE$10,'VK-Transport'!$C:$X,2+$B60,0))+IF(CE$8="X",VLOOKUP(CE$10,'VK-Elekter'!$C:$X,2+$D60,0))+IF(CE$9="X",VLOOKUP(CE$10,'VK-Biokütused'!$C:$U,2+$E60,0))+IF(CE$5="X",VLOOKUP(CE$10,'VK-Põlevkivi'!$C:$X,2+$G60,0))+IF(CE$4="X",VLOOKUP(CE$10,'VK-Võrgud'!$C:$X,2+$F60,0)))/16</f>
        <v>24.15625</v>
      </c>
      <c r="CF60" s="209"/>
      <c r="CG60" s="209">
        <f>(IF(CG$7="X",VLOOKUP(CG$10,'VK-Hooned-Soojus'!$C:$X,2+$C60,FALSE),0)+IF(CG$6="X",VLOOKUP(CG$10,'VK-Transport'!$C:$X,2+$B60,0))+IF(CG$8="X",VLOOKUP(CG$10,'VK-Elekter'!$C:$X,2+$D60,0))+IF(CG$9="X",VLOOKUP(CG$10,'VK-Biokütused'!$C:$U,2+$E60,0))+IF(CG$5="X",VLOOKUP(CG$10,'VK-Põlevkivi'!$C:$X,2+$G60,0))+IF(CG$4="X",VLOOKUP(CG$10,'VK-Võrgud'!$C:$X,2+$F60,0)))/16</f>
        <v>0</v>
      </c>
      <c r="CH60" s="209">
        <f>(IF(CH$7="X",VLOOKUP(CH$10,'VK-Hooned-Soojus'!$C:$X,2+$C60,FALSE),0)+IF(CH$6="X",VLOOKUP(CH$10,'VK-Transport'!$C:$X,2+$B60,0))+IF(CH$8="X",VLOOKUP(CH$10,'VK-Elekter'!$C:$X,2+$D60,0))+IF(CH$9="X",VLOOKUP(CH$10,'VK-Biokütused'!$C:$U,2+$E60,0))+IF(CH$5="X",VLOOKUP(CH$10,'VK-Põlevkivi'!$C:$X,2+$G60,0))+IF(CH$4="X",VLOOKUP(CH$10,'VK-Võrgud'!$C:$X,2+$F60,0)))/20*0.21</f>
        <v>5.6122500000000004</v>
      </c>
      <c r="CI60" s="209"/>
      <c r="CJ60" s="209">
        <f>(IF(CJ$7="X",VLOOKUP(CJ$10,'VK-Hooned-Soojus'!$C:$X,2+$C60,FALSE),0)+IF(CJ$6="X",VLOOKUP(CJ$10,'VK-Transport'!$C:$X,2+$B60,0))+IF(CJ$8="X",VLOOKUP(CJ$10,'VK-Elekter'!$C:$X,2+$D60,0))+IF(CJ$9="X",VLOOKUP(CJ$10,'VK-Biokütused'!$C:$U,2+$E60,0))+IF(CJ$5="X",VLOOKUP(CJ$10,'VK-Põlevkivi'!$C:$X,2+$G60,0))+IF(CJ$4="X",VLOOKUP(CJ$10,'VK-Võrgud'!$C:$X,2+$F60,0)))/1000</f>
        <v>19.100578011574537</v>
      </c>
      <c r="CK60" s="209">
        <f>(IF(CK$7="X",VLOOKUP(CK$10,'VK-Hooned-Soojus'!$C:$X,2+$C60,FALSE),0)+IF(CK$6="X",VLOOKUP(CK$10,'VK-Transport'!$C:$X,2+$B60,0))+IF(CK$8="X",VLOOKUP(CK$10,'VK-Elekter'!$C:$X,2+$D60,0))+IF(CK$9="X",VLOOKUP(CK$10,'VK-Biokütused'!$C:$U,2+$E60,0))+IF(CK$5="X",VLOOKUP(CK$10,'VK-Põlevkivi'!$C:$X,2+$G60,0))+IF(CK$4="X",VLOOKUP(CK$10,'VK-Võrgud'!$C:$X,2+$F60,0)))/1000</f>
        <v>12.804324637900008</v>
      </c>
      <c r="CL60" s="235">
        <f>(IF(CL$7="X",VLOOKUP(CL$10,'VK-Hooned-Soojus'!$C:$X,2+$C60,FALSE),0)+IF(CL$6="X",VLOOKUP(CL$10,'VK-Transport'!$C:$X,2+$B60,0))+IF(CL$8="X",VLOOKUP(CL$10,'VK-Elekter'!$C:$X,2+$D60,0))+IF(CL$9="X",VLOOKUP(CL$10,'VK-Biokütused'!$C:$U,2+$E60,0)))/1000</f>
        <v>8.8647703590452114</v>
      </c>
      <c r="CM60" s="209">
        <f>(IF(CM$7="X",VLOOKUP(CM$10,'VK-Hooned-Soojus'!$C:$X,2+$C60,FALSE),0)+IF(CM$6="X",VLOOKUP(CM$10,'VK-Transport'!$C:$X,2+$B60,0))+IF(CM$8="X",VLOOKUP(CM$10,'VK-Elekter'!$C:$X,2+$D60,0))+IF(CM$9="X",VLOOKUP(CM$10,'VK-Biokütused'!$C:$U,2+$E60,0))+IF(CM$5="X",VLOOKUP(CM$10,'VK-Põlevkivi'!$C:$X,2+$G60,0))+IF(CM$4="X",VLOOKUP(CM$10,'VK-Võrgud'!$C:$X,2+$F60,0)))/1000</f>
        <v>8.5427605777489077</v>
      </c>
      <c r="CN60" s="209">
        <f>(IF(CN$7="X",VLOOKUP(CN$10,'VK-Hooned-Soojus'!$C:$X,2+$C60,FALSE),0)+IF(CN$6="X",VLOOKUP(CN$10,'VK-Transport'!$C:$X,2+$B60,0))+IF(CN$8="X",VLOOKUP(CN$10,'VK-Elekter'!$C:$X,2+$D60,0))+IF(CN$9="X",VLOOKUP(CN$10,'VK-Biokütused'!$C:$U,2+$E60,0))+IF(CN$5="X",VLOOKUP(CN$10,'VK-Põlevkivi'!$C:$X,2+$G60,0))+IF(CN$4="X",VLOOKUP(CN$10,'VK-Võrgud'!$C:$X,2+$F60,0)))/1000</f>
        <v>3.1680000000000001</v>
      </c>
      <c r="CO60" s="209">
        <f>(IF(CO$7="X",VLOOKUP(CO$10,'VK-Hooned-Soojus'!$C:$X,2+$C60,FALSE),0)+IF(CO$6="X",VLOOKUP(CO$10,'VK-Transport'!$C:$X,2+$B60,0))+IF(CO$8="X",VLOOKUP(CO$10,'VK-Elekter'!$C:$X,2+$D60,0))+IF(CO$9="X",VLOOKUP(CO$10,'VK-Biokütused'!$C:$U,2+$E60,0))+IF(CO$5="X",VLOOKUP(CO$10,'VK-Põlevkivi'!$C:$X,2+$G60,0))+IF(CO$4="X",VLOOKUP(CO$10,'VK-Võrgud'!$C:$X,2+$F60,0)))/1000</f>
        <v>24.38157521079728</v>
      </c>
      <c r="CP60" s="209">
        <f>(IF(CP$7="X",VLOOKUP(CP$10,'VK-Hooned-Soojus'!$C:$X,2+$C60,FALSE),0)+IF(CP$6="X",VLOOKUP(CP$10,'VK-Transport'!$C:$X,2+$B60,0))+IF(CP$8="X",VLOOKUP(CP$10,'VK-Elekter'!$C:$X,2+$D60,0))+IF(CP$9="X",VLOOKUP(CP$10,'VK-Biokütused'!$C:$U,2+$E60,0))+IF(CP$5="X",VLOOKUP(CP$10,'VK-Põlevkivi'!$C:$X,2+$G60,0))+IF(CP$4="X",VLOOKUP(CP$10,'VK-Võrgud'!$C:$X,2+$F60,0)))/1000</f>
        <v>13.823994830349823</v>
      </c>
      <c r="CQ60" s="235">
        <f>(IF(CQ$7="X",VLOOKUP(CQ$10,'VK-Hooned-Soojus'!$C:$X,2+$C60,FALSE),0)+IF(CQ$6="X",VLOOKUP(CQ$10,'VK-Transport'!$C:$X,2+$B60,0))+IF(CQ$8="X",VLOOKUP(CQ$10,'VK-Elekter'!$C:$X,2+$D60,0))+IF(CQ$9="X",VLOOKUP(CQ$10,'VK-Biokütused'!$C:$U,2+$E60,0)))/1000</f>
        <v>10.858345999999999</v>
      </c>
      <c r="CR60" s="209">
        <f>(IF(CR$7="X",VLOOKUP(CR$10,'VK-Hooned-Soojus'!$C:$X,2+$C60,FALSE),0)+IF(CR$6="X",VLOOKUP(CR$10,'VK-Transport'!$C:$X,2+$B60,0))+IF(CR$8="X",VLOOKUP(CR$10,'VK-Elekter'!$C:$X,2+$D60,0))+IF(CR$9="X",VLOOKUP(CR$10,'VK-Biokütused'!$C:$U,2+$E60,0))+IF(CR$5="X",VLOOKUP(CR$10,'VK-Põlevkivi'!$C:$X,2+$G60,0))+IF(CR$4="X",VLOOKUP(CR$10,'VK-Võrgud'!$C:$X,2+$F60,0)))/1000</f>
        <v>8.0920872784575746</v>
      </c>
      <c r="CS60" s="209">
        <f>(IF(CS$7="X",VLOOKUP(CS$10,'VK-Hooned-Soojus'!$C:$X,2+$C60,FALSE),0)+IF(CS$6="X",VLOOKUP(CS$10,'VK-Transport'!$C:$X,2+$B60,0))+IF(CS$8="X",VLOOKUP(CS$10,'VK-Elekter'!$C:$X,2+$D60,0))+IF(CS$9="X",VLOOKUP(CS$10,'VK-Biokütused'!$C:$U,2+$E60,0))+IF(CS$5="X",VLOOKUP(CS$10,'VK-Põlevkivi'!$C:$X,2+$G60,0))+IF(CS$4="X",VLOOKUP(CS$10,'VK-Võrgud'!$C:$X,2+$F60,0)))/1000</f>
        <v>3.8643344900598322</v>
      </c>
      <c r="CT60" s="209">
        <f>IF(CT$7="X",VLOOKUP(CT$10,'VK-Hooned-Soojus'!$C:$X,2+$C60,FALSE),0)+IF(CT$6="X",VLOOKUP(CT$10,'VK-Transport'!$C:$X,2+$B60,0))+IF(CT$8="X",VLOOKUP(CT$10,'VK-Elekter'!$C:$X,2+$D60,0))+IF(CT$9="X",VLOOKUP(CT$10,'VK-Biokütused'!$C:$U,2+$E60,0))+IF(CT$5="X",VLOOKUP(CT$10,'VK-Põlevkivi'!$C:$X,2+$G60,0))+IF(CT$4="X",VLOOKUP(CT$10,'VK-Võrgud'!$C:$X,2+$F60,0))</f>
        <v>90</v>
      </c>
      <c r="CU60" s="209">
        <f>IF(CU$7="X",VLOOKUP(CU$10,'VK-Hooned-Soojus'!$C:$X,2+$C60,FALSE),0)+IF(CU$6="X",VLOOKUP(CU$10,'VK-Transport'!$C:$X,2+$B60,0))+IF(CU$8="X",VLOOKUP(CU$10,'VK-Elekter'!$C:$X,2+$D60,0))+IF(CU$9="X",VLOOKUP(CU$10,'VK-Biokütused'!$C:$U,2+$E60,0))+IF(CU$5="X",VLOOKUP(CU$10,'VK-Põlevkivi'!$C:$X,2+$G60,0))+IF(CU$4="X",VLOOKUP(CU$10,'VK-Võrgud'!$C:$X,2+$F60,0))</f>
        <v>0.72088353413654627</v>
      </c>
      <c r="CV60" s="209">
        <f t="shared" si="37"/>
        <v>0.84317482403548605</v>
      </c>
      <c r="CW60" s="209">
        <f>(IF(CW$7="X",VLOOKUP(CW$10,'VK-Hooned-Soojus'!$C:$X,2+$C60,FALSE),0)+IF(CW$6="X",VLOOKUP(CW$10,'VK-Transport'!$C:$X,2+$B60,0))+IF(CW$8="X",VLOOKUP(CW$10,'VK-Elekter'!$C:$X,2+$D60,0))+IF(CW$9="X",VLOOKUP(CW$10,'VK-Biokütused'!$C:$U,2+$E60,0))+IF(CW$5="X",VLOOKUP(CW$10,'VK-Põlevkivi'!$C:$X,2+$G60,0))+IF(CW$4="X",VLOOKUP(CW$10,'VK-Võrgud'!$C:$X,2+$F60,0)))/16</f>
        <v>59.743749999999999</v>
      </c>
      <c r="CY60" s="209">
        <f>(IF(CY$7="X",VLOOKUP(CY$10,'VK-Hooned-Soojus'!$C:$X,2+$C60,FALSE),0)+IF(CY$6="X",VLOOKUP(CY$10,'VK-Transport'!$C:$X,2+$B60,0))+IF(CY$8="X",VLOOKUP(CY$10,'VK-Elekter'!$C:$X,2+$D60,0))+IF(CY$9="X",VLOOKUP(CY$10,'VK-Biokütused'!$C:$U,2+$E60,0))+IF(CY$5="X",VLOOKUP(CY$10,'VK-Põlevkivi'!$C:$X,2+$G60,0))+IF(CY$4="X",VLOOKUP(CY$10,'VK-Võrgud'!$C:$X,2+$F60,0)))/1000</f>
        <v>10.993</v>
      </c>
      <c r="CZ60" s="209">
        <f>(IF(CZ$7="X",VLOOKUP(CZ$10,'VK-Hooned-Soojus'!$C:$X,2+$C60,FALSE),0)+IF(CZ$6="X",VLOOKUP(CZ$10,'VK-Transport'!$C:$X,2+$B60,0))+IF(CZ$8="X",VLOOKUP(CZ$10,'VK-Elekter'!$C:$X,2+$D60,0))+IF(CZ$9="X",VLOOKUP(CZ$10,'VK-Biokütused'!$C:$U,2+$E60,0))+IF(CZ$5="X",VLOOKUP(CZ$10,'VK-Põlevkivi'!$C:$X,2+$G60,0))+IF(CZ$4="X",VLOOKUP(CZ$10,'VK-Võrgud'!$C:$X,2+$F60,0)))</f>
        <v>73.400000000000006</v>
      </c>
      <c r="DA60" s="209">
        <f>(IF(DA$7="X",VLOOKUP(DA$10,'VK-Hooned-Soojus'!$C:$X,2+$C60,FALSE),0)+IF(DA$6="X",VLOOKUP(DA$10,'VK-Transport'!$C:$X,2+$B60,0))+IF(DA$8="X",VLOOKUP(DA$10,'VK-Elekter'!$C:$X,2+$D60,0))+IF(DA$9="X",VLOOKUP(DA$10,'VK-Biokütused'!$C:$U,2+$E60,0))+IF(DA$5="X",VLOOKUP(DA$10,'VK-Põlevkivi'!$C:$X,2+$G60,0))+IF(DA$4="X",VLOOKUP(DA$10,'VK-Võrgud'!$C:$X,2+$F60,0)))/1000</f>
        <v>14.962</v>
      </c>
      <c r="DB60" s="209">
        <f>(IF(DB$7="X",VLOOKUP(DB$10,'VK-Hooned-Soojus'!$C:$X,2+$C60,FALSE),0)+IF(DB$6="X",VLOOKUP(DB$10,'VK-Transport'!$C:$X,2+$B60,0))+IF(DB$8="X",VLOOKUP(DB$10,'VK-Elekter'!$C:$X,2+$D60,0))+IF(DB$9="X",VLOOKUP(DB$10,'VK-Biokütused'!$C:$U,2+$E60,0))+IF(DB$5="X",VLOOKUP(DB$10,'VK-Põlevkivi'!$C:$X,2+$G60,0))+IF(DB$4="X",VLOOKUP(DB$10,'VK-Võrgud'!$C:$X,2+$F60,0)))/1000/3.6</f>
        <v>66.453888888888883</v>
      </c>
      <c r="DC60" s="209">
        <f>(IF(DC$7="X",VLOOKUP(DC$10,'VK-Hooned-Soojus'!$C:$X,2+$C60,FALSE),0)+IF(DC$6="X",VLOOKUP(DC$10,'VK-Transport'!$C:$X,2+$B60,0))+IF(DC$8="X",VLOOKUP(DC$10,'VK-Elekter'!$C:$X,2+$D60,0))+IF(DC$9="X",VLOOKUP(DC$10,'VK-Biokütused'!$C:$U,2+$E60,0))+IF(DC$5="X",VLOOKUP(DC$10,'VK-Põlevkivi'!$C:$X,2+$G60,0))+IF(DC$4="X",VLOOKUP(DC$10,'VK-Võrgud'!$C:$X,2+$F60,0)))/1000000</f>
        <v>5.2958449999999999</v>
      </c>
      <c r="DD60" s="209"/>
      <c r="DE60" s="88">
        <f>VLOOKUP(Tulemused!$BN$12,data!M$7:N$12,2,FALSE)-SUM(L60,M60)</f>
        <v>-1.9738666666666731</v>
      </c>
      <c r="DF60" s="209" t="str">
        <f>IF(AZ60&lt;=VLOOKUP(Tulemused!$BN$15,data!$E$36:$F$39,2,FALSE),"JAH","EI")</f>
        <v>JAH</v>
      </c>
      <c r="DG60" s="209"/>
      <c r="DH60" s="209">
        <f t="shared" si="38"/>
        <v>6.78</v>
      </c>
      <c r="DI60" s="231" t="str">
        <f t="shared" si="17"/>
        <v>EI</v>
      </c>
      <c r="DK60" s="232">
        <f t="shared" si="39"/>
        <v>-996.94043500193845</v>
      </c>
      <c r="DM60" s="233">
        <f t="shared" si="40"/>
        <v>-993.73522806530696</v>
      </c>
      <c r="DN60" s="87">
        <f t="array" ref="DN60">INDEX($A$11:$A$145, SMALL(IF(DM60=$DK$11:$DK$145, MATCH(ROW($DK$11:$DK$145), ROW($DK$11:$DK$145))), SUM(--(DM60=$DM$11:DM60))))</f>
        <v>107</v>
      </c>
      <c r="DP60" s="87" t="e">
        <f t="shared" ca="1" si="18"/>
        <v>#N/A</v>
      </c>
      <c r="DQ60" s="87" t="e">
        <f t="shared" ca="1" si="19"/>
        <v>#N/A</v>
      </c>
      <c r="DR60" s="87">
        <f t="shared" ca="1" si="20"/>
        <v>0</v>
      </c>
      <c r="DS60" s="87" t="e">
        <f t="shared" ca="1" si="21"/>
        <v>#N/A</v>
      </c>
      <c r="DT60" s="87">
        <f t="shared" ca="1" si="22"/>
        <v>0</v>
      </c>
      <c r="DU60" s="87" t="e">
        <f t="shared" ca="1" si="23"/>
        <v>#N/A</v>
      </c>
      <c r="DV60" s="87" t="e">
        <f t="shared" ca="1" si="24"/>
        <v>#N/A</v>
      </c>
      <c r="DW60" s="87">
        <f t="shared" ca="1" si="25"/>
        <v>0</v>
      </c>
      <c r="DX60" s="87">
        <f t="shared" ca="1" si="26"/>
        <v>0</v>
      </c>
      <c r="DZ60" s="87">
        <f t="shared" ca="1" si="35"/>
        <v>0</v>
      </c>
      <c r="EB60" s="87">
        <f t="shared" ca="1" si="27"/>
        <v>0</v>
      </c>
      <c r="EC60" s="87" t="e">
        <f t="shared" ca="1" si="28"/>
        <v>#N/A</v>
      </c>
      <c r="EE60" s="228">
        <f>(IF(EE$7="X",VLOOKUP(EE$10,'VK-Hooned-Soojus'!$C:$X,2+$C60,FALSE),0)+IF(EE$6="X",VLOOKUP(EE$10,'VK-Transport'!$C:$X,2+$B60,0))+IF(EE$8="X",VLOOKUP(EE$10,'VK-Elekter'!$C:$X,2+$D60,0))+IF(EE$9="X",VLOOKUP(EE$10,'VK-Biokütused'!$C:$U,2+$E60,0))+IF(EE$5="X",VLOOKUP(EE$10,'VK-Põlevkivi'!$C:$X,2+$G60,0))+IF(EE$4="X",VLOOKUP(EE$10,'VK-Võrgud'!$C:$X,2+$F60,0)))</f>
        <v>4694.2205311816142</v>
      </c>
      <c r="EF60" s="235">
        <f>(IF(EF$7="X",VLOOKUP(EF$10,'VK-Hooned-Soojus'!$C:$X,2+$C60,FALSE),0)+IF(EF$6="X",VLOOKUP(EF$10,'VK-Transport'!$C:$X,2+$B60,0))+IF(EF$8="X",VLOOKUP(EF$10,'VK-Elekter'!$C:$X,2+$D60,0))+IF(EF$9="X",VLOOKUP(EF$10,'VK-Biokütused'!$C:$U,2+$E60,0)))/1000</f>
        <v>6.0743823271229704</v>
      </c>
      <c r="EG60" s="209">
        <f>(IF(EG$7="X",VLOOKUP(EG$10,'VK-Hooned-Soojus'!$C:$X,2+$C60,FALSE),0)+IF(EG$6="X",VLOOKUP(EG$10,'VK-Transport'!$C:$X,2+$B60,0))+IF(EG$8="X",VLOOKUP(EG$10,'VK-Elekter'!$C:$X,2+$D60,0))+IF(EG$9="X",VLOOKUP(EG$10,'VK-Biokütused'!$C:$U,2+$E60,0))+IF(EG$5="X",VLOOKUP(EG$10,'VK-Põlevkivi'!$C:$X,2+$G60,0))+IF(EG$4="X",VLOOKUP(EG$10,'VK-Võrgud'!$C:$X,2+$F60,0)))</f>
        <v>0.81</v>
      </c>
      <c r="EH60" s="209">
        <f>(IF(EH$7="X",VLOOKUP(EH$10,'VK-Hooned-Soojus'!$C:$X,2+$C60,FALSE),0)+IF(EH$6="X",VLOOKUP(EH$10,'VK-Transport'!$C:$X,2+$B60,0))+IF(EH$8="X",VLOOKUP(EH$10,'VK-Elekter'!$C:$X,2+$D60,0))+IF(EH$9="X",VLOOKUP(EH$10,'VK-Biokütused'!$C:$U,2+$E60,0)))+AR60+AS60+AU60+AX60</f>
        <v>55.689667065771857</v>
      </c>
      <c r="EI60" s="320">
        <f t="shared" si="41"/>
        <v>50.590678294573635</v>
      </c>
      <c r="EJ60" s="322">
        <f t="shared" si="42"/>
        <v>2.1300063549572323E-2</v>
      </c>
      <c r="EK60" s="323">
        <f t="shared" si="29"/>
        <v>0.39647362526587548</v>
      </c>
      <c r="EM60" s="209"/>
      <c r="EN60" s="209">
        <f t="shared" ca="1" si="43"/>
        <v>0</v>
      </c>
      <c r="EO60" s="209"/>
      <c r="EP60" s="234"/>
      <c r="EQ60" s="209">
        <f>(IF(EQ$7="X",VLOOKUP(EQ$10,'VK-Hooned-Soojus'!$C:$X,2+$C60,FALSE),0)+IF(EQ$6="X",VLOOKUP(EQ$10,'VK-Transport'!$C:$X,2+$B60,0))+IF(EQ$8="X",VLOOKUP(EQ$10,'VK-Elekter'!$C:$X,2+$D60,0))+IF(EQ$9="X",VLOOKUP(EQ$10,'VK-Biokütused'!$C:$U,2+$E60,0))+IF(EQ$5="X",VLOOKUP(EQ$10,'VK-Põlevkivi'!$C:$X,2+$G60,0))+IF(EQ$4="X",VLOOKUP(EQ$10,'VK-Võrgud'!$C:$X,2+$F60,0)))/1000</f>
        <v>0.22900000000000001</v>
      </c>
      <c r="ER60" s="209">
        <f>(IF(ER$7="X",VLOOKUP(ER$10,'VK-Hooned-Soojus'!$C:$X,2+$C60,FALSE),0)+IF(ER$6="X",VLOOKUP(ER$10,'VK-Transport'!$C:$X,2+$B60,0))+IF(ER$8="X",VLOOKUP(ER$10,'VK-Elekter'!$C:$X,2+$D60,0))+IF(ER$9="X",VLOOKUP(ER$10,'VK-Biokütused'!$C:$U,2+$E60,0))+IF(ER$5="X",VLOOKUP(ER$10,'VK-Põlevkivi'!$C:$X,2+$G60,0))+IF(ER$4="X",VLOOKUP(ER$10,'VK-Võrgud'!$C:$X,2+$F60,0)))</f>
        <v>0.82899999999999996</v>
      </c>
      <c r="ES60" s="209">
        <f>(IF(ES$7="X",VLOOKUP(ES$10,'VK-Hooned-Soojus'!$C:$X,2+$C60,FALSE),0)+IF(ES$6="X",VLOOKUP(ES$10,'VK-Transport'!$C:$X,2+$B60,0))+IF(ES$8="X",VLOOKUP(ES$10,'VK-Elekter'!$C:$X,2+$D60,0))+IF(ES$9="X",VLOOKUP(ES$10,'VK-Biokütused'!$C:$U,2+$E60,0))+IF(ES$5="X",VLOOKUP(ES$10,'VK-Põlevkivi'!$C:$X,2+$G60,0))+IF(ES$4="X",VLOOKUP(ES$10,'VK-Võrgud'!$C:$X,2+$F60,0)))</f>
        <v>6.78</v>
      </c>
      <c r="ET60" s="209"/>
      <c r="EU60" s="209"/>
      <c r="EV60" s="87">
        <f>'KSH järjestus'!AS53</f>
        <v>2083</v>
      </c>
      <c r="EX60" s="236"/>
      <c r="EY60" s="236"/>
      <c r="EZ60" s="237">
        <f t="shared" si="44"/>
        <v>0.27911646586345373</v>
      </c>
      <c r="FA60" s="209">
        <f>IF(FA$7="X",VLOOKUP(FA$10,'VK-Hooned-Soojus'!$C:$X,2+$C60,FALSE),0)+IF(FA$6="X",VLOOKUP(FA$10,'VK-Transport'!$C:$X,2+$B60,0))+IF(FA$8="X",VLOOKUP(FA$10,'VK-Elekter'!$C:$X,2+$D60,0))+IF(FA$9="X",VLOOKUP(FA$10,'VK-Biokütused'!$C:$U,2+$E60,0))+IF(FA$5="X",VLOOKUP(FA$10,'VK-Põlevkivi'!$C:$X,2+$G60,0))+IF(FA$4="X",VLOOKUP(FA$10,'VK-Võrgud'!$C:$X,2+$F60,0))</f>
        <v>3335.346</v>
      </c>
      <c r="FB60" s="279">
        <f>(IF(FB$7="X",VLOOKUP(FB$10,'VK-Hooned-Soojus'!$C:$X,2+$C60,FALSE),0)+IF(FB$6="X",VLOOKUP(FB$10,'VK-Transport'!$C:$X,2+$B60,0))+IF(FB$8="X",VLOOKUP(FB$10,'VK-Elekter'!$C:$X,2+$D60,0))+IF(FB$9="X",VLOOKUP(FB$10,'VK-Biokütused'!$C:$U,2+$E60,0))+IF(FB$5="X",VLOOKUP(FB$10,'VK-Põlevkivi'!$C:$X,2+$G60,0))+IF(FB$4="X",VLOOKUP(FB$10,'VK-Võrgud'!$C:$X,2+$F60,0)))/16</f>
        <v>284.00697489035986</v>
      </c>
      <c r="FC60" s="209">
        <f>IF(FC$7="X",VLOOKUP(FC$10,'VK-Hooned-Soojus'!$C:$X,2+$C60,FALSE),0)+IF(FC$6="X",VLOOKUP(FC$10,'VK-Transport'!$C:$X,2+$B60,0))+IF(FC$8="X",VLOOKUP(FC$10,'VK-Elekter'!$C:$X,2+$D60,0))+IF(FC$9="X",VLOOKUP(FC$10,'VK-Biokütused'!$C:$U,2+$E60,0))+IF(FC$5="X",VLOOKUP(FC$10,'VK-Põlevkivi'!$C:$X,2+$G60,0))+IF(FC$4="X",VLOOKUP(FC$10,'VK-Võrgud'!$C:$X,2+$F60,0))</f>
        <v>327.54999999999995</v>
      </c>
      <c r="FD60" s="209">
        <f>(IF(FD$7="X",VLOOKUP(FD$10,'VK-Hooned-Soojus'!$C:$X,2+$C60,FALSE),0)+IF(FD$6="X",VLOOKUP(FD$10,'VK-Transport'!$C:$X,2+$B60,0))+IF(FD$8="X",VLOOKUP(FD$10,'VK-Elekter'!$C:$X,2+$D60,0))+IF(FD$9="X",VLOOKUP(FD$10,'VK-Biokütused'!$C:$U,2+$E60,0))+IF(FD$5="X",VLOOKUP(FD$10,'VK-Põlevkivi'!$C:$X,2+$G60,0))+IF(FD$4="X",VLOOKUP(FD$10,'VK-Võrgud'!$C:$X,2+$F60,0)))/16</f>
        <v>284.00697489035986</v>
      </c>
      <c r="FE60" s="209">
        <f>(IF(FE$7="X",VLOOKUP(FE$10,'VK-Hooned-Soojus'!$C:$X,2+$C60,FALSE),0)+IF(FE$6="X",VLOOKUP(FE$10,'VK-Transport'!$C:$X,2+$B60,0))+IF(FE$8="X",VLOOKUP(FE$10,'VK-Elekter'!$C:$X,2+$D60,0))+IF(FE$9="X",VLOOKUP(FE$10,'VK-Biokütused'!$C:$U,2+$E60,0))+IF(FE$5="X",VLOOKUP(FE$10,'VK-Põlevkivi'!$C:$X,2+$G60,0))+IF(FE$4="X",VLOOKUP(FE$10,'VK-Võrgud'!$C:$X,2+$F60,0)))/16</f>
        <v>-40.314469880632103</v>
      </c>
      <c r="FF60" s="209">
        <f>(IF(FF$7="X",VLOOKUP(FF$10,'VK-Hooned-Soojus'!$C:$X,2+$C60,FALSE),0)+IF(FF$6="X",VLOOKUP(FF$10,'VK-Transport'!$C:$X,2+$B60,0))+IF(FF$8="X",VLOOKUP(FF$10,'VK-Elekter'!$C:$X,2+$D60,0))+IF(FF$9="X",VLOOKUP(FF$10,'VK-Biokütused'!$C:$U,2+$E60,0))+IF(FF$5="X",VLOOKUP(FF$10,'VK-Põlevkivi'!$C:$X,2+$G60,0))+IF(FF$4="X",VLOOKUP(FF$10,'VK-Võrgud'!$C:$X,2+$F60,0)))/16</f>
        <v>111.59629482970536</v>
      </c>
      <c r="FG60" s="88">
        <f t="shared" ca="1" si="30"/>
        <v>71.281824949073254</v>
      </c>
      <c r="FH60" s="88"/>
      <c r="FI60" s="88"/>
      <c r="FJ60" s="88">
        <f>VLOOKUP(Tulemused!$BN$12,data!M$7:N$12,2,FALSE)-SUM(L60,M60)</f>
        <v>-1.9738666666666731</v>
      </c>
      <c r="FK60" s="209" t="str">
        <f>IF(AZ60&lt;=VLOOKUP(Tulemused!$BN$15,data!$E$36:$F$39,2,FALSE),"JAH","EI")</f>
        <v>JAH</v>
      </c>
      <c r="FL60" s="235">
        <f ca="1">IF(ISNA(MATCH($A60,INDIRECT(VLOOKUP(Tulemused!$BF$11,data!$J$57:$M$71,4,FALSE)))),0,MATCH($A60,INDIRECT(VLOOKUP(Tulemused!$BF$11,data!$J$57:$M$71,4,FALSE))))</f>
        <v>0</v>
      </c>
      <c r="FM60" s="235" t="str">
        <f t="shared" ca="1" si="45"/>
        <v>JAH</v>
      </c>
      <c r="FN60" s="209">
        <f>VLOOKUP(Tulemused!$BN$13,data!$C$132:$D$137,2,FALSE)-KOMBI!R60</f>
        <v>3.1640876728770304</v>
      </c>
      <c r="FO60" s="209"/>
      <c r="FP60" s="209">
        <f>VLOOKUP(Tulemused!$BN$17,NO_x,2,FALSE)-CJ60</f>
        <v>10.337421988425461</v>
      </c>
      <c r="FQ60" s="209">
        <f>VLOOKUP(Tulemused!$BN$18,SO_2,2,FALSE)-CK60</f>
        <v>39.079675362099991</v>
      </c>
      <c r="FR60" s="209">
        <f>VLOOKUP(Tulemused!$BN$19,LOU,2,FALSE)-CN60</f>
        <v>33.912000000000006</v>
      </c>
      <c r="FS60" s="209">
        <f>VLOOKUP(Tulemused!$BN$20,PM_2.5,2,FALSE)-CM60</f>
        <v>8.3722394222510914</v>
      </c>
      <c r="FT60" s="209">
        <f>VLOOKUP(Tulemused!$BN$13,data!$C$132:$D$137,2,FALSE)-FA60/1000</f>
        <v>2.9106240000000008</v>
      </c>
      <c r="FU60" s="209">
        <f>VLOOKUP(Tulemused!$BN$17,NO_x,2,FALSE)-CO60</f>
        <v>5.056424789202719</v>
      </c>
      <c r="FV60" s="209">
        <f>VLOOKUP(Tulemused!$BN$18,SO_2,2,FALSE)-CP60</f>
        <v>38.060005169650175</v>
      </c>
      <c r="FW60" s="209">
        <f>VLOOKUP(Tulemused!$BN$19,LOU,2,FALSE)-CS60</f>
        <v>33.215665509940173</v>
      </c>
      <c r="FX60" s="209">
        <f>VLOOKUP(Tulemused!$BN$20,PM_2.5,2,FALSE)-CR60</f>
        <v>8.8229127215424246</v>
      </c>
      <c r="FY60" s="209">
        <f>VLOOKUP(Tulemused!$BN$14,KHG_2050,2,FALSE)-EF60</f>
        <v>93.925617672877024</v>
      </c>
      <c r="FZ60" s="231" t="str">
        <f t="shared" ca="1" si="31"/>
        <v>EI</v>
      </c>
      <c r="GA60" s="209"/>
      <c r="GB60" s="209"/>
      <c r="GC60" s="209"/>
      <c r="GD60" s="231"/>
      <c r="GE60" s="87">
        <f t="shared" si="46"/>
        <v>2083</v>
      </c>
      <c r="GF60" s="232" t="str">
        <f t="shared" ca="1" si="32"/>
        <v/>
      </c>
      <c r="GH60" s="238" t="e">
        <f t="shared" ca="1" si="47"/>
        <v>#NUM!</v>
      </c>
      <c r="GI60" s="87" t="e">
        <f t="array" aca="1" ref="GI60" ca="1">INDEX($A$11:$A$145, SMALL(IF(GH60=$GF$11:$GF$145, MATCH(ROW($GF$11:$GF$145), ROW($GF$11:$GF$145))), SUM(--(GH60=$GH$11:GH60))))</f>
        <v>#NUM!</v>
      </c>
      <c r="GM60" s="209">
        <f>IF(GM$7="X",VLOOKUP(GM$10,'VK-Hooned-Soojus'!$C:$X,2+$C60,FALSE),0)+IF(GM$6="X",VLOOKUP(GM$10,'VK-Transport'!$C:$X,2+$B60,0))+IF(GM$8="X",VLOOKUP(GM$10,'VK-Elekter'!$C:$X,2+$D60,0))+IF(GM$9="X",VLOOKUP(GM$10,'VK-Biokütused'!$C:$U,2+$E60,0))+IF(GM$5="X",VLOOKUP(GM$10,'VK-Põlevkivi'!$C:$X,2+$G60,0))+IF(GM$4="X",VLOOKUP(GM$10,'VK-Võrgud'!$C:$X,2+$F60,0))</f>
        <v>6.0128279910272253</v>
      </c>
      <c r="GN60" s="209">
        <f>IF(GN$7="X",VLOOKUP(GN$10,'VK-Hooned-Soojus'!$C:$X,2+$C60,FALSE),0)+IF(GN$6="X",VLOOKUP(GN$10,'VK-Transport'!$C:$X,2+$B60,0))+IF(GN$8="X",VLOOKUP(GN$10,'VK-Elekter'!$C:$X,2+$D60,0))+IF(GN$9="X",VLOOKUP(GN$10,'VK-Biokütused'!$C:$U,2+$E60,0))+IF(GN$5="X",VLOOKUP(GN$10,'VK-Põlevkivi'!$C:$X,2+$G60,0))+IF(GN$4="X",VLOOKUP(GN$10,'VK-Võrgud'!$C:$X,2+$F60,0))</f>
        <v>3.4467619395011728</v>
      </c>
      <c r="GO60" s="209">
        <f>IF(GO$7="X",VLOOKUP(GO$10,'VK-Hooned-Soojus'!$C:$X,2+$C60,FALSE),0)+IF(GO$6="X",VLOOKUP(GO$10,'VK-Transport'!$C:$X,2+$B60,0))+IF(GO$8="X",VLOOKUP(GO$10,'VK-Elekter'!$C:$X,2+$D60,0))+IF(GO$9="X",VLOOKUP(GO$10,'VK-Biokütused'!$C:$U,2+$E60,0))+IF(GO$5="X",VLOOKUP(GO$10,'VK-Põlevkivi'!$C:$X,2+$G60,0))+IF(GO$4="X",VLOOKUP(GO$10,'VK-Võrgud'!$C:$X,2+$F60,0))</f>
        <v>8.7471755658278116</v>
      </c>
      <c r="GP60" s="209">
        <f>IF(GP$7="X",VLOOKUP(GP$10,'VK-Hooned-Soojus'!$C:$X,2+$C60,FALSE),0)+IF(GP$6="X",VLOOKUP(GP$10,'VK-Transport'!$C:$X,2+$B60,0))+IF(GP$8="X",VLOOKUP(GP$10,'VK-Elekter'!$C:$X,2+$D60,0))+IF(GP$9="X",VLOOKUP(GP$10,'VK-Biokütused'!$C:$U,2+$E60,0))+IF(GP$5="X",VLOOKUP(GP$10,'VK-Põlevkivi'!$C:$X,2+$G60,0))+IF(GP$4="X",VLOOKUP(GP$10,'VK-Võrgud'!$C:$X,2+$F60,0))</f>
        <v>9.3279335818485372</v>
      </c>
      <c r="GQ60" s="88">
        <f>IF(GQ$7="X",VLOOKUP(GQ$10,'VK-Hooned-Soojus'!$C:$X,2+$C60,FALSE),0)+IF(GQ$6="X",VLOOKUP(GQ$10,'VK-Transport'!$C:$X,2+$B60,0))+IF(GQ$8="X",VLOOKUP(GQ$10,'VK-Elekter'!$C:$X,2+$D60,0))+IF(GQ$9="X",VLOOKUP(GQ$10,'VK-Biokütused'!$C:$U,2+$E60,0))+IF(GQ$5="X",VLOOKUP(GQ$10,'VK-Põlevkivi'!$C:$X,2+$G60,0))+IF(GQ$4="X",VLOOKUP(GQ$10,'VK-Võrgud'!$C:$X,2+$F60,0))</f>
        <v>0.90618397335647782</v>
      </c>
      <c r="GR60" s="186">
        <f t="shared" si="33"/>
        <v>0.39305342352153388</v>
      </c>
    </row>
    <row r="61" spans="1:200" x14ac:dyDescent="0.2">
      <c r="A61" s="184">
        <v>51</v>
      </c>
      <c r="B61" s="87">
        <v>2</v>
      </c>
      <c r="C61" s="87">
        <v>1</v>
      </c>
      <c r="D61" s="87">
        <v>2</v>
      </c>
      <c r="E61" s="87">
        <v>3</v>
      </c>
      <c r="F61" s="87">
        <f>VLOOKUP(Tulemused!$BF$7,data!$J$6:$K$8,2,FALSE)</f>
        <v>2</v>
      </c>
      <c r="G61" s="87">
        <f>VLOOKUP(data!$H$2,data!$J$12:$K$14,2,FALSE)</f>
        <v>2</v>
      </c>
      <c r="I61" s="209">
        <f>IF(I$7="X",VLOOKUP(I$10,'VK-Hooned-Soojus'!$C:$X,2+$C61,FALSE),0)+IF(I$6="X",VLOOKUP(I$10,'VK-Transport'!$C:$X,2+$B61,0))+IF(I$8="X",VLOOKUP(I$10,'VK-Elekter'!$C:$X,2+$D61,0))+IF(I$9="X",VLOOKUP(I$10,'VK-Biokütused'!$C:$U,2+$E61,0))+IF(I$5="X",VLOOKUP(I$10,'VK-Põlevkivi'!$C:$X,2+$G61,0))+IF(I$4="X",VLOOKUP(I$10,'VK-Võrgud'!$C:$X,2+$F61,0))</f>
        <v>26.89</v>
      </c>
      <c r="J61" s="209">
        <f>IF(J$7="X",VLOOKUP(J$10,'VK-Hooned-Soojus'!$C:$X,2+$C61,FALSE),0)+IF(J$6="X",VLOOKUP(J$10,'VK-Transport'!$C:$X,2+$B61,0))+IF(J$8="X",VLOOKUP(J$10,'VK-Elekter'!$C:$X,2+$D61,0))+IF(J$9="X",VLOOKUP(J$10,'VK-Biokütused'!$C:$U,2+$E61,0))+IF(J$5="X",VLOOKUP(J$10,'VK-Põlevkivi'!$C:$X,2+$G61,0))+IF(J$4="X",VLOOKUP(J$10,'VK-Võrgud'!$C:$X,2+$F61,0))</f>
        <v>11.138055555555555</v>
      </c>
      <c r="K61" s="209">
        <f>IF(K$7="X",VLOOKUP(K$10,'VK-Hooned-Soojus'!$C:$X,2+$C61,FALSE),0)+IF(K$6="X",VLOOKUP(K$10,'VK-Transport'!$C:$X,2+$B61,0))+IF(K$8="X",VLOOKUP(K$10,'VK-Elekter'!$C:$X,2+$D61,0))+IF(K$9="X",VLOOKUP(K$10,'VK-Biokütused'!$C:$U,2+$E61,0))+IF(K$5="X",VLOOKUP(K$10,'VK-Põlevkivi'!$C:$X,2+$G61,0))+IF(K$4="X",VLOOKUP(K$10,'VK-Võrgud'!$C:$X,2+$F61,0))</f>
        <v>16.75</v>
      </c>
      <c r="L61" s="209">
        <f>IF(L$7="X",VLOOKUP(L$10,'VK-Hooned-Soojus'!$C:$X,2+$C61,FALSE),0)+IF(L$6="X",VLOOKUP(L$10,'VK-Transport'!$C:$X,2+$B61,0))+IF(L$8="X",VLOOKUP(L$10,'VK-Elekter'!$C:$X,2+$D61,0))+IF(L$9="X",VLOOKUP(L$10,'VK-Biokütused'!$C:$U,2+$E61,0))+IF(L$5="X",VLOOKUP(L$10,'VK-Põlevkivi'!$C:$X,2+$G61,0))+IF(L$4="X",VLOOKUP(L$10,'VK-Võrgud'!$C:$X,2+$F61,0))</f>
        <v>24.95</v>
      </c>
      <c r="M61" s="209">
        <f>IF(M$7="X",VLOOKUP(M$10,'VK-Hooned-Soojus'!$C:$X,2+$C61,FALSE),0)+IF(M$6="X",VLOOKUP(M$10,'VK-Transport'!$C:$X,2+$B61,0))+IF(M$8="X",VLOOKUP(M$10,'VK-Elekter'!$C:$X,2+$D61,0))+IF(M$9="X",VLOOKUP(M$10,'VK-Biokütused'!$C:$U,2+$E61,0))+IF(M$5="X",VLOOKUP(M$10,'VK-Põlevkivi'!$C:$X,2+$G61,0))+IF(M$4="X",VLOOKUP(M$10,'VK-Võrgud'!$C:$X,2+$F61,0))</f>
        <v>9.8566666666666674</v>
      </c>
      <c r="N61" s="209">
        <f>IF(N$7="X",VLOOKUP(N$10,'VK-Hooned-Soojus'!$C:$X,2+$C61,FALSE),0)+IF(N$6="X",VLOOKUP(N$10,'VK-Transport'!$C:$X,2+$B61,0))+IF(N$8="X",VLOOKUP(N$10,'VK-Elekter'!$C:$X,2+$D61,0))+IF(N$9="X",VLOOKUP(N$10,'VK-Biokütused'!$C:$U,2+$E61,0))+IF(N$5="X",VLOOKUP(N$10,'VK-Põlevkivi'!$C:$X,2+$G61,0))+IF(N$4="X",VLOOKUP(N$10,'VK-Võrgud'!$C:$X,2+$F61,0))</f>
        <v>16.75</v>
      </c>
      <c r="O61" s="209">
        <f t="shared" si="13"/>
        <v>38.028055555555554</v>
      </c>
      <c r="P61" s="209"/>
      <c r="Q61" s="209">
        <f>(IF(Q$7="X",VLOOKUP(Q$10,'VK-Hooned-Soojus'!$C:$X,2+$C61,FALSE),0)+IF(Q$6="X",VLOOKUP(Q$10,'VK-Transport'!$C:$X,2+$B61,0))+IF(Q$8="X",VLOOKUP(Q$10,'VK-Elekter'!$C:$X,2+$D61,0))+IF(Q$9="X",VLOOKUP(Q$10,'VK-Biokütused'!$C:$U,2+$E61,0))+IF(Q$5="X",VLOOKUP(Q$10,'VK-Põlevkivi'!$C:$X,2+$G61,0))+IF(Q$4="X",VLOOKUP(Q$10,'VK-Võrgud'!$C:$X,2+$F61,0)))/1000</f>
        <v>5.3630000000000004</v>
      </c>
      <c r="R61" s="209">
        <f>(IF(R$7="X",VLOOKUP(R$10,'VK-Hooned-Soojus'!$C:$X,2+$C61,FALSE),0)+IF(R$6="X",VLOOKUP(R$10,'VK-Transport'!$C:$X,2+$B61,0))+IF(R$8="X",VLOOKUP(R$10,'VK-Elekter'!$C:$X,2+$D61,0))+IF(R$9="X",VLOOKUP(R$10,'VK-Biokütused'!$C:$U,2+$E61,0))+IF(R$5="X",VLOOKUP(R$10,'VK-Põlevkivi'!$C:$X,2+$G61,0))+IF(R$4="X",VLOOKUP(R$10,'VK-Võrgud'!$C:$X,2+$F61,0)))/1000</f>
        <v>3.2905823271229702</v>
      </c>
      <c r="S61" s="226">
        <f>VLOOKUP(S$10,'VK-Hooned-Soojus'!$C:$I,2+$C61,FALSE) + VLOOKUP(S$10,'VK-Transport'!$C:$I,2+$B61,FALSE)+ VLOOKUP(S$10,'VK-Biokütused'!$C:$G,2+$E61,FALSE)+ VLOOKUP(S$10,'VK-Elekter'!$C:$I,2+$D61,FALSE)+ VLOOKUP(S$10,'VK-Põlevkivi'!$C:$I,2+$G61,FALSE)+ VLOOKUP(S$10,'VK-Võrgud'!$C:$I,2+$F61,FALSE)</f>
        <v>1.5764054113701291E-2</v>
      </c>
      <c r="T61" s="226">
        <f>VLOOKUP(T$10,'VK-Hooned-Soojus'!$C:$I,2+$C61,FALSE) + VLOOKUP(T$10,'VK-Transport'!$C:$I,2+$B61,FALSE)+ VLOOKUP(T$10,'VK-Biokütused'!$C:$G,2+$E61,FALSE)+ VLOOKUP(T$10,'VK-Elekter'!$C:$I,2+$D61,FALSE)+ VLOOKUP(T$10,'VK-Põlevkivi'!$C:$I,2+$G61,FALSE)+ VLOOKUP(T$10,'VK-Võrgud'!$C:$I,2+$F61,FALSE)</f>
        <v>2.1548321722815586E-4</v>
      </c>
      <c r="U61" s="226">
        <f>VLOOKUP(U$10,'VK-Hooned-Soojus'!$C:$I,2+$C61,FALSE) + VLOOKUP(U$10,'VK-Transport'!$C:$I,2+$B61,FALSE)+ VLOOKUP(U$10,'VK-Biokütused'!$C:$G,2+$E61,FALSE)+ VLOOKUP(U$10,'VK-Elekter'!$C:$I,2+$D61,FALSE)+ VLOOKUP(U$10,'VK-Põlevkivi'!$C:$I,2+$G61,FALSE)+ VLOOKUP(U$10,'VK-Võrgud'!$C:$I,2+$F61,FALSE)</f>
        <v>5.67119255580667E-3</v>
      </c>
      <c r="V61" s="226">
        <f>VLOOKUP(V$10,'VK-Hooned-Soojus'!$C:$I,2+$C61,FALSE) + VLOOKUP(V$10,'VK-Transport'!$C:$I,2+$B61,FALSE)+ VLOOKUP(V$10,'VK-Biokütused'!$C:$G,2+$E61,FALSE)+ VLOOKUP(V$10,'VK-Elekter'!$C:$I,2+$D61,FALSE)+ VLOOKUP(V$10,'VK-Põlevkivi'!$C:$I,2+$G61,FALSE)+ VLOOKUP(V$10,'VK-Võrgud'!$C:$I,2+$F61,FALSE)</f>
        <v>1.0216040179531361E-2</v>
      </c>
      <c r="W61" s="226">
        <f>VLOOKUP(W$10,'VK-Hooned-Soojus'!$C:$I,2+$C61,FALSE) + VLOOKUP(W$10,'VK-Transport'!$C:$I,2+$B61,FALSE)+ VLOOKUP(W$10,'VK-Biokütused'!$C:$G,2+$E61,FALSE)+ VLOOKUP(W$10,'VK-Elekter'!$C:$I,2+$D61,FALSE)+ VLOOKUP(W$10,'VK-Põlevkivi'!$C:$I,2+$G61,FALSE)+ VLOOKUP(W$10,'VK-Võrgud'!$C:$I,2+$F61,FALSE)</f>
        <v>-7.5674761554726305E-3</v>
      </c>
      <c r="X61" s="226">
        <f>VLOOKUP(X$10,'VK-Hooned-Soojus'!$C:$I,2+$C61,FALSE) + VLOOKUP(X$10,'VK-Transport'!$C:$I,2+$B61,FALSE)+ VLOOKUP(X$10,'VK-Biokütused'!$C:$G,2+$E61,FALSE)+ VLOOKUP(X$10,'VK-Elekter'!$C:$I,2+$D61,FALSE)+ VLOOKUP(X$10,'VK-Põlevkivi'!$C:$I,2+$G61,FALSE)+ VLOOKUP(X$10,'VK-Võrgud'!$C:$I,2+$F61,FALSE)</f>
        <v>-1.8176329716851122E-2</v>
      </c>
      <c r="Y61" s="226">
        <f>VLOOKUP(Y$10,'VK-Hooned-Soojus'!$C:$I,2+$C61,FALSE) + VLOOKUP(Y$10,'VK-Transport'!$C:$I,2+$B61,FALSE)+ VLOOKUP(Y$10,'VK-Biokütused'!$C:$G,2+$E61,FALSE)+ VLOOKUP(Y$10,'VK-Elekter'!$C:$I,2+$D61,FALSE)+ VLOOKUP(Y$10,'VK-Põlevkivi'!$C:$I,2+$G61,FALSE)+ VLOOKUP(Y$10,'VK-Võrgud'!$C:$I,2+$F61,FALSE)</f>
        <v>-2.1458300272787209E-2</v>
      </c>
      <c r="Z61" s="227">
        <f>(S61*Tulemused!$Q$9*10+T61*Tulemused!$Q$10*10+KOMBI!U61*Tulemused!$Q$11*10+KOMBI!V61*Tulemused!$Q$12*10)*Tulemused!$Q$8+-(W61*Tulemused!$Q$14*10+KOMBI!X61*Tulemused!$Q$15*10+KOMBI!Y61*Tulemused!$Q$16*10)*Tulemused!$Q$13</f>
        <v>3.964664720303114</v>
      </c>
      <c r="AA61" s="228">
        <f>(IF(AA$7="X",VLOOKUP(AA$10,'VK-Hooned-Soojus'!$C:$X,2+$C61,FALSE),0)+IF(AA$6="X",VLOOKUP(AA$10,'VK-Transport'!$C:$X,2+$B61,0))+IF(AA$8="X",VLOOKUP(AA$10,'VK-Elekter'!$C:$X,2+$D61,0))+IF(AA$9="X",VLOOKUP(AA$10,'VK-Biokütused'!$C:$U,2+$E61,0))+IF(AA$5="X",VLOOKUP(AA$10,'VK-Põlevkivi'!$C:$X,2+$G61,0))+IF(AA$4="X",VLOOKUP(AA$10,'VK-Võrgud'!$C:$X,2+$F61,0)))</f>
        <v>3761</v>
      </c>
      <c r="AB61" s="228">
        <f>(IF(AB$7="X",VLOOKUP(AB$10,'VK-Hooned-Soojus'!$C:$X,2+$C61,FALSE),0)+IF(AB$6="X",VLOOKUP(AB$10,'VK-Transport'!$C:$X,2+$B61,0))+IF(AB$8="X",VLOOKUP(AB$10,'VK-Elekter'!$C:$X,2+$D61,0))+IF(AB$9="X",VLOOKUP(AB$10,'VK-Biokütused'!$C:$U,2+$E61,0))+IF(AB$5="X",VLOOKUP(AB$10,'VK-Põlevkivi'!$C:$X,2+$G61,0))+IF(AB$4="X",VLOOKUP(AB$10,'VK-Võrgud'!$C:$X,2+$F61,0)))</f>
        <v>1602</v>
      </c>
      <c r="AC61" s="228">
        <f>(IF(AC$7="X",VLOOKUP(AC$10,'VK-Hooned-Soojus'!$C:$X,2+$C61,FALSE),0)+IF(AC$6="X",VLOOKUP(AC$10,'VK-Transport'!$C:$X,2+$B61,0))+IF(AC$8="X",VLOOKUP(AC$10,'VK-Elekter'!$C:$X,2+$D61,0))+IF(AC$9="X",VLOOKUP(AC$10,'VK-Biokütused'!$C:$U,2+$E61,0))+IF(AC$5="X",VLOOKUP(AC$10,'VK-Põlevkivi'!$C:$X,2+$G61,0))+IF(AC$4="X",VLOOKUP(AC$10,'VK-Võrgud'!$C:$X,2+$F61,0)))</f>
        <v>2346</v>
      </c>
      <c r="AD61" s="228">
        <f>(IF(AD$7="X",VLOOKUP(AD$10,'VK-Hooned-Soojus'!$C:$X,2+$C61,FALSE),0)+IF(AD$6="X",VLOOKUP(AD$10,'VK-Transport'!$C:$X,2+$B61,0))+IF(AD$8="X",VLOOKUP(AD$10,'VK-Elekter'!$C:$X,2+$D61,0))+IF(AD$9="X",VLOOKUP(AD$10,'VK-Biokütused'!$C:$U,2+$E61,0))+IF(AD$5="X",VLOOKUP(AD$10,'VK-Põlevkivi'!$C:$X,2+$G61,0))+IF(AD$4="X",VLOOKUP(AD$10,'VK-Võrgud'!$C:$X,2+$F61,0)))</f>
        <v>586.20000000000005</v>
      </c>
      <c r="AE61" s="228">
        <f>(IF(AE$7="X",VLOOKUP(AE$10,'VK-Hooned-Soojus'!$C:$X,2+$C61,FALSE),0)+IF(AE$6="X",VLOOKUP(AE$10,'VK-Transport'!$C:$X,2+$B61,0))+IF(AE$8="X",VLOOKUP(AE$10,'VK-Elekter'!$C:$X,2+$D61,0))+IF(AE$9="X",VLOOKUP(AE$10,'VK-Biokütused'!$C:$U,2+$E61,0))+IF(AE$5="X",VLOOKUP(AE$10,'VK-Põlevkivi'!$C:$X,2+$G61,0))+IF(AE$4="X",VLOOKUP(AE$10,'VK-Võrgud'!$C:$X,2+$F61,0)))</f>
        <v>812</v>
      </c>
      <c r="AF61" s="228">
        <f>(IF(AF$7="X",VLOOKUP(AF$10,'VK-Hooned-Soojus'!$C:$X,2+$C61,FALSE),0)+IF(AF$6="X",VLOOKUP(AF$10,'VK-Transport'!$C:$X,2+$B61,0))+IF(AF$8="X",VLOOKUP(AF$10,'VK-Elekter'!$C:$X,2+$D61,0))+IF(AF$9="X",VLOOKUP(AF$10,'VK-Biokütused'!$C:$U,2+$E61,0))+IF(AF$5="X",VLOOKUP(AF$10,'VK-Põlevkivi'!$C:$X,2+$G61,0))+IF(AF$4="X",VLOOKUP(AF$10,'VK-Võrgud'!$C:$X,2+$F61,0)))</f>
        <v>1892.3823271229701</v>
      </c>
      <c r="AG61" s="209"/>
      <c r="AH61" s="209">
        <f>IF(AH$7="X",VLOOKUP(AH$10,'VK-Hooned-Soojus'!$C:$X,2+$C61,FALSE),0)+IF(AH$6="X",VLOOKUP(AH$10,'VK-Transport'!$C:$X,2+$B61,0))+IF(AH$8="X",VLOOKUP(AH$10,'VK-Elekter'!$C:$X,2+$D61,0))+IF(AH$9="X",VLOOKUP(AH$10,'VK-Biokütused'!$C:$U,2+$E61,0))+IF(AH$5="X",VLOOKUP(AH$10,'VK-Põlevkivi'!$C:$X,2+$G61,0))+IF(AH$4="X",VLOOKUP(AH$10,'VK-Võrgud'!$C:$X,2+$F61,0))</f>
        <v>11.64</v>
      </c>
      <c r="AI61" s="209">
        <f>IF(AI$7="X",VLOOKUP(AI$10,'VK-Hooned-Soojus'!$C:$X,2+$C61,FALSE),0)+IF(AI$6="X",VLOOKUP(AI$10,'VK-Transport'!$C:$X,2+$B61,0))+IF(AI$8="X",VLOOKUP(AI$10,'VK-Elekter'!$C:$X,2+$D61,0))+IF(AI$9="X",VLOOKUP(AI$10,'VK-Biokütused'!$C:$U,2+$E61,0))+IF(AI$5="X",VLOOKUP(AI$10,'VK-Põlevkivi'!$C:$X,2+$G61,0))+IF(AI$4="X",VLOOKUP(AI$10,'VK-Võrgud'!$C:$X,2+$F61,0))</f>
        <v>2.3100000000000005</v>
      </c>
      <c r="AJ61" s="209">
        <f>IF(AJ$7="X",VLOOKUP(AJ$10,'VK-Hooned-Soojus'!$C:$X,2+$C61,FALSE),0)+IF(AJ$6="X",VLOOKUP(AJ$10,'VK-Transport'!$C:$X,2+$B61,0))+IF(AJ$8="X",VLOOKUP(AJ$10,'VK-Elekter'!$C:$X,2+$D61,0))+IF(AJ$9="X",VLOOKUP(AJ$10,'VK-Biokütused'!$C:$U,2+$E61,0))+IF(AJ$5="X",VLOOKUP(AJ$10,'VK-Põlevkivi'!$C:$X,2+$G61,0))+IF(AJ$4="X",VLOOKUP(AJ$10,'VK-Võrgud'!$C:$X,2+$F61,0))</f>
        <v>9.25</v>
      </c>
      <c r="AK61" s="209">
        <f>IF(AK$7="X",VLOOKUP(AK$10,'VK-Hooned-Soojus'!$C:$X,2+$C61,FALSE),0)+IF(AK$6="X",VLOOKUP(AK$10,'VK-Transport'!$C:$X,2+$B61,0))+IF(AK$8="X",VLOOKUP(AK$10,'VK-Elekter'!$C:$X,2+$D61,0))+IF(AK$9="X",VLOOKUP(AK$10,'VK-Biokütused'!$C:$U,2+$E61,0))+IF(AK$5="X",VLOOKUP(AK$10,'VK-Põlevkivi'!$C:$X,2+$G61,0))+IF(AK$4="X",VLOOKUP(AK$10,'VK-Võrgud'!$C:$X,2+$F61,0))</f>
        <v>2.78</v>
      </c>
      <c r="AL61" s="209">
        <f>IF(AL$7="X",VLOOKUP(AL$10,'VK-Hooned-Soojus'!$C:$X,2+$C61,FALSE),0)+IF(AL$6="X",VLOOKUP(AL$10,'VK-Transport'!$C:$X,2+$B61,0))+IF(AL$8="X",VLOOKUP(AL$10,'VK-Elekter'!$C:$X,2+$D61,0))+IF(AL$9="X",VLOOKUP(AL$10,'VK-Biokütused'!$C:$U,2+$E61,0))+IF(AL$5="X",VLOOKUP(AL$10,'VK-Põlevkivi'!$C:$X,2+$G61,0))+IF(AL$4="X",VLOOKUP(AL$10,'VK-Võrgud'!$C:$X,2+$F61,0))</f>
        <v>7.1999999999999993</v>
      </c>
      <c r="AM61" s="209">
        <f>IF(AM$7="X",VLOOKUP(AM$10,'VK-Hooned-Soojus'!$C:$X,2+$C61,FALSE),0)+IF(AM$6="X",VLOOKUP(AM$10,'VK-Transport'!$C:$X,2+$B61,0))+IF(AM$8="X",VLOOKUP(AM$10,'VK-Elekter'!$C:$X,2+$D61,0))+IF(AM$9="X",VLOOKUP(AM$10,'VK-Biokütused'!$C:$U,2+$E61,0))+IF(AM$5="X",VLOOKUP(AM$10,'VK-Põlevkivi'!$C:$X,2+$G61,0))+IF(AM$4="X",VLOOKUP(AM$10,'VK-Võrgud'!$C:$X,2+$F61,0))</f>
        <v>12.9</v>
      </c>
      <c r="AN61" s="209">
        <f>IF(AN$7="X",VLOOKUP(AN$10,'VK-Hooned-Soojus'!$C:$X,2+$C61,FALSE),0)+IF(AN$6="X",VLOOKUP(AN$10,'VK-Transport'!$C:$X,2+$B61,0))+IF(AN$8="X",VLOOKUP(AN$10,'VK-Elekter'!$C:$X,2+$D61,0))+IF(AN$9="X",VLOOKUP(AN$10,'VK-Biokütused'!$C:$U,2+$E61,0))+IF(AN$5="X",VLOOKUP(AN$10,'VK-Põlevkivi'!$C:$X,2+$G61,0))+IF(AN$4="X",VLOOKUP(AN$10,'VK-Võrgud'!$C:$X,2+$F61,0))</f>
        <v>5.6999999999999993</v>
      </c>
      <c r="AO61" s="209">
        <f>IF(AO$7="X",VLOOKUP(AO$10,'VK-Hooned-Soojus'!$C:$X,2+$C61,FALSE),0)+IF(AO$6="X",VLOOKUP(AO$10,'VK-Transport'!$C:$X,2+$B61,0))+IF(AO$8="X",VLOOKUP(AO$10,'VK-Elekter'!$C:$X,2+$D61,0))+IF(AO$9="X",VLOOKUP(AO$10,'VK-Biokütused'!$C:$U,2+$E61,0))+IF(AO$5="X",VLOOKUP(AO$10,'VK-Põlevkivi'!$C:$X,2+$G61,0))+IF(AO$4="X",VLOOKUP(AO$10,'VK-Võrgud'!$C:$X,2+$F61,0))</f>
        <v>13.56</v>
      </c>
      <c r="AP61" s="209">
        <f>IF(AP$7="X",VLOOKUP(AP$10,'VK-Hooned-Soojus'!$C:$X,2+$C61,FALSE),0)+IF(AP$6="X",VLOOKUP(AP$10,'VK-Transport'!$C:$X,2+$B61,0))+IF(AP$8="X",VLOOKUP(AP$10,'VK-Elekter'!$C:$X,2+$D61,0))+IF(AP$9="X",VLOOKUP(AP$10,'VK-Biokütused'!$C:$U,2+$E61,0))+IF(AP$5="X",VLOOKUP(AP$10,'VK-Põlevkivi'!$C:$X,2+$G61,0))+IF(AP$4="X",VLOOKUP(AP$10,'VK-Võrgud'!$C:$X,2+$F61,0))</f>
        <v>6.78</v>
      </c>
      <c r="AQ61" s="320">
        <f t="shared" si="14"/>
        <v>1.2599999999999998</v>
      </c>
      <c r="AR61" s="209">
        <f>IF(AR$7="X",VLOOKUP(AR$10,'VK-Hooned-Soojus'!$C:$X,2+$C61,FALSE),0)+IF(AR$6="X",VLOOKUP(AR$10,'VK-Transport'!$C:$X,2+$B61,0))+IF(AR$8="X",VLOOKUP(AR$10,'VK-Elekter'!$C:$X,2+$D61,0))+IF(AR$9="X",VLOOKUP(AR$10,'VK-Biokütused'!$C:$U,2+$E61,0))+IF(AR$5="X",VLOOKUP(AR$10,'VK-Põlevkivi'!$C:$X,2+$G61,0))+IF(AR$4="X",VLOOKUP(AR$10,'VK-Võrgud'!$C:$X,2+$F61,0))</f>
        <v>3.4899999999999998</v>
      </c>
      <c r="AS61" s="320">
        <f>VLOOKUP("Kütuste tarbimine @ 2030 - UTTEGAAS",'VK-Hooned-Soojus'!$C:$X,2+$C61,FALSE)/0.172+VLOOKUP("Kütuste tarbimine @ 2030 - UTTEGAAS",'VK-Elekter'!$C:$X,2+$D61,FALSE)/0.172-AR61-AU61</f>
        <v>2.7565116279069759</v>
      </c>
      <c r="AT61" s="209">
        <f>IF(AT$7="X",VLOOKUP(AT$10,'VK-Hooned-Soojus'!$C:$X,2+$C61,FALSE),0)+IF(AT$6="X",VLOOKUP(AT$10,'VK-Transport'!$C:$X,2+$B61,0))+IF(AT$8="X",VLOOKUP(AT$10,'VK-Elekter'!$C:$X,2+$D61,0))+IF(AT$9="X",VLOOKUP(AT$10,'VK-Biokütused'!$C:$U,2+$E61,0))+IF(AT$5="X",VLOOKUP(AT$10,'VK-Põlevkivi'!$C:$X,2+$G61,0))+IF(AT$4="X",VLOOKUP(AT$10,'VK-Võrgud'!$C:$X,2+$F61,0))</f>
        <v>9.2784458909544707</v>
      </c>
      <c r="AU61" s="229">
        <f>MAX(0,(VLOOKUP("Kütuste tarbimine @ 2030 - UTTEGAAS",'VK-Hooned-Soojus'!$C:$X,2+$C61,FALSE)/0.172+VLOOKUP("Kütuste tarbimine @ 2030 - UTTEGAAS",'VK-Elekter'!$C:$X,2+$D61,FALSE)/0.172)*0.52-VLOOKUP("Kütuste tarbimine @ 2030 - PÕLEVKIVIÕLI",'VK-Hooned-Soojus'!$C:$X,2+$C61,FALSE))</f>
        <v>4.6837209302325586</v>
      </c>
      <c r="AV61" s="209">
        <f>IF(AV$7="X",VLOOKUP(AV$10,'VK-Hooned-Soojus'!$C:$X,2+$C61,FALSE),0)+IF(AV$6="X",VLOOKUP(AV$10,'VK-Transport'!$C:$X,2+$B61,0))+IF(AV$8="X",VLOOKUP(AV$10,'VK-Elekter'!$C:$X,2+$D61,0))+IF(AV$9="X",VLOOKUP(AV$10,'VK-Biokütused'!$C:$U,2+$E61,0))+IF(AV$5="X",VLOOKUP(AV$10,'VK-Põlevkivi'!$C:$X,2+$G61,0))+IF(AV$4="X",VLOOKUP(AV$10,'VK-Võrgud'!$C:$X,2+$F61,0))</f>
        <v>1.7257321590343366</v>
      </c>
      <c r="AW61" s="209">
        <f>IF(AW$7="X",VLOOKUP(AW$10,'VK-Hooned-Soojus'!$C:$X,2+$C61,FALSE),0)+IF(AW$6="X",VLOOKUP(AW$10,'VK-Transport'!$C:$X,2+$B61,0))+IF(AW$8="X",VLOOKUP(AW$10,'VK-Elekter'!$C:$X,2+$D61,0))+IF(AW$9="X",VLOOKUP(AW$10,'VK-Biokütused'!$C:$U,2+$E61,0))+IF(AW$5="X",VLOOKUP(AW$10,'VK-Põlevkivi'!$C:$X,2+$G61,0))+IF(AW$4="X",VLOOKUP(AW$10,'VK-Võrgud'!$C:$X,2+$F61,0))</f>
        <v>4.2799999999999994</v>
      </c>
      <c r="AX61" s="229">
        <f t="shared" si="34"/>
        <v>2.5542678409656627</v>
      </c>
      <c r="AY61" s="229">
        <f t="shared" si="15"/>
        <v>0</v>
      </c>
      <c r="AZ61" s="230">
        <f t="shared" si="36"/>
        <v>0.55876787668977634</v>
      </c>
      <c r="BA61" s="209">
        <f>IF(BA$7="X",VLOOKUP(BA$10,'VK-Hooned-Soojus'!$C:$X,2+$C61,FALSE),0)+IF(BA$6="X",VLOOKUP(BA$10,'VK-Transport'!$C:$X,2+$B61,0))+IF(BA$8="X",VLOOKUP(BA$10,'VK-Elekter'!$C:$X,2+$D61,0))+IF(BA$9="X",VLOOKUP(BA$10,'VK-Biokütused'!$C:$U,2+$E61,0))+IF(BA$5="X",VLOOKUP(BA$10,'VK-Põlevkivi'!$C:$X,2+$G61,0))+IF(BA$4="X",VLOOKUP(BA$10,'VK-Võrgud'!$C:$X,2+$F61,0))</f>
        <v>4.25</v>
      </c>
      <c r="BB61" s="209">
        <f>IF(BB$7="X",VLOOKUP(BB$10,'VK-Hooned-Soojus'!$C:$X,2+$C61,FALSE),0)+IF(BB$6="X",VLOOKUP(BB$10,'VK-Transport'!$C:$X,2+$B61,0))+IF(BB$8="X",VLOOKUP(BB$10,'VK-Elekter'!$C:$X,2+$D61,0))+IF(BB$9="X",VLOOKUP(BB$10,'VK-Biokütused'!$C:$U,2+$E61,0))+IF(BB$5="X",VLOOKUP(BB$10,'VK-Põlevkivi'!$C:$X,2+$G61,0))+IF(BB$4="X",VLOOKUP(BB$10,'VK-Võrgud'!$C:$X,2+$F61,0))</f>
        <v>2.93</v>
      </c>
      <c r="BC61" s="209">
        <f>IF(BC$7="X",VLOOKUP(BC$10,'VK-Hooned-Soojus'!$C:$X,2+$C61,FALSE),0)+IF(BC$6="X",VLOOKUP(BC$10,'VK-Transport'!$C:$X,2+$B61,0))+IF(BC$8="X",VLOOKUP(BC$10,'VK-Elekter'!$C:$X,2+$D61,0))+IF(BC$9="X",VLOOKUP(BC$10,'VK-Biokütused'!$C:$U,2+$E61,0))+IF(BC$5="X",VLOOKUP(BC$10,'VK-Põlevkivi'!$C:$X,2+$G61,0))+IF(BC$4="X",VLOOKUP(BC$10,'VK-Võrgud'!$C:$X,2+$F61,0))</f>
        <v>8.0523611111111126</v>
      </c>
      <c r="BD61" s="209">
        <f>IF(BD$7="X",VLOOKUP(BD$10,'VK-Hooned-Soojus'!$C:$X,2+$C61,FALSE),0)+IF(BD$6="X",VLOOKUP(BD$10,'VK-Transport'!$C:$X,2+$B61,0))+IF(BD$8="X",VLOOKUP(BD$10,'VK-Elekter'!$C:$X,2+$D61,0))+IF(BD$9="X",VLOOKUP(BD$10,'VK-Biokütused'!$C:$U,2+$E61,0))+IF(BD$5="X",VLOOKUP(BD$10,'VK-Põlevkivi'!$C:$X,2+$G61,0))+IF(BD$4="X",VLOOKUP(BD$10,'VK-Võrgud'!$C:$X,2+$F61,0))</f>
        <v>10.42138888888889</v>
      </c>
      <c r="BE61" s="230"/>
      <c r="BF61" s="229">
        <f t="shared" si="16"/>
        <v>0.33475993463505049</v>
      </c>
      <c r="BG61" s="209" t="e">
        <f>(IF(BG$7="X",VLOOKUP(BG$10,'VK-Hooned-Soojus'!$C:$X,2+$C61,FALSE),0)+IF(BG$6="X",VLOOKUP(BG$10,'VK-Transport'!$C:$X,2+$B61,0))+IF(BG$8="X",VLOOKUP(BG$10,'VK-Elekter'!$C:$X,2+$D61,0))+IF(BG$9="X",VLOOKUP(BG$10,'VK-Biokütused'!$C:$U,2+$E61,0))+IF(BG$5="X",VLOOKUP(BG$10,'VK-Põlevkivi'!$C:$X,2+$G61,0))+IF(BG$4="X",VLOOKUP(BG$10,'VK-Võrgud'!$C:$X,2+$F61,0)))/20</f>
        <v>#N/A</v>
      </c>
      <c r="BH61" s="209">
        <f>(IF(BH$7="X",VLOOKUP(BH$10,'VK-Hooned-Soojus'!$C:$X,2+$C61,FALSE),0)+IF(BH$6="X",VLOOKUP(BH$10,'VK-Transport'!$C:$X,2+$B61,0))+IF(BH$8="X",VLOOKUP(BH$10,'VK-Elekter'!$C:$X,2+$D61,0))+IF(BH$9="X",VLOOKUP(BH$10,'VK-Biokütused'!$C:$U,2+$E61,0))+IF(BH$5="X",VLOOKUP(BH$10,'VK-Põlevkivi'!$C:$X,2+$G61,0))+IF(BH$4="X",VLOOKUP(BH$10,'VK-Võrgud'!$C:$X,2+$F61,0)))/20</f>
        <v>13.99</v>
      </c>
      <c r="BI61" s="209">
        <f>(IF(BI$7="X",VLOOKUP(BI$10,'VK-Hooned-Soojus'!$C:$X,2+$C61,FALSE),0)+IF(BI$6="X",VLOOKUP(BI$10,'VK-Transport'!$C:$X,2+$B61,0))+IF(BI$8="X",VLOOKUP(BI$10,'VK-Elekter'!$C:$X,2+$D61,0))+IF(BI$9="X",VLOOKUP(BI$10,'VK-Biokütused'!$C:$U,2+$E61,0))+IF(BI$5="X",VLOOKUP(BI$10,'VK-Põlevkivi'!$C:$X,2+$G61,0))+IF(BI$4="X",VLOOKUP(BI$10,'VK-Võrgud'!$C:$X,2+$F61,0)))/16</f>
        <v>17.75</v>
      </c>
      <c r="BJ61" s="209">
        <f>(IF(BJ$7="X",VLOOKUP(BJ$10,'VK-Hooned-Soojus'!$C:$X,2+$C61,FALSE),0)+IF(BJ$6="X",VLOOKUP(BJ$10,'VK-Transport'!$C:$X,2+$B61,0))+IF(BJ$8="X",VLOOKUP(BJ$10,'VK-Elekter'!$C:$X,2+$D61,0))+IF(BJ$9="X",VLOOKUP(BJ$10,'VK-Biokütused'!$C:$U,2+$E61,0))+IF(BJ$5="X",VLOOKUP(BJ$10,'VK-Põlevkivi'!$C:$X,2+$G61,0))+IF(BJ$4="X",VLOOKUP(BJ$10,'VK-Võrgud'!$C:$X,2+$F61,0)))/20</f>
        <v>1.85</v>
      </c>
      <c r="BK61" s="209"/>
      <c r="BL61" s="209"/>
      <c r="BM61" s="209"/>
      <c r="BN61" s="209" t="e">
        <f>(IF(BN$7="X",VLOOKUP(BN$10,'VK-Hooned-Soojus'!$C:$X,2+$C61,FALSE),0)+IF(BN$6="X",VLOOKUP(BN$10,'VK-Transport'!$C:$X,2+$B61,0))+IF(BN$8="X",VLOOKUP(BN$10,'VK-Elekter'!$C:$X,2+$D61,0))+IF(BN$9="X",VLOOKUP(BN$10,'VK-Biokütused'!$C:$U,2+$E61,0))+IF(BN$5="X",VLOOKUP(BN$10,'VK-Põlevkivi'!$C:$X,2+$G61,0))+IF(BN$4="X",VLOOKUP(BN$10,'VK-Võrgud'!$C:$X,2+$F61,0)))/16</f>
        <v>#N/A</v>
      </c>
      <c r="BO61" s="209">
        <f>(IF(BO$7="X",VLOOKUP(BO$10,'VK-Hooned-Soojus'!$C:$X,2+$C61,FALSE),0)+IF(BO$6="X",VLOOKUP(BO$10,'VK-Transport'!$C:$X,2+$B61,0))+IF(BO$8="X",VLOOKUP(BO$10,'VK-Elekter'!$C:$X,2+$D61,0))+IF(BO$9="X",VLOOKUP(BO$10,'VK-Biokütused'!$C:$U,2+$E61,0))+IF(BO$5="X",VLOOKUP(BO$10,'VK-Põlevkivi'!$C:$X,2+$G61,0))+IF(BO$4="X",VLOOKUP(BO$10,'VK-Võrgud'!$C:$X,2+$F61,0)))/16</f>
        <v>405.45</v>
      </c>
      <c r="BP61" s="209"/>
      <c r="BQ61" s="209">
        <f>(IF(BQ$7="X",VLOOKUP(BQ$10,'VK-Hooned-Soojus'!$C:$X,2+$C61,FALSE),0)+IF(BQ$6="X",VLOOKUP(BQ$10,'VK-Transport'!$C:$X,2+$B61,0))+IF(BQ$8="X",VLOOKUP(BQ$10,'VK-Elekter'!$C:$X,2+$D61,0))+IF(BQ$9="X",VLOOKUP(BQ$10,'VK-Biokütused'!$C:$U,2+$E61,0))+IF(BQ$5="X",VLOOKUP(BQ$10,'VK-Põlevkivi'!$C:$X,2+$G61,0))+IF(BQ$4="X",VLOOKUP(BQ$10,'VK-Võrgud'!$C:$X,2+$F61,0)))/16</f>
        <v>127.6</v>
      </c>
      <c r="BR61" s="209">
        <f>(IF(BR$7="X",VLOOKUP(BR$10,'VK-Hooned-Soojus'!$C:$X,2+$C61,FALSE),0)+IF(BR$6="X",VLOOKUP(BR$10,'VK-Transport'!$C:$X,2+$B61,0))+IF(BR$8="X",VLOOKUP(BR$10,'VK-Elekter'!$C:$X,2+$D61,0))+IF(BR$9="X",VLOOKUP(BR$10,'VK-Biokütused'!$C:$U,2+$E61,0))+IF(BR$5="X",VLOOKUP(BR$10,'VK-Põlevkivi'!$C:$X,2+$G61,0))+IF(BR$4="X",VLOOKUP(BR$10,'VK-Võrgud'!$C:$X,2+$F61,0)))/16</f>
        <v>27.475000000000001</v>
      </c>
      <c r="BS61" s="209">
        <f>(IF(BS$7="X",VLOOKUP(BS$10,'VK-Hooned-Soojus'!$C:$X,2+$C61,FALSE),0)+IF(BS$6="X",VLOOKUP(BS$10,'VK-Transport'!$C:$X,2+$B61,0))+IF(BS$8="X",VLOOKUP(BS$10,'VK-Elekter'!$C:$X,2+$D61,0))+IF(BS$9="X",VLOOKUP(BS$10,'VK-Biokütused'!$C:$U,2+$E61,0))+IF(BS$5="X",VLOOKUP(BS$10,'VK-Põlevkivi'!$C:$X,2+$G61,0))+IF(BS$4="X",VLOOKUP(BS$10,'VK-Võrgud'!$C:$X,2+$F61,0)))/16</f>
        <v>-23.293749999999999</v>
      </c>
      <c r="BT61" s="209"/>
      <c r="BU61" s="209"/>
      <c r="BV61" s="209">
        <f>(IF(BV$7="X",VLOOKUP(BV$10,'VK-Hooned-Soojus'!$C:$X,2+$C61,FALSE),0)+IF(BV$6="X",VLOOKUP(BV$10,'VK-Transport'!$C:$X,2+$B61,0))+IF(BV$8="X",VLOOKUP(BV$10,'VK-Elekter'!$C:$X,2+$D61,0))+IF(BV$9="X",VLOOKUP(BV$10,'VK-Biokütused'!$C:$U,2+$E61,0))+IF(BV$5="X",VLOOKUP(BV$10,'VK-Põlevkivi'!$C:$X,2+$G61,0))+IF(BV$4="X",VLOOKUP(BV$10,'VK-Võrgud'!$C:$X,2+$F61,0)))/16</f>
        <v>0</v>
      </c>
      <c r="BW61" s="209"/>
      <c r="BX61" s="209">
        <f>(IF(BX$7="X",VLOOKUP(BX$10,'VK-Hooned-Soojus'!$C:$X,2+$C61,FALSE),0)+IF(BX$6="X",VLOOKUP(BX$10,'VK-Transport'!$C:$X,2+$B61,0))+IF(BX$8="X",VLOOKUP(BX$10,'VK-Elekter'!$C:$X,2+$D61,0))+IF(BX$9="X",VLOOKUP(BX$10,'VK-Biokütused'!$C:$U,2+$E61,0))+IF(BX$5="X",VLOOKUP(BX$10,'VK-Põlevkivi'!$C:$X,2+$G61,0))+IF(BX$4="X",VLOOKUP(BX$10,'VK-Võrgud'!$C:$X,2+$F61,0)))/16</f>
        <v>-99.75</v>
      </c>
      <c r="BY61" s="209"/>
      <c r="BZ61" s="209"/>
      <c r="CA61" s="209" t="e">
        <f>(IF(CA$7="X",VLOOKUP(CA$10,'VK-Hooned-Soojus'!$C:$X,2+$C61,FALSE),0)+IF(CA$6="X",VLOOKUP(CA$10,'VK-Transport'!$C:$X,2+$B61,0))+IF(CA$8="X",VLOOKUP(CA$10,'VK-Elekter'!$C:$X,2+$D61,0))+IF(CA$9="X",VLOOKUP(CA$10,'VK-Biokütused'!$C:$U,2+$E61,0))+IF(CA$5="X",VLOOKUP(CA$10,'VK-Põlevkivi'!$C:$X,2+$G61,0))+IF(CA$4="X",VLOOKUP(CA$10,'VK-Võrgud'!$C:$X,2+$F61,0)))/16</f>
        <v>#N/A</v>
      </c>
      <c r="CB61" s="209">
        <f>(IF(CB$7="X",VLOOKUP(CB$10,'VK-Hooned-Soojus'!$C:$X,2+$C61,FALSE),0)+IF(CB$6="X",VLOOKUP(CB$10,'VK-Transport'!$C:$X,2+$B61,0))+IF(CB$8="X",VLOOKUP(CB$10,'VK-Elekter'!$C:$X,2+$D61,0))+IF(CB$9="X",VLOOKUP(CB$10,'VK-Biokütused'!$C:$U,2+$E61,0))+IF(CB$5="X",VLOOKUP(CB$10,'VK-Põlevkivi'!$C:$X,2+$G61,0))+IF(CB$4="X",VLOOKUP(CB$10,'VK-Võrgud'!$C:$X,2+$F61,0)))/16</f>
        <v>0</v>
      </c>
      <c r="CC61" s="209">
        <f>(IF(CC$7="X",VLOOKUP(CC$10,'VK-Hooned-Soojus'!$C:$X,2+$C61,FALSE),0)+IF(CC$6="X",VLOOKUP(CC$10,'VK-Transport'!$C:$X,2+$B61,0))+IF(CC$8="X",VLOOKUP(CC$10,'VK-Elekter'!$C:$X,2+$D61,0))+IF(CC$9="X",VLOOKUP(CC$10,'VK-Biokütused'!$C:$U,2+$E61,0))+IF(CC$5="X",VLOOKUP(CC$10,'VK-Põlevkivi'!$C:$X,2+$G61,0))+IF(CC$4="X",VLOOKUP(CC$10,'VK-Võrgud'!$C:$X,2+$F61,0)))/16</f>
        <v>0</v>
      </c>
      <c r="CD61" s="209"/>
      <c r="CE61" s="209">
        <f>(IF(CE$7="X",VLOOKUP(CE$10,'VK-Hooned-Soojus'!$C:$X,2+$C61,FALSE),0)+IF(CE$6="X",VLOOKUP(CE$10,'VK-Transport'!$C:$X,2+$B61,0))+IF(CE$8="X",VLOOKUP(CE$10,'VK-Elekter'!$C:$X,2+$D61,0))+IF(CE$9="X",VLOOKUP(CE$10,'VK-Biokütused'!$C:$U,2+$E61,0))+IF(CE$5="X",VLOOKUP(CE$10,'VK-Põlevkivi'!$C:$X,2+$G61,0))+IF(CE$4="X",VLOOKUP(CE$10,'VK-Võrgud'!$C:$X,2+$F61,0)))/16</f>
        <v>24.15625</v>
      </c>
      <c r="CF61" s="209"/>
      <c r="CG61" s="209">
        <f>(IF(CG$7="X",VLOOKUP(CG$10,'VK-Hooned-Soojus'!$C:$X,2+$C61,FALSE),0)+IF(CG$6="X",VLOOKUP(CG$10,'VK-Transport'!$C:$X,2+$B61,0))+IF(CG$8="X",VLOOKUP(CG$10,'VK-Elekter'!$C:$X,2+$D61,0))+IF(CG$9="X",VLOOKUP(CG$10,'VK-Biokütused'!$C:$U,2+$E61,0))+IF(CG$5="X",VLOOKUP(CG$10,'VK-Põlevkivi'!$C:$X,2+$G61,0))+IF(CG$4="X",VLOOKUP(CG$10,'VK-Võrgud'!$C:$X,2+$F61,0)))/16</f>
        <v>0</v>
      </c>
      <c r="CH61" s="209">
        <f>(IF(CH$7="X",VLOOKUP(CH$10,'VK-Hooned-Soojus'!$C:$X,2+$C61,FALSE),0)+IF(CH$6="X",VLOOKUP(CH$10,'VK-Transport'!$C:$X,2+$B61,0))+IF(CH$8="X",VLOOKUP(CH$10,'VK-Elekter'!$C:$X,2+$D61,0))+IF(CH$9="X",VLOOKUP(CH$10,'VK-Biokütused'!$C:$U,2+$E61,0))+IF(CH$5="X",VLOOKUP(CH$10,'VK-Põlevkivi'!$C:$X,2+$G61,0))+IF(CH$4="X",VLOOKUP(CH$10,'VK-Võrgud'!$C:$X,2+$F61,0)))/20*0.21</f>
        <v>5.6122500000000004</v>
      </c>
      <c r="CI61" s="209"/>
      <c r="CJ61" s="209">
        <f>(IF(CJ$7="X",VLOOKUP(CJ$10,'VK-Hooned-Soojus'!$C:$X,2+$C61,FALSE),0)+IF(CJ$6="X",VLOOKUP(CJ$10,'VK-Transport'!$C:$X,2+$B61,0))+IF(CJ$8="X",VLOOKUP(CJ$10,'VK-Elekter'!$C:$X,2+$D61,0))+IF(CJ$9="X",VLOOKUP(CJ$10,'VK-Biokütused'!$C:$U,2+$E61,0))+IF(CJ$5="X",VLOOKUP(CJ$10,'VK-Põlevkivi'!$C:$X,2+$G61,0))+IF(CJ$4="X",VLOOKUP(CJ$10,'VK-Võrgud'!$C:$X,2+$F61,0)))/1000</f>
        <v>19.100578011574537</v>
      </c>
      <c r="CK61" s="209">
        <f>(IF(CK$7="X",VLOOKUP(CK$10,'VK-Hooned-Soojus'!$C:$X,2+$C61,FALSE),0)+IF(CK$6="X",VLOOKUP(CK$10,'VK-Transport'!$C:$X,2+$B61,0))+IF(CK$8="X",VLOOKUP(CK$10,'VK-Elekter'!$C:$X,2+$D61,0))+IF(CK$9="X",VLOOKUP(CK$10,'VK-Biokütused'!$C:$U,2+$E61,0))+IF(CK$5="X",VLOOKUP(CK$10,'VK-Põlevkivi'!$C:$X,2+$G61,0))+IF(CK$4="X",VLOOKUP(CK$10,'VK-Võrgud'!$C:$X,2+$F61,0)))/1000</f>
        <v>12.804324637900008</v>
      </c>
      <c r="CL61" s="235">
        <f>(IF(CL$7="X",VLOOKUP(CL$10,'VK-Hooned-Soojus'!$C:$X,2+$C61,FALSE),0)+IF(CL$6="X",VLOOKUP(CL$10,'VK-Transport'!$C:$X,2+$B61,0))+IF(CL$8="X",VLOOKUP(CL$10,'VK-Elekter'!$C:$X,2+$D61,0))+IF(CL$9="X",VLOOKUP(CL$10,'VK-Biokütused'!$C:$U,2+$E61,0)))/1000</f>
        <v>8.8647703590452114</v>
      </c>
      <c r="CM61" s="209">
        <f>(IF(CM$7="X",VLOOKUP(CM$10,'VK-Hooned-Soojus'!$C:$X,2+$C61,FALSE),0)+IF(CM$6="X",VLOOKUP(CM$10,'VK-Transport'!$C:$X,2+$B61,0))+IF(CM$8="X",VLOOKUP(CM$10,'VK-Elekter'!$C:$X,2+$D61,0))+IF(CM$9="X",VLOOKUP(CM$10,'VK-Biokütused'!$C:$U,2+$E61,0))+IF(CM$5="X",VLOOKUP(CM$10,'VK-Põlevkivi'!$C:$X,2+$G61,0))+IF(CM$4="X",VLOOKUP(CM$10,'VK-Võrgud'!$C:$X,2+$F61,0)))/1000</f>
        <v>8.5427605777489077</v>
      </c>
      <c r="CN61" s="209">
        <f>(IF(CN$7="X",VLOOKUP(CN$10,'VK-Hooned-Soojus'!$C:$X,2+$C61,FALSE),0)+IF(CN$6="X",VLOOKUP(CN$10,'VK-Transport'!$C:$X,2+$B61,0))+IF(CN$8="X",VLOOKUP(CN$10,'VK-Elekter'!$C:$X,2+$D61,0))+IF(CN$9="X",VLOOKUP(CN$10,'VK-Biokütused'!$C:$U,2+$E61,0))+IF(CN$5="X",VLOOKUP(CN$10,'VK-Põlevkivi'!$C:$X,2+$G61,0))+IF(CN$4="X",VLOOKUP(CN$10,'VK-Võrgud'!$C:$X,2+$F61,0)))/1000</f>
        <v>3.1680000000000001</v>
      </c>
      <c r="CO61" s="209">
        <f>(IF(CO$7="X",VLOOKUP(CO$10,'VK-Hooned-Soojus'!$C:$X,2+$C61,FALSE),0)+IF(CO$6="X",VLOOKUP(CO$10,'VK-Transport'!$C:$X,2+$B61,0))+IF(CO$8="X",VLOOKUP(CO$10,'VK-Elekter'!$C:$X,2+$D61,0))+IF(CO$9="X",VLOOKUP(CO$10,'VK-Biokütused'!$C:$U,2+$E61,0))+IF(CO$5="X",VLOOKUP(CO$10,'VK-Põlevkivi'!$C:$X,2+$G61,0))+IF(CO$4="X",VLOOKUP(CO$10,'VK-Võrgud'!$C:$X,2+$F61,0)))/1000</f>
        <v>24.38157521079728</v>
      </c>
      <c r="CP61" s="209">
        <f>(IF(CP$7="X",VLOOKUP(CP$10,'VK-Hooned-Soojus'!$C:$X,2+$C61,FALSE),0)+IF(CP$6="X",VLOOKUP(CP$10,'VK-Transport'!$C:$X,2+$B61,0))+IF(CP$8="X",VLOOKUP(CP$10,'VK-Elekter'!$C:$X,2+$D61,0))+IF(CP$9="X",VLOOKUP(CP$10,'VK-Biokütused'!$C:$U,2+$E61,0))+IF(CP$5="X",VLOOKUP(CP$10,'VK-Põlevkivi'!$C:$X,2+$G61,0))+IF(CP$4="X",VLOOKUP(CP$10,'VK-Võrgud'!$C:$X,2+$F61,0)))/1000</f>
        <v>13.823994830349823</v>
      </c>
      <c r="CQ61" s="235">
        <f>(IF(CQ$7="X",VLOOKUP(CQ$10,'VK-Hooned-Soojus'!$C:$X,2+$C61,FALSE),0)+IF(CQ$6="X",VLOOKUP(CQ$10,'VK-Transport'!$C:$X,2+$B61,0))+IF(CQ$8="X",VLOOKUP(CQ$10,'VK-Elekter'!$C:$X,2+$D61,0))+IF(CQ$9="X",VLOOKUP(CQ$10,'VK-Biokütused'!$C:$U,2+$E61,0)))/1000</f>
        <v>10.858345999999999</v>
      </c>
      <c r="CR61" s="209">
        <f>(IF(CR$7="X",VLOOKUP(CR$10,'VK-Hooned-Soojus'!$C:$X,2+$C61,FALSE),0)+IF(CR$6="X",VLOOKUP(CR$10,'VK-Transport'!$C:$X,2+$B61,0))+IF(CR$8="X",VLOOKUP(CR$10,'VK-Elekter'!$C:$X,2+$D61,0))+IF(CR$9="X",VLOOKUP(CR$10,'VK-Biokütused'!$C:$U,2+$E61,0))+IF(CR$5="X",VLOOKUP(CR$10,'VK-Põlevkivi'!$C:$X,2+$G61,0))+IF(CR$4="X",VLOOKUP(CR$10,'VK-Võrgud'!$C:$X,2+$F61,0)))/1000</f>
        <v>8.0920872784575746</v>
      </c>
      <c r="CS61" s="209">
        <f>(IF(CS$7="X",VLOOKUP(CS$10,'VK-Hooned-Soojus'!$C:$X,2+$C61,FALSE),0)+IF(CS$6="X",VLOOKUP(CS$10,'VK-Transport'!$C:$X,2+$B61,0))+IF(CS$8="X",VLOOKUP(CS$10,'VK-Elekter'!$C:$X,2+$D61,0))+IF(CS$9="X",VLOOKUP(CS$10,'VK-Biokütused'!$C:$U,2+$E61,0))+IF(CS$5="X",VLOOKUP(CS$10,'VK-Põlevkivi'!$C:$X,2+$G61,0))+IF(CS$4="X",VLOOKUP(CS$10,'VK-Võrgud'!$C:$X,2+$F61,0)))/1000</f>
        <v>3.8643344900598322</v>
      </c>
      <c r="CT61" s="209">
        <f>IF(CT$7="X",VLOOKUP(CT$10,'VK-Hooned-Soojus'!$C:$X,2+$C61,FALSE),0)+IF(CT$6="X",VLOOKUP(CT$10,'VK-Transport'!$C:$X,2+$B61,0))+IF(CT$8="X",VLOOKUP(CT$10,'VK-Elekter'!$C:$X,2+$D61,0))+IF(CT$9="X",VLOOKUP(CT$10,'VK-Biokütused'!$C:$U,2+$E61,0))+IF(CT$5="X",VLOOKUP(CT$10,'VK-Põlevkivi'!$C:$X,2+$G61,0))+IF(CT$4="X",VLOOKUP(CT$10,'VK-Võrgud'!$C:$X,2+$F61,0))</f>
        <v>90</v>
      </c>
      <c r="CU61" s="209">
        <f>IF(CU$7="X",VLOOKUP(CU$10,'VK-Hooned-Soojus'!$C:$X,2+$C61,FALSE),0)+IF(CU$6="X",VLOOKUP(CU$10,'VK-Transport'!$C:$X,2+$B61,0))+IF(CU$8="X",VLOOKUP(CU$10,'VK-Elekter'!$C:$X,2+$D61,0))+IF(CU$9="X",VLOOKUP(CU$10,'VK-Biokütused'!$C:$U,2+$E61,0))+IF(CU$5="X",VLOOKUP(CU$10,'VK-Põlevkivi'!$C:$X,2+$G61,0))+IF(CU$4="X",VLOOKUP(CU$10,'VK-Võrgud'!$C:$X,2+$F61,0))</f>
        <v>0.72088353413654627</v>
      </c>
      <c r="CV61" s="209">
        <f t="shared" si="37"/>
        <v>0.84317482403548605</v>
      </c>
      <c r="CW61" s="209">
        <f>(IF(CW$7="X",VLOOKUP(CW$10,'VK-Hooned-Soojus'!$C:$X,2+$C61,FALSE),0)+IF(CW$6="X",VLOOKUP(CW$10,'VK-Transport'!$C:$X,2+$B61,0))+IF(CW$8="X",VLOOKUP(CW$10,'VK-Elekter'!$C:$X,2+$D61,0))+IF(CW$9="X",VLOOKUP(CW$10,'VK-Biokütused'!$C:$U,2+$E61,0))+IF(CW$5="X",VLOOKUP(CW$10,'VK-Põlevkivi'!$C:$X,2+$G61,0))+IF(CW$4="X",VLOOKUP(CW$10,'VK-Võrgud'!$C:$X,2+$F61,0)))/16</f>
        <v>126.01875</v>
      </c>
      <c r="CY61" s="209">
        <f>(IF(CY$7="X",VLOOKUP(CY$10,'VK-Hooned-Soojus'!$C:$X,2+$C61,FALSE),0)+IF(CY$6="X",VLOOKUP(CY$10,'VK-Transport'!$C:$X,2+$B61,0))+IF(CY$8="X",VLOOKUP(CY$10,'VK-Elekter'!$C:$X,2+$D61,0))+IF(CY$9="X",VLOOKUP(CY$10,'VK-Biokütused'!$C:$U,2+$E61,0))+IF(CY$5="X",VLOOKUP(CY$10,'VK-Põlevkivi'!$C:$X,2+$G61,0))+IF(CY$4="X",VLOOKUP(CY$10,'VK-Võrgud'!$C:$X,2+$F61,0)))/1000</f>
        <v>11.217000000000001</v>
      </c>
      <c r="CZ61" s="209">
        <f>(IF(CZ$7="X",VLOOKUP(CZ$10,'VK-Hooned-Soojus'!$C:$X,2+$C61,FALSE),0)+IF(CZ$6="X",VLOOKUP(CZ$10,'VK-Transport'!$C:$X,2+$B61,0))+IF(CZ$8="X",VLOOKUP(CZ$10,'VK-Elekter'!$C:$X,2+$D61,0))+IF(CZ$9="X",VLOOKUP(CZ$10,'VK-Biokütused'!$C:$U,2+$E61,0))+IF(CZ$5="X",VLOOKUP(CZ$10,'VK-Põlevkivi'!$C:$X,2+$G61,0))+IF(CZ$4="X",VLOOKUP(CZ$10,'VK-Võrgud'!$C:$X,2+$F61,0)))</f>
        <v>75</v>
      </c>
      <c r="DA61" s="209">
        <f>(IF(DA$7="X",VLOOKUP(DA$10,'VK-Hooned-Soojus'!$C:$X,2+$C61,FALSE),0)+IF(DA$6="X",VLOOKUP(DA$10,'VK-Transport'!$C:$X,2+$B61,0))+IF(DA$8="X",VLOOKUP(DA$10,'VK-Elekter'!$C:$X,2+$D61,0))+IF(DA$9="X",VLOOKUP(DA$10,'VK-Biokütused'!$C:$U,2+$E61,0))+IF(DA$5="X",VLOOKUP(DA$10,'VK-Põlevkivi'!$C:$X,2+$G61,0))+IF(DA$4="X",VLOOKUP(DA$10,'VK-Võrgud'!$C:$X,2+$F61,0)))/1000</f>
        <v>15.214</v>
      </c>
      <c r="DB61" s="209">
        <f>(IF(DB$7="X",VLOOKUP(DB$10,'VK-Hooned-Soojus'!$C:$X,2+$C61,FALSE),0)+IF(DB$6="X",VLOOKUP(DB$10,'VK-Transport'!$C:$X,2+$B61,0))+IF(DB$8="X",VLOOKUP(DB$10,'VK-Elekter'!$C:$X,2+$D61,0))+IF(DB$9="X",VLOOKUP(DB$10,'VK-Biokütused'!$C:$U,2+$E61,0))+IF(DB$5="X",VLOOKUP(DB$10,'VK-Põlevkivi'!$C:$X,2+$G61,0))+IF(DB$4="X",VLOOKUP(DB$10,'VK-Võrgud'!$C:$X,2+$F61,0)))/1000/3.6</f>
        <v>67.361944444444433</v>
      </c>
      <c r="DC61" s="209">
        <f>(IF(DC$7="X",VLOOKUP(DC$10,'VK-Hooned-Soojus'!$C:$X,2+$C61,FALSE),0)+IF(DC$6="X",VLOOKUP(DC$10,'VK-Transport'!$C:$X,2+$B61,0))+IF(DC$8="X",VLOOKUP(DC$10,'VK-Elekter'!$C:$X,2+$D61,0))+IF(DC$9="X",VLOOKUP(DC$10,'VK-Biokütused'!$C:$U,2+$E61,0))+IF(DC$5="X",VLOOKUP(DC$10,'VK-Põlevkivi'!$C:$X,2+$G61,0))+IF(DC$4="X",VLOOKUP(DC$10,'VK-Võrgud'!$C:$X,2+$F61,0)))/1000000</f>
        <v>5.3891900000000001</v>
      </c>
      <c r="DD61" s="209"/>
      <c r="DE61" s="88">
        <f>VLOOKUP(Tulemused!$BN$12,data!M$7:N$12,2,FALSE)-SUM(L61,M61)</f>
        <v>-1.9738666666666731</v>
      </c>
      <c r="DF61" s="209" t="str">
        <f>IF(AZ61&lt;=VLOOKUP(Tulemused!$BN$15,data!$E$36:$F$39,2,FALSE),"JAH","EI")</f>
        <v>JAH</v>
      </c>
      <c r="DG61" s="209"/>
      <c r="DH61" s="209">
        <f t="shared" si="38"/>
        <v>6.78</v>
      </c>
      <c r="DI61" s="231" t="str">
        <f t="shared" si="17"/>
        <v>EI</v>
      </c>
      <c r="DK61" s="232">
        <f t="shared" si="39"/>
        <v>-996.03533527969694</v>
      </c>
      <c r="DM61" s="233">
        <f t="shared" si="40"/>
        <v>-993.73602296345041</v>
      </c>
      <c r="DN61" s="87">
        <f t="array" ref="DN61">INDEX($A$11:$A$145, SMALL(IF(DM61=$DK$11:$DK$145, MATCH(ROW($DK$11:$DK$145), ROW($DK$11:$DK$145))), SUM(--(DM61=$DM$11:DM61))))</f>
        <v>93</v>
      </c>
      <c r="DP61" s="87" t="e">
        <f t="shared" ca="1" si="18"/>
        <v>#N/A</v>
      </c>
      <c r="DQ61" s="87" t="e">
        <f t="shared" ca="1" si="19"/>
        <v>#N/A</v>
      </c>
      <c r="DR61" s="87">
        <f t="shared" ca="1" si="20"/>
        <v>0</v>
      </c>
      <c r="DS61" s="87" t="e">
        <f t="shared" ca="1" si="21"/>
        <v>#N/A</v>
      </c>
      <c r="DT61" s="87">
        <f t="shared" ca="1" si="22"/>
        <v>0</v>
      </c>
      <c r="DU61" s="87" t="e">
        <f t="shared" ca="1" si="23"/>
        <v>#N/A</v>
      </c>
      <c r="DV61" s="87" t="e">
        <f t="shared" ca="1" si="24"/>
        <v>#N/A</v>
      </c>
      <c r="DW61" s="87">
        <f t="shared" ca="1" si="25"/>
        <v>0</v>
      </c>
      <c r="DX61" s="87">
        <f t="shared" ca="1" si="26"/>
        <v>0</v>
      </c>
      <c r="DZ61" s="87">
        <f t="shared" ca="1" si="35"/>
        <v>0</v>
      </c>
      <c r="EB61" s="87">
        <f t="shared" ca="1" si="27"/>
        <v>0</v>
      </c>
      <c r="EC61" s="87" t="e">
        <f t="shared" ca="1" si="28"/>
        <v>#N/A</v>
      </c>
      <c r="EE61" s="228">
        <f>(IF(EE$7="X",VLOOKUP(EE$10,'VK-Hooned-Soojus'!$C:$X,2+$C61,FALSE),0)+IF(EE$6="X",VLOOKUP(EE$10,'VK-Transport'!$C:$X,2+$B61,0))+IF(EE$8="X",VLOOKUP(EE$10,'VK-Elekter'!$C:$X,2+$D61,0))+IF(EE$9="X",VLOOKUP(EE$10,'VK-Biokütused'!$C:$U,2+$E61,0))+IF(EE$5="X",VLOOKUP(EE$10,'VK-Põlevkivi'!$C:$X,2+$G61,0))+IF(EE$4="X",VLOOKUP(EE$10,'VK-Võrgud'!$C:$X,2+$F61,0)))</f>
        <v>7765.8104723804636</v>
      </c>
      <c r="EF61" s="235">
        <f>(IF(EF$7="X",VLOOKUP(EF$10,'VK-Hooned-Soojus'!$C:$X,2+$C61,FALSE),0)+IF(EF$6="X",VLOOKUP(EF$10,'VK-Transport'!$C:$X,2+$B61,0))+IF(EF$8="X",VLOOKUP(EF$10,'VK-Elekter'!$C:$X,2+$D61,0))+IF(EF$9="X",VLOOKUP(EF$10,'VK-Biokütused'!$C:$U,2+$E61,0)))/1000</f>
        <v>6.0743823271229704</v>
      </c>
      <c r="EG61" s="209">
        <f>(IF(EG$7="X",VLOOKUP(EG$10,'VK-Hooned-Soojus'!$C:$X,2+$C61,FALSE),0)+IF(EG$6="X",VLOOKUP(EG$10,'VK-Transport'!$C:$X,2+$B61,0))+IF(EG$8="X",VLOOKUP(EG$10,'VK-Elekter'!$C:$X,2+$D61,0))+IF(EG$9="X",VLOOKUP(EG$10,'VK-Biokütused'!$C:$U,2+$E61,0))+IF(EG$5="X",VLOOKUP(EG$10,'VK-Põlevkivi'!$C:$X,2+$G61,0))+IF(EG$4="X",VLOOKUP(EG$10,'VK-Võrgud'!$C:$X,2+$F61,0)))</f>
        <v>0.81</v>
      </c>
      <c r="EH61" s="209">
        <f>(IF(EH$7="X",VLOOKUP(EH$10,'VK-Hooned-Soojus'!$C:$X,2+$C61,FALSE),0)+IF(EH$6="X",VLOOKUP(EH$10,'VK-Transport'!$C:$X,2+$B61,0))+IF(EH$8="X",VLOOKUP(EH$10,'VK-Elekter'!$C:$X,2+$D61,0))+IF(EH$9="X",VLOOKUP(EH$10,'VK-Biokütused'!$C:$U,2+$E61,0)))+AR61+AS61+AU61+AX61</f>
        <v>57.82866706577186</v>
      </c>
      <c r="EI61" s="320">
        <f t="shared" si="41"/>
        <v>50.590678294573635</v>
      </c>
      <c r="EJ61" s="322">
        <f t="shared" si="42"/>
        <v>2.1300063549572323E-2</v>
      </c>
      <c r="EK61" s="323">
        <f t="shared" si="29"/>
        <v>0.39647362526587548</v>
      </c>
      <c r="EM61" s="209"/>
      <c r="EN61" s="209">
        <f t="shared" ca="1" si="43"/>
        <v>0</v>
      </c>
      <c r="EO61" s="209"/>
      <c r="EP61" s="234"/>
      <c r="EQ61" s="209">
        <f>(IF(EQ$7="X",VLOOKUP(EQ$10,'VK-Hooned-Soojus'!$C:$X,2+$C61,FALSE),0)+IF(EQ$6="X",VLOOKUP(EQ$10,'VK-Transport'!$C:$X,2+$B61,0))+IF(EQ$8="X",VLOOKUP(EQ$10,'VK-Elekter'!$C:$X,2+$D61,0))+IF(EQ$9="X",VLOOKUP(EQ$10,'VK-Biokütused'!$C:$U,2+$E61,0))+IF(EQ$5="X",VLOOKUP(EQ$10,'VK-Põlevkivi'!$C:$X,2+$G61,0))+IF(EQ$4="X",VLOOKUP(EQ$10,'VK-Võrgud'!$C:$X,2+$F61,0)))/1000</f>
        <v>0.22900000000000001</v>
      </c>
      <c r="ER61" s="209">
        <f>(IF(ER$7="X",VLOOKUP(ER$10,'VK-Hooned-Soojus'!$C:$X,2+$C61,FALSE),0)+IF(ER$6="X",VLOOKUP(ER$10,'VK-Transport'!$C:$X,2+$B61,0))+IF(ER$8="X",VLOOKUP(ER$10,'VK-Elekter'!$C:$X,2+$D61,0))+IF(ER$9="X",VLOOKUP(ER$10,'VK-Biokütused'!$C:$U,2+$E61,0))+IF(ER$5="X",VLOOKUP(ER$10,'VK-Põlevkivi'!$C:$X,2+$G61,0))+IF(ER$4="X",VLOOKUP(ER$10,'VK-Võrgud'!$C:$X,2+$F61,0)))</f>
        <v>0.82899999999999996</v>
      </c>
      <c r="ES61" s="209">
        <f>(IF(ES$7="X",VLOOKUP(ES$10,'VK-Hooned-Soojus'!$C:$X,2+$C61,FALSE),0)+IF(ES$6="X",VLOOKUP(ES$10,'VK-Transport'!$C:$X,2+$B61,0))+IF(ES$8="X",VLOOKUP(ES$10,'VK-Elekter'!$C:$X,2+$D61,0))+IF(ES$9="X",VLOOKUP(ES$10,'VK-Biokütused'!$C:$U,2+$E61,0))+IF(ES$5="X",VLOOKUP(ES$10,'VK-Põlevkivi'!$C:$X,2+$G61,0))+IF(ES$4="X",VLOOKUP(ES$10,'VK-Võrgud'!$C:$X,2+$F61,0)))</f>
        <v>6.78</v>
      </c>
      <c r="ET61" s="209"/>
      <c r="EU61" s="209"/>
      <c r="EV61" s="87">
        <f>'KSH järjestus'!AS54</f>
        <v>1997</v>
      </c>
      <c r="EX61" s="236"/>
      <c r="EY61" s="236"/>
      <c r="EZ61" s="237">
        <f t="shared" si="44"/>
        <v>0.27911646586345373</v>
      </c>
      <c r="FA61" s="209">
        <f>IF(FA$7="X",VLOOKUP(FA$10,'VK-Hooned-Soojus'!$C:$X,2+$C61,FALSE),0)+IF(FA$6="X",VLOOKUP(FA$10,'VK-Transport'!$C:$X,2+$B61,0))+IF(FA$8="X",VLOOKUP(FA$10,'VK-Elekter'!$C:$X,2+$D61,0))+IF(FA$9="X",VLOOKUP(FA$10,'VK-Biokütused'!$C:$U,2+$E61,0))+IF(FA$5="X",VLOOKUP(FA$10,'VK-Põlevkivi'!$C:$X,2+$G61,0))+IF(FA$4="X",VLOOKUP(FA$10,'VK-Võrgud'!$C:$X,2+$F61,0))</f>
        <v>3412.346</v>
      </c>
      <c r="FB61" s="279">
        <f>(IF(FB$7="X",VLOOKUP(FB$10,'VK-Hooned-Soojus'!$C:$X,2+$C61,FALSE),0)+IF(FB$6="X",VLOOKUP(FB$10,'VK-Transport'!$C:$X,2+$B61,0))+IF(FB$8="X",VLOOKUP(FB$10,'VK-Elekter'!$C:$X,2+$D61,0))+IF(FB$9="X",VLOOKUP(FB$10,'VK-Biokütused'!$C:$U,2+$E61,0))+IF(FB$5="X",VLOOKUP(FB$10,'VK-Põlevkivi'!$C:$X,2+$G61,0))+IF(FB$4="X",VLOOKUP(FB$10,'VK-Võrgud'!$C:$X,2+$F61,0)))/16</f>
        <v>400.61776590783916</v>
      </c>
      <c r="FC61" s="209">
        <f>IF(FC$7="X",VLOOKUP(FC$10,'VK-Hooned-Soojus'!$C:$X,2+$C61,FALSE),0)+IF(FC$6="X",VLOOKUP(FC$10,'VK-Transport'!$C:$X,2+$B61,0))+IF(FC$8="X",VLOOKUP(FC$10,'VK-Elekter'!$C:$X,2+$D61,0))+IF(FC$9="X",VLOOKUP(FC$10,'VK-Biokütused'!$C:$U,2+$E61,0))+IF(FC$5="X",VLOOKUP(FC$10,'VK-Põlevkivi'!$C:$X,2+$G61,0))+IF(FC$4="X",VLOOKUP(FC$10,'VK-Võrgud'!$C:$X,2+$F61,0))</f>
        <v>327.54999999999995</v>
      </c>
      <c r="FD61" s="209">
        <f>(IF(FD$7="X",VLOOKUP(FD$10,'VK-Hooned-Soojus'!$C:$X,2+$C61,FALSE),0)+IF(FD$6="X",VLOOKUP(FD$10,'VK-Transport'!$C:$X,2+$B61,0))+IF(FD$8="X",VLOOKUP(FD$10,'VK-Elekter'!$C:$X,2+$D61,0))+IF(FD$9="X",VLOOKUP(FD$10,'VK-Biokütused'!$C:$U,2+$E61,0))+IF(FD$5="X",VLOOKUP(FD$10,'VK-Põlevkivi'!$C:$X,2+$G61,0))+IF(FD$4="X",VLOOKUP(FD$10,'VK-Võrgud'!$C:$X,2+$F61,0)))/16</f>
        <v>400.61776590783916</v>
      </c>
      <c r="FE61" s="209">
        <f>(IF(FE$7="X",VLOOKUP(FE$10,'VK-Hooned-Soojus'!$C:$X,2+$C61,FALSE),0)+IF(FE$6="X",VLOOKUP(FE$10,'VK-Transport'!$C:$X,2+$B61,0))+IF(FE$8="X",VLOOKUP(FE$10,'VK-Elekter'!$C:$X,2+$D61,0))+IF(FE$9="X",VLOOKUP(FE$10,'VK-Biokütused'!$C:$U,2+$E61,0))+IF(FE$5="X",VLOOKUP(FE$10,'VK-Põlevkivi'!$C:$X,2+$G61,0))+IF(FE$4="X",VLOOKUP(FE$10,'VK-Võrgud'!$C:$X,2+$F61,0)))/16</f>
        <v>-59.422063699091041</v>
      </c>
      <c r="FF61" s="209">
        <f>(IF(FF$7="X",VLOOKUP(FF$10,'VK-Hooned-Soojus'!$C:$X,2+$C61,FALSE),0)+IF(FF$6="X",VLOOKUP(FF$10,'VK-Transport'!$C:$X,2+$B61,0))+IF(FF$8="X",VLOOKUP(FF$10,'VK-Elekter'!$C:$X,2+$D61,0))+IF(FF$9="X",VLOOKUP(FF$10,'VK-Biokütused'!$C:$U,2+$E61,0))+IF(FF$5="X",VLOOKUP(FF$10,'VK-Põlevkivi'!$C:$X,2+$G61,0))+IF(FF$4="X",VLOOKUP(FF$10,'VK-Võrgud'!$C:$X,2+$F61,0)))/16</f>
        <v>147.25830300724922</v>
      </c>
      <c r="FG61" s="88">
        <f t="shared" ca="1" si="30"/>
        <v>87.836239308158184</v>
      </c>
      <c r="FH61" s="88"/>
      <c r="FI61" s="88"/>
      <c r="FJ61" s="88">
        <f>VLOOKUP(Tulemused!$BN$12,data!M$7:N$12,2,FALSE)-SUM(L61,M61)</f>
        <v>-1.9738666666666731</v>
      </c>
      <c r="FK61" s="209" t="str">
        <f>IF(AZ61&lt;=VLOOKUP(Tulemused!$BN$15,data!$E$36:$F$39,2,FALSE),"JAH","EI")</f>
        <v>JAH</v>
      </c>
      <c r="FL61" s="235">
        <f ca="1">IF(ISNA(MATCH($A61,INDIRECT(VLOOKUP(Tulemused!$BF$11,data!$J$57:$M$71,4,FALSE)))),0,MATCH($A61,INDIRECT(VLOOKUP(Tulemused!$BF$11,data!$J$57:$M$71,4,FALSE))))</f>
        <v>0</v>
      </c>
      <c r="FM61" s="235" t="str">
        <f t="shared" ca="1" si="45"/>
        <v>JAH</v>
      </c>
      <c r="FN61" s="209">
        <f>VLOOKUP(Tulemused!$BN$13,data!$C$132:$D$137,2,FALSE)-KOMBI!R61</f>
        <v>2.9553876728770305</v>
      </c>
      <c r="FO61" s="209"/>
      <c r="FP61" s="209">
        <f>VLOOKUP(Tulemused!$BN$17,NO_x,2,FALSE)-CJ61</f>
        <v>10.337421988425461</v>
      </c>
      <c r="FQ61" s="209">
        <f>VLOOKUP(Tulemused!$BN$18,SO_2,2,FALSE)-CK61</f>
        <v>39.079675362099991</v>
      </c>
      <c r="FR61" s="209">
        <f>VLOOKUP(Tulemused!$BN$19,LOU,2,FALSE)-CN61</f>
        <v>33.912000000000006</v>
      </c>
      <c r="FS61" s="209">
        <f>VLOOKUP(Tulemused!$BN$20,PM_2.5,2,FALSE)-CM61</f>
        <v>8.3722394222510914</v>
      </c>
      <c r="FT61" s="209">
        <f>VLOOKUP(Tulemused!$BN$13,data!$C$132:$D$137,2,FALSE)-FA61/1000</f>
        <v>2.8336240000000008</v>
      </c>
      <c r="FU61" s="209">
        <f>VLOOKUP(Tulemused!$BN$17,NO_x,2,FALSE)-CO61</f>
        <v>5.056424789202719</v>
      </c>
      <c r="FV61" s="209">
        <f>VLOOKUP(Tulemused!$BN$18,SO_2,2,FALSE)-CP61</f>
        <v>38.060005169650175</v>
      </c>
      <c r="FW61" s="209">
        <f>VLOOKUP(Tulemused!$BN$19,LOU,2,FALSE)-CS61</f>
        <v>33.215665509940173</v>
      </c>
      <c r="FX61" s="209">
        <f>VLOOKUP(Tulemused!$BN$20,PM_2.5,2,FALSE)-CR61</f>
        <v>8.8229127215424246</v>
      </c>
      <c r="FY61" s="209">
        <f>VLOOKUP(Tulemused!$BN$14,KHG_2050,2,FALSE)-EF61</f>
        <v>93.925617672877024</v>
      </c>
      <c r="FZ61" s="231" t="str">
        <f t="shared" ca="1" si="31"/>
        <v>EI</v>
      </c>
      <c r="GA61" s="209"/>
      <c r="GB61" s="209"/>
      <c r="GC61" s="209"/>
      <c r="GD61" s="231"/>
      <c r="GE61" s="87">
        <f t="shared" si="46"/>
        <v>1997</v>
      </c>
      <c r="GF61" s="232" t="str">
        <f t="shared" ca="1" si="32"/>
        <v/>
      </c>
      <c r="GH61" s="238" t="e">
        <f t="shared" ca="1" si="47"/>
        <v>#NUM!</v>
      </c>
      <c r="GI61" s="87" t="e">
        <f t="array" aca="1" ref="GI61" ca="1">INDEX($A$11:$A$145, SMALL(IF(GH61=$GF$11:$GF$145, MATCH(ROW($GF$11:$GF$145), ROW($GF$11:$GF$145))), SUM(--(GH61=$GH$11:GH61))))</f>
        <v>#NUM!</v>
      </c>
      <c r="GM61" s="209">
        <f>IF(GM$7="X",VLOOKUP(GM$10,'VK-Hooned-Soojus'!$C:$X,2+$C61,FALSE),0)+IF(GM$6="X",VLOOKUP(GM$10,'VK-Transport'!$C:$X,2+$B61,0))+IF(GM$8="X",VLOOKUP(GM$10,'VK-Elekter'!$C:$X,2+$D61,0))+IF(GM$9="X",VLOOKUP(GM$10,'VK-Biokütused'!$C:$U,2+$E61,0))+IF(GM$5="X",VLOOKUP(GM$10,'VK-Põlevkivi'!$C:$X,2+$G61,0))+IF(GM$4="X",VLOOKUP(GM$10,'VK-Võrgud'!$C:$X,2+$F61,0))</f>
        <v>6.0128279910272253</v>
      </c>
      <c r="GN61" s="209">
        <f>IF(GN$7="X",VLOOKUP(GN$10,'VK-Hooned-Soojus'!$C:$X,2+$C61,FALSE),0)+IF(GN$6="X",VLOOKUP(GN$10,'VK-Transport'!$C:$X,2+$B61,0))+IF(GN$8="X",VLOOKUP(GN$10,'VK-Elekter'!$C:$X,2+$D61,0))+IF(GN$9="X",VLOOKUP(GN$10,'VK-Biokütused'!$C:$U,2+$E61,0))+IF(GN$5="X",VLOOKUP(GN$10,'VK-Põlevkivi'!$C:$X,2+$G61,0))+IF(GN$4="X",VLOOKUP(GN$10,'VK-Võrgud'!$C:$X,2+$F61,0))</f>
        <v>3.4467619395011728</v>
      </c>
      <c r="GO61" s="209">
        <f>IF(GO$7="X",VLOOKUP(GO$10,'VK-Hooned-Soojus'!$C:$X,2+$C61,FALSE),0)+IF(GO$6="X",VLOOKUP(GO$10,'VK-Transport'!$C:$X,2+$B61,0))+IF(GO$8="X",VLOOKUP(GO$10,'VK-Elekter'!$C:$X,2+$D61,0))+IF(GO$9="X",VLOOKUP(GO$10,'VK-Biokütused'!$C:$U,2+$E61,0))+IF(GO$5="X",VLOOKUP(GO$10,'VK-Põlevkivi'!$C:$X,2+$G61,0))+IF(GO$4="X",VLOOKUP(GO$10,'VK-Võrgud'!$C:$X,2+$F61,0))</f>
        <v>8.7471755658278116</v>
      </c>
      <c r="GP61" s="209">
        <f>IF(GP$7="X",VLOOKUP(GP$10,'VK-Hooned-Soojus'!$C:$X,2+$C61,FALSE),0)+IF(GP$6="X",VLOOKUP(GP$10,'VK-Transport'!$C:$X,2+$B61,0))+IF(GP$8="X",VLOOKUP(GP$10,'VK-Elekter'!$C:$X,2+$D61,0))+IF(GP$9="X",VLOOKUP(GP$10,'VK-Biokütused'!$C:$U,2+$E61,0))+IF(GP$5="X",VLOOKUP(GP$10,'VK-Põlevkivi'!$C:$X,2+$G61,0))+IF(GP$4="X",VLOOKUP(GP$10,'VK-Võrgud'!$C:$X,2+$F61,0))</f>
        <v>9.3279335818485372</v>
      </c>
      <c r="GQ61" s="88">
        <f>IF(GQ$7="X",VLOOKUP(GQ$10,'VK-Hooned-Soojus'!$C:$X,2+$C61,FALSE),0)+IF(GQ$6="X",VLOOKUP(GQ$10,'VK-Transport'!$C:$X,2+$B61,0))+IF(GQ$8="X",VLOOKUP(GQ$10,'VK-Elekter'!$C:$X,2+$D61,0))+IF(GQ$9="X",VLOOKUP(GQ$10,'VK-Biokütused'!$C:$U,2+$E61,0))+IF(GQ$5="X",VLOOKUP(GQ$10,'VK-Põlevkivi'!$C:$X,2+$G61,0))+IF(GQ$4="X",VLOOKUP(GQ$10,'VK-Võrgud'!$C:$X,2+$F61,0))</f>
        <v>0.90618397335647782</v>
      </c>
      <c r="GR61" s="186">
        <f t="shared" si="33"/>
        <v>0.39305342352153388</v>
      </c>
    </row>
    <row r="62" spans="1:200" x14ac:dyDescent="0.2">
      <c r="A62" s="184">
        <v>52</v>
      </c>
      <c r="B62" s="87">
        <v>2</v>
      </c>
      <c r="C62" s="87">
        <v>1</v>
      </c>
      <c r="D62" s="87">
        <v>3</v>
      </c>
      <c r="E62" s="87">
        <v>1</v>
      </c>
      <c r="F62" s="87">
        <f>VLOOKUP(Tulemused!$BF$7,data!$J$6:$K$8,2,FALSE)</f>
        <v>2</v>
      </c>
      <c r="G62" s="87">
        <f>VLOOKUP(data!$H$2,data!$J$12:$K$14,2,FALSE)</f>
        <v>2</v>
      </c>
      <c r="I62" s="209">
        <f>IF(I$7="X",VLOOKUP(I$10,'VK-Hooned-Soojus'!$C:$X,2+$C62,FALSE),0)+IF(I$6="X",VLOOKUP(I$10,'VK-Transport'!$C:$X,2+$B62,0))+IF(I$8="X",VLOOKUP(I$10,'VK-Elekter'!$C:$X,2+$D62,0))+IF(I$9="X",VLOOKUP(I$10,'VK-Biokütused'!$C:$U,2+$E62,0))+IF(I$5="X",VLOOKUP(I$10,'VK-Põlevkivi'!$C:$X,2+$G62,0))+IF(I$4="X",VLOOKUP(I$10,'VK-Võrgud'!$C:$X,2+$F62,0))</f>
        <v>26.89</v>
      </c>
      <c r="J62" s="209">
        <f>IF(J$7="X",VLOOKUP(J$10,'VK-Hooned-Soojus'!$C:$X,2+$C62,FALSE),0)+IF(J$6="X",VLOOKUP(J$10,'VK-Transport'!$C:$X,2+$B62,0))+IF(J$8="X",VLOOKUP(J$10,'VK-Elekter'!$C:$X,2+$D62,0))+IF(J$9="X",VLOOKUP(J$10,'VK-Biokütused'!$C:$U,2+$E62,0))+IF(J$5="X",VLOOKUP(J$10,'VK-Põlevkivi'!$C:$X,2+$G62,0))+IF(J$4="X",VLOOKUP(J$10,'VK-Võrgud'!$C:$X,2+$F62,0))</f>
        <v>11.138055555555555</v>
      </c>
      <c r="K62" s="209">
        <f>IF(K$7="X",VLOOKUP(K$10,'VK-Hooned-Soojus'!$C:$X,2+$C62,FALSE),0)+IF(K$6="X",VLOOKUP(K$10,'VK-Transport'!$C:$X,2+$B62,0))+IF(K$8="X",VLOOKUP(K$10,'VK-Elekter'!$C:$X,2+$D62,0))+IF(K$9="X",VLOOKUP(K$10,'VK-Biokütused'!$C:$U,2+$E62,0))+IF(K$5="X",VLOOKUP(K$10,'VK-Põlevkivi'!$C:$X,2+$G62,0))+IF(K$4="X",VLOOKUP(K$10,'VK-Võrgud'!$C:$X,2+$F62,0))</f>
        <v>16.75</v>
      </c>
      <c r="L62" s="209">
        <f>IF(L$7="X",VLOOKUP(L$10,'VK-Hooned-Soojus'!$C:$X,2+$C62,FALSE),0)+IF(L$6="X",VLOOKUP(L$10,'VK-Transport'!$C:$X,2+$B62,0))+IF(L$8="X",VLOOKUP(L$10,'VK-Elekter'!$C:$X,2+$D62,0))+IF(L$9="X",VLOOKUP(L$10,'VK-Biokütused'!$C:$U,2+$E62,0))+IF(L$5="X",VLOOKUP(L$10,'VK-Põlevkivi'!$C:$X,2+$G62,0))+IF(L$4="X",VLOOKUP(L$10,'VK-Võrgud'!$C:$X,2+$F62,0))</f>
        <v>24.95</v>
      </c>
      <c r="M62" s="209">
        <f>IF(M$7="X",VLOOKUP(M$10,'VK-Hooned-Soojus'!$C:$X,2+$C62,FALSE),0)+IF(M$6="X",VLOOKUP(M$10,'VK-Transport'!$C:$X,2+$B62,0))+IF(M$8="X",VLOOKUP(M$10,'VK-Elekter'!$C:$X,2+$D62,0))+IF(M$9="X",VLOOKUP(M$10,'VK-Biokütused'!$C:$U,2+$E62,0))+IF(M$5="X",VLOOKUP(M$10,'VK-Põlevkivi'!$C:$X,2+$G62,0))+IF(M$4="X",VLOOKUP(M$10,'VK-Võrgud'!$C:$X,2+$F62,0))</f>
        <v>9.8566666666666674</v>
      </c>
      <c r="N62" s="209">
        <f>IF(N$7="X",VLOOKUP(N$10,'VK-Hooned-Soojus'!$C:$X,2+$C62,FALSE),0)+IF(N$6="X",VLOOKUP(N$10,'VK-Transport'!$C:$X,2+$B62,0))+IF(N$8="X",VLOOKUP(N$10,'VK-Elekter'!$C:$X,2+$D62,0))+IF(N$9="X",VLOOKUP(N$10,'VK-Biokütused'!$C:$U,2+$E62,0))+IF(N$5="X",VLOOKUP(N$10,'VK-Põlevkivi'!$C:$X,2+$G62,0))+IF(N$4="X",VLOOKUP(N$10,'VK-Võrgud'!$C:$X,2+$F62,0))</f>
        <v>16.75</v>
      </c>
      <c r="O62" s="209">
        <f t="shared" si="13"/>
        <v>38.028055555555554</v>
      </c>
      <c r="P62" s="209"/>
      <c r="Q62" s="209">
        <f>(IF(Q$7="X",VLOOKUP(Q$10,'VK-Hooned-Soojus'!$C:$X,2+$C62,FALSE),0)+IF(Q$6="X",VLOOKUP(Q$10,'VK-Transport'!$C:$X,2+$B62,0))+IF(Q$8="X",VLOOKUP(Q$10,'VK-Elekter'!$C:$X,2+$D62,0))+IF(Q$9="X",VLOOKUP(Q$10,'VK-Biokütused'!$C:$U,2+$E62,0))+IF(Q$5="X",VLOOKUP(Q$10,'VK-Põlevkivi'!$C:$X,2+$G62,0))+IF(Q$4="X",VLOOKUP(Q$10,'VK-Võrgud'!$C:$X,2+$F62,0)))/1000</f>
        <v>5.33</v>
      </c>
      <c r="R62" s="209">
        <f>(IF(R$7="X",VLOOKUP(R$10,'VK-Hooned-Soojus'!$C:$X,2+$C62,FALSE),0)+IF(R$6="X",VLOOKUP(R$10,'VK-Transport'!$C:$X,2+$B62,0))+IF(R$8="X",VLOOKUP(R$10,'VK-Elekter'!$C:$X,2+$D62,0))+IF(R$9="X",VLOOKUP(R$10,'VK-Biokütused'!$C:$U,2+$E62,0))+IF(R$5="X",VLOOKUP(R$10,'VK-Põlevkivi'!$C:$X,2+$G62,0))+IF(R$4="X",VLOOKUP(R$10,'VK-Võrgud'!$C:$X,2+$F62,0)))/1000</f>
        <v>2.7043823271229703</v>
      </c>
      <c r="S62" s="226">
        <f>VLOOKUP(S$10,'VK-Hooned-Soojus'!$C:$I,2+$C62,FALSE) + VLOOKUP(S$10,'VK-Transport'!$C:$I,2+$B62,FALSE)+ VLOOKUP(S$10,'VK-Biokütused'!$C:$G,2+$E62,FALSE)+ VLOOKUP(S$10,'VK-Elekter'!$C:$I,2+$D62,FALSE)+ VLOOKUP(S$10,'VK-Põlevkivi'!$C:$I,2+$G62,FALSE)+ VLOOKUP(S$10,'VK-Võrgud'!$C:$I,2+$F62,FALSE)</f>
        <v>8.4412518640291818E-3</v>
      </c>
      <c r="T62" s="226">
        <f>VLOOKUP(T$10,'VK-Hooned-Soojus'!$C:$I,2+$C62,FALSE) + VLOOKUP(T$10,'VK-Transport'!$C:$I,2+$B62,FALSE)+ VLOOKUP(T$10,'VK-Biokütused'!$C:$G,2+$E62,FALSE)+ VLOOKUP(T$10,'VK-Elekter'!$C:$I,2+$D62,FALSE)+ VLOOKUP(T$10,'VK-Põlevkivi'!$C:$I,2+$G62,FALSE)+ VLOOKUP(T$10,'VK-Võrgud'!$C:$I,2+$F62,FALSE)</f>
        <v>2.1065583840099433E-3</v>
      </c>
      <c r="U62" s="226">
        <f>VLOOKUP(U$10,'VK-Hooned-Soojus'!$C:$I,2+$C62,FALSE) + VLOOKUP(U$10,'VK-Transport'!$C:$I,2+$B62,FALSE)+ VLOOKUP(U$10,'VK-Biokütused'!$C:$G,2+$E62,FALSE)+ VLOOKUP(U$10,'VK-Elekter'!$C:$I,2+$D62,FALSE)+ VLOOKUP(U$10,'VK-Põlevkivi'!$C:$I,2+$G62,FALSE)+ VLOOKUP(U$10,'VK-Võrgud'!$C:$I,2+$F62,FALSE)</f>
        <v>3.4844172877882551E-3</v>
      </c>
      <c r="V62" s="226">
        <f>VLOOKUP(V$10,'VK-Hooned-Soojus'!$C:$I,2+$C62,FALSE) + VLOOKUP(V$10,'VK-Transport'!$C:$I,2+$B62,FALSE)+ VLOOKUP(V$10,'VK-Biokütused'!$C:$G,2+$E62,FALSE)+ VLOOKUP(V$10,'VK-Elekter'!$C:$I,2+$D62,FALSE)+ VLOOKUP(V$10,'VK-Põlevkivi'!$C:$I,2+$G62,FALSE)+ VLOOKUP(V$10,'VK-Võrgud'!$C:$I,2+$F62,FALSE)</f>
        <v>4.9984247097829542E-3</v>
      </c>
      <c r="W62" s="226">
        <f>VLOOKUP(W$10,'VK-Hooned-Soojus'!$C:$I,2+$C62,FALSE) + VLOOKUP(W$10,'VK-Transport'!$C:$I,2+$B62,FALSE)+ VLOOKUP(W$10,'VK-Biokütused'!$C:$G,2+$E62,FALSE)+ VLOOKUP(W$10,'VK-Elekter'!$C:$I,2+$D62,FALSE)+ VLOOKUP(W$10,'VK-Põlevkivi'!$C:$I,2+$G62,FALSE)+ VLOOKUP(W$10,'VK-Võrgud'!$C:$I,2+$F62,FALSE)</f>
        <v>-1.5764108420581281E-2</v>
      </c>
      <c r="X62" s="226">
        <f>VLOOKUP(X$10,'VK-Hooned-Soojus'!$C:$I,2+$C62,FALSE) + VLOOKUP(X$10,'VK-Transport'!$C:$I,2+$B62,FALSE)+ VLOOKUP(X$10,'VK-Biokütused'!$C:$G,2+$E62,FALSE)+ VLOOKUP(X$10,'VK-Elekter'!$C:$I,2+$D62,FALSE)+ VLOOKUP(X$10,'VK-Põlevkivi'!$C:$I,2+$G62,FALSE)+ VLOOKUP(X$10,'VK-Võrgud'!$C:$I,2+$F62,FALSE)</f>
        <v>-2.1101545207305897E-2</v>
      </c>
      <c r="Y62" s="226">
        <f>VLOOKUP(Y$10,'VK-Hooned-Soojus'!$C:$I,2+$C62,FALSE) + VLOOKUP(Y$10,'VK-Transport'!$C:$I,2+$B62,FALSE)+ VLOOKUP(Y$10,'VK-Biokütused'!$C:$G,2+$E62,FALSE)+ VLOOKUP(Y$10,'VK-Elekter'!$C:$I,2+$D62,FALSE)+ VLOOKUP(Y$10,'VK-Põlevkivi'!$C:$I,2+$G62,FALSE)+ VLOOKUP(Y$10,'VK-Võrgud'!$C:$I,2+$F62,FALSE)</f>
        <v>-2.3745471680010819E-2</v>
      </c>
      <c r="Z62" s="227">
        <f>(S62*Tulemused!$Q$9*10+T62*Tulemused!$Q$10*10+KOMBI!U62*Tulemused!$Q$11*10+KOMBI!V62*Tulemused!$Q$12*10)*Tulemused!$Q$8+-(W62*Tulemused!$Q$14*10+KOMBI!X62*Tulemused!$Q$15*10+KOMBI!Y62*Tulemused!$Q$16*10)*Tulemused!$Q$13</f>
        <v>2.818632745964833</v>
      </c>
      <c r="AA62" s="228">
        <f>(IF(AA$7="X",VLOOKUP(AA$10,'VK-Hooned-Soojus'!$C:$X,2+$C62,FALSE),0)+IF(AA$6="X",VLOOKUP(AA$10,'VK-Transport'!$C:$X,2+$B62,0))+IF(AA$8="X",VLOOKUP(AA$10,'VK-Elekter'!$C:$X,2+$D62,0))+IF(AA$9="X",VLOOKUP(AA$10,'VK-Biokütused'!$C:$U,2+$E62,0))+IF(AA$5="X",VLOOKUP(AA$10,'VK-Põlevkivi'!$C:$X,2+$G62,0))+IF(AA$4="X",VLOOKUP(AA$10,'VK-Võrgud'!$C:$X,2+$F62,0)))</f>
        <v>3728</v>
      </c>
      <c r="AB62" s="228">
        <f>(IF(AB$7="X",VLOOKUP(AB$10,'VK-Hooned-Soojus'!$C:$X,2+$C62,FALSE),0)+IF(AB$6="X",VLOOKUP(AB$10,'VK-Transport'!$C:$X,2+$B62,0))+IF(AB$8="X",VLOOKUP(AB$10,'VK-Elekter'!$C:$X,2+$D62,0))+IF(AB$9="X",VLOOKUP(AB$10,'VK-Biokütused'!$C:$U,2+$E62,0))+IF(AB$5="X",VLOOKUP(AB$10,'VK-Põlevkivi'!$C:$X,2+$G62,0))+IF(AB$4="X",VLOOKUP(AB$10,'VK-Võrgud'!$C:$X,2+$F62,0)))</f>
        <v>1602</v>
      </c>
      <c r="AC62" s="228">
        <f>(IF(AC$7="X",VLOOKUP(AC$10,'VK-Hooned-Soojus'!$C:$X,2+$C62,FALSE),0)+IF(AC$6="X",VLOOKUP(AC$10,'VK-Transport'!$C:$X,2+$B62,0))+IF(AC$8="X",VLOOKUP(AC$10,'VK-Elekter'!$C:$X,2+$D62,0))+IF(AC$9="X",VLOOKUP(AC$10,'VK-Biokütused'!$C:$U,2+$E62,0))+IF(AC$5="X",VLOOKUP(AC$10,'VK-Põlevkivi'!$C:$X,2+$G62,0))+IF(AC$4="X",VLOOKUP(AC$10,'VK-Võrgud'!$C:$X,2+$F62,0)))</f>
        <v>2346</v>
      </c>
      <c r="AD62" s="228">
        <f>(IF(AD$7="X",VLOOKUP(AD$10,'VK-Hooned-Soojus'!$C:$X,2+$C62,FALSE),0)+IF(AD$6="X",VLOOKUP(AD$10,'VK-Transport'!$C:$X,2+$B62,0))+IF(AD$8="X",VLOOKUP(AD$10,'VK-Elekter'!$C:$X,2+$D62,0))+IF(AD$9="X",VLOOKUP(AD$10,'VK-Biokütused'!$C:$U,2+$E62,0))+IF(AD$5="X",VLOOKUP(AD$10,'VK-Põlevkivi'!$C:$X,2+$G62,0))+IF(AD$4="X",VLOOKUP(AD$10,'VK-Võrgud'!$C:$X,2+$F62,0)))</f>
        <v>0</v>
      </c>
      <c r="AE62" s="228">
        <f>(IF(AE$7="X",VLOOKUP(AE$10,'VK-Hooned-Soojus'!$C:$X,2+$C62,FALSE),0)+IF(AE$6="X",VLOOKUP(AE$10,'VK-Transport'!$C:$X,2+$B62,0))+IF(AE$8="X",VLOOKUP(AE$10,'VK-Elekter'!$C:$X,2+$D62,0))+IF(AE$9="X",VLOOKUP(AE$10,'VK-Biokütused'!$C:$U,2+$E62,0))+IF(AE$5="X",VLOOKUP(AE$10,'VK-Põlevkivi'!$C:$X,2+$G62,0))+IF(AE$4="X",VLOOKUP(AE$10,'VK-Võrgud'!$C:$X,2+$F62,0)))</f>
        <v>812</v>
      </c>
      <c r="AF62" s="228">
        <f>(IF(AF$7="X",VLOOKUP(AF$10,'VK-Hooned-Soojus'!$C:$X,2+$C62,FALSE),0)+IF(AF$6="X",VLOOKUP(AF$10,'VK-Transport'!$C:$X,2+$B62,0))+IF(AF$8="X",VLOOKUP(AF$10,'VK-Elekter'!$C:$X,2+$D62,0))+IF(AF$9="X",VLOOKUP(AF$10,'VK-Biokütused'!$C:$U,2+$E62,0))+IF(AF$5="X",VLOOKUP(AF$10,'VK-Põlevkivi'!$C:$X,2+$G62,0))+IF(AF$4="X",VLOOKUP(AF$10,'VK-Võrgud'!$C:$X,2+$F62,0)))</f>
        <v>1892.3823271229701</v>
      </c>
      <c r="AG62" s="209"/>
      <c r="AH62" s="209">
        <f>IF(AH$7="X",VLOOKUP(AH$10,'VK-Hooned-Soojus'!$C:$X,2+$C62,FALSE),0)+IF(AH$6="X",VLOOKUP(AH$10,'VK-Transport'!$C:$X,2+$B62,0))+IF(AH$8="X",VLOOKUP(AH$10,'VK-Elekter'!$C:$X,2+$D62,0))+IF(AH$9="X",VLOOKUP(AH$10,'VK-Biokütused'!$C:$U,2+$E62,0))+IF(AH$5="X",VLOOKUP(AH$10,'VK-Põlevkivi'!$C:$X,2+$G62,0))+IF(AH$4="X",VLOOKUP(AH$10,'VK-Võrgud'!$C:$X,2+$F62,0))</f>
        <v>11.579999999999998</v>
      </c>
      <c r="AI62" s="209">
        <f>IF(AI$7="X",VLOOKUP(AI$10,'VK-Hooned-Soojus'!$C:$X,2+$C62,FALSE),0)+IF(AI$6="X",VLOOKUP(AI$10,'VK-Transport'!$C:$X,2+$B62,0))+IF(AI$8="X",VLOOKUP(AI$10,'VK-Elekter'!$C:$X,2+$D62,0))+IF(AI$9="X",VLOOKUP(AI$10,'VK-Biokütused'!$C:$U,2+$E62,0))+IF(AI$5="X",VLOOKUP(AI$10,'VK-Põlevkivi'!$C:$X,2+$G62,0))+IF(AI$4="X",VLOOKUP(AI$10,'VK-Võrgud'!$C:$X,2+$F62,0))</f>
        <v>4.45</v>
      </c>
      <c r="AJ62" s="209">
        <f>IF(AJ$7="X",VLOOKUP(AJ$10,'VK-Hooned-Soojus'!$C:$X,2+$C62,FALSE),0)+IF(AJ$6="X",VLOOKUP(AJ$10,'VK-Transport'!$C:$X,2+$B62,0))+IF(AJ$8="X",VLOOKUP(AJ$10,'VK-Elekter'!$C:$X,2+$D62,0))+IF(AJ$9="X",VLOOKUP(AJ$10,'VK-Biokütused'!$C:$U,2+$E62,0))+IF(AJ$5="X",VLOOKUP(AJ$10,'VK-Põlevkivi'!$C:$X,2+$G62,0))+IF(AJ$4="X",VLOOKUP(AJ$10,'VK-Võrgud'!$C:$X,2+$F62,0))</f>
        <v>9.19</v>
      </c>
      <c r="AK62" s="209">
        <f>IF(AK$7="X",VLOOKUP(AK$10,'VK-Hooned-Soojus'!$C:$X,2+$C62,FALSE),0)+IF(AK$6="X",VLOOKUP(AK$10,'VK-Transport'!$C:$X,2+$B62,0))+IF(AK$8="X",VLOOKUP(AK$10,'VK-Elekter'!$C:$X,2+$D62,0))+IF(AK$9="X",VLOOKUP(AK$10,'VK-Biokütused'!$C:$U,2+$E62,0))+IF(AK$5="X",VLOOKUP(AK$10,'VK-Põlevkivi'!$C:$X,2+$G62,0))+IF(AK$4="X",VLOOKUP(AK$10,'VK-Võrgud'!$C:$X,2+$F62,0))</f>
        <v>0.66</v>
      </c>
      <c r="AL62" s="209">
        <f>IF(AL$7="X",VLOOKUP(AL$10,'VK-Hooned-Soojus'!$C:$X,2+$C62,FALSE),0)+IF(AL$6="X",VLOOKUP(AL$10,'VK-Transport'!$C:$X,2+$B62,0))+IF(AL$8="X",VLOOKUP(AL$10,'VK-Elekter'!$C:$X,2+$D62,0))+IF(AL$9="X",VLOOKUP(AL$10,'VK-Biokütused'!$C:$U,2+$E62,0))+IF(AL$5="X",VLOOKUP(AL$10,'VK-Põlevkivi'!$C:$X,2+$G62,0))+IF(AL$4="X",VLOOKUP(AL$10,'VK-Võrgud'!$C:$X,2+$F62,0))</f>
        <v>7.1999999999999993</v>
      </c>
      <c r="AM62" s="209">
        <f>IF(AM$7="X",VLOOKUP(AM$10,'VK-Hooned-Soojus'!$C:$X,2+$C62,FALSE),0)+IF(AM$6="X",VLOOKUP(AM$10,'VK-Transport'!$C:$X,2+$B62,0))+IF(AM$8="X",VLOOKUP(AM$10,'VK-Elekter'!$C:$X,2+$D62,0))+IF(AM$9="X",VLOOKUP(AM$10,'VK-Biokütused'!$C:$U,2+$E62,0))+IF(AM$5="X",VLOOKUP(AM$10,'VK-Põlevkivi'!$C:$X,2+$G62,0))+IF(AM$4="X",VLOOKUP(AM$10,'VK-Võrgud'!$C:$X,2+$F62,0))</f>
        <v>12.9</v>
      </c>
      <c r="AN62" s="209">
        <f>IF(AN$7="X",VLOOKUP(AN$10,'VK-Hooned-Soojus'!$C:$X,2+$C62,FALSE),0)+IF(AN$6="X",VLOOKUP(AN$10,'VK-Transport'!$C:$X,2+$B62,0))+IF(AN$8="X",VLOOKUP(AN$10,'VK-Elekter'!$C:$X,2+$D62,0))+IF(AN$9="X",VLOOKUP(AN$10,'VK-Biokütused'!$C:$U,2+$E62,0))+IF(AN$5="X",VLOOKUP(AN$10,'VK-Põlevkivi'!$C:$X,2+$G62,0))+IF(AN$4="X",VLOOKUP(AN$10,'VK-Võrgud'!$C:$X,2+$F62,0))</f>
        <v>5.6999999999999993</v>
      </c>
      <c r="AO62" s="209">
        <f>IF(AO$7="X",VLOOKUP(AO$10,'VK-Hooned-Soojus'!$C:$X,2+$C62,FALSE),0)+IF(AO$6="X",VLOOKUP(AO$10,'VK-Transport'!$C:$X,2+$B62,0))+IF(AO$8="X",VLOOKUP(AO$10,'VK-Elekter'!$C:$X,2+$D62,0))+IF(AO$9="X",VLOOKUP(AO$10,'VK-Biokütused'!$C:$U,2+$E62,0))+IF(AO$5="X",VLOOKUP(AO$10,'VK-Põlevkivi'!$C:$X,2+$G62,0))+IF(AO$4="X",VLOOKUP(AO$10,'VK-Võrgud'!$C:$X,2+$F62,0))</f>
        <v>13.56</v>
      </c>
      <c r="AP62" s="209">
        <f>IF(AP$7="X",VLOOKUP(AP$10,'VK-Hooned-Soojus'!$C:$X,2+$C62,FALSE),0)+IF(AP$6="X",VLOOKUP(AP$10,'VK-Transport'!$C:$X,2+$B62,0))+IF(AP$8="X",VLOOKUP(AP$10,'VK-Elekter'!$C:$X,2+$D62,0))+IF(AP$9="X",VLOOKUP(AP$10,'VK-Biokütused'!$C:$U,2+$E62,0))+IF(AP$5="X",VLOOKUP(AP$10,'VK-Põlevkivi'!$C:$X,2+$G62,0))+IF(AP$4="X",VLOOKUP(AP$10,'VK-Võrgud'!$C:$X,2+$F62,0))</f>
        <v>6.78</v>
      </c>
      <c r="AQ62" s="320">
        <f t="shared" si="14"/>
        <v>1.2599999999999998</v>
      </c>
      <c r="AR62" s="209">
        <f>IF(AR$7="X",VLOOKUP(AR$10,'VK-Hooned-Soojus'!$C:$X,2+$C62,FALSE),0)+IF(AR$6="X",VLOOKUP(AR$10,'VK-Transport'!$C:$X,2+$B62,0))+IF(AR$8="X",VLOOKUP(AR$10,'VK-Elekter'!$C:$X,2+$D62,0))+IF(AR$9="X",VLOOKUP(AR$10,'VK-Biokütused'!$C:$U,2+$E62,0))+IF(AR$5="X",VLOOKUP(AR$10,'VK-Põlevkivi'!$C:$X,2+$G62,0))+IF(AR$4="X",VLOOKUP(AR$10,'VK-Võrgud'!$C:$X,2+$F62,0))</f>
        <v>3.4899999999999998</v>
      </c>
      <c r="AS62" s="320">
        <f>VLOOKUP("Kütuste tarbimine @ 2030 - UTTEGAAS",'VK-Hooned-Soojus'!$C:$X,2+$C62,FALSE)/0.172+VLOOKUP("Kütuste tarbimine @ 2030 - UTTEGAAS",'VK-Elekter'!$C:$X,2+$D62,FALSE)/0.172-AR62-AU62</f>
        <v>2.7565116279069759</v>
      </c>
      <c r="AT62" s="209">
        <f>IF(AT$7="X",VLOOKUP(AT$10,'VK-Hooned-Soojus'!$C:$X,2+$C62,FALSE),0)+IF(AT$6="X",VLOOKUP(AT$10,'VK-Transport'!$C:$X,2+$B62,0))+IF(AT$8="X",VLOOKUP(AT$10,'VK-Elekter'!$C:$X,2+$D62,0))+IF(AT$9="X",VLOOKUP(AT$10,'VK-Biokütused'!$C:$U,2+$E62,0))+IF(AT$5="X",VLOOKUP(AT$10,'VK-Põlevkivi'!$C:$X,2+$G62,0))+IF(AT$4="X",VLOOKUP(AT$10,'VK-Võrgud'!$C:$X,2+$F62,0))</f>
        <v>9.2784458909544707</v>
      </c>
      <c r="AU62" s="229">
        <f>MAX(0,(VLOOKUP("Kütuste tarbimine @ 2030 - UTTEGAAS",'VK-Hooned-Soojus'!$C:$X,2+$C62,FALSE)/0.172+VLOOKUP("Kütuste tarbimine @ 2030 - UTTEGAAS",'VK-Elekter'!$C:$X,2+$D62,FALSE)/0.172)*0.52-VLOOKUP("Kütuste tarbimine @ 2030 - PÕLEVKIVIÕLI",'VK-Hooned-Soojus'!$C:$X,2+$C62,FALSE))</f>
        <v>4.6837209302325586</v>
      </c>
      <c r="AV62" s="209">
        <f>IF(AV$7="X",VLOOKUP(AV$10,'VK-Hooned-Soojus'!$C:$X,2+$C62,FALSE),0)+IF(AV$6="X",VLOOKUP(AV$10,'VK-Transport'!$C:$X,2+$B62,0))+IF(AV$8="X",VLOOKUP(AV$10,'VK-Elekter'!$C:$X,2+$D62,0))+IF(AV$9="X",VLOOKUP(AV$10,'VK-Biokütused'!$C:$U,2+$E62,0))+IF(AV$5="X",VLOOKUP(AV$10,'VK-Põlevkivi'!$C:$X,2+$G62,0))+IF(AV$4="X",VLOOKUP(AV$10,'VK-Võrgud'!$C:$X,2+$F62,0))</f>
        <v>1.7257321590343366</v>
      </c>
      <c r="AW62" s="209">
        <f>IF(AW$7="X",VLOOKUP(AW$10,'VK-Hooned-Soojus'!$C:$X,2+$C62,FALSE),0)+IF(AW$6="X",VLOOKUP(AW$10,'VK-Transport'!$C:$X,2+$B62,0))+IF(AW$8="X",VLOOKUP(AW$10,'VK-Elekter'!$C:$X,2+$D62,0))+IF(AW$9="X",VLOOKUP(AW$10,'VK-Biokütused'!$C:$U,2+$E62,0))+IF(AW$5="X",VLOOKUP(AW$10,'VK-Põlevkivi'!$C:$X,2+$G62,0))+IF(AW$4="X",VLOOKUP(AW$10,'VK-Võrgud'!$C:$X,2+$F62,0))</f>
        <v>0</v>
      </c>
      <c r="AX62" s="229">
        <f t="shared" si="34"/>
        <v>0</v>
      </c>
      <c r="AY62" s="229">
        <f t="shared" si="15"/>
        <v>1.7257321590343366</v>
      </c>
      <c r="AZ62" s="230">
        <f t="shared" si="36"/>
        <v>0.55022363672169594</v>
      </c>
      <c r="BA62" s="209">
        <f>IF(BA$7="X",VLOOKUP(BA$10,'VK-Hooned-Soojus'!$C:$X,2+$C62,FALSE),0)+IF(BA$6="X",VLOOKUP(BA$10,'VK-Transport'!$C:$X,2+$B62,0))+IF(BA$8="X",VLOOKUP(BA$10,'VK-Elekter'!$C:$X,2+$D62,0))+IF(BA$9="X",VLOOKUP(BA$10,'VK-Biokütused'!$C:$U,2+$E62,0))+IF(BA$5="X",VLOOKUP(BA$10,'VK-Põlevkivi'!$C:$X,2+$G62,0))+IF(BA$4="X",VLOOKUP(BA$10,'VK-Võrgud'!$C:$X,2+$F62,0))</f>
        <v>4.2</v>
      </c>
      <c r="BB62" s="209">
        <f>IF(BB$7="X",VLOOKUP(BB$10,'VK-Hooned-Soojus'!$C:$X,2+$C62,FALSE),0)+IF(BB$6="X",VLOOKUP(BB$10,'VK-Transport'!$C:$X,2+$B62,0))+IF(BB$8="X",VLOOKUP(BB$10,'VK-Elekter'!$C:$X,2+$D62,0))+IF(BB$9="X",VLOOKUP(BB$10,'VK-Biokütused'!$C:$U,2+$E62,0))+IF(BB$5="X",VLOOKUP(BB$10,'VK-Põlevkivi'!$C:$X,2+$G62,0))+IF(BB$4="X",VLOOKUP(BB$10,'VK-Võrgud'!$C:$X,2+$F62,0))</f>
        <v>5.1000000000000005</v>
      </c>
      <c r="BC62" s="209">
        <f>IF(BC$7="X",VLOOKUP(BC$10,'VK-Hooned-Soojus'!$C:$X,2+$C62,FALSE),0)+IF(BC$6="X",VLOOKUP(BC$10,'VK-Transport'!$C:$X,2+$B62,0))+IF(BC$8="X",VLOOKUP(BC$10,'VK-Elekter'!$C:$X,2+$D62,0))+IF(BC$9="X",VLOOKUP(BC$10,'VK-Biokütused'!$C:$U,2+$E62,0))+IF(BC$5="X",VLOOKUP(BC$10,'VK-Põlevkivi'!$C:$X,2+$G62,0))+IF(BC$4="X",VLOOKUP(BC$10,'VK-Võrgud'!$C:$X,2+$F62,0))</f>
        <v>8.0523611111111126</v>
      </c>
      <c r="BD62" s="209">
        <f>IF(BD$7="X",VLOOKUP(BD$10,'VK-Hooned-Soojus'!$C:$X,2+$C62,FALSE),0)+IF(BD$6="X",VLOOKUP(BD$10,'VK-Transport'!$C:$X,2+$B62,0))+IF(BD$8="X",VLOOKUP(BD$10,'VK-Elekter'!$C:$X,2+$D62,0))+IF(BD$9="X",VLOOKUP(BD$10,'VK-Biokütused'!$C:$U,2+$E62,0))+IF(BD$5="X",VLOOKUP(BD$10,'VK-Põlevkivi'!$C:$X,2+$G62,0))+IF(BD$4="X",VLOOKUP(BD$10,'VK-Võrgud'!$C:$X,2+$F62,0))</f>
        <v>10.42138888888889</v>
      </c>
      <c r="BE62" s="230"/>
      <c r="BF62" s="229">
        <f t="shared" si="16"/>
        <v>0.37735857959955449</v>
      </c>
      <c r="BG62" s="209" t="e">
        <f>(IF(BG$7="X",VLOOKUP(BG$10,'VK-Hooned-Soojus'!$C:$X,2+$C62,FALSE),0)+IF(BG$6="X",VLOOKUP(BG$10,'VK-Transport'!$C:$X,2+$B62,0))+IF(BG$8="X",VLOOKUP(BG$10,'VK-Elekter'!$C:$X,2+$D62,0))+IF(BG$9="X",VLOOKUP(BG$10,'VK-Biokütused'!$C:$U,2+$E62,0))+IF(BG$5="X",VLOOKUP(BG$10,'VK-Põlevkivi'!$C:$X,2+$G62,0))+IF(BG$4="X",VLOOKUP(BG$10,'VK-Võrgud'!$C:$X,2+$F62,0)))/20</f>
        <v>#N/A</v>
      </c>
      <c r="BH62" s="209">
        <f>(IF(BH$7="X",VLOOKUP(BH$10,'VK-Hooned-Soojus'!$C:$X,2+$C62,FALSE),0)+IF(BH$6="X",VLOOKUP(BH$10,'VK-Transport'!$C:$X,2+$B62,0))+IF(BH$8="X",VLOOKUP(BH$10,'VK-Elekter'!$C:$X,2+$D62,0))+IF(BH$9="X",VLOOKUP(BH$10,'VK-Biokütused'!$C:$U,2+$E62,0))+IF(BH$5="X",VLOOKUP(BH$10,'VK-Põlevkivi'!$C:$X,2+$G62,0))+IF(BH$4="X",VLOOKUP(BH$10,'VK-Võrgud'!$C:$X,2+$F62,0)))/20</f>
        <v>13.99</v>
      </c>
      <c r="BI62" s="209">
        <f>(IF(BI$7="X",VLOOKUP(BI$10,'VK-Hooned-Soojus'!$C:$X,2+$C62,FALSE),0)+IF(BI$6="X",VLOOKUP(BI$10,'VK-Transport'!$C:$X,2+$B62,0))+IF(BI$8="X",VLOOKUP(BI$10,'VK-Elekter'!$C:$X,2+$D62,0))+IF(BI$9="X",VLOOKUP(BI$10,'VK-Biokütused'!$C:$U,2+$E62,0))+IF(BI$5="X",VLOOKUP(BI$10,'VK-Põlevkivi'!$C:$X,2+$G62,0))+IF(BI$4="X",VLOOKUP(BI$10,'VK-Võrgud'!$C:$X,2+$F62,0)))/16</f>
        <v>17.75</v>
      </c>
      <c r="BJ62" s="209">
        <f>(IF(BJ$7="X",VLOOKUP(BJ$10,'VK-Hooned-Soojus'!$C:$X,2+$C62,FALSE),0)+IF(BJ$6="X",VLOOKUP(BJ$10,'VK-Transport'!$C:$X,2+$B62,0))+IF(BJ$8="X",VLOOKUP(BJ$10,'VK-Elekter'!$C:$X,2+$D62,0))+IF(BJ$9="X",VLOOKUP(BJ$10,'VK-Biokütused'!$C:$U,2+$E62,0))+IF(BJ$5="X",VLOOKUP(BJ$10,'VK-Põlevkivi'!$C:$X,2+$G62,0))+IF(BJ$4="X",VLOOKUP(BJ$10,'VK-Võrgud'!$C:$X,2+$F62,0)))/20</f>
        <v>1.85</v>
      </c>
      <c r="BK62" s="209"/>
      <c r="BL62" s="209"/>
      <c r="BM62" s="209"/>
      <c r="BN62" s="209" t="e">
        <f>(IF(BN$7="X",VLOOKUP(BN$10,'VK-Hooned-Soojus'!$C:$X,2+$C62,FALSE),0)+IF(BN$6="X",VLOOKUP(BN$10,'VK-Transport'!$C:$X,2+$B62,0))+IF(BN$8="X",VLOOKUP(BN$10,'VK-Elekter'!$C:$X,2+$D62,0))+IF(BN$9="X",VLOOKUP(BN$10,'VK-Biokütused'!$C:$U,2+$E62,0))+IF(BN$5="X",VLOOKUP(BN$10,'VK-Põlevkivi'!$C:$X,2+$G62,0))+IF(BN$4="X",VLOOKUP(BN$10,'VK-Võrgud'!$C:$X,2+$F62,0)))/16</f>
        <v>#N/A</v>
      </c>
      <c r="BO62" s="209">
        <f>(IF(BO$7="X",VLOOKUP(BO$10,'VK-Hooned-Soojus'!$C:$X,2+$C62,FALSE),0)+IF(BO$6="X",VLOOKUP(BO$10,'VK-Transport'!$C:$X,2+$B62,0))+IF(BO$8="X",VLOOKUP(BO$10,'VK-Elekter'!$C:$X,2+$D62,0))+IF(BO$9="X",VLOOKUP(BO$10,'VK-Biokütused'!$C:$U,2+$E62,0))+IF(BO$5="X",VLOOKUP(BO$10,'VK-Põlevkivi'!$C:$X,2+$G62,0))+IF(BO$4="X",VLOOKUP(BO$10,'VK-Võrgud'!$C:$X,2+$F62,0)))/16</f>
        <v>405.45</v>
      </c>
      <c r="BP62" s="209"/>
      <c r="BQ62" s="209">
        <f>(IF(BQ$7="X",VLOOKUP(BQ$10,'VK-Hooned-Soojus'!$C:$X,2+$C62,FALSE),0)+IF(BQ$6="X",VLOOKUP(BQ$10,'VK-Transport'!$C:$X,2+$B62,0))+IF(BQ$8="X",VLOOKUP(BQ$10,'VK-Elekter'!$C:$X,2+$D62,0))+IF(BQ$9="X",VLOOKUP(BQ$10,'VK-Biokütused'!$C:$U,2+$E62,0))+IF(BQ$5="X",VLOOKUP(BQ$10,'VK-Põlevkivi'!$C:$X,2+$G62,0))+IF(BQ$4="X",VLOOKUP(BQ$10,'VK-Võrgud'!$C:$X,2+$F62,0)))/16</f>
        <v>127.6</v>
      </c>
      <c r="BR62" s="209">
        <f>(IF(BR$7="X",VLOOKUP(BR$10,'VK-Hooned-Soojus'!$C:$X,2+$C62,FALSE),0)+IF(BR$6="X",VLOOKUP(BR$10,'VK-Transport'!$C:$X,2+$B62,0))+IF(BR$8="X",VLOOKUP(BR$10,'VK-Elekter'!$C:$X,2+$D62,0))+IF(BR$9="X",VLOOKUP(BR$10,'VK-Biokütused'!$C:$U,2+$E62,0))+IF(BR$5="X",VLOOKUP(BR$10,'VK-Põlevkivi'!$C:$X,2+$G62,0))+IF(BR$4="X",VLOOKUP(BR$10,'VK-Võrgud'!$C:$X,2+$F62,0)))/16</f>
        <v>27.475000000000001</v>
      </c>
      <c r="BS62" s="209">
        <f>(IF(BS$7="X",VLOOKUP(BS$10,'VK-Hooned-Soojus'!$C:$X,2+$C62,FALSE),0)+IF(BS$6="X",VLOOKUP(BS$10,'VK-Transport'!$C:$X,2+$B62,0))+IF(BS$8="X",VLOOKUP(BS$10,'VK-Elekter'!$C:$X,2+$D62,0))+IF(BS$9="X",VLOOKUP(BS$10,'VK-Biokütused'!$C:$U,2+$E62,0))+IF(BS$5="X",VLOOKUP(BS$10,'VK-Põlevkivi'!$C:$X,2+$G62,0))+IF(BS$4="X",VLOOKUP(BS$10,'VK-Võrgud'!$C:$X,2+$F62,0)))/16</f>
        <v>-23.293749999999999</v>
      </c>
      <c r="BT62" s="209"/>
      <c r="BU62" s="209"/>
      <c r="BV62" s="209">
        <f>(IF(BV$7="X",VLOOKUP(BV$10,'VK-Hooned-Soojus'!$C:$X,2+$C62,FALSE),0)+IF(BV$6="X",VLOOKUP(BV$10,'VK-Transport'!$C:$X,2+$B62,0))+IF(BV$8="X",VLOOKUP(BV$10,'VK-Elekter'!$C:$X,2+$D62,0))+IF(BV$9="X",VLOOKUP(BV$10,'VK-Biokütused'!$C:$U,2+$E62,0))+IF(BV$5="X",VLOOKUP(BV$10,'VK-Põlevkivi'!$C:$X,2+$G62,0))+IF(BV$4="X",VLOOKUP(BV$10,'VK-Võrgud'!$C:$X,2+$F62,0)))/16</f>
        <v>0</v>
      </c>
      <c r="BW62" s="209"/>
      <c r="BX62" s="209">
        <f>(IF(BX$7="X",VLOOKUP(BX$10,'VK-Hooned-Soojus'!$C:$X,2+$C62,FALSE),0)+IF(BX$6="X",VLOOKUP(BX$10,'VK-Transport'!$C:$X,2+$B62,0))+IF(BX$8="X",VLOOKUP(BX$10,'VK-Elekter'!$C:$X,2+$D62,0))+IF(BX$9="X",VLOOKUP(BX$10,'VK-Biokütused'!$C:$U,2+$E62,0))+IF(BX$5="X",VLOOKUP(BX$10,'VK-Põlevkivi'!$C:$X,2+$G62,0))+IF(BX$4="X",VLOOKUP(BX$10,'VK-Võrgud'!$C:$X,2+$F62,0)))/16</f>
        <v>-99.4375</v>
      </c>
      <c r="BY62" s="209"/>
      <c r="BZ62" s="209"/>
      <c r="CA62" s="209" t="e">
        <f>(IF(CA$7="X",VLOOKUP(CA$10,'VK-Hooned-Soojus'!$C:$X,2+$C62,FALSE),0)+IF(CA$6="X",VLOOKUP(CA$10,'VK-Transport'!$C:$X,2+$B62,0))+IF(CA$8="X",VLOOKUP(CA$10,'VK-Elekter'!$C:$X,2+$D62,0))+IF(CA$9="X",VLOOKUP(CA$10,'VK-Biokütused'!$C:$U,2+$E62,0))+IF(CA$5="X",VLOOKUP(CA$10,'VK-Põlevkivi'!$C:$X,2+$G62,0))+IF(CA$4="X",VLOOKUP(CA$10,'VK-Võrgud'!$C:$X,2+$F62,0)))/16</f>
        <v>#N/A</v>
      </c>
      <c r="CB62" s="209">
        <f>(IF(CB$7="X",VLOOKUP(CB$10,'VK-Hooned-Soojus'!$C:$X,2+$C62,FALSE),0)+IF(CB$6="X",VLOOKUP(CB$10,'VK-Transport'!$C:$X,2+$B62,0))+IF(CB$8="X",VLOOKUP(CB$10,'VK-Elekter'!$C:$X,2+$D62,0))+IF(CB$9="X",VLOOKUP(CB$10,'VK-Biokütused'!$C:$U,2+$E62,0))+IF(CB$5="X",VLOOKUP(CB$10,'VK-Põlevkivi'!$C:$X,2+$G62,0))+IF(CB$4="X",VLOOKUP(CB$10,'VK-Võrgud'!$C:$X,2+$F62,0)))/16</f>
        <v>0</v>
      </c>
      <c r="CC62" s="209">
        <f>(IF(CC$7="X",VLOOKUP(CC$10,'VK-Hooned-Soojus'!$C:$X,2+$C62,FALSE),0)+IF(CC$6="X",VLOOKUP(CC$10,'VK-Transport'!$C:$X,2+$B62,0))+IF(CC$8="X",VLOOKUP(CC$10,'VK-Elekter'!$C:$X,2+$D62,0))+IF(CC$9="X",VLOOKUP(CC$10,'VK-Biokütused'!$C:$U,2+$E62,0))+IF(CC$5="X",VLOOKUP(CC$10,'VK-Põlevkivi'!$C:$X,2+$G62,0))+IF(CC$4="X",VLOOKUP(CC$10,'VK-Võrgud'!$C:$X,2+$F62,0)))/16</f>
        <v>0</v>
      </c>
      <c r="CD62" s="209"/>
      <c r="CE62" s="209">
        <f>(IF(CE$7="X",VLOOKUP(CE$10,'VK-Hooned-Soojus'!$C:$X,2+$C62,FALSE),0)+IF(CE$6="X",VLOOKUP(CE$10,'VK-Transport'!$C:$X,2+$B62,0))+IF(CE$8="X",VLOOKUP(CE$10,'VK-Elekter'!$C:$X,2+$D62,0))+IF(CE$9="X",VLOOKUP(CE$10,'VK-Biokütused'!$C:$U,2+$E62,0))+IF(CE$5="X",VLOOKUP(CE$10,'VK-Põlevkivi'!$C:$X,2+$G62,0))+IF(CE$4="X",VLOOKUP(CE$10,'VK-Võrgud'!$C:$X,2+$F62,0)))/16</f>
        <v>24.15625</v>
      </c>
      <c r="CF62" s="209"/>
      <c r="CG62" s="209">
        <f>(IF(CG$7="X",VLOOKUP(CG$10,'VK-Hooned-Soojus'!$C:$X,2+$C62,FALSE),0)+IF(CG$6="X",VLOOKUP(CG$10,'VK-Transport'!$C:$X,2+$B62,0))+IF(CG$8="X",VLOOKUP(CG$10,'VK-Elekter'!$C:$X,2+$D62,0))+IF(CG$9="X",VLOOKUP(CG$10,'VK-Biokütused'!$C:$U,2+$E62,0))+IF(CG$5="X",VLOOKUP(CG$10,'VK-Põlevkivi'!$C:$X,2+$G62,0))+IF(CG$4="X",VLOOKUP(CG$10,'VK-Võrgud'!$C:$X,2+$F62,0)))/16</f>
        <v>0</v>
      </c>
      <c r="CH62" s="209">
        <f>(IF(CH$7="X",VLOOKUP(CH$10,'VK-Hooned-Soojus'!$C:$X,2+$C62,FALSE),0)+IF(CH$6="X",VLOOKUP(CH$10,'VK-Transport'!$C:$X,2+$B62,0))+IF(CH$8="X",VLOOKUP(CH$10,'VK-Elekter'!$C:$X,2+$D62,0))+IF(CH$9="X",VLOOKUP(CH$10,'VK-Biokütused'!$C:$U,2+$E62,0))+IF(CH$5="X",VLOOKUP(CH$10,'VK-Põlevkivi'!$C:$X,2+$G62,0))+IF(CH$4="X",VLOOKUP(CH$10,'VK-Võrgud'!$C:$X,2+$F62,0)))/20*0.21</f>
        <v>5.6122500000000004</v>
      </c>
      <c r="CI62" s="209"/>
      <c r="CJ62" s="209">
        <f>(IF(CJ$7="X",VLOOKUP(CJ$10,'VK-Hooned-Soojus'!$C:$X,2+$C62,FALSE),0)+IF(CJ$6="X",VLOOKUP(CJ$10,'VK-Transport'!$C:$X,2+$B62,0))+IF(CJ$8="X",VLOOKUP(CJ$10,'VK-Elekter'!$C:$X,2+$D62,0))+IF(CJ$9="X",VLOOKUP(CJ$10,'VK-Biokütused'!$C:$U,2+$E62,0))+IF(CJ$5="X",VLOOKUP(CJ$10,'VK-Põlevkivi'!$C:$X,2+$G62,0))+IF(CJ$4="X",VLOOKUP(CJ$10,'VK-Võrgud'!$C:$X,2+$F62,0)))/1000</f>
        <v>19.103861099430585</v>
      </c>
      <c r="CK62" s="209">
        <f>(IF(CK$7="X",VLOOKUP(CK$10,'VK-Hooned-Soojus'!$C:$X,2+$C62,FALSE),0)+IF(CK$6="X",VLOOKUP(CK$10,'VK-Transport'!$C:$X,2+$B62,0))+IF(CK$8="X",VLOOKUP(CK$10,'VK-Elekter'!$C:$X,2+$D62,0))+IF(CK$9="X",VLOOKUP(CK$10,'VK-Biokütused'!$C:$U,2+$E62,0))+IF(CK$5="X",VLOOKUP(CK$10,'VK-Põlevkivi'!$C:$X,2+$G62,0))+IF(CK$4="X",VLOOKUP(CK$10,'VK-Võrgud'!$C:$X,2+$F62,0)))/1000</f>
        <v>12.804324637900008</v>
      </c>
      <c r="CL62" s="235">
        <f>(IF(CL$7="X",VLOOKUP(CL$10,'VK-Hooned-Soojus'!$C:$X,2+$C62,FALSE),0)+IF(CL$6="X",VLOOKUP(CL$10,'VK-Transport'!$C:$X,2+$B62,0))+IF(CL$8="X",VLOOKUP(CL$10,'VK-Elekter'!$C:$X,2+$D62,0))+IF(CL$9="X",VLOOKUP(CL$10,'VK-Biokütused'!$C:$U,2+$E62,0)))/1000</f>
        <v>8.8319419404241373</v>
      </c>
      <c r="CM62" s="209">
        <f>(IF(CM$7="X",VLOOKUP(CM$10,'VK-Hooned-Soojus'!$C:$X,2+$C62,FALSE),0)+IF(CM$6="X",VLOOKUP(CM$10,'VK-Transport'!$C:$X,2+$B62,0))+IF(CM$8="X",VLOOKUP(CM$10,'VK-Elekter'!$C:$X,2+$D62,0))+IF(CM$9="X",VLOOKUP(CM$10,'VK-Biokütused'!$C:$U,2+$E62,0))+IF(CM$5="X",VLOOKUP(CM$10,'VK-Põlevkivi'!$C:$X,2+$G62,0))+IF(CM$4="X",VLOOKUP(CM$10,'VK-Võrgud'!$C:$X,2+$F62,0)))/1000</f>
        <v>8.5453156794471035</v>
      </c>
      <c r="CN62" s="209">
        <f>(IF(CN$7="X",VLOOKUP(CN$10,'VK-Hooned-Soojus'!$C:$X,2+$C62,FALSE),0)+IF(CN$6="X",VLOOKUP(CN$10,'VK-Transport'!$C:$X,2+$B62,0))+IF(CN$8="X",VLOOKUP(CN$10,'VK-Elekter'!$C:$X,2+$D62,0))+IF(CN$9="X",VLOOKUP(CN$10,'VK-Biokütused'!$C:$U,2+$E62,0))+IF(CN$5="X",VLOOKUP(CN$10,'VK-Põlevkivi'!$C:$X,2+$G62,0))+IF(CN$4="X",VLOOKUP(CN$10,'VK-Võrgud'!$C:$X,2+$F62,0)))/1000</f>
        <v>3.1680000000000001</v>
      </c>
      <c r="CO62" s="209">
        <f>(IF(CO$7="X",VLOOKUP(CO$10,'VK-Hooned-Soojus'!$C:$X,2+$C62,FALSE),0)+IF(CO$6="X",VLOOKUP(CO$10,'VK-Transport'!$C:$X,2+$B62,0))+IF(CO$8="X",VLOOKUP(CO$10,'VK-Elekter'!$C:$X,2+$D62,0))+IF(CO$9="X",VLOOKUP(CO$10,'VK-Biokütused'!$C:$U,2+$E62,0))+IF(CO$5="X",VLOOKUP(CO$10,'VK-Põlevkivi'!$C:$X,2+$G62,0))+IF(CO$4="X",VLOOKUP(CO$10,'VK-Võrgud'!$C:$X,2+$F62,0)))/1000</f>
        <v>24.389575210797279</v>
      </c>
      <c r="CP62" s="209">
        <f>(IF(CP$7="X",VLOOKUP(CP$10,'VK-Hooned-Soojus'!$C:$X,2+$C62,FALSE),0)+IF(CP$6="X",VLOOKUP(CP$10,'VK-Transport'!$C:$X,2+$B62,0))+IF(CP$8="X",VLOOKUP(CP$10,'VK-Elekter'!$C:$X,2+$D62,0))+IF(CP$9="X",VLOOKUP(CP$10,'VK-Biokütused'!$C:$U,2+$E62,0))+IF(CP$5="X",VLOOKUP(CP$10,'VK-Põlevkivi'!$C:$X,2+$G62,0))+IF(CP$4="X",VLOOKUP(CP$10,'VK-Võrgud'!$C:$X,2+$F62,0)))/1000</f>
        <v>13.823994830349823</v>
      </c>
      <c r="CQ62" s="235">
        <f>(IF(CQ$7="X",VLOOKUP(CQ$10,'VK-Hooned-Soojus'!$C:$X,2+$C62,FALSE),0)+IF(CQ$6="X",VLOOKUP(CQ$10,'VK-Transport'!$C:$X,2+$B62,0))+IF(CQ$8="X",VLOOKUP(CQ$10,'VK-Elekter'!$C:$X,2+$D62,0))+IF(CQ$9="X",VLOOKUP(CQ$10,'VK-Biokütused'!$C:$U,2+$E62,0)))/1000</f>
        <v>10.857346</v>
      </c>
      <c r="CR62" s="209">
        <f>(IF(CR$7="X",VLOOKUP(CR$10,'VK-Hooned-Soojus'!$C:$X,2+$C62,FALSE),0)+IF(CR$6="X",VLOOKUP(CR$10,'VK-Transport'!$C:$X,2+$B62,0))+IF(CR$8="X",VLOOKUP(CR$10,'VK-Elekter'!$C:$X,2+$D62,0))+IF(CR$9="X",VLOOKUP(CR$10,'VK-Biokütused'!$C:$U,2+$E62,0))+IF(CR$5="X",VLOOKUP(CR$10,'VK-Põlevkivi'!$C:$X,2+$G62,0))+IF(CR$4="X",VLOOKUP(CR$10,'VK-Võrgud'!$C:$X,2+$F62,0)))/1000</f>
        <v>8.0930872784575758</v>
      </c>
      <c r="CS62" s="209">
        <f>(IF(CS$7="X",VLOOKUP(CS$10,'VK-Hooned-Soojus'!$C:$X,2+$C62,FALSE),0)+IF(CS$6="X",VLOOKUP(CS$10,'VK-Transport'!$C:$X,2+$B62,0))+IF(CS$8="X",VLOOKUP(CS$10,'VK-Elekter'!$C:$X,2+$D62,0))+IF(CS$9="X",VLOOKUP(CS$10,'VK-Biokütused'!$C:$U,2+$E62,0))+IF(CS$5="X",VLOOKUP(CS$10,'VK-Põlevkivi'!$C:$X,2+$G62,0))+IF(CS$4="X",VLOOKUP(CS$10,'VK-Võrgud'!$C:$X,2+$F62,0)))/1000</f>
        <v>3.8643344900598322</v>
      </c>
      <c r="CT62" s="209">
        <f>IF(CT$7="X",VLOOKUP(CT$10,'VK-Hooned-Soojus'!$C:$X,2+$C62,FALSE),0)+IF(CT$6="X",VLOOKUP(CT$10,'VK-Transport'!$C:$X,2+$B62,0))+IF(CT$8="X",VLOOKUP(CT$10,'VK-Elekter'!$C:$X,2+$D62,0))+IF(CT$9="X",VLOOKUP(CT$10,'VK-Biokütused'!$C:$U,2+$E62,0))+IF(CT$5="X",VLOOKUP(CT$10,'VK-Põlevkivi'!$C:$X,2+$G62,0))+IF(CT$4="X",VLOOKUP(CT$10,'VK-Võrgud'!$C:$X,2+$F62,0))</f>
        <v>90</v>
      </c>
      <c r="CU62" s="209">
        <f>IF(CU$7="X",VLOOKUP(CU$10,'VK-Hooned-Soojus'!$C:$X,2+$C62,FALSE),0)+IF(CU$6="X",VLOOKUP(CU$10,'VK-Transport'!$C:$X,2+$B62,0))+IF(CU$8="X",VLOOKUP(CU$10,'VK-Elekter'!$C:$X,2+$D62,0))+IF(CU$9="X",VLOOKUP(CU$10,'VK-Biokütused'!$C:$U,2+$E62,0))+IF(CU$5="X",VLOOKUP(CU$10,'VK-Põlevkivi'!$C:$X,2+$G62,0))+IF(CU$4="X",VLOOKUP(CU$10,'VK-Võrgud'!$C:$X,2+$F62,0))</f>
        <v>0.9337349397590361</v>
      </c>
      <c r="CV62" s="209">
        <f t="shared" si="37"/>
        <v>1</v>
      </c>
      <c r="CW62" s="209">
        <f>(IF(CW$7="X",VLOOKUP(CW$10,'VK-Hooned-Soojus'!$C:$X,2+$C62,FALSE),0)+IF(CW$6="X",VLOOKUP(CW$10,'VK-Transport'!$C:$X,2+$B62,0))+IF(CW$8="X",VLOOKUP(CW$10,'VK-Elekter'!$C:$X,2+$D62,0))+IF(CW$9="X",VLOOKUP(CW$10,'VK-Biokütused'!$C:$U,2+$E62,0))+IF(CW$5="X",VLOOKUP(CW$10,'VK-Põlevkivi'!$C:$X,2+$G62,0))+IF(CW$4="X",VLOOKUP(CW$10,'VK-Võrgud'!$C:$X,2+$F62,0)))/16</f>
        <v>0</v>
      </c>
      <c r="CY62" s="209">
        <f>(IF(CY$7="X",VLOOKUP(CY$10,'VK-Hooned-Soojus'!$C:$X,2+$C62,FALSE),0)+IF(CY$6="X",VLOOKUP(CY$10,'VK-Transport'!$C:$X,2+$B62,0))+IF(CY$8="X",VLOOKUP(CY$10,'VK-Elekter'!$C:$X,2+$D62,0))+IF(CY$9="X",VLOOKUP(CY$10,'VK-Biokütused'!$C:$U,2+$E62,0))+IF(CY$5="X",VLOOKUP(CY$10,'VK-Põlevkivi'!$C:$X,2+$G62,0))+IF(CY$4="X",VLOOKUP(CY$10,'VK-Võrgud'!$C:$X,2+$F62,0)))/1000</f>
        <v>10.984999999999999</v>
      </c>
      <c r="CZ62" s="209">
        <f>(IF(CZ$7="X",VLOOKUP(CZ$10,'VK-Hooned-Soojus'!$C:$X,2+$C62,FALSE),0)+IF(CZ$6="X",VLOOKUP(CZ$10,'VK-Transport'!$C:$X,2+$B62,0))+IF(CZ$8="X",VLOOKUP(CZ$10,'VK-Elekter'!$C:$X,2+$D62,0))+IF(CZ$9="X",VLOOKUP(CZ$10,'VK-Biokütused'!$C:$U,2+$E62,0))+IF(CZ$5="X",VLOOKUP(CZ$10,'VK-Põlevkivi'!$C:$X,2+$G62,0))+IF(CZ$4="X",VLOOKUP(CZ$10,'VK-Võrgud'!$C:$X,2+$F62,0)))</f>
        <v>74</v>
      </c>
      <c r="DA62" s="209">
        <f>(IF(DA$7="X",VLOOKUP(DA$10,'VK-Hooned-Soojus'!$C:$X,2+$C62,FALSE),0)+IF(DA$6="X",VLOOKUP(DA$10,'VK-Transport'!$C:$X,2+$B62,0))+IF(DA$8="X",VLOOKUP(DA$10,'VK-Elekter'!$C:$X,2+$D62,0))+IF(DA$9="X",VLOOKUP(DA$10,'VK-Biokütused'!$C:$U,2+$E62,0))+IF(DA$5="X",VLOOKUP(DA$10,'VK-Põlevkivi'!$C:$X,2+$G62,0))+IF(DA$4="X",VLOOKUP(DA$10,'VK-Võrgud'!$C:$X,2+$F62,0)))/1000</f>
        <v>14.888</v>
      </c>
      <c r="DB62" s="209">
        <f>(IF(DB$7="X",VLOOKUP(DB$10,'VK-Hooned-Soojus'!$C:$X,2+$C62,FALSE),0)+IF(DB$6="X",VLOOKUP(DB$10,'VK-Transport'!$C:$X,2+$B62,0))+IF(DB$8="X",VLOOKUP(DB$10,'VK-Elekter'!$C:$X,2+$D62,0))+IF(DB$9="X",VLOOKUP(DB$10,'VK-Biokütused'!$C:$U,2+$E62,0))+IF(DB$5="X",VLOOKUP(DB$10,'VK-Põlevkivi'!$C:$X,2+$G62,0))+IF(DB$4="X",VLOOKUP(DB$10,'VK-Võrgud'!$C:$X,2+$F62,0)))/1000/3.6</f>
        <v>66.11944444444444</v>
      </c>
      <c r="DC62" s="209">
        <f>(IF(DC$7="X",VLOOKUP(DC$10,'VK-Hooned-Soojus'!$C:$X,2+$C62,FALSE),0)+IF(DC$6="X",VLOOKUP(DC$10,'VK-Transport'!$C:$X,2+$B62,0))+IF(DC$8="X",VLOOKUP(DC$10,'VK-Elekter'!$C:$X,2+$D62,0))+IF(DC$9="X",VLOOKUP(DC$10,'VK-Biokütused'!$C:$U,2+$E62,0))+IF(DC$5="X",VLOOKUP(DC$10,'VK-Põlevkivi'!$C:$X,2+$G62,0))+IF(DC$4="X",VLOOKUP(DC$10,'VK-Võrgud'!$C:$X,2+$F62,0)))/1000000</f>
        <v>5.2835720000000004</v>
      </c>
      <c r="DD62" s="209"/>
      <c r="DE62" s="88">
        <f>VLOOKUP(Tulemused!$BN$12,data!M$7:N$12,2,FALSE)-SUM(L62,M62)</f>
        <v>-1.9738666666666731</v>
      </c>
      <c r="DF62" s="209" t="str">
        <f>IF(AZ62&lt;=VLOOKUP(Tulemused!$BN$15,data!$E$36:$F$39,2,FALSE),"JAH","EI")</f>
        <v>JAH</v>
      </c>
      <c r="DG62" s="209"/>
      <c r="DH62" s="209">
        <f t="shared" si="38"/>
        <v>6.78</v>
      </c>
      <c r="DI62" s="231" t="str">
        <f t="shared" si="17"/>
        <v>EI</v>
      </c>
      <c r="DK62" s="232">
        <f t="shared" si="39"/>
        <v>-997.18136725403519</v>
      </c>
      <c r="DM62" s="233">
        <f t="shared" si="40"/>
        <v>-993.96272345652346</v>
      </c>
      <c r="DN62" s="87">
        <f t="array" ref="DN62">INDEX($A$11:$A$145, SMALL(IF(DM62=$DK$11:$DK$145, MATCH(ROW($DK$11:$DK$145), ROW($DK$11:$DK$145))), SUM(--(DM62=$DM$11:DM62))))</f>
        <v>98</v>
      </c>
      <c r="DP62" s="87" t="e">
        <f t="shared" ca="1" si="18"/>
        <v>#N/A</v>
      </c>
      <c r="DQ62" s="87" t="e">
        <f t="shared" ca="1" si="19"/>
        <v>#N/A</v>
      </c>
      <c r="DR62" s="87">
        <f t="shared" ca="1" si="20"/>
        <v>0</v>
      </c>
      <c r="DS62" s="87" t="e">
        <f t="shared" ca="1" si="21"/>
        <v>#N/A</v>
      </c>
      <c r="DT62" s="87">
        <f t="shared" ca="1" si="22"/>
        <v>0</v>
      </c>
      <c r="DU62" s="87" t="e">
        <f t="shared" ca="1" si="23"/>
        <v>#N/A</v>
      </c>
      <c r="DV62" s="87" t="e">
        <f t="shared" ca="1" si="24"/>
        <v>#N/A</v>
      </c>
      <c r="DW62" s="87">
        <f t="shared" ca="1" si="25"/>
        <v>0</v>
      </c>
      <c r="DX62" s="87">
        <f t="shared" ca="1" si="26"/>
        <v>0</v>
      </c>
      <c r="DZ62" s="87">
        <f t="shared" ca="1" si="35"/>
        <v>0</v>
      </c>
      <c r="EB62" s="87">
        <f t="shared" ca="1" si="27"/>
        <v>0</v>
      </c>
      <c r="EC62" s="87" t="e">
        <f t="shared" ca="1" si="28"/>
        <v>#N/A</v>
      </c>
      <c r="EE62" s="228">
        <f>(IF(EE$7="X",VLOOKUP(EE$10,'VK-Hooned-Soojus'!$C:$X,2+$C62,FALSE),0)+IF(EE$6="X",VLOOKUP(EE$10,'VK-Transport'!$C:$X,2+$B62,0))+IF(EE$8="X",VLOOKUP(EE$10,'VK-Elekter'!$C:$X,2+$D62,0))+IF(EE$9="X",VLOOKUP(EE$10,'VK-Biokütused'!$C:$U,2+$E62,0))+IF(EE$5="X",VLOOKUP(EE$10,'VK-Põlevkivi'!$C:$X,2+$G62,0))+IF(EE$4="X",VLOOKUP(EE$10,'VK-Võrgud'!$C:$X,2+$F62,0)))</f>
        <v>5489.2698621090003</v>
      </c>
      <c r="EF62" s="235">
        <f>(IF(EF$7="X",VLOOKUP(EF$10,'VK-Hooned-Soojus'!$C:$X,2+$C62,FALSE),0)+IF(EF$6="X",VLOOKUP(EF$10,'VK-Transport'!$C:$X,2+$B62,0))+IF(EF$8="X",VLOOKUP(EF$10,'VK-Elekter'!$C:$X,2+$D62,0))+IF(EF$9="X",VLOOKUP(EF$10,'VK-Biokütused'!$C:$U,2+$E62,0)))/1000</f>
        <v>5.3823823271229703</v>
      </c>
      <c r="EG62" s="209">
        <f>(IF(EG$7="X",VLOOKUP(EG$10,'VK-Hooned-Soojus'!$C:$X,2+$C62,FALSE),0)+IF(EG$6="X",VLOOKUP(EG$10,'VK-Transport'!$C:$X,2+$B62,0))+IF(EG$8="X",VLOOKUP(EG$10,'VK-Elekter'!$C:$X,2+$D62,0))+IF(EG$9="X",VLOOKUP(EG$10,'VK-Biokütused'!$C:$U,2+$E62,0))+IF(EG$5="X",VLOOKUP(EG$10,'VK-Põlevkivi'!$C:$X,2+$G62,0))+IF(EG$4="X",VLOOKUP(EG$10,'VK-Võrgud'!$C:$X,2+$F62,0)))</f>
        <v>2.95</v>
      </c>
      <c r="EH62" s="209">
        <f>(IF(EH$7="X",VLOOKUP(EH$10,'VK-Hooned-Soojus'!$C:$X,2+$C62,FALSE),0)+IF(EH$6="X",VLOOKUP(EH$10,'VK-Transport'!$C:$X,2+$B62,0))+IF(EH$8="X",VLOOKUP(EH$10,'VK-Elekter'!$C:$X,2+$D62,0))+IF(EH$9="X",VLOOKUP(EH$10,'VK-Biokütused'!$C:$U,2+$E62,0)))+AR62+AS62+AU62+AX62</f>
        <v>55.234399224806197</v>
      </c>
      <c r="EI62" s="320">
        <f t="shared" si="41"/>
        <v>50.550678294573636</v>
      </c>
      <c r="EJ62" s="322">
        <f t="shared" si="42"/>
        <v>7.7574305520047349E-2</v>
      </c>
      <c r="EK62" s="323">
        <f t="shared" si="29"/>
        <v>0.45353675847892722</v>
      </c>
      <c r="EM62" s="209"/>
      <c r="EN62" s="209">
        <f t="shared" ca="1" si="43"/>
        <v>0</v>
      </c>
      <c r="EO62" s="209"/>
      <c r="EP62" s="234"/>
      <c r="EQ62" s="209">
        <f>(IF(EQ$7="X",VLOOKUP(EQ$10,'VK-Hooned-Soojus'!$C:$X,2+$C62,FALSE),0)+IF(EQ$6="X",VLOOKUP(EQ$10,'VK-Transport'!$C:$X,2+$B62,0))+IF(EQ$8="X",VLOOKUP(EQ$10,'VK-Elekter'!$C:$X,2+$D62,0))+IF(EQ$9="X",VLOOKUP(EQ$10,'VK-Biokütused'!$C:$U,2+$E62,0))+IF(EQ$5="X",VLOOKUP(EQ$10,'VK-Põlevkivi'!$C:$X,2+$G62,0))+IF(EQ$4="X",VLOOKUP(EQ$10,'VK-Võrgud'!$C:$X,2+$F62,0)))/1000</f>
        <v>0.22900000000000001</v>
      </c>
      <c r="ER62" s="209">
        <f>(IF(ER$7="X",VLOOKUP(ER$10,'VK-Hooned-Soojus'!$C:$X,2+$C62,FALSE),0)+IF(ER$6="X",VLOOKUP(ER$10,'VK-Transport'!$C:$X,2+$B62,0))+IF(ER$8="X",VLOOKUP(ER$10,'VK-Elekter'!$C:$X,2+$D62,0))+IF(ER$9="X",VLOOKUP(ER$10,'VK-Biokütused'!$C:$U,2+$E62,0))+IF(ER$5="X",VLOOKUP(ER$10,'VK-Põlevkivi'!$C:$X,2+$G62,0))+IF(ER$4="X",VLOOKUP(ER$10,'VK-Võrgud'!$C:$X,2+$F62,0)))</f>
        <v>0.82899999999999996</v>
      </c>
      <c r="ES62" s="209">
        <f>(IF(ES$7="X",VLOOKUP(ES$10,'VK-Hooned-Soojus'!$C:$X,2+$C62,FALSE),0)+IF(ES$6="X",VLOOKUP(ES$10,'VK-Transport'!$C:$X,2+$B62,0))+IF(ES$8="X",VLOOKUP(ES$10,'VK-Elekter'!$C:$X,2+$D62,0))+IF(ES$9="X",VLOOKUP(ES$10,'VK-Biokütused'!$C:$U,2+$E62,0))+IF(ES$5="X",VLOOKUP(ES$10,'VK-Põlevkivi'!$C:$X,2+$G62,0))+IF(ES$4="X",VLOOKUP(ES$10,'VK-Võrgud'!$C:$X,2+$F62,0)))</f>
        <v>6.78</v>
      </c>
      <c r="ET62" s="209"/>
      <c r="EU62" s="209"/>
      <c r="EV62" s="87">
        <f>'KSH järjestus'!AS55</f>
        <v>1894</v>
      </c>
      <c r="EX62" s="236"/>
      <c r="EY62" s="236"/>
      <c r="EZ62" s="237">
        <f t="shared" si="44"/>
        <v>6.6265060240963902E-2</v>
      </c>
      <c r="FA62" s="209">
        <f>IF(FA$7="X",VLOOKUP(FA$10,'VK-Hooned-Soojus'!$C:$X,2+$C62,FALSE),0)+IF(FA$6="X",VLOOKUP(FA$10,'VK-Transport'!$C:$X,2+$B62,0))+IF(FA$8="X",VLOOKUP(FA$10,'VK-Elekter'!$C:$X,2+$D62,0))+IF(FA$9="X",VLOOKUP(FA$10,'VK-Biokütused'!$C:$U,2+$E62,0))+IF(FA$5="X",VLOOKUP(FA$10,'VK-Põlevkivi'!$C:$X,2+$G62,0))+IF(FA$4="X",VLOOKUP(FA$10,'VK-Võrgud'!$C:$X,2+$F62,0))</f>
        <v>3123.346</v>
      </c>
      <c r="FB62" s="279">
        <f>(IF(FB$7="X",VLOOKUP(FB$10,'VK-Hooned-Soojus'!$C:$X,2+$C62,FALSE),0)+IF(FB$6="X",VLOOKUP(FB$10,'VK-Transport'!$C:$X,2+$B62,0))+IF(FB$8="X",VLOOKUP(FB$10,'VK-Elekter'!$C:$X,2+$D62,0))+IF(FB$9="X",VLOOKUP(FB$10,'VK-Biokütused'!$C:$U,2+$E62,0))+IF(FB$5="X",VLOOKUP(FB$10,'VK-Põlevkivi'!$C:$X,2+$G62,0))+IF(FB$4="X",VLOOKUP(FB$10,'VK-Võrgud'!$C:$X,2+$F62,0)))/16</f>
        <v>209.53199820562867</v>
      </c>
      <c r="FC62" s="209">
        <f>IF(FC$7="X",VLOOKUP(FC$10,'VK-Hooned-Soojus'!$C:$X,2+$C62,FALSE),0)+IF(FC$6="X",VLOOKUP(FC$10,'VK-Transport'!$C:$X,2+$B62,0))+IF(FC$8="X",VLOOKUP(FC$10,'VK-Elekter'!$C:$X,2+$D62,0))+IF(FC$9="X",VLOOKUP(FC$10,'VK-Biokütused'!$C:$U,2+$E62,0))+IF(FC$5="X",VLOOKUP(FC$10,'VK-Põlevkivi'!$C:$X,2+$G62,0))+IF(FC$4="X",VLOOKUP(FC$10,'VK-Võrgud'!$C:$X,2+$F62,0))</f>
        <v>327.54999999999995</v>
      </c>
      <c r="FD62" s="209">
        <f>(IF(FD$7="X",VLOOKUP(FD$10,'VK-Hooned-Soojus'!$C:$X,2+$C62,FALSE),0)+IF(FD$6="X",VLOOKUP(FD$10,'VK-Transport'!$C:$X,2+$B62,0))+IF(FD$8="X",VLOOKUP(FD$10,'VK-Elekter'!$C:$X,2+$D62,0))+IF(FD$9="X",VLOOKUP(FD$10,'VK-Biokütused'!$C:$U,2+$E62,0))+IF(FD$5="X",VLOOKUP(FD$10,'VK-Põlevkivi'!$C:$X,2+$G62,0))+IF(FD$4="X",VLOOKUP(FD$10,'VK-Võrgud'!$C:$X,2+$F62,0)))/16</f>
        <v>209.53199820562867</v>
      </c>
      <c r="FE62" s="209">
        <f>(IF(FE$7="X",VLOOKUP(FE$10,'VK-Hooned-Soojus'!$C:$X,2+$C62,FALSE),0)+IF(FE$6="X",VLOOKUP(FE$10,'VK-Transport'!$C:$X,2+$B62,0))+IF(FE$8="X",VLOOKUP(FE$10,'VK-Elekter'!$C:$X,2+$D62,0))+IF(FE$9="X",VLOOKUP(FE$10,'VK-Biokütused'!$C:$U,2+$E62,0))+IF(FE$5="X",VLOOKUP(FE$10,'VK-Põlevkivi'!$C:$X,2+$G62,0))+IF(FE$4="X",VLOOKUP(FE$10,'VK-Võrgud'!$C:$X,2+$F62,0)))/16</f>
        <v>-25.081250000000001</v>
      </c>
      <c r="FF62" s="209">
        <f>(IF(FF$7="X",VLOOKUP(FF$10,'VK-Hooned-Soojus'!$C:$X,2+$C62,FALSE),0)+IF(FF$6="X",VLOOKUP(FF$10,'VK-Transport'!$C:$X,2+$B62,0))+IF(FF$8="X",VLOOKUP(FF$10,'VK-Elekter'!$C:$X,2+$D62,0))+IF(FF$9="X",VLOOKUP(FF$10,'VK-Biokütused'!$C:$U,2+$E62,0))+IF(FF$5="X",VLOOKUP(FF$10,'VK-Põlevkivi'!$C:$X,2+$G62,0))+IF(FF$4="X",VLOOKUP(FF$10,'VK-Võrgud'!$C:$X,2+$F62,0)))/16</f>
        <v>90.019608904091228</v>
      </c>
      <c r="FG62" s="88">
        <f t="shared" ca="1" si="30"/>
        <v>64.938358904091231</v>
      </c>
      <c r="FH62" s="88"/>
      <c r="FI62" s="88"/>
      <c r="FJ62" s="88">
        <f>VLOOKUP(Tulemused!$BN$12,data!M$7:N$12,2,FALSE)-SUM(L62,M62)</f>
        <v>-1.9738666666666731</v>
      </c>
      <c r="FK62" s="209" t="str">
        <f>IF(AZ62&lt;=VLOOKUP(Tulemused!$BN$15,data!$E$36:$F$39,2,FALSE),"JAH","EI")</f>
        <v>JAH</v>
      </c>
      <c r="FL62" s="235">
        <f ca="1">IF(ISNA(MATCH($A62,INDIRECT(VLOOKUP(Tulemused!$BF$11,data!$J$57:$M$71,4,FALSE)))),0,MATCH($A62,INDIRECT(VLOOKUP(Tulemused!$BF$11,data!$J$57:$M$71,4,FALSE))))</f>
        <v>0</v>
      </c>
      <c r="FM62" s="235" t="str">
        <f t="shared" ca="1" si="45"/>
        <v>JAH</v>
      </c>
      <c r="FN62" s="209">
        <f>VLOOKUP(Tulemused!$BN$13,data!$C$132:$D$137,2,FALSE)-KOMBI!R62</f>
        <v>3.5415876728770304</v>
      </c>
      <c r="FO62" s="209"/>
      <c r="FP62" s="209">
        <f>VLOOKUP(Tulemused!$BN$17,NO_x,2,FALSE)-CJ62</f>
        <v>10.334138900569414</v>
      </c>
      <c r="FQ62" s="209">
        <f>VLOOKUP(Tulemused!$BN$18,SO_2,2,FALSE)-CK62</f>
        <v>39.079675362099991</v>
      </c>
      <c r="FR62" s="209">
        <f>VLOOKUP(Tulemused!$BN$19,LOU,2,FALSE)-CN62</f>
        <v>33.912000000000006</v>
      </c>
      <c r="FS62" s="209">
        <f>VLOOKUP(Tulemused!$BN$20,PM_2.5,2,FALSE)-CM62</f>
        <v>8.3696843205528957</v>
      </c>
      <c r="FT62" s="209">
        <f>VLOOKUP(Tulemused!$BN$13,data!$C$132:$D$137,2,FALSE)-FA62/1000</f>
        <v>3.1226240000000005</v>
      </c>
      <c r="FU62" s="209">
        <f>VLOOKUP(Tulemused!$BN$17,NO_x,2,FALSE)-CO62</f>
        <v>5.0484247892027199</v>
      </c>
      <c r="FV62" s="209">
        <f>VLOOKUP(Tulemused!$BN$18,SO_2,2,FALSE)-CP62</f>
        <v>38.060005169650175</v>
      </c>
      <c r="FW62" s="209">
        <f>VLOOKUP(Tulemused!$BN$19,LOU,2,FALSE)-CS62</f>
        <v>33.215665509940173</v>
      </c>
      <c r="FX62" s="209">
        <f>VLOOKUP(Tulemused!$BN$20,PM_2.5,2,FALSE)-CR62</f>
        <v>8.8219127215424233</v>
      </c>
      <c r="FY62" s="209">
        <f>VLOOKUP(Tulemused!$BN$14,KHG_2050,2,FALSE)-EF62</f>
        <v>94.617617672877032</v>
      </c>
      <c r="FZ62" s="231" t="str">
        <f t="shared" ca="1" si="31"/>
        <v>EI</v>
      </c>
      <c r="GA62" s="209"/>
      <c r="GB62" s="209"/>
      <c r="GC62" s="209"/>
      <c r="GD62" s="231"/>
      <c r="GE62" s="87">
        <f t="shared" si="46"/>
        <v>1894</v>
      </c>
      <c r="GF62" s="232" t="str">
        <f t="shared" ca="1" si="32"/>
        <v/>
      </c>
      <c r="GH62" s="238" t="e">
        <f t="shared" ca="1" si="47"/>
        <v>#NUM!</v>
      </c>
      <c r="GI62" s="87" t="e">
        <f t="array" aca="1" ref="GI62" ca="1">INDEX($A$11:$A$145, SMALL(IF(GH62=$GF$11:$GF$145, MATCH(ROW($GF$11:$GF$145), ROW($GF$11:$GF$145))), SUM(--(GH62=$GH$11:GH62))))</f>
        <v>#NUM!</v>
      </c>
      <c r="GM62" s="209">
        <f>IF(GM$7="X",VLOOKUP(GM$10,'VK-Hooned-Soojus'!$C:$X,2+$C62,FALSE),0)+IF(GM$6="X",VLOOKUP(GM$10,'VK-Transport'!$C:$X,2+$B62,0))+IF(GM$8="X",VLOOKUP(GM$10,'VK-Elekter'!$C:$X,2+$D62,0))+IF(GM$9="X",VLOOKUP(GM$10,'VK-Biokütused'!$C:$U,2+$E62,0))+IF(GM$5="X",VLOOKUP(GM$10,'VK-Põlevkivi'!$C:$X,2+$G62,0))+IF(GM$4="X",VLOOKUP(GM$10,'VK-Võrgud'!$C:$X,2+$F62,0))</f>
        <v>6.011750640646909</v>
      </c>
      <c r="GN62" s="209">
        <f>IF(GN$7="X",VLOOKUP(GN$10,'VK-Hooned-Soojus'!$C:$X,2+$C62,FALSE),0)+IF(GN$6="X",VLOOKUP(GN$10,'VK-Transport'!$C:$X,2+$B62,0))+IF(GN$8="X",VLOOKUP(GN$10,'VK-Elekter'!$C:$X,2+$D62,0))+IF(GN$9="X",VLOOKUP(GN$10,'VK-Biokütused'!$C:$U,2+$E62,0))+IF(GN$5="X",VLOOKUP(GN$10,'VK-Põlevkivi'!$C:$X,2+$G62,0))+IF(GN$4="X",VLOOKUP(GN$10,'VK-Võrgud'!$C:$X,2+$F62,0))</f>
        <v>3.4528686473995491</v>
      </c>
      <c r="GO62" s="209">
        <f>IF(GO$7="X",VLOOKUP(GO$10,'VK-Hooned-Soojus'!$C:$X,2+$C62,FALSE),0)+IF(GO$6="X",VLOOKUP(GO$10,'VK-Transport'!$C:$X,2+$B62,0))+IF(GO$8="X",VLOOKUP(GO$10,'VK-Elekter'!$C:$X,2+$D62,0))+IF(GO$9="X",VLOOKUP(GO$10,'VK-Biokütused'!$C:$U,2+$E62,0))+IF(GO$5="X",VLOOKUP(GO$10,'VK-Põlevkivi'!$C:$X,2+$G62,0))+IF(GO$4="X",VLOOKUP(GO$10,'VK-Võrgud'!$C:$X,2+$F62,0))</f>
        <v>8.7471755658278116</v>
      </c>
      <c r="GP62" s="209">
        <f>IF(GP$7="X",VLOOKUP(GP$10,'VK-Hooned-Soojus'!$C:$X,2+$C62,FALSE),0)+IF(GP$6="X",VLOOKUP(GP$10,'VK-Transport'!$C:$X,2+$B62,0))+IF(GP$8="X",VLOOKUP(GP$10,'VK-Elekter'!$C:$X,2+$D62,0))+IF(GP$9="X",VLOOKUP(GP$10,'VK-Biokütused'!$C:$U,2+$E62,0))+IF(GP$5="X",VLOOKUP(GP$10,'VK-Põlevkivi'!$C:$X,2+$G62,0))+IF(GP$4="X",VLOOKUP(GP$10,'VK-Võrgud'!$C:$X,2+$F62,0))</f>
        <v>9.3279335818485372</v>
      </c>
      <c r="GQ62" s="88">
        <f>IF(GQ$7="X",VLOOKUP(GQ$10,'VK-Hooned-Soojus'!$C:$X,2+$C62,FALSE),0)+IF(GQ$6="X",VLOOKUP(GQ$10,'VK-Transport'!$C:$X,2+$B62,0))+IF(GQ$8="X",VLOOKUP(GQ$10,'VK-Elekter'!$C:$X,2+$D62,0))+IF(GQ$9="X",VLOOKUP(GQ$10,'VK-Biokütused'!$C:$U,2+$E62,0))+IF(GQ$5="X",VLOOKUP(GQ$10,'VK-Põlevkivi'!$C:$X,2+$G62,0))+IF(GQ$4="X",VLOOKUP(GQ$10,'VK-Võrgud'!$C:$X,2+$F62,0))</f>
        <v>0.90618397335647782</v>
      </c>
      <c r="GR62" s="186">
        <f t="shared" si="33"/>
        <v>0.3932288700231153</v>
      </c>
    </row>
    <row r="63" spans="1:200" x14ac:dyDescent="0.2">
      <c r="A63" s="184">
        <v>53</v>
      </c>
      <c r="B63" s="87">
        <v>2</v>
      </c>
      <c r="C63" s="87">
        <v>1</v>
      </c>
      <c r="D63" s="87">
        <v>3</v>
      </c>
      <c r="E63" s="87">
        <v>2</v>
      </c>
      <c r="F63" s="87">
        <f>VLOOKUP(Tulemused!$BF$7,data!$J$6:$K$8,2,FALSE)</f>
        <v>2</v>
      </c>
      <c r="G63" s="87">
        <f>VLOOKUP(data!$H$2,data!$J$12:$K$14,2,FALSE)</f>
        <v>2</v>
      </c>
      <c r="I63" s="209">
        <f>IF(I$7="X",VLOOKUP(I$10,'VK-Hooned-Soojus'!$C:$X,2+$C63,FALSE),0)+IF(I$6="X",VLOOKUP(I$10,'VK-Transport'!$C:$X,2+$B63,0))+IF(I$8="X",VLOOKUP(I$10,'VK-Elekter'!$C:$X,2+$D63,0))+IF(I$9="X",VLOOKUP(I$10,'VK-Biokütused'!$C:$U,2+$E63,0))+IF(I$5="X",VLOOKUP(I$10,'VK-Põlevkivi'!$C:$X,2+$G63,0))+IF(I$4="X",VLOOKUP(I$10,'VK-Võrgud'!$C:$X,2+$F63,0))</f>
        <v>26.89</v>
      </c>
      <c r="J63" s="209">
        <f>IF(J$7="X",VLOOKUP(J$10,'VK-Hooned-Soojus'!$C:$X,2+$C63,FALSE),0)+IF(J$6="X",VLOOKUP(J$10,'VK-Transport'!$C:$X,2+$B63,0))+IF(J$8="X",VLOOKUP(J$10,'VK-Elekter'!$C:$X,2+$D63,0))+IF(J$9="X",VLOOKUP(J$10,'VK-Biokütused'!$C:$U,2+$E63,0))+IF(J$5="X",VLOOKUP(J$10,'VK-Põlevkivi'!$C:$X,2+$G63,0))+IF(J$4="X",VLOOKUP(J$10,'VK-Võrgud'!$C:$X,2+$F63,0))</f>
        <v>11.138055555555555</v>
      </c>
      <c r="K63" s="209">
        <f>IF(K$7="X",VLOOKUP(K$10,'VK-Hooned-Soojus'!$C:$X,2+$C63,FALSE),0)+IF(K$6="X",VLOOKUP(K$10,'VK-Transport'!$C:$X,2+$B63,0))+IF(K$8="X",VLOOKUP(K$10,'VK-Elekter'!$C:$X,2+$D63,0))+IF(K$9="X",VLOOKUP(K$10,'VK-Biokütused'!$C:$U,2+$E63,0))+IF(K$5="X",VLOOKUP(K$10,'VK-Põlevkivi'!$C:$X,2+$G63,0))+IF(K$4="X",VLOOKUP(K$10,'VK-Võrgud'!$C:$X,2+$F63,0))</f>
        <v>16.75</v>
      </c>
      <c r="L63" s="209">
        <f>IF(L$7="X",VLOOKUP(L$10,'VK-Hooned-Soojus'!$C:$X,2+$C63,FALSE),0)+IF(L$6="X",VLOOKUP(L$10,'VK-Transport'!$C:$X,2+$B63,0))+IF(L$8="X",VLOOKUP(L$10,'VK-Elekter'!$C:$X,2+$D63,0))+IF(L$9="X",VLOOKUP(L$10,'VK-Biokütused'!$C:$U,2+$E63,0))+IF(L$5="X",VLOOKUP(L$10,'VK-Põlevkivi'!$C:$X,2+$G63,0))+IF(L$4="X",VLOOKUP(L$10,'VK-Võrgud'!$C:$X,2+$F63,0))</f>
        <v>24.95</v>
      </c>
      <c r="M63" s="209">
        <f>IF(M$7="X",VLOOKUP(M$10,'VK-Hooned-Soojus'!$C:$X,2+$C63,FALSE),0)+IF(M$6="X",VLOOKUP(M$10,'VK-Transport'!$C:$X,2+$B63,0))+IF(M$8="X",VLOOKUP(M$10,'VK-Elekter'!$C:$X,2+$D63,0))+IF(M$9="X",VLOOKUP(M$10,'VK-Biokütused'!$C:$U,2+$E63,0))+IF(M$5="X",VLOOKUP(M$10,'VK-Põlevkivi'!$C:$X,2+$G63,0))+IF(M$4="X",VLOOKUP(M$10,'VK-Võrgud'!$C:$X,2+$F63,0))</f>
        <v>9.8566666666666674</v>
      </c>
      <c r="N63" s="209">
        <f>IF(N$7="X",VLOOKUP(N$10,'VK-Hooned-Soojus'!$C:$X,2+$C63,FALSE),0)+IF(N$6="X",VLOOKUP(N$10,'VK-Transport'!$C:$X,2+$B63,0))+IF(N$8="X",VLOOKUP(N$10,'VK-Elekter'!$C:$X,2+$D63,0))+IF(N$9="X",VLOOKUP(N$10,'VK-Biokütused'!$C:$U,2+$E63,0))+IF(N$5="X",VLOOKUP(N$10,'VK-Põlevkivi'!$C:$X,2+$G63,0))+IF(N$4="X",VLOOKUP(N$10,'VK-Võrgud'!$C:$X,2+$F63,0))</f>
        <v>16.75</v>
      </c>
      <c r="O63" s="209">
        <f t="shared" si="13"/>
        <v>38.028055555555554</v>
      </c>
      <c r="P63" s="209"/>
      <c r="Q63" s="209">
        <f>(IF(Q$7="X",VLOOKUP(Q$10,'VK-Hooned-Soojus'!$C:$X,2+$C63,FALSE),0)+IF(Q$6="X",VLOOKUP(Q$10,'VK-Transport'!$C:$X,2+$B63,0))+IF(Q$8="X",VLOOKUP(Q$10,'VK-Elekter'!$C:$X,2+$D63,0))+IF(Q$9="X",VLOOKUP(Q$10,'VK-Biokütused'!$C:$U,2+$E63,0))+IF(Q$5="X",VLOOKUP(Q$10,'VK-Põlevkivi'!$C:$X,2+$G63,0))+IF(Q$4="X",VLOOKUP(Q$10,'VK-Võrgud'!$C:$X,2+$F63,0)))/1000</f>
        <v>5.33</v>
      </c>
      <c r="R63" s="209">
        <f>(IF(R$7="X",VLOOKUP(R$10,'VK-Hooned-Soojus'!$C:$X,2+$C63,FALSE),0)+IF(R$6="X",VLOOKUP(R$10,'VK-Transport'!$C:$X,2+$B63,0))+IF(R$8="X",VLOOKUP(R$10,'VK-Elekter'!$C:$X,2+$D63,0))+IF(R$9="X",VLOOKUP(R$10,'VK-Biokütused'!$C:$U,2+$E63,0))+IF(R$5="X",VLOOKUP(R$10,'VK-Põlevkivi'!$C:$X,2+$G63,0))+IF(R$4="X",VLOOKUP(R$10,'VK-Võrgud'!$C:$X,2+$F63,0)))/1000</f>
        <v>3.0818823271229703</v>
      </c>
      <c r="S63" s="226">
        <f>VLOOKUP(S$10,'VK-Hooned-Soojus'!$C:$I,2+$C63,FALSE) + VLOOKUP(S$10,'VK-Transport'!$C:$I,2+$B63,FALSE)+ VLOOKUP(S$10,'VK-Biokütused'!$C:$G,2+$E63,FALSE)+ VLOOKUP(S$10,'VK-Elekter'!$C:$I,2+$D63,FALSE)+ VLOOKUP(S$10,'VK-Põlevkivi'!$C:$I,2+$G63,FALSE)+ VLOOKUP(S$10,'VK-Võrgud'!$C:$I,2+$F63,FALSE)</f>
        <v>1.472364495045151E-2</v>
      </c>
      <c r="T63" s="226">
        <f>VLOOKUP(T$10,'VK-Hooned-Soojus'!$C:$I,2+$C63,FALSE) + VLOOKUP(T$10,'VK-Transport'!$C:$I,2+$B63,FALSE)+ VLOOKUP(T$10,'VK-Biokütused'!$C:$G,2+$E63,FALSE)+ VLOOKUP(T$10,'VK-Elekter'!$C:$I,2+$D63,FALSE)+ VLOOKUP(T$10,'VK-Põlevkivi'!$C:$I,2+$G63,FALSE)+ VLOOKUP(T$10,'VK-Võrgud'!$C:$I,2+$F63,FALSE)</f>
        <v>-5.8649446540566964E-4</v>
      </c>
      <c r="U63" s="226">
        <f>VLOOKUP(U$10,'VK-Hooned-Soojus'!$C:$I,2+$C63,FALSE) + VLOOKUP(U$10,'VK-Transport'!$C:$I,2+$B63,FALSE)+ VLOOKUP(U$10,'VK-Biokütused'!$C:$G,2+$E63,FALSE)+ VLOOKUP(U$10,'VK-Elekter'!$C:$I,2+$D63,FALSE)+ VLOOKUP(U$10,'VK-Põlevkivi'!$C:$I,2+$G63,FALSE)+ VLOOKUP(U$10,'VK-Võrgud'!$C:$I,2+$F63,FALSE)</f>
        <v>5.9772871491460822E-3</v>
      </c>
      <c r="V63" s="226">
        <f>VLOOKUP(V$10,'VK-Hooned-Soojus'!$C:$I,2+$C63,FALSE) + VLOOKUP(V$10,'VK-Transport'!$C:$I,2+$B63,FALSE)+ VLOOKUP(V$10,'VK-Biokütused'!$C:$G,2+$E63,FALSE)+ VLOOKUP(V$10,'VK-Elekter'!$C:$I,2+$D63,FALSE)+ VLOOKUP(V$10,'VK-Põlevkivi'!$C:$I,2+$G63,FALSE)+ VLOOKUP(V$10,'VK-Võrgud'!$C:$I,2+$F63,FALSE)</f>
        <v>8.8233112536597828E-3</v>
      </c>
      <c r="W63" s="226">
        <f>VLOOKUP(W$10,'VK-Hooned-Soojus'!$C:$I,2+$C63,FALSE) + VLOOKUP(W$10,'VK-Transport'!$C:$I,2+$B63,FALSE)+ VLOOKUP(W$10,'VK-Biokütused'!$C:$G,2+$E63,FALSE)+ VLOOKUP(W$10,'VK-Elekter'!$C:$I,2+$D63,FALSE)+ VLOOKUP(W$10,'VK-Põlevkivi'!$C:$I,2+$G63,FALSE)+ VLOOKUP(W$10,'VK-Võrgud'!$C:$I,2+$F63,FALSE)</f>
        <v>-1.1530309409316559E-2</v>
      </c>
      <c r="X63" s="226">
        <f>VLOOKUP(X$10,'VK-Hooned-Soojus'!$C:$I,2+$C63,FALSE) + VLOOKUP(X$10,'VK-Transport'!$C:$I,2+$B63,FALSE)+ VLOOKUP(X$10,'VK-Biokütused'!$C:$G,2+$E63,FALSE)+ VLOOKUP(X$10,'VK-Elekter'!$C:$I,2+$D63,FALSE)+ VLOOKUP(X$10,'VK-Põlevkivi'!$C:$I,2+$G63,FALSE)+ VLOOKUP(X$10,'VK-Võrgud'!$C:$I,2+$F63,FALSE)</f>
        <v>-1.9767932987670336E-2</v>
      </c>
      <c r="Y63" s="226">
        <f>VLOOKUP(Y$10,'VK-Hooned-Soojus'!$C:$I,2+$C63,FALSE) + VLOOKUP(Y$10,'VK-Transport'!$C:$I,2+$B63,FALSE)+ VLOOKUP(Y$10,'VK-Biokütused'!$C:$G,2+$E63,FALSE)+ VLOOKUP(Y$10,'VK-Elekter'!$C:$I,2+$D63,FALSE)+ VLOOKUP(Y$10,'VK-Põlevkivi'!$C:$I,2+$G63,FALSE)+ VLOOKUP(Y$10,'VK-Võrgud'!$C:$I,2+$F63,FALSE)</f>
        <v>-2.264650888061686E-2</v>
      </c>
      <c r="Z63" s="227">
        <f>(S63*Tulemused!$Q$9*10+T63*Tulemused!$Q$10*10+KOMBI!U63*Tulemused!$Q$11*10+KOMBI!V63*Tulemused!$Q$12*10)*Tulemused!$Q$8+-(W63*Tulemused!$Q$14*10+KOMBI!X63*Tulemused!$Q$15*10+KOMBI!Y63*Tulemused!$Q$16*10)*Tulemused!$Q$13</f>
        <v>3.7345443946106731</v>
      </c>
      <c r="AA63" s="228">
        <f>(IF(AA$7="X",VLOOKUP(AA$10,'VK-Hooned-Soojus'!$C:$X,2+$C63,FALSE),0)+IF(AA$6="X",VLOOKUP(AA$10,'VK-Transport'!$C:$X,2+$B63,0))+IF(AA$8="X",VLOOKUP(AA$10,'VK-Elekter'!$C:$X,2+$D63,0))+IF(AA$9="X",VLOOKUP(AA$10,'VK-Biokütused'!$C:$U,2+$E63,0))+IF(AA$5="X",VLOOKUP(AA$10,'VK-Põlevkivi'!$C:$X,2+$G63,0))+IF(AA$4="X",VLOOKUP(AA$10,'VK-Võrgud'!$C:$X,2+$F63,0)))</f>
        <v>3728</v>
      </c>
      <c r="AB63" s="228">
        <f>(IF(AB$7="X",VLOOKUP(AB$10,'VK-Hooned-Soojus'!$C:$X,2+$C63,FALSE),0)+IF(AB$6="X",VLOOKUP(AB$10,'VK-Transport'!$C:$X,2+$B63,0))+IF(AB$8="X",VLOOKUP(AB$10,'VK-Elekter'!$C:$X,2+$D63,0))+IF(AB$9="X",VLOOKUP(AB$10,'VK-Biokütused'!$C:$U,2+$E63,0))+IF(AB$5="X",VLOOKUP(AB$10,'VK-Põlevkivi'!$C:$X,2+$G63,0))+IF(AB$4="X",VLOOKUP(AB$10,'VK-Võrgud'!$C:$X,2+$F63,0)))</f>
        <v>1602</v>
      </c>
      <c r="AC63" s="228">
        <f>(IF(AC$7="X",VLOOKUP(AC$10,'VK-Hooned-Soojus'!$C:$X,2+$C63,FALSE),0)+IF(AC$6="X",VLOOKUP(AC$10,'VK-Transport'!$C:$X,2+$B63,0))+IF(AC$8="X",VLOOKUP(AC$10,'VK-Elekter'!$C:$X,2+$D63,0))+IF(AC$9="X",VLOOKUP(AC$10,'VK-Biokütused'!$C:$U,2+$E63,0))+IF(AC$5="X",VLOOKUP(AC$10,'VK-Põlevkivi'!$C:$X,2+$G63,0))+IF(AC$4="X",VLOOKUP(AC$10,'VK-Võrgud'!$C:$X,2+$F63,0)))</f>
        <v>2346</v>
      </c>
      <c r="AD63" s="228">
        <f>(IF(AD$7="X",VLOOKUP(AD$10,'VK-Hooned-Soojus'!$C:$X,2+$C63,FALSE),0)+IF(AD$6="X",VLOOKUP(AD$10,'VK-Transport'!$C:$X,2+$B63,0))+IF(AD$8="X",VLOOKUP(AD$10,'VK-Elekter'!$C:$X,2+$D63,0))+IF(AD$9="X",VLOOKUP(AD$10,'VK-Biokütused'!$C:$U,2+$E63,0))+IF(AD$5="X",VLOOKUP(AD$10,'VK-Põlevkivi'!$C:$X,2+$G63,0))+IF(AD$4="X",VLOOKUP(AD$10,'VK-Võrgud'!$C:$X,2+$F63,0)))</f>
        <v>377.5</v>
      </c>
      <c r="AE63" s="228">
        <f>(IF(AE$7="X",VLOOKUP(AE$10,'VK-Hooned-Soojus'!$C:$X,2+$C63,FALSE),0)+IF(AE$6="X",VLOOKUP(AE$10,'VK-Transport'!$C:$X,2+$B63,0))+IF(AE$8="X",VLOOKUP(AE$10,'VK-Elekter'!$C:$X,2+$D63,0))+IF(AE$9="X",VLOOKUP(AE$10,'VK-Biokütused'!$C:$U,2+$E63,0))+IF(AE$5="X",VLOOKUP(AE$10,'VK-Põlevkivi'!$C:$X,2+$G63,0))+IF(AE$4="X",VLOOKUP(AE$10,'VK-Võrgud'!$C:$X,2+$F63,0)))</f>
        <v>812</v>
      </c>
      <c r="AF63" s="228">
        <f>(IF(AF$7="X",VLOOKUP(AF$10,'VK-Hooned-Soojus'!$C:$X,2+$C63,FALSE),0)+IF(AF$6="X",VLOOKUP(AF$10,'VK-Transport'!$C:$X,2+$B63,0))+IF(AF$8="X",VLOOKUP(AF$10,'VK-Elekter'!$C:$X,2+$D63,0))+IF(AF$9="X",VLOOKUP(AF$10,'VK-Biokütused'!$C:$U,2+$E63,0))+IF(AF$5="X",VLOOKUP(AF$10,'VK-Põlevkivi'!$C:$X,2+$G63,0))+IF(AF$4="X",VLOOKUP(AF$10,'VK-Võrgud'!$C:$X,2+$F63,0)))</f>
        <v>1892.3823271229701</v>
      </c>
      <c r="AG63" s="209"/>
      <c r="AH63" s="209">
        <f>IF(AH$7="X",VLOOKUP(AH$10,'VK-Hooned-Soojus'!$C:$X,2+$C63,FALSE),0)+IF(AH$6="X",VLOOKUP(AH$10,'VK-Transport'!$C:$X,2+$B63,0))+IF(AH$8="X",VLOOKUP(AH$10,'VK-Elekter'!$C:$X,2+$D63,0))+IF(AH$9="X",VLOOKUP(AH$10,'VK-Biokütused'!$C:$U,2+$E63,0))+IF(AH$5="X",VLOOKUP(AH$10,'VK-Põlevkivi'!$C:$X,2+$G63,0))+IF(AH$4="X",VLOOKUP(AH$10,'VK-Võrgud'!$C:$X,2+$F63,0))</f>
        <v>11.579999999999998</v>
      </c>
      <c r="AI63" s="209">
        <f>IF(AI$7="X",VLOOKUP(AI$10,'VK-Hooned-Soojus'!$C:$X,2+$C63,FALSE),0)+IF(AI$6="X",VLOOKUP(AI$10,'VK-Transport'!$C:$X,2+$B63,0))+IF(AI$8="X",VLOOKUP(AI$10,'VK-Elekter'!$C:$X,2+$D63,0))+IF(AI$9="X",VLOOKUP(AI$10,'VK-Biokütused'!$C:$U,2+$E63,0))+IF(AI$5="X",VLOOKUP(AI$10,'VK-Põlevkivi'!$C:$X,2+$G63,0))+IF(AI$4="X",VLOOKUP(AI$10,'VK-Võrgud'!$C:$X,2+$F63,0))</f>
        <v>4.45</v>
      </c>
      <c r="AJ63" s="209">
        <f>IF(AJ$7="X",VLOOKUP(AJ$10,'VK-Hooned-Soojus'!$C:$X,2+$C63,FALSE),0)+IF(AJ$6="X",VLOOKUP(AJ$10,'VK-Transport'!$C:$X,2+$B63,0))+IF(AJ$8="X",VLOOKUP(AJ$10,'VK-Elekter'!$C:$X,2+$D63,0))+IF(AJ$9="X",VLOOKUP(AJ$10,'VK-Biokütused'!$C:$U,2+$E63,0))+IF(AJ$5="X",VLOOKUP(AJ$10,'VK-Põlevkivi'!$C:$X,2+$G63,0))+IF(AJ$4="X",VLOOKUP(AJ$10,'VK-Võrgud'!$C:$X,2+$F63,0))</f>
        <v>9.19</v>
      </c>
      <c r="AK63" s="209">
        <f>IF(AK$7="X",VLOOKUP(AK$10,'VK-Hooned-Soojus'!$C:$X,2+$C63,FALSE),0)+IF(AK$6="X",VLOOKUP(AK$10,'VK-Transport'!$C:$X,2+$B63,0))+IF(AK$8="X",VLOOKUP(AK$10,'VK-Elekter'!$C:$X,2+$D63,0))+IF(AK$9="X",VLOOKUP(AK$10,'VK-Biokütused'!$C:$U,2+$E63,0))+IF(AK$5="X",VLOOKUP(AK$10,'VK-Põlevkivi'!$C:$X,2+$G63,0))+IF(AK$4="X",VLOOKUP(AK$10,'VK-Võrgud'!$C:$X,2+$F63,0))</f>
        <v>0.66</v>
      </c>
      <c r="AL63" s="209">
        <f>IF(AL$7="X",VLOOKUP(AL$10,'VK-Hooned-Soojus'!$C:$X,2+$C63,FALSE),0)+IF(AL$6="X",VLOOKUP(AL$10,'VK-Transport'!$C:$X,2+$B63,0))+IF(AL$8="X",VLOOKUP(AL$10,'VK-Elekter'!$C:$X,2+$D63,0))+IF(AL$9="X",VLOOKUP(AL$10,'VK-Biokütused'!$C:$U,2+$E63,0))+IF(AL$5="X",VLOOKUP(AL$10,'VK-Põlevkivi'!$C:$X,2+$G63,0))+IF(AL$4="X",VLOOKUP(AL$10,'VK-Võrgud'!$C:$X,2+$F63,0))</f>
        <v>7.1999999999999993</v>
      </c>
      <c r="AM63" s="209">
        <f>IF(AM$7="X",VLOOKUP(AM$10,'VK-Hooned-Soojus'!$C:$X,2+$C63,FALSE),0)+IF(AM$6="X",VLOOKUP(AM$10,'VK-Transport'!$C:$X,2+$B63,0))+IF(AM$8="X",VLOOKUP(AM$10,'VK-Elekter'!$C:$X,2+$D63,0))+IF(AM$9="X",VLOOKUP(AM$10,'VK-Biokütused'!$C:$U,2+$E63,0))+IF(AM$5="X",VLOOKUP(AM$10,'VK-Põlevkivi'!$C:$X,2+$G63,0))+IF(AM$4="X",VLOOKUP(AM$10,'VK-Võrgud'!$C:$X,2+$F63,0))</f>
        <v>12.9</v>
      </c>
      <c r="AN63" s="209">
        <f>IF(AN$7="X",VLOOKUP(AN$10,'VK-Hooned-Soojus'!$C:$X,2+$C63,FALSE),0)+IF(AN$6="X",VLOOKUP(AN$10,'VK-Transport'!$C:$X,2+$B63,0))+IF(AN$8="X",VLOOKUP(AN$10,'VK-Elekter'!$C:$X,2+$D63,0))+IF(AN$9="X",VLOOKUP(AN$10,'VK-Biokütused'!$C:$U,2+$E63,0))+IF(AN$5="X",VLOOKUP(AN$10,'VK-Põlevkivi'!$C:$X,2+$G63,0))+IF(AN$4="X",VLOOKUP(AN$10,'VK-Võrgud'!$C:$X,2+$F63,0))</f>
        <v>5.6999999999999993</v>
      </c>
      <c r="AO63" s="209">
        <f>IF(AO$7="X",VLOOKUP(AO$10,'VK-Hooned-Soojus'!$C:$X,2+$C63,FALSE),0)+IF(AO$6="X",VLOOKUP(AO$10,'VK-Transport'!$C:$X,2+$B63,0))+IF(AO$8="X",VLOOKUP(AO$10,'VK-Elekter'!$C:$X,2+$D63,0))+IF(AO$9="X",VLOOKUP(AO$10,'VK-Biokütused'!$C:$U,2+$E63,0))+IF(AO$5="X",VLOOKUP(AO$10,'VK-Põlevkivi'!$C:$X,2+$G63,0))+IF(AO$4="X",VLOOKUP(AO$10,'VK-Võrgud'!$C:$X,2+$F63,0))</f>
        <v>13.56</v>
      </c>
      <c r="AP63" s="209">
        <f>IF(AP$7="X",VLOOKUP(AP$10,'VK-Hooned-Soojus'!$C:$X,2+$C63,FALSE),0)+IF(AP$6="X",VLOOKUP(AP$10,'VK-Transport'!$C:$X,2+$B63,0))+IF(AP$8="X",VLOOKUP(AP$10,'VK-Elekter'!$C:$X,2+$D63,0))+IF(AP$9="X",VLOOKUP(AP$10,'VK-Biokütused'!$C:$U,2+$E63,0))+IF(AP$5="X",VLOOKUP(AP$10,'VK-Põlevkivi'!$C:$X,2+$G63,0))+IF(AP$4="X",VLOOKUP(AP$10,'VK-Võrgud'!$C:$X,2+$F63,0))</f>
        <v>6.78</v>
      </c>
      <c r="AQ63" s="320">
        <f t="shared" si="14"/>
        <v>1.2599999999999998</v>
      </c>
      <c r="AR63" s="209">
        <f>IF(AR$7="X",VLOOKUP(AR$10,'VK-Hooned-Soojus'!$C:$X,2+$C63,FALSE),0)+IF(AR$6="X",VLOOKUP(AR$10,'VK-Transport'!$C:$X,2+$B63,0))+IF(AR$8="X",VLOOKUP(AR$10,'VK-Elekter'!$C:$X,2+$D63,0))+IF(AR$9="X",VLOOKUP(AR$10,'VK-Biokütused'!$C:$U,2+$E63,0))+IF(AR$5="X",VLOOKUP(AR$10,'VK-Põlevkivi'!$C:$X,2+$G63,0))+IF(AR$4="X",VLOOKUP(AR$10,'VK-Võrgud'!$C:$X,2+$F63,0))</f>
        <v>3.4899999999999998</v>
      </c>
      <c r="AS63" s="320">
        <f>VLOOKUP("Kütuste tarbimine @ 2030 - UTTEGAAS",'VK-Hooned-Soojus'!$C:$X,2+$C63,FALSE)/0.172+VLOOKUP("Kütuste tarbimine @ 2030 - UTTEGAAS",'VK-Elekter'!$C:$X,2+$D63,FALSE)/0.172-AR63-AU63</f>
        <v>2.7565116279069759</v>
      </c>
      <c r="AT63" s="209">
        <f>IF(AT$7="X",VLOOKUP(AT$10,'VK-Hooned-Soojus'!$C:$X,2+$C63,FALSE),0)+IF(AT$6="X",VLOOKUP(AT$10,'VK-Transport'!$C:$X,2+$B63,0))+IF(AT$8="X",VLOOKUP(AT$10,'VK-Elekter'!$C:$X,2+$D63,0))+IF(AT$9="X",VLOOKUP(AT$10,'VK-Biokütused'!$C:$U,2+$E63,0))+IF(AT$5="X",VLOOKUP(AT$10,'VK-Põlevkivi'!$C:$X,2+$G63,0))+IF(AT$4="X",VLOOKUP(AT$10,'VK-Võrgud'!$C:$X,2+$F63,0))</f>
        <v>9.2784458909544707</v>
      </c>
      <c r="AU63" s="229">
        <f>MAX(0,(VLOOKUP("Kütuste tarbimine @ 2030 - UTTEGAAS",'VK-Hooned-Soojus'!$C:$X,2+$C63,FALSE)/0.172+VLOOKUP("Kütuste tarbimine @ 2030 - UTTEGAAS",'VK-Elekter'!$C:$X,2+$D63,FALSE)/0.172)*0.52-VLOOKUP("Kütuste tarbimine @ 2030 - PÕLEVKIVIÕLI",'VK-Hooned-Soojus'!$C:$X,2+$C63,FALSE))</f>
        <v>4.6837209302325586</v>
      </c>
      <c r="AV63" s="209">
        <f>IF(AV$7="X",VLOOKUP(AV$10,'VK-Hooned-Soojus'!$C:$X,2+$C63,FALSE),0)+IF(AV$6="X",VLOOKUP(AV$10,'VK-Transport'!$C:$X,2+$B63,0))+IF(AV$8="X",VLOOKUP(AV$10,'VK-Elekter'!$C:$X,2+$D63,0))+IF(AV$9="X",VLOOKUP(AV$10,'VK-Biokütused'!$C:$U,2+$E63,0))+IF(AV$5="X",VLOOKUP(AV$10,'VK-Põlevkivi'!$C:$X,2+$G63,0))+IF(AV$4="X",VLOOKUP(AV$10,'VK-Võrgud'!$C:$X,2+$F63,0))</f>
        <v>1.7257321590343366</v>
      </c>
      <c r="AW63" s="209">
        <f>IF(AW$7="X",VLOOKUP(AW$10,'VK-Hooned-Soojus'!$C:$X,2+$C63,FALSE),0)+IF(AW$6="X",VLOOKUP(AW$10,'VK-Transport'!$C:$X,2+$B63,0))+IF(AW$8="X",VLOOKUP(AW$10,'VK-Elekter'!$C:$X,2+$D63,0))+IF(AW$9="X",VLOOKUP(AW$10,'VK-Biokütused'!$C:$U,2+$E63,0))+IF(AW$5="X",VLOOKUP(AW$10,'VK-Põlevkivi'!$C:$X,2+$G63,0))+IF(AW$4="X",VLOOKUP(AW$10,'VK-Võrgud'!$C:$X,2+$F63,0))</f>
        <v>2.141</v>
      </c>
      <c r="AX63" s="229">
        <f t="shared" si="34"/>
        <v>0.41526784096566338</v>
      </c>
      <c r="AY63" s="229">
        <f t="shared" si="15"/>
        <v>0</v>
      </c>
      <c r="AZ63" s="230">
        <f t="shared" si="36"/>
        <v>0.51608498186571183</v>
      </c>
      <c r="BA63" s="209">
        <f>IF(BA$7="X",VLOOKUP(BA$10,'VK-Hooned-Soojus'!$C:$X,2+$C63,FALSE),0)+IF(BA$6="X",VLOOKUP(BA$10,'VK-Transport'!$C:$X,2+$B63,0))+IF(BA$8="X",VLOOKUP(BA$10,'VK-Elekter'!$C:$X,2+$D63,0))+IF(BA$9="X",VLOOKUP(BA$10,'VK-Biokütused'!$C:$U,2+$E63,0))+IF(BA$5="X",VLOOKUP(BA$10,'VK-Põlevkivi'!$C:$X,2+$G63,0))+IF(BA$4="X",VLOOKUP(BA$10,'VK-Võrgud'!$C:$X,2+$F63,0))</f>
        <v>4.2</v>
      </c>
      <c r="BB63" s="209">
        <f>IF(BB$7="X",VLOOKUP(BB$10,'VK-Hooned-Soojus'!$C:$X,2+$C63,FALSE),0)+IF(BB$6="X",VLOOKUP(BB$10,'VK-Transport'!$C:$X,2+$B63,0))+IF(BB$8="X",VLOOKUP(BB$10,'VK-Elekter'!$C:$X,2+$D63,0))+IF(BB$9="X",VLOOKUP(BB$10,'VK-Biokütused'!$C:$U,2+$E63,0))+IF(BB$5="X",VLOOKUP(BB$10,'VK-Põlevkivi'!$C:$X,2+$G63,0))+IF(BB$4="X",VLOOKUP(BB$10,'VK-Võrgud'!$C:$X,2+$F63,0))</f>
        <v>5.1000000000000005</v>
      </c>
      <c r="BC63" s="209">
        <f>IF(BC$7="X",VLOOKUP(BC$10,'VK-Hooned-Soojus'!$C:$X,2+$C63,FALSE),0)+IF(BC$6="X",VLOOKUP(BC$10,'VK-Transport'!$C:$X,2+$B63,0))+IF(BC$8="X",VLOOKUP(BC$10,'VK-Elekter'!$C:$X,2+$D63,0))+IF(BC$9="X",VLOOKUP(BC$10,'VK-Biokütused'!$C:$U,2+$E63,0))+IF(BC$5="X",VLOOKUP(BC$10,'VK-Põlevkivi'!$C:$X,2+$G63,0))+IF(BC$4="X",VLOOKUP(BC$10,'VK-Võrgud'!$C:$X,2+$F63,0))</f>
        <v>8.0523611111111126</v>
      </c>
      <c r="BD63" s="209">
        <f>IF(BD$7="X",VLOOKUP(BD$10,'VK-Hooned-Soojus'!$C:$X,2+$C63,FALSE),0)+IF(BD$6="X",VLOOKUP(BD$10,'VK-Transport'!$C:$X,2+$B63,0))+IF(BD$8="X",VLOOKUP(BD$10,'VK-Elekter'!$C:$X,2+$D63,0))+IF(BD$9="X",VLOOKUP(BD$10,'VK-Biokütused'!$C:$U,2+$E63,0))+IF(BD$5="X",VLOOKUP(BD$10,'VK-Põlevkivi'!$C:$X,2+$G63,0))+IF(BD$4="X",VLOOKUP(BD$10,'VK-Võrgud'!$C:$X,2+$F63,0))</f>
        <v>10.42138888888889</v>
      </c>
      <c r="BE63" s="230"/>
      <c r="BF63" s="229">
        <f t="shared" si="16"/>
        <v>0.37735857959955449</v>
      </c>
      <c r="BG63" s="209" t="e">
        <f>(IF(BG$7="X",VLOOKUP(BG$10,'VK-Hooned-Soojus'!$C:$X,2+$C63,FALSE),0)+IF(BG$6="X",VLOOKUP(BG$10,'VK-Transport'!$C:$X,2+$B63,0))+IF(BG$8="X",VLOOKUP(BG$10,'VK-Elekter'!$C:$X,2+$D63,0))+IF(BG$9="X",VLOOKUP(BG$10,'VK-Biokütused'!$C:$U,2+$E63,0))+IF(BG$5="X",VLOOKUP(BG$10,'VK-Põlevkivi'!$C:$X,2+$G63,0))+IF(BG$4="X",VLOOKUP(BG$10,'VK-Võrgud'!$C:$X,2+$F63,0)))/20</f>
        <v>#N/A</v>
      </c>
      <c r="BH63" s="209">
        <f>(IF(BH$7="X",VLOOKUP(BH$10,'VK-Hooned-Soojus'!$C:$X,2+$C63,FALSE),0)+IF(BH$6="X",VLOOKUP(BH$10,'VK-Transport'!$C:$X,2+$B63,0))+IF(BH$8="X",VLOOKUP(BH$10,'VK-Elekter'!$C:$X,2+$D63,0))+IF(BH$9="X",VLOOKUP(BH$10,'VK-Biokütused'!$C:$U,2+$E63,0))+IF(BH$5="X",VLOOKUP(BH$10,'VK-Põlevkivi'!$C:$X,2+$G63,0))+IF(BH$4="X",VLOOKUP(BH$10,'VK-Võrgud'!$C:$X,2+$F63,0)))/20</f>
        <v>13.99</v>
      </c>
      <c r="BI63" s="209">
        <f>(IF(BI$7="X",VLOOKUP(BI$10,'VK-Hooned-Soojus'!$C:$X,2+$C63,FALSE),0)+IF(BI$6="X",VLOOKUP(BI$10,'VK-Transport'!$C:$X,2+$B63,0))+IF(BI$8="X",VLOOKUP(BI$10,'VK-Elekter'!$C:$X,2+$D63,0))+IF(BI$9="X",VLOOKUP(BI$10,'VK-Biokütused'!$C:$U,2+$E63,0))+IF(BI$5="X",VLOOKUP(BI$10,'VK-Põlevkivi'!$C:$X,2+$G63,0))+IF(BI$4="X",VLOOKUP(BI$10,'VK-Võrgud'!$C:$X,2+$F63,0)))/16</f>
        <v>17.75</v>
      </c>
      <c r="BJ63" s="209">
        <f>(IF(BJ$7="X",VLOOKUP(BJ$10,'VK-Hooned-Soojus'!$C:$X,2+$C63,FALSE),0)+IF(BJ$6="X",VLOOKUP(BJ$10,'VK-Transport'!$C:$X,2+$B63,0))+IF(BJ$8="X",VLOOKUP(BJ$10,'VK-Elekter'!$C:$X,2+$D63,0))+IF(BJ$9="X",VLOOKUP(BJ$10,'VK-Biokütused'!$C:$U,2+$E63,0))+IF(BJ$5="X",VLOOKUP(BJ$10,'VK-Põlevkivi'!$C:$X,2+$G63,0))+IF(BJ$4="X",VLOOKUP(BJ$10,'VK-Võrgud'!$C:$X,2+$F63,0)))/20</f>
        <v>1.85</v>
      </c>
      <c r="BK63" s="209"/>
      <c r="BL63" s="209"/>
      <c r="BM63" s="209"/>
      <c r="BN63" s="209" t="e">
        <f>(IF(BN$7="X",VLOOKUP(BN$10,'VK-Hooned-Soojus'!$C:$X,2+$C63,FALSE),0)+IF(BN$6="X",VLOOKUP(BN$10,'VK-Transport'!$C:$X,2+$B63,0))+IF(BN$8="X",VLOOKUP(BN$10,'VK-Elekter'!$C:$X,2+$D63,0))+IF(BN$9="X",VLOOKUP(BN$10,'VK-Biokütused'!$C:$U,2+$E63,0))+IF(BN$5="X",VLOOKUP(BN$10,'VK-Põlevkivi'!$C:$X,2+$G63,0))+IF(BN$4="X",VLOOKUP(BN$10,'VK-Võrgud'!$C:$X,2+$F63,0)))/16</f>
        <v>#N/A</v>
      </c>
      <c r="BO63" s="209">
        <f>(IF(BO$7="X",VLOOKUP(BO$10,'VK-Hooned-Soojus'!$C:$X,2+$C63,FALSE),0)+IF(BO$6="X",VLOOKUP(BO$10,'VK-Transport'!$C:$X,2+$B63,0))+IF(BO$8="X",VLOOKUP(BO$10,'VK-Elekter'!$C:$X,2+$D63,0))+IF(BO$9="X",VLOOKUP(BO$10,'VK-Biokütused'!$C:$U,2+$E63,0))+IF(BO$5="X",VLOOKUP(BO$10,'VK-Põlevkivi'!$C:$X,2+$G63,0))+IF(BO$4="X",VLOOKUP(BO$10,'VK-Võrgud'!$C:$X,2+$F63,0)))/16</f>
        <v>405.45</v>
      </c>
      <c r="BP63" s="209"/>
      <c r="BQ63" s="209">
        <f>(IF(BQ$7="X",VLOOKUP(BQ$10,'VK-Hooned-Soojus'!$C:$X,2+$C63,FALSE),0)+IF(BQ$6="X",VLOOKUP(BQ$10,'VK-Transport'!$C:$X,2+$B63,0))+IF(BQ$8="X",VLOOKUP(BQ$10,'VK-Elekter'!$C:$X,2+$D63,0))+IF(BQ$9="X",VLOOKUP(BQ$10,'VK-Biokütused'!$C:$U,2+$E63,0))+IF(BQ$5="X",VLOOKUP(BQ$10,'VK-Põlevkivi'!$C:$X,2+$G63,0))+IF(BQ$4="X",VLOOKUP(BQ$10,'VK-Võrgud'!$C:$X,2+$F63,0)))/16</f>
        <v>127.6</v>
      </c>
      <c r="BR63" s="209">
        <f>(IF(BR$7="X",VLOOKUP(BR$10,'VK-Hooned-Soojus'!$C:$X,2+$C63,FALSE),0)+IF(BR$6="X",VLOOKUP(BR$10,'VK-Transport'!$C:$X,2+$B63,0))+IF(BR$8="X",VLOOKUP(BR$10,'VK-Elekter'!$C:$X,2+$D63,0))+IF(BR$9="X",VLOOKUP(BR$10,'VK-Biokütused'!$C:$U,2+$E63,0))+IF(BR$5="X",VLOOKUP(BR$10,'VK-Põlevkivi'!$C:$X,2+$G63,0))+IF(BR$4="X",VLOOKUP(BR$10,'VK-Võrgud'!$C:$X,2+$F63,0)))/16</f>
        <v>27.475000000000001</v>
      </c>
      <c r="BS63" s="209">
        <f>(IF(BS$7="X",VLOOKUP(BS$10,'VK-Hooned-Soojus'!$C:$X,2+$C63,FALSE),0)+IF(BS$6="X",VLOOKUP(BS$10,'VK-Transport'!$C:$X,2+$B63,0))+IF(BS$8="X",VLOOKUP(BS$10,'VK-Elekter'!$C:$X,2+$D63,0))+IF(BS$9="X",VLOOKUP(BS$10,'VK-Biokütused'!$C:$U,2+$E63,0))+IF(BS$5="X",VLOOKUP(BS$10,'VK-Põlevkivi'!$C:$X,2+$G63,0))+IF(BS$4="X",VLOOKUP(BS$10,'VK-Võrgud'!$C:$X,2+$F63,0)))/16</f>
        <v>-23.293749999999999</v>
      </c>
      <c r="BT63" s="209"/>
      <c r="BU63" s="209"/>
      <c r="BV63" s="209">
        <f>(IF(BV$7="X",VLOOKUP(BV$10,'VK-Hooned-Soojus'!$C:$X,2+$C63,FALSE),0)+IF(BV$6="X",VLOOKUP(BV$10,'VK-Transport'!$C:$X,2+$B63,0))+IF(BV$8="X",VLOOKUP(BV$10,'VK-Elekter'!$C:$X,2+$D63,0))+IF(BV$9="X",VLOOKUP(BV$10,'VK-Biokütused'!$C:$U,2+$E63,0))+IF(BV$5="X",VLOOKUP(BV$10,'VK-Põlevkivi'!$C:$X,2+$G63,0))+IF(BV$4="X",VLOOKUP(BV$10,'VK-Võrgud'!$C:$X,2+$F63,0)))/16</f>
        <v>0</v>
      </c>
      <c r="BW63" s="209"/>
      <c r="BX63" s="209">
        <f>(IF(BX$7="X",VLOOKUP(BX$10,'VK-Hooned-Soojus'!$C:$X,2+$C63,FALSE),0)+IF(BX$6="X",VLOOKUP(BX$10,'VK-Transport'!$C:$X,2+$B63,0))+IF(BX$8="X",VLOOKUP(BX$10,'VK-Elekter'!$C:$X,2+$D63,0))+IF(BX$9="X",VLOOKUP(BX$10,'VK-Biokütused'!$C:$U,2+$E63,0))+IF(BX$5="X",VLOOKUP(BX$10,'VK-Põlevkivi'!$C:$X,2+$G63,0))+IF(BX$4="X",VLOOKUP(BX$10,'VK-Võrgud'!$C:$X,2+$F63,0)))/16</f>
        <v>-99.4375</v>
      </c>
      <c r="BY63" s="209"/>
      <c r="BZ63" s="209"/>
      <c r="CA63" s="209" t="e">
        <f>(IF(CA$7="X",VLOOKUP(CA$10,'VK-Hooned-Soojus'!$C:$X,2+$C63,FALSE),0)+IF(CA$6="X",VLOOKUP(CA$10,'VK-Transport'!$C:$X,2+$B63,0))+IF(CA$8="X",VLOOKUP(CA$10,'VK-Elekter'!$C:$X,2+$D63,0))+IF(CA$9="X",VLOOKUP(CA$10,'VK-Biokütused'!$C:$U,2+$E63,0))+IF(CA$5="X",VLOOKUP(CA$10,'VK-Põlevkivi'!$C:$X,2+$G63,0))+IF(CA$4="X",VLOOKUP(CA$10,'VK-Võrgud'!$C:$X,2+$F63,0)))/16</f>
        <v>#N/A</v>
      </c>
      <c r="CB63" s="209">
        <f>(IF(CB$7="X",VLOOKUP(CB$10,'VK-Hooned-Soojus'!$C:$X,2+$C63,FALSE),0)+IF(CB$6="X",VLOOKUP(CB$10,'VK-Transport'!$C:$X,2+$B63,0))+IF(CB$8="X",VLOOKUP(CB$10,'VK-Elekter'!$C:$X,2+$D63,0))+IF(CB$9="X",VLOOKUP(CB$10,'VK-Biokütused'!$C:$U,2+$E63,0))+IF(CB$5="X",VLOOKUP(CB$10,'VK-Põlevkivi'!$C:$X,2+$G63,0))+IF(CB$4="X",VLOOKUP(CB$10,'VK-Võrgud'!$C:$X,2+$F63,0)))/16</f>
        <v>0</v>
      </c>
      <c r="CC63" s="209">
        <f>(IF(CC$7="X",VLOOKUP(CC$10,'VK-Hooned-Soojus'!$C:$X,2+$C63,FALSE),0)+IF(CC$6="X",VLOOKUP(CC$10,'VK-Transport'!$C:$X,2+$B63,0))+IF(CC$8="X",VLOOKUP(CC$10,'VK-Elekter'!$C:$X,2+$D63,0))+IF(CC$9="X",VLOOKUP(CC$10,'VK-Biokütused'!$C:$U,2+$E63,0))+IF(CC$5="X",VLOOKUP(CC$10,'VK-Põlevkivi'!$C:$X,2+$G63,0))+IF(CC$4="X",VLOOKUP(CC$10,'VK-Võrgud'!$C:$X,2+$F63,0)))/16</f>
        <v>0</v>
      </c>
      <c r="CD63" s="209"/>
      <c r="CE63" s="209">
        <f>(IF(CE$7="X",VLOOKUP(CE$10,'VK-Hooned-Soojus'!$C:$X,2+$C63,FALSE),0)+IF(CE$6="X",VLOOKUP(CE$10,'VK-Transport'!$C:$X,2+$B63,0))+IF(CE$8="X",VLOOKUP(CE$10,'VK-Elekter'!$C:$X,2+$D63,0))+IF(CE$9="X",VLOOKUP(CE$10,'VK-Biokütused'!$C:$U,2+$E63,0))+IF(CE$5="X",VLOOKUP(CE$10,'VK-Põlevkivi'!$C:$X,2+$G63,0))+IF(CE$4="X",VLOOKUP(CE$10,'VK-Võrgud'!$C:$X,2+$F63,0)))/16</f>
        <v>24.15625</v>
      </c>
      <c r="CF63" s="209"/>
      <c r="CG63" s="209">
        <f>(IF(CG$7="X",VLOOKUP(CG$10,'VK-Hooned-Soojus'!$C:$X,2+$C63,FALSE),0)+IF(CG$6="X",VLOOKUP(CG$10,'VK-Transport'!$C:$X,2+$B63,0))+IF(CG$8="X",VLOOKUP(CG$10,'VK-Elekter'!$C:$X,2+$D63,0))+IF(CG$9="X",VLOOKUP(CG$10,'VK-Biokütused'!$C:$U,2+$E63,0))+IF(CG$5="X",VLOOKUP(CG$10,'VK-Põlevkivi'!$C:$X,2+$G63,0))+IF(CG$4="X",VLOOKUP(CG$10,'VK-Võrgud'!$C:$X,2+$F63,0)))/16</f>
        <v>0</v>
      </c>
      <c r="CH63" s="209">
        <f>(IF(CH$7="X",VLOOKUP(CH$10,'VK-Hooned-Soojus'!$C:$X,2+$C63,FALSE),0)+IF(CH$6="X",VLOOKUP(CH$10,'VK-Transport'!$C:$X,2+$B63,0))+IF(CH$8="X",VLOOKUP(CH$10,'VK-Elekter'!$C:$X,2+$D63,0))+IF(CH$9="X",VLOOKUP(CH$10,'VK-Biokütused'!$C:$U,2+$E63,0))+IF(CH$5="X",VLOOKUP(CH$10,'VK-Põlevkivi'!$C:$X,2+$G63,0))+IF(CH$4="X",VLOOKUP(CH$10,'VK-Võrgud'!$C:$X,2+$F63,0)))/20*0.21</f>
        <v>5.6122500000000004</v>
      </c>
      <c r="CI63" s="209"/>
      <c r="CJ63" s="209">
        <f>(IF(CJ$7="X",VLOOKUP(CJ$10,'VK-Hooned-Soojus'!$C:$X,2+$C63,FALSE),0)+IF(CJ$6="X",VLOOKUP(CJ$10,'VK-Transport'!$C:$X,2+$B63,0))+IF(CJ$8="X",VLOOKUP(CJ$10,'VK-Elekter'!$C:$X,2+$D63,0))+IF(CJ$9="X",VLOOKUP(CJ$10,'VK-Biokütused'!$C:$U,2+$E63,0))+IF(CJ$5="X",VLOOKUP(CJ$10,'VK-Põlevkivi'!$C:$X,2+$G63,0))+IF(CJ$4="X",VLOOKUP(CJ$10,'VK-Võrgud'!$C:$X,2+$F63,0)))/1000</f>
        <v>19.103861099430585</v>
      </c>
      <c r="CK63" s="209">
        <f>(IF(CK$7="X",VLOOKUP(CK$10,'VK-Hooned-Soojus'!$C:$X,2+$C63,FALSE),0)+IF(CK$6="X",VLOOKUP(CK$10,'VK-Transport'!$C:$X,2+$B63,0))+IF(CK$8="X",VLOOKUP(CK$10,'VK-Elekter'!$C:$X,2+$D63,0))+IF(CK$9="X",VLOOKUP(CK$10,'VK-Biokütused'!$C:$U,2+$E63,0))+IF(CK$5="X",VLOOKUP(CK$10,'VK-Põlevkivi'!$C:$X,2+$G63,0))+IF(CK$4="X",VLOOKUP(CK$10,'VK-Võrgud'!$C:$X,2+$F63,0)))/1000</f>
        <v>12.804324637900008</v>
      </c>
      <c r="CL63" s="235">
        <f>(IF(CL$7="X",VLOOKUP(CL$10,'VK-Hooned-Soojus'!$C:$X,2+$C63,FALSE),0)+IF(CL$6="X",VLOOKUP(CL$10,'VK-Transport'!$C:$X,2+$B63,0))+IF(CL$8="X",VLOOKUP(CL$10,'VK-Elekter'!$C:$X,2+$D63,0))+IF(CL$9="X",VLOOKUP(CL$10,'VK-Biokütused'!$C:$U,2+$E63,0)))/1000</f>
        <v>8.8319419404241373</v>
      </c>
      <c r="CM63" s="209">
        <f>(IF(CM$7="X",VLOOKUP(CM$10,'VK-Hooned-Soojus'!$C:$X,2+$C63,FALSE),0)+IF(CM$6="X",VLOOKUP(CM$10,'VK-Transport'!$C:$X,2+$B63,0))+IF(CM$8="X",VLOOKUP(CM$10,'VK-Elekter'!$C:$X,2+$D63,0))+IF(CM$9="X",VLOOKUP(CM$10,'VK-Biokütused'!$C:$U,2+$E63,0))+IF(CM$5="X",VLOOKUP(CM$10,'VK-Põlevkivi'!$C:$X,2+$G63,0))+IF(CM$4="X",VLOOKUP(CM$10,'VK-Võrgud'!$C:$X,2+$F63,0)))/1000</f>
        <v>8.5453156794471035</v>
      </c>
      <c r="CN63" s="209">
        <f>(IF(CN$7="X",VLOOKUP(CN$10,'VK-Hooned-Soojus'!$C:$X,2+$C63,FALSE),0)+IF(CN$6="X",VLOOKUP(CN$10,'VK-Transport'!$C:$X,2+$B63,0))+IF(CN$8="X",VLOOKUP(CN$10,'VK-Elekter'!$C:$X,2+$D63,0))+IF(CN$9="X",VLOOKUP(CN$10,'VK-Biokütused'!$C:$U,2+$E63,0))+IF(CN$5="X",VLOOKUP(CN$10,'VK-Põlevkivi'!$C:$X,2+$G63,0))+IF(CN$4="X",VLOOKUP(CN$10,'VK-Võrgud'!$C:$X,2+$F63,0)))/1000</f>
        <v>3.1680000000000001</v>
      </c>
      <c r="CO63" s="209">
        <f>(IF(CO$7="X",VLOOKUP(CO$10,'VK-Hooned-Soojus'!$C:$X,2+$C63,FALSE),0)+IF(CO$6="X",VLOOKUP(CO$10,'VK-Transport'!$C:$X,2+$B63,0))+IF(CO$8="X",VLOOKUP(CO$10,'VK-Elekter'!$C:$X,2+$D63,0))+IF(CO$9="X",VLOOKUP(CO$10,'VK-Biokütused'!$C:$U,2+$E63,0))+IF(CO$5="X",VLOOKUP(CO$10,'VK-Põlevkivi'!$C:$X,2+$G63,0))+IF(CO$4="X",VLOOKUP(CO$10,'VK-Võrgud'!$C:$X,2+$F63,0)))/1000</f>
        <v>24.389575210797279</v>
      </c>
      <c r="CP63" s="209">
        <f>(IF(CP$7="X",VLOOKUP(CP$10,'VK-Hooned-Soojus'!$C:$X,2+$C63,FALSE),0)+IF(CP$6="X",VLOOKUP(CP$10,'VK-Transport'!$C:$X,2+$B63,0))+IF(CP$8="X",VLOOKUP(CP$10,'VK-Elekter'!$C:$X,2+$D63,0))+IF(CP$9="X",VLOOKUP(CP$10,'VK-Biokütused'!$C:$U,2+$E63,0))+IF(CP$5="X",VLOOKUP(CP$10,'VK-Põlevkivi'!$C:$X,2+$G63,0))+IF(CP$4="X",VLOOKUP(CP$10,'VK-Võrgud'!$C:$X,2+$F63,0)))/1000</f>
        <v>13.823994830349823</v>
      </c>
      <c r="CQ63" s="235">
        <f>(IF(CQ$7="X",VLOOKUP(CQ$10,'VK-Hooned-Soojus'!$C:$X,2+$C63,FALSE),0)+IF(CQ$6="X",VLOOKUP(CQ$10,'VK-Transport'!$C:$X,2+$B63,0))+IF(CQ$8="X",VLOOKUP(CQ$10,'VK-Elekter'!$C:$X,2+$D63,0))+IF(CQ$9="X",VLOOKUP(CQ$10,'VK-Biokütused'!$C:$U,2+$E63,0)))/1000</f>
        <v>10.857346</v>
      </c>
      <c r="CR63" s="209">
        <f>(IF(CR$7="X",VLOOKUP(CR$10,'VK-Hooned-Soojus'!$C:$X,2+$C63,FALSE),0)+IF(CR$6="X",VLOOKUP(CR$10,'VK-Transport'!$C:$X,2+$B63,0))+IF(CR$8="X",VLOOKUP(CR$10,'VK-Elekter'!$C:$X,2+$D63,0))+IF(CR$9="X",VLOOKUP(CR$10,'VK-Biokütused'!$C:$U,2+$E63,0))+IF(CR$5="X",VLOOKUP(CR$10,'VK-Põlevkivi'!$C:$X,2+$G63,0))+IF(CR$4="X",VLOOKUP(CR$10,'VK-Võrgud'!$C:$X,2+$F63,0)))/1000</f>
        <v>8.0930872784575758</v>
      </c>
      <c r="CS63" s="209">
        <f>(IF(CS$7="X",VLOOKUP(CS$10,'VK-Hooned-Soojus'!$C:$X,2+$C63,FALSE),0)+IF(CS$6="X",VLOOKUP(CS$10,'VK-Transport'!$C:$X,2+$B63,0))+IF(CS$8="X",VLOOKUP(CS$10,'VK-Elekter'!$C:$X,2+$D63,0))+IF(CS$9="X",VLOOKUP(CS$10,'VK-Biokütused'!$C:$U,2+$E63,0))+IF(CS$5="X",VLOOKUP(CS$10,'VK-Põlevkivi'!$C:$X,2+$G63,0))+IF(CS$4="X",VLOOKUP(CS$10,'VK-Võrgud'!$C:$X,2+$F63,0)))/1000</f>
        <v>3.8643344900598322</v>
      </c>
      <c r="CT63" s="209">
        <f>IF(CT$7="X",VLOOKUP(CT$10,'VK-Hooned-Soojus'!$C:$X,2+$C63,FALSE),0)+IF(CT$6="X",VLOOKUP(CT$10,'VK-Transport'!$C:$X,2+$B63,0))+IF(CT$8="X",VLOOKUP(CT$10,'VK-Elekter'!$C:$X,2+$D63,0))+IF(CT$9="X",VLOOKUP(CT$10,'VK-Biokütused'!$C:$U,2+$E63,0))+IF(CT$5="X",VLOOKUP(CT$10,'VK-Põlevkivi'!$C:$X,2+$G63,0))+IF(CT$4="X",VLOOKUP(CT$10,'VK-Võrgud'!$C:$X,2+$F63,0))</f>
        <v>90</v>
      </c>
      <c r="CU63" s="209">
        <f>IF(CU$7="X",VLOOKUP(CU$10,'VK-Hooned-Soojus'!$C:$X,2+$C63,FALSE),0)+IF(CU$6="X",VLOOKUP(CU$10,'VK-Transport'!$C:$X,2+$B63,0))+IF(CU$8="X",VLOOKUP(CU$10,'VK-Elekter'!$C:$X,2+$D63,0))+IF(CU$9="X",VLOOKUP(CU$10,'VK-Biokütused'!$C:$U,2+$E63,0))+IF(CU$5="X",VLOOKUP(CU$10,'VK-Põlevkivi'!$C:$X,2+$G63,0))+IF(CU$4="X",VLOOKUP(CU$10,'VK-Võrgud'!$C:$X,2+$F63,0))</f>
        <v>0.9337349397590361</v>
      </c>
      <c r="CV63" s="209">
        <f t="shared" si="37"/>
        <v>0.84317482403548605</v>
      </c>
      <c r="CW63" s="209">
        <f>(IF(CW$7="X",VLOOKUP(CW$10,'VK-Hooned-Soojus'!$C:$X,2+$C63,FALSE),0)+IF(CW$6="X",VLOOKUP(CW$10,'VK-Transport'!$C:$X,2+$B63,0))+IF(CW$8="X",VLOOKUP(CW$10,'VK-Elekter'!$C:$X,2+$D63,0))+IF(CW$9="X",VLOOKUP(CW$10,'VK-Biokütused'!$C:$U,2+$E63,0))+IF(CW$5="X",VLOOKUP(CW$10,'VK-Põlevkivi'!$C:$X,2+$G63,0))+IF(CW$4="X",VLOOKUP(CW$10,'VK-Võrgud'!$C:$X,2+$F63,0)))/16</f>
        <v>59.743749999999999</v>
      </c>
      <c r="CY63" s="209">
        <f>(IF(CY$7="X",VLOOKUP(CY$10,'VK-Hooned-Soojus'!$C:$X,2+$C63,FALSE),0)+IF(CY$6="X",VLOOKUP(CY$10,'VK-Transport'!$C:$X,2+$B63,0))+IF(CY$8="X",VLOOKUP(CY$10,'VK-Elekter'!$C:$X,2+$D63,0))+IF(CY$9="X",VLOOKUP(CY$10,'VK-Biokütused'!$C:$U,2+$E63,0))+IF(CY$5="X",VLOOKUP(CY$10,'VK-Põlevkivi'!$C:$X,2+$G63,0))+IF(CY$4="X",VLOOKUP(CY$10,'VK-Võrgud'!$C:$X,2+$F63,0)))/1000</f>
        <v>11.076000000000001</v>
      </c>
      <c r="CZ63" s="209">
        <f>(IF(CZ$7="X",VLOOKUP(CZ$10,'VK-Hooned-Soojus'!$C:$X,2+$C63,FALSE),0)+IF(CZ$6="X",VLOOKUP(CZ$10,'VK-Transport'!$C:$X,2+$B63,0))+IF(CZ$8="X",VLOOKUP(CZ$10,'VK-Elekter'!$C:$X,2+$D63,0))+IF(CZ$9="X",VLOOKUP(CZ$10,'VK-Biokütused'!$C:$U,2+$E63,0))+IF(CZ$5="X",VLOOKUP(CZ$10,'VK-Põlevkivi'!$C:$X,2+$G63,0))+IF(CZ$4="X",VLOOKUP(CZ$10,'VK-Võrgud'!$C:$X,2+$F63,0)))</f>
        <v>74.400000000000006</v>
      </c>
      <c r="DA63" s="209">
        <f>(IF(DA$7="X",VLOOKUP(DA$10,'VK-Hooned-Soojus'!$C:$X,2+$C63,FALSE),0)+IF(DA$6="X",VLOOKUP(DA$10,'VK-Transport'!$C:$X,2+$B63,0))+IF(DA$8="X",VLOOKUP(DA$10,'VK-Elekter'!$C:$X,2+$D63,0))+IF(DA$9="X",VLOOKUP(DA$10,'VK-Biokütused'!$C:$U,2+$E63,0))+IF(DA$5="X",VLOOKUP(DA$10,'VK-Põlevkivi'!$C:$X,2+$G63,0))+IF(DA$4="X",VLOOKUP(DA$10,'VK-Võrgud'!$C:$X,2+$F63,0)))/1000</f>
        <v>14.977</v>
      </c>
      <c r="DB63" s="209">
        <f>(IF(DB$7="X",VLOOKUP(DB$10,'VK-Hooned-Soojus'!$C:$X,2+$C63,FALSE),0)+IF(DB$6="X",VLOOKUP(DB$10,'VK-Transport'!$C:$X,2+$B63,0))+IF(DB$8="X",VLOOKUP(DB$10,'VK-Elekter'!$C:$X,2+$D63,0))+IF(DB$9="X",VLOOKUP(DB$10,'VK-Biokütused'!$C:$U,2+$E63,0))+IF(DB$5="X",VLOOKUP(DB$10,'VK-Põlevkivi'!$C:$X,2+$G63,0))+IF(DB$4="X",VLOOKUP(DB$10,'VK-Võrgud'!$C:$X,2+$F63,0)))/1000/3.6</f>
        <v>66.459722222222226</v>
      </c>
      <c r="DC63" s="209">
        <f>(IF(DC$7="X",VLOOKUP(DC$10,'VK-Hooned-Soojus'!$C:$X,2+$C63,FALSE),0)+IF(DC$6="X",VLOOKUP(DC$10,'VK-Transport'!$C:$X,2+$B63,0))+IF(DC$8="X",VLOOKUP(DC$10,'VK-Elekter'!$C:$X,2+$D63,0))+IF(DC$9="X",VLOOKUP(DC$10,'VK-Biokütused'!$C:$U,2+$E63,0))+IF(DC$5="X",VLOOKUP(DC$10,'VK-Põlevkivi'!$C:$X,2+$G63,0))+IF(DC$4="X",VLOOKUP(DC$10,'VK-Võrgud'!$C:$X,2+$F63,0)))/1000000</f>
        <v>5.3168639999999998</v>
      </c>
      <c r="DD63" s="209"/>
      <c r="DE63" s="88">
        <f>VLOOKUP(Tulemused!$BN$12,data!M$7:N$12,2,FALSE)-SUM(L63,M63)</f>
        <v>-1.9738666666666731</v>
      </c>
      <c r="DF63" s="209" t="str">
        <f>IF(AZ63&lt;=VLOOKUP(Tulemused!$BN$15,data!$E$36:$F$39,2,FALSE),"JAH","EI")</f>
        <v>JAH</v>
      </c>
      <c r="DG63" s="209"/>
      <c r="DH63" s="209">
        <f t="shared" si="38"/>
        <v>6.78</v>
      </c>
      <c r="DI63" s="231" t="str">
        <f t="shared" si="17"/>
        <v>EI</v>
      </c>
      <c r="DK63" s="232">
        <f t="shared" si="39"/>
        <v>-996.26545560538932</v>
      </c>
      <c r="DM63" s="233">
        <f t="shared" si="40"/>
        <v>-993.97274048478425</v>
      </c>
      <c r="DN63" s="87">
        <f t="array" ref="DN63">INDEX($A$11:$A$145, SMALL(IF(DM63=$DK$11:$DK$145, MATCH(ROW($DK$11:$DK$145), ROW($DK$11:$DK$145))), SUM(--(DM63=$DM$11:DM63))))</f>
        <v>112</v>
      </c>
      <c r="DP63" s="87" t="e">
        <f t="shared" ca="1" si="18"/>
        <v>#N/A</v>
      </c>
      <c r="DQ63" s="87" t="e">
        <f t="shared" ca="1" si="19"/>
        <v>#N/A</v>
      </c>
      <c r="DR63" s="87">
        <f t="shared" ca="1" si="20"/>
        <v>0</v>
      </c>
      <c r="DS63" s="87" t="e">
        <f t="shared" ca="1" si="21"/>
        <v>#N/A</v>
      </c>
      <c r="DT63" s="87">
        <f t="shared" ca="1" si="22"/>
        <v>0</v>
      </c>
      <c r="DU63" s="87" t="e">
        <f t="shared" ca="1" si="23"/>
        <v>#N/A</v>
      </c>
      <c r="DV63" s="87" t="e">
        <f t="shared" ca="1" si="24"/>
        <v>#N/A</v>
      </c>
      <c r="DW63" s="87">
        <f t="shared" ca="1" si="25"/>
        <v>0</v>
      </c>
      <c r="DX63" s="87">
        <f t="shared" ca="1" si="26"/>
        <v>0</v>
      </c>
      <c r="DZ63" s="87">
        <f t="shared" ca="1" si="35"/>
        <v>0</v>
      </c>
      <c r="EB63" s="87">
        <f t="shared" ca="1" si="27"/>
        <v>0</v>
      </c>
      <c r="EC63" s="87" t="e">
        <f t="shared" ca="1" si="28"/>
        <v>#N/A</v>
      </c>
      <c r="EE63" s="228">
        <f>(IF(EE$7="X",VLOOKUP(EE$10,'VK-Hooned-Soojus'!$C:$X,2+$C63,FALSE),0)+IF(EE$6="X",VLOOKUP(EE$10,'VK-Transport'!$C:$X,2+$B63,0))+IF(EE$8="X",VLOOKUP(EE$10,'VK-Elekter'!$C:$X,2+$D63,0))+IF(EE$9="X",VLOOKUP(EE$10,'VK-Biokütused'!$C:$U,2+$E63,0))+IF(EE$5="X",VLOOKUP(EE$10,'VK-Põlevkivi'!$C:$X,2+$G63,0))+IF(EE$4="X",VLOOKUP(EE$10,'VK-Võrgud'!$C:$X,2+$F63,0)))</f>
        <v>8602.7591079298709</v>
      </c>
      <c r="EF63" s="235">
        <f>(IF(EF$7="X",VLOOKUP(EF$10,'VK-Hooned-Soojus'!$C:$X,2+$C63,FALSE),0)+IF(EF$6="X",VLOOKUP(EF$10,'VK-Transport'!$C:$X,2+$B63,0))+IF(EF$8="X",VLOOKUP(EF$10,'VK-Elekter'!$C:$X,2+$D63,0))+IF(EF$9="X",VLOOKUP(EF$10,'VK-Biokütused'!$C:$U,2+$E63,0)))/1000</f>
        <v>5.3823823271229703</v>
      </c>
      <c r="EG63" s="209">
        <f>(IF(EG$7="X",VLOOKUP(EG$10,'VK-Hooned-Soojus'!$C:$X,2+$C63,FALSE),0)+IF(EG$6="X",VLOOKUP(EG$10,'VK-Transport'!$C:$X,2+$B63,0))+IF(EG$8="X",VLOOKUP(EG$10,'VK-Elekter'!$C:$X,2+$D63,0))+IF(EG$9="X",VLOOKUP(EG$10,'VK-Biokütused'!$C:$U,2+$E63,0))+IF(EG$5="X",VLOOKUP(EG$10,'VK-Põlevkivi'!$C:$X,2+$G63,0))+IF(EG$4="X",VLOOKUP(EG$10,'VK-Võrgud'!$C:$X,2+$F63,0)))</f>
        <v>2.95</v>
      </c>
      <c r="EH63" s="209">
        <f>(IF(EH$7="X",VLOOKUP(EH$10,'VK-Hooned-Soojus'!$C:$X,2+$C63,FALSE),0)+IF(EH$6="X",VLOOKUP(EH$10,'VK-Transport'!$C:$X,2+$B63,0))+IF(EH$8="X",VLOOKUP(EH$10,'VK-Elekter'!$C:$X,2+$D63,0))+IF(EH$9="X",VLOOKUP(EH$10,'VK-Biokütused'!$C:$U,2+$E63,0)))+AR63+AS63+AU63+AX63</f>
        <v>55.649667065771858</v>
      </c>
      <c r="EI63" s="320">
        <f t="shared" si="41"/>
        <v>50.550678294573636</v>
      </c>
      <c r="EJ63" s="322">
        <f t="shared" si="42"/>
        <v>7.7574305520047349E-2</v>
      </c>
      <c r="EK63" s="323">
        <f t="shared" si="29"/>
        <v>0.45353675847892722</v>
      </c>
      <c r="EM63" s="209"/>
      <c r="EN63" s="209">
        <f t="shared" ca="1" si="43"/>
        <v>0</v>
      </c>
      <c r="EO63" s="209"/>
      <c r="EP63" s="234"/>
      <c r="EQ63" s="209">
        <f>(IF(EQ$7="X",VLOOKUP(EQ$10,'VK-Hooned-Soojus'!$C:$X,2+$C63,FALSE),0)+IF(EQ$6="X",VLOOKUP(EQ$10,'VK-Transport'!$C:$X,2+$B63,0))+IF(EQ$8="X",VLOOKUP(EQ$10,'VK-Elekter'!$C:$X,2+$D63,0))+IF(EQ$9="X",VLOOKUP(EQ$10,'VK-Biokütused'!$C:$U,2+$E63,0))+IF(EQ$5="X",VLOOKUP(EQ$10,'VK-Põlevkivi'!$C:$X,2+$G63,0))+IF(EQ$4="X",VLOOKUP(EQ$10,'VK-Võrgud'!$C:$X,2+$F63,0)))/1000</f>
        <v>0.22900000000000001</v>
      </c>
      <c r="ER63" s="209">
        <f>(IF(ER$7="X",VLOOKUP(ER$10,'VK-Hooned-Soojus'!$C:$X,2+$C63,FALSE),0)+IF(ER$6="X",VLOOKUP(ER$10,'VK-Transport'!$C:$X,2+$B63,0))+IF(ER$8="X",VLOOKUP(ER$10,'VK-Elekter'!$C:$X,2+$D63,0))+IF(ER$9="X",VLOOKUP(ER$10,'VK-Biokütused'!$C:$U,2+$E63,0))+IF(ER$5="X",VLOOKUP(ER$10,'VK-Põlevkivi'!$C:$X,2+$G63,0))+IF(ER$4="X",VLOOKUP(ER$10,'VK-Võrgud'!$C:$X,2+$F63,0)))</f>
        <v>0.82899999999999996</v>
      </c>
      <c r="ES63" s="209">
        <f>(IF(ES$7="X",VLOOKUP(ES$10,'VK-Hooned-Soojus'!$C:$X,2+$C63,FALSE),0)+IF(ES$6="X",VLOOKUP(ES$10,'VK-Transport'!$C:$X,2+$B63,0))+IF(ES$8="X",VLOOKUP(ES$10,'VK-Elekter'!$C:$X,2+$D63,0))+IF(ES$9="X",VLOOKUP(ES$10,'VK-Biokütused'!$C:$U,2+$E63,0))+IF(ES$5="X",VLOOKUP(ES$10,'VK-Põlevkivi'!$C:$X,2+$G63,0))+IF(ES$4="X",VLOOKUP(ES$10,'VK-Võrgud'!$C:$X,2+$F63,0)))</f>
        <v>6.78</v>
      </c>
      <c r="ET63" s="209"/>
      <c r="EU63" s="209"/>
      <c r="EV63" s="87">
        <f>'KSH järjestus'!AS56</f>
        <v>1794</v>
      </c>
      <c r="EX63" s="236"/>
      <c r="EY63" s="236"/>
      <c r="EZ63" s="237">
        <f t="shared" si="44"/>
        <v>6.6265060240963902E-2</v>
      </c>
      <c r="FA63" s="209">
        <f>IF(FA$7="X",VLOOKUP(FA$10,'VK-Hooned-Soojus'!$C:$X,2+$C63,FALSE),0)+IF(FA$6="X",VLOOKUP(FA$10,'VK-Transport'!$C:$X,2+$B63,0))+IF(FA$8="X",VLOOKUP(FA$10,'VK-Elekter'!$C:$X,2+$D63,0))+IF(FA$9="X",VLOOKUP(FA$10,'VK-Biokütused'!$C:$U,2+$E63,0))+IF(FA$5="X",VLOOKUP(FA$10,'VK-Põlevkivi'!$C:$X,2+$G63,0))+IF(FA$4="X",VLOOKUP(FA$10,'VK-Võrgud'!$C:$X,2+$F63,0))</f>
        <v>3335.346</v>
      </c>
      <c r="FB63" s="279">
        <f>(IF(FB$7="X",VLOOKUP(FB$10,'VK-Hooned-Soojus'!$C:$X,2+$C63,FALSE),0)+IF(FB$6="X",VLOOKUP(FB$10,'VK-Transport'!$C:$X,2+$B63,0))+IF(FB$8="X",VLOOKUP(FB$10,'VK-Elekter'!$C:$X,2+$D63,0))+IF(FB$9="X",VLOOKUP(FB$10,'VK-Biokütused'!$C:$U,2+$E63,0))+IF(FB$5="X",VLOOKUP(FB$10,'VK-Põlevkivi'!$C:$X,2+$G63,0))+IF(FB$4="X",VLOOKUP(FB$10,'VK-Võrgud'!$C:$X,2+$F63,0)))/16</f>
        <v>370.0120304748919</v>
      </c>
      <c r="FC63" s="209">
        <f>IF(FC$7="X",VLOOKUP(FC$10,'VK-Hooned-Soojus'!$C:$X,2+$C63,FALSE),0)+IF(FC$6="X",VLOOKUP(FC$10,'VK-Transport'!$C:$X,2+$B63,0))+IF(FC$8="X",VLOOKUP(FC$10,'VK-Elekter'!$C:$X,2+$D63,0))+IF(FC$9="X",VLOOKUP(FC$10,'VK-Biokütused'!$C:$U,2+$E63,0))+IF(FC$5="X",VLOOKUP(FC$10,'VK-Põlevkivi'!$C:$X,2+$G63,0))+IF(FC$4="X",VLOOKUP(FC$10,'VK-Võrgud'!$C:$X,2+$F63,0))</f>
        <v>327.54999999999995</v>
      </c>
      <c r="FD63" s="209">
        <f>(IF(FD$7="X",VLOOKUP(FD$10,'VK-Hooned-Soojus'!$C:$X,2+$C63,FALSE),0)+IF(FD$6="X",VLOOKUP(FD$10,'VK-Transport'!$C:$X,2+$B63,0))+IF(FD$8="X",VLOOKUP(FD$10,'VK-Elekter'!$C:$X,2+$D63,0))+IF(FD$9="X",VLOOKUP(FD$10,'VK-Biokütused'!$C:$U,2+$E63,0))+IF(FD$5="X",VLOOKUP(FD$10,'VK-Põlevkivi'!$C:$X,2+$G63,0))+IF(FD$4="X",VLOOKUP(FD$10,'VK-Võrgud'!$C:$X,2+$F63,0)))/16</f>
        <v>370.0120304748919</v>
      </c>
      <c r="FE63" s="209">
        <f>(IF(FE$7="X",VLOOKUP(FE$10,'VK-Hooned-Soojus'!$C:$X,2+$C63,FALSE),0)+IF(FE$6="X",VLOOKUP(FE$10,'VK-Transport'!$C:$X,2+$B63,0))+IF(FE$8="X",VLOOKUP(FE$10,'VK-Elekter'!$C:$X,2+$D63,0))+IF(FE$9="X",VLOOKUP(FE$10,'VK-Biokütused'!$C:$U,2+$E63,0))+IF(FE$5="X",VLOOKUP(FE$10,'VK-Põlevkivi'!$C:$X,2+$G63,0))+IF(FE$4="X",VLOOKUP(FE$10,'VK-Võrgud'!$C:$X,2+$F63,0)))/16</f>
        <v>-40.314469880632103</v>
      </c>
      <c r="FF63" s="209">
        <f>(IF(FF$7="X",VLOOKUP(FF$10,'VK-Hooned-Soojus'!$C:$X,2+$C63,FALSE),0)+IF(FF$6="X",VLOOKUP(FF$10,'VK-Transport'!$C:$X,2+$B63,0))+IF(FF$8="X",VLOOKUP(FF$10,'VK-Elekter'!$C:$X,2+$D63,0))+IF(FF$9="X",VLOOKUP(FF$10,'VK-Biokütused'!$C:$U,2+$E63,0))+IF(FF$5="X",VLOOKUP(FF$10,'VK-Põlevkivi'!$C:$X,2+$G63,0))+IF(FF$4="X",VLOOKUP(FF$10,'VK-Võrgud'!$C:$X,2+$F63,0)))/16</f>
        <v>134.41815081325842</v>
      </c>
      <c r="FG63" s="88">
        <f t="shared" ca="1" si="30"/>
        <v>94.103680932626318</v>
      </c>
      <c r="FH63" s="88"/>
      <c r="FI63" s="88"/>
      <c r="FJ63" s="88">
        <f>VLOOKUP(Tulemused!$BN$12,data!M$7:N$12,2,FALSE)-SUM(L63,M63)</f>
        <v>-1.9738666666666731</v>
      </c>
      <c r="FK63" s="209" t="str">
        <f>IF(AZ63&lt;=VLOOKUP(Tulemused!$BN$15,data!$E$36:$F$39,2,FALSE),"JAH","EI")</f>
        <v>JAH</v>
      </c>
      <c r="FL63" s="235">
        <f ca="1">IF(ISNA(MATCH($A63,INDIRECT(VLOOKUP(Tulemused!$BF$11,data!$J$57:$M$71,4,FALSE)))),0,MATCH($A63,INDIRECT(VLOOKUP(Tulemused!$BF$11,data!$J$57:$M$71,4,FALSE))))</f>
        <v>0</v>
      </c>
      <c r="FM63" s="235" t="str">
        <f t="shared" ca="1" si="45"/>
        <v>JAH</v>
      </c>
      <c r="FN63" s="209">
        <f>VLOOKUP(Tulemused!$BN$13,data!$C$132:$D$137,2,FALSE)-KOMBI!R63</f>
        <v>3.1640876728770304</v>
      </c>
      <c r="FO63" s="209"/>
      <c r="FP63" s="209">
        <f>VLOOKUP(Tulemused!$BN$17,NO_x,2,FALSE)-CJ63</f>
        <v>10.334138900569414</v>
      </c>
      <c r="FQ63" s="209">
        <f>VLOOKUP(Tulemused!$BN$18,SO_2,2,FALSE)-CK63</f>
        <v>39.079675362099991</v>
      </c>
      <c r="FR63" s="209">
        <f>VLOOKUP(Tulemused!$BN$19,LOU,2,FALSE)-CN63</f>
        <v>33.912000000000006</v>
      </c>
      <c r="FS63" s="209">
        <f>VLOOKUP(Tulemused!$BN$20,PM_2.5,2,FALSE)-CM63</f>
        <v>8.3696843205528957</v>
      </c>
      <c r="FT63" s="209">
        <f>VLOOKUP(Tulemused!$BN$13,data!$C$132:$D$137,2,FALSE)-FA63/1000</f>
        <v>2.9106240000000008</v>
      </c>
      <c r="FU63" s="209">
        <f>VLOOKUP(Tulemused!$BN$17,NO_x,2,FALSE)-CO63</f>
        <v>5.0484247892027199</v>
      </c>
      <c r="FV63" s="209">
        <f>VLOOKUP(Tulemused!$BN$18,SO_2,2,FALSE)-CP63</f>
        <v>38.060005169650175</v>
      </c>
      <c r="FW63" s="209">
        <f>VLOOKUP(Tulemused!$BN$19,LOU,2,FALSE)-CS63</f>
        <v>33.215665509940173</v>
      </c>
      <c r="FX63" s="209">
        <f>VLOOKUP(Tulemused!$BN$20,PM_2.5,2,FALSE)-CR63</f>
        <v>8.8219127215424233</v>
      </c>
      <c r="FY63" s="209">
        <f>VLOOKUP(Tulemused!$BN$14,KHG_2050,2,FALSE)-EF63</f>
        <v>94.617617672877032</v>
      </c>
      <c r="FZ63" s="231" t="str">
        <f t="shared" ca="1" si="31"/>
        <v>EI</v>
      </c>
      <c r="GA63" s="209"/>
      <c r="GB63" s="209"/>
      <c r="GC63" s="209"/>
      <c r="GD63" s="231"/>
      <c r="GE63" s="87">
        <f t="shared" si="46"/>
        <v>1794</v>
      </c>
      <c r="GF63" s="232" t="str">
        <f t="shared" ca="1" si="32"/>
        <v/>
      </c>
      <c r="GH63" s="238" t="e">
        <f t="shared" ca="1" si="47"/>
        <v>#NUM!</v>
      </c>
      <c r="GI63" s="87" t="e">
        <f t="array" aca="1" ref="GI63" ca="1">INDEX($A$11:$A$145, SMALL(IF(GH63=$GF$11:$GF$145, MATCH(ROW($GF$11:$GF$145), ROW($GF$11:$GF$145))), SUM(--(GH63=$GH$11:GH63))))</f>
        <v>#NUM!</v>
      </c>
      <c r="GM63" s="209">
        <f>IF(GM$7="X",VLOOKUP(GM$10,'VK-Hooned-Soojus'!$C:$X,2+$C63,FALSE),0)+IF(GM$6="X",VLOOKUP(GM$10,'VK-Transport'!$C:$X,2+$B63,0))+IF(GM$8="X",VLOOKUP(GM$10,'VK-Elekter'!$C:$X,2+$D63,0))+IF(GM$9="X",VLOOKUP(GM$10,'VK-Biokütused'!$C:$U,2+$E63,0))+IF(GM$5="X",VLOOKUP(GM$10,'VK-Põlevkivi'!$C:$X,2+$G63,0))+IF(GM$4="X",VLOOKUP(GM$10,'VK-Võrgud'!$C:$X,2+$F63,0))</f>
        <v>6.011750640646909</v>
      </c>
      <c r="GN63" s="209">
        <f>IF(GN$7="X",VLOOKUP(GN$10,'VK-Hooned-Soojus'!$C:$X,2+$C63,FALSE),0)+IF(GN$6="X",VLOOKUP(GN$10,'VK-Transport'!$C:$X,2+$B63,0))+IF(GN$8="X",VLOOKUP(GN$10,'VK-Elekter'!$C:$X,2+$D63,0))+IF(GN$9="X",VLOOKUP(GN$10,'VK-Biokütused'!$C:$U,2+$E63,0))+IF(GN$5="X",VLOOKUP(GN$10,'VK-Põlevkivi'!$C:$X,2+$G63,0))+IF(GN$4="X",VLOOKUP(GN$10,'VK-Võrgud'!$C:$X,2+$F63,0))</f>
        <v>3.4528686473995491</v>
      </c>
      <c r="GO63" s="209">
        <f>IF(GO$7="X",VLOOKUP(GO$10,'VK-Hooned-Soojus'!$C:$X,2+$C63,FALSE),0)+IF(GO$6="X",VLOOKUP(GO$10,'VK-Transport'!$C:$X,2+$B63,0))+IF(GO$8="X",VLOOKUP(GO$10,'VK-Elekter'!$C:$X,2+$D63,0))+IF(GO$9="X",VLOOKUP(GO$10,'VK-Biokütused'!$C:$U,2+$E63,0))+IF(GO$5="X",VLOOKUP(GO$10,'VK-Põlevkivi'!$C:$X,2+$G63,0))+IF(GO$4="X",VLOOKUP(GO$10,'VK-Võrgud'!$C:$X,2+$F63,0))</f>
        <v>8.7471755658278116</v>
      </c>
      <c r="GP63" s="209">
        <f>IF(GP$7="X",VLOOKUP(GP$10,'VK-Hooned-Soojus'!$C:$X,2+$C63,FALSE),0)+IF(GP$6="X",VLOOKUP(GP$10,'VK-Transport'!$C:$X,2+$B63,0))+IF(GP$8="X",VLOOKUP(GP$10,'VK-Elekter'!$C:$X,2+$D63,0))+IF(GP$9="X",VLOOKUP(GP$10,'VK-Biokütused'!$C:$U,2+$E63,0))+IF(GP$5="X",VLOOKUP(GP$10,'VK-Põlevkivi'!$C:$X,2+$G63,0))+IF(GP$4="X",VLOOKUP(GP$10,'VK-Võrgud'!$C:$X,2+$F63,0))</f>
        <v>9.3279335818485372</v>
      </c>
      <c r="GQ63" s="88">
        <f>IF(GQ$7="X",VLOOKUP(GQ$10,'VK-Hooned-Soojus'!$C:$X,2+$C63,FALSE),0)+IF(GQ$6="X",VLOOKUP(GQ$10,'VK-Transport'!$C:$X,2+$B63,0))+IF(GQ$8="X",VLOOKUP(GQ$10,'VK-Elekter'!$C:$X,2+$D63,0))+IF(GQ$9="X",VLOOKUP(GQ$10,'VK-Biokütused'!$C:$U,2+$E63,0))+IF(GQ$5="X",VLOOKUP(GQ$10,'VK-Põlevkivi'!$C:$X,2+$G63,0))+IF(GQ$4="X",VLOOKUP(GQ$10,'VK-Võrgud'!$C:$X,2+$F63,0))</f>
        <v>0.90618397335647782</v>
      </c>
      <c r="GR63" s="186">
        <f t="shared" si="33"/>
        <v>0.3932288700231153</v>
      </c>
    </row>
    <row r="64" spans="1:200" x14ac:dyDescent="0.2">
      <c r="A64" s="184">
        <v>54</v>
      </c>
      <c r="B64" s="87">
        <v>2</v>
      </c>
      <c r="C64" s="87">
        <v>1</v>
      </c>
      <c r="D64" s="87">
        <v>3</v>
      </c>
      <c r="E64" s="87">
        <v>3</v>
      </c>
      <c r="F64" s="87">
        <f>VLOOKUP(Tulemused!$BF$7,data!$J$6:$K$8,2,FALSE)</f>
        <v>2</v>
      </c>
      <c r="G64" s="87">
        <f>VLOOKUP(data!$H$2,data!$J$12:$K$14,2,FALSE)</f>
        <v>2</v>
      </c>
      <c r="I64" s="209">
        <f>IF(I$7="X",VLOOKUP(I$10,'VK-Hooned-Soojus'!$C:$X,2+$C64,FALSE),0)+IF(I$6="X",VLOOKUP(I$10,'VK-Transport'!$C:$X,2+$B64,0))+IF(I$8="X",VLOOKUP(I$10,'VK-Elekter'!$C:$X,2+$D64,0))+IF(I$9="X",VLOOKUP(I$10,'VK-Biokütused'!$C:$U,2+$E64,0))+IF(I$5="X",VLOOKUP(I$10,'VK-Põlevkivi'!$C:$X,2+$G64,0))+IF(I$4="X",VLOOKUP(I$10,'VK-Võrgud'!$C:$X,2+$F64,0))</f>
        <v>26.89</v>
      </c>
      <c r="J64" s="209">
        <f>IF(J$7="X",VLOOKUP(J$10,'VK-Hooned-Soojus'!$C:$X,2+$C64,FALSE),0)+IF(J$6="X",VLOOKUP(J$10,'VK-Transport'!$C:$X,2+$B64,0))+IF(J$8="X",VLOOKUP(J$10,'VK-Elekter'!$C:$X,2+$D64,0))+IF(J$9="X",VLOOKUP(J$10,'VK-Biokütused'!$C:$U,2+$E64,0))+IF(J$5="X",VLOOKUP(J$10,'VK-Põlevkivi'!$C:$X,2+$G64,0))+IF(J$4="X",VLOOKUP(J$10,'VK-Võrgud'!$C:$X,2+$F64,0))</f>
        <v>11.138055555555555</v>
      </c>
      <c r="K64" s="209">
        <f>IF(K$7="X",VLOOKUP(K$10,'VK-Hooned-Soojus'!$C:$X,2+$C64,FALSE),0)+IF(K$6="X",VLOOKUP(K$10,'VK-Transport'!$C:$X,2+$B64,0))+IF(K$8="X",VLOOKUP(K$10,'VK-Elekter'!$C:$X,2+$D64,0))+IF(K$9="X",VLOOKUP(K$10,'VK-Biokütused'!$C:$U,2+$E64,0))+IF(K$5="X",VLOOKUP(K$10,'VK-Põlevkivi'!$C:$X,2+$G64,0))+IF(K$4="X",VLOOKUP(K$10,'VK-Võrgud'!$C:$X,2+$F64,0))</f>
        <v>16.75</v>
      </c>
      <c r="L64" s="209">
        <f>IF(L$7="X",VLOOKUP(L$10,'VK-Hooned-Soojus'!$C:$X,2+$C64,FALSE),0)+IF(L$6="X",VLOOKUP(L$10,'VK-Transport'!$C:$X,2+$B64,0))+IF(L$8="X",VLOOKUP(L$10,'VK-Elekter'!$C:$X,2+$D64,0))+IF(L$9="X",VLOOKUP(L$10,'VK-Biokütused'!$C:$U,2+$E64,0))+IF(L$5="X",VLOOKUP(L$10,'VK-Põlevkivi'!$C:$X,2+$G64,0))+IF(L$4="X",VLOOKUP(L$10,'VK-Võrgud'!$C:$X,2+$F64,0))</f>
        <v>24.95</v>
      </c>
      <c r="M64" s="209">
        <f>IF(M$7="X",VLOOKUP(M$10,'VK-Hooned-Soojus'!$C:$X,2+$C64,FALSE),0)+IF(M$6="X",VLOOKUP(M$10,'VK-Transport'!$C:$X,2+$B64,0))+IF(M$8="X",VLOOKUP(M$10,'VK-Elekter'!$C:$X,2+$D64,0))+IF(M$9="X",VLOOKUP(M$10,'VK-Biokütused'!$C:$U,2+$E64,0))+IF(M$5="X",VLOOKUP(M$10,'VK-Põlevkivi'!$C:$X,2+$G64,0))+IF(M$4="X",VLOOKUP(M$10,'VK-Võrgud'!$C:$X,2+$F64,0))</f>
        <v>9.8566666666666674</v>
      </c>
      <c r="N64" s="209">
        <f>IF(N$7="X",VLOOKUP(N$10,'VK-Hooned-Soojus'!$C:$X,2+$C64,FALSE),0)+IF(N$6="X",VLOOKUP(N$10,'VK-Transport'!$C:$X,2+$B64,0))+IF(N$8="X",VLOOKUP(N$10,'VK-Elekter'!$C:$X,2+$D64,0))+IF(N$9="X",VLOOKUP(N$10,'VK-Biokütused'!$C:$U,2+$E64,0))+IF(N$5="X",VLOOKUP(N$10,'VK-Põlevkivi'!$C:$X,2+$G64,0))+IF(N$4="X",VLOOKUP(N$10,'VK-Võrgud'!$C:$X,2+$F64,0))</f>
        <v>16.75</v>
      </c>
      <c r="O64" s="209">
        <f t="shared" si="13"/>
        <v>38.028055555555554</v>
      </c>
      <c r="P64" s="209"/>
      <c r="Q64" s="209">
        <f>(IF(Q$7="X",VLOOKUP(Q$10,'VK-Hooned-Soojus'!$C:$X,2+$C64,FALSE),0)+IF(Q$6="X",VLOOKUP(Q$10,'VK-Transport'!$C:$X,2+$B64,0))+IF(Q$8="X",VLOOKUP(Q$10,'VK-Elekter'!$C:$X,2+$D64,0))+IF(Q$9="X",VLOOKUP(Q$10,'VK-Biokütused'!$C:$U,2+$E64,0))+IF(Q$5="X",VLOOKUP(Q$10,'VK-Põlevkivi'!$C:$X,2+$G64,0))+IF(Q$4="X",VLOOKUP(Q$10,'VK-Võrgud'!$C:$X,2+$F64,0)))/1000</f>
        <v>5.33</v>
      </c>
      <c r="R64" s="209">
        <f>(IF(R$7="X",VLOOKUP(R$10,'VK-Hooned-Soojus'!$C:$X,2+$C64,FALSE),0)+IF(R$6="X",VLOOKUP(R$10,'VK-Transport'!$C:$X,2+$B64,0))+IF(R$8="X",VLOOKUP(R$10,'VK-Elekter'!$C:$X,2+$D64,0))+IF(R$9="X",VLOOKUP(R$10,'VK-Biokütused'!$C:$U,2+$E64,0))+IF(R$5="X",VLOOKUP(R$10,'VK-Põlevkivi'!$C:$X,2+$G64,0))+IF(R$4="X",VLOOKUP(R$10,'VK-Võrgud'!$C:$X,2+$F64,0)))/1000</f>
        <v>3.2905823271229702</v>
      </c>
      <c r="S64" s="226">
        <f>VLOOKUP(S$10,'VK-Hooned-Soojus'!$C:$I,2+$C64,FALSE) + VLOOKUP(S$10,'VK-Transport'!$C:$I,2+$B64,FALSE)+ VLOOKUP(S$10,'VK-Biokütused'!$C:$G,2+$E64,FALSE)+ VLOOKUP(S$10,'VK-Elekter'!$C:$I,2+$D64,FALSE)+ VLOOKUP(S$10,'VK-Põlevkivi'!$C:$I,2+$G64,FALSE)+ VLOOKUP(S$10,'VK-Võrgud'!$C:$I,2+$F64,FALSE)</f>
        <v>1.9374700328698029E-2</v>
      </c>
      <c r="T64" s="226">
        <f>VLOOKUP(T$10,'VK-Hooned-Soojus'!$C:$I,2+$C64,FALSE) + VLOOKUP(T$10,'VK-Transport'!$C:$I,2+$B64,FALSE)+ VLOOKUP(T$10,'VK-Biokütused'!$C:$G,2+$E64,FALSE)+ VLOOKUP(T$10,'VK-Elekter'!$C:$I,2+$D64,FALSE)+ VLOOKUP(T$10,'VK-Põlevkivi'!$C:$I,2+$G64,FALSE)+ VLOOKUP(T$10,'VK-Võrgud'!$C:$I,2+$F64,FALSE)</f>
        <v>-5.7372873836428325E-4</v>
      </c>
      <c r="U64" s="226">
        <f>VLOOKUP(U$10,'VK-Hooned-Soojus'!$C:$I,2+$C64,FALSE) + VLOOKUP(U$10,'VK-Transport'!$C:$I,2+$B64,FALSE)+ VLOOKUP(U$10,'VK-Biokütused'!$C:$G,2+$E64,FALSE)+ VLOOKUP(U$10,'VK-Elekter'!$C:$I,2+$D64,FALSE)+ VLOOKUP(U$10,'VK-Põlevkivi'!$C:$I,2+$G64,FALSE)+ VLOOKUP(U$10,'VK-Võrgud'!$C:$I,2+$F64,FALSE)</f>
        <v>7.3080769851928129E-3</v>
      </c>
      <c r="V64" s="226">
        <f>VLOOKUP(V$10,'VK-Hooned-Soojus'!$C:$I,2+$C64,FALSE) + VLOOKUP(V$10,'VK-Transport'!$C:$I,2+$B64,FALSE)+ VLOOKUP(V$10,'VK-Biokütused'!$C:$G,2+$E64,FALSE)+ VLOOKUP(V$10,'VK-Elekter'!$C:$I,2+$D64,FALSE)+ VLOOKUP(V$10,'VK-Põlevkivi'!$C:$I,2+$G64,FALSE)+ VLOOKUP(V$10,'VK-Võrgud'!$C:$I,2+$F64,FALSE)</f>
        <v>1.2217174701824637E-2</v>
      </c>
      <c r="W64" s="226">
        <f>VLOOKUP(W$10,'VK-Hooned-Soojus'!$C:$I,2+$C64,FALSE) + VLOOKUP(W$10,'VK-Transport'!$C:$I,2+$B64,FALSE)+ VLOOKUP(W$10,'VK-Biokütused'!$C:$G,2+$E64,FALSE)+ VLOOKUP(W$10,'VK-Elekter'!$C:$I,2+$D64,FALSE)+ VLOOKUP(W$10,'VK-Põlevkivi'!$C:$I,2+$G64,FALSE)+ VLOOKUP(W$10,'VK-Võrgud'!$C:$I,2+$F64,FALSE)</f>
        <v>-7.5508222788706622E-3</v>
      </c>
      <c r="X64" s="226">
        <f>VLOOKUP(X$10,'VK-Hooned-Soojus'!$C:$I,2+$C64,FALSE) + VLOOKUP(X$10,'VK-Transport'!$C:$I,2+$B64,FALSE)+ VLOOKUP(X$10,'VK-Biokütused'!$C:$G,2+$E64,FALSE)+ VLOOKUP(X$10,'VK-Elekter'!$C:$I,2+$D64,FALSE)+ VLOOKUP(X$10,'VK-Põlevkivi'!$C:$I,2+$G64,FALSE)+ VLOOKUP(X$10,'VK-Võrgud'!$C:$I,2+$F64,FALSE)</f>
        <v>-1.8508773071381889E-2</v>
      </c>
      <c r="Y64" s="226">
        <f>VLOOKUP(Y$10,'VK-Hooned-Soojus'!$C:$I,2+$C64,FALSE) + VLOOKUP(Y$10,'VK-Transport'!$C:$I,2+$B64,FALSE)+ VLOOKUP(Y$10,'VK-Biokütused'!$C:$G,2+$E64,FALSE)+ VLOOKUP(Y$10,'VK-Elekter'!$C:$I,2+$D64,FALSE)+ VLOOKUP(Y$10,'VK-Põlevkivi'!$C:$I,2+$G64,FALSE)+ VLOOKUP(Y$10,'VK-Võrgud'!$C:$I,2+$F64,FALSE)</f>
        <v>-2.1185789907390607E-2</v>
      </c>
      <c r="Z64" s="227">
        <f>(S64*Tulemused!$Q$9*10+T64*Tulemused!$Q$10*10+KOMBI!U64*Tulemused!$Q$11*10+KOMBI!V64*Tulemused!$Q$12*10)*Tulemused!$Q$8+-(W64*Tulemused!$Q$14*10+KOMBI!X64*Tulemused!$Q$15*10+KOMBI!Y64*Tulemused!$Q$16*10)*Tulemused!$Q$13</f>
        <v>4.6396441168522013</v>
      </c>
      <c r="AA64" s="228">
        <f>(IF(AA$7="X",VLOOKUP(AA$10,'VK-Hooned-Soojus'!$C:$X,2+$C64,FALSE),0)+IF(AA$6="X",VLOOKUP(AA$10,'VK-Transport'!$C:$X,2+$B64,0))+IF(AA$8="X",VLOOKUP(AA$10,'VK-Elekter'!$C:$X,2+$D64,0))+IF(AA$9="X",VLOOKUP(AA$10,'VK-Biokütused'!$C:$U,2+$E64,0))+IF(AA$5="X",VLOOKUP(AA$10,'VK-Põlevkivi'!$C:$X,2+$G64,0))+IF(AA$4="X",VLOOKUP(AA$10,'VK-Võrgud'!$C:$X,2+$F64,0)))</f>
        <v>3728</v>
      </c>
      <c r="AB64" s="228">
        <f>(IF(AB$7="X",VLOOKUP(AB$10,'VK-Hooned-Soojus'!$C:$X,2+$C64,FALSE),0)+IF(AB$6="X",VLOOKUP(AB$10,'VK-Transport'!$C:$X,2+$B64,0))+IF(AB$8="X",VLOOKUP(AB$10,'VK-Elekter'!$C:$X,2+$D64,0))+IF(AB$9="X",VLOOKUP(AB$10,'VK-Biokütused'!$C:$U,2+$E64,0))+IF(AB$5="X",VLOOKUP(AB$10,'VK-Põlevkivi'!$C:$X,2+$G64,0))+IF(AB$4="X",VLOOKUP(AB$10,'VK-Võrgud'!$C:$X,2+$F64,0)))</f>
        <v>1602</v>
      </c>
      <c r="AC64" s="228">
        <f>(IF(AC$7="X",VLOOKUP(AC$10,'VK-Hooned-Soojus'!$C:$X,2+$C64,FALSE),0)+IF(AC$6="X",VLOOKUP(AC$10,'VK-Transport'!$C:$X,2+$B64,0))+IF(AC$8="X",VLOOKUP(AC$10,'VK-Elekter'!$C:$X,2+$D64,0))+IF(AC$9="X",VLOOKUP(AC$10,'VK-Biokütused'!$C:$U,2+$E64,0))+IF(AC$5="X",VLOOKUP(AC$10,'VK-Põlevkivi'!$C:$X,2+$G64,0))+IF(AC$4="X",VLOOKUP(AC$10,'VK-Võrgud'!$C:$X,2+$F64,0)))</f>
        <v>2346</v>
      </c>
      <c r="AD64" s="228">
        <f>(IF(AD$7="X",VLOOKUP(AD$10,'VK-Hooned-Soojus'!$C:$X,2+$C64,FALSE),0)+IF(AD$6="X",VLOOKUP(AD$10,'VK-Transport'!$C:$X,2+$B64,0))+IF(AD$8="X",VLOOKUP(AD$10,'VK-Elekter'!$C:$X,2+$D64,0))+IF(AD$9="X",VLOOKUP(AD$10,'VK-Biokütused'!$C:$U,2+$E64,0))+IF(AD$5="X",VLOOKUP(AD$10,'VK-Põlevkivi'!$C:$X,2+$G64,0))+IF(AD$4="X",VLOOKUP(AD$10,'VK-Võrgud'!$C:$X,2+$F64,0)))</f>
        <v>586.20000000000005</v>
      </c>
      <c r="AE64" s="228">
        <f>(IF(AE$7="X",VLOOKUP(AE$10,'VK-Hooned-Soojus'!$C:$X,2+$C64,FALSE),0)+IF(AE$6="X",VLOOKUP(AE$10,'VK-Transport'!$C:$X,2+$B64,0))+IF(AE$8="X",VLOOKUP(AE$10,'VK-Elekter'!$C:$X,2+$D64,0))+IF(AE$9="X",VLOOKUP(AE$10,'VK-Biokütused'!$C:$U,2+$E64,0))+IF(AE$5="X",VLOOKUP(AE$10,'VK-Põlevkivi'!$C:$X,2+$G64,0))+IF(AE$4="X",VLOOKUP(AE$10,'VK-Võrgud'!$C:$X,2+$F64,0)))</f>
        <v>812</v>
      </c>
      <c r="AF64" s="228">
        <f>(IF(AF$7="X",VLOOKUP(AF$10,'VK-Hooned-Soojus'!$C:$X,2+$C64,FALSE),0)+IF(AF$6="X",VLOOKUP(AF$10,'VK-Transport'!$C:$X,2+$B64,0))+IF(AF$8="X",VLOOKUP(AF$10,'VK-Elekter'!$C:$X,2+$D64,0))+IF(AF$9="X",VLOOKUP(AF$10,'VK-Biokütused'!$C:$U,2+$E64,0))+IF(AF$5="X",VLOOKUP(AF$10,'VK-Põlevkivi'!$C:$X,2+$G64,0))+IF(AF$4="X",VLOOKUP(AF$10,'VK-Võrgud'!$C:$X,2+$F64,0)))</f>
        <v>1892.3823271229701</v>
      </c>
      <c r="AG64" s="209"/>
      <c r="AH64" s="209">
        <f>IF(AH$7="X",VLOOKUP(AH$10,'VK-Hooned-Soojus'!$C:$X,2+$C64,FALSE),0)+IF(AH$6="X",VLOOKUP(AH$10,'VK-Transport'!$C:$X,2+$B64,0))+IF(AH$8="X",VLOOKUP(AH$10,'VK-Elekter'!$C:$X,2+$D64,0))+IF(AH$9="X",VLOOKUP(AH$10,'VK-Biokütused'!$C:$U,2+$E64,0))+IF(AH$5="X",VLOOKUP(AH$10,'VK-Põlevkivi'!$C:$X,2+$G64,0))+IF(AH$4="X",VLOOKUP(AH$10,'VK-Võrgud'!$C:$X,2+$F64,0))</f>
        <v>11.579999999999998</v>
      </c>
      <c r="AI64" s="209">
        <f>IF(AI$7="X",VLOOKUP(AI$10,'VK-Hooned-Soojus'!$C:$X,2+$C64,FALSE),0)+IF(AI$6="X",VLOOKUP(AI$10,'VK-Transport'!$C:$X,2+$B64,0))+IF(AI$8="X",VLOOKUP(AI$10,'VK-Elekter'!$C:$X,2+$D64,0))+IF(AI$9="X",VLOOKUP(AI$10,'VK-Biokütused'!$C:$U,2+$E64,0))+IF(AI$5="X",VLOOKUP(AI$10,'VK-Põlevkivi'!$C:$X,2+$G64,0))+IF(AI$4="X",VLOOKUP(AI$10,'VK-Võrgud'!$C:$X,2+$F64,0))</f>
        <v>4.45</v>
      </c>
      <c r="AJ64" s="209">
        <f>IF(AJ$7="X",VLOOKUP(AJ$10,'VK-Hooned-Soojus'!$C:$X,2+$C64,FALSE),0)+IF(AJ$6="X",VLOOKUP(AJ$10,'VK-Transport'!$C:$X,2+$B64,0))+IF(AJ$8="X",VLOOKUP(AJ$10,'VK-Elekter'!$C:$X,2+$D64,0))+IF(AJ$9="X",VLOOKUP(AJ$10,'VK-Biokütused'!$C:$U,2+$E64,0))+IF(AJ$5="X",VLOOKUP(AJ$10,'VK-Põlevkivi'!$C:$X,2+$G64,0))+IF(AJ$4="X",VLOOKUP(AJ$10,'VK-Võrgud'!$C:$X,2+$F64,0))</f>
        <v>9.19</v>
      </c>
      <c r="AK64" s="209">
        <f>IF(AK$7="X",VLOOKUP(AK$10,'VK-Hooned-Soojus'!$C:$X,2+$C64,FALSE),0)+IF(AK$6="X",VLOOKUP(AK$10,'VK-Transport'!$C:$X,2+$B64,0))+IF(AK$8="X",VLOOKUP(AK$10,'VK-Elekter'!$C:$X,2+$D64,0))+IF(AK$9="X",VLOOKUP(AK$10,'VK-Biokütused'!$C:$U,2+$E64,0))+IF(AK$5="X",VLOOKUP(AK$10,'VK-Põlevkivi'!$C:$X,2+$G64,0))+IF(AK$4="X",VLOOKUP(AK$10,'VK-Võrgud'!$C:$X,2+$F64,0))</f>
        <v>0.66</v>
      </c>
      <c r="AL64" s="209">
        <f>IF(AL$7="X",VLOOKUP(AL$10,'VK-Hooned-Soojus'!$C:$X,2+$C64,FALSE),0)+IF(AL$6="X",VLOOKUP(AL$10,'VK-Transport'!$C:$X,2+$B64,0))+IF(AL$8="X",VLOOKUP(AL$10,'VK-Elekter'!$C:$X,2+$D64,0))+IF(AL$9="X",VLOOKUP(AL$10,'VK-Biokütused'!$C:$U,2+$E64,0))+IF(AL$5="X",VLOOKUP(AL$10,'VK-Põlevkivi'!$C:$X,2+$G64,0))+IF(AL$4="X",VLOOKUP(AL$10,'VK-Võrgud'!$C:$X,2+$F64,0))</f>
        <v>7.1999999999999993</v>
      </c>
      <c r="AM64" s="209">
        <f>IF(AM$7="X",VLOOKUP(AM$10,'VK-Hooned-Soojus'!$C:$X,2+$C64,FALSE),0)+IF(AM$6="X",VLOOKUP(AM$10,'VK-Transport'!$C:$X,2+$B64,0))+IF(AM$8="X",VLOOKUP(AM$10,'VK-Elekter'!$C:$X,2+$D64,0))+IF(AM$9="X",VLOOKUP(AM$10,'VK-Biokütused'!$C:$U,2+$E64,0))+IF(AM$5="X",VLOOKUP(AM$10,'VK-Põlevkivi'!$C:$X,2+$G64,0))+IF(AM$4="X",VLOOKUP(AM$10,'VK-Võrgud'!$C:$X,2+$F64,0))</f>
        <v>12.9</v>
      </c>
      <c r="AN64" s="209">
        <f>IF(AN$7="X",VLOOKUP(AN$10,'VK-Hooned-Soojus'!$C:$X,2+$C64,FALSE),0)+IF(AN$6="X",VLOOKUP(AN$10,'VK-Transport'!$C:$X,2+$B64,0))+IF(AN$8="X",VLOOKUP(AN$10,'VK-Elekter'!$C:$X,2+$D64,0))+IF(AN$9="X",VLOOKUP(AN$10,'VK-Biokütused'!$C:$U,2+$E64,0))+IF(AN$5="X",VLOOKUP(AN$10,'VK-Põlevkivi'!$C:$X,2+$G64,0))+IF(AN$4="X",VLOOKUP(AN$10,'VK-Võrgud'!$C:$X,2+$F64,0))</f>
        <v>5.6999999999999993</v>
      </c>
      <c r="AO64" s="209">
        <f>IF(AO$7="X",VLOOKUP(AO$10,'VK-Hooned-Soojus'!$C:$X,2+$C64,FALSE),0)+IF(AO$6="X",VLOOKUP(AO$10,'VK-Transport'!$C:$X,2+$B64,0))+IF(AO$8="X",VLOOKUP(AO$10,'VK-Elekter'!$C:$X,2+$D64,0))+IF(AO$9="X",VLOOKUP(AO$10,'VK-Biokütused'!$C:$U,2+$E64,0))+IF(AO$5="X",VLOOKUP(AO$10,'VK-Põlevkivi'!$C:$X,2+$G64,0))+IF(AO$4="X",VLOOKUP(AO$10,'VK-Võrgud'!$C:$X,2+$F64,0))</f>
        <v>13.56</v>
      </c>
      <c r="AP64" s="209">
        <f>IF(AP$7="X",VLOOKUP(AP$10,'VK-Hooned-Soojus'!$C:$X,2+$C64,FALSE),0)+IF(AP$6="X",VLOOKUP(AP$10,'VK-Transport'!$C:$X,2+$B64,0))+IF(AP$8="X",VLOOKUP(AP$10,'VK-Elekter'!$C:$X,2+$D64,0))+IF(AP$9="X",VLOOKUP(AP$10,'VK-Biokütused'!$C:$U,2+$E64,0))+IF(AP$5="X",VLOOKUP(AP$10,'VK-Põlevkivi'!$C:$X,2+$G64,0))+IF(AP$4="X",VLOOKUP(AP$10,'VK-Võrgud'!$C:$X,2+$F64,0))</f>
        <v>6.78</v>
      </c>
      <c r="AQ64" s="320">
        <f t="shared" si="14"/>
        <v>1.2599999999999998</v>
      </c>
      <c r="AR64" s="209">
        <f>IF(AR$7="X",VLOOKUP(AR$10,'VK-Hooned-Soojus'!$C:$X,2+$C64,FALSE),0)+IF(AR$6="X",VLOOKUP(AR$10,'VK-Transport'!$C:$X,2+$B64,0))+IF(AR$8="X",VLOOKUP(AR$10,'VK-Elekter'!$C:$X,2+$D64,0))+IF(AR$9="X",VLOOKUP(AR$10,'VK-Biokütused'!$C:$U,2+$E64,0))+IF(AR$5="X",VLOOKUP(AR$10,'VK-Põlevkivi'!$C:$X,2+$G64,0))+IF(AR$4="X",VLOOKUP(AR$10,'VK-Võrgud'!$C:$X,2+$F64,0))</f>
        <v>3.4899999999999998</v>
      </c>
      <c r="AS64" s="320">
        <f>VLOOKUP("Kütuste tarbimine @ 2030 - UTTEGAAS",'VK-Hooned-Soojus'!$C:$X,2+$C64,FALSE)/0.172+VLOOKUP("Kütuste tarbimine @ 2030 - UTTEGAAS",'VK-Elekter'!$C:$X,2+$D64,FALSE)/0.172-AR64-AU64</f>
        <v>2.7565116279069759</v>
      </c>
      <c r="AT64" s="209">
        <f>IF(AT$7="X",VLOOKUP(AT$10,'VK-Hooned-Soojus'!$C:$X,2+$C64,FALSE),0)+IF(AT$6="X",VLOOKUP(AT$10,'VK-Transport'!$C:$X,2+$B64,0))+IF(AT$8="X",VLOOKUP(AT$10,'VK-Elekter'!$C:$X,2+$D64,0))+IF(AT$9="X",VLOOKUP(AT$10,'VK-Biokütused'!$C:$U,2+$E64,0))+IF(AT$5="X",VLOOKUP(AT$10,'VK-Põlevkivi'!$C:$X,2+$G64,0))+IF(AT$4="X",VLOOKUP(AT$10,'VK-Võrgud'!$C:$X,2+$F64,0))</f>
        <v>9.2784458909544707</v>
      </c>
      <c r="AU64" s="229">
        <f>MAX(0,(VLOOKUP("Kütuste tarbimine @ 2030 - UTTEGAAS",'VK-Hooned-Soojus'!$C:$X,2+$C64,FALSE)/0.172+VLOOKUP("Kütuste tarbimine @ 2030 - UTTEGAAS",'VK-Elekter'!$C:$X,2+$D64,FALSE)/0.172)*0.52-VLOOKUP("Kütuste tarbimine @ 2030 - PÕLEVKIVIÕLI",'VK-Hooned-Soojus'!$C:$X,2+$C64,FALSE))</f>
        <v>4.6837209302325586</v>
      </c>
      <c r="AV64" s="209">
        <f>IF(AV$7="X",VLOOKUP(AV$10,'VK-Hooned-Soojus'!$C:$X,2+$C64,FALSE),0)+IF(AV$6="X",VLOOKUP(AV$10,'VK-Transport'!$C:$X,2+$B64,0))+IF(AV$8="X",VLOOKUP(AV$10,'VK-Elekter'!$C:$X,2+$D64,0))+IF(AV$9="X",VLOOKUP(AV$10,'VK-Biokütused'!$C:$U,2+$E64,0))+IF(AV$5="X",VLOOKUP(AV$10,'VK-Põlevkivi'!$C:$X,2+$G64,0))+IF(AV$4="X",VLOOKUP(AV$10,'VK-Võrgud'!$C:$X,2+$F64,0))</f>
        <v>1.7257321590343366</v>
      </c>
      <c r="AW64" s="209">
        <f>IF(AW$7="X",VLOOKUP(AW$10,'VK-Hooned-Soojus'!$C:$X,2+$C64,FALSE),0)+IF(AW$6="X",VLOOKUP(AW$10,'VK-Transport'!$C:$X,2+$B64,0))+IF(AW$8="X",VLOOKUP(AW$10,'VK-Elekter'!$C:$X,2+$D64,0))+IF(AW$9="X",VLOOKUP(AW$10,'VK-Biokütused'!$C:$U,2+$E64,0))+IF(AW$5="X",VLOOKUP(AW$10,'VK-Põlevkivi'!$C:$X,2+$G64,0))+IF(AW$4="X",VLOOKUP(AW$10,'VK-Võrgud'!$C:$X,2+$F64,0))</f>
        <v>4.2799999999999994</v>
      </c>
      <c r="AX64" s="229">
        <f t="shared" si="34"/>
        <v>2.5542678409656627</v>
      </c>
      <c r="AY64" s="229">
        <f t="shared" si="15"/>
        <v>0</v>
      </c>
      <c r="AZ64" s="230">
        <f t="shared" si="36"/>
        <v>0.51608498186571183</v>
      </c>
      <c r="BA64" s="209">
        <f>IF(BA$7="X",VLOOKUP(BA$10,'VK-Hooned-Soojus'!$C:$X,2+$C64,FALSE),0)+IF(BA$6="X",VLOOKUP(BA$10,'VK-Transport'!$C:$X,2+$B64,0))+IF(BA$8="X",VLOOKUP(BA$10,'VK-Elekter'!$C:$X,2+$D64,0))+IF(BA$9="X",VLOOKUP(BA$10,'VK-Biokütused'!$C:$U,2+$E64,0))+IF(BA$5="X",VLOOKUP(BA$10,'VK-Põlevkivi'!$C:$X,2+$G64,0))+IF(BA$4="X",VLOOKUP(BA$10,'VK-Võrgud'!$C:$X,2+$F64,0))</f>
        <v>4.2</v>
      </c>
      <c r="BB64" s="209">
        <f>IF(BB$7="X",VLOOKUP(BB$10,'VK-Hooned-Soojus'!$C:$X,2+$C64,FALSE),0)+IF(BB$6="X",VLOOKUP(BB$10,'VK-Transport'!$C:$X,2+$B64,0))+IF(BB$8="X",VLOOKUP(BB$10,'VK-Elekter'!$C:$X,2+$D64,0))+IF(BB$9="X",VLOOKUP(BB$10,'VK-Biokütused'!$C:$U,2+$E64,0))+IF(BB$5="X",VLOOKUP(BB$10,'VK-Põlevkivi'!$C:$X,2+$G64,0))+IF(BB$4="X",VLOOKUP(BB$10,'VK-Võrgud'!$C:$X,2+$F64,0))</f>
        <v>5.1000000000000005</v>
      </c>
      <c r="BC64" s="209">
        <f>IF(BC$7="X",VLOOKUP(BC$10,'VK-Hooned-Soojus'!$C:$X,2+$C64,FALSE),0)+IF(BC$6="X",VLOOKUP(BC$10,'VK-Transport'!$C:$X,2+$B64,0))+IF(BC$8="X",VLOOKUP(BC$10,'VK-Elekter'!$C:$X,2+$D64,0))+IF(BC$9="X",VLOOKUP(BC$10,'VK-Biokütused'!$C:$U,2+$E64,0))+IF(BC$5="X",VLOOKUP(BC$10,'VK-Põlevkivi'!$C:$X,2+$G64,0))+IF(BC$4="X",VLOOKUP(BC$10,'VK-Võrgud'!$C:$X,2+$F64,0))</f>
        <v>8.0523611111111126</v>
      </c>
      <c r="BD64" s="209">
        <f>IF(BD$7="X",VLOOKUP(BD$10,'VK-Hooned-Soojus'!$C:$X,2+$C64,FALSE),0)+IF(BD$6="X",VLOOKUP(BD$10,'VK-Transport'!$C:$X,2+$B64,0))+IF(BD$8="X",VLOOKUP(BD$10,'VK-Elekter'!$C:$X,2+$D64,0))+IF(BD$9="X",VLOOKUP(BD$10,'VK-Biokütused'!$C:$U,2+$E64,0))+IF(BD$5="X",VLOOKUP(BD$10,'VK-Põlevkivi'!$C:$X,2+$G64,0))+IF(BD$4="X",VLOOKUP(BD$10,'VK-Võrgud'!$C:$X,2+$F64,0))</f>
        <v>10.42138888888889</v>
      </c>
      <c r="BE64" s="230"/>
      <c r="BF64" s="229">
        <f t="shared" si="16"/>
        <v>0.37735857959955449</v>
      </c>
      <c r="BG64" s="209" t="e">
        <f>(IF(BG$7="X",VLOOKUP(BG$10,'VK-Hooned-Soojus'!$C:$X,2+$C64,FALSE),0)+IF(BG$6="X",VLOOKUP(BG$10,'VK-Transport'!$C:$X,2+$B64,0))+IF(BG$8="X",VLOOKUP(BG$10,'VK-Elekter'!$C:$X,2+$D64,0))+IF(BG$9="X",VLOOKUP(BG$10,'VK-Biokütused'!$C:$U,2+$E64,0))+IF(BG$5="X",VLOOKUP(BG$10,'VK-Põlevkivi'!$C:$X,2+$G64,0))+IF(BG$4="X",VLOOKUP(BG$10,'VK-Võrgud'!$C:$X,2+$F64,0)))/20</f>
        <v>#N/A</v>
      </c>
      <c r="BH64" s="209">
        <f>(IF(BH$7="X",VLOOKUP(BH$10,'VK-Hooned-Soojus'!$C:$X,2+$C64,FALSE),0)+IF(BH$6="X",VLOOKUP(BH$10,'VK-Transport'!$C:$X,2+$B64,0))+IF(BH$8="X",VLOOKUP(BH$10,'VK-Elekter'!$C:$X,2+$D64,0))+IF(BH$9="X",VLOOKUP(BH$10,'VK-Biokütused'!$C:$U,2+$E64,0))+IF(BH$5="X",VLOOKUP(BH$10,'VK-Põlevkivi'!$C:$X,2+$G64,0))+IF(BH$4="X",VLOOKUP(BH$10,'VK-Võrgud'!$C:$X,2+$F64,0)))/20</f>
        <v>13.99</v>
      </c>
      <c r="BI64" s="209">
        <f>(IF(BI$7="X",VLOOKUP(BI$10,'VK-Hooned-Soojus'!$C:$X,2+$C64,FALSE),0)+IF(BI$6="X",VLOOKUP(BI$10,'VK-Transport'!$C:$X,2+$B64,0))+IF(BI$8="X",VLOOKUP(BI$10,'VK-Elekter'!$C:$X,2+$D64,0))+IF(BI$9="X",VLOOKUP(BI$10,'VK-Biokütused'!$C:$U,2+$E64,0))+IF(BI$5="X",VLOOKUP(BI$10,'VK-Põlevkivi'!$C:$X,2+$G64,0))+IF(BI$4="X",VLOOKUP(BI$10,'VK-Võrgud'!$C:$X,2+$F64,0)))/16</f>
        <v>17.75</v>
      </c>
      <c r="BJ64" s="209">
        <f>(IF(BJ$7="X",VLOOKUP(BJ$10,'VK-Hooned-Soojus'!$C:$X,2+$C64,FALSE),0)+IF(BJ$6="X",VLOOKUP(BJ$10,'VK-Transport'!$C:$X,2+$B64,0))+IF(BJ$8="X",VLOOKUP(BJ$10,'VK-Elekter'!$C:$X,2+$D64,0))+IF(BJ$9="X",VLOOKUP(BJ$10,'VK-Biokütused'!$C:$U,2+$E64,0))+IF(BJ$5="X",VLOOKUP(BJ$10,'VK-Põlevkivi'!$C:$X,2+$G64,0))+IF(BJ$4="X",VLOOKUP(BJ$10,'VK-Võrgud'!$C:$X,2+$F64,0)))/20</f>
        <v>1.85</v>
      </c>
      <c r="BK64" s="209"/>
      <c r="BL64" s="209"/>
      <c r="BM64" s="209"/>
      <c r="BN64" s="209" t="e">
        <f>(IF(BN$7="X",VLOOKUP(BN$10,'VK-Hooned-Soojus'!$C:$X,2+$C64,FALSE),0)+IF(BN$6="X",VLOOKUP(BN$10,'VK-Transport'!$C:$X,2+$B64,0))+IF(BN$8="X",VLOOKUP(BN$10,'VK-Elekter'!$C:$X,2+$D64,0))+IF(BN$9="X",VLOOKUP(BN$10,'VK-Biokütused'!$C:$U,2+$E64,0))+IF(BN$5="X",VLOOKUP(BN$10,'VK-Põlevkivi'!$C:$X,2+$G64,0))+IF(BN$4="X",VLOOKUP(BN$10,'VK-Võrgud'!$C:$X,2+$F64,0)))/16</f>
        <v>#N/A</v>
      </c>
      <c r="BO64" s="209">
        <f>(IF(BO$7="X",VLOOKUP(BO$10,'VK-Hooned-Soojus'!$C:$X,2+$C64,FALSE),0)+IF(BO$6="X",VLOOKUP(BO$10,'VK-Transport'!$C:$X,2+$B64,0))+IF(BO$8="X",VLOOKUP(BO$10,'VK-Elekter'!$C:$X,2+$D64,0))+IF(BO$9="X",VLOOKUP(BO$10,'VK-Biokütused'!$C:$U,2+$E64,0))+IF(BO$5="X",VLOOKUP(BO$10,'VK-Põlevkivi'!$C:$X,2+$G64,0))+IF(BO$4="X",VLOOKUP(BO$10,'VK-Võrgud'!$C:$X,2+$F64,0)))/16</f>
        <v>405.45</v>
      </c>
      <c r="BP64" s="209"/>
      <c r="BQ64" s="209">
        <f>(IF(BQ$7="X",VLOOKUP(BQ$10,'VK-Hooned-Soojus'!$C:$X,2+$C64,FALSE),0)+IF(BQ$6="X",VLOOKUP(BQ$10,'VK-Transport'!$C:$X,2+$B64,0))+IF(BQ$8="X",VLOOKUP(BQ$10,'VK-Elekter'!$C:$X,2+$D64,0))+IF(BQ$9="X",VLOOKUP(BQ$10,'VK-Biokütused'!$C:$U,2+$E64,0))+IF(BQ$5="X",VLOOKUP(BQ$10,'VK-Põlevkivi'!$C:$X,2+$G64,0))+IF(BQ$4="X",VLOOKUP(BQ$10,'VK-Võrgud'!$C:$X,2+$F64,0)))/16</f>
        <v>127.6</v>
      </c>
      <c r="BR64" s="209">
        <f>(IF(BR$7="X",VLOOKUP(BR$10,'VK-Hooned-Soojus'!$C:$X,2+$C64,FALSE),0)+IF(BR$6="X",VLOOKUP(BR$10,'VK-Transport'!$C:$X,2+$B64,0))+IF(BR$8="X",VLOOKUP(BR$10,'VK-Elekter'!$C:$X,2+$D64,0))+IF(BR$9="X",VLOOKUP(BR$10,'VK-Biokütused'!$C:$U,2+$E64,0))+IF(BR$5="X",VLOOKUP(BR$10,'VK-Põlevkivi'!$C:$X,2+$G64,0))+IF(BR$4="X",VLOOKUP(BR$10,'VK-Võrgud'!$C:$X,2+$F64,0)))/16</f>
        <v>27.475000000000001</v>
      </c>
      <c r="BS64" s="209">
        <f>(IF(BS$7="X",VLOOKUP(BS$10,'VK-Hooned-Soojus'!$C:$X,2+$C64,FALSE),0)+IF(BS$6="X",VLOOKUP(BS$10,'VK-Transport'!$C:$X,2+$B64,0))+IF(BS$8="X",VLOOKUP(BS$10,'VK-Elekter'!$C:$X,2+$D64,0))+IF(BS$9="X",VLOOKUP(BS$10,'VK-Biokütused'!$C:$U,2+$E64,0))+IF(BS$5="X",VLOOKUP(BS$10,'VK-Põlevkivi'!$C:$X,2+$G64,0))+IF(BS$4="X",VLOOKUP(BS$10,'VK-Võrgud'!$C:$X,2+$F64,0)))/16</f>
        <v>-23.293749999999999</v>
      </c>
      <c r="BT64" s="209"/>
      <c r="BU64" s="209"/>
      <c r="BV64" s="209">
        <f>(IF(BV$7="X",VLOOKUP(BV$10,'VK-Hooned-Soojus'!$C:$X,2+$C64,FALSE),0)+IF(BV$6="X",VLOOKUP(BV$10,'VK-Transport'!$C:$X,2+$B64,0))+IF(BV$8="X",VLOOKUP(BV$10,'VK-Elekter'!$C:$X,2+$D64,0))+IF(BV$9="X",VLOOKUP(BV$10,'VK-Biokütused'!$C:$U,2+$E64,0))+IF(BV$5="X",VLOOKUP(BV$10,'VK-Põlevkivi'!$C:$X,2+$G64,0))+IF(BV$4="X",VLOOKUP(BV$10,'VK-Võrgud'!$C:$X,2+$F64,0)))/16</f>
        <v>0</v>
      </c>
      <c r="BW64" s="209"/>
      <c r="BX64" s="209">
        <f>(IF(BX$7="X",VLOOKUP(BX$10,'VK-Hooned-Soojus'!$C:$X,2+$C64,FALSE),0)+IF(BX$6="X",VLOOKUP(BX$10,'VK-Transport'!$C:$X,2+$B64,0))+IF(BX$8="X",VLOOKUP(BX$10,'VK-Elekter'!$C:$X,2+$D64,0))+IF(BX$9="X",VLOOKUP(BX$10,'VK-Biokütused'!$C:$U,2+$E64,0))+IF(BX$5="X",VLOOKUP(BX$10,'VK-Põlevkivi'!$C:$X,2+$G64,0))+IF(BX$4="X",VLOOKUP(BX$10,'VK-Võrgud'!$C:$X,2+$F64,0)))/16</f>
        <v>-99.4375</v>
      </c>
      <c r="BY64" s="209"/>
      <c r="BZ64" s="209"/>
      <c r="CA64" s="209" t="e">
        <f>(IF(CA$7="X",VLOOKUP(CA$10,'VK-Hooned-Soojus'!$C:$X,2+$C64,FALSE),0)+IF(CA$6="X",VLOOKUP(CA$10,'VK-Transport'!$C:$X,2+$B64,0))+IF(CA$8="X",VLOOKUP(CA$10,'VK-Elekter'!$C:$X,2+$D64,0))+IF(CA$9="X",VLOOKUP(CA$10,'VK-Biokütused'!$C:$U,2+$E64,0))+IF(CA$5="X",VLOOKUP(CA$10,'VK-Põlevkivi'!$C:$X,2+$G64,0))+IF(CA$4="X",VLOOKUP(CA$10,'VK-Võrgud'!$C:$X,2+$F64,0)))/16</f>
        <v>#N/A</v>
      </c>
      <c r="CB64" s="209">
        <f>(IF(CB$7="X",VLOOKUP(CB$10,'VK-Hooned-Soojus'!$C:$X,2+$C64,FALSE),0)+IF(CB$6="X",VLOOKUP(CB$10,'VK-Transport'!$C:$X,2+$B64,0))+IF(CB$8="X",VLOOKUP(CB$10,'VK-Elekter'!$C:$X,2+$D64,0))+IF(CB$9="X",VLOOKUP(CB$10,'VK-Biokütused'!$C:$U,2+$E64,0))+IF(CB$5="X",VLOOKUP(CB$10,'VK-Põlevkivi'!$C:$X,2+$G64,0))+IF(CB$4="X",VLOOKUP(CB$10,'VK-Võrgud'!$C:$X,2+$F64,0)))/16</f>
        <v>0</v>
      </c>
      <c r="CC64" s="209">
        <f>(IF(CC$7="X",VLOOKUP(CC$10,'VK-Hooned-Soojus'!$C:$X,2+$C64,FALSE),0)+IF(CC$6="X",VLOOKUP(CC$10,'VK-Transport'!$C:$X,2+$B64,0))+IF(CC$8="X",VLOOKUP(CC$10,'VK-Elekter'!$C:$X,2+$D64,0))+IF(CC$9="X",VLOOKUP(CC$10,'VK-Biokütused'!$C:$U,2+$E64,0))+IF(CC$5="X",VLOOKUP(CC$10,'VK-Põlevkivi'!$C:$X,2+$G64,0))+IF(CC$4="X",VLOOKUP(CC$10,'VK-Võrgud'!$C:$X,2+$F64,0)))/16</f>
        <v>0</v>
      </c>
      <c r="CD64" s="209"/>
      <c r="CE64" s="209">
        <f>(IF(CE$7="X",VLOOKUP(CE$10,'VK-Hooned-Soojus'!$C:$X,2+$C64,FALSE),0)+IF(CE$6="X",VLOOKUP(CE$10,'VK-Transport'!$C:$X,2+$B64,0))+IF(CE$8="X",VLOOKUP(CE$10,'VK-Elekter'!$C:$X,2+$D64,0))+IF(CE$9="X",VLOOKUP(CE$10,'VK-Biokütused'!$C:$U,2+$E64,0))+IF(CE$5="X",VLOOKUP(CE$10,'VK-Põlevkivi'!$C:$X,2+$G64,0))+IF(CE$4="X",VLOOKUP(CE$10,'VK-Võrgud'!$C:$X,2+$F64,0)))/16</f>
        <v>24.15625</v>
      </c>
      <c r="CF64" s="209"/>
      <c r="CG64" s="209">
        <f>(IF(CG$7="X",VLOOKUP(CG$10,'VK-Hooned-Soojus'!$C:$X,2+$C64,FALSE),0)+IF(CG$6="X",VLOOKUP(CG$10,'VK-Transport'!$C:$X,2+$B64,0))+IF(CG$8="X",VLOOKUP(CG$10,'VK-Elekter'!$C:$X,2+$D64,0))+IF(CG$9="X",VLOOKUP(CG$10,'VK-Biokütused'!$C:$U,2+$E64,0))+IF(CG$5="X",VLOOKUP(CG$10,'VK-Põlevkivi'!$C:$X,2+$G64,0))+IF(CG$4="X",VLOOKUP(CG$10,'VK-Võrgud'!$C:$X,2+$F64,0)))/16</f>
        <v>0</v>
      </c>
      <c r="CH64" s="209">
        <f>(IF(CH$7="X",VLOOKUP(CH$10,'VK-Hooned-Soojus'!$C:$X,2+$C64,FALSE),0)+IF(CH$6="X",VLOOKUP(CH$10,'VK-Transport'!$C:$X,2+$B64,0))+IF(CH$8="X",VLOOKUP(CH$10,'VK-Elekter'!$C:$X,2+$D64,0))+IF(CH$9="X",VLOOKUP(CH$10,'VK-Biokütused'!$C:$U,2+$E64,0))+IF(CH$5="X",VLOOKUP(CH$10,'VK-Põlevkivi'!$C:$X,2+$G64,0))+IF(CH$4="X",VLOOKUP(CH$10,'VK-Võrgud'!$C:$X,2+$F64,0)))/20*0.21</f>
        <v>5.6122500000000004</v>
      </c>
      <c r="CI64" s="209"/>
      <c r="CJ64" s="209">
        <f>(IF(CJ$7="X",VLOOKUP(CJ$10,'VK-Hooned-Soojus'!$C:$X,2+$C64,FALSE),0)+IF(CJ$6="X",VLOOKUP(CJ$10,'VK-Transport'!$C:$X,2+$B64,0))+IF(CJ$8="X",VLOOKUP(CJ$10,'VK-Elekter'!$C:$X,2+$D64,0))+IF(CJ$9="X",VLOOKUP(CJ$10,'VK-Biokütused'!$C:$U,2+$E64,0))+IF(CJ$5="X",VLOOKUP(CJ$10,'VK-Põlevkivi'!$C:$X,2+$G64,0))+IF(CJ$4="X",VLOOKUP(CJ$10,'VK-Võrgud'!$C:$X,2+$F64,0)))/1000</f>
        <v>19.103861099430585</v>
      </c>
      <c r="CK64" s="209">
        <f>(IF(CK$7="X",VLOOKUP(CK$10,'VK-Hooned-Soojus'!$C:$X,2+$C64,FALSE),0)+IF(CK$6="X",VLOOKUP(CK$10,'VK-Transport'!$C:$X,2+$B64,0))+IF(CK$8="X",VLOOKUP(CK$10,'VK-Elekter'!$C:$X,2+$D64,0))+IF(CK$9="X",VLOOKUP(CK$10,'VK-Biokütused'!$C:$U,2+$E64,0))+IF(CK$5="X",VLOOKUP(CK$10,'VK-Põlevkivi'!$C:$X,2+$G64,0))+IF(CK$4="X",VLOOKUP(CK$10,'VK-Võrgud'!$C:$X,2+$F64,0)))/1000</f>
        <v>12.804324637900008</v>
      </c>
      <c r="CL64" s="235">
        <f>(IF(CL$7="X",VLOOKUP(CL$10,'VK-Hooned-Soojus'!$C:$X,2+$C64,FALSE),0)+IF(CL$6="X",VLOOKUP(CL$10,'VK-Transport'!$C:$X,2+$B64,0))+IF(CL$8="X",VLOOKUP(CL$10,'VK-Elekter'!$C:$X,2+$D64,0))+IF(CL$9="X",VLOOKUP(CL$10,'VK-Biokütused'!$C:$U,2+$E64,0)))/1000</f>
        <v>8.8319419404241373</v>
      </c>
      <c r="CM64" s="209">
        <f>(IF(CM$7="X",VLOOKUP(CM$10,'VK-Hooned-Soojus'!$C:$X,2+$C64,FALSE),0)+IF(CM$6="X",VLOOKUP(CM$10,'VK-Transport'!$C:$X,2+$B64,0))+IF(CM$8="X",VLOOKUP(CM$10,'VK-Elekter'!$C:$X,2+$D64,0))+IF(CM$9="X",VLOOKUP(CM$10,'VK-Biokütused'!$C:$U,2+$E64,0))+IF(CM$5="X",VLOOKUP(CM$10,'VK-Põlevkivi'!$C:$X,2+$G64,0))+IF(CM$4="X",VLOOKUP(CM$10,'VK-Võrgud'!$C:$X,2+$F64,0)))/1000</f>
        <v>8.5453156794471035</v>
      </c>
      <c r="CN64" s="209">
        <f>(IF(CN$7="X",VLOOKUP(CN$10,'VK-Hooned-Soojus'!$C:$X,2+$C64,FALSE),0)+IF(CN$6="X",VLOOKUP(CN$10,'VK-Transport'!$C:$X,2+$B64,0))+IF(CN$8="X",VLOOKUP(CN$10,'VK-Elekter'!$C:$X,2+$D64,0))+IF(CN$9="X",VLOOKUP(CN$10,'VK-Biokütused'!$C:$U,2+$E64,0))+IF(CN$5="X",VLOOKUP(CN$10,'VK-Põlevkivi'!$C:$X,2+$G64,0))+IF(CN$4="X",VLOOKUP(CN$10,'VK-Võrgud'!$C:$X,2+$F64,0)))/1000</f>
        <v>3.1680000000000001</v>
      </c>
      <c r="CO64" s="209">
        <f>(IF(CO$7="X",VLOOKUP(CO$10,'VK-Hooned-Soojus'!$C:$X,2+$C64,FALSE),0)+IF(CO$6="X",VLOOKUP(CO$10,'VK-Transport'!$C:$X,2+$B64,0))+IF(CO$8="X",VLOOKUP(CO$10,'VK-Elekter'!$C:$X,2+$D64,0))+IF(CO$9="X",VLOOKUP(CO$10,'VK-Biokütused'!$C:$U,2+$E64,0))+IF(CO$5="X",VLOOKUP(CO$10,'VK-Põlevkivi'!$C:$X,2+$G64,0))+IF(CO$4="X",VLOOKUP(CO$10,'VK-Võrgud'!$C:$X,2+$F64,0)))/1000</f>
        <v>24.389575210797279</v>
      </c>
      <c r="CP64" s="209">
        <f>(IF(CP$7="X",VLOOKUP(CP$10,'VK-Hooned-Soojus'!$C:$X,2+$C64,FALSE),0)+IF(CP$6="X",VLOOKUP(CP$10,'VK-Transport'!$C:$X,2+$B64,0))+IF(CP$8="X",VLOOKUP(CP$10,'VK-Elekter'!$C:$X,2+$D64,0))+IF(CP$9="X",VLOOKUP(CP$10,'VK-Biokütused'!$C:$U,2+$E64,0))+IF(CP$5="X",VLOOKUP(CP$10,'VK-Põlevkivi'!$C:$X,2+$G64,0))+IF(CP$4="X",VLOOKUP(CP$10,'VK-Võrgud'!$C:$X,2+$F64,0)))/1000</f>
        <v>13.823994830349823</v>
      </c>
      <c r="CQ64" s="235">
        <f>(IF(CQ$7="X",VLOOKUP(CQ$10,'VK-Hooned-Soojus'!$C:$X,2+$C64,FALSE),0)+IF(CQ$6="X",VLOOKUP(CQ$10,'VK-Transport'!$C:$X,2+$B64,0))+IF(CQ$8="X",VLOOKUP(CQ$10,'VK-Elekter'!$C:$X,2+$D64,0))+IF(CQ$9="X",VLOOKUP(CQ$10,'VK-Biokütused'!$C:$U,2+$E64,0)))/1000</f>
        <v>10.857346</v>
      </c>
      <c r="CR64" s="209">
        <f>(IF(CR$7="X",VLOOKUP(CR$10,'VK-Hooned-Soojus'!$C:$X,2+$C64,FALSE),0)+IF(CR$6="X",VLOOKUP(CR$10,'VK-Transport'!$C:$X,2+$B64,0))+IF(CR$8="X",VLOOKUP(CR$10,'VK-Elekter'!$C:$X,2+$D64,0))+IF(CR$9="X",VLOOKUP(CR$10,'VK-Biokütused'!$C:$U,2+$E64,0))+IF(CR$5="X",VLOOKUP(CR$10,'VK-Põlevkivi'!$C:$X,2+$G64,0))+IF(CR$4="X",VLOOKUP(CR$10,'VK-Võrgud'!$C:$X,2+$F64,0)))/1000</f>
        <v>8.0930872784575758</v>
      </c>
      <c r="CS64" s="209">
        <f>(IF(CS$7="X",VLOOKUP(CS$10,'VK-Hooned-Soojus'!$C:$X,2+$C64,FALSE),0)+IF(CS$6="X",VLOOKUP(CS$10,'VK-Transport'!$C:$X,2+$B64,0))+IF(CS$8="X",VLOOKUP(CS$10,'VK-Elekter'!$C:$X,2+$D64,0))+IF(CS$9="X",VLOOKUP(CS$10,'VK-Biokütused'!$C:$U,2+$E64,0))+IF(CS$5="X",VLOOKUP(CS$10,'VK-Põlevkivi'!$C:$X,2+$G64,0))+IF(CS$4="X",VLOOKUP(CS$10,'VK-Võrgud'!$C:$X,2+$F64,0)))/1000</f>
        <v>3.8643344900598322</v>
      </c>
      <c r="CT64" s="209">
        <f>IF(CT$7="X",VLOOKUP(CT$10,'VK-Hooned-Soojus'!$C:$X,2+$C64,FALSE),0)+IF(CT$6="X",VLOOKUP(CT$10,'VK-Transport'!$C:$X,2+$B64,0))+IF(CT$8="X",VLOOKUP(CT$10,'VK-Elekter'!$C:$X,2+$D64,0))+IF(CT$9="X",VLOOKUP(CT$10,'VK-Biokütused'!$C:$U,2+$E64,0))+IF(CT$5="X",VLOOKUP(CT$10,'VK-Põlevkivi'!$C:$X,2+$G64,0))+IF(CT$4="X",VLOOKUP(CT$10,'VK-Võrgud'!$C:$X,2+$F64,0))</f>
        <v>90</v>
      </c>
      <c r="CU64" s="209">
        <f>IF(CU$7="X",VLOOKUP(CU$10,'VK-Hooned-Soojus'!$C:$X,2+$C64,FALSE),0)+IF(CU$6="X",VLOOKUP(CU$10,'VK-Transport'!$C:$X,2+$B64,0))+IF(CU$8="X",VLOOKUP(CU$10,'VK-Elekter'!$C:$X,2+$D64,0))+IF(CU$9="X",VLOOKUP(CU$10,'VK-Biokütused'!$C:$U,2+$E64,0))+IF(CU$5="X",VLOOKUP(CU$10,'VK-Põlevkivi'!$C:$X,2+$G64,0))+IF(CU$4="X",VLOOKUP(CU$10,'VK-Võrgud'!$C:$X,2+$F64,0))</f>
        <v>0.9337349397590361</v>
      </c>
      <c r="CV64" s="209">
        <f t="shared" si="37"/>
        <v>0.84317482403548605</v>
      </c>
      <c r="CW64" s="209">
        <f>(IF(CW$7="X",VLOOKUP(CW$10,'VK-Hooned-Soojus'!$C:$X,2+$C64,FALSE),0)+IF(CW$6="X",VLOOKUP(CW$10,'VK-Transport'!$C:$X,2+$B64,0))+IF(CW$8="X",VLOOKUP(CW$10,'VK-Elekter'!$C:$X,2+$D64,0))+IF(CW$9="X",VLOOKUP(CW$10,'VK-Biokütused'!$C:$U,2+$E64,0))+IF(CW$5="X",VLOOKUP(CW$10,'VK-Põlevkivi'!$C:$X,2+$G64,0))+IF(CW$4="X",VLOOKUP(CW$10,'VK-Võrgud'!$C:$X,2+$F64,0)))/16</f>
        <v>126.01875</v>
      </c>
      <c r="CY64" s="209">
        <f>(IF(CY$7="X",VLOOKUP(CY$10,'VK-Hooned-Soojus'!$C:$X,2+$C64,FALSE),0)+IF(CY$6="X",VLOOKUP(CY$10,'VK-Transport'!$C:$X,2+$B64,0))+IF(CY$8="X",VLOOKUP(CY$10,'VK-Elekter'!$C:$X,2+$D64,0))+IF(CY$9="X",VLOOKUP(CY$10,'VK-Biokütused'!$C:$U,2+$E64,0))+IF(CY$5="X",VLOOKUP(CY$10,'VK-Põlevkivi'!$C:$X,2+$G64,0))+IF(CY$4="X",VLOOKUP(CY$10,'VK-Võrgud'!$C:$X,2+$F64,0)))/1000</f>
        <v>11.3</v>
      </c>
      <c r="CZ64" s="209">
        <f>(IF(CZ$7="X",VLOOKUP(CZ$10,'VK-Hooned-Soojus'!$C:$X,2+$C64,FALSE),0)+IF(CZ$6="X",VLOOKUP(CZ$10,'VK-Transport'!$C:$X,2+$B64,0))+IF(CZ$8="X",VLOOKUP(CZ$10,'VK-Elekter'!$C:$X,2+$D64,0))+IF(CZ$9="X",VLOOKUP(CZ$10,'VK-Biokütused'!$C:$U,2+$E64,0))+IF(CZ$5="X",VLOOKUP(CZ$10,'VK-Põlevkivi'!$C:$X,2+$G64,0))+IF(CZ$4="X",VLOOKUP(CZ$10,'VK-Võrgud'!$C:$X,2+$F64,0)))</f>
        <v>76</v>
      </c>
      <c r="DA64" s="209">
        <f>(IF(DA$7="X",VLOOKUP(DA$10,'VK-Hooned-Soojus'!$C:$X,2+$C64,FALSE),0)+IF(DA$6="X",VLOOKUP(DA$10,'VK-Transport'!$C:$X,2+$B64,0))+IF(DA$8="X",VLOOKUP(DA$10,'VK-Elekter'!$C:$X,2+$D64,0))+IF(DA$9="X",VLOOKUP(DA$10,'VK-Biokütused'!$C:$U,2+$E64,0))+IF(DA$5="X",VLOOKUP(DA$10,'VK-Põlevkivi'!$C:$X,2+$G64,0))+IF(DA$4="X",VLOOKUP(DA$10,'VK-Võrgud'!$C:$X,2+$F64,0)))/1000</f>
        <v>15.228999999999999</v>
      </c>
      <c r="DB64" s="209">
        <f>(IF(DB$7="X",VLOOKUP(DB$10,'VK-Hooned-Soojus'!$C:$X,2+$C64,FALSE),0)+IF(DB$6="X",VLOOKUP(DB$10,'VK-Transport'!$C:$X,2+$B64,0))+IF(DB$8="X",VLOOKUP(DB$10,'VK-Elekter'!$C:$X,2+$D64,0))+IF(DB$9="X",VLOOKUP(DB$10,'VK-Biokütused'!$C:$U,2+$E64,0))+IF(DB$5="X",VLOOKUP(DB$10,'VK-Põlevkivi'!$C:$X,2+$G64,0))+IF(DB$4="X",VLOOKUP(DB$10,'VK-Võrgud'!$C:$X,2+$F64,0)))/1000/3.6</f>
        <v>67.367777777777775</v>
      </c>
      <c r="DC64" s="209">
        <f>(IF(DC$7="X",VLOOKUP(DC$10,'VK-Hooned-Soojus'!$C:$X,2+$C64,FALSE),0)+IF(DC$6="X",VLOOKUP(DC$10,'VK-Transport'!$C:$X,2+$B64,0))+IF(DC$8="X",VLOOKUP(DC$10,'VK-Elekter'!$C:$X,2+$D64,0))+IF(DC$9="X",VLOOKUP(DC$10,'VK-Biokütused'!$C:$U,2+$E64,0))+IF(DC$5="X",VLOOKUP(DC$10,'VK-Põlevkivi'!$C:$X,2+$G64,0))+IF(DC$4="X",VLOOKUP(DC$10,'VK-Võrgud'!$C:$X,2+$F64,0)))/1000000</f>
        <v>5.410209</v>
      </c>
      <c r="DD64" s="209"/>
      <c r="DE64" s="88">
        <f>VLOOKUP(Tulemused!$BN$12,data!M$7:N$12,2,FALSE)-SUM(L64,M64)</f>
        <v>-1.9738666666666731</v>
      </c>
      <c r="DF64" s="209" t="str">
        <f>IF(AZ64&lt;=VLOOKUP(Tulemused!$BN$15,data!$E$36:$F$39,2,FALSE),"JAH","EI")</f>
        <v>JAH</v>
      </c>
      <c r="DG64" s="209"/>
      <c r="DH64" s="209">
        <f t="shared" si="38"/>
        <v>6.78</v>
      </c>
      <c r="DI64" s="231" t="str">
        <f t="shared" si="17"/>
        <v>EI</v>
      </c>
      <c r="DK64" s="232">
        <f t="shared" si="39"/>
        <v>-995.3603558831478</v>
      </c>
      <c r="DM64" s="233">
        <f t="shared" si="40"/>
        <v>-993.97525213594429</v>
      </c>
      <c r="DN64" s="87">
        <f t="array" ref="DN64">INDEX($A$11:$A$145, SMALL(IF(DM64=$DK$11:$DK$145, MATCH(ROW($DK$11:$DK$145), ROW($DK$11:$DK$145))), SUM(--(DM64=$DM$11:DM64))))</f>
        <v>103</v>
      </c>
      <c r="DP64" s="87" t="e">
        <f t="shared" ca="1" si="18"/>
        <v>#N/A</v>
      </c>
      <c r="DQ64" s="87" t="e">
        <f t="shared" ca="1" si="19"/>
        <v>#N/A</v>
      </c>
      <c r="DR64" s="87">
        <f t="shared" ca="1" si="20"/>
        <v>0</v>
      </c>
      <c r="DS64" s="87" t="e">
        <f t="shared" ca="1" si="21"/>
        <v>#N/A</v>
      </c>
      <c r="DT64" s="87">
        <f t="shared" ca="1" si="22"/>
        <v>0</v>
      </c>
      <c r="DU64" s="87" t="e">
        <f t="shared" ca="1" si="23"/>
        <v>#N/A</v>
      </c>
      <c r="DV64" s="87" t="e">
        <f t="shared" ca="1" si="24"/>
        <v>#N/A</v>
      </c>
      <c r="DW64" s="87">
        <f t="shared" ca="1" si="25"/>
        <v>0</v>
      </c>
      <c r="DX64" s="87">
        <f t="shared" ca="1" si="26"/>
        <v>0</v>
      </c>
      <c r="DZ64" s="87">
        <f t="shared" ca="1" si="35"/>
        <v>0</v>
      </c>
      <c r="EB64" s="87">
        <f t="shared" ca="1" si="27"/>
        <v>0</v>
      </c>
      <c r="EC64" s="87" t="e">
        <f t="shared" ca="1" si="28"/>
        <v>#N/A</v>
      </c>
      <c r="EE64" s="228">
        <f>(IF(EE$7="X",VLOOKUP(EE$10,'VK-Hooned-Soojus'!$C:$X,2+$C64,FALSE),0)+IF(EE$6="X",VLOOKUP(EE$10,'VK-Transport'!$C:$X,2+$B64,0))+IF(EE$8="X",VLOOKUP(EE$10,'VK-Elekter'!$C:$X,2+$D64,0))+IF(EE$9="X",VLOOKUP(EE$10,'VK-Biokütused'!$C:$U,2+$E64,0))+IF(EE$5="X",VLOOKUP(EE$10,'VK-Põlevkivi'!$C:$X,2+$G64,0))+IF(EE$4="X",VLOOKUP(EE$10,'VK-Võrgud'!$C:$X,2+$F64,0)))</f>
        <v>11674.349049128719</v>
      </c>
      <c r="EF64" s="235">
        <f>(IF(EF$7="X",VLOOKUP(EF$10,'VK-Hooned-Soojus'!$C:$X,2+$C64,FALSE),0)+IF(EF$6="X",VLOOKUP(EF$10,'VK-Transport'!$C:$X,2+$B64,0))+IF(EF$8="X",VLOOKUP(EF$10,'VK-Elekter'!$C:$X,2+$D64,0))+IF(EF$9="X",VLOOKUP(EF$10,'VK-Biokütused'!$C:$U,2+$E64,0)))/1000</f>
        <v>5.3823823271229703</v>
      </c>
      <c r="EG64" s="209">
        <f>(IF(EG$7="X",VLOOKUP(EG$10,'VK-Hooned-Soojus'!$C:$X,2+$C64,FALSE),0)+IF(EG$6="X",VLOOKUP(EG$10,'VK-Transport'!$C:$X,2+$B64,0))+IF(EG$8="X",VLOOKUP(EG$10,'VK-Elekter'!$C:$X,2+$D64,0))+IF(EG$9="X",VLOOKUP(EG$10,'VK-Biokütused'!$C:$U,2+$E64,0))+IF(EG$5="X",VLOOKUP(EG$10,'VK-Põlevkivi'!$C:$X,2+$G64,0))+IF(EG$4="X",VLOOKUP(EG$10,'VK-Võrgud'!$C:$X,2+$F64,0)))</f>
        <v>2.95</v>
      </c>
      <c r="EH64" s="209">
        <f>(IF(EH$7="X",VLOOKUP(EH$10,'VK-Hooned-Soojus'!$C:$X,2+$C64,FALSE),0)+IF(EH$6="X",VLOOKUP(EH$10,'VK-Transport'!$C:$X,2+$B64,0))+IF(EH$8="X",VLOOKUP(EH$10,'VK-Elekter'!$C:$X,2+$D64,0))+IF(EH$9="X",VLOOKUP(EH$10,'VK-Biokütused'!$C:$U,2+$E64,0)))+AR64+AS64+AU64+AX64</f>
        <v>57.788667065771861</v>
      </c>
      <c r="EI64" s="320">
        <f t="shared" si="41"/>
        <v>50.550678294573636</v>
      </c>
      <c r="EJ64" s="322">
        <f t="shared" si="42"/>
        <v>7.7574305520047349E-2</v>
      </c>
      <c r="EK64" s="323">
        <f t="shared" si="29"/>
        <v>0.45353675847892722</v>
      </c>
      <c r="EM64" s="209"/>
      <c r="EN64" s="209">
        <f t="shared" ca="1" si="43"/>
        <v>0</v>
      </c>
      <c r="EO64" s="209"/>
      <c r="EP64" s="234"/>
      <c r="EQ64" s="209">
        <f>(IF(EQ$7="X",VLOOKUP(EQ$10,'VK-Hooned-Soojus'!$C:$X,2+$C64,FALSE),0)+IF(EQ$6="X",VLOOKUP(EQ$10,'VK-Transport'!$C:$X,2+$B64,0))+IF(EQ$8="X",VLOOKUP(EQ$10,'VK-Elekter'!$C:$X,2+$D64,0))+IF(EQ$9="X",VLOOKUP(EQ$10,'VK-Biokütused'!$C:$U,2+$E64,0))+IF(EQ$5="X",VLOOKUP(EQ$10,'VK-Põlevkivi'!$C:$X,2+$G64,0))+IF(EQ$4="X",VLOOKUP(EQ$10,'VK-Võrgud'!$C:$X,2+$F64,0)))/1000</f>
        <v>0.22900000000000001</v>
      </c>
      <c r="ER64" s="209">
        <f>(IF(ER$7="X",VLOOKUP(ER$10,'VK-Hooned-Soojus'!$C:$X,2+$C64,FALSE),0)+IF(ER$6="X",VLOOKUP(ER$10,'VK-Transport'!$C:$X,2+$B64,0))+IF(ER$8="X",VLOOKUP(ER$10,'VK-Elekter'!$C:$X,2+$D64,0))+IF(ER$9="X",VLOOKUP(ER$10,'VK-Biokütused'!$C:$U,2+$E64,0))+IF(ER$5="X",VLOOKUP(ER$10,'VK-Põlevkivi'!$C:$X,2+$G64,0))+IF(ER$4="X",VLOOKUP(ER$10,'VK-Võrgud'!$C:$X,2+$F64,0)))</f>
        <v>0.82899999999999996</v>
      </c>
      <c r="ES64" s="209">
        <f>(IF(ES$7="X",VLOOKUP(ES$10,'VK-Hooned-Soojus'!$C:$X,2+$C64,FALSE),0)+IF(ES$6="X",VLOOKUP(ES$10,'VK-Transport'!$C:$X,2+$B64,0))+IF(ES$8="X",VLOOKUP(ES$10,'VK-Elekter'!$C:$X,2+$D64,0))+IF(ES$9="X",VLOOKUP(ES$10,'VK-Biokütused'!$C:$U,2+$E64,0))+IF(ES$5="X",VLOOKUP(ES$10,'VK-Põlevkivi'!$C:$X,2+$G64,0))+IF(ES$4="X",VLOOKUP(ES$10,'VK-Võrgud'!$C:$X,2+$F64,0)))</f>
        <v>6.78</v>
      </c>
      <c r="ET64" s="209"/>
      <c r="EU64" s="209"/>
      <c r="EV64" s="87">
        <f>'KSH järjestus'!AS57</f>
        <v>1706</v>
      </c>
      <c r="EX64" s="236"/>
      <c r="EY64" s="236"/>
      <c r="EZ64" s="237">
        <f t="shared" si="44"/>
        <v>6.6265060240963902E-2</v>
      </c>
      <c r="FA64" s="209">
        <f>IF(FA$7="X",VLOOKUP(FA$10,'VK-Hooned-Soojus'!$C:$X,2+$C64,FALSE),0)+IF(FA$6="X",VLOOKUP(FA$10,'VK-Transport'!$C:$X,2+$B64,0))+IF(FA$8="X",VLOOKUP(FA$10,'VK-Elekter'!$C:$X,2+$D64,0))+IF(FA$9="X",VLOOKUP(FA$10,'VK-Biokütused'!$C:$U,2+$E64,0))+IF(FA$5="X",VLOOKUP(FA$10,'VK-Põlevkivi'!$C:$X,2+$G64,0))+IF(FA$4="X",VLOOKUP(FA$10,'VK-Võrgud'!$C:$X,2+$F64,0))</f>
        <v>3412.346</v>
      </c>
      <c r="FB64" s="279">
        <f>(IF(FB$7="X",VLOOKUP(FB$10,'VK-Hooned-Soojus'!$C:$X,2+$C64,FALSE),0)+IF(FB$6="X",VLOOKUP(FB$10,'VK-Transport'!$C:$X,2+$B64,0))+IF(FB$8="X",VLOOKUP(FB$10,'VK-Elekter'!$C:$X,2+$D64,0))+IF(FB$9="X",VLOOKUP(FB$10,'VK-Biokütused'!$C:$U,2+$E64,0))+IF(FB$5="X",VLOOKUP(FB$10,'VK-Põlevkivi'!$C:$X,2+$G64,0))+IF(FB$4="X",VLOOKUP(FB$10,'VK-Võrgud'!$C:$X,2+$F64,0)))/16</f>
        <v>486.6228214923712</v>
      </c>
      <c r="FC64" s="209">
        <f>IF(FC$7="X",VLOOKUP(FC$10,'VK-Hooned-Soojus'!$C:$X,2+$C64,FALSE),0)+IF(FC$6="X",VLOOKUP(FC$10,'VK-Transport'!$C:$X,2+$B64,0))+IF(FC$8="X",VLOOKUP(FC$10,'VK-Elekter'!$C:$X,2+$D64,0))+IF(FC$9="X",VLOOKUP(FC$10,'VK-Biokütused'!$C:$U,2+$E64,0))+IF(FC$5="X",VLOOKUP(FC$10,'VK-Põlevkivi'!$C:$X,2+$G64,0))+IF(FC$4="X",VLOOKUP(FC$10,'VK-Võrgud'!$C:$X,2+$F64,0))</f>
        <v>327.54999999999995</v>
      </c>
      <c r="FD64" s="209">
        <f>(IF(FD$7="X",VLOOKUP(FD$10,'VK-Hooned-Soojus'!$C:$X,2+$C64,FALSE),0)+IF(FD$6="X",VLOOKUP(FD$10,'VK-Transport'!$C:$X,2+$B64,0))+IF(FD$8="X",VLOOKUP(FD$10,'VK-Elekter'!$C:$X,2+$D64,0))+IF(FD$9="X",VLOOKUP(FD$10,'VK-Biokütused'!$C:$U,2+$E64,0))+IF(FD$5="X",VLOOKUP(FD$10,'VK-Põlevkivi'!$C:$X,2+$G64,0))+IF(FD$4="X",VLOOKUP(FD$10,'VK-Võrgud'!$C:$X,2+$F64,0)))/16</f>
        <v>486.6228214923712</v>
      </c>
      <c r="FE64" s="209">
        <f>(IF(FE$7="X",VLOOKUP(FE$10,'VK-Hooned-Soojus'!$C:$X,2+$C64,FALSE),0)+IF(FE$6="X",VLOOKUP(FE$10,'VK-Transport'!$C:$X,2+$B64,0))+IF(FE$8="X",VLOOKUP(FE$10,'VK-Elekter'!$C:$X,2+$D64,0))+IF(FE$9="X",VLOOKUP(FE$10,'VK-Biokütused'!$C:$U,2+$E64,0))+IF(FE$5="X",VLOOKUP(FE$10,'VK-Põlevkivi'!$C:$X,2+$G64,0))+IF(FE$4="X",VLOOKUP(FE$10,'VK-Võrgud'!$C:$X,2+$F64,0)))/16</f>
        <v>-59.422063699091041</v>
      </c>
      <c r="FF64" s="209">
        <f>(IF(FF$7="X",VLOOKUP(FF$10,'VK-Hooned-Soojus'!$C:$X,2+$C64,FALSE),0)+IF(FF$6="X",VLOOKUP(FF$10,'VK-Transport'!$C:$X,2+$B64,0))+IF(FF$8="X",VLOOKUP(FF$10,'VK-Elekter'!$C:$X,2+$D64,0))+IF(FF$9="X",VLOOKUP(FF$10,'VK-Biokütused'!$C:$U,2+$E64,0))+IF(FF$5="X",VLOOKUP(FF$10,'VK-Põlevkivi'!$C:$X,2+$G64,0))+IF(FF$4="X",VLOOKUP(FF$10,'VK-Võrgud'!$C:$X,2+$F64,0)))/16</f>
        <v>170.08015899080229</v>
      </c>
      <c r="FG64" s="88">
        <f t="shared" ca="1" si="30"/>
        <v>110.65809529171125</v>
      </c>
      <c r="FH64" s="88"/>
      <c r="FI64" s="88"/>
      <c r="FJ64" s="88">
        <f>VLOOKUP(Tulemused!$BN$12,data!M$7:N$12,2,FALSE)-SUM(L64,M64)</f>
        <v>-1.9738666666666731</v>
      </c>
      <c r="FK64" s="209" t="str">
        <f>IF(AZ64&lt;=VLOOKUP(Tulemused!$BN$15,data!$E$36:$F$39,2,FALSE),"JAH","EI")</f>
        <v>JAH</v>
      </c>
      <c r="FL64" s="235">
        <f ca="1">IF(ISNA(MATCH($A64,INDIRECT(VLOOKUP(Tulemused!$BF$11,data!$J$57:$M$71,4,FALSE)))),0,MATCH($A64,INDIRECT(VLOOKUP(Tulemused!$BF$11,data!$J$57:$M$71,4,FALSE))))</f>
        <v>0</v>
      </c>
      <c r="FM64" s="235" t="str">
        <f t="shared" ca="1" si="45"/>
        <v>JAH</v>
      </c>
      <c r="FN64" s="209">
        <f>VLOOKUP(Tulemused!$BN$13,data!$C$132:$D$137,2,FALSE)-KOMBI!R64</f>
        <v>2.9553876728770305</v>
      </c>
      <c r="FO64" s="209"/>
      <c r="FP64" s="209">
        <f>VLOOKUP(Tulemused!$BN$17,NO_x,2,FALSE)-CJ64</f>
        <v>10.334138900569414</v>
      </c>
      <c r="FQ64" s="209">
        <f>VLOOKUP(Tulemused!$BN$18,SO_2,2,FALSE)-CK64</f>
        <v>39.079675362099991</v>
      </c>
      <c r="FR64" s="209">
        <f>VLOOKUP(Tulemused!$BN$19,LOU,2,FALSE)-CN64</f>
        <v>33.912000000000006</v>
      </c>
      <c r="FS64" s="209">
        <f>VLOOKUP(Tulemused!$BN$20,PM_2.5,2,FALSE)-CM64</f>
        <v>8.3696843205528957</v>
      </c>
      <c r="FT64" s="209">
        <f>VLOOKUP(Tulemused!$BN$13,data!$C$132:$D$137,2,FALSE)-FA64/1000</f>
        <v>2.8336240000000008</v>
      </c>
      <c r="FU64" s="209">
        <f>VLOOKUP(Tulemused!$BN$17,NO_x,2,FALSE)-CO64</f>
        <v>5.0484247892027199</v>
      </c>
      <c r="FV64" s="209">
        <f>VLOOKUP(Tulemused!$BN$18,SO_2,2,FALSE)-CP64</f>
        <v>38.060005169650175</v>
      </c>
      <c r="FW64" s="209">
        <f>VLOOKUP(Tulemused!$BN$19,LOU,2,FALSE)-CS64</f>
        <v>33.215665509940173</v>
      </c>
      <c r="FX64" s="209">
        <f>VLOOKUP(Tulemused!$BN$20,PM_2.5,2,FALSE)-CR64</f>
        <v>8.8219127215424233</v>
      </c>
      <c r="FY64" s="209">
        <f>VLOOKUP(Tulemused!$BN$14,KHG_2050,2,FALSE)-EF64</f>
        <v>94.617617672877032</v>
      </c>
      <c r="FZ64" s="231" t="str">
        <f t="shared" ca="1" si="31"/>
        <v>EI</v>
      </c>
      <c r="GA64" s="209"/>
      <c r="GB64" s="209"/>
      <c r="GC64" s="209"/>
      <c r="GD64" s="231"/>
      <c r="GE64" s="87">
        <f t="shared" si="46"/>
        <v>1706</v>
      </c>
      <c r="GF64" s="232" t="str">
        <f t="shared" ca="1" si="32"/>
        <v/>
      </c>
      <c r="GH64" s="238" t="e">
        <f t="shared" ca="1" si="47"/>
        <v>#NUM!</v>
      </c>
      <c r="GI64" s="87" t="e">
        <f t="array" aca="1" ref="GI64" ca="1">INDEX($A$11:$A$145, SMALL(IF(GH64=$GF$11:$GF$145, MATCH(ROW($GF$11:$GF$145), ROW($GF$11:$GF$145))), SUM(--(GH64=$GH$11:GH64))))</f>
        <v>#NUM!</v>
      </c>
      <c r="GM64" s="209">
        <f>IF(GM$7="X",VLOOKUP(GM$10,'VK-Hooned-Soojus'!$C:$X,2+$C64,FALSE),0)+IF(GM$6="X",VLOOKUP(GM$10,'VK-Transport'!$C:$X,2+$B64,0))+IF(GM$8="X",VLOOKUP(GM$10,'VK-Elekter'!$C:$X,2+$D64,0))+IF(GM$9="X",VLOOKUP(GM$10,'VK-Biokütused'!$C:$U,2+$E64,0))+IF(GM$5="X",VLOOKUP(GM$10,'VK-Põlevkivi'!$C:$X,2+$G64,0))+IF(GM$4="X",VLOOKUP(GM$10,'VK-Võrgud'!$C:$X,2+$F64,0))</f>
        <v>6.011750640646909</v>
      </c>
      <c r="GN64" s="209">
        <f>IF(GN$7="X",VLOOKUP(GN$10,'VK-Hooned-Soojus'!$C:$X,2+$C64,FALSE),0)+IF(GN$6="X",VLOOKUP(GN$10,'VK-Transport'!$C:$X,2+$B64,0))+IF(GN$8="X",VLOOKUP(GN$10,'VK-Elekter'!$C:$X,2+$D64,0))+IF(GN$9="X",VLOOKUP(GN$10,'VK-Biokütused'!$C:$U,2+$E64,0))+IF(GN$5="X",VLOOKUP(GN$10,'VK-Põlevkivi'!$C:$X,2+$G64,0))+IF(GN$4="X",VLOOKUP(GN$10,'VK-Võrgud'!$C:$X,2+$F64,0))</f>
        <v>3.4528686473995491</v>
      </c>
      <c r="GO64" s="209">
        <f>IF(GO$7="X",VLOOKUP(GO$10,'VK-Hooned-Soojus'!$C:$X,2+$C64,FALSE),0)+IF(GO$6="X",VLOOKUP(GO$10,'VK-Transport'!$C:$X,2+$B64,0))+IF(GO$8="X",VLOOKUP(GO$10,'VK-Elekter'!$C:$X,2+$D64,0))+IF(GO$9="X",VLOOKUP(GO$10,'VK-Biokütused'!$C:$U,2+$E64,0))+IF(GO$5="X",VLOOKUP(GO$10,'VK-Põlevkivi'!$C:$X,2+$G64,0))+IF(GO$4="X",VLOOKUP(GO$10,'VK-Võrgud'!$C:$X,2+$F64,0))</f>
        <v>8.7471755658278116</v>
      </c>
      <c r="GP64" s="209">
        <f>IF(GP$7="X",VLOOKUP(GP$10,'VK-Hooned-Soojus'!$C:$X,2+$C64,FALSE),0)+IF(GP$6="X",VLOOKUP(GP$10,'VK-Transport'!$C:$X,2+$B64,0))+IF(GP$8="X",VLOOKUP(GP$10,'VK-Elekter'!$C:$X,2+$D64,0))+IF(GP$9="X",VLOOKUP(GP$10,'VK-Biokütused'!$C:$U,2+$E64,0))+IF(GP$5="X",VLOOKUP(GP$10,'VK-Põlevkivi'!$C:$X,2+$G64,0))+IF(GP$4="X",VLOOKUP(GP$10,'VK-Võrgud'!$C:$X,2+$F64,0))</f>
        <v>9.3279335818485372</v>
      </c>
      <c r="GQ64" s="88">
        <f>IF(GQ$7="X",VLOOKUP(GQ$10,'VK-Hooned-Soojus'!$C:$X,2+$C64,FALSE),0)+IF(GQ$6="X",VLOOKUP(GQ$10,'VK-Transport'!$C:$X,2+$B64,0))+IF(GQ$8="X",VLOOKUP(GQ$10,'VK-Elekter'!$C:$X,2+$D64,0))+IF(GQ$9="X",VLOOKUP(GQ$10,'VK-Biokütused'!$C:$U,2+$E64,0))+IF(GQ$5="X",VLOOKUP(GQ$10,'VK-Põlevkivi'!$C:$X,2+$G64,0))+IF(GQ$4="X",VLOOKUP(GQ$10,'VK-Võrgud'!$C:$X,2+$F64,0))</f>
        <v>0.90618397335647782</v>
      </c>
      <c r="GR64" s="186">
        <f t="shared" si="33"/>
        <v>0.3932288700231153</v>
      </c>
    </row>
    <row r="65" spans="1:200" x14ac:dyDescent="0.2">
      <c r="A65" s="184">
        <v>55</v>
      </c>
      <c r="B65" s="87">
        <v>2</v>
      </c>
      <c r="C65" s="87">
        <v>1</v>
      </c>
      <c r="D65" s="87">
        <v>4</v>
      </c>
      <c r="E65" s="87">
        <v>1</v>
      </c>
      <c r="F65" s="87">
        <f>VLOOKUP(Tulemused!$BF$7,data!$J$6:$K$8,2,FALSE)</f>
        <v>2</v>
      </c>
      <c r="G65" s="87">
        <f>VLOOKUP(data!$H$2,data!$J$12:$K$14,2,FALSE)</f>
        <v>2</v>
      </c>
      <c r="I65" s="209">
        <f>IF(I$7="X",VLOOKUP(I$10,'VK-Hooned-Soojus'!$C:$X,2+$C65,FALSE),0)+IF(I$6="X",VLOOKUP(I$10,'VK-Transport'!$C:$X,2+$B65,0))+IF(I$8="X",VLOOKUP(I$10,'VK-Elekter'!$C:$X,2+$D65,0))+IF(I$9="X",VLOOKUP(I$10,'VK-Biokütused'!$C:$U,2+$E65,0))+IF(I$5="X",VLOOKUP(I$10,'VK-Põlevkivi'!$C:$X,2+$G65,0))+IF(I$4="X",VLOOKUP(I$10,'VK-Võrgud'!$C:$X,2+$F65,0))</f>
        <v>26.89</v>
      </c>
      <c r="J65" s="209">
        <f>IF(J$7="X",VLOOKUP(J$10,'VK-Hooned-Soojus'!$C:$X,2+$C65,FALSE),0)+IF(J$6="X",VLOOKUP(J$10,'VK-Transport'!$C:$X,2+$B65,0))+IF(J$8="X",VLOOKUP(J$10,'VK-Elekter'!$C:$X,2+$D65,0))+IF(J$9="X",VLOOKUP(J$10,'VK-Biokütused'!$C:$U,2+$E65,0))+IF(J$5="X",VLOOKUP(J$10,'VK-Põlevkivi'!$C:$X,2+$G65,0))+IF(J$4="X",VLOOKUP(J$10,'VK-Võrgud'!$C:$X,2+$F65,0))</f>
        <v>11.138055555555555</v>
      </c>
      <c r="K65" s="209">
        <f>IF(K$7="X",VLOOKUP(K$10,'VK-Hooned-Soojus'!$C:$X,2+$C65,FALSE),0)+IF(K$6="X",VLOOKUP(K$10,'VK-Transport'!$C:$X,2+$B65,0))+IF(K$8="X",VLOOKUP(K$10,'VK-Elekter'!$C:$X,2+$D65,0))+IF(K$9="X",VLOOKUP(K$10,'VK-Biokütused'!$C:$U,2+$E65,0))+IF(K$5="X",VLOOKUP(K$10,'VK-Põlevkivi'!$C:$X,2+$G65,0))+IF(K$4="X",VLOOKUP(K$10,'VK-Võrgud'!$C:$X,2+$F65,0))</f>
        <v>16.75</v>
      </c>
      <c r="L65" s="209">
        <f>IF(L$7="X",VLOOKUP(L$10,'VK-Hooned-Soojus'!$C:$X,2+$C65,FALSE),0)+IF(L$6="X",VLOOKUP(L$10,'VK-Transport'!$C:$X,2+$B65,0))+IF(L$8="X",VLOOKUP(L$10,'VK-Elekter'!$C:$X,2+$D65,0))+IF(L$9="X",VLOOKUP(L$10,'VK-Biokütused'!$C:$U,2+$E65,0))+IF(L$5="X",VLOOKUP(L$10,'VK-Põlevkivi'!$C:$X,2+$G65,0))+IF(L$4="X",VLOOKUP(L$10,'VK-Võrgud'!$C:$X,2+$F65,0))</f>
        <v>24.95</v>
      </c>
      <c r="M65" s="209">
        <f>IF(M$7="X",VLOOKUP(M$10,'VK-Hooned-Soojus'!$C:$X,2+$C65,FALSE),0)+IF(M$6="X",VLOOKUP(M$10,'VK-Transport'!$C:$X,2+$B65,0))+IF(M$8="X",VLOOKUP(M$10,'VK-Elekter'!$C:$X,2+$D65,0))+IF(M$9="X",VLOOKUP(M$10,'VK-Biokütused'!$C:$U,2+$E65,0))+IF(M$5="X",VLOOKUP(M$10,'VK-Põlevkivi'!$C:$X,2+$G65,0))+IF(M$4="X",VLOOKUP(M$10,'VK-Võrgud'!$C:$X,2+$F65,0))</f>
        <v>9.8566666666666674</v>
      </c>
      <c r="N65" s="209">
        <f>IF(N$7="X",VLOOKUP(N$10,'VK-Hooned-Soojus'!$C:$X,2+$C65,FALSE),0)+IF(N$6="X",VLOOKUP(N$10,'VK-Transport'!$C:$X,2+$B65,0))+IF(N$8="X",VLOOKUP(N$10,'VK-Elekter'!$C:$X,2+$D65,0))+IF(N$9="X",VLOOKUP(N$10,'VK-Biokütused'!$C:$U,2+$E65,0))+IF(N$5="X",VLOOKUP(N$10,'VK-Põlevkivi'!$C:$X,2+$G65,0))+IF(N$4="X",VLOOKUP(N$10,'VK-Võrgud'!$C:$X,2+$F65,0))</f>
        <v>16.75</v>
      </c>
      <c r="O65" s="209">
        <f t="shared" si="13"/>
        <v>38.028055555555554</v>
      </c>
      <c r="P65" s="209"/>
      <c r="Q65" s="209">
        <f>(IF(Q$7="X",VLOOKUP(Q$10,'VK-Hooned-Soojus'!$C:$X,2+$C65,FALSE),0)+IF(Q$6="X",VLOOKUP(Q$10,'VK-Transport'!$C:$X,2+$B65,0))+IF(Q$8="X",VLOOKUP(Q$10,'VK-Elekter'!$C:$X,2+$D65,0))+IF(Q$9="X",VLOOKUP(Q$10,'VK-Biokütused'!$C:$U,2+$E65,0))+IF(Q$5="X",VLOOKUP(Q$10,'VK-Põlevkivi'!$C:$X,2+$G65,0))+IF(Q$4="X",VLOOKUP(Q$10,'VK-Võrgud'!$C:$X,2+$F65,0)))/1000</f>
        <v>1.6020000000000001</v>
      </c>
      <c r="R65" s="209">
        <f>(IF(R$7="X",VLOOKUP(R$10,'VK-Hooned-Soojus'!$C:$X,2+$C65,FALSE),0)+IF(R$6="X",VLOOKUP(R$10,'VK-Transport'!$C:$X,2+$B65,0))+IF(R$8="X",VLOOKUP(R$10,'VK-Elekter'!$C:$X,2+$D65,0))+IF(R$9="X",VLOOKUP(R$10,'VK-Biokütused'!$C:$U,2+$E65,0))+IF(R$5="X",VLOOKUP(R$10,'VK-Põlevkivi'!$C:$X,2+$G65,0))+IF(R$4="X",VLOOKUP(R$10,'VK-Võrgud'!$C:$X,2+$F65,0)))/1000</f>
        <v>2.7043823271229703</v>
      </c>
      <c r="S65" s="226">
        <f>VLOOKUP(S$10,'VK-Hooned-Soojus'!$C:$I,2+$C65,FALSE) + VLOOKUP(S$10,'VK-Transport'!$C:$I,2+$B65,FALSE)+ VLOOKUP(S$10,'VK-Biokütused'!$C:$G,2+$E65,FALSE)+ VLOOKUP(S$10,'VK-Elekter'!$C:$I,2+$D65,FALSE)+ VLOOKUP(S$10,'VK-Põlevkivi'!$C:$I,2+$G65,FALSE)+ VLOOKUP(S$10,'VK-Võrgud'!$C:$I,2+$F65,FALSE)</f>
        <v>5.9777154073127068E-3</v>
      </c>
      <c r="T65" s="226">
        <f>VLOOKUP(T$10,'VK-Hooned-Soojus'!$C:$I,2+$C65,FALSE) + VLOOKUP(T$10,'VK-Transport'!$C:$I,2+$B65,FALSE)+ VLOOKUP(T$10,'VK-Biokütused'!$C:$G,2+$E65,FALSE)+ VLOOKUP(T$10,'VK-Elekter'!$C:$I,2+$D65,FALSE)+ VLOOKUP(T$10,'VK-Põlevkivi'!$C:$I,2+$G65,FALSE)+ VLOOKUP(T$10,'VK-Võrgud'!$C:$I,2+$F65,FALSE)</f>
        <v>2.210325439872738E-3</v>
      </c>
      <c r="U65" s="226">
        <f>VLOOKUP(U$10,'VK-Hooned-Soojus'!$C:$I,2+$C65,FALSE) + VLOOKUP(U$10,'VK-Transport'!$C:$I,2+$B65,FALSE)+ VLOOKUP(U$10,'VK-Biokütused'!$C:$G,2+$E65,FALSE)+ VLOOKUP(U$10,'VK-Elekter'!$C:$I,2+$D65,FALSE)+ VLOOKUP(U$10,'VK-Põlevkivi'!$C:$I,2+$G65,FALSE)+ VLOOKUP(U$10,'VK-Võrgud'!$C:$I,2+$F65,FALSE)</f>
        <v>1.5446725379990034E-3</v>
      </c>
      <c r="V65" s="226">
        <f>VLOOKUP(V$10,'VK-Hooned-Soojus'!$C:$I,2+$C65,FALSE) + VLOOKUP(V$10,'VK-Transport'!$C:$I,2+$B65,FALSE)+ VLOOKUP(V$10,'VK-Biokütused'!$C:$G,2+$E65,FALSE)+ VLOOKUP(V$10,'VK-Elekter'!$C:$I,2+$D65,FALSE)+ VLOOKUP(V$10,'VK-Põlevkivi'!$C:$I,2+$G65,FALSE)+ VLOOKUP(V$10,'VK-Võrgud'!$C:$I,2+$F65,FALSE)</f>
        <v>4.4505596402942896E-3</v>
      </c>
      <c r="W65" s="226">
        <f>VLOOKUP(W$10,'VK-Hooned-Soojus'!$C:$I,2+$C65,FALSE) + VLOOKUP(W$10,'VK-Transport'!$C:$I,2+$B65,FALSE)+ VLOOKUP(W$10,'VK-Biokütused'!$C:$G,2+$E65,FALSE)+ VLOOKUP(W$10,'VK-Elekter'!$C:$I,2+$D65,FALSE)+ VLOOKUP(W$10,'VK-Põlevkivi'!$C:$I,2+$G65,FALSE)+ VLOOKUP(W$10,'VK-Võrgud'!$C:$I,2+$F65,FALSE)</f>
        <v>-3.6243979390874467E-2</v>
      </c>
      <c r="X65" s="226">
        <f>VLOOKUP(X$10,'VK-Hooned-Soojus'!$C:$I,2+$C65,FALSE) + VLOOKUP(X$10,'VK-Transport'!$C:$I,2+$B65,FALSE)+ VLOOKUP(X$10,'VK-Biokütused'!$C:$G,2+$E65,FALSE)+ VLOOKUP(X$10,'VK-Elekter'!$C:$I,2+$D65,FALSE)+ VLOOKUP(X$10,'VK-Põlevkivi'!$C:$I,2+$G65,FALSE)+ VLOOKUP(X$10,'VK-Võrgud'!$C:$I,2+$F65,FALSE)</f>
        <v>-0.1609761302137768</v>
      </c>
      <c r="Y65" s="226">
        <f>VLOOKUP(Y$10,'VK-Hooned-Soojus'!$C:$I,2+$C65,FALSE) + VLOOKUP(Y$10,'VK-Transport'!$C:$I,2+$B65,FALSE)+ VLOOKUP(Y$10,'VK-Biokütused'!$C:$G,2+$E65,FALSE)+ VLOOKUP(Y$10,'VK-Elekter'!$C:$I,2+$D65,FALSE)+ VLOOKUP(Y$10,'VK-Põlevkivi'!$C:$I,2+$G65,FALSE)+ VLOOKUP(Y$10,'VK-Võrgud'!$C:$I,2+$F65,FALSE)</f>
        <v>-7.3040295863748272E-2</v>
      </c>
      <c r="Z65" s="227">
        <f>(S65*Tulemused!$Q$9*10+T65*Tulemused!$Q$10*10+KOMBI!U65*Tulemused!$Q$11*10+KOMBI!V65*Tulemused!$Q$12*10)*Tulemused!$Q$8+-(W65*Tulemused!$Q$14*10+KOMBI!X65*Tulemused!$Q$15*10+KOMBI!Y65*Tulemused!$Q$16*10)*Tulemused!$Q$13</f>
        <v>6.7133339949012809</v>
      </c>
      <c r="AA65" s="228">
        <f>(IF(AA$7="X",VLOOKUP(AA$10,'VK-Hooned-Soojus'!$C:$X,2+$C65,FALSE),0)+IF(AA$6="X",VLOOKUP(AA$10,'VK-Transport'!$C:$X,2+$B65,0))+IF(AA$8="X",VLOOKUP(AA$10,'VK-Elekter'!$C:$X,2+$D65,0))+IF(AA$9="X",VLOOKUP(AA$10,'VK-Biokütused'!$C:$U,2+$E65,0))+IF(AA$5="X",VLOOKUP(AA$10,'VK-Põlevkivi'!$C:$X,2+$G65,0))+IF(AA$4="X",VLOOKUP(AA$10,'VK-Võrgud'!$C:$X,2+$F65,0)))</f>
        <v>0</v>
      </c>
      <c r="AB65" s="228">
        <f>(IF(AB$7="X",VLOOKUP(AB$10,'VK-Hooned-Soojus'!$C:$X,2+$C65,FALSE),0)+IF(AB$6="X",VLOOKUP(AB$10,'VK-Transport'!$C:$X,2+$B65,0))+IF(AB$8="X",VLOOKUP(AB$10,'VK-Elekter'!$C:$X,2+$D65,0))+IF(AB$9="X",VLOOKUP(AB$10,'VK-Biokütused'!$C:$U,2+$E65,0))+IF(AB$5="X",VLOOKUP(AB$10,'VK-Põlevkivi'!$C:$X,2+$G65,0))+IF(AB$4="X",VLOOKUP(AB$10,'VK-Võrgud'!$C:$X,2+$F65,0)))</f>
        <v>1602</v>
      </c>
      <c r="AC65" s="228">
        <f>(IF(AC$7="X",VLOOKUP(AC$10,'VK-Hooned-Soojus'!$C:$X,2+$C65,FALSE),0)+IF(AC$6="X",VLOOKUP(AC$10,'VK-Transport'!$C:$X,2+$B65,0))+IF(AC$8="X",VLOOKUP(AC$10,'VK-Elekter'!$C:$X,2+$D65,0))+IF(AC$9="X",VLOOKUP(AC$10,'VK-Biokütused'!$C:$U,2+$E65,0))+IF(AC$5="X",VLOOKUP(AC$10,'VK-Põlevkivi'!$C:$X,2+$G65,0))+IF(AC$4="X",VLOOKUP(AC$10,'VK-Võrgud'!$C:$X,2+$F65,0)))</f>
        <v>2346</v>
      </c>
      <c r="AD65" s="228">
        <f>(IF(AD$7="X",VLOOKUP(AD$10,'VK-Hooned-Soojus'!$C:$X,2+$C65,FALSE),0)+IF(AD$6="X",VLOOKUP(AD$10,'VK-Transport'!$C:$X,2+$B65,0))+IF(AD$8="X",VLOOKUP(AD$10,'VK-Elekter'!$C:$X,2+$D65,0))+IF(AD$9="X",VLOOKUP(AD$10,'VK-Biokütused'!$C:$U,2+$E65,0))+IF(AD$5="X",VLOOKUP(AD$10,'VK-Põlevkivi'!$C:$X,2+$G65,0))+IF(AD$4="X",VLOOKUP(AD$10,'VK-Võrgud'!$C:$X,2+$F65,0)))</f>
        <v>0</v>
      </c>
      <c r="AE65" s="228">
        <f>(IF(AE$7="X",VLOOKUP(AE$10,'VK-Hooned-Soojus'!$C:$X,2+$C65,FALSE),0)+IF(AE$6="X",VLOOKUP(AE$10,'VK-Transport'!$C:$X,2+$B65,0))+IF(AE$8="X",VLOOKUP(AE$10,'VK-Elekter'!$C:$X,2+$D65,0))+IF(AE$9="X",VLOOKUP(AE$10,'VK-Biokütused'!$C:$U,2+$E65,0))+IF(AE$5="X",VLOOKUP(AE$10,'VK-Põlevkivi'!$C:$X,2+$G65,0))+IF(AE$4="X",VLOOKUP(AE$10,'VK-Võrgud'!$C:$X,2+$F65,0)))</f>
        <v>812</v>
      </c>
      <c r="AF65" s="228">
        <f>(IF(AF$7="X",VLOOKUP(AF$10,'VK-Hooned-Soojus'!$C:$X,2+$C65,FALSE),0)+IF(AF$6="X",VLOOKUP(AF$10,'VK-Transport'!$C:$X,2+$B65,0))+IF(AF$8="X",VLOOKUP(AF$10,'VK-Elekter'!$C:$X,2+$D65,0))+IF(AF$9="X",VLOOKUP(AF$10,'VK-Biokütused'!$C:$U,2+$E65,0))+IF(AF$5="X",VLOOKUP(AF$10,'VK-Põlevkivi'!$C:$X,2+$G65,0))+IF(AF$4="X",VLOOKUP(AF$10,'VK-Võrgud'!$C:$X,2+$F65,0)))</f>
        <v>1892.3823271229701</v>
      </c>
      <c r="AG65" s="209"/>
      <c r="AH65" s="209">
        <f>IF(AH$7="X",VLOOKUP(AH$10,'VK-Hooned-Soojus'!$C:$X,2+$C65,FALSE),0)+IF(AH$6="X",VLOOKUP(AH$10,'VK-Transport'!$C:$X,2+$B65,0))+IF(AH$8="X",VLOOKUP(AH$10,'VK-Elekter'!$C:$X,2+$D65,0))+IF(AH$9="X",VLOOKUP(AH$10,'VK-Biokütused'!$C:$U,2+$E65,0))+IF(AH$5="X",VLOOKUP(AH$10,'VK-Põlevkivi'!$C:$X,2+$G65,0))+IF(AH$4="X",VLOOKUP(AH$10,'VK-Võrgud'!$C:$X,2+$F65,0))</f>
        <v>0</v>
      </c>
      <c r="AI65" s="209">
        <f>IF(AI$7="X",VLOOKUP(AI$10,'VK-Hooned-Soojus'!$C:$X,2+$C65,FALSE),0)+IF(AI$6="X",VLOOKUP(AI$10,'VK-Transport'!$C:$X,2+$B65,0))+IF(AI$8="X",VLOOKUP(AI$10,'VK-Elekter'!$C:$X,2+$D65,0))+IF(AI$9="X",VLOOKUP(AI$10,'VK-Biokütused'!$C:$U,2+$E65,0))+IF(AI$5="X",VLOOKUP(AI$10,'VK-Põlevkivi'!$C:$X,2+$G65,0))+IF(AI$4="X",VLOOKUP(AI$10,'VK-Võrgud'!$C:$X,2+$F65,0))</f>
        <v>11.489999999999998</v>
      </c>
      <c r="AJ65" s="209">
        <f>IF(AJ$7="X",VLOOKUP(AJ$10,'VK-Hooned-Soojus'!$C:$X,2+$C65,FALSE),0)+IF(AJ$6="X",VLOOKUP(AJ$10,'VK-Transport'!$C:$X,2+$B65,0))+IF(AJ$8="X",VLOOKUP(AJ$10,'VK-Elekter'!$C:$X,2+$D65,0))+IF(AJ$9="X",VLOOKUP(AJ$10,'VK-Biokütused'!$C:$U,2+$E65,0))+IF(AJ$5="X",VLOOKUP(AJ$10,'VK-Põlevkivi'!$C:$X,2+$G65,0))+IF(AJ$4="X",VLOOKUP(AJ$10,'VK-Võrgud'!$C:$X,2+$F65,0))</f>
        <v>0</v>
      </c>
      <c r="AK65" s="209">
        <f>IF(AK$7="X",VLOOKUP(AK$10,'VK-Hooned-Soojus'!$C:$X,2+$C65,FALSE),0)+IF(AK$6="X",VLOOKUP(AK$10,'VK-Transport'!$C:$X,2+$B65,0))+IF(AK$8="X",VLOOKUP(AK$10,'VK-Elekter'!$C:$X,2+$D65,0))+IF(AK$9="X",VLOOKUP(AK$10,'VK-Biokütused'!$C:$U,2+$E65,0))+IF(AK$5="X",VLOOKUP(AK$10,'VK-Põlevkivi'!$C:$X,2+$G65,0))+IF(AK$4="X",VLOOKUP(AK$10,'VK-Võrgud'!$C:$X,2+$F65,0))</f>
        <v>3.65</v>
      </c>
      <c r="AL65" s="209">
        <f>IF(AL$7="X",VLOOKUP(AL$10,'VK-Hooned-Soojus'!$C:$X,2+$C65,FALSE),0)+IF(AL$6="X",VLOOKUP(AL$10,'VK-Transport'!$C:$X,2+$B65,0))+IF(AL$8="X",VLOOKUP(AL$10,'VK-Elekter'!$C:$X,2+$D65,0))+IF(AL$9="X",VLOOKUP(AL$10,'VK-Biokütused'!$C:$U,2+$E65,0))+IF(AL$5="X",VLOOKUP(AL$10,'VK-Põlevkivi'!$C:$X,2+$G65,0))+IF(AL$4="X",VLOOKUP(AL$10,'VK-Võrgud'!$C:$X,2+$F65,0))</f>
        <v>7.1999999999999993</v>
      </c>
      <c r="AM65" s="209">
        <f>IF(AM$7="X",VLOOKUP(AM$10,'VK-Hooned-Soojus'!$C:$X,2+$C65,FALSE),0)+IF(AM$6="X",VLOOKUP(AM$10,'VK-Transport'!$C:$X,2+$B65,0))+IF(AM$8="X",VLOOKUP(AM$10,'VK-Elekter'!$C:$X,2+$D65,0))+IF(AM$9="X",VLOOKUP(AM$10,'VK-Biokütused'!$C:$U,2+$E65,0))+IF(AM$5="X",VLOOKUP(AM$10,'VK-Põlevkivi'!$C:$X,2+$G65,0))+IF(AM$4="X",VLOOKUP(AM$10,'VK-Võrgud'!$C:$X,2+$F65,0))</f>
        <v>12.9</v>
      </c>
      <c r="AN65" s="209">
        <f>IF(AN$7="X",VLOOKUP(AN$10,'VK-Hooned-Soojus'!$C:$X,2+$C65,FALSE),0)+IF(AN$6="X",VLOOKUP(AN$10,'VK-Transport'!$C:$X,2+$B65,0))+IF(AN$8="X",VLOOKUP(AN$10,'VK-Elekter'!$C:$X,2+$D65,0))+IF(AN$9="X",VLOOKUP(AN$10,'VK-Biokütused'!$C:$U,2+$E65,0))+IF(AN$5="X",VLOOKUP(AN$10,'VK-Põlevkivi'!$C:$X,2+$G65,0))+IF(AN$4="X",VLOOKUP(AN$10,'VK-Võrgud'!$C:$X,2+$F65,0))</f>
        <v>5.6999999999999993</v>
      </c>
      <c r="AO65" s="209">
        <f>IF(AO$7="X",VLOOKUP(AO$10,'VK-Hooned-Soojus'!$C:$X,2+$C65,FALSE),0)+IF(AO$6="X",VLOOKUP(AO$10,'VK-Transport'!$C:$X,2+$B65,0))+IF(AO$8="X",VLOOKUP(AO$10,'VK-Elekter'!$C:$X,2+$D65,0))+IF(AO$9="X",VLOOKUP(AO$10,'VK-Biokütused'!$C:$U,2+$E65,0))+IF(AO$5="X",VLOOKUP(AO$10,'VK-Põlevkivi'!$C:$X,2+$G65,0))+IF(AO$4="X",VLOOKUP(AO$10,'VK-Võrgud'!$C:$X,2+$F65,0))</f>
        <v>22.740000000000002</v>
      </c>
      <c r="AP65" s="209">
        <f>IF(AP$7="X",VLOOKUP(AP$10,'VK-Hooned-Soojus'!$C:$X,2+$C65,FALSE),0)+IF(AP$6="X",VLOOKUP(AP$10,'VK-Transport'!$C:$X,2+$B65,0))+IF(AP$8="X",VLOOKUP(AP$10,'VK-Elekter'!$C:$X,2+$D65,0))+IF(AP$9="X",VLOOKUP(AP$10,'VK-Biokütused'!$C:$U,2+$E65,0))+IF(AP$5="X",VLOOKUP(AP$10,'VK-Põlevkivi'!$C:$X,2+$G65,0))+IF(AP$4="X",VLOOKUP(AP$10,'VK-Võrgud'!$C:$X,2+$F65,0))</f>
        <v>11.370000000000001</v>
      </c>
      <c r="AQ65" s="320">
        <f t="shared" si="14"/>
        <v>10.440000000000001</v>
      </c>
      <c r="AR65" s="209">
        <f>IF(AR$7="X",VLOOKUP(AR$10,'VK-Hooned-Soojus'!$C:$X,2+$C65,FALSE),0)+IF(AR$6="X",VLOOKUP(AR$10,'VK-Transport'!$C:$X,2+$B65,0))+IF(AR$8="X",VLOOKUP(AR$10,'VK-Elekter'!$C:$X,2+$D65,0))+IF(AR$9="X",VLOOKUP(AR$10,'VK-Biokütused'!$C:$U,2+$E65,0))+IF(AR$5="X",VLOOKUP(AR$10,'VK-Põlevkivi'!$C:$X,2+$G65,0))+IF(AR$4="X",VLOOKUP(AR$10,'VK-Võrgud'!$C:$X,2+$F65,0))</f>
        <v>1.1000000000000001</v>
      </c>
      <c r="AS65" s="320">
        <f>VLOOKUP("Kütuste tarbimine @ 2030 - UTTEGAAS",'VK-Hooned-Soojus'!$C:$X,2+$C65,FALSE)/0.172+VLOOKUP("Kütuste tarbimine @ 2030 - UTTEGAAS",'VK-Elekter'!$C:$X,2+$D65,FALSE)/0.172-AR65-AU65</f>
        <v>-1.1000000000000001</v>
      </c>
      <c r="AT65" s="209">
        <f>IF(AT$7="X",VLOOKUP(AT$10,'VK-Hooned-Soojus'!$C:$X,2+$C65,FALSE),0)+IF(AT$6="X",VLOOKUP(AT$10,'VK-Transport'!$C:$X,2+$B65,0))+IF(AT$8="X",VLOOKUP(AT$10,'VK-Elekter'!$C:$X,2+$D65,0))+IF(AT$9="X",VLOOKUP(AT$10,'VK-Biokütused'!$C:$U,2+$E65,0))+IF(AT$5="X",VLOOKUP(AT$10,'VK-Põlevkivi'!$C:$X,2+$G65,0))+IF(AT$4="X",VLOOKUP(AT$10,'VK-Võrgud'!$C:$X,2+$F65,0))</f>
        <v>9.2784458909544707</v>
      </c>
      <c r="AU65" s="229">
        <f>MAX(0,(VLOOKUP("Kütuste tarbimine @ 2030 - UTTEGAAS",'VK-Hooned-Soojus'!$C:$X,2+$C65,FALSE)/0.172+VLOOKUP("Kütuste tarbimine @ 2030 - UTTEGAAS",'VK-Elekter'!$C:$X,2+$D65,FALSE)/0.172)*0.52-VLOOKUP("Kütuste tarbimine @ 2030 - PÕLEVKIVIÕLI",'VK-Hooned-Soojus'!$C:$X,2+$C65,FALSE))</f>
        <v>0</v>
      </c>
      <c r="AV65" s="209">
        <f>IF(AV$7="X",VLOOKUP(AV$10,'VK-Hooned-Soojus'!$C:$X,2+$C65,FALSE),0)+IF(AV$6="X",VLOOKUP(AV$10,'VK-Transport'!$C:$X,2+$B65,0))+IF(AV$8="X",VLOOKUP(AV$10,'VK-Elekter'!$C:$X,2+$D65,0))+IF(AV$9="X",VLOOKUP(AV$10,'VK-Biokütused'!$C:$U,2+$E65,0))+IF(AV$5="X",VLOOKUP(AV$10,'VK-Põlevkivi'!$C:$X,2+$G65,0))+IF(AV$4="X",VLOOKUP(AV$10,'VK-Võrgud'!$C:$X,2+$F65,0))</f>
        <v>1.7257321590343366</v>
      </c>
      <c r="AW65" s="209">
        <f>IF(AW$7="X",VLOOKUP(AW$10,'VK-Hooned-Soojus'!$C:$X,2+$C65,FALSE),0)+IF(AW$6="X",VLOOKUP(AW$10,'VK-Transport'!$C:$X,2+$B65,0))+IF(AW$8="X",VLOOKUP(AW$10,'VK-Elekter'!$C:$X,2+$D65,0))+IF(AW$9="X",VLOOKUP(AW$10,'VK-Biokütused'!$C:$U,2+$E65,0))+IF(AW$5="X",VLOOKUP(AW$10,'VK-Põlevkivi'!$C:$X,2+$G65,0))+IF(AW$4="X",VLOOKUP(AW$10,'VK-Võrgud'!$C:$X,2+$F65,0))</f>
        <v>0</v>
      </c>
      <c r="AX65" s="229">
        <f t="shared" si="34"/>
        <v>0</v>
      </c>
      <c r="AY65" s="229">
        <f t="shared" si="15"/>
        <v>1.7257321590343366</v>
      </c>
      <c r="AZ65" s="230">
        <f t="shared" si="36"/>
        <v>0.68212972624714474</v>
      </c>
      <c r="BA65" s="209">
        <f>IF(BA$7="X",VLOOKUP(BA$10,'VK-Hooned-Soojus'!$C:$X,2+$C65,FALSE),0)+IF(BA$6="X",VLOOKUP(BA$10,'VK-Transport'!$C:$X,2+$B65,0))+IF(BA$8="X",VLOOKUP(BA$10,'VK-Elekter'!$C:$X,2+$D65,0))+IF(BA$9="X",VLOOKUP(BA$10,'VK-Biokütused'!$C:$U,2+$E65,0))+IF(BA$5="X",VLOOKUP(BA$10,'VK-Põlevkivi'!$C:$X,2+$G65,0))+IF(BA$4="X",VLOOKUP(BA$10,'VK-Võrgud'!$C:$X,2+$F65,0))</f>
        <v>0</v>
      </c>
      <c r="BB65" s="209">
        <f>IF(BB$7="X",VLOOKUP(BB$10,'VK-Hooned-Soojus'!$C:$X,2+$C65,FALSE),0)+IF(BB$6="X",VLOOKUP(BB$10,'VK-Transport'!$C:$X,2+$B65,0))+IF(BB$8="X",VLOOKUP(BB$10,'VK-Elekter'!$C:$X,2+$D65,0))+IF(BB$9="X",VLOOKUP(BB$10,'VK-Biokütused'!$C:$U,2+$E65,0))+IF(BB$5="X",VLOOKUP(BB$10,'VK-Põlevkivi'!$C:$X,2+$G65,0))+IF(BB$4="X",VLOOKUP(BB$10,'VK-Võrgud'!$C:$X,2+$F65,0))</f>
        <v>6.32</v>
      </c>
      <c r="BC65" s="209">
        <f>IF(BC$7="X",VLOOKUP(BC$10,'VK-Hooned-Soojus'!$C:$X,2+$C65,FALSE),0)+IF(BC$6="X",VLOOKUP(BC$10,'VK-Transport'!$C:$X,2+$B65,0))+IF(BC$8="X",VLOOKUP(BC$10,'VK-Elekter'!$C:$X,2+$D65,0))+IF(BC$9="X",VLOOKUP(BC$10,'VK-Biokütused'!$C:$U,2+$E65,0))+IF(BC$5="X",VLOOKUP(BC$10,'VK-Põlevkivi'!$C:$X,2+$G65,0))+IF(BC$4="X",VLOOKUP(BC$10,'VK-Võrgud'!$C:$X,2+$F65,0))</f>
        <v>8.0523611111111126</v>
      </c>
      <c r="BD65" s="209">
        <f>IF(BD$7="X",VLOOKUP(BD$10,'VK-Hooned-Soojus'!$C:$X,2+$C65,FALSE),0)+IF(BD$6="X",VLOOKUP(BD$10,'VK-Transport'!$C:$X,2+$B65,0))+IF(BD$8="X",VLOOKUP(BD$10,'VK-Elekter'!$C:$X,2+$D65,0))+IF(BD$9="X",VLOOKUP(BD$10,'VK-Biokütused'!$C:$U,2+$E65,0))+IF(BD$5="X",VLOOKUP(BD$10,'VK-Põlevkivi'!$C:$X,2+$G65,0))+IF(BD$4="X",VLOOKUP(BD$10,'VK-Võrgud'!$C:$X,2+$F65,0))</f>
        <v>10.42138888888889</v>
      </c>
      <c r="BE65" s="230"/>
      <c r="BF65" s="229">
        <f t="shared" si="16"/>
        <v>0.57849627288208527</v>
      </c>
      <c r="BG65" s="209" t="e">
        <f>(IF(BG$7="X",VLOOKUP(BG$10,'VK-Hooned-Soojus'!$C:$X,2+$C65,FALSE),0)+IF(BG$6="X",VLOOKUP(BG$10,'VK-Transport'!$C:$X,2+$B65,0))+IF(BG$8="X",VLOOKUP(BG$10,'VK-Elekter'!$C:$X,2+$D65,0))+IF(BG$9="X",VLOOKUP(BG$10,'VK-Biokütused'!$C:$U,2+$E65,0))+IF(BG$5="X",VLOOKUP(BG$10,'VK-Põlevkivi'!$C:$X,2+$G65,0))+IF(BG$4="X",VLOOKUP(BG$10,'VK-Võrgud'!$C:$X,2+$F65,0)))/20</f>
        <v>#N/A</v>
      </c>
      <c r="BH65" s="209">
        <f>(IF(BH$7="X",VLOOKUP(BH$10,'VK-Hooned-Soojus'!$C:$X,2+$C65,FALSE),0)+IF(BH$6="X",VLOOKUP(BH$10,'VK-Transport'!$C:$X,2+$B65,0))+IF(BH$8="X",VLOOKUP(BH$10,'VK-Elekter'!$C:$X,2+$D65,0))+IF(BH$9="X",VLOOKUP(BH$10,'VK-Biokütused'!$C:$U,2+$E65,0))+IF(BH$5="X",VLOOKUP(BH$10,'VK-Põlevkivi'!$C:$X,2+$G65,0))+IF(BH$4="X",VLOOKUP(BH$10,'VK-Võrgud'!$C:$X,2+$F65,0)))/20</f>
        <v>13.99</v>
      </c>
      <c r="BI65" s="209">
        <f>(IF(BI$7="X",VLOOKUP(BI$10,'VK-Hooned-Soojus'!$C:$X,2+$C65,FALSE),0)+IF(BI$6="X",VLOOKUP(BI$10,'VK-Transport'!$C:$X,2+$B65,0))+IF(BI$8="X",VLOOKUP(BI$10,'VK-Elekter'!$C:$X,2+$D65,0))+IF(BI$9="X",VLOOKUP(BI$10,'VK-Biokütused'!$C:$U,2+$E65,0))+IF(BI$5="X",VLOOKUP(BI$10,'VK-Põlevkivi'!$C:$X,2+$G65,0))+IF(BI$4="X",VLOOKUP(BI$10,'VK-Võrgud'!$C:$X,2+$F65,0)))/16</f>
        <v>17.75</v>
      </c>
      <c r="BJ65" s="209">
        <f>(IF(BJ$7="X",VLOOKUP(BJ$10,'VK-Hooned-Soojus'!$C:$X,2+$C65,FALSE),0)+IF(BJ$6="X",VLOOKUP(BJ$10,'VK-Transport'!$C:$X,2+$B65,0))+IF(BJ$8="X",VLOOKUP(BJ$10,'VK-Elekter'!$C:$X,2+$D65,0))+IF(BJ$9="X",VLOOKUP(BJ$10,'VK-Biokütused'!$C:$U,2+$E65,0))+IF(BJ$5="X",VLOOKUP(BJ$10,'VK-Põlevkivi'!$C:$X,2+$G65,0))+IF(BJ$4="X",VLOOKUP(BJ$10,'VK-Võrgud'!$C:$X,2+$F65,0)))/20</f>
        <v>1.85</v>
      </c>
      <c r="BK65" s="209"/>
      <c r="BL65" s="209"/>
      <c r="BM65" s="209"/>
      <c r="BN65" s="209" t="e">
        <f>(IF(BN$7="X",VLOOKUP(BN$10,'VK-Hooned-Soojus'!$C:$X,2+$C65,FALSE),0)+IF(BN$6="X",VLOOKUP(BN$10,'VK-Transport'!$C:$X,2+$B65,0))+IF(BN$8="X",VLOOKUP(BN$10,'VK-Elekter'!$C:$X,2+$D65,0))+IF(BN$9="X",VLOOKUP(BN$10,'VK-Biokütused'!$C:$U,2+$E65,0))+IF(BN$5="X",VLOOKUP(BN$10,'VK-Põlevkivi'!$C:$X,2+$G65,0))+IF(BN$4="X",VLOOKUP(BN$10,'VK-Võrgud'!$C:$X,2+$F65,0)))/16</f>
        <v>#N/A</v>
      </c>
      <c r="BO65" s="209">
        <f>(IF(BO$7="X",VLOOKUP(BO$10,'VK-Hooned-Soojus'!$C:$X,2+$C65,FALSE),0)+IF(BO$6="X",VLOOKUP(BO$10,'VK-Transport'!$C:$X,2+$B65,0))+IF(BO$8="X",VLOOKUP(BO$10,'VK-Elekter'!$C:$X,2+$D65,0))+IF(BO$9="X",VLOOKUP(BO$10,'VK-Biokütused'!$C:$U,2+$E65,0))+IF(BO$5="X",VLOOKUP(BO$10,'VK-Põlevkivi'!$C:$X,2+$G65,0))+IF(BO$4="X",VLOOKUP(BO$10,'VK-Võrgud'!$C:$X,2+$F65,0)))/16</f>
        <v>405.45</v>
      </c>
      <c r="BP65" s="209"/>
      <c r="BQ65" s="209">
        <f>(IF(BQ$7="X",VLOOKUP(BQ$10,'VK-Hooned-Soojus'!$C:$X,2+$C65,FALSE),0)+IF(BQ$6="X",VLOOKUP(BQ$10,'VK-Transport'!$C:$X,2+$B65,0))+IF(BQ$8="X",VLOOKUP(BQ$10,'VK-Elekter'!$C:$X,2+$D65,0))+IF(BQ$9="X",VLOOKUP(BQ$10,'VK-Biokütused'!$C:$U,2+$E65,0))+IF(BQ$5="X",VLOOKUP(BQ$10,'VK-Põlevkivi'!$C:$X,2+$G65,0))+IF(BQ$4="X",VLOOKUP(BQ$10,'VK-Võrgud'!$C:$X,2+$F65,0)))/16</f>
        <v>127.6</v>
      </c>
      <c r="BR65" s="209">
        <f>(IF(BR$7="X",VLOOKUP(BR$10,'VK-Hooned-Soojus'!$C:$X,2+$C65,FALSE),0)+IF(BR$6="X",VLOOKUP(BR$10,'VK-Transport'!$C:$X,2+$B65,0))+IF(BR$8="X",VLOOKUP(BR$10,'VK-Elekter'!$C:$X,2+$D65,0))+IF(BR$9="X",VLOOKUP(BR$10,'VK-Biokütused'!$C:$U,2+$E65,0))+IF(BR$5="X",VLOOKUP(BR$10,'VK-Põlevkivi'!$C:$X,2+$G65,0))+IF(BR$4="X",VLOOKUP(BR$10,'VK-Võrgud'!$C:$X,2+$F65,0)))/16</f>
        <v>27.475000000000001</v>
      </c>
      <c r="BS65" s="209">
        <f>(IF(BS$7="X",VLOOKUP(BS$10,'VK-Hooned-Soojus'!$C:$X,2+$C65,FALSE),0)+IF(BS$6="X",VLOOKUP(BS$10,'VK-Transport'!$C:$X,2+$B65,0))+IF(BS$8="X",VLOOKUP(BS$10,'VK-Elekter'!$C:$X,2+$D65,0))+IF(BS$9="X",VLOOKUP(BS$10,'VK-Biokütused'!$C:$U,2+$E65,0))+IF(BS$5="X",VLOOKUP(BS$10,'VK-Põlevkivi'!$C:$X,2+$G65,0))+IF(BS$4="X",VLOOKUP(BS$10,'VK-Võrgud'!$C:$X,2+$F65,0)))/16</f>
        <v>-23.293749999999999</v>
      </c>
      <c r="BT65" s="209"/>
      <c r="BU65" s="209"/>
      <c r="BV65" s="209">
        <f>(IF(BV$7="X",VLOOKUP(BV$10,'VK-Hooned-Soojus'!$C:$X,2+$C65,FALSE),0)+IF(BV$6="X",VLOOKUP(BV$10,'VK-Transport'!$C:$X,2+$B65,0))+IF(BV$8="X",VLOOKUP(BV$10,'VK-Elekter'!$C:$X,2+$D65,0))+IF(BV$9="X",VLOOKUP(BV$10,'VK-Biokütused'!$C:$U,2+$E65,0))+IF(BV$5="X",VLOOKUP(BV$10,'VK-Põlevkivi'!$C:$X,2+$G65,0))+IF(BV$4="X",VLOOKUP(BV$10,'VK-Võrgud'!$C:$X,2+$F65,0)))/16</f>
        <v>0</v>
      </c>
      <c r="BW65" s="209"/>
      <c r="BX65" s="209">
        <f>(IF(BX$7="X",VLOOKUP(BX$10,'VK-Hooned-Soojus'!$C:$X,2+$C65,FALSE),0)+IF(BX$6="X",VLOOKUP(BX$10,'VK-Transport'!$C:$X,2+$B65,0))+IF(BX$8="X",VLOOKUP(BX$10,'VK-Elekter'!$C:$X,2+$D65,0))+IF(BX$9="X",VLOOKUP(BX$10,'VK-Biokütused'!$C:$U,2+$E65,0))+IF(BX$5="X",VLOOKUP(BX$10,'VK-Põlevkivi'!$C:$X,2+$G65,0))+IF(BX$4="X",VLOOKUP(BX$10,'VK-Võrgud'!$C:$X,2+$F65,0)))/16</f>
        <v>-19.25</v>
      </c>
      <c r="BY65" s="209"/>
      <c r="BZ65" s="209"/>
      <c r="CA65" s="209" t="e">
        <f>(IF(CA$7="X",VLOOKUP(CA$10,'VK-Hooned-Soojus'!$C:$X,2+$C65,FALSE),0)+IF(CA$6="X",VLOOKUP(CA$10,'VK-Transport'!$C:$X,2+$B65,0))+IF(CA$8="X",VLOOKUP(CA$10,'VK-Elekter'!$C:$X,2+$D65,0))+IF(CA$9="X",VLOOKUP(CA$10,'VK-Biokütused'!$C:$U,2+$E65,0))+IF(CA$5="X",VLOOKUP(CA$10,'VK-Põlevkivi'!$C:$X,2+$G65,0))+IF(CA$4="X",VLOOKUP(CA$10,'VK-Võrgud'!$C:$X,2+$F65,0)))/16</f>
        <v>#N/A</v>
      </c>
      <c r="CB65" s="209">
        <f>(IF(CB$7="X",VLOOKUP(CB$10,'VK-Hooned-Soojus'!$C:$X,2+$C65,FALSE),0)+IF(CB$6="X",VLOOKUP(CB$10,'VK-Transport'!$C:$X,2+$B65,0))+IF(CB$8="X",VLOOKUP(CB$10,'VK-Elekter'!$C:$X,2+$D65,0))+IF(CB$9="X",VLOOKUP(CB$10,'VK-Biokütused'!$C:$U,2+$E65,0))+IF(CB$5="X",VLOOKUP(CB$10,'VK-Põlevkivi'!$C:$X,2+$G65,0))+IF(CB$4="X",VLOOKUP(CB$10,'VK-Võrgud'!$C:$X,2+$F65,0)))/16</f>
        <v>0</v>
      </c>
      <c r="CC65" s="209">
        <f>(IF(CC$7="X",VLOOKUP(CC$10,'VK-Hooned-Soojus'!$C:$X,2+$C65,FALSE),0)+IF(CC$6="X",VLOOKUP(CC$10,'VK-Transport'!$C:$X,2+$B65,0))+IF(CC$8="X",VLOOKUP(CC$10,'VK-Elekter'!$C:$X,2+$D65,0))+IF(CC$9="X",VLOOKUP(CC$10,'VK-Biokütused'!$C:$U,2+$E65,0))+IF(CC$5="X",VLOOKUP(CC$10,'VK-Põlevkivi'!$C:$X,2+$G65,0))+IF(CC$4="X",VLOOKUP(CC$10,'VK-Võrgud'!$C:$X,2+$F65,0)))/16</f>
        <v>0</v>
      </c>
      <c r="CD65" s="209"/>
      <c r="CE65" s="209">
        <f>(IF(CE$7="X",VLOOKUP(CE$10,'VK-Hooned-Soojus'!$C:$X,2+$C65,FALSE),0)+IF(CE$6="X",VLOOKUP(CE$10,'VK-Transport'!$C:$X,2+$B65,0))+IF(CE$8="X",VLOOKUP(CE$10,'VK-Elekter'!$C:$X,2+$D65,0))+IF(CE$9="X",VLOOKUP(CE$10,'VK-Biokütused'!$C:$U,2+$E65,0))+IF(CE$5="X",VLOOKUP(CE$10,'VK-Põlevkivi'!$C:$X,2+$G65,0))+IF(CE$4="X",VLOOKUP(CE$10,'VK-Võrgud'!$C:$X,2+$F65,0)))/16</f>
        <v>24.15625</v>
      </c>
      <c r="CF65" s="209"/>
      <c r="CG65" s="209">
        <f>(IF(CG$7="X",VLOOKUP(CG$10,'VK-Hooned-Soojus'!$C:$X,2+$C65,FALSE),0)+IF(CG$6="X",VLOOKUP(CG$10,'VK-Transport'!$C:$X,2+$B65,0))+IF(CG$8="X",VLOOKUP(CG$10,'VK-Elekter'!$C:$X,2+$D65,0))+IF(CG$9="X",VLOOKUP(CG$10,'VK-Biokütused'!$C:$U,2+$E65,0))+IF(CG$5="X",VLOOKUP(CG$10,'VK-Põlevkivi'!$C:$X,2+$G65,0))+IF(CG$4="X",VLOOKUP(CG$10,'VK-Võrgud'!$C:$X,2+$F65,0)))/16</f>
        <v>0</v>
      </c>
      <c r="CH65" s="209">
        <f>(IF(CH$7="X",VLOOKUP(CH$10,'VK-Hooned-Soojus'!$C:$X,2+$C65,FALSE),0)+IF(CH$6="X",VLOOKUP(CH$10,'VK-Transport'!$C:$X,2+$B65,0))+IF(CH$8="X",VLOOKUP(CH$10,'VK-Elekter'!$C:$X,2+$D65,0))+IF(CH$9="X",VLOOKUP(CH$10,'VK-Biokütused'!$C:$U,2+$E65,0))+IF(CH$5="X",VLOOKUP(CH$10,'VK-Põlevkivi'!$C:$X,2+$G65,0))+IF(CH$4="X",VLOOKUP(CH$10,'VK-Võrgud'!$C:$X,2+$F65,0)))/20*0.21</f>
        <v>5.6122500000000004</v>
      </c>
      <c r="CI65" s="209"/>
      <c r="CJ65" s="209">
        <f>(IF(CJ$7="X",VLOOKUP(CJ$10,'VK-Hooned-Soojus'!$C:$X,2+$C65,FALSE),0)+IF(CJ$6="X",VLOOKUP(CJ$10,'VK-Transport'!$C:$X,2+$B65,0))+IF(CJ$8="X",VLOOKUP(CJ$10,'VK-Elekter'!$C:$X,2+$D65,0))+IF(CJ$9="X",VLOOKUP(CJ$10,'VK-Biokütused'!$C:$U,2+$E65,0))+IF(CJ$5="X",VLOOKUP(CJ$10,'VK-Põlevkivi'!$C:$X,2+$G65,0))+IF(CJ$4="X",VLOOKUP(CJ$10,'VK-Võrgud'!$C:$X,2+$F65,0)))/1000</f>
        <v>18.667721793242819</v>
      </c>
      <c r="CK65" s="209">
        <f>(IF(CK$7="X",VLOOKUP(CK$10,'VK-Hooned-Soojus'!$C:$X,2+$C65,FALSE),0)+IF(CK$6="X",VLOOKUP(CK$10,'VK-Transport'!$C:$X,2+$B65,0))+IF(CK$8="X",VLOOKUP(CK$10,'VK-Elekter'!$C:$X,2+$D65,0))+IF(CK$9="X",VLOOKUP(CK$10,'VK-Biokütused'!$C:$U,2+$E65,0))+IF(CK$5="X",VLOOKUP(CK$10,'VK-Põlevkivi'!$C:$X,2+$G65,0))+IF(CK$4="X",VLOOKUP(CK$10,'VK-Võrgud'!$C:$X,2+$F65,0)))/1000</f>
        <v>7.590945462772634</v>
      </c>
      <c r="CL65" s="235">
        <f>(IF(CL$7="X",VLOOKUP(CL$10,'VK-Hooned-Soojus'!$C:$X,2+$C65,FALSE),0)+IF(CL$6="X",VLOOKUP(CL$10,'VK-Transport'!$C:$X,2+$B65,0))+IF(CL$8="X",VLOOKUP(CL$10,'VK-Elekter'!$C:$X,2+$D65,0))+IF(CL$9="X",VLOOKUP(CL$10,'VK-Biokütused'!$C:$U,2+$E65,0)))/1000</f>
        <v>5.1610567987315106</v>
      </c>
      <c r="CM65" s="209">
        <f>(IF(CM$7="X",VLOOKUP(CM$10,'VK-Hooned-Soojus'!$C:$X,2+$C65,FALSE),0)+IF(CM$6="X",VLOOKUP(CM$10,'VK-Transport'!$C:$X,2+$B65,0))+IF(CM$8="X",VLOOKUP(CM$10,'VK-Elekter'!$C:$X,2+$D65,0))+IF(CM$9="X",VLOOKUP(CM$10,'VK-Biokütused'!$C:$U,2+$E65,0))+IF(CM$5="X",VLOOKUP(CM$10,'VK-Põlevkivi'!$C:$X,2+$G65,0))+IF(CM$4="X",VLOOKUP(CM$10,'VK-Võrgud'!$C:$X,2+$F65,0)))/1000</f>
        <v>8.5748313570900958</v>
      </c>
      <c r="CN65" s="209">
        <f>(IF(CN$7="X",VLOOKUP(CN$10,'VK-Hooned-Soojus'!$C:$X,2+$C65,FALSE),0)+IF(CN$6="X",VLOOKUP(CN$10,'VK-Transport'!$C:$X,2+$B65,0))+IF(CN$8="X",VLOOKUP(CN$10,'VK-Elekter'!$C:$X,2+$D65,0))+IF(CN$9="X",VLOOKUP(CN$10,'VK-Biokütused'!$C:$U,2+$E65,0))+IF(CN$5="X",VLOOKUP(CN$10,'VK-Põlevkivi'!$C:$X,2+$G65,0))+IF(CN$4="X",VLOOKUP(CN$10,'VK-Võrgud'!$C:$X,2+$F65,0)))/1000</f>
        <v>3.1680000000000001</v>
      </c>
      <c r="CO65" s="209">
        <f>(IF(CO$7="X",VLOOKUP(CO$10,'VK-Hooned-Soojus'!$C:$X,2+$C65,FALSE),0)+IF(CO$6="X",VLOOKUP(CO$10,'VK-Transport'!$C:$X,2+$B65,0))+IF(CO$8="X",VLOOKUP(CO$10,'VK-Elekter'!$C:$X,2+$D65,0))+IF(CO$9="X",VLOOKUP(CO$10,'VK-Biokütused'!$C:$U,2+$E65,0))+IF(CO$5="X",VLOOKUP(CO$10,'VK-Põlevkivi'!$C:$X,2+$G65,0))+IF(CO$4="X",VLOOKUP(CO$10,'VK-Võrgud'!$C:$X,2+$F65,0)))/1000</f>
        <v>23.159575210797279</v>
      </c>
      <c r="CP65" s="209">
        <f>(IF(CP$7="X",VLOOKUP(CP$10,'VK-Hooned-Soojus'!$C:$X,2+$C65,FALSE),0)+IF(CP$6="X",VLOOKUP(CP$10,'VK-Transport'!$C:$X,2+$B65,0))+IF(CP$8="X",VLOOKUP(CP$10,'VK-Elekter'!$C:$X,2+$D65,0))+IF(CP$9="X",VLOOKUP(CP$10,'VK-Biokütused'!$C:$U,2+$E65,0))+IF(CP$5="X",VLOOKUP(CP$10,'VK-Põlevkivi'!$C:$X,2+$G65,0))+IF(CP$4="X",VLOOKUP(CP$10,'VK-Võrgud'!$C:$X,2+$F65,0)))/1000</f>
        <v>7.0399948303498237</v>
      </c>
      <c r="CQ65" s="235">
        <f>(IF(CQ$7="X",VLOOKUP(CQ$10,'VK-Hooned-Soojus'!$C:$X,2+$C65,FALSE),0)+IF(CQ$6="X",VLOOKUP(CQ$10,'VK-Transport'!$C:$X,2+$B65,0))+IF(CQ$8="X",VLOOKUP(CQ$10,'VK-Elekter'!$C:$X,2+$D65,0))+IF(CQ$9="X",VLOOKUP(CQ$10,'VK-Biokütused'!$C:$U,2+$E65,0)))/1000</f>
        <v>5.2553459999999994</v>
      </c>
      <c r="CR65" s="209">
        <f>(IF(CR$7="X",VLOOKUP(CR$10,'VK-Hooned-Soojus'!$C:$X,2+$C65,FALSE),0)+IF(CR$6="X",VLOOKUP(CR$10,'VK-Transport'!$C:$X,2+$B65,0))+IF(CR$8="X",VLOOKUP(CR$10,'VK-Elekter'!$C:$X,2+$D65,0))+IF(CR$9="X",VLOOKUP(CR$10,'VK-Biokütused'!$C:$U,2+$E65,0))+IF(CR$5="X",VLOOKUP(CR$10,'VK-Põlevkivi'!$C:$X,2+$G65,0))+IF(CR$4="X",VLOOKUP(CR$10,'VK-Võrgud'!$C:$X,2+$F65,0)))/1000</f>
        <v>8.0760872784575746</v>
      </c>
      <c r="CS65" s="209">
        <f>(IF(CS$7="X",VLOOKUP(CS$10,'VK-Hooned-Soojus'!$C:$X,2+$C65,FALSE),0)+IF(CS$6="X",VLOOKUP(CS$10,'VK-Transport'!$C:$X,2+$B65,0))+IF(CS$8="X",VLOOKUP(CS$10,'VK-Elekter'!$C:$X,2+$D65,0))+IF(CS$9="X",VLOOKUP(CS$10,'VK-Biokütused'!$C:$U,2+$E65,0))+IF(CS$5="X",VLOOKUP(CS$10,'VK-Põlevkivi'!$C:$X,2+$G65,0))+IF(CS$4="X",VLOOKUP(CS$10,'VK-Võrgud'!$C:$X,2+$F65,0)))/1000</f>
        <v>3.8643344900598322</v>
      </c>
      <c r="CT65" s="209">
        <f>IF(CT$7="X",VLOOKUP(CT$10,'VK-Hooned-Soojus'!$C:$X,2+$C65,FALSE),0)+IF(CT$6="X",VLOOKUP(CT$10,'VK-Transport'!$C:$X,2+$B65,0))+IF(CT$8="X",VLOOKUP(CT$10,'VK-Elekter'!$C:$X,2+$D65,0))+IF(CT$9="X",VLOOKUP(CT$10,'VK-Biokütused'!$C:$U,2+$E65,0))+IF(CT$5="X",VLOOKUP(CT$10,'VK-Põlevkivi'!$C:$X,2+$G65,0))+IF(CT$4="X",VLOOKUP(CT$10,'VK-Võrgud'!$C:$X,2+$F65,0))</f>
        <v>90</v>
      </c>
      <c r="CU65" s="209">
        <f>IF(CU$7="X",VLOOKUP(CU$10,'VK-Hooned-Soojus'!$C:$X,2+$C65,FALSE),0)+IF(CU$6="X",VLOOKUP(CU$10,'VK-Transport'!$C:$X,2+$B65,0))+IF(CU$8="X",VLOOKUP(CU$10,'VK-Elekter'!$C:$X,2+$D65,0))+IF(CU$9="X",VLOOKUP(CU$10,'VK-Biokütused'!$C:$U,2+$E65,0))+IF(CU$5="X",VLOOKUP(CU$10,'VK-Põlevkivi'!$C:$X,2+$G65,0))+IF(CU$4="X",VLOOKUP(CU$10,'VK-Võrgud'!$C:$X,2+$F65,0))</f>
        <v>0.63390170511534605</v>
      </c>
      <c r="CV65" s="209">
        <f t="shared" si="37"/>
        <v>1</v>
      </c>
      <c r="CW65" s="209">
        <f>(IF(CW$7="X",VLOOKUP(CW$10,'VK-Hooned-Soojus'!$C:$X,2+$C65,FALSE),0)+IF(CW$6="X",VLOOKUP(CW$10,'VK-Transport'!$C:$X,2+$B65,0))+IF(CW$8="X",VLOOKUP(CW$10,'VK-Elekter'!$C:$X,2+$D65,0))+IF(CW$9="X",VLOOKUP(CW$10,'VK-Biokütused'!$C:$U,2+$E65,0))+IF(CW$5="X",VLOOKUP(CW$10,'VK-Põlevkivi'!$C:$X,2+$G65,0))+IF(CW$4="X",VLOOKUP(CW$10,'VK-Võrgud'!$C:$X,2+$F65,0)))/16</f>
        <v>0</v>
      </c>
      <c r="CY65" s="209">
        <f>(IF(CY$7="X",VLOOKUP(CY$10,'VK-Hooned-Soojus'!$C:$X,2+$C65,FALSE),0)+IF(CY$6="X",VLOOKUP(CY$10,'VK-Transport'!$C:$X,2+$B65,0))+IF(CY$8="X",VLOOKUP(CY$10,'VK-Elekter'!$C:$X,2+$D65,0))+IF(CY$9="X",VLOOKUP(CY$10,'VK-Biokütused'!$C:$U,2+$E65,0))+IF(CY$5="X",VLOOKUP(CY$10,'VK-Põlevkivi'!$C:$X,2+$G65,0))+IF(CY$4="X",VLOOKUP(CY$10,'VK-Võrgud'!$C:$X,2+$F65,0)))/1000</f>
        <v>10.439</v>
      </c>
      <c r="CZ65" s="209">
        <f>(IF(CZ$7="X",VLOOKUP(CZ$10,'VK-Hooned-Soojus'!$C:$X,2+$C65,FALSE),0)+IF(CZ$6="X",VLOOKUP(CZ$10,'VK-Transport'!$C:$X,2+$B65,0))+IF(CZ$8="X",VLOOKUP(CZ$10,'VK-Elekter'!$C:$X,2+$D65,0))+IF(CZ$9="X",VLOOKUP(CZ$10,'VK-Biokütused'!$C:$U,2+$E65,0))+IF(CZ$5="X",VLOOKUP(CZ$10,'VK-Põlevkivi'!$C:$X,2+$G65,0))+IF(CZ$4="X",VLOOKUP(CZ$10,'VK-Võrgud'!$C:$X,2+$F65,0)))</f>
        <v>81</v>
      </c>
      <c r="DA65" s="209">
        <f>(IF(DA$7="X",VLOOKUP(DA$10,'VK-Hooned-Soojus'!$C:$X,2+$C65,FALSE),0)+IF(DA$6="X",VLOOKUP(DA$10,'VK-Transport'!$C:$X,2+$B65,0))+IF(DA$8="X",VLOOKUP(DA$10,'VK-Elekter'!$C:$X,2+$D65,0))+IF(DA$9="X",VLOOKUP(DA$10,'VK-Biokütused'!$C:$U,2+$E65,0))+IF(DA$5="X",VLOOKUP(DA$10,'VK-Põlevkivi'!$C:$X,2+$G65,0))+IF(DA$4="X",VLOOKUP(DA$10,'VK-Võrgud'!$C:$X,2+$F65,0)))/1000</f>
        <v>10.768000000000001</v>
      </c>
      <c r="DB65" s="209">
        <f>(IF(DB$7="X",VLOOKUP(DB$10,'VK-Hooned-Soojus'!$C:$X,2+$C65,FALSE),0)+IF(DB$6="X",VLOOKUP(DB$10,'VK-Transport'!$C:$X,2+$B65,0))+IF(DB$8="X",VLOOKUP(DB$10,'VK-Elekter'!$C:$X,2+$D65,0))+IF(DB$9="X",VLOOKUP(DB$10,'VK-Biokütused'!$C:$U,2+$E65,0))+IF(DB$5="X",VLOOKUP(DB$10,'VK-Põlevkivi'!$C:$X,2+$G65,0))+IF(DB$4="X",VLOOKUP(DB$10,'VK-Võrgud'!$C:$X,2+$F65,0)))/1000/3.6</f>
        <v>43.080833333333338</v>
      </c>
      <c r="DC65" s="209">
        <f>(IF(DC$7="X",VLOOKUP(DC$10,'VK-Hooned-Soojus'!$C:$X,2+$C65,FALSE),0)+IF(DC$6="X",VLOOKUP(DC$10,'VK-Transport'!$C:$X,2+$B65,0))+IF(DC$8="X",VLOOKUP(DC$10,'VK-Elekter'!$C:$X,2+$D65,0))+IF(DC$9="X",VLOOKUP(DC$10,'VK-Biokütused'!$C:$U,2+$E65,0))+IF(DC$5="X",VLOOKUP(DC$10,'VK-Põlevkivi'!$C:$X,2+$G65,0))+IF(DC$4="X",VLOOKUP(DC$10,'VK-Võrgud'!$C:$X,2+$F65,0)))/1000000</f>
        <v>4.3135459999999997</v>
      </c>
      <c r="DD65" s="209"/>
      <c r="DE65" s="88">
        <f>VLOOKUP(Tulemused!$BN$12,data!M$7:N$12,2,FALSE)-SUM(L65,M65)</f>
        <v>-1.9738666666666731</v>
      </c>
      <c r="DF65" s="209" t="str">
        <f>IF(AZ65&lt;=VLOOKUP(Tulemused!$BN$15,data!$E$36:$F$39,2,FALSE),"JAH","EI")</f>
        <v>JAH</v>
      </c>
      <c r="DG65" s="209"/>
      <c r="DH65" s="209">
        <f t="shared" si="38"/>
        <v>11.370000000000001</v>
      </c>
      <c r="DI65" s="231" t="str">
        <f t="shared" si="17"/>
        <v>EI</v>
      </c>
      <c r="DK65" s="232">
        <f t="shared" si="39"/>
        <v>-993.28666600509871</v>
      </c>
      <c r="DM65" s="233">
        <f t="shared" si="40"/>
        <v>-994.16035354784321</v>
      </c>
      <c r="DN65" s="87">
        <f t="array" ref="DN65">INDEX($A$11:$A$145, SMALL(IF(DM65=$DK$11:$DK$145, MATCH(ROW($DK$11:$DK$145), ROW($DK$11:$DK$145))), SUM(--(DM65=$DM$11:DM65))))</f>
        <v>84</v>
      </c>
      <c r="DP65" s="87" t="e">
        <f t="shared" ca="1" si="18"/>
        <v>#N/A</v>
      </c>
      <c r="DQ65" s="87" t="e">
        <f t="shared" ca="1" si="19"/>
        <v>#N/A</v>
      </c>
      <c r="DR65" s="87">
        <f t="shared" ca="1" si="20"/>
        <v>0</v>
      </c>
      <c r="DS65" s="87" t="e">
        <f t="shared" ca="1" si="21"/>
        <v>#N/A</v>
      </c>
      <c r="DT65" s="87">
        <f t="shared" ca="1" si="22"/>
        <v>0</v>
      </c>
      <c r="DU65" s="87" t="e">
        <f t="shared" ca="1" si="23"/>
        <v>#N/A</v>
      </c>
      <c r="DV65" s="87" t="e">
        <f t="shared" ca="1" si="24"/>
        <v>#N/A</v>
      </c>
      <c r="DW65" s="87">
        <f t="shared" ca="1" si="25"/>
        <v>0</v>
      </c>
      <c r="DX65" s="87">
        <f t="shared" ca="1" si="26"/>
        <v>0</v>
      </c>
      <c r="DZ65" s="87">
        <f t="shared" ca="1" si="35"/>
        <v>0</v>
      </c>
      <c r="EB65" s="87">
        <f t="shared" ca="1" si="27"/>
        <v>0</v>
      </c>
      <c r="EC65" s="87" t="e">
        <f t="shared" ca="1" si="28"/>
        <v>#N/A</v>
      </c>
      <c r="EE65" s="228">
        <f>(IF(EE$7="X",VLOOKUP(EE$10,'VK-Hooned-Soojus'!$C:$X,2+$C65,FALSE),0)+IF(EE$6="X",VLOOKUP(EE$10,'VK-Transport'!$C:$X,2+$B65,0))+IF(EE$8="X",VLOOKUP(EE$10,'VK-Elekter'!$C:$X,2+$D65,0))+IF(EE$9="X",VLOOKUP(EE$10,'VK-Biokütused'!$C:$U,2+$E65,0))+IF(EE$5="X",VLOOKUP(EE$10,'VK-Põlevkivi'!$C:$X,2+$G65,0))+IF(EE$4="X",VLOOKUP(EE$10,'VK-Võrgud'!$C:$X,2+$F65,0)))</f>
        <v>2524.0189452766499</v>
      </c>
      <c r="EF65" s="235">
        <f>(IF(EF$7="X",VLOOKUP(EF$10,'VK-Hooned-Soojus'!$C:$X,2+$C65,FALSE),0)+IF(EF$6="X",VLOOKUP(EF$10,'VK-Transport'!$C:$X,2+$B65,0))+IF(EF$8="X",VLOOKUP(EF$10,'VK-Elekter'!$C:$X,2+$D65,0))+IF(EF$9="X",VLOOKUP(EF$10,'VK-Biokütused'!$C:$U,2+$E65,0)))/1000</f>
        <v>4.3543823271229707</v>
      </c>
      <c r="EG65" s="209">
        <f>(IF(EG$7="X",VLOOKUP(EG$10,'VK-Hooned-Soojus'!$C:$X,2+$C65,FALSE),0)+IF(EG$6="X",VLOOKUP(EG$10,'VK-Transport'!$C:$X,2+$B65,0))+IF(EG$8="X",VLOOKUP(EG$10,'VK-Elekter'!$C:$X,2+$D65,0))+IF(EG$9="X",VLOOKUP(EG$10,'VK-Biokütused'!$C:$U,2+$E65,0))+IF(EG$5="X",VLOOKUP(EG$10,'VK-Põlevkivi'!$C:$X,2+$G65,0))+IF(EG$4="X",VLOOKUP(EG$10,'VK-Võrgud'!$C:$X,2+$F65,0)))</f>
        <v>0.81</v>
      </c>
      <c r="EH65" s="209">
        <f>(IF(EH$7="X",VLOOKUP(EH$10,'VK-Hooned-Soojus'!$C:$X,2+$C65,FALSE),0)+IF(EH$6="X",VLOOKUP(EH$10,'VK-Transport'!$C:$X,2+$B65,0))+IF(EH$8="X",VLOOKUP(EH$10,'VK-Elekter'!$C:$X,2+$D65,0))+IF(EH$9="X",VLOOKUP(EH$10,'VK-Biokütused'!$C:$U,2+$E65,0)))+AR65+AS65+AU65+AX65</f>
        <v>45.144166666666663</v>
      </c>
      <c r="EI65" s="320">
        <f t="shared" si="41"/>
        <v>45.144166666666663</v>
      </c>
      <c r="EJ65" s="322">
        <f t="shared" si="42"/>
        <v>2.1300063549572323E-2</v>
      </c>
      <c r="EK65" s="323">
        <f t="shared" si="29"/>
        <v>0.4856183356770486</v>
      </c>
      <c r="EM65" s="209"/>
      <c r="EN65" s="209">
        <f t="shared" ca="1" si="43"/>
        <v>0</v>
      </c>
      <c r="EO65" s="209"/>
      <c r="EP65" s="234"/>
      <c r="EQ65" s="209">
        <f>(IF(EQ$7="X",VLOOKUP(EQ$10,'VK-Hooned-Soojus'!$C:$X,2+$C65,FALSE),0)+IF(EQ$6="X",VLOOKUP(EQ$10,'VK-Transport'!$C:$X,2+$B65,0))+IF(EQ$8="X",VLOOKUP(EQ$10,'VK-Elekter'!$C:$X,2+$D65,0))+IF(EQ$9="X",VLOOKUP(EQ$10,'VK-Biokütused'!$C:$U,2+$E65,0))+IF(EQ$5="X",VLOOKUP(EQ$10,'VK-Põlevkivi'!$C:$X,2+$G65,0))+IF(EQ$4="X",VLOOKUP(EQ$10,'VK-Võrgud'!$C:$X,2+$F65,0)))/1000</f>
        <v>0.22900000000000001</v>
      </c>
      <c r="ER65" s="209">
        <f>(IF(ER$7="X",VLOOKUP(ER$10,'VK-Hooned-Soojus'!$C:$X,2+$C65,FALSE),0)+IF(ER$6="X",VLOOKUP(ER$10,'VK-Transport'!$C:$X,2+$B65,0))+IF(ER$8="X",VLOOKUP(ER$10,'VK-Elekter'!$C:$X,2+$D65,0))+IF(ER$9="X",VLOOKUP(ER$10,'VK-Biokütused'!$C:$U,2+$E65,0))+IF(ER$5="X",VLOOKUP(ER$10,'VK-Põlevkivi'!$C:$X,2+$G65,0))+IF(ER$4="X",VLOOKUP(ER$10,'VK-Võrgud'!$C:$X,2+$F65,0)))</f>
        <v>0.82899999999999996</v>
      </c>
      <c r="ES65" s="209">
        <f>(IF(ES$7="X",VLOOKUP(ES$10,'VK-Hooned-Soojus'!$C:$X,2+$C65,FALSE),0)+IF(ES$6="X",VLOOKUP(ES$10,'VK-Transport'!$C:$X,2+$B65,0))+IF(ES$8="X",VLOOKUP(ES$10,'VK-Elekter'!$C:$X,2+$D65,0))+IF(ES$9="X",VLOOKUP(ES$10,'VK-Biokütused'!$C:$U,2+$E65,0))+IF(ES$5="X",VLOOKUP(ES$10,'VK-Põlevkivi'!$C:$X,2+$G65,0))+IF(ES$4="X",VLOOKUP(ES$10,'VK-Võrgud'!$C:$X,2+$F65,0)))</f>
        <v>11.370000000000001</v>
      </c>
      <c r="ET65" s="209"/>
      <c r="EU65" s="209"/>
      <c r="EV65" s="87">
        <f>'KSH järjestus'!AS58</f>
        <v>1817</v>
      </c>
      <c r="EX65" s="236"/>
      <c r="EY65" s="236"/>
      <c r="EZ65" s="237">
        <f t="shared" si="44"/>
        <v>0.36609829488465395</v>
      </c>
      <c r="FA65" s="209">
        <f>IF(FA$7="X",VLOOKUP(FA$10,'VK-Hooned-Soojus'!$C:$X,2+$C65,FALSE),0)+IF(FA$6="X",VLOOKUP(FA$10,'VK-Transport'!$C:$X,2+$B65,0))+IF(FA$8="X",VLOOKUP(FA$10,'VK-Elekter'!$C:$X,2+$D65,0))+IF(FA$9="X",VLOOKUP(FA$10,'VK-Biokütused'!$C:$U,2+$E65,0))+IF(FA$5="X",VLOOKUP(FA$10,'VK-Põlevkivi'!$C:$X,2+$G65,0))+IF(FA$4="X",VLOOKUP(FA$10,'VK-Võrgud'!$C:$X,2+$F65,0))</f>
        <v>3123.346</v>
      </c>
      <c r="FB65" s="279">
        <f>(IF(FB$7="X",VLOOKUP(FB$10,'VK-Hooned-Soojus'!$C:$X,2+$C65,FALSE),0)+IF(FB$6="X",VLOOKUP(FB$10,'VK-Transport'!$C:$X,2+$B65,0))+IF(FB$8="X",VLOOKUP(FB$10,'VK-Elekter'!$C:$X,2+$D65,0))+IF(FB$9="X",VLOOKUP(FB$10,'VK-Biokütused'!$C:$U,2+$E65,0))+IF(FB$5="X",VLOOKUP(FB$10,'VK-Põlevkivi'!$C:$X,2+$G65,0))+IF(FB$4="X",VLOOKUP(FB$10,'VK-Võrgud'!$C:$X,2+$F65,0)))/16</f>
        <v>152.12163536429114</v>
      </c>
      <c r="FC65" s="209">
        <f>IF(FC$7="X",VLOOKUP(FC$10,'VK-Hooned-Soojus'!$C:$X,2+$C65,FALSE),0)+IF(FC$6="X",VLOOKUP(FC$10,'VK-Transport'!$C:$X,2+$B65,0))+IF(FC$8="X",VLOOKUP(FC$10,'VK-Elekter'!$C:$X,2+$D65,0))+IF(FC$9="X",VLOOKUP(FC$10,'VK-Biokütused'!$C:$U,2+$E65,0))+IF(FC$5="X",VLOOKUP(FC$10,'VK-Põlevkivi'!$C:$X,2+$G65,0))+IF(FC$4="X",VLOOKUP(FC$10,'VK-Võrgud'!$C:$X,2+$F65,0))</f>
        <v>327.64999999999998</v>
      </c>
      <c r="FD65" s="209">
        <f>(IF(FD$7="X",VLOOKUP(FD$10,'VK-Hooned-Soojus'!$C:$X,2+$C65,FALSE),0)+IF(FD$6="X",VLOOKUP(FD$10,'VK-Transport'!$C:$X,2+$B65,0))+IF(FD$8="X",VLOOKUP(FD$10,'VK-Elekter'!$C:$X,2+$D65,0))+IF(FD$9="X",VLOOKUP(FD$10,'VK-Biokütused'!$C:$U,2+$E65,0))+IF(FD$5="X",VLOOKUP(FD$10,'VK-Põlevkivi'!$C:$X,2+$G65,0))+IF(FD$4="X",VLOOKUP(FD$10,'VK-Võrgud'!$C:$X,2+$F65,0)))/16</f>
        <v>152.12163536429114</v>
      </c>
      <c r="FE65" s="209">
        <f>(IF(FE$7="X",VLOOKUP(FE$10,'VK-Hooned-Soojus'!$C:$X,2+$C65,FALSE),0)+IF(FE$6="X",VLOOKUP(FE$10,'VK-Transport'!$C:$X,2+$B65,0))+IF(FE$8="X",VLOOKUP(FE$10,'VK-Elekter'!$C:$X,2+$D65,0))+IF(FE$9="X",VLOOKUP(FE$10,'VK-Biokütused'!$C:$U,2+$E65,0))+IF(FE$5="X",VLOOKUP(FE$10,'VK-Põlevkivi'!$C:$X,2+$G65,0))+IF(FE$4="X",VLOOKUP(FE$10,'VK-Võrgud'!$C:$X,2+$F65,0)))/16</f>
        <v>-25.081250000000001</v>
      </c>
      <c r="FF65" s="209">
        <f>(IF(FF$7="X",VLOOKUP(FF$10,'VK-Hooned-Soojus'!$C:$X,2+$C65,FALSE),0)+IF(FF$6="X",VLOOKUP(FF$10,'VK-Transport'!$C:$X,2+$B65,0))+IF(FF$8="X",VLOOKUP(FF$10,'VK-Elekter'!$C:$X,2+$D65,0))+IF(FF$9="X",VLOOKUP(FF$10,'VK-Biokütused'!$C:$U,2+$E65,0))+IF(FF$5="X",VLOOKUP(FF$10,'VK-Põlevkivi'!$C:$X,2+$G65,0))+IF(FF$4="X",VLOOKUP(FF$10,'VK-Võrgud'!$C:$X,2+$F65,0)))/16</f>
        <v>80.392809066791898</v>
      </c>
      <c r="FG65" s="88">
        <f t="shared" ca="1" si="30"/>
        <v>55.311559066791901</v>
      </c>
      <c r="FH65" s="88"/>
      <c r="FI65" s="88"/>
      <c r="FJ65" s="88">
        <f>VLOOKUP(Tulemused!$BN$12,data!M$7:N$12,2,FALSE)-SUM(L65,M65)</f>
        <v>-1.9738666666666731</v>
      </c>
      <c r="FK65" s="209" t="str">
        <f>IF(AZ65&lt;=VLOOKUP(Tulemused!$BN$15,data!$E$36:$F$39,2,FALSE),"JAH","EI")</f>
        <v>JAH</v>
      </c>
      <c r="FL65" s="235">
        <f ca="1">IF(ISNA(MATCH($A65,INDIRECT(VLOOKUP(Tulemused!$BF$11,data!$J$57:$M$71,4,FALSE)))),0,MATCH($A65,INDIRECT(VLOOKUP(Tulemused!$BF$11,data!$J$57:$M$71,4,FALSE))))</f>
        <v>0</v>
      </c>
      <c r="FM65" s="235" t="str">
        <f t="shared" ca="1" si="45"/>
        <v>JAH</v>
      </c>
      <c r="FN65" s="209">
        <f>VLOOKUP(Tulemused!$BN$13,data!$C$132:$D$137,2,FALSE)-KOMBI!R65</f>
        <v>3.5415876728770304</v>
      </c>
      <c r="FO65" s="209"/>
      <c r="FP65" s="209">
        <f>VLOOKUP(Tulemused!$BN$17,NO_x,2,FALSE)-CJ65</f>
        <v>10.77027820675718</v>
      </c>
      <c r="FQ65" s="209">
        <f>VLOOKUP(Tulemused!$BN$18,SO_2,2,FALSE)-CK65</f>
        <v>44.293054537227363</v>
      </c>
      <c r="FR65" s="209">
        <f>VLOOKUP(Tulemused!$BN$19,LOU,2,FALSE)-CN65</f>
        <v>33.912000000000006</v>
      </c>
      <c r="FS65" s="209">
        <f>VLOOKUP(Tulemused!$BN$20,PM_2.5,2,FALSE)-CM65</f>
        <v>8.3401686429099033</v>
      </c>
      <c r="FT65" s="209">
        <f>VLOOKUP(Tulemused!$BN$13,data!$C$132:$D$137,2,FALSE)-FA65/1000</f>
        <v>3.1226240000000005</v>
      </c>
      <c r="FU65" s="209">
        <f>VLOOKUP(Tulemused!$BN$17,NO_x,2,FALSE)-CO65</f>
        <v>6.2784247892027203</v>
      </c>
      <c r="FV65" s="209">
        <f>VLOOKUP(Tulemused!$BN$18,SO_2,2,FALSE)-CP65</f>
        <v>44.844005169650174</v>
      </c>
      <c r="FW65" s="209">
        <f>VLOOKUP(Tulemused!$BN$19,LOU,2,FALSE)-CS65</f>
        <v>33.215665509940173</v>
      </c>
      <c r="FX65" s="209">
        <f>VLOOKUP(Tulemused!$BN$20,PM_2.5,2,FALSE)-CR65</f>
        <v>8.8389127215424246</v>
      </c>
      <c r="FY65" s="209">
        <f>VLOOKUP(Tulemused!$BN$14,KHG_2050,2,FALSE)-EF65</f>
        <v>95.645617672877023</v>
      </c>
      <c r="FZ65" s="231" t="str">
        <f t="shared" ca="1" si="31"/>
        <v>EI</v>
      </c>
      <c r="GA65" s="209"/>
      <c r="GB65" s="209"/>
      <c r="GC65" s="209"/>
      <c r="GD65" s="231"/>
      <c r="GE65" s="87">
        <f t="shared" si="46"/>
        <v>1817</v>
      </c>
      <c r="GF65" s="232" t="str">
        <f t="shared" ca="1" si="32"/>
        <v/>
      </c>
      <c r="GH65" s="238" t="e">
        <f t="shared" ca="1" si="47"/>
        <v>#NUM!</v>
      </c>
      <c r="GI65" s="87" t="e">
        <f t="array" aca="1" ref="GI65" ca="1">INDEX($A$11:$A$145, SMALL(IF(GH65=$GF$11:$GF$145, MATCH(ROW($GF$11:$GF$145), ROW($GF$11:$GF$145))), SUM(--(GH65=$GH$11:GH65))))</f>
        <v>#NUM!</v>
      </c>
      <c r="GM65" s="209">
        <f>IF(GM$7="X",VLOOKUP(GM$10,'VK-Hooned-Soojus'!$C:$X,2+$C65,FALSE),0)+IF(GM$6="X",VLOOKUP(GM$10,'VK-Transport'!$C:$X,2+$B65,0))+IF(GM$8="X",VLOOKUP(GM$10,'VK-Elekter'!$C:$X,2+$D65,0))+IF(GM$9="X",VLOOKUP(GM$10,'VK-Biokütused'!$C:$U,2+$E65,0))+IF(GM$5="X",VLOOKUP(GM$10,'VK-Põlevkivi'!$C:$X,2+$G65,0))+IF(GM$4="X",VLOOKUP(GM$10,'VK-Võrgud'!$C:$X,2+$F65,0))</f>
        <v>0</v>
      </c>
      <c r="GN65" s="209">
        <f>IF(GN$7="X",VLOOKUP(GN$10,'VK-Hooned-Soojus'!$C:$X,2+$C65,FALSE),0)+IF(GN$6="X",VLOOKUP(GN$10,'VK-Transport'!$C:$X,2+$B65,0))+IF(GN$8="X",VLOOKUP(GN$10,'VK-Elekter'!$C:$X,2+$D65,0))+IF(GN$9="X",VLOOKUP(GN$10,'VK-Biokütused'!$C:$U,2+$E65,0))+IF(GN$5="X",VLOOKUP(GN$10,'VK-Põlevkivi'!$C:$X,2+$G65,0))+IF(GN$4="X",VLOOKUP(GN$10,'VK-Võrgud'!$C:$X,2+$F65,0))</f>
        <v>7.5434676424145266</v>
      </c>
      <c r="GO65" s="209">
        <f>IF(GO$7="X",VLOOKUP(GO$10,'VK-Hooned-Soojus'!$C:$X,2+$C65,FALSE),0)+IF(GO$6="X",VLOOKUP(GO$10,'VK-Transport'!$C:$X,2+$B65,0))+IF(GO$8="X",VLOOKUP(GO$10,'VK-Elekter'!$C:$X,2+$D65,0))+IF(GO$9="X",VLOOKUP(GO$10,'VK-Biokütused'!$C:$U,2+$E65,0))+IF(GO$5="X",VLOOKUP(GO$10,'VK-Põlevkivi'!$C:$X,2+$G65,0))+IF(GO$4="X",VLOOKUP(GO$10,'VK-Võrgud'!$C:$X,2+$F65,0))</f>
        <v>8.7471755658278116</v>
      </c>
      <c r="GP65" s="209">
        <f>IF(GP$7="X",VLOOKUP(GP$10,'VK-Hooned-Soojus'!$C:$X,2+$C65,FALSE),0)+IF(GP$6="X",VLOOKUP(GP$10,'VK-Transport'!$C:$X,2+$B65,0))+IF(GP$8="X",VLOOKUP(GP$10,'VK-Elekter'!$C:$X,2+$D65,0))+IF(GP$9="X",VLOOKUP(GP$10,'VK-Biokütused'!$C:$U,2+$E65,0))+IF(GP$5="X",VLOOKUP(GP$10,'VK-Põlevkivi'!$C:$X,2+$G65,0))+IF(GP$4="X",VLOOKUP(GP$10,'VK-Võrgud'!$C:$X,2+$F65,0))</f>
        <v>9.3279335818485372</v>
      </c>
      <c r="GQ65" s="88">
        <f>IF(GQ$7="X",VLOOKUP(GQ$10,'VK-Hooned-Soojus'!$C:$X,2+$C65,FALSE),0)+IF(GQ$6="X",VLOOKUP(GQ$10,'VK-Transport'!$C:$X,2+$B65,0))+IF(GQ$8="X",VLOOKUP(GQ$10,'VK-Elekter'!$C:$X,2+$D65,0))+IF(GQ$9="X",VLOOKUP(GQ$10,'VK-Biokütused'!$C:$U,2+$E65,0))+IF(GQ$5="X",VLOOKUP(GQ$10,'VK-Põlevkivi'!$C:$X,2+$G65,0))+IF(GQ$4="X",VLOOKUP(GQ$10,'VK-Võrgud'!$C:$X,2+$F65,0))</f>
        <v>0.90618397335647782</v>
      </c>
      <c r="GR65" s="186">
        <f t="shared" si="33"/>
        <v>0.51075230408790107</v>
      </c>
    </row>
    <row r="66" spans="1:200" x14ac:dyDescent="0.2">
      <c r="A66" s="184">
        <v>56</v>
      </c>
      <c r="B66" s="87">
        <v>2</v>
      </c>
      <c r="C66" s="87">
        <v>1</v>
      </c>
      <c r="D66" s="87">
        <v>4</v>
      </c>
      <c r="E66" s="87">
        <v>2</v>
      </c>
      <c r="F66" s="87">
        <f>VLOOKUP(Tulemused!$BF$7,data!$J$6:$K$8,2,FALSE)</f>
        <v>2</v>
      </c>
      <c r="G66" s="87">
        <f>VLOOKUP(data!$H$2,data!$J$12:$K$14,2,FALSE)</f>
        <v>2</v>
      </c>
      <c r="I66" s="209">
        <f>IF(I$7="X",VLOOKUP(I$10,'VK-Hooned-Soojus'!$C:$X,2+$C66,FALSE),0)+IF(I$6="X",VLOOKUP(I$10,'VK-Transport'!$C:$X,2+$B66,0))+IF(I$8="X",VLOOKUP(I$10,'VK-Elekter'!$C:$X,2+$D66,0))+IF(I$9="X",VLOOKUP(I$10,'VK-Biokütused'!$C:$U,2+$E66,0))+IF(I$5="X",VLOOKUP(I$10,'VK-Põlevkivi'!$C:$X,2+$G66,0))+IF(I$4="X",VLOOKUP(I$10,'VK-Võrgud'!$C:$X,2+$F66,0))</f>
        <v>26.89</v>
      </c>
      <c r="J66" s="209">
        <f>IF(J$7="X",VLOOKUP(J$10,'VK-Hooned-Soojus'!$C:$X,2+$C66,FALSE),0)+IF(J$6="X",VLOOKUP(J$10,'VK-Transport'!$C:$X,2+$B66,0))+IF(J$8="X",VLOOKUP(J$10,'VK-Elekter'!$C:$X,2+$D66,0))+IF(J$9="X",VLOOKUP(J$10,'VK-Biokütused'!$C:$U,2+$E66,0))+IF(J$5="X",VLOOKUP(J$10,'VK-Põlevkivi'!$C:$X,2+$G66,0))+IF(J$4="X",VLOOKUP(J$10,'VK-Võrgud'!$C:$X,2+$F66,0))</f>
        <v>11.138055555555555</v>
      </c>
      <c r="K66" s="209">
        <f>IF(K$7="X",VLOOKUP(K$10,'VK-Hooned-Soojus'!$C:$X,2+$C66,FALSE),0)+IF(K$6="X",VLOOKUP(K$10,'VK-Transport'!$C:$X,2+$B66,0))+IF(K$8="X",VLOOKUP(K$10,'VK-Elekter'!$C:$X,2+$D66,0))+IF(K$9="X",VLOOKUP(K$10,'VK-Biokütused'!$C:$U,2+$E66,0))+IF(K$5="X",VLOOKUP(K$10,'VK-Põlevkivi'!$C:$X,2+$G66,0))+IF(K$4="X",VLOOKUP(K$10,'VK-Võrgud'!$C:$X,2+$F66,0))</f>
        <v>16.75</v>
      </c>
      <c r="L66" s="209">
        <f>IF(L$7="X",VLOOKUP(L$10,'VK-Hooned-Soojus'!$C:$X,2+$C66,FALSE),0)+IF(L$6="X",VLOOKUP(L$10,'VK-Transport'!$C:$X,2+$B66,0))+IF(L$8="X",VLOOKUP(L$10,'VK-Elekter'!$C:$X,2+$D66,0))+IF(L$9="X",VLOOKUP(L$10,'VK-Biokütused'!$C:$U,2+$E66,0))+IF(L$5="X",VLOOKUP(L$10,'VK-Põlevkivi'!$C:$X,2+$G66,0))+IF(L$4="X",VLOOKUP(L$10,'VK-Võrgud'!$C:$X,2+$F66,0))</f>
        <v>24.95</v>
      </c>
      <c r="M66" s="209">
        <f>IF(M$7="X",VLOOKUP(M$10,'VK-Hooned-Soojus'!$C:$X,2+$C66,FALSE),0)+IF(M$6="X",VLOOKUP(M$10,'VK-Transport'!$C:$X,2+$B66,0))+IF(M$8="X",VLOOKUP(M$10,'VK-Elekter'!$C:$X,2+$D66,0))+IF(M$9="X",VLOOKUP(M$10,'VK-Biokütused'!$C:$U,2+$E66,0))+IF(M$5="X",VLOOKUP(M$10,'VK-Põlevkivi'!$C:$X,2+$G66,0))+IF(M$4="X",VLOOKUP(M$10,'VK-Võrgud'!$C:$X,2+$F66,0))</f>
        <v>9.8566666666666674</v>
      </c>
      <c r="N66" s="209">
        <f>IF(N$7="X",VLOOKUP(N$10,'VK-Hooned-Soojus'!$C:$X,2+$C66,FALSE),0)+IF(N$6="X",VLOOKUP(N$10,'VK-Transport'!$C:$X,2+$B66,0))+IF(N$8="X",VLOOKUP(N$10,'VK-Elekter'!$C:$X,2+$D66,0))+IF(N$9="X",VLOOKUP(N$10,'VK-Biokütused'!$C:$U,2+$E66,0))+IF(N$5="X",VLOOKUP(N$10,'VK-Põlevkivi'!$C:$X,2+$G66,0))+IF(N$4="X",VLOOKUP(N$10,'VK-Võrgud'!$C:$X,2+$F66,0))</f>
        <v>16.75</v>
      </c>
      <c r="O66" s="209">
        <f t="shared" si="13"/>
        <v>38.028055555555554</v>
      </c>
      <c r="P66" s="209"/>
      <c r="Q66" s="209">
        <f>(IF(Q$7="X",VLOOKUP(Q$10,'VK-Hooned-Soojus'!$C:$X,2+$C66,FALSE),0)+IF(Q$6="X",VLOOKUP(Q$10,'VK-Transport'!$C:$X,2+$B66,0))+IF(Q$8="X",VLOOKUP(Q$10,'VK-Elekter'!$C:$X,2+$D66,0))+IF(Q$9="X",VLOOKUP(Q$10,'VK-Biokütused'!$C:$U,2+$E66,0))+IF(Q$5="X",VLOOKUP(Q$10,'VK-Põlevkivi'!$C:$X,2+$G66,0))+IF(Q$4="X",VLOOKUP(Q$10,'VK-Võrgud'!$C:$X,2+$F66,0)))/1000</f>
        <v>1.6020000000000001</v>
      </c>
      <c r="R66" s="209">
        <f>(IF(R$7="X",VLOOKUP(R$10,'VK-Hooned-Soojus'!$C:$X,2+$C66,FALSE),0)+IF(R$6="X",VLOOKUP(R$10,'VK-Transport'!$C:$X,2+$B66,0))+IF(R$8="X",VLOOKUP(R$10,'VK-Elekter'!$C:$X,2+$D66,0))+IF(R$9="X",VLOOKUP(R$10,'VK-Biokütused'!$C:$U,2+$E66,0))+IF(R$5="X",VLOOKUP(R$10,'VK-Põlevkivi'!$C:$X,2+$G66,0))+IF(R$4="X",VLOOKUP(R$10,'VK-Võrgud'!$C:$X,2+$F66,0)))/1000</f>
        <v>3.0818823271229703</v>
      </c>
      <c r="S66" s="226">
        <f>VLOOKUP(S$10,'VK-Hooned-Soojus'!$C:$I,2+$C66,FALSE) + VLOOKUP(S$10,'VK-Transport'!$C:$I,2+$B66,FALSE)+ VLOOKUP(S$10,'VK-Biokütused'!$C:$G,2+$E66,FALSE)+ VLOOKUP(S$10,'VK-Elekter'!$C:$I,2+$D66,FALSE)+ VLOOKUP(S$10,'VK-Põlevkivi'!$C:$I,2+$G66,FALSE)+ VLOOKUP(S$10,'VK-Võrgud'!$C:$I,2+$F66,FALSE)</f>
        <v>1.2260108493735034E-2</v>
      </c>
      <c r="T66" s="226">
        <f>VLOOKUP(T$10,'VK-Hooned-Soojus'!$C:$I,2+$C66,FALSE) + VLOOKUP(T$10,'VK-Transport'!$C:$I,2+$B66,FALSE)+ VLOOKUP(T$10,'VK-Biokütused'!$C:$G,2+$E66,FALSE)+ VLOOKUP(T$10,'VK-Elekter'!$C:$I,2+$D66,FALSE)+ VLOOKUP(T$10,'VK-Põlevkivi'!$C:$I,2+$G66,FALSE)+ VLOOKUP(T$10,'VK-Võrgud'!$C:$I,2+$F66,FALSE)</f>
        <v>-4.8272740954287581E-4</v>
      </c>
      <c r="U66" s="226">
        <f>VLOOKUP(U$10,'VK-Hooned-Soojus'!$C:$I,2+$C66,FALSE) + VLOOKUP(U$10,'VK-Transport'!$C:$I,2+$B66,FALSE)+ VLOOKUP(U$10,'VK-Biokütused'!$C:$G,2+$E66,FALSE)+ VLOOKUP(U$10,'VK-Elekter'!$C:$I,2+$D66,FALSE)+ VLOOKUP(U$10,'VK-Põlevkivi'!$C:$I,2+$G66,FALSE)+ VLOOKUP(U$10,'VK-Võrgud'!$C:$I,2+$F66,FALSE)</f>
        <v>4.0375423993568305E-3</v>
      </c>
      <c r="V66" s="226">
        <f>VLOOKUP(V$10,'VK-Hooned-Soojus'!$C:$I,2+$C66,FALSE) + VLOOKUP(V$10,'VK-Transport'!$C:$I,2+$B66,FALSE)+ VLOOKUP(V$10,'VK-Biokütused'!$C:$G,2+$E66,FALSE)+ VLOOKUP(V$10,'VK-Elekter'!$C:$I,2+$D66,FALSE)+ VLOOKUP(V$10,'VK-Põlevkivi'!$C:$I,2+$G66,FALSE)+ VLOOKUP(V$10,'VK-Võrgud'!$C:$I,2+$F66,FALSE)</f>
        <v>8.2754461841711181E-3</v>
      </c>
      <c r="W66" s="226">
        <f>VLOOKUP(W$10,'VK-Hooned-Soojus'!$C:$I,2+$C66,FALSE) + VLOOKUP(W$10,'VK-Transport'!$C:$I,2+$B66,FALSE)+ VLOOKUP(W$10,'VK-Biokütused'!$C:$G,2+$E66,FALSE)+ VLOOKUP(W$10,'VK-Elekter'!$C:$I,2+$D66,FALSE)+ VLOOKUP(W$10,'VK-Põlevkivi'!$C:$I,2+$G66,FALSE)+ VLOOKUP(W$10,'VK-Võrgud'!$C:$I,2+$F66,FALSE)</f>
        <v>-3.2010180379609746E-2</v>
      </c>
      <c r="X66" s="226">
        <f>VLOOKUP(X$10,'VK-Hooned-Soojus'!$C:$I,2+$C66,FALSE) + VLOOKUP(X$10,'VK-Transport'!$C:$I,2+$B66,FALSE)+ VLOOKUP(X$10,'VK-Biokütused'!$C:$G,2+$E66,FALSE)+ VLOOKUP(X$10,'VK-Elekter'!$C:$I,2+$D66,FALSE)+ VLOOKUP(X$10,'VK-Põlevkivi'!$C:$I,2+$G66,FALSE)+ VLOOKUP(X$10,'VK-Võrgud'!$C:$I,2+$F66,FALSE)</f>
        <v>-0.15964251799414125</v>
      </c>
      <c r="Y66" s="226">
        <f>VLOOKUP(Y$10,'VK-Hooned-Soojus'!$C:$I,2+$C66,FALSE) + VLOOKUP(Y$10,'VK-Transport'!$C:$I,2+$B66,FALSE)+ VLOOKUP(Y$10,'VK-Biokütused'!$C:$G,2+$E66,FALSE)+ VLOOKUP(Y$10,'VK-Elekter'!$C:$I,2+$D66,FALSE)+ VLOOKUP(Y$10,'VK-Põlevkivi'!$C:$I,2+$G66,FALSE)+ VLOOKUP(Y$10,'VK-Võrgud'!$C:$I,2+$F66,FALSE)</f>
        <v>-7.194133306435431E-2</v>
      </c>
      <c r="Z66" s="227">
        <f>(S66*Tulemused!$Q$9*10+T66*Tulemused!$Q$10*10+KOMBI!U66*Tulemused!$Q$11*10+KOMBI!V66*Tulemused!$Q$12*10)*Tulemused!$Q$8+-(W66*Tulemused!$Q$14*10+KOMBI!X66*Tulemused!$Q$15*10+KOMBI!Y66*Tulemused!$Q$16*10)*Tulemused!$Q$13</f>
        <v>7.6292456435471214</v>
      </c>
      <c r="AA66" s="228">
        <f>(IF(AA$7="X",VLOOKUP(AA$10,'VK-Hooned-Soojus'!$C:$X,2+$C66,FALSE),0)+IF(AA$6="X",VLOOKUP(AA$10,'VK-Transport'!$C:$X,2+$B66,0))+IF(AA$8="X",VLOOKUP(AA$10,'VK-Elekter'!$C:$X,2+$D66,0))+IF(AA$9="X",VLOOKUP(AA$10,'VK-Biokütused'!$C:$U,2+$E66,0))+IF(AA$5="X",VLOOKUP(AA$10,'VK-Põlevkivi'!$C:$X,2+$G66,0))+IF(AA$4="X",VLOOKUP(AA$10,'VK-Võrgud'!$C:$X,2+$F66,0)))</f>
        <v>0</v>
      </c>
      <c r="AB66" s="228">
        <f>(IF(AB$7="X",VLOOKUP(AB$10,'VK-Hooned-Soojus'!$C:$X,2+$C66,FALSE),0)+IF(AB$6="X",VLOOKUP(AB$10,'VK-Transport'!$C:$X,2+$B66,0))+IF(AB$8="X",VLOOKUP(AB$10,'VK-Elekter'!$C:$X,2+$D66,0))+IF(AB$9="X",VLOOKUP(AB$10,'VK-Biokütused'!$C:$U,2+$E66,0))+IF(AB$5="X",VLOOKUP(AB$10,'VK-Põlevkivi'!$C:$X,2+$G66,0))+IF(AB$4="X",VLOOKUP(AB$10,'VK-Võrgud'!$C:$X,2+$F66,0)))</f>
        <v>1602</v>
      </c>
      <c r="AC66" s="228">
        <f>(IF(AC$7="X",VLOOKUP(AC$10,'VK-Hooned-Soojus'!$C:$X,2+$C66,FALSE),0)+IF(AC$6="X",VLOOKUP(AC$10,'VK-Transport'!$C:$X,2+$B66,0))+IF(AC$8="X",VLOOKUP(AC$10,'VK-Elekter'!$C:$X,2+$D66,0))+IF(AC$9="X",VLOOKUP(AC$10,'VK-Biokütused'!$C:$U,2+$E66,0))+IF(AC$5="X",VLOOKUP(AC$10,'VK-Põlevkivi'!$C:$X,2+$G66,0))+IF(AC$4="X",VLOOKUP(AC$10,'VK-Võrgud'!$C:$X,2+$F66,0)))</f>
        <v>2346</v>
      </c>
      <c r="AD66" s="228">
        <f>(IF(AD$7="X",VLOOKUP(AD$10,'VK-Hooned-Soojus'!$C:$X,2+$C66,FALSE),0)+IF(AD$6="X",VLOOKUP(AD$10,'VK-Transport'!$C:$X,2+$B66,0))+IF(AD$8="X",VLOOKUP(AD$10,'VK-Elekter'!$C:$X,2+$D66,0))+IF(AD$9="X",VLOOKUP(AD$10,'VK-Biokütused'!$C:$U,2+$E66,0))+IF(AD$5="X",VLOOKUP(AD$10,'VK-Põlevkivi'!$C:$X,2+$G66,0))+IF(AD$4="X",VLOOKUP(AD$10,'VK-Võrgud'!$C:$X,2+$F66,0)))</f>
        <v>377.5</v>
      </c>
      <c r="AE66" s="228">
        <f>(IF(AE$7="X",VLOOKUP(AE$10,'VK-Hooned-Soojus'!$C:$X,2+$C66,FALSE),0)+IF(AE$6="X",VLOOKUP(AE$10,'VK-Transport'!$C:$X,2+$B66,0))+IF(AE$8="X",VLOOKUP(AE$10,'VK-Elekter'!$C:$X,2+$D66,0))+IF(AE$9="X",VLOOKUP(AE$10,'VK-Biokütused'!$C:$U,2+$E66,0))+IF(AE$5="X",VLOOKUP(AE$10,'VK-Põlevkivi'!$C:$X,2+$G66,0))+IF(AE$4="X",VLOOKUP(AE$10,'VK-Võrgud'!$C:$X,2+$F66,0)))</f>
        <v>812</v>
      </c>
      <c r="AF66" s="228">
        <f>(IF(AF$7="X",VLOOKUP(AF$10,'VK-Hooned-Soojus'!$C:$X,2+$C66,FALSE),0)+IF(AF$6="X",VLOOKUP(AF$10,'VK-Transport'!$C:$X,2+$B66,0))+IF(AF$8="X",VLOOKUP(AF$10,'VK-Elekter'!$C:$X,2+$D66,0))+IF(AF$9="X",VLOOKUP(AF$10,'VK-Biokütused'!$C:$U,2+$E66,0))+IF(AF$5="X",VLOOKUP(AF$10,'VK-Põlevkivi'!$C:$X,2+$G66,0))+IF(AF$4="X",VLOOKUP(AF$10,'VK-Võrgud'!$C:$X,2+$F66,0)))</f>
        <v>1892.3823271229701</v>
      </c>
      <c r="AG66" s="209"/>
      <c r="AH66" s="209">
        <f>IF(AH$7="X",VLOOKUP(AH$10,'VK-Hooned-Soojus'!$C:$X,2+$C66,FALSE),0)+IF(AH$6="X",VLOOKUP(AH$10,'VK-Transport'!$C:$X,2+$B66,0))+IF(AH$8="X",VLOOKUP(AH$10,'VK-Elekter'!$C:$X,2+$D66,0))+IF(AH$9="X",VLOOKUP(AH$10,'VK-Biokütused'!$C:$U,2+$E66,0))+IF(AH$5="X",VLOOKUP(AH$10,'VK-Põlevkivi'!$C:$X,2+$G66,0))+IF(AH$4="X",VLOOKUP(AH$10,'VK-Võrgud'!$C:$X,2+$F66,0))</f>
        <v>0</v>
      </c>
      <c r="AI66" s="209">
        <f>IF(AI$7="X",VLOOKUP(AI$10,'VK-Hooned-Soojus'!$C:$X,2+$C66,FALSE),0)+IF(AI$6="X",VLOOKUP(AI$10,'VK-Transport'!$C:$X,2+$B66,0))+IF(AI$8="X",VLOOKUP(AI$10,'VK-Elekter'!$C:$X,2+$D66,0))+IF(AI$9="X",VLOOKUP(AI$10,'VK-Biokütused'!$C:$U,2+$E66,0))+IF(AI$5="X",VLOOKUP(AI$10,'VK-Põlevkivi'!$C:$X,2+$G66,0))+IF(AI$4="X",VLOOKUP(AI$10,'VK-Võrgud'!$C:$X,2+$F66,0))</f>
        <v>11.489999999999998</v>
      </c>
      <c r="AJ66" s="209">
        <f>IF(AJ$7="X",VLOOKUP(AJ$10,'VK-Hooned-Soojus'!$C:$X,2+$C66,FALSE),0)+IF(AJ$6="X",VLOOKUP(AJ$10,'VK-Transport'!$C:$X,2+$B66,0))+IF(AJ$8="X",VLOOKUP(AJ$10,'VK-Elekter'!$C:$X,2+$D66,0))+IF(AJ$9="X",VLOOKUP(AJ$10,'VK-Biokütused'!$C:$U,2+$E66,0))+IF(AJ$5="X",VLOOKUP(AJ$10,'VK-Põlevkivi'!$C:$X,2+$G66,0))+IF(AJ$4="X",VLOOKUP(AJ$10,'VK-Võrgud'!$C:$X,2+$F66,0))</f>
        <v>0</v>
      </c>
      <c r="AK66" s="209">
        <f>IF(AK$7="X",VLOOKUP(AK$10,'VK-Hooned-Soojus'!$C:$X,2+$C66,FALSE),0)+IF(AK$6="X",VLOOKUP(AK$10,'VK-Transport'!$C:$X,2+$B66,0))+IF(AK$8="X",VLOOKUP(AK$10,'VK-Elekter'!$C:$X,2+$D66,0))+IF(AK$9="X",VLOOKUP(AK$10,'VK-Biokütused'!$C:$U,2+$E66,0))+IF(AK$5="X",VLOOKUP(AK$10,'VK-Põlevkivi'!$C:$X,2+$G66,0))+IF(AK$4="X",VLOOKUP(AK$10,'VK-Võrgud'!$C:$X,2+$F66,0))</f>
        <v>3.65</v>
      </c>
      <c r="AL66" s="209">
        <f>IF(AL$7="X",VLOOKUP(AL$10,'VK-Hooned-Soojus'!$C:$X,2+$C66,FALSE),0)+IF(AL$6="X",VLOOKUP(AL$10,'VK-Transport'!$C:$X,2+$B66,0))+IF(AL$8="X",VLOOKUP(AL$10,'VK-Elekter'!$C:$X,2+$D66,0))+IF(AL$9="X",VLOOKUP(AL$10,'VK-Biokütused'!$C:$U,2+$E66,0))+IF(AL$5="X",VLOOKUP(AL$10,'VK-Põlevkivi'!$C:$X,2+$G66,0))+IF(AL$4="X",VLOOKUP(AL$10,'VK-Võrgud'!$C:$X,2+$F66,0))</f>
        <v>7.1999999999999993</v>
      </c>
      <c r="AM66" s="209">
        <f>IF(AM$7="X",VLOOKUP(AM$10,'VK-Hooned-Soojus'!$C:$X,2+$C66,FALSE),0)+IF(AM$6="X",VLOOKUP(AM$10,'VK-Transport'!$C:$X,2+$B66,0))+IF(AM$8="X",VLOOKUP(AM$10,'VK-Elekter'!$C:$X,2+$D66,0))+IF(AM$9="X",VLOOKUP(AM$10,'VK-Biokütused'!$C:$U,2+$E66,0))+IF(AM$5="X",VLOOKUP(AM$10,'VK-Põlevkivi'!$C:$X,2+$G66,0))+IF(AM$4="X",VLOOKUP(AM$10,'VK-Võrgud'!$C:$X,2+$F66,0))</f>
        <v>12.9</v>
      </c>
      <c r="AN66" s="209">
        <f>IF(AN$7="X",VLOOKUP(AN$10,'VK-Hooned-Soojus'!$C:$X,2+$C66,FALSE),0)+IF(AN$6="X",VLOOKUP(AN$10,'VK-Transport'!$C:$X,2+$B66,0))+IF(AN$8="X",VLOOKUP(AN$10,'VK-Elekter'!$C:$X,2+$D66,0))+IF(AN$9="X",VLOOKUP(AN$10,'VK-Biokütused'!$C:$U,2+$E66,0))+IF(AN$5="X",VLOOKUP(AN$10,'VK-Põlevkivi'!$C:$X,2+$G66,0))+IF(AN$4="X",VLOOKUP(AN$10,'VK-Võrgud'!$C:$X,2+$F66,0))</f>
        <v>5.6999999999999993</v>
      </c>
      <c r="AO66" s="209">
        <f>IF(AO$7="X",VLOOKUP(AO$10,'VK-Hooned-Soojus'!$C:$X,2+$C66,FALSE),0)+IF(AO$6="X",VLOOKUP(AO$10,'VK-Transport'!$C:$X,2+$B66,0))+IF(AO$8="X",VLOOKUP(AO$10,'VK-Elekter'!$C:$X,2+$D66,0))+IF(AO$9="X",VLOOKUP(AO$10,'VK-Biokütused'!$C:$U,2+$E66,0))+IF(AO$5="X",VLOOKUP(AO$10,'VK-Põlevkivi'!$C:$X,2+$G66,0))+IF(AO$4="X",VLOOKUP(AO$10,'VK-Võrgud'!$C:$X,2+$F66,0))</f>
        <v>22.740000000000002</v>
      </c>
      <c r="AP66" s="209">
        <f>IF(AP$7="X",VLOOKUP(AP$10,'VK-Hooned-Soojus'!$C:$X,2+$C66,FALSE),0)+IF(AP$6="X",VLOOKUP(AP$10,'VK-Transport'!$C:$X,2+$B66,0))+IF(AP$8="X",VLOOKUP(AP$10,'VK-Elekter'!$C:$X,2+$D66,0))+IF(AP$9="X",VLOOKUP(AP$10,'VK-Biokütused'!$C:$U,2+$E66,0))+IF(AP$5="X",VLOOKUP(AP$10,'VK-Põlevkivi'!$C:$X,2+$G66,0))+IF(AP$4="X",VLOOKUP(AP$10,'VK-Võrgud'!$C:$X,2+$F66,0))</f>
        <v>11.370000000000001</v>
      </c>
      <c r="AQ66" s="320">
        <f t="shared" si="14"/>
        <v>10.440000000000001</v>
      </c>
      <c r="AR66" s="209">
        <f>IF(AR$7="X",VLOOKUP(AR$10,'VK-Hooned-Soojus'!$C:$X,2+$C66,FALSE),0)+IF(AR$6="X",VLOOKUP(AR$10,'VK-Transport'!$C:$X,2+$B66,0))+IF(AR$8="X",VLOOKUP(AR$10,'VK-Elekter'!$C:$X,2+$D66,0))+IF(AR$9="X",VLOOKUP(AR$10,'VK-Biokütused'!$C:$U,2+$E66,0))+IF(AR$5="X",VLOOKUP(AR$10,'VK-Põlevkivi'!$C:$X,2+$G66,0))+IF(AR$4="X",VLOOKUP(AR$10,'VK-Võrgud'!$C:$X,2+$F66,0))</f>
        <v>1.1000000000000001</v>
      </c>
      <c r="AS66" s="320">
        <f>VLOOKUP("Kütuste tarbimine @ 2030 - UTTEGAAS",'VK-Hooned-Soojus'!$C:$X,2+$C66,FALSE)/0.172+VLOOKUP("Kütuste tarbimine @ 2030 - UTTEGAAS",'VK-Elekter'!$C:$X,2+$D66,FALSE)/0.172-AR66-AU66</f>
        <v>-1.1000000000000001</v>
      </c>
      <c r="AT66" s="209">
        <f>IF(AT$7="X",VLOOKUP(AT$10,'VK-Hooned-Soojus'!$C:$X,2+$C66,FALSE),0)+IF(AT$6="X",VLOOKUP(AT$10,'VK-Transport'!$C:$X,2+$B66,0))+IF(AT$8="X",VLOOKUP(AT$10,'VK-Elekter'!$C:$X,2+$D66,0))+IF(AT$9="X",VLOOKUP(AT$10,'VK-Biokütused'!$C:$U,2+$E66,0))+IF(AT$5="X",VLOOKUP(AT$10,'VK-Põlevkivi'!$C:$X,2+$G66,0))+IF(AT$4="X",VLOOKUP(AT$10,'VK-Võrgud'!$C:$X,2+$F66,0))</f>
        <v>9.2784458909544707</v>
      </c>
      <c r="AU66" s="229">
        <f>MAX(0,(VLOOKUP("Kütuste tarbimine @ 2030 - UTTEGAAS",'VK-Hooned-Soojus'!$C:$X,2+$C66,FALSE)/0.172+VLOOKUP("Kütuste tarbimine @ 2030 - UTTEGAAS",'VK-Elekter'!$C:$X,2+$D66,FALSE)/0.172)*0.52-VLOOKUP("Kütuste tarbimine @ 2030 - PÕLEVKIVIÕLI",'VK-Hooned-Soojus'!$C:$X,2+$C66,FALSE))</f>
        <v>0</v>
      </c>
      <c r="AV66" s="209">
        <f>IF(AV$7="X",VLOOKUP(AV$10,'VK-Hooned-Soojus'!$C:$X,2+$C66,FALSE),0)+IF(AV$6="X",VLOOKUP(AV$10,'VK-Transport'!$C:$X,2+$B66,0))+IF(AV$8="X",VLOOKUP(AV$10,'VK-Elekter'!$C:$X,2+$D66,0))+IF(AV$9="X",VLOOKUP(AV$10,'VK-Biokütused'!$C:$U,2+$E66,0))+IF(AV$5="X",VLOOKUP(AV$10,'VK-Põlevkivi'!$C:$X,2+$G66,0))+IF(AV$4="X",VLOOKUP(AV$10,'VK-Võrgud'!$C:$X,2+$F66,0))</f>
        <v>1.7257321590343366</v>
      </c>
      <c r="AW66" s="209">
        <f>IF(AW$7="X",VLOOKUP(AW$10,'VK-Hooned-Soojus'!$C:$X,2+$C66,FALSE),0)+IF(AW$6="X",VLOOKUP(AW$10,'VK-Transport'!$C:$X,2+$B66,0))+IF(AW$8="X",VLOOKUP(AW$10,'VK-Elekter'!$C:$X,2+$D66,0))+IF(AW$9="X",VLOOKUP(AW$10,'VK-Biokütused'!$C:$U,2+$E66,0))+IF(AW$5="X",VLOOKUP(AW$10,'VK-Põlevkivi'!$C:$X,2+$G66,0))+IF(AW$4="X",VLOOKUP(AW$10,'VK-Võrgud'!$C:$X,2+$F66,0))</f>
        <v>2.141</v>
      </c>
      <c r="AX66" s="229">
        <f t="shared" si="34"/>
        <v>0.41526784096566338</v>
      </c>
      <c r="AY66" s="229">
        <f t="shared" si="15"/>
        <v>0</v>
      </c>
      <c r="AZ66" s="230">
        <f t="shared" si="36"/>
        <v>0.64390259112741344</v>
      </c>
      <c r="BA66" s="209">
        <f>IF(BA$7="X",VLOOKUP(BA$10,'VK-Hooned-Soojus'!$C:$X,2+$C66,FALSE),0)+IF(BA$6="X",VLOOKUP(BA$10,'VK-Transport'!$C:$X,2+$B66,0))+IF(BA$8="X",VLOOKUP(BA$10,'VK-Elekter'!$C:$X,2+$D66,0))+IF(BA$9="X",VLOOKUP(BA$10,'VK-Biokütused'!$C:$U,2+$E66,0))+IF(BA$5="X",VLOOKUP(BA$10,'VK-Põlevkivi'!$C:$X,2+$G66,0))+IF(BA$4="X",VLOOKUP(BA$10,'VK-Võrgud'!$C:$X,2+$F66,0))</f>
        <v>0</v>
      </c>
      <c r="BB66" s="209">
        <f>IF(BB$7="X",VLOOKUP(BB$10,'VK-Hooned-Soojus'!$C:$X,2+$C66,FALSE),0)+IF(BB$6="X",VLOOKUP(BB$10,'VK-Transport'!$C:$X,2+$B66,0))+IF(BB$8="X",VLOOKUP(BB$10,'VK-Elekter'!$C:$X,2+$D66,0))+IF(BB$9="X",VLOOKUP(BB$10,'VK-Biokütused'!$C:$U,2+$E66,0))+IF(BB$5="X",VLOOKUP(BB$10,'VK-Põlevkivi'!$C:$X,2+$G66,0))+IF(BB$4="X",VLOOKUP(BB$10,'VK-Võrgud'!$C:$X,2+$F66,0))</f>
        <v>6.32</v>
      </c>
      <c r="BC66" s="209">
        <f>IF(BC$7="X",VLOOKUP(BC$10,'VK-Hooned-Soojus'!$C:$X,2+$C66,FALSE),0)+IF(BC$6="X",VLOOKUP(BC$10,'VK-Transport'!$C:$X,2+$B66,0))+IF(BC$8="X",VLOOKUP(BC$10,'VK-Elekter'!$C:$X,2+$D66,0))+IF(BC$9="X",VLOOKUP(BC$10,'VK-Biokütused'!$C:$U,2+$E66,0))+IF(BC$5="X",VLOOKUP(BC$10,'VK-Põlevkivi'!$C:$X,2+$G66,0))+IF(BC$4="X",VLOOKUP(BC$10,'VK-Võrgud'!$C:$X,2+$F66,0))</f>
        <v>8.0523611111111126</v>
      </c>
      <c r="BD66" s="209">
        <f>IF(BD$7="X",VLOOKUP(BD$10,'VK-Hooned-Soojus'!$C:$X,2+$C66,FALSE),0)+IF(BD$6="X",VLOOKUP(BD$10,'VK-Transport'!$C:$X,2+$B66,0))+IF(BD$8="X",VLOOKUP(BD$10,'VK-Elekter'!$C:$X,2+$D66,0))+IF(BD$9="X",VLOOKUP(BD$10,'VK-Biokütused'!$C:$U,2+$E66,0))+IF(BD$5="X",VLOOKUP(BD$10,'VK-Põlevkivi'!$C:$X,2+$G66,0))+IF(BD$4="X",VLOOKUP(BD$10,'VK-Võrgud'!$C:$X,2+$F66,0))</f>
        <v>10.42138888888889</v>
      </c>
      <c r="BE66" s="230"/>
      <c r="BF66" s="229">
        <f t="shared" si="16"/>
        <v>0.57849627288208527</v>
      </c>
      <c r="BG66" s="209" t="e">
        <f>(IF(BG$7="X",VLOOKUP(BG$10,'VK-Hooned-Soojus'!$C:$X,2+$C66,FALSE),0)+IF(BG$6="X",VLOOKUP(BG$10,'VK-Transport'!$C:$X,2+$B66,0))+IF(BG$8="X",VLOOKUP(BG$10,'VK-Elekter'!$C:$X,2+$D66,0))+IF(BG$9="X",VLOOKUP(BG$10,'VK-Biokütused'!$C:$U,2+$E66,0))+IF(BG$5="X",VLOOKUP(BG$10,'VK-Põlevkivi'!$C:$X,2+$G66,0))+IF(BG$4="X",VLOOKUP(BG$10,'VK-Võrgud'!$C:$X,2+$F66,0)))/20</f>
        <v>#N/A</v>
      </c>
      <c r="BH66" s="209">
        <f>(IF(BH$7="X",VLOOKUP(BH$10,'VK-Hooned-Soojus'!$C:$X,2+$C66,FALSE),0)+IF(BH$6="X",VLOOKUP(BH$10,'VK-Transport'!$C:$X,2+$B66,0))+IF(BH$8="X",VLOOKUP(BH$10,'VK-Elekter'!$C:$X,2+$D66,0))+IF(BH$9="X",VLOOKUP(BH$10,'VK-Biokütused'!$C:$U,2+$E66,0))+IF(BH$5="X",VLOOKUP(BH$10,'VK-Põlevkivi'!$C:$X,2+$G66,0))+IF(BH$4="X",VLOOKUP(BH$10,'VK-Võrgud'!$C:$X,2+$F66,0)))/20</f>
        <v>13.99</v>
      </c>
      <c r="BI66" s="209">
        <f>(IF(BI$7="X",VLOOKUP(BI$10,'VK-Hooned-Soojus'!$C:$X,2+$C66,FALSE),0)+IF(BI$6="X",VLOOKUP(BI$10,'VK-Transport'!$C:$X,2+$B66,0))+IF(BI$8="X",VLOOKUP(BI$10,'VK-Elekter'!$C:$X,2+$D66,0))+IF(BI$9="X",VLOOKUP(BI$10,'VK-Biokütused'!$C:$U,2+$E66,0))+IF(BI$5="X",VLOOKUP(BI$10,'VK-Põlevkivi'!$C:$X,2+$G66,0))+IF(BI$4="X",VLOOKUP(BI$10,'VK-Võrgud'!$C:$X,2+$F66,0)))/16</f>
        <v>17.75</v>
      </c>
      <c r="BJ66" s="209">
        <f>(IF(BJ$7="X",VLOOKUP(BJ$10,'VK-Hooned-Soojus'!$C:$X,2+$C66,FALSE),0)+IF(BJ$6="X",VLOOKUP(BJ$10,'VK-Transport'!$C:$X,2+$B66,0))+IF(BJ$8="X",VLOOKUP(BJ$10,'VK-Elekter'!$C:$X,2+$D66,0))+IF(BJ$9="X",VLOOKUP(BJ$10,'VK-Biokütused'!$C:$U,2+$E66,0))+IF(BJ$5="X",VLOOKUP(BJ$10,'VK-Põlevkivi'!$C:$X,2+$G66,0))+IF(BJ$4="X",VLOOKUP(BJ$10,'VK-Võrgud'!$C:$X,2+$F66,0)))/20</f>
        <v>1.85</v>
      </c>
      <c r="BK66" s="209"/>
      <c r="BL66" s="209"/>
      <c r="BM66" s="209"/>
      <c r="BN66" s="209" t="e">
        <f>(IF(BN$7="X",VLOOKUP(BN$10,'VK-Hooned-Soojus'!$C:$X,2+$C66,FALSE),0)+IF(BN$6="X",VLOOKUP(BN$10,'VK-Transport'!$C:$X,2+$B66,0))+IF(BN$8="X",VLOOKUP(BN$10,'VK-Elekter'!$C:$X,2+$D66,0))+IF(BN$9="X",VLOOKUP(BN$10,'VK-Biokütused'!$C:$U,2+$E66,0))+IF(BN$5="X",VLOOKUP(BN$10,'VK-Põlevkivi'!$C:$X,2+$G66,0))+IF(BN$4="X",VLOOKUP(BN$10,'VK-Võrgud'!$C:$X,2+$F66,0)))/16</f>
        <v>#N/A</v>
      </c>
      <c r="BO66" s="209">
        <f>(IF(BO$7="X",VLOOKUP(BO$10,'VK-Hooned-Soojus'!$C:$X,2+$C66,FALSE),0)+IF(BO$6="X",VLOOKUP(BO$10,'VK-Transport'!$C:$X,2+$B66,0))+IF(BO$8="X",VLOOKUP(BO$10,'VK-Elekter'!$C:$X,2+$D66,0))+IF(BO$9="X",VLOOKUP(BO$10,'VK-Biokütused'!$C:$U,2+$E66,0))+IF(BO$5="X",VLOOKUP(BO$10,'VK-Põlevkivi'!$C:$X,2+$G66,0))+IF(BO$4="X",VLOOKUP(BO$10,'VK-Võrgud'!$C:$X,2+$F66,0)))/16</f>
        <v>405.45</v>
      </c>
      <c r="BP66" s="209"/>
      <c r="BQ66" s="209">
        <f>(IF(BQ$7="X",VLOOKUP(BQ$10,'VK-Hooned-Soojus'!$C:$X,2+$C66,FALSE),0)+IF(BQ$6="X",VLOOKUP(BQ$10,'VK-Transport'!$C:$X,2+$B66,0))+IF(BQ$8="X",VLOOKUP(BQ$10,'VK-Elekter'!$C:$X,2+$D66,0))+IF(BQ$9="X",VLOOKUP(BQ$10,'VK-Biokütused'!$C:$U,2+$E66,0))+IF(BQ$5="X",VLOOKUP(BQ$10,'VK-Põlevkivi'!$C:$X,2+$G66,0))+IF(BQ$4="X",VLOOKUP(BQ$10,'VK-Võrgud'!$C:$X,2+$F66,0)))/16</f>
        <v>127.6</v>
      </c>
      <c r="BR66" s="209">
        <f>(IF(BR$7="X",VLOOKUP(BR$10,'VK-Hooned-Soojus'!$C:$X,2+$C66,FALSE),0)+IF(BR$6="X",VLOOKUP(BR$10,'VK-Transport'!$C:$X,2+$B66,0))+IF(BR$8="X",VLOOKUP(BR$10,'VK-Elekter'!$C:$X,2+$D66,0))+IF(BR$9="X",VLOOKUP(BR$10,'VK-Biokütused'!$C:$U,2+$E66,0))+IF(BR$5="X",VLOOKUP(BR$10,'VK-Põlevkivi'!$C:$X,2+$G66,0))+IF(BR$4="X",VLOOKUP(BR$10,'VK-Võrgud'!$C:$X,2+$F66,0)))/16</f>
        <v>27.475000000000001</v>
      </c>
      <c r="BS66" s="209">
        <f>(IF(BS$7="X",VLOOKUP(BS$10,'VK-Hooned-Soojus'!$C:$X,2+$C66,FALSE),0)+IF(BS$6="X",VLOOKUP(BS$10,'VK-Transport'!$C:$X,2+$B66,0))+IF(BS$8="X",VLOOKUP(BS$10,'VK-Elekter'!$C:$X,2+$D66,0))+IF(BS$9="X",VLOOKUP(BS$10,'VK-Biokütused'!$C:$U,2+$E66,0))+IF(BS$5="X",VLOOKUP(BS$10,'VK-Põlevkivi'!$C:$X,2+$G66,0))+IF(BS$4="X",VLOOKUP(BS$10,'VK-Võrgud'!$C:$X,2+$F66,0)))/16</f>
        <v>-23.293749999999999</v>
      </c>
      <c r="BT66" s="209"/>
      <c r="BU66" s="209"/>
      <c r="BV66" s="209">
        <f>(IF(BV$7="X",VLOOKUP(BV$10,'VK-Hooned-Soojus'!$C:$X,2+$C66,FALSE),0)+IF(BV$6="X",VLOOKUP(BV$10,'VK-Transport'!$C:$X,2+$B66,0))+IF(BV$8="X",VLOOKUP(BV$10,'VK-Elekter'!$C:$X,2+$D66,0))+IF(BV$9="X",VLOOKUP(BV$10,'VK-Biokütused'!$C:$U,2+$E66,0))+IF(BV$5="X",VLOOKUP(BV$10,'VK-Põlevkivi'!$C:$X,2+$G66,0))+IF(BV$4="X",VLOOKUP(BV$10,'VK-Võrgud'!$C:$X,2+$F66,0)))/16</f>
        <v>0</v>
      </c>
      <c r="BW66" s="209"/>
      <c r="BX66" s="209">
        <f>(IF(BX$7="X",VLOOKUP(BX$10,'VK-Hooned-Soojus'!$C:$X,2+$C66,FALSE),0)+IF(BX$6="X",VLOOKUP(BX$10,'VK-Transport'!$C:$X,2+$B66,0))+IF(BX$8="X",VLOOKUP(BX$10,'VK-Elekter'!$C:$X,2+$D66,0))+IF(BX$9="X",VLOOKUP(BX$10,'VK-Biokütused'!$C:$U,2+$E66,0))+IF(BX$5="X",VLOOKUP(BX$10,'VK-Põlevkivi'!$C:$X,2+$G66,0))+IF(BX$4="X",VLOOKUP(BX$10,'VK-Võrgud'!$C:$X,2+$F66,0)))/16</f>
        <v>-19.25</v>
      </c>
      <c r="BY66" s="209"/>
      <c r="BZ66" s="209"/>
      <c r="CA66" s="209" t="e">
        <f>(IF(CA$7="X",VLOOKUP(CA$10,'VK-Hooned-Soojus'!$C:$X,2+$C66,FALSE),0)+IF(CA$6="X",VLOOKUP(CA$10,'VK-Transport'!$C:$X,2+$B66,0))+IF(CA$8="X",VLOOKUP(CA$10,'VK-Elekter'!$C:$X,2+$D66,0))+IF(CA$9="X",VLOOKUP(CA$10,'VK-Biokütused'!$C:$U,2+$E66,0))+IF(CA$5="X",VLOOKUP(CA$10,'VK-Põlevkivi'!$C:$X,2+$G66,0))+IF(CA$4="X",VLOOKUP(CA$10,'VK-Võrgud'!$C:$X,2+$F66,0)))/16</f>
        <v>#N/A</v>
      </c>
      <c r="CB66" s="209">
        <f>(IF(CB$7="X",VLOOKUP(CB$10,'VK-Hooned-Soojus'!$C:$X,2+$C66,FALSE),0)+IF(CB$6="X",VLOOKUP(CB$10,'VK-Transport'!$C:$X,2+$B66,0))+IF(CB$8="X",VLOOKUP(CB$10,'VK-Elekter'!$C:$X,2+$D66,0))+IF(CB$9="X",VLOOKUP(CB$10,'VK-Biokütused'!$C:$U,2+$E66,0))+IF(CB$5="X",VLOOKUP(CB$10,'VK-Põlevkivi'!$C:$X,2+$G66,0))+IF(CB$4="X",VLOOKUP(CB$10,'VK-Võrgud'!$C:$X,2+$F66,0)))/16</f>
        <v>0</v>
      </c>
      <c r="CC66" s="209">
        <f>(IF(CC$7="X",VLOOKUP(CC$10,'VK-Hooned-Soojus'!$C:$X,2+$C66,FALSE),0)+IF(CC$6="X",VLOOKUP(CC$10,'VK-Transport'!$C:$X,2+$B66,0))+IF(CC$8="X",VLOOKUP(CC$10,'VK-Elekter'!$C:$X,2+$D66,0))+IF(CC$9="X",VLOOKUP(CC$10,'VK-Biokütused'!$C:$U,2+$E66,0))+IF(CC$5="X",VLOOKUP(CC$10,'VK-Põlevkivi'!$C:$X,2+$G66,0))+IF(CC$4="X",VLOOKUP(CC$10,'VK-Võrgud'!$C:$X,2+$F66,0)))/16</f>
        <v>0</v>
      </c>
      <c r="CD66" s="209"/>
      <c r="CE66" s="209">
        <f>(IF(CE$7="X",VLOOKUP(CE$10,'VK-Hooned-Soojus'!$C:$X,2+$C66,FALSE),0)+IF(CE$6="X",VLOOKUP(CE$10,'VK-Transport'!$C:$X,2+$B66,0))+IF(CE$8="X",VLOOKUP(CE$10,'VK-Elekter'!$C:$X,2+$D66,0))+IF(CE$9="X",VLOOKUP(CE$10,'VK-Biokütused'!$C:$U,2+$E66,0))+IF(CE$5="X",VLOOKUP(CE$10,'VK-Põlevkivi'!$C:$X,2+$G66,0))+IF(CE$4="X",VLOOKUP(CE$10,'VK-Võrgud'!$C:$X,2+$F66,0)))/16</f>
        <v>24.15625</v>
      </c>
      <c r="CF66" s="209"/>
      <c r="CG66" s="209">
        <f>(IF(CG$7="X",VLOOKUP(CG$10,'VK-Hooned-Soojus'!$C:$X,2+$C66,FALSE),0)+IF(CG$6="X",VLOOKUP(CG$10,'VK-Transport'!$C:$X,2+$B66,0))+IF(CG$8="X",VLOOKUP(CG$10,'VK-Elekter'!$C:$X,2+$D66,0))+IF(CG$9="X",VLOOKUP(CG$10,'VK-Biokütused'!$C:$U,2+$E66,0))+IF(CG$5="X",VLOOKUP(CG$10,'VK-Põlevkivi'!$C:$X,2+$G66,0))+IF(CG$4="X",VLOOKUP(CG$10,'VK-Võrgud'!$C:$X,2+$F66,0)))/16</f>
        <v>0</v>
      </c>
      <c r="CH66" s="209">
        <f>(IF(CH$7="X",VLOOKUP(CH$10,'VK-Hooned-Soojus'!$C:$X,2+$C66,FALSE),0)+IF(CH$6="X",VLOOKUP(CH$10,'VK-Transport'!$C:$X,2+$B66,0))+IF(CH$8="X",VLOOKUP(CH$10,'VK-Elekter'!$C:$X,2+$D66,0))+IF(CH$9="X",VLOOKUP(CH$10,'VK-Biokütused'!$C:$U,2+$E66,0))+IF(CH$5="X",VLOOKUP(CH$10,'VK-Põlevkivi'!$C:$X,2+$G66,0))+IF(CH$4="X",VLOOKUP(CH$10,'VK-Võrgud'!$C:$X,2+$F66,0)))/20*0.21</f>
        <v>5.6122500000000004</v>
      </c>
      <c r="CI66" s="209"/>
      <c r="CJ66" s="209">
        <f>(IF(CJ$7="X",VLOOKUP(CJ$10,'VK-Hooned-Soojus'!$C:$X,2+$C66,FALSE),0)+IF(CJ$6="X",VLOOKUP(CJ$10,'VK-Transport'!$C:$X,2+$B66,0))+IF(CJ$8="X",VLOOKUP(CJ$10,'VK-Elekter'!$C:$X,2+$D66,0))+IF(CJ$9="X",VLOOKUP(CJ$10,'VK-Biokütused'!$C:$U,2+$E66,0))+IF(CJ$5="X",VLOOKUP(CJ$10,'VK-Põlevkivi'!$C:$X,2+$G66,0))+IF(CJ$4="X",VLOOKUP(CJ$10,'VK-Võrgud'!$C:$X,2+$F66,0)))/1000</f>
        <v>18.667721793242819</v>
      </c>
      <c r="CK66" s="209">
        <f>(IF(CK$7="X",VLOOKUP(CK$10,'VK-Hooned-Soojus'!$C:$X,2+$C66,FALSE),0)+IF(CK$6="X",VLOOKUP(CK$10,'VK-Transport'!$C:$X,2+$B66,0))+IF(CK$8="X",VLOOKUP(CK$10,'VK-Elekter'!$C:$X,2+$D66,0))+IF(CK$9="X",VLOOKUP(CK$10,'VK-Biokütused'!$C:$U,2+$E66,0))+IF(CK$5="X",VLOOKUP(CK$10,'VK-Põlevkivi'!$C:$X,2+$G66,0))+IF(CK$4="X",VLOOKUP(CK$10,'VK-Võrgud'!$C:$X,2+$F66,0)))/1000</f>
        <v>7.590945462772634</v>
      </c>
      <c r="CL66" s="235">
        <f>(IF(CL$7="X",VLOOKUP(CL$10,'VK-Hooned-Soojus'!$C:$X,2+$C66,FALSE),0)+IF(CL$6="X",VLOOKUP(CL$10,'VK-Transport'!$C:$X,2+$B66,0))+IF(CL$8="X",VLOOKUP(CL$10,'VK-Elekter'!$C:$X,2+$D66,0))+IF(CL$9="X",VLOOKUP(CL$10,'VK-Biokütused'!$C:$U,2+$E66,0)))/1000</f>
        <v>5.1610567987315106</v>
      </c>
      <c r="CM66" s="209">
        <f>(IF(CM$7="X",VLOOKUP(CM$10,'VK-Hooned-Soojus'!$C:$X,2+$C66,FALSE),0)+IF(CM$6="X",VLOOKUP(CM$10,'VK-Transport'!$C:$X,2+$B66,0))+IF(CM$8="X",VLOOKUP(CM$10,'VK-Elekter'!$C:$X,2+$D66,0))+IF(CM$9="X",VLOOKUP(CM$10,'VK-Biokütused'!$C:$U,2+$E66,0))+IF(CM$5="X",VLOOKUP(CM$10,'VK-Põlevkivi'!$C:$X,2+$G66,0))+IF(CM$4="X",VLOOKUP(CM$10,'VK-Võrgud'!$C:$X,2+$F66,0)))/1000</f>
        <v>8.5748313570900958</v>
      </c>
      <c r="CN66" s="209">
        <f>(IF(CN$7="X",VLOOKUP(CN$10,'VK-Hooned-Soojus'!$C:$X,2+$C66,FALSE),0)+IF(CN$6="X",VLOOKUP(CN$10,'VK-Transport'!$C:$X,2+$B66,0))+IF(CN$8="X",VLOOKUP(CN$10,'VK-Elekter'!$C:$X,2+$D66,0))+IF(CN$9="X",VLOOKUP(CN$10,'VK-Biokütused'!$C:$U,2+$E66,0))+IF(CN$5="X",VLOOKUP(CN$10,'VK-Põlevkivi'!$C:$X,2+$G66,0))+IF(CN$4="X",VLOOKUP(CN$10,'VK-Võrgud'!$C:$X,2+$F66,0)))/1000</f>
        <v>3.1680000000000001</v>
      </c>
      <c r="CO66" s="209">
        <f>(IF(CO$7="X",VLOOKUP(CO$10,'VK-Hooned-Soojus'!$C:$X,2+$C66,FALSE),0)+IF(CO$6="X",VLOOKUP(CO$10,'VK-Transport'!$C:$X,2+$B66,0))+IF(CO$8="X",VLOOKUP(CO$10,'VK-Elekter'!$C:$X,2+$D66,0))+IF(CO$9="X",VLOOKUP(CO$10,'VK-Biokütused'!$C:$U,2+$E66,0))+IF(CO$5="X",VLOOKUP(CO$10,'VK-Põlevkivi'!$C:$X,2+$G66,0))+IF(CO$4="X",VLOOKUP(CO$10,'VK-Võrgud'!$C:$X,2+$F66,0)))/1000</f>
        <v>23.159575210797279</v>
      </c>
      <c r="CP66" s="209">
        <f>(IF(CP$7="X",VLOOKUP(CP$10,'VK-Hooned-Soojus'!$C:$X,2+$C66,FALSE),0)+IF(CP$6="X",VLOOKUP(CP$10,'VK-Transport'!$C:$X,2+$B66,0))+IF(CP$8="X",VLOOKUP(CP$10,'VK-Elekter'!$C:$X,2+$D66,0))+IF(CP$9="X",VLOOKUP(CP$10,'VK-Biokütused'!$C:$U,2+$E66,0))+IF(CP$5="X",VLOOKUP(CP$10,'VK-Põlevkivi'!$C:$X,2+$G66,0))+IF(CP$4="X",VLOOKUP(CP$10,'VK-Võrgud'!$C:$X,2+$F66,0)))/1000</f>
        <v>7.0399948303498237</v>
      </c>
      <c r="CQ66" s="235">
        <f>(IF(CQ$7="X",VLOOKUP(CQ$10,'VK-Hooned-Soojus'!$C:$X,2+$C66,FALSE),0)+IF(CQ$6="X",VLOOKUP(CQ$10,'VK-Transport'!$C:$X,2+$B66,0))+IF(CQ$8="X",VLOOKUP(CQ$10,'VK-Elekter'!$C:$X,2+$D66,0))+IF(CQ$9="X",VLOOKUP(CQ$10,'VK-Biokütused'!$C:$U,2+$E66,0)))/1000</f>
        <v>5.2553459999999994</v>
      </c>
      <c r="CR66" s="209">
        <f>(IF(CR$7="X",VLOOKUP(CR$10,'VK-Hooned-Soojus'!$C:$X,2+$C66,FALSE),0)+IF(CR$6="X",VLOOKUP(CR$10,'VK-Transport'!$C:$X,2+$B66,0))+IF(CR$8="X",VLOOKUP(CR$10,'VK-Elekter'!$C:$X,2+$D66,0))+IF(CR$9="X",VLOOKUP(CR$10,'VK-Biokütused'!$C:$U,2+$E66,0))+IF(CR$5="X",VLOOKUP(CR$10,'VK-Põlevkivi'!$C:$X,2+$G66,0))+IF(CR$4="X",VLOOKUP(CR$10,'VK-Võrgud'!$C:$X,2+$F66,0)))/1000</f>
        <v>8.0760872784575746</v>
      </c>
      <c r="CS66" s="209">
        <f>(IF(CS$7="X",VLOOKUP(CS$10,'VK-Hooned-Soojus'!$C:$X,2+$C66,FALSE),0)+IF(CS$6="X",VLOOKUP(CS$10,'VK-Transport'!$C:$X,2+$B66,0))+IF(CS$8="X",VLOOKUP(CS$10,'VK-Elekter'!$C:$X,2+$D66,0))+IF(CS$9="X",VLOOKUP(CS$10,'VK-Biokütused'!$C:$U,2+$E66,0))+IF(CS$5="X",VLOOKUP(CS$10,'VK-Põlevkivi'!$C:$X,2+$G66,0))+IF(CS$4="X",VLOOKUP(CS$10,'VK-Võrgud'!$C:$X,2+$F66,0)))/1000</f>
        <v>3.8643344900598322</v>
      </c>
      <c r="CT66" s="209">
        <f>IF(CT$7="X",VLOOKUP(CT$10,'VK-Hooned-Soojus'!$C:$X,2+$C66,FALSE),0)+IF(CT$6="X",VLOOKUP(CT$10,'VK-Transport'!$C:$X,2+$B66,0))+IF(CT$8="X",VLOOKUP(CT$10,'VK-Elekter'!$C:$X,2+$D66,0))+IF(CT$9="X",VLOOKUP(CT$10,'VK-Biokütused'!$C:$U,2+$E66,0))+IF(CT$5="X",VLOOKUP(CT$10,'VK-Põlevkivi'!$C:$X,2+$G66,0))+IF(CT$4="X",VLOOKUP(CT$10,'VK-Võrgud'!$C:$X,2+$F66,0))</f>
        <v>90</v>
      </c>
      <c r="CU66" s="209">
        <f>IF(CU$7="X",VLOOKUP(CU$10,'VK-Hooned-Soojus'!$C:$X,2+$C66,FALSE),0)+IF(CU$6="X",VLOOKUP(CU$10,'VK-Transport'!$C:$X,2+$B66,0))+IF(CU$8="X",VLOOKUP(CU$10,'VK-Elekter'!$C:$X,2+$D66,0))+IF(CU$9="X",VLOOKUP(CU$10,'VK-Biokütused'!$C:$U,2+$E66,0))+IF(CU$5="X",VLOOKUP(CU$10,'VK-Põlevkivi'!$C:$X,2+$G66,0))+IF(CU$4="X",VLOOKUP(CU$10,'VK-Võrgud'!$C:$X,2+$F66,0))</f>
        <v>0.63390170511534605</v>
      </c>
      <c r="CV66" s="209">
        <f t="shared" si="37"/>
        <v>0.84317482403548605</v>
      </c>
      <c r="CW66" s="209">
        <f>(IF(CW$7="X",VLOOKUP(CW$10,'VK-Hooned-Soojus'!$C:$X,2+$C66,FALSE),0)+IF(CW$6="X",VLOOKUP(CW$10,'VK-Transport'!$C:$X,2+$B66,0))+IF(CW$8="X",VLOOKUP(CW$10,'VK-Elekter'!$C:$X,2+$D66,0))+IF(CW$9="X",VLOOKUP(CW$10,'VK-Biokütused'!$C:$U,2+$E66,0))+IF(CW$5="X",VLOOKUP(CW$10,'VK-Põlevkivi'!$C:$X,2+$G66,0))+IF(CW$4="X",VLOOKUP(CW$10,'VK-Võrgud'!$C:$X,2+$F66,0)))/16</f>
        <v>59.743749999999999</v>
      </c>
      <c r="CY66" s="209">
        <f>(IF(CY$7="X",VLOOKUP(CY$10,'VK-Hooned-Soojus'!$C:$X,2+$C66,FALSE),0)+IF(CY$6="X",VLOOKUP(CY$10,'VK-Transport'!$C:$X,2+$B66,0))+IF(CY$8="X",VLOOKUP(CY$10,'VK-Elekter'!$C:$X,2+$D66,0))+IF(CY$9="X",VLOOKUP(CY$10,'VK-Biokütused'!$C:$U,2+$E66,0))+IF(CY$5="X",VLOOKUP(CY$10,'VK-Põlevkivi'!$C:$X,2+$G66,0))+IF(CY$4="X",VLOOKUP(CY$10,'VK-Võrgud'!$C:$X,2+$F66,0)))/1000</f>
        <v>10.53</v>
      </c>
      <c r="CZ66" s="209">
        <f>(IF(CZ$7="X",VLOOKUP(CZ$10,'VK-Hooned-Soojus'!$C:$X,2+$C66,FALSE),0)+IF(CZ$6="X",VLOOKUP(CZ$10,'VK-Transport'!$C:$X,2+$B66,0))+IF(CZ$8="X",VLOOKUP(CZ$10,'VK-Elekter'!$C:$X,2+$D66,0))+IF(CZ$9="X",VLOOKUP(CZ$10,'VK-Biokütused'!$C:$U,2+$E66,0))+IF(CZ$5="X",VLOOKUP(CZ$10,'VK-Põlevkivi'!$C:$X,2+$G66,0))+IF(CZ$4="X",VLOOKUP(CZ$10,'VK-Võrgud'!$C:$X,2+$F66,0)))</f>
        <v>81.400000000000006</v>
      </c>
      <c r="DA66" s="209">
        <f>(IF(DA$7="X",VLOOKUP(DA$10,'VK-Hooned-Soojus'!$C:$X,2+$C66,FALSE),0)+IF(DA$6="X",VLOOKUP(DA$10,'VK-Transport'!$C:$X,2+$B66,0))+IF(DA$8="X",VLOOKUP(DA$10,'VK-Elekter'!$C:$X,2+$D66,0))+IF(DA$9="X",VLOOKUP(DA$10,'VK-Biokütused'!$C:$U,2+$E66,0))+IF(DA$5="X",VLOOKUP(DA$10,'VK-Põlevkivi'!$C:$X,2+$G66,0))+IF(DA$4="X",VLOOKUP(DA$10,'VK-Võrgud'!$C:$X,2+$F66,0)))/1000</f>
        <v>10.856999999999999</v>
      </c>
      <c r="DB66" s="209">
        <f>(IF(DB$7="X",VLOOKUP(DB$10,'VK-Hooned-Soojus'!$C:$X,2+$C66,FALSE),0)+IF(DB$6="X",VLOOKUP(DB$10,'VK-Transport'!$C:$X,2+$B66,0))+IF(DB$8="X",VLOOKUP(DB$10,'VK-Elekter'!$C:$X,2+$D66,0))+IF(DB$9="X",VLOOKUP(DB$10,'VK-Biokütused'!$C:$U,2+$E66,0))+IF(DB$5="X",VLOOKUP(DB$10,'VK-Põlevkivi'!$C:$X,2+$G66,0))+IF(DB$4="X",VLOOKUP(DB$10,'VK-Võrgud'!$C:$X,2+$F66,0)))/1000/3.6</f>
        <v>43.421111111111109</v>
      </c>
      <c r="DC66" s="209">
        <f>(IF(DC$7="X",VLOOKUP(DC$10,'VK-Hooned-Soojus'!$C:$X,2+$C66,FALSE),0)+IF(DC$6="X",VLOOKUP(DC$10,'VK-Transport'!$C:$X,2+$B66,0))+IF(DC$8="X",VLOOKUP(DC$10,'VK-Elekter'!$C:$X,2+$D66,0))+IF(DC$9="X",VLOOKUP(DC$10,'VK-Biokütused'!$C:$U,2+$E66,0))+IF(DC$5="X",VLOOKUP(DC$10,'VK-Põlevkivi'!$C:$X,2+$G66,0))+IF(DC$4="X",VLOOKUP(DC$10,'VK-Võrgud'!$C:$X,2+$F66,0)))/1000000</f>
        <v>4.346838</v>
      </c>
      <c r="DD66" s="209"/>
      <c r="DE66" s="88">
        <f>VLOOKUP(Tulemused!$BN$12,data!M$7:N$12,2,FALSE)-SUM(L66,M66)</f>
        <v>-1.9738666666666731</v>
      </c>
      <c r="DF66" s="209" t="str">
        <f>IF(AZ66&lt;=VLOOKUP(Tulemused!$BN$15,data!$E$36:$F$39,2,FALSE),"JAH","EI")</f>
        <v>JAH</v>
      </c>
      <c r="DG66" s="209"/>
      <c r="DH66" s="209">
        <f t="shared" si="38"/>
        <v>11.370000000000001</v>
      </c>
      <c r="DI66" s="231" t="str">
        <f t="shared" si="17"/>
        <v>EI</v>
      </c>
      <c r="DK66" s="232">
        <f t="shared" si="39"/>
        <v>-992.37075435645284</v>
      </c>
      <c r="DM66" s="233">
        <f t="shared" si="40"/>
        <v>-994.1620703008598</v>
      </c>
      <c r="DN66" s="87">
        <f t="array" ref="DN66">INDEX($A$11:$A$145, SMALL(IF(DM66=$DK$11:$DK$145, MATCH(ROW($DK$11:$DK$145), ROW($DK$11:$DK$145))), SUM(--(DM66=$DM$11:DM66))))</f>
        <v>89</v>
      </c>
      <c r="DP66" s="87" t="e">
        <f t="shared" ca="1" si="18"/>
        <v>#N/A</v>
      </c>
      <c r="DQ66" s="87" t="e">
        <f t="shared" ca="1" si="19"/>
        <v>#N/A</v>
      </c>
      <c r="DR66" s="87">
        <f t="shared" ca="1" si="20"/>
        <v>0</v>
      </c>
      <c r="DS66" s="87" t="e">
        <f t="shared" ca="1" si="21"/>
        <v>#N/A</v>
      </c>
      <c r="DT66" s="87">
        <f t="shared" ca="1" si="22"/>
        <v>0</v>
      </c>
      <c r="DU66" s="87" t="e">
        <f t="shared" ca="1" si="23"/>
        <v>#N/A</v>
      </c>
      <c r="DV66" s="87" t="e">
        <f t="shared" ca="1" si="24"/>
        <v>#N/A</v>
      </c>
      <c r="DW66" s="87">
        <f t="shared" ca="1" si="25"/>
        <v>0</v>
      </c>
      <c r="DX66" s="87">
        <f t="shared" ca="1" si="26"/>
        <v>0</v>
      </c>
      <c r="DZ66" s="87">
        <f t="shared" ca="1" si="35"/>
        <v>0</v>
      </c>
      <c r="EB66" s="87">
        <f t="shared" ca="1" si="27"/>
        <v>0</v>
      </c>
      <c r="EC66" s="87" t="e">
        <f t="shared" ca="1" si="28"/>
        <v>#N/A</v>
      </c>
      <c r="EE66" s="228">
        <f>(IF(EE$7="X",VLOOKUP(EE$10,'VK-Hooned-Soojus'!$C:$X,2+$C66,FALSE),0)+IF(EE$6="X",VLOOKUP(EE$10,'VK-Transport'!$C:$X,2+$B66,0))+IF(EE$8="X",VLOOKUP(EE$10,'VK-Elekter'!$C:$X,2+$D66,0))+IF(EE$9="X",VLOOKUP(EE$10,'VK-Biokütused'!$C:$U,2+$E66,0))+IF(EE$5="X",VLOOKUP(EE$10,'VK-Põlevkivi'!$C:$X,2+$G66,0))+IF(EE$4="X",VLOOKUP(EE$10,'VK-Võrgud'!$C:$X,2+$F66,0)))</f>
        <v>5637.5081910975196</v>
      </c>
      <c r="EF66" s="235">
        <f>(IF(EF$7="X",VLOOKUP(EF$10,'VK-Hooned-Soojus'!$C:$X,2+$C66,FALSE),0)+IF(EF$6="X",VLOOKUP(EF$10,'VK-Transport'!$C:$X,2+$B66,0))+IF(EF$8="X",VLOOKUP(EF$10,'VK-Elekter'!$C:$X,2+$D66,0))+IF(EF$9="X",VLOOKUP(EF$10,'VK-Biokütused'!$C:$U,2+$E66,0)))/1000</f>
        <v>4.3543823271229707</v>
      </c>
      <c r="EG66" s="209">
        <f>(IF(EG$7="X",VLOOKUP(EG$10,'VK-Hooned-Soojus'!$C:$X,2+$C66,FALSE),0)+IF(EG$6="X",VLOOKUP(EG$10,'VK-Transport'!$C:$X,2+$B66,0))+IF(EG$8="X",VLOOKUP(EG$10,'VK-Elekter'!$C:$X,2+$D66,0))+IF(EG$9="X",VLOOKUP(EG$10,'VK-Biokütused'!$C:$U,2+$E66,0))+IF(EG$5="X",VLOOKUP(EG$10,'VK-Põlevkivi'!$C:$X,2+$G66,0))+IF(EG$4="X",VLOOKUP(EG$10,'VK-Võrgud'!$C:$X,2+$F66,0)))</f>
        <v>0.81</v>
      </c>
      <c r="EH66" s="209">
        <f>(IF(EH$7="X",VLOOKUP(EH$10,'VK-Hooned-Soojus'!$C:$X,2+$C66,FALSE),0)+IF(EH$6="X",VLOOKUP(EH$10,'VK-Transport'!$C:$X,2+$B66,0))+IF(EH$8="X",VLOOKUP(EH$10,'VK-Elekter'!$C:$X,2+$D66,0))+IF(EH$9="X",VLOOKUP(EH$10,'VK-Biokütused'!$C:$U,2+$E66,0)))+AR66+AS66+AU66+AX66</f>
        <v>45.559434507632325</v>
      </c>
      <c r="EI66" s="320">
        <f t="shared" si="41"/>
        <v>45.144166666666663</v>
      </c>
      <c r="EJ66" s="322">
        <f t="shared" si="42"/>
        <v>2.1300063549572323E-2</v>
      </c>
      <c r="EK66" s="323">
        <f t="shared" si="29"/>
        <v>0.4856183356770486</v>
      </c>
      <c r="EM66" s="209"/>
      <c r="EN66" s="209">
        <f t="shared" ca="1" si="43"/>
        <v>0</v>
      </c>
      <c r="EO66" s="209"/>
      <c r="EP66" s="234"/>
      <c r="EQ66" s="209">
        <f>(IF(EQ$7="X",VLOOKUP(EQ$10,'VK-Hooned-Soojus'!$C:$X,2+$C66,FALSE),0)+IF(EQ$6="X",VLOOKUP(EQ$10,'VK-Transport'!$C:$X,2+$B66,0))+IF(EQ$8="X",VLOOKUP(EQ$10,'VK-Elekter'!$C:$X,2+$D66,0))+IF(EQ$9="X",VLOOKUP(EQ$10,'VK-Biokütused'!$C:$U,2+$E66,0))+IF(EQ$5="X",VLOOKUP(EQ$10,'VK-Põlevkivi'!$C:$X,2+$G66,0))+IF(EQ$4="X",VLOOKUP(EQ$10,'VK-Võrgud'!$C:$X,2+$F66,0)))/1000</f>
        <v>0.22900000000000001</v>
      </c>
      <c r="ER66" s="209">
        <f>(IF(ER$7="X",VLOOKUP(ER$10,'VK-Hooned-Soojus'!$C:$X,2+$C66,FALSE),0)+IF(ER$6="X",VLOOKUP(ER$10,'VK-Transport'!$C:$X,2+$B66,0))+IF(ER$8="X",VLOOKUP(ER$10,'VK-Elekter'!$C:$X,2+$D66,0))+IF(ER$9="X",VLOOKUP(ER$10,'VK-Biokütused'!$C:$U,2+$E66,0))+IF(ER$5="X",VLOOKUP(ER$10,'VK-Põlevkivi'!$C:$X,2+$G66,0))+IF(ER$4="X",VLOOKUP(ER$10,'VK-Võrgud'!$C:$X,2+$F66,0)))</f>
        <v>0.82899999999999996</v>
      </c>
      <c r="ES66" s="209">
        <f>(IF(ES$7="X",VLOOKUP(ES$10,'VK-Hooned-Soojus'!$C:$X,2+$C66,FALSE),0)+IF(ES$6="X",VLOOKUP(ES$10,'VK-Transport'!$C:$X,2+$B66,0))+IF(ES$8="X",VLOOKUP(ES$10,'VK-Elekter'!$C:$X,2+$D66,0))+IF(ES$9="X",VLOOKUP(ES$10,'VK-Biokütused'!$C:$U,2+$E66,0))+IF(ES$5="X",VLOOKUP(ES$10,'VK-Põlevkivi'!$C:$X,2+$G66,0))+IF(ES$4="X",VLOOKUP(ES$10,'VK-Võrgud'!$C:$X,2+$F66,0)))</f>
        <v>11.370000000000001</v>
      </c>
      <c r="ET66" s="209"/>
      <c r="EU66" s="209"/>
      <c r="EV66" s="87">
        <f>'KSH järjestus'!AS59</f>
        <v>1724</v>
      </c>
      <c r="EX66" s="236"/>
      <c r="EY66" s="236"/>
      <c r="EZ66" s="237">
        <f t="shared" si="44"/>
        <v>0.36609829488465395</v>
      </c>
      <c r="FA66" s="209">
        <f>IF(FA$7="X",VLOOKUP(FA$10,'VK-Hooned-Soojus'!$C:$X,2+$C66,FALSE),0)+IF(FA$6="X",VLOOKUP(FA$10,'VK-Transport'!$C:$X,2+$B66,0))+IF(FA$8="X",VLOOKUP(FA$10,'VK-Elekter'!$C:$X,2+$D66,0))+IF(FA$9="X",VLOOKUP(FA$10,'VK-Biokütused'!$C:$U,2+$E66,0))+IF(FA$5="X",VLOOKUP(FA$10,'VK-Põlevkivi'!$C:$X,2+$G66,0))+IF(FA$4="X",VLOOKUP(FA$10,'VK-Võrgud'!$C:$X,2+$F66,0))</f>
        <v>3335.346</v>
      </c>
      <c r="FB66" s="279">
        <f>(IF(FB$7="X",VLOOKUP(FB$10,'VK-Hooned-Soojus'!$C:$X,2+$C66,FALSE),0)+IF(FB$6="X",VLOOKUP(FB$10,'VK-Transport'!$C:$X,2+$B66,0))+IF(FB$8="X",VLOOKUP(FB$10,'VK-Elekter'!$C:$X,2+$D66,0))+IF(FB$9="X",VLOOKUP(FB$10,'VK-Biokütused'!$C:$U,2+$E66,0))+IF(FB$5="X",VLOOKUP(FB$10,'VK-Põlevkivi'!$C:$X,2+$G66,0))+IF(FB$4="X",VLOOKUP(FB$10,'VK-Võrgud'!$C:$X,2+$F66,0)))/16</f>
        <v>312.60166763355437</v>
      </c>
      <c r="FC66" s="209">
        <f>IF(FC$7="X",VLOOKUP(FC$10,'VK-Hooned-Soojus'!$C:$X,2+$C66,FALSE),0)+IF(FC$6="X",VLOOKUP(FC$10,'VK-Transport'!$C:$X,2+$B66,0))+IF(FC$8="X",VLOOKUP(FC$10,'VK-Elekter'!$C:$X,2+$D66,0))+IF(FC$9="X",VLOOKUP(FC$10,'VK-Biokütused'!$C:$U,2+$E66,0))+IF(FC$5="X",VLOOKUP(FC$10,'VK-Põlevkivi'!$C:$X,2+$G66,0))+IF(FC$4="X",VLOOKUP(FC$10,'VK-Võrgud'!$C:$X,2+$F66,0))</f>
        <v>327.64999999999998</v>
      </c>
      <c r="FD66" s="209">
        <f>(IF(FD$7="X",VLOOKUP(FD$10,'VK-Hooned-Soojus'!$C:$X,2+$C66,FALSE),0)+IF(FD$6="X",VLOOKUP(FD$10,'VK-Transport'!$C:$X,2+$B66,0))+IF(FD$8="X",VLOOKUP(FD$10,'VK-Elekter'!$C:$X,2+$D66,0))+IF(FD$9="X",VLOOKUP(FD$10,'VK-Biokütused'!$C:$U,2+$E66,0))+IF(FD$5="X",VLOOKUP(FD$10,'VK-Põlevkivi'!$C:$X,2+$G66,0))+IF(FD$4="X",VLOOKUP(FD$10,'VK-Võrgud'!$C:$X,2+$F66,0)))/16</f>
        <v>312.60166763355437</v>
      </c>
      <c r="FE66" s="209">
        <f>(IF(FE$7="X",VLOOKUP(FE$10,'VK-Hooned-Soojus'!$C:$X,2+$C66,FALSE),0)+IF(FE$6="X",VLOOKUP(FE$10,'VK-Transport'!$C:$X,2+$B66,0))+IF(FE$8="X",VLOOKUP(FE$10,'VK-Elekter'!$C:$X,2+$D66,0))+IF(FE$9="X",VLOOKUP(FE$10,'VK-Biokütused'!$C:$U,2+$E66,0))+IF(FE$5="X",VLOOKUP(FE$10,'VK-Põlevkivi'!$C:$X,2+$G66,0))+IF(FE$4="X",VLOOKUP(FE$10,'VK-Võrgud'!$C:$X,2+$F66,0)))/16</f>
        <v>-40.314469880632103</v>
      </c>
      <c r="FF66" s="209">
        <f>(IF(FF$7="X",VLOOKUP(FF$10,'VK-Hooned-Soojus'!$C:$X,2+$C66,FALSE),0)+IF(FF$6="X",VLOOKUP(FF$10,'VK-Transport'!$C:$X,2+$B66,0))+IF(FF$8="X",VLOOKUP(FF$10,'VK-Elekter'!$C:$X,2+$D66,0))+IF(FF$9="X",VLOOKUP(FF$10,'VK-Biokütused'!$C:$U,2+$E66,0))+IF(FF$5="X",VLOOKUP(FF$10,'VK-Põlevkivi'!$C:$X,2+$G66,0))+IF(FF$4="X",VLOOKUP(FF$10,'VK-Võrgud'!$C:$X,2+$F66,0)))/16</f>
        <v>124.79135097595909</v>
      </c>
      <c r="FG66" s="88">
        <f t="shared" ca="1" si="30"/>
        <v>84.476881095326988</v>
      </c>
      <c r="FH66" s="88"/>
      <c r="FI66" s="88"/>
      <c r="FJ66" s="88">
        <f>VLOOKUP(Tulemused!$BN$12,data!M$7:N$12,2,FALSE)-SUM(L66,M66)</f>
        <v>-1.9738666666666731</v>
      </c>
      <c r="FK66" s="209" t="str">
        <f>IF(AZ66&lt;=VLOOKUP(Tulemused!$BN$15,data!$E$36:$F$39,2,FALSE),"JAH","EI")</f>
        <v>JAH</v>
      </c>
      <c r="FL66" s="235">
        <f ca="1">IF(ISNA(MATCH($A66,INDIRECT(VLOOKUP(Tulemused!$BF$11,data!$J$57:$M$71,4,FALSE)))),0,MATCH($A66,INDIRECT(VLOOKUP(Tulemused!$BF$11,data!$J$57:$M$71,4,FALSE))))</f>
        <v>0</v>
      </c>
      <c r="FM66" s="235" t="str">
        <f t="shared" ca="1" si="45"/>
        <v>JAH</v>
      </c>
      <c r="FN66" s="209">
        <f>VLOOKUP(Tulemused!$BN$13,data!$C$132:$D$137,2,FALSE)-KOMBI!R66</f>
        <v>3.1640876728770304</v>
      </c>
      <c r="FO66" s="209"/>
      <c r="FP66" s="209">
        <f>VLOOKUP(Tulemused!$BN$17,NO_x,2,FALSE)-CJ66</f>
        <v>10.77027820675718</v>
      </c>
      <c r="FQ66" s="209">
        <f>VLOOKUP(Tulemused!$BN$18,SO_2,2,FALSE)-CK66</f>
        <v>44.293054537227363</v>
      </c>
      <c r="FR66" s="209">
        <f>VLOOKUP(Tulemused!$BN$19,LOU,2,FALSE)-CN66</f>
        <v>33.912000000000006</v>
      </c>
      <c r="FS66" s="209">
        <f>VLOOKUP(Tulemused!$BN$20,PM_2.5,2,FALSE)-CM66</f>
        <v>8.3401686429099033</v>
      </c>
      <c r="FT66" s="209">
        <f>VLOOKUP(Tulemused!$BN$13,data!$C$132:$D$137,2,FALSE)-FA66/1000</f>
        <v>2.9106240000000008</v>
      </c>
      <c r="FU66" s="209">
        <f>VLOOKUP(Tulemused!$BN$17,NO_x,2,FALSE)-CO66</f>
        <v>6.2784247892027203</v>
      </c>
      <c r="FV66" s="209">
        <f>VLOOKUP(Tulemused!$BN$18,SO_2,2,FALSE)-CP66</f>
        <v>44.844005169650174</v>
      </c>
      <c r="FW66" s="209">
        <f>VLOOKUP(Tulemused!$BN$19,LOU,2,FALSE)-CS66</f>
        <v>33.215665509940173</v>
      </c>
      <c r="FX66" s="209">
        <f>VLOOKUP(Tulemused!$BN$20,PM_2.5,2,FALSE)-CR66</f>
        <v>8.8389127215424246</v>
      </c>
      <c r="FY66" s="209">
        <f>VLOOKUP(Tulemused!$BN$14,KHG_2050,2,FALSE)-EF66</f>
        <v>95.645617672877023</v>
      </c>
      <c r="FZ66" s="231" t="str">
        <f t="shared" ca="1" si="31"/>
        <v>EI</v>
      </c>
      <c r="GA66" s="209"/>
      <c r="GB66" s="209"/>
      <c r="GC66" s="209"/>
      <c r="GD66" s="231"/>
      <c r="GE66" s="87">
        <f t="shared" si="46"/>
        <v>1724</v>
      </c>
      <c r="GF66" s="232" t="str">
        <f t="shared" ca="1" si="32"/>
        <v/>
      </c>
      <c r="GH66" s="238" t="e">
        <f t="shared" ca="1" si="47"/>
        <v>#NUM!</v>
      </c>
      <c r="GI66" s="87" t="e">
        <f t="array" aca="1" ref="GI66" ca="1">INDEX($A$11:$A$145, SMALL(IF(GH66=$GF$11:$GF$145, MATCH(ROW($GF$11:$GF$145), ROW($GF$11:$GF$145))), SUM(--(GH66=$GH$11:GH66))))</f>
        <v>#NUM!</v>
      </c>
      <c r="GM66" s="209">
        <f>IF(GM$7="X",VLOOKUP(GM$10,'VK-Hooned-Soojus'!$C:$X,2+$C66,FALSE),0)+IF(GM$6="X",VLOOKUP(GM$10,'VK-Transport'!$C:$X,2+$B66,0))+IF(GM$8="X",VLOOKUP(GM$10,'VK-Elekter'!$C:$X,2+$D66,0))+IF(GM$9="X",VLOOKUP(GM$10,'VK-Biokütused'!$C:$U,2+$E66,0))+IF(GM$5="X",VLOOKUP(GM$10,'VK-Põlevkivi'!$C:$X,2+$G66,0))+IF(GM$4="X",VLOOKUP(GM$10,'VK-Võrgud'!$C:$X,2+$F66,0))</f>
        <v>0</v>
      </c>
      <c r="GN66" s="209">
        <f>IF(GN$7="X",VLOOKUP(GN$10,'VK-Hooned-Soojus'!$C:$X,2+$C66,FALSE),0)+IF(GN$6="X",VLOOKUP(GN$10,'VK-Transport'!$C:$X,2+$B66,0))+IF(GN$8="X",VLOOKUP(GN$10,'VK-Elekter'!$C:$X,2+$D66,0))+IF(GN$9="X",VLOOKUP(GN$10,'VK-Biokütused'!$C:$U,2+$E66,0))+IF(GN$5="X",VLOOKUP(GN$10,'VK-Põlevkivi'!$C:$X,2+$G66,0))+IF(GN$4="X",VLOOKUP(GN$10,'VK-Võrgud'!$C:$X,2+$F66,0))</f>
        <v>7.5434676424145266</v>
      </c>
      <c r="GO66" s="209">
        <f>IF(GO$7="X",VLOOKUP(GO$10,'VK-Hooned-Soojus'!$C:$X,2+$C66,FALSE),0)+IF(GO$6="X",VLOOKUP(GO$10,'VK-Transport'!$C:$X,2+$B66,0))+IF(GO$8="X",VLOOKUP(GO$10,'VK-Elekter'!$C:$X,2+$D66,0))+IF(GO$9="X",VLOOKUP(GO$10,'VK-Biokütused'!$C:$U,2+$E66,0))+IF(GO$5="X",VLOOKUP(GO$10,'VK-Põlevkivi'!$C:$X,2+$G66,0))+IF(GO$4="X",VLOOKUP(GO$10,'VK-Võrgud'!$C:$X,2+$F66,0))</f>
        <v>8.7471755658278116</v>
      </c>
      <c r="GP66" s="209">
        <f>IF(GP$7="X",VLOOKUP(GP$10,'VK-Hooned-Soojus'!$C:$X,2+$C66,FALSE),0)+IF(GP$6="X",VLOOKUP(GP$10,'VK-Transport'!$C:$X,2+$B66,0))+IF(GP$8="X",VLOOKUP(GP$10,'VK-Elekter'!$C:$X,2+$D66,0))+IF(GP$9="X",VLOOKUP(GP$10,'VK-Biokütused'!$C:$U,2+$E66,0))+IF(GP$5="X",VLOOKUP(GP$10,'VK-Põlevkivi'!$C:$X,2+$G66,0))+IF(GP$4="X",VLOOKUP(GP$10,'VK-Võrgud'!$C:$X,2+$F66,0))</f>
        <v>9.3279335818485372</v>
      </c>
      <c r="GQ66" s="88">
        <f>IF(GQ$7="X",VLOOKUP(GQ$10,'VK-Hooned-Soojus'!$C:$X,2+$C66,FALSE),0)+IF(GQ$6="X",VLOOKUP(GQ$10,'VK-Transport'!$C:$X,2+$B66,0))+IF(GQ$8="X",VLOOKUP(GQ$10,'VK-Elekter'!$C:$X,2+$D66,0))+IF(GQ$9="X",VLOOKUP(GQ$10,'VK-Biokütused'!$C:$U,2+$E66,0))+IF(GQ$5="X",VLOOKUP(GQ$10,'VK-Põlevkivi'!$C:$X,2+$G66,0))+IF(GQ$4="X",VLOOKUP(GQ$10,'VK-Võrgud'!$C:$X,2+$F66,0))</f>
        <v>0.90618397335647782</v>
      </c>
      <c r="GR66" s="186">
        <f t="shared" si="33"/>
        <v>0.51075230408790107</v>
      </c>
    </row>
    <row r="67" spans="1:200" x14ac:dyDescent="0.2">
      <c r="A67" s="184">
        <v>57</v>
      </c>
      <c r="B67" s="87">
        <v>2</v>
      </c>
      <c r="C67" s="87">
        <v>1</v>
      </c>
      <c r="D67" s="87">
        <v>4</v>
      </c>
      <c r="E67" s="87">
        <v>3</v>
      </c>
      <c r="F67" s="87">
        <f>VLOOKUP(Tulemused!$BF$7,data!$J$6:$K$8,2,FALSE)</f>
        <v>2</v>
      </c>
      <c r="G67" s="87">
        <f>VLOOKUP(data!$H$2,data!$J$12:$K$14,2,FALSE)</f>
        <v>2</v>
      </c>
      <c r="I67" s="209">
        <f>IF(I$7="X",VLOOKUP(I$10,'VK-Hooned-Soojus'!$C:$X,2+$C67,FALSE),0)+IF(I$6="X",VLOOKUP(I$10,'VK-Transport'!$C:$X,2+$B67,0))+IF(I$8="X",VLOOKUP(I$10,'VK-Elekter'!$C:$X,2+$D67,0))+IF(I$9="X",VLOOKUP(I$10,'VK-Biokütused'!$C:$U,2+$E67,0))+IF(I$5="X",VLOOKUP(I$10,'VK-Põlevkivi'!$C:$X,2+$G67,0))+IF(I$4="X",VLOOKUP(I$10,'VK-Võrgud'!$C:$X,2+$F67,0))</f>
        <v>26.89</v>
      </c>
      <c r="J67" s="209">
        <f>IF(J$7="X",VLOOKUP(J$10,'VK-Hooned-Soojus'!$C:$X,2+$C67,FALSE),0)+IF(J$6="X",VLOOKUP(J$10,'VK-Transport'!$C:$X,2+$B67,0))+IF(J$8="X",VLOOKUP(J$10,'VK-Elekter'!$C:$X,2+$D67,0))+IF(J$9="X",VLOOKUP(J$10,'VK-Biokütused'!$C:$U,2+$E67,0))+IF(J$5="X",VLOOKUP(J$10,'VK-Põlevkivi'!$C:$X,2+$G67,0))+IF(J$4="X",VLOOKUP(J$10,'VK-Võrgud'!$C:$X,2+$F67,0))</f>
        <v>11.138055555555555</v>
      </c>
      <c r="K67" s="209">
        <f>IF(K$7="X",VLOOKUP(K$10,'VK-Hooned-Soojus'!$C:$X,2+$C67,FALSE),0)+IF(K$6="X",VLOOKUP(K$10,'VK-Transport'!$C:$X,2+$B67,0))+IF(K$8="X",VLOOKUP(K$10,'VK-Elekter'!$C:$X,2+$D67,0))+IF(K$9="X",VLOOKUP(K$10,'VK-Biokütused'!$C:$U,2+$E67,0))+IF(K$5="X",VLOOKUP(K$10,'VK-Põlevkivi'!$C:$X,2+$G67,0))+IF(K$4="X",VLOOKUP(K$10,'VK-Võrgud'!$C:$X,2+$F67,0))</f>
        <v>16.75</v>
      </c>
      <c r="L67" s="209">
        <f>IF(L$7="X",VLOOKUP(L$10,'VK-Hooned-Soojus'!$C:$X,2+$C67,FALSE),0)+IF(L$6="X",VLOOKUP(L$10,'VK-Transport'!$C:$X,2+$B67,0))+IF(L$8="X",VLOOKUP(L$10,'VK-Elekter'!$C:$X,2+$D67,0))+IF(L$9="X",VLOOKUP(L$10,'VK-Biokütused'!$C:$U,2+$E67,0))+IF(L$5="X",VLOOKUP(L$10,'VK-Põlevkivi'!$C:$X,2+$G67,0))+IF(L$4="X",VLOOKUP(L$10,'VK-Võrgud'!$C:$X,2+$F67,0))</f>
        <v>24.95</v>
      </c>
      <c r="M67" s="209">
        <f>IF(M$7="X",VLOOKUP(M$10,'VK-Hooned-Soojus'!$C:$X,2+$C67,FALSE),0)+IF(M$6="X",VLOOKUP(M$10,'VK-Transport'!$C:$X,2+$B67,0))+IF(M$8="X",VLOOKUP(M$10,'VK-Elekter'!$C:$X,2+$D67,0))+IF(M$9="X",VLOOKUP(M$10,'VK-Biokütused'!$C:$U,2+$E67,0))+IF(M$5="X",VLOOKUP(M$10,'VK-Põlevkivi'!$C:$X,2+$G67,0))+IF(M$4="X",VLOOKUP(M$10,'VK-Võrgud'!$C:$X,2+$F67,0))</f>
        <v>9.8566666666666674</v>
      </c>
      <c r="N67" s="209">
        <f>IF(N$7="X",VLOOKUP(N$10,'VK-Hooned-Soojus'!$C:$X,2+$C67,FALSE),0)+IF(N$6="X",VLOOKUP(N$10,'VK-Transport'!$C:$X,2+$B67,0))+IF(N$8="X",VLOOKUP(N$10,'VK-Elekter'!$C:$X,2+$D67,0))+IF(N$9="X",VLOOKUP(N$10,'VK-Biokütused'!$C:$U,2+$E67,0))+IF(N$5="X",VLOOKUP(N$10,'VK-Põlevkivi'!$C:$X,2+$G67,0))+IF(N$4="X",VLOOKUP(N$10,'VK-Võrgud'!$C:$X,2+$F67,0))</f>
        <v>16.75</v>
      </c>
      <c r="O67" s="209">
        <f t="shared" si="13"/>
        <v>38.028055555555554</v>
      </c>
      <c r="P67" s="209"/>
      <c r="Q67" s="209">
        <f>(IF(Q$7="X",VLOOKUP(Q$10,'VK-Hooned-Soojus'!$C:$X,2+$C67,FALSE),0)+IF(Q$6="X",VLOOKUP(Q$10,'VK-Transport'!$C:$X,2+$B67,0))+IF(Q$8="X",VLOOKUP(Q$10,'VK-Elekter'!$C:$X,2+$D67,0))+IF(Q$9="X",VLOOKUP(Q$10,'VK-Biokütused'!$C:$U,2+$E67,0))+IF(Q$5="X",VLOOKUP(Q$10,'VK-Põlevkivi'!$C:$X,2+$G67,0))+IF(Q$4="X",VLOOKUP(Q$10,'VK-Võrgud'!$C:$X,2+$F67,0)))/1000</f>
        <v>1.6020000000000001</v>
      </c>
      <c r="R67" s="209">
        <f>(IF(R$7="X",VLOOKUP(R$10,'VK-Hooned-Soojus'!$C:$X,2+$C67,FALSE),0)+IF(R$6="X",VLOOKUP(R$10,'VK-Transport'!$C:$X,2+$B67,0))+IF(R$8="X",VLOOKUP(R$10,'VK-Elekter'!$C:$X,2+$D67,0))+IF(R$9="X",VLOOKUP(R$10,'VK-Biokütused'!$C:$U,2+$E67,0))+IF(R$5="X",VLOOKUP(R$10,'VK-Põlevkivi'!$C:$X,2+$G67,0))+IF(R$4="X",VLOOKUP(R$10,'VK-Võrgud'!$C:$X,2+$F67,0)))/1000</f>
        <v>3.2905823271229702</v>
      </c>
      <c r="S67" s="226">
        <f>VLOOKUP(S$10,'VK-Hooned-Soojus'!$C:$I,2+$C67,FALSE) + VLOOKUP(S$10,'VK-Transport'!$C:$I,2+$B67,FALSE)+ VLOOKUP(S$10,'VK-Biokütused'!$C:$G,2+$E67,FALSE)+ VLOOKUP(S$10,'VK-Elekter'!$C:$I,2+$D67,FALSE)+ VLOOKUP(S$10,'VK-Põlevkivi'!$C:$I,2+$G67,FALSE)+ VLOOKUP(S$10,'VK-Võrgud'!$C:$I,2+$F67,FALSE)</f>
        <v>1.6911163871981553E-2</v>
      </c>
      <c r="T67" s="226">
        <f>VLOOKUP(T$10,'VK-Hooned-Soojus'!$C:$I,2+$C67,FALSE) + VLOOKUP(T$10,'VK-Transport'!$C:$I,2+$B67,FALSE)+ VLOOKUP(T$10,'VK-Biokütused'!$C:$G,2+$E67,FALSE)+ VLOOKUP(T$10,'VK-Elekter'!$C:$I,2+$D67,FALSE)+ VLOOKUP(T$10,'VK-Põlevkivi'!$C:$I,2+$G67,FALSE)+ VLOOKUP(T$10,'VK-Võrgud'!$C:$I,2+$F67,FALSE)</f>
        <v>-4.6996168250148943E-4</v>
      </c>
      <c r="U67" s="226">
        <f>VLOOKUP(U$10,'VK-Hooned-Soojus'!$C:$I,2+$C67,FALSE) + VLOOKUP(U$10,'VK-Transport'!$C:$I,2+$B67,FALSE)+ VLOOKUP(U$10,'VK-Biokütused'!$C:$G,2+$E67,FALSE)+ VLOOKUP(U$10,'VK-Elekter'!$C:$I,2+$D67,FALSE)+ VLOOKUP(U$10,'VK-Põlevkivi'!$C:$I,2+$G67,FALSE)+ VLOOKUP(U$10,'VK-Võrgud'!$C:$I,2+$F67,FALSE)</f>
        <v>5.3683322354035612E-3</v>
      </c>
      <c r="V67" s="226">
        <f>VLOOKUP(V$10,'VK-Hooned-Soojus'!$C:$I,2+$C67,FALSE) + VLOOKUP(V$10,'VK-Transport'!$C:$I,2+$B67,FALSE)+ VLOOKUP(V$10,'VK-Biokütused'!$C:$G,2+$E67,FALSE)+ VLOOKUP(V$10,'VK-Elekter'!$C:$I,2+$D67,FALSE)+ VLOOKUP(V$10,'VK-Põlevkivi'!$C:$I,2+$G67,FALSE)+ VLOOKUP(V$10,'VK-Võrgud'!$C:$I,2+$F67,FALSE)</f>
        <v>1.1669309632335973E-2</v>
      </c>
      <c r="W67" s="226">
        <f>VLOOKUP(W$10,'VK-Hooned-Soojus'!$C:$I,2+$C67,FALSE) + VLOOKUP(W$10,'VK-Transport'!$C:$I,2+$B67,FALSE)+ VLOOKUP(W$10,'VK-Biokütused'!$C:$G,2+$E67,FALSE)+ VLOOKUP(W$10,'VK-Elekter'!$C:$I,2+$D67,FALSE)+ VLOOKUP(W$10,'VK-Põlevkivi'!$C:$I,2+$G67,FALSE)+ VLOOKUP(W$10,'VK-Võrgud'!$C:$I,2+$F67,FALSE)</f>
        <v>-2.8030693249163848E-2</v>
      </c>
      <c r="X67" s="226">
        <f>VLOOKUP(X$10,'VK-Hooned-Soojus'!$C:$I,2+$C67,FALSE) + VLOOKUP(X$10,'VK-Transport'!$C:$I,2+$B67,FALSE)+ VLOOKUP(X$10,'VK-Biokütused'!$C:$G,2+$E67,FALSE)+ VLOOKUP(X$10,'VK-Elekter'!$C:$I,2+$D67,FALSE)+ VLOOKUP(X$10,'VK-Põlevkivi'!$C:$I,2+$G67,FALSE)+ VLOOKUP(X$10,'VK-Võrgud'!$C:$I,2+$F67,FALSE)</f>
        <v>-0.15838335807785281</v>
      </c>
      <c r="Y67" s="226">
        <f>VLOOKUP(Y$10,'VK-Hooned-Soojus'!$C:$I,2+$C67,FALSE) + VLOOKUP(Y$10,'VK-Transport'!$C:$I,2+$B67,FALSE)+ VLOOKUP(Y$10,'VK-Biokütused'!$C:$G,2+$E67,FALSE)+ VLOOKUP(Y$10,'VK-Elekter'!$C:$I,2+$D67,FALSE)+ VLOOKUP(Y$10,'VK-Põlevkivi'!$C:$I,2+$G67,FALSE)+ VLOOKUP(Y$10,'VK-Võrgud'!$C:$I,2+$F67,FALSE)</f>
        <v>-7.0480614091128047E-2</v>
      </c>
      <c r="Z67" s="227">
        <f>(S67*Tulemused!$Q$9*10+T67*Tulemused!$Q$10*10+KOMBI!U67*Tulemused!$Q$11*10+KOMBI!V67*Tulemused!$Q$12*10)*Tulemused!$Q$8+-(W67*Tulemused!$Q$14*10+KOMBI!X67*Tulemused!$Q$15*10+KOMBI!Y67*Tulemused!$Q$16*10)*Tulemused!$Q$13</f>
        <v>8.5343453657886492</v>
      </c>
      <c r="AA67" s="228">
        <f>(IF(AA$7="X",VLOOKUP(AA$10,'VK-Hooned-Soojus'!$C:$X,2+$C67,FALSE),0)+IF(AA$6="X",VLOOKUP(AA$10,'VK-Transport'!$C:$X,2+$B67,0))+IF(AA$8="X",VLOOKUP(AA$10,'VK-Elekter'!$C:$X,2+$D67,0))+IF(AA$9="X",VLOOKUP(AA$10,'VK-Biokütused'!$C:$U,2+$E67,0))+IF(AA$5="X",VLOOKUP(AA$10,'VK-Põlevkivi'!$C:$X,2+$G67,0))+IF(AA$4="X",VLOOKUP(AA$10,'VK-Võrgud'!$C:$X,2+$F67,0)))</f>
        <v>0</v>
      </c>
      <c r="AB67" s="228">
        <f>(IF(AB$7="X",VLOOKUP(AB$10,'VK-Hooned-Soojus'!$C:$X,2+$C67,FALSE),0)+IF(AB$6="X",VLOOKUP(AB$10,'VK-Transport'!$C:$X,2+$B67,0))+IF(AB$8="X",VLOOKUP(AB$10,'VK-Elekter'!$C:$X,2+$D67,0))+IF(AB$9="X",VLOOKUP(AB$10,'VK-Biokütused'!$C:$U,2+$E67,0))+IF(AB$5="X",VLOOKUP(AB$10,'VK-Põlevkivi'!$C:$X,2+$G67,0))+IF(AB$4="X",VLOOKUP(AB$10,'VK-Võrgud'!$C:$X,2+$F67,0)))</f>
        <v>1602</v>
      </c>
      <c r="AC67" s="228">
        <f>(IF(AC$7="X",VLOOKUP(AC$10,'VK-Hooned-Soojus'!$C:$X,2+$C67,FALSE),0)+IF(AC$6="X",VLOOKUP(AC$10,'VK-Transport'!$C:$X,2+$B67,0))+IF(AC$8="X",VLOOKUP(AC$10,'VK-Elekter'!$C:$X,2+$D67,0))+IF(AC$9="X",VLOOKUP(AC$10,'VK-Biokütused'!$C:$U,2+$E67,0))+IF(AC$5="X",VLOOKUP(AC$10,'VK-Põlevkivi'!$C:$X,2+$G67,0))+IF(AC$4="X",VLOOKUP(AC$10,'VK-Võrgud'!$C:$X,2+$F67,0)))</f>
        <v>2346</v>
      </c>
      <c r="AD67" s="228">
        <f>(IF(AD$7="X",VLOOKUP(AD$10,'VK-Hooned-Soojus'!$C:$X,2+$C67,FALSE),0)+IF(AD$6="X",VLOOKUP(AD$10,'VK-Transport'!$C:$X,2+$B67,0))+IF(AD$8="X",VLOOKUP(AD$10,'VK-Elekter'!$C:$X,2+$D67,0))+IF(AD$9="X",VLOOKUP(AD$10,'VK-Biokütused'!$C:$U,2+$E67,0))+IF(AD$5="X",VLOOKUP(AD$10,'VK-Põlevkivi'!$C:$X,2+$G67,0))+IF(AD$4="X",VLOOKUP(AD$10,'VK-Võrgud'!$C:$X,2+$F67,0)))</f>
        <v>586.20000000000005</v>
      </c>
      <c r="AE67" s="228">
        <f>(IF(AE$7="X",VLOOKUP(AE$10,'VK-Hooned-Soojus'!$C:$X,2+$C67,FALSE),0)+IF(AE$6="X",VLOOKUP(AE$10,'VK-Transport'!$C:$X,2+$B67,0))+IF(AE$8="X",VLOOKUP(AE$10,'VK-Elekter'!$C:$X,2+$D67,0))+IF(AE$9="X",VLOOKUP(AE$10,'VK-Biokütused'!$C:$U,2+$E67,0))+IF(AE$5="X",VLOOKUP(AE$10,'VK-Põlevkivi'!$C:$X,2+$G67,0))+IF(AE$4="X",VLOOKUP(AE$10,'VK-Võrgud'!$C:$X,2+$F67,0)))</f>
        <v>812</v>
      </c>
      <c r="AF67" s="228">
        <f>(IF(AF$7="X",VLOOKUP(AF$10,'VK-Hooned-Soojus'!$C:$X,2+$C67,FALSE),0)+IF(AF$6="X",VLOOKUP(AF$10,'VK-Transport'!$C:$X,2+$B67,0))+IF(AF$8="X",VLOOKUP(AF$10,'VK-Elekter'!$C:$X,2+$D67,0))+IF(AF$9="X",VLOOKUP(AF$10,'VK-Biokütused'!$C:$U,2+$E67,0))+IF(AF$5="X",VLOOKUP(AF$10,'VK-Põlevkivi'!$C:$X,2+$G67,0))+IF(AF$4="X",VLOOKUP(AF$10,'VK-Võrgud'!$C:$X,2+$F67,0)))</f>
        <v>1892.3823271229701</v>
      </c>
      <c r="AG67" s="209"/>
      <c r="AH67" s="209">
        <f>IF(AH$7="X",VLOOKUP(AH$10,'VK-Hooned-Soojus'!$C:$X,2+$C67,FALSE),0)+IF(AH$6="X",VLOOKUP(AH$10,'VK-Transport'!$C:$X,2+$B67,0))+IF(AH$8="X",VLOOKUP(AH$10,'VK-Elekter'!$C:$X,2+$D67,0))+IF(AH$9="X",VLOOKUP(AH$10,'VK-Biokütused'!$C:$U,2+$E67,0))+IF(AH$5="X",VLOOKUP(AH$10,'VK-Põlevkivi'!$C:$X,2+$G67,0))+IF(AH$4="X",VLOOKUP(AH$10,'VK-Võrgud'!$C:$X,2+$F67,0))</f>
        <v>0</v>
      </c>
      <c r="AI67" s="209">
        <f>IF(AI$7="X",VLOOKUP(AI$10,'VK-Hooned-Soojus'!$C:$X,2+$C67,FALSE),0)+IF(AI$6="X",VLOOKUP(AI$10,'VK-Transport'!$C:$X,2+$B67,0))+IF(AI$8="X",VLOOKUP(AI$10,'VK-Elekter'!$C:$X,2+$D67,0))+IF(AI$9="X",VLOOKUP(AI$10,'VK-Biokütused'!$C:$U,2+$E67,0))+IF(AI$5="X",VLOOKUP(AI$10,'VK-Põlevkivi'!$C:$X,2+$G67,0))+IF(AI$4="X",VLOOKUP(AI$10,'VK-Võrgud'!$C:$X,2+$F67,0))</f>
        <v>11.489999999999998</v>
      </c>
      <c r="AJ67" s="209">
        <f>IF(AJ$7="X",VLOOKUP(AJ$10,'VK-Hooned-Soojus'!$C:$X,2+$C67,FALSE),0)+IF(AJ$6="X",VLOOKUP(AJ$10,'VK-Transport'!$C:$X,2+$B67,0))+IF(AJ$8="X",VLOOKUP(AJ$10,'VK-Elekter'!$C:$X,2+$D67,0))+IF(AJ$9="X",VLOOKUP(AJ$10,'VK-Biokütused'!$C:$U,2+$E67,0))+IF(AJ$5="X",VLOOKUP(AJ$10,'VK-Põlevkivi'!$C:$X,2+$G67,0))+IF(AJ$4="X",VLOOKUP(AJ$10,'VK-Võrgud'!$C:$X,2+$F67,0))</f>
        <v>0</v>
      </c>
      <c r="AK67" s="209">
        <f>IF(AK$7="X",VLOOKUP(AK$10,'VK-Hooned-Soojus'!$C:$X,2+$C67,FALSE),0)+IF(AK$6="X",VLOOKUP(AK$10,'VK-Transport'!$C:$X,2+$B67,0))+IF(AK$8="X",VLOOKUP(AK$10,'VK-Elekter'!$C:$X,2+$D67,0))+IF(AK$9="X",VLOOKUP(AK$10,'VK-Biokütused'!$C:$U,2+$E67,0))+IF(AK$5="X",VLOOKUP(AK$10,'VK-Põlevkivi'!$C:$X,2+$G67,0))+IF(AK$4="X",VLOOKUP(AK$10,'VK-Võrgud'!$C:$X,2+$F67,0))</f>
        <v>3.65</v>
      </c>
      <c r="AL67" s="209">
        <f>IF(AL$7="X",VLOOKUP(AL$10,'VK-Hooned-Soojus'!$C:$X,2+$C67,FALSE),0)+IF(AL$6="X",VLOOKUP(AL$10,'VK-Transport'!$C:$X,2+$B67,0))+IF(AL$8="X",VLOOKUP(AL$10,'VK-Elekter'!$C:$X,2+$D67,0))+IF(AL$9="X",VLOOKUP(AL$10,'VK-Biokütused'!$C:$U,2+$E67,0))+IF(AL$5="X",VLOOKUP(AL$10,'VK-Põlevkivi'!$C:$X,2+$G67,0))+IF(AL$4="X",VLOOKUP(AL$10,'VK-Võrgud'!$C:$X,2+$F67,0))</f>
        <v>7.1999999999999993</v>
      </c>
      <c r="AM67" s="209">
        <f>IF(AM$7="X",VLOOKUP(AM$10,'VK-Hooned-Soojus'!$C:$X,2+$C67,FALSE),0)+IF(AM$6="X",VLOOKUP(AM$10,'VK-Transport'!$C:$X,2+$B67,0))+IF(AM$8="X",VLOOKUP(AM$10,'VK-Elekter'!$C:$X,2+$D67,0))+IF(AM$9="X",VLOOKUP(AM$10,'VK-Biokütused'!$C:$U,2+$E67,0))+IF(AM$5="X",VLOOKUP(AM$10,'VK-Põlevkivi'!$C:$X,2+$G67,0))+IF(AM$4="X",VLOOKUP(AM$10,'VK-Võrgud'!$C:$X,2+$F67,0))</f>
        <v>12.9</v>
      </c>
      <c r="AN67" s="209">
        <f>IF(AN$7="X",VLOOKUP(AN$10,'VK-Hooned-Soojus'!$C:$X,2+$C67,FALSE),0)+IF(AN$6="X",VLOOKUP(AN$10,'VK-Transport'!$C:$X,2+$B67,0))+IF(AN$8="X",VLOOKUP(AN$10,'VK-Elekter'!$C:$X,2+$D67,0))+IF(AN$9="X",VLOOKUP(AN$10,'VK-Biokütused'!$C:$U,2+$E67,0))+IF(AN$5="X",VLOOKUP(AN$10,'VK-Põlevkivi'!$C:$X,2+$G67,0))+IF(AN$4="X",VLOOKUP(AN$10,'VK-Võrgud'!$C:$X,2+$F67,0))</f>
        <v>5.6999999999999993</v>
      </c>
      <c r="AO67" s="209">
        <f>IF(AO$7="X",VLOOKUP(AO$10,'VK-Hooned-Soojus'!$C:$X,2+$C67,FALSE),0)+IF(AO$6="X",VLOOKUP(AO$10,'VK-Transport'!$C:$X,2+$B67,0))+IF(AO$8="X",VLOOKUP(AO$10,'VK-Elekter'!$C:$X,2+$D67,0))+IF(AO$9="X",VLOOKUP(AO$10,'VK-Biokütused'!$C:$U,2+$E67,0))+IF(AO$5="X",VLOOKUP(AO$10,'VK-Põlevkivi'!$C:$X,2+$G67,0))+IF(AO$4="X",VLOOKUP(AO$10,'VK-Võrgud'!$C:$X,2+$F67,0))</f>
        <v>22.740000000000002</v>
      </c>
      <c r="AP67" s="209">
        <f>IF(AP$7="X",VLOOKUP(AP$10,'VK-Hooned-Soojus'!$C:$X,2+$C67,FALSE),0)+IF(AP$6="X",VLOOKUP(AP$10,'VK-Transport'!$C:$X,2+$B67,0))+IF(AP$8="X",VLOOKUP(AP$10,'VK-Elekter'!$C:$X,2+$D67,0))+IF(AP$9="X",VLOOKUP(AP$10,'VK-Biokütused'!$C:$U,2+$E67,0))+IF(AP$5="X",VLOOKUP(AP$10,'VK-Põlevkivi'!$C:$X,2+$G67,0))+IF(AP$4="X",VLOOKUP(AP$10,'VK-Võrgud'!$C:$X,2+$F67,0))</f>
        <v>11.370000000000001</v>
      </c>
      <c r="AQ67" s="320">
        <f t="shared" si="14"/>
        <v>10.440000000000001</v>
      </c>
      <c r="AR67" s="209">
        <f>IF(AR$7="X",VLOOKUP(AR$10,'VK-Hooned-Soojus'!$C:$X,2+$C67,FALSE),0)+IF(AR$6="X",VLOOKUP(AR$10,'VK-Transport'!$C:$X,2+$B67,0))+IF(AR$8="X",VLOOKUP(AR$10,'VK-Elekter'!$C:$X,2+$D67,0))+IF(AR$9="X",VLOOKUP(AR$10,'VK-Biokütused'!$C:$U,2+$E67,0))+IF(AR$5="X",VLOOKUP(AR$10,'VK-Põlevkivi'!$C:$X,2+$G67,0))+IF(AR$4="X",VLOOKUP(AR$10,'VK-Võrgud'!$C:$X,2+$F67,0))</f>
        <v>1.1000000000000001</v>
      </c>
      <c r="AS67" s="320">
        <f>VLOOKUP("Kütuste tarbimine @ 2030 - UTTEGAAS",'VK-Hooned-Soojus'!$C:$X,2+$C67,FALSE)/0.172+VLOOKUP("Kütuste tarbimine @ 2030 - UTTEGAAS",'VK-Elekter'!$C:$X,2+$D67,FALSE)/0.172-AR67-AU67</f>
        <v>-1.1000000000000001</v>
      </c>
      <c r="AT67" s="209">
        <f>IF(AT$7="X",VLOOKUP(AT$10,'VK-Hooned-Soojus'!$C:$X,2+$C67,FALSE),0)+IF(AT$6="X",VLOOKUP(AT$10,'VK-Transport'!$C:$X,2+$B67,0))+IF(AT$8="X",VLOOKUP(AT$10,'VK-Elekter'!$C:$X,2+$D67,0))+IF(AT$9="X",VLOOKUP(AT$10,'VK-Biokütused'!$C:$U,2+$E67,0))+IF(AT$5="X",VLOOKUP(AT$10,'VK-Põlevkivi'!$C:$X,2+$G67,0))+IF(AT$4="X",VLOOKUP(AT$10,'VK-Võrgud'!$C:$X,2+$F67,0))</f>
        <v>9.2784458909544707</v>
      </c>
      <c r="AU67" s="229">
        <f>MAX(0,(VLOOKUP("Kütuste tarbimine @ 2030 - UTTEGAAS",'VK-Hooned-Soojus'!$C:$X,2+$C67,FALSE)/0.172+VLOOKUP("Kütuste tarbimine @ 2030 - UTTEGAAS",'VK-Elekter'!$C:$X,2+$D67,FALSE)/0.172)*0.52-VLOOKUP("Kütuste tarbimine @ 2030 - PÕLEVKIVIÕLI",'VK-Hooned-Soojus'!$C:$X,2+$C67,FALSE))</f>
        <v>0</v>
      </c>
      <c r="AV67" s="209">
        <f>IF(AV$7="X",VLOOKUP(AV$10,'VK-Hooned-Soojus'!$C:$X,2+$C67,FALSE),0)+IF(AV$6="X",VLOOKUP(AV$10,'VK-Transport'!$C:$X,2+$B67,0))+IF(AV$8="X",VLOOKUP(AV$10,'VK-Elekter'!$C:$X,2+$D67,0))+IF(AV$9="X",VLOOKUP(AV$10,'VK-Biokütused'!$C:$U,2+$E67,0))+IF(AV$5="X",VLOOKUP(AV$10,'VK-Põlevkivi'!$C:$X,2+$G67,0))+IF(AV$4="X",VLOOKUP(AV$10,'VK-Võrgud'!$C:$X,2+$F67,0))</f>
        <v>1.7257321590343366</v>
      </c>
      <c r="AW67" s="209">
        <f>IF(AW$7="X",VLOOKUP(AW$10,'VK-Hooned-Soojus'!$C:$X,2+$C67,FALSE),0)+IF(AW$6="X",VLOOKUP(AW$10,'VK-Transport'!$C:$X,2+$B67,0))+IF(AW$8="X",VLOOKUP(AW$10,'VK-Elekter'!$C:$X,2+$D67,0))+IF(AW$9="X",VLOOKUP(AW$10,'VK-Biokütused'!$C:$U,2+$E67,0))+IF(AW$5="X",VLOOKUP(AW$10,'VK-Põlevkivi'!$C:$X,2+$G67,0))+IF(AW$4="X",VLOOKUP(AW$10,'VK-Võrgud'!$C:$X,2+$F67,0))</f>
        <v>4.2799999999999994</v>
      </c>
      <c r="AX67" s="229">
        <f t="shared" si="34"/>
        <v>2.5542678409656627</v>
      </c>
      <c r="AY67" s="229">
        <f t="shared" si="15"/>
        <v>0</v>
      </c>
      <c r="AZ67" s="230">
        <f t="shared" si="36"/>
        <v>0.64390259112741344</v>
      </c>
      <c r="BA67" s="209">
        <f>IF(BA$7="X",VLOOKUP(BA$10,'VK-Hooned-Soojus'!$C:$X,2+$C67,FALSE),0)+IF(BA$6="X",VLOOKUP(BA$10,'VK-Transport'!$C:$X,2+$B67,0))+IF(BA$8="X",VLOOKUP(BA$10,'VK-Elekter'!$C:$X,2+$D67,0))+IF(BA$9="X",VLOOKUP(BA$10,'VK-Biokütused'!$C:$U,2+$E67,0))+IF(BA$5="X",VLOOKUP(BA$10,'VK-Põlevkivi'!$C:$X,2+$G67,0))+IF(BA$4="X",VLOOKUP(BA$10,'VK-Võrgud'!$C:$X,2+$F67,0))</f>
        <v>0</v>
      </c>
      <c r="BB67" s="209">
        <f>IF(BB$7="X",VLOOKUP(BB$10,'VK-Hooned-Soojus'!$C:$X,2+$C67,FALSE),0)+IF(BB$6="X",VLOOKUP(BB$10,'VK-Transport'!$C:$X,2+$B67,0))+IF(BB$8="X",VLOOKUP(BB$10,'VK-Elekter'!$C:$X,2+$D67,0))+IF(BB$9="X",VLOOKUP(BB$10,'VK-Biokütused'!$C:$U,2+$E67,0))+IF(BB$5="X",VLOOKUP(BB$10,'VK-Põlevkivi'!$C:$X,2+$G67,0))+IF(BB$4="X",VLOOKUP(BB$10,'VK-Võrgud'!$C:$X,2+$F67,0))</f>
        <v>6.32</v>
      </c>
      <c r="BC67" s="209">
        <f>IF(BC$7="X",VLOOKUP(BC$10,'VK-Hooned-Soojus'!$C:$X,2+$C67,FALSE),0)+IF(BC$6="X",VLOOKUP(BC$10,'VK-Transport'!$C:$X,2+$B67,0))+IF(BC$8="X",VLOOKUP(BC$10,'VK-Elekter'!$C:$X,2+$D67,0))+IF(BC$9="X",VLOOKUP(BC$10,'VK-Biokütused'!$C:$U,2+$E67,0))+IF(BC$5="X",VLOOKUP(BC$10,'VK-Põlevkivi'!$C:$X,2+$G67,0))+IF(BC$4="X",VLOOKUP(BC$10,'VK-Võrgud'!$C:$X,2+$F67,0))</f>
        <v>8.0523611111111126</v>
      </c>
      <c r="BD67" s="209">
        <f>IF(BD$7="X",VLOOKUP(BD$10,'VK-Hooned-Soojus'!$C:$X,2+$C67,FALSE),0)+IF(BD$6="X",VLOOKUP(BD$10,'VK-Transport'!$C:$X,2+$B67,0))+IF(BD$8="X",VLOOKUP(BD$10,'VK-Elekter'!$C:$X,2+$D67,0))+IF(BD$9="X",VLOOKUP(BD$10,'VK-Biokütused'!$C:$U,2+$E67,0))+IF(BD$5="X",VLOOKUP(BD$10,'VK-Põlevkivi'!$C:$X,2+$G67,0))+IF(BD$4="X",VLOOKUP(BD$10,'VK-Võrgud'!$C:$X,2+$F67,0))</f>
        <v>10.42138888888889</v>
      </c>
      <c r="BE67" s="230"/>
      <c r="BF67" s="229">
        <f t="shared" si="16"/>
        <v>0.57849627288208527</v>
      </c>
      <c r="BG67" s="209" t="e">
        <f>(IF(BG$7="X",VLOOKUP(BG$10,'VK-Hooned-Soojus'!$C:$X,2+$C67,FALSE),0)+IF(BG$6="X",VLOOKUP(BG$10,'VK-Transport'!$C:$X,2+$B67,0))+IF(BG$8="X",VLOOKUP(BG$10,'VK-Elekter'!$C:$X,2+$D67,0))+IF(BG$9="X",VLOOKUP(BG$10,'VK-Biokütused'!$C:$U,2+$E67,0))+IF(BG$5="X",VLOOKUP(BG$10,'VK-Põlevkivi'!$C:$X,2+$G67,0))+IF(BG$4="X",VLOOKUP(BG$10,'VK-Võrgud'!$C:$X,2+$F67,0)))/20</f>
        <v>#N/A</v>
      </c>
      <c r="BH67" s="209">
        <f>(IF(BH$7="X",VLOOKUP(BH$10,'VK-Hooned-Soojus'!$C:$X,2+$C67,FALSE),0)+IF(BH$6="X",VLOOKUP(BH$10,'VK-Transport'!$C:$X,2+$B67,0))+IF(BH$8="X",VLOOKUP(BH$10,'VK-Elekter'!$C:$X,2+$D67,0))+IF(BH$9="X",VLOOKUP(BH$10,'VK-Biokütused'!$C:$U,2+$E67,0))+IF(BH$5="X",VLOOKUP(BH$10,'VK-Põlevkivi'!$C:$X,2+$G67,0))+IF(BH$4="X",VLOOKUP(BH$10,'VK-Võrgud'!$C:$X,2+$F67,0)))/20</f>
        <v>13.99</v>
      </c>
      <c r="BI67" s="209">
        <f>(IF(BI$7="X",VLOOKUP(BI$10,'VK-Hooned-Soojus'!$C:$X,2+$C67,FALSE),0)+IF(BI$6="X",VLOOKUP(BI$10,'VK-Transport'!$C:$X,2+$B67,0))+IF(BI$8="X",VLOOKUP(BI$10,'VK-Elekter'!$C:$X,2+$D67,0))+IF(BI$9="X",VLOOKUP(BI$10,'VK-Biokütused'!$C:$U,2+$E67,0))+IF(BI$5="X",VLOOKUP(BI$10,'VK-Põlevkivi'!$C:$X,2+$G67,0))+IF(BI$4="X",VLOOKUP(BI$10,'VK-Võrgud'!$C:$X,2+$F67,0)))/16</f>
        <v>17.75</v>
      </c>
      <c r="BJ67" s="209">
        <f>(IF(BJ$7="X",VLOOKUP(BJ$10,'VK-Hooned-Soojus'!$C:$X,2+$C67,FALSE),0)+IF(BJ$6="X",VLOOKUP(BJ$10,'VK-Transport'!$C:$X,2+$B67,0))+IF(BJ$8="X",VLOOKUP(BJ$10,'VK-Elekter'!$C:$X,2+$D67,0))+IF(BJ$9="X",VLOOKUP(BJ$10,'VK-Biokütused'!$C:$U,2+$E67,0))+IF(BJ$5="X",VLOOKUP(BJ$10,'VK-Põlevkivi'!$C:$X,2+$G67,0))+IF(BJ$4="X",VLOOKUP(BJ$10,'VK-Võrgud'!$C:$X,2+$F67,0)))/20</f>
        <v>1.85</v>
      </c>
      <c r="BK67" s="209"/>
      <c r="BL67" s="209"/>
      <c r="BM67" s="209"/>
      <c r="BN67" s="209" t="e">
        <f>(IF(BN$7="X",VLOOKUP(BN$10,'VK-Hooned-Soojus'!$C:$X,2+$C67,FALSE),0)+IF(BN$6="X",VLOOKUP(BN$10,'VK-Transport'!$C:$X,2+$B67,0))+IF(BN$8="X",VLOOKUP(BN$10,'VK-Elekter'!$C:$X,2+$D67,0))+IF(BN$9="X",VLOOKUP(BN$10,'VK-Biokütused'!$C:$U,2+$E67,0))+IF(BN$5="X",VLOOKUP(BN$10,'VK-Põlevkivi'!$C:$X,2+$G67,0))+IF(BN$4="X",VLOOKUP(BN$10,'VK-Võrgud'!$C:$X,2+$F67,0)))/16</f>
        <v>#N/A</v>
      </c>
      <c r="BO67" s="209">
        <f>(IF(BO$7="X",VLOOKUP(BO$10,'VK-Hooned-Soojus'!$C:$X,2+$C67,FALSE),0)+IF(BO$6="X",VLOOKUP(BO$10,'VK-Transport'!$C:$X,2+$B67,0))+IF(BO$8="X",VLOOKUP(BO$10,'VK-Elekter'!$C:$X,2+$D67,0))+IF(BO$9="X",VLOOKUP(BO$10,'VK-Biokütused'!$C:$U,2+$E67,0))+IF(BO$5="X",VLOOKUP(BO$10,'VK-Põlevkivi'!$C:$X,2+$G67,0))+IF(BO$4="X",VLOOKUP(BO$10,'VK-Võrgud'!$C:$X,2+$F67,0)))/16</f>
        <v>405.45</v>
      </c>
      <c r="BP67" s="209"/>
      <c r="BQ67" s="209">
        <f>(IF(BQ$7="X",VLOOKUP(BQ$10,'VK-Hooned-Soojus'!$C:$X,2+$C67,FALSE),0)+IF(BQ$6="X",VLOOKUP(BQ$10,'VK-Transport'!$C:$X,2+$B67,0))+IF(BQ$8="X",VLOOKUP(BQ$10,'VK-Elekter'!$C:$X,2+$D67,0))+IF(BQ$9="X",VLOOKUP(BQ$10,'VK-Biokütused'!$C:$U,2+$E67,0))+IF(BQ$5="X",VLOOKUP(BQ$10,'VK-Põlevkivi'!$C:$X,2+$G67,0))+IF(BQ$4="X",VLOOKUP(BQ$10,'VK-Võrgud'!$C:$X,2+$F67,0)))/16</f>
        <v>127.6</v>
      </c>
      <c r="BR67" s="209">
        <f>(IF(BR$7="X",VLOOKUP(BR$10,'VK-Hooned-Soojus'!$C:$X,2+$C67,FALSE),0)+IF(BR$6="X",VLOOKUP(BR$10,'VK-Transport'!$C:$X,2+$B67,0))+IF(BR$8="X",VLOOKUP(BR$10,'VK-Elekter'!$C:$X,2+$D67,0))+IF(BR$9="X",VLOOKUP(BR$10,'VK-Biokütused'!$C:$U,2+$E67,0))+IF(BR$5="X",VLOOKUP(BR$10,'VK-Põlevkivi'!$C:$X,2+$G67,0))+IF(BR$4="X",VLOOKUP(BR$10,'VK-Võrgud'!$C:$X,2+$F67,0)))/16</f>
        <v>27.475000000000001</v>
      </c>
      <c r="BS67" s="209">
        <f>(IF(BS$7="X",VLOOKUP(BS$10,'VK-Hooned-Soojus'!$C:$X,2+$C67,FALSE),0)+IF(BS$6="X",VLOOKUP(BS$10,'VK-Transport'!$C:$X,2+$B67,0))+IF(BS$8="X",VLOOKUP(BS$10,'VK-Elekter'!$C:$X,2+$D67,0))+IF(BS$9="X",VLOOKUP(BS$10,'VK-Biokütused'!$C:$U,2+$E67,0))+IF(BS$5="X",VLOOKUP(BS$10,'VK-Põlevkivi'!$C:$X,2+$G67,0))+IF(BS$4="X",VLOOKUP(BS$10,'VK-Võrgud'!$C:$X,2+$F67,0)))/16</f>
        <v>-23.293749999999999</v>
      </c>
      <c r="BT67" s="209"/>
      <c r="BU67" s="209"/>
      <c r="BV67" s="209">
        <f>(IF(BV$7="X",VLOOKUP(BV$10,'VK-Hooned-Soojus'!$C:$X,2+$C67,FALSE),0)+IF(BV$6="X",VLOOKUP(BV$10,'VK-Transport'!$C:$X,2+$B67,0))+IF(BV$8="X",VLOOKUP(BV$10,'VK-Elekter'!$C:$X,2+$D67,0))+IF(BV$9="X",VLOOKUP(BV$10,'VK-Biokütused'!$C:$U,2+$E67,0))+IF(BV$5="X",VLOOKUP(BV$10,'VK-Põlevkivi'!$C:$X,2+$G67,0))+IF(BV$4="X",VLOOKUP(BV$10,'VK-Võrgud'!$C:$X,2+$F67,0)))/16</f>
        <v>0</v>
      </c>
      <c r="BW67" s="209"/>
      <c r="BX67" s="209">
        <f>(IF(BX$7="X",VLOOKUP(BX$10,'VK-Hooned-Soojus'!$C:$X,2+$C67,FALSE),0)+IF(BX$6="X",VLOOKUP(BX$10,'VK-Transport'!$C:$X,2+$B67,0))+IF(BX$8="X",VLOOKUP(BX$10,'VK-Elekter'!$C:$X,2+$D67,0))+IF(BX$9="X",VLOOKUP(BX$10,'VK-Biokütused'!$C:$U,2+$E67,0))+IF(BX$5="X",VLOOKUP(BX$10,'VK-Põlevkivi'!$C:$X,2+$G67,0))+IF(BX$4="X",VLOOKUP(BX$10,'VK-Võrgud'!$C:$X,2+$F67,0)))/16</f>
        <v>-19.25</v>
      </c>
      <c r="BY67" s="209"/>
      <c r="BZ67" s="209"/>
      <c r="CA67" s="209" t="e">
        <f>(IF(CA$7="X",VLOOKUP(CA$10,'VK-Hooned-Soojus'!$C:$X,2+$C67,FALSE),0)+IF(CA$6="X",VLOOKUP(CA$10,'VK-Transport'!$C:$X,2+$B67,0))+IF(CA$8="X",VLOOKUP(CA$10,'VK-Elekter'!$C:$X,2+$D67,0))+IF(CA$9="X",VLOOKUP(CA$10,'VK-Biokütused'!$C:$U,2+$E67,0))+IF(CA$5="X",VLOOKUP(CA$10,'VK-Põlevkivi'!$C:$X,2+$G67,0))+IF(CA$4="X",VLOOKUP(CA$10,'VK-Võrgud'!$C:$X,2+$F67,0)))/16</f>
        <v>#N/A</v>
      </c>
      <c r="CB67" s="209">
        <f>(IF(CB$7="X",VLOOKUP(CB$10,'VK-Hooned-Soojus'!$C:$X,2+$C67,FALSE),0)+IF(CB$6="X",VLOOKUP(CB$10,'VK-Transport'!$C:$X,2+$B67,0))+IF(CB$8="X",VLOOKUP(CB$10,'VK-Elekter'!$C:$X,2+$D67,0))+IF(CB$9="X",VLOOKUP(CB$10,'VK-Biokütused'!$C:$U,2+$E67,0))+IF(CB$5="X",VLOOKUP(CB$10,'VK-Põlevkivi'!$C:$X,2+$G67,0))+IF(CB$4="X",VLOOKUP(CB$10,'VK-Võrgud'!$C:$X,2+$F67,0)))/16</f>
        <v>0</v>
      </c>
      <c r="CC67" s="209">
        <f>(IF(CC$7="X",VLOOKUP(CC$10,'VK-Hooned-Soojus'!$C:$X,2+$C67,FALSE),0)+IF(CC$6="X",VLOOKUP(CC$10,'VK-Transport'!$C:$X,2+$B67,0))+IF(CC$8="X",VLOOKUP(CC$10,'VK-Elekter'!$C:$X,2+$D67,0))+IF(CC$9="X",VLOOKUP(CC$10,'VK-Biokütused'!$C:$U,2+$E67,0))+IF(CC$5="X",VLOOKUP(CC$10,'VK-Põlevkivi'!$C:$X,2+$G67,0))+IF(CC$4="X",VLOOKUP(CC$10,'VK-Võrgud'!$C:$X,2+$F67,0)))/16</f>
        <v>0</v>
      </c>
      <c r="CD67" s="209"/>
      <c r="CE67" s="209">
        <f>(IF(CE$7="X",VLOOKUP(CE$10,'VK-Hooned-Soojus'!$C:$X,2+$C67,FALSE),0)+IF(CE$6="X",VLOOKUP(CE$10,'VK-Transport'!$C:$X,2+$B67,0))+IF(CE$8="X",VLOOKUP(CE$10,'VK-Elekter'!$C:$X,2+$D67,0))+IF(CE$9="X",VLOOKUP(CE$10,'VK-Biokütused'!$C:$U,2+$E67,0))+IF(CE$5="X",VLOOKUP(CE$10,'VK-Põlevkivi'!$C:$X,2+$G67,0))+IF(CE$4="X",VLOOKUP(CE$10,'VK-Võrgud'!$C:$X,2+$F67,0)))/16</f>
        <v>24.15625</v>
      </c>
      <c r="CF67" s="209"/>
      <c r="CG67" s="209">
        <f>(IF(CG$7="X",VLOOKUP(CG$10,'VK-Hooned-Soojus'!$C:$X,2+$C67,FALSE),0)+IF(CG$6="X",VLOOKUP(CG$10,'VK-Transport'!$C:$X,2+$B67,0))+IF(CG$8="X",VLOOKUP(CG$10,'VK-Elekter'!$C:$X,2+$D67,0))+IF(CG$9="X",VLOOKUP(CG$10,'VK-Biokütused'!$C:$U,2+$E67,0))+IF(CG$5="X",VLOOKUP(CG$10,'VK-Põlevkivi'!$C:$X,2+$G67,0))+IF(CG$4="X",VLOOKUP(CG$10,'VK-Võrgud'!$C:$X,2+$F67,0)))/16</f>
        <v>0</v>
      </c>
      <c r="CH67" s="209">
        <f>(IF(CH$7="X",VLOOKUP(CH$10,'VK-Hooned-Soojus'!$C:$X,2+$C67,FALSE),0)+IF(CH$6="X",VLOOKUP(CH$10,'VK-Transport'!$C:$X,2+$B67,0))+IF(CH$8="X",VLOOKUP(CH$10,'VK-Elekter'!$C:$X,2+$D67,0))+IF(CH$9="X",VLOOKUP(CH$10,'VK-Biokütused'!$C:$U,2+$E67,0))+IF(CH$5="X",VLOOKUP(CH$10,'VK-Põlevkivi'!$C:$X,2+$G67,0))+IF(CH$4="X",VLOOKUP(CH$10,'VK-Võrgud'!$C:$X,2+$F67,0)))/20*0.21</f>
        <v>5.6122500000000004</v>
      </c>
      <c r="CI67" s="209"/>
      <c r="CJ67" s="209">
        <f>(IF(CJ$7="X",VLOOKUP(CJ$10,'VK-Hooned-Soojus'!$C:$X,2+$C67,FALSE),0)+IF(CJ$6="X",VLOOKUP(CJ$10,'VK-Transport'!$C:$X,2+$B67,0))+IF(CJ$8="X",VLOOKUP(CJ$10,'VK-Elekter'!$C:$X,2+$D67,0))+IF(CJ$9="X",VLOOKUP(CJ$10,'VK-Biokütused'!$C:$U,2+$E67,0))+IF(CJ$5="X",VLOOKUP(CJ$10,'VK-Põlevkivi'!$C:$X,2+$G67,0))+IF(CJ$4="X",VLOOKUP(CJ$10,'VK-Võrgud'!$C:$X,2+$F67,0)))/1000</f>
        <v>18.667721793242819</v>
      </c>
      <c r="CK67" s="209">
        <f>(IF(CK$7="X",VLOOKUP(CK$10,'VK-Hooned-Soojus'!$C:$X,2+$C67,FALSE),0)+IF(CK$6="X",VLOOKUP(CK$10,'VK-Transport'!$C:$X,2+$B67,0))+IF(CK$8="X",VLOOKUP(CK$10,'VK-Elekter'!$C:$X,2+$D67,0))+IF(CK$9="X",VLOOKUP(CK$10,'VK-Biokütused'!$C:$U,2+$E67,0))+IF(CK$5="X",VLOOKUP(CK$10,'VK-Põlevkivi'!$C:$X,2+$G67,0))+IF(CK$4="X",VLOOKUP(CK$10,'VK-Võrgud'!$C:$X,2+$F67,0)))/1000</f>
        <v>7.590945462772634</v>
      </c>
      <c r="CL67" s="235">
        <f>(IF(CL$7="X",VLOOKUP(CL$10,'VK-Hooned-Soojus'!$C:$X,2+$C67,FALSE),0)+IF(CL$6="X",VLOOKUP(CL$10,'VK-Transport'!$C:$X,2+$B67,0))+IF(CL$8="X",VLOOKUP(CL$10,'VK-Elekter'!$C:$X,2+$D67,0))+IF(CL$9="X",VLOOKUP(CL$10,'VK-Biokütused'!$C:$U,2+$E67,0)))/1000</f>
        <v>5.1610567987315106</v>
      </c>
      <c r="CM67" s="209">
        <f>(IF(CM$7="X",VLOOKUP(CM$10,'VK-Hooned-Soojus'!$C:$X,2+$C67,FALSE),0)+IF(CM$6="X",VLOOKUP(CM$10,'VK-Transport'!$C:$X,2+$B67,0))+IF(CM$8="X",VLOOKUP(CM$10,'VK-Elekter'!$C:$X,2+$D67,0))+IF(CM$9="X",VLOOKUP(CM$10,'VK-Biokütused'!$C:$U,2+$E67,0))+IF(CM$5="X",VLOOKUP(CM$10,'VK-Põlevkivi'!$C:$X,2+$G67,0))+IF(CM$4="X",VLOOKUP(CM$10,'VK-Võrgud'!$C:$X,2+$F67,0)))/1000</f>
        <v>8.5748313570900958</v>
      </c>
      <c r="CN67" s="209">
        <f>(IF(CN$7="X",VLOOKUP(CN$10,'VK-Hooned-Soojus'!$C:$X,2+$C67,FALSE),0)+IF(CN$6="X",VLOOKUP(CN$10,'VK-Transport'!$C:$X,2+$B67,0))+IF(CN$8="X",VLOOKUP(CN$10,'VK-Elekter'!$C:$X,2+$D67,0))+IF(CN$9="X",VLOOKUP(CN$10,'VK-Biokütused'!$C:$U,2+$E67,0))+IF(CN$5="X",VLOOKUP(CN$10,'VK-Põlevkivi'!$C:$X,2+$G67,0))+IF(CN$4="X",VLOOKUP(CN$10,'VK-Võrgud'!$C:$X,2+$F67,0)))/1000</f>
        <v>3.1680000000000001</v>
      </c>
      <c r="CO67" s="209">
        <f>(IF(CO$7="X",VLOOKUP(CO$10,'VK-Hooned-Soojus'!$C:$X,2+$C67,FALSE),0)+IF(CO$6="X",VLOOKUP(CO$10,'VK-Transport'!$C:$X,2+$B67,0))+IF(CO$8="X",VLOOKUP(CO$10,'VK-Elekter'!$C:$X,2+$D67,0))+IF(CO$9="X",VLOOKUP(CO$10,'VK-Biokütused'!$C:$U,2+$E67,0))+IF(CO$5="X",VLOOKUP(CO$10,'VK-Põlevkivi'!$C:$X,2+$G67,0))+IF(CO$4="X",VLOOKUP(CO$10,'VK-Võrgud'!$C:$X,2+$F67,0)))/1000</f>
        <v>23.159575210797279</v>
      </c>
      <c r="CP67" s="209">
        <f>(IF(CP$7="X",VLOOKUP(CP$10,'VK-Hooned-Soojus'!$C:$X,2+$C67,FALSE),0)+IF(CP$6="X",VLOOKUP(CP$10,'VK-Transport'!$C:$X,2+$B67,0))+IF(CP$8="X",VLOOKUP(CP$10,'VK-Elekter'!$C:$X,2+$D67,0))+IF(CP$9="X",VLOOKUP(CP$10,'VK-Biokütused'!$C:$U,2+$E67,0))+IF(CP$5="X",VLOOKUP(CP$10,'VK-Põlevkivi'!$C:$X,2+$G67,0))+IF(CP$4="X",VLOOKUP(CP$10,'VK-Võrgud'!$C:$X,2+$F67,0)))/1000</f>
        <v>7.0399948303498237</v>
      </c>
      <c r="CQ67" s="235">
        <f>(IF(CQ$7="X",VLOOKUP(CQ$10,'VK-Hooned-Soojus'!$C:$X,2+$C67,FALSE),0)+IF(CQ$6="X",VLOOKUP(CQ$10,'VK-Transport'!$C:$X,2+$B67,0))+IF(CQ$8="X",VLOOKUP(CQ$10,'VK-Elekter'!$C:$X,2+$D67,0))+IF(CQ$9="X",VLOOKUP(CQ$10,'VK-Biokütused'!$C:$U,2+$E67,0)))/1000</f>
        <v>5.2553459999999994</v>
      </c>
      <c r="CR67" s="209">
        <f>(IF(CR$7="X",VLOOKUP(CR$10,'VK-Hooned-Soojus'!$C:$X,2+$C67,FALSE),0)+IF(CR$6="X",VLOOKUP(CR$10,'VK-Transport'!$C:$X,2+$B67,0))+IF(CR$8="X",VLOOKUP(CR$10,'VK-Elekter'!$C:$X,2+$D67,0))+IF(CR$9="X",VLOOKUP(CR$10,'VK-Biokütused'!$C:$U,2+$E67,0))+IF(CR$5="X",VLOOKUP(CR$10,'VK-Põlevkivi'!$C:$X,2+$G67,0))+IF(CR$4="X",VLOOKUP(CR$10,'VK-Võrgud'!$C:$X,2+$F67,0)))/1000</f>
        <v>8.0760872784575746</v>
      </c>
      <c r="CS67" s="209">
        <f>(IF(CS$7="X",VLOOKUP(CS$10,'VK-Hooned-Soojus'!$C:$X,2+$C67,FALSE),0)+IF(CS$6="X",VLOOKUP(CS$10,'VK-Transport'!$C:$X,2+$B67,0))+IF(CS$8="X",VLOOKUP(CS$10,'VK-Elekter'!$C:$X,2+$D67,0))+IF(CS$9="X",VLOOKUP(CS$10,'VK-Biokütused'!$C:$U,2+$E67,0))+IF(CS$5="X",VLOOKUP(CS$10,'VK-Põlevkivi'!$C:$X,2+$G67,0))+IF(CS$4="X",VLOOKUP(CS$10,'VK-Võrgud'!$C:$X,2+$F67,0)))/1000</f>
        <v>3.8643344900598322</v>
      </c>
      <c r="CT67" s="209">
        <f>IF(CT$7="X",VLOOKUP(CT$10,'VK-Hooned-Soojus'!$C:$X,2+$C67,FALSE),0)+IF(CT$6="X",VLOOKUP(CT$10,'VK-Transport'!$C:$X,2+$B67,0))+IF(CT$8="X",VLOOKUP(CT$10,'VK-Elekter'!$C:$X,2+$D67,0))+IF(CT$9="X",VLOOKUP(CT$10,'VK-Biokütused'!$C:$U,2+$E67,0))+IF(CT$5="X",VLOOKUP(CT$10,'VK-Põlevkivi'!$C:$X,2+$G67,0))+IF(CT$4="X",VLOOKUP(CT$10,'VK-Võrgud'!$C:$X,2+$F67,0))</f>
        <v>90</v>
      </c>
      <c r="CU67" s="209">
        <f>IF(CU$7="X",VLOOKUP(CU$10,'VK-Hooned-Soojus'!$C:$X,2+$C67,FALSE),0)+IF(CU$6="X",VLOOKUP(CU$10,'VK-Transport'!$C:$X,2+$B67,0))+IF(CU$8="X",VLOOKUP(CU$10,'VK-Elekter'!$C:$X,2+$D67,0))+IF(CU$9="X",VLOOKUP(CU$10,'VK-Biokütused'!$C:$U,2+$E67,0))+IF(CU$5="X",VLOOKUP(CU$10,'VK-Põlevkivi'!$C:$X,2+$G67,0))+IF(CU$4="X",VLOOKUP(CU$10,'VK-Võrgud'!$C:$X,2+$F67,0))</f>
        <v>0.63390170511534605</v>
      </c>
      <c r="CV67" s="209">
        <f t="shared" si="37"/>
        <v>0.84317482403548605</v>
      </c>
      <c r="CW67" s="209">
        <f>(IF(CW$7="X",VLOOKUP(CW$10,'VK-Hooned-Soojus'!$C:$X,2+$C67,FALSE),0)+IF(CW$6="X",VLOOKUP(CW$10,'VK-Transport'!$C:$X,2+$B67,0))+IF(CW$8="X",VLOOKUP(CW$10,'VK-Elekter'!$C:$X,2+$D67,0))+IF(CW$9="X",VLOOKUP(CW$10,'VK-Biokütused'!$C:$U,2+$E67,0))+IF(CW$5="X",VLOOKUP(CW$10,'VK-Põlevkivi'!$C:$X,2+$G67,0))+IF(CW$4="X",VLOOKUP(CW$10,'VK-Võrgud'!$C:$X,2+$F67,0)))/16</f>
        <v>126.01875</v>
      </c>
      <c r="CY67" s="209">
        <f>(IF(CY$7="X",VLOOKUP(CY$10,'VK-Hooned-Soojus'!$C:$X,2+$C67,FALSE),0)+IF(CY$6="X",VLOOKUP(CY$10,'VK-Transport'!$C:$X,2+$B67,0))+IF(CY$8="X",VLOOKUP(CY$10,'VK-Elekter'!$C:$X,2+$D67,0))+IF(CY$9="X",VLOOKUP(CY$10,'VK-Biokütused'!$C:$U,2+$E67,0))+IF(CY$5="X",VLOOKUP(CY$10,'VK-Põlevkivi'!$C:$X,2+$G67,0))+IF(CY$4="X",VLOOKUP(CY$10,'VK-Võrgud'!$C:$X,2+$F67,0)))/1000</f>
        <v>10.754</v>
      </c>
      <c r="CZ67" s="209">
        <f>(IF(CZ$7="X",VLOOKUP(CZ$10,'VK-Hooned-Soojus'!$C:$X,2+$C67,FALSE),0)+IF(CZ$6="X",VLOOKUP(CZ$10,'VK-Transport'!$C:$X,2+$B67,0))+IF(CZ$8="X",VLOOKUP(CZ$10,'VK-Elekter'!$C:$X,2+$D67,0))+IF(CZ$9="X",VLOOKUP(CZ$10,'VK-Biokütused'!$C:$U,2+$E67,0))+IF(CZ$5="X",VLOOKUP(CZ$10,'VK-Põlevkivi'!$C:$X,2+$G67,0))+IF(CZ$4="X",VLOOKUP(CZ$10,'VK-Võrgud'!$C:$X,2+$F67,0)))</f>
        <v>83</v>
      </c>
      <c r="DA67" s="209">
        <f>(IF(DA$7="X",VLOOKUP(DA$10,'VK-Hooned-Soojus'!$C:$X,2+$C67,FALSE),0)+IF(DA$6="X",VLOOKUP(DA$10,'VK-Transport'!$C:$X,2+$B67,0))+IF(DA$8="X",VLOOKUP(DA$10,'VK-Elekter'!$C:$X,2+$D67,0))+IF(DA$9="X",VLOOKUP(DA$10,'VK-Biokütused'!$C:$U,2+$E67,0))+IF(DA$5="X",VLOOKUP(DA$10,'VK-Põlevkivi'!$C:$X,2+$G67,0))+IF(DA$4="X",VLOOKUP(DA$10,'VK-Võrgud'!$C:$X,2+$F67,0)))/1000</f>
        <v>11.109</v>
      </c>
      <c r="DB67" s="209">
        <f>(IF(DB$7="X",VLOOKUP(DB$10,'VK-Hooned-Soojus'!$C:$X,2+$C67,FALSE),0)+IF(DB$6="X",VLOOKUP(DB$10,'VK-Transport'!$C:$X,2+$B67,0))+IF(DB$8="X",VLOOKUP(DB$10,'VK-Elekter'!$C:$X,2+$D67,0))+IF(DB$9="X",VLOOKUP(DB$10,'VK-Biokütused'!$C:$U,2+$E67,0))+IF(DB$5="X",VLOOKUP(DB$10,'VK-Põlevkivi'!$C:$X,2+$G67,0))+IF(DB$4="X",VLOOKUP(DB$10,'VK-Võrgud'!$C:$X,2+$F67,0)))/1000/3.6</f>
        <v>44.329166666666666</v>
      </c>
      <c r="DC67" s="209">
        <f>(IF(DC$7="X",VLOOKUP(DC$10,'VK-Hooned-Soojus'!$C:$X,2+$C67,FALSE),0)+IF(DC$6="X",VLOOKUP(DC$10,'VK-Transport'!$C:$X,2+$B67,0))+IF(DC$8="X",VLOOKUP(DC$10,'VK-Elekter'!$C:$X,2+$D67,0))+IF(DC$9="X",VLOOKUP(DC$10,'VK-Biokütused'!$C:$U,2+$E67,0))+IF(DC$5="X",VLOOKUP(DC$10,'VK-Põlevkivi'!$C:$X,2+$G67,0))+IF(DC$4="X",VLOOKUP(DC$10,'VK-Võrgud'!$C:$X,2+$F67,0)))/1000000</f>
        <v>4.4401830000000002</v>
      </c>
      <c r="DD67" s="209"/>
      <c r="DE67" s="88">
        <f>VLOOKUP(Tulemused!$BN$12,data!M$7:N$12,2,FALSE)-SUM(L67,M67)</f>
        <v>-1.9738666666666731</v>
      </c>
      <c r="DF67" s="209" t="str">
        <f>IF(AZ67&lt;=VLOOKUP(Tulemused!$BN$15,data!$E$36:$F$39,2,FALSE),"JAH","EI")</f>
        <v>JAH</v>
      </c>
      <c r="DG67" s="209"/>
      <c r="DH67" s="209">
        <f t="shared" si="38"/>
        <v>11.370000000000001</v>
      </c>
      <c r="DI67" s="231" t="str">
        <f t="shared" si="17"/>
        <v>EI</v>
      </c>
      <c r="DK67" s="232">
        <f t="shared" si="39"/>
        <v>-991.46565463421132</v>
      </c>
      <c r="DM67" s="233">
        <f t="shared" si="40"/>
        <v>-994.16795201748391</v>
      </c>
      <c r="DN67" s="87">
        <f t="array" ref="DN67">INDEX($A$11:$A$145, SMALL(IF(DM67=$DK$11:$DK$145, MATCH(ROW($DK$11:$DK$145), ROW($DK$11:$DK$145))), SUM(--(DM67=$DM$11:DM67))))</f>
        <v>40</v>
      </c>
      <c r="DP67" s="87" t="e">
        <f t="shared" ca="1" si="18"/>
        <v>#N/A</v>
      </c>
      <c r="DQ67" s="87" t="e">
        <f t="shared" ca="1" si="19"/>
        <v>#N/A</v>
      </c>
      <c r="DR67" s="87">
        <f t="shared" ca="1" si="20"/>
        <v>0</v>
      </c>
      <c r="DS67" s="87" t="e">
        <f t="shared" ca="1" si="21"/>
        <v>#N/A</v>
      </c>
      <c r="DT67" s="87">
        <f t="shared" ca="1" si="22"/>
        <v>0</v>
      </c>
      <c r="DU67" s="87" t="e">
        <f t="shared" ca="1" si="23"/>
        <v>#N/A</v>
      </c>
      <c r="DV67" s="87" t="e">
        <f t="shared" ca="1" si="24"/>
        <v>#N/A</v>
      </c>
      <c r="DW67" s="87">
        <f t="shared" ca="1" si="25"/>
        <v>0</v>
      </c>
      <c r="DX67" s="87">
        <f t="shared" ca="1" si="26"/>
        <v>0</v>
      </c>
      <c r="DZ67" s="87">
        <f t="shared" ca="1" si="35"/>
        <v>0</v>
      </c>
      <c r="EB67" s="87">
        <f t="shared" ca="1" si="27"/>
        <v>0</v>
      </c>
      <c r="EC67" s="87" t="e">
        <f t="shared" ca="1" si="28"/>
        <v>#N/A</v>
      </c>
      <c r="EE67" s="228">
        <f>(IF(EE$7="X",VLOOKUP(EE$10,'VK-Hooned-Soojus'!$C:$X,2+$C67,FALSE),0)+IF(EE$6="X",VLOOKUP(EE$10,'VK-Transport'!$C:$X,2+$B67,0))+IF(EE$8="X",VLOOKUP(EE$10,'VK-Elekter'!$C:$X,2+$D67,0))+IF(EE$9="X",VLOOKUP(EE$10,'VK-Biokütused'!$C:$U,2+$E67,0))+IF(EE$5="X",VLOOKUP(EE$10,'VK-Põlevkivi'!$C:$X,2+$G67,0))+IF(EE$4="X",VLOOKUP(EE$10,'VK-Võrgud'!$C:$X,2+$F67,0)))</f>
        <v>8709.0981322963689</v>
      </c>
      <c r="EF67" s="235">
        <f>(IF(EF$7="X",VLOOKUP(EF$10,'VK-Hooned-Soojus'!$C:$X,2+$C67,FALSE),0)+IF(EF$6="X",VLOOKUP(EF$10,'VK-Transport'!$C:$X,2+$B67,0))+IF(EF$8="X",VLOOKUP(EF$10,'VK-Elekter'!$C:$X,2+$D67,0))+IF(EF$9="X",VLOOKUP(EF$10,'VK-Biokütused'!$C:$U,2+$E67,0)))/1000</f>
        <v>4.3543823271229707</v>
      </c>
      <c r="EG67" s="209">
        <f>(IF(EG$7="X",VLOOKUP(EG$10,'VK-Hooned-Soojus'!$C:$X,2+$C67,FALSE),0)+IF(EG$6="X",VLOOKUP(EG$10,'VK-Transport'!$C:$X,2+$B67,0))+IF(EG$8="X",VLOOKUP(EG$10,'VK-Elekter'!$C:$X,2+$D67,0))+IF(EG$9="X",VLOOKUP(EG$10,'VK-Biokütused'!$C:$U,2+$E67,0))+IF(EG$5="X",VLOOKUP(EG$10,'VK-Põlevkivi'!$C:$X,2+$G67,0))+IF(EG$4="X",VLOOKUP(EG$10,'VK-Võrgud'!$C:$X,2+$F67,0)))</f>
        <v>0.81</v>
      </c>
      <c r="EH67" s="209">
        <f>(IF(EH$7="X",VLOOKUP(EH$10,'VK-Hooned-Soojus'!$C:$X,2+$C67,FALSE),0)+IF(EH$6="X",VLOOKUP(EH$10,'VK-Transport'!$C:$X,2+$B67,0))+IF(EH$8="X",VLOOKUP(EH$10,'VK-Elekter'!$C:$X,2+$D67,0))+IF(EH$9="X",VLOOKUP(EH$10,'VK-Biokütused'!$C:$U,2+$E67,0)))+AR67+AS67+AU67+AX67</f>
        <v>47.698434507632328</v>
      </c>
      <c r="EI67" s="320">
        <f t="shared" si="41"/>
        <v>45.144166666666663</v>
      </c>
      <c r="EJ67" s="322">
        <f t="shared" si="42"/>
        <v>2.1300063549572323E-2</v>
      </c>
      <c r="EK67" s="323">
        <f t="shared" si="29"/>
        <v>0.4856183356770486</v>
      </c>
      <c r="EM67" s="209"/>
      <c r="EN67" s="209">
        <f t="shared" ca="1" si="43"/>
        <v>0</v>
      </c>
      <c r="EO67" s="209"/>
      <c r="EP67" s="234"/>
      <c r="EQ67" s="209">
        <f>(IF(EQ$7="X",VLOOKUP(EQ$10,'VK-Hooned-Soojus'!$C:$X,2+$C67,FALSE),0)+IF(EQ$6="X",VLOOKUP(EQ$10,'VK-Transport'!$C:$X,2+$B67,0))+IF(EQ$8="X",VLOOKUP(EQ$10,'VK-Elekter'!$C:$X,2+$D67,0))+IF(EQ$9="X",VLOOKUP(EQ$10,'VK-Biokütused'!$C:$U,2+$E67,0))+IF(EQ$5="X",VLOOKUP(EQ$10,'VK-Põlevkivi'!$C:$X,2+$G67,0))+IF(EQ$4="X",VLOOKUP(EQ$10,'VK-Võrgud'!$C:$X,2+$F67,0)))/1000</f>
        <v>0.22900000000000001</v>
      </c>
      <c r="ER67" s="209">
        <f>(IF(ER$7="X",VLOOKUP(ER$10,'VK-Hooned-Soojus'!$C:$X,2+$C67,FALSE),0)+IF(ER$6="X",VLOOKUP(ER$10,'VK-Transport'!$C:$X,2+$B67,0))+IF(ER$8="X",VLOOKUP(ER$10,'VK-Elekter'!$C:$X,2+$D67,0))+IF(ER$9="X",VLOOKUP(ER$10,'VK-Biokütused'!$C:$U,2+$E67,0))+IF(ER$5="X",VLOOKUP(ER$10,'VK-Põlevkivi'!$C:$X,2+$G67,0))+IF(ER$4="X",VLOOKUP(ER$10,'VK-Võrgud'!$C:$X,2+$F67,0)))</f>
        <v>0.82899999999999996</v>
      </c>
      <c r="ES67" s="209">
        <f>(IF(ES$7="X",VLOOKUP(ES$10,'VK-Hooned-Soojus'!$C:$X,2+$C67,FALSE),0)+IF(ES$6="X",VLOOKUP(ES$10,'VK-Transport'!$C:$X,2+$B67,0))+IF(ES$8="X",VLOOKUP(ES$10,'VK-Elekter'!$C:$X,2+$D67,0))+IF(ES$9="X",VLOOKUP(ES$10,'VK-Biokütused'!$C:$U,2+$E67,0))+IF(ES$5="X",VLOOKUP(ES$10,'VK-Põlevkivi'!$C:$X,2+$G67,0))+IF(ES$4="X",VLOOKUP(ES$10,'VK-Võrgud'!$C:$X,2+$F67,0)))</f>
        <v>11.370000000000001</v>
      </c>
      <c r="ET67" s="209"/>
      <c r="EU67" s="209"/>
      <c r="EV67" s="87">
        <f>'KSH järjestus'!AS60</f>
        <v>1629</v>
      </c>
      <c r="EX67" s="236"/>
      <c r="EY67" s="236"/>
      <c r="EZ67" s="237">
        <f t="shared" si="44"/>
        <v>0.36609829488465395</v>
      </c>
      <c r="FA67" s="209">
        <f>IF(FA$7="X",VLOOKUP(FA$10,'VK-Hooned-Soojus'!$C:$X,2+$C67,FALSE),0)+IF(FA$6="X",VLOOKUP(FA$10,'VK-Transport'!$C:$X,2+$B67,0))+IF(FA$8="X",VLOOKUP(FA$10,'VK-Elekter'!$C:$X,2+$D67,0))+IF(FA$9="X",VLOOKUP(FA$10,'VK-Biokütused'!$C:$U,2+$E67,0))+IF(FA$5="X",VLOOKUP(FA$10,'VK-Põlevkivi'!$C:$X,2+$G67,0))+IF(FA$4="X",VLOOKUP(FA$10,'VK-Võrgud'!$C:$X,2+$F67,0))</f>
        <v>3412.346</v>
      </c>
      <c r="FB67" s="279">
        <f>(IF(FB$7="X",VLOOKUP(FB$10,'VK-Hooned-Soojus'!$C:$X,2+$C67,FALSE),0)+IF(FB$6="X",VLOOKUP(FB$10,'VK-Transport'!$C:$X,2+$B67,0))+IF(FB$8="X",VLOOKUP(FB$10,'VK-Elekter'!$C:$X,2+$D67,0))+IF(FB$9="X",VLOOKUP(FB$10,'VK-Biokütused'!$C:$U,2+$E67,0))+IF(FB$5="X",VLOOKUP(FB$10,'VK-Põlevkivi'!$C:$X,2+$G67,0))+IF(FB$4="X",VLOOKUP(FB$10,'VK-Võrgud'!$C:$X,2+$F67,0)))/16</f>
        <v>429.21245865103367</v>
      </c>
      <c r="FC67" s="209">
        <f>IF(FC$7="X",VLOOKUP(FC$10,'VK-Hooned-Soojus'!$C:$X,2+$C67,FALSE),0)+IF(FC$6="X",VLOOKUP(FC$10,'VK-Transport'!$C:$X,2+$B67,0))+IF(FC$8="X",VLOOKUP(FC$10,'VK-Elekter'!$C:$X,2+$D67,0))+IF(FC$9="X",VLOOKUP(FC$10,'VK-Biokütused'!$C:$U,2+$E67,0))+IF(FC$5="X",VLOOKUP(FC$10,'VK-Põlevkivi'!$C:$X,2+$G67,0))+IF(FC$4="X",VLOOKUP(FC$10,'VK-Võrgud'!$C:$X,2+$F67,0))</f>
        <v>327.64999999999998</v>
      </c>
      <c r="FD67" s="209">
        <f>(IF(FD$7="X",VLOOKUP(FD$10,'VK-Hooned-Soojus'!$C:$X,2+$C67,FALSE),0)+IF(FD$6="X",VLOOKUP(FD$10,'VK-Transport'!$C:$X,2+$B67,0))+IF(FD$8="X",VLOOKUP(FD$10,'VK-Elekter'!$C:$X,2+$D67,0))+IF(FD$9="X",VLOOKUP(FD$10,'VK-Biokütused'!$C:$U,2+$E67,0))+IF(FD$5="X",VLOOKUP(FD$10,'VK-Põlevkivi'!$C:$X,2+$G67,0))+IF(FD$4="X",VLOOKUP(FD$10,'VK-Võrgud'!$C:$X,2+$F67,0)))/16</f>
        <v>429.21245865103367</v>
      </c>
      <c r="FE67" s="209">
        <f>(IF(FE$7="X",VLOOKUP(FE$10,'VK-Hooned-Soojus'!$C:$X,2+$C67,FALSE),0)+IF(FE$6="X",VLOOKUP(FE$10,'VK-Transport'!$C:$X,2+$B67,0))+IF(FE$8="X",VLOOKUP(FE$10,'VK-Elekter'!$C:$X,2+$D67,0))+IF(FE$9="X",VLOOKUP(FE$10,'VK-Biokütused'!$C:$U,2+$E67,0))+IF(FE$5="X",VLOOKUP(FE$10,'VK-Põlevkivi'!$C:$X,2+$G67,0))+IF(FE$4="X",VLOOKUP(FE$10,'VK-Võrgud'!$C:$X,2+$F67,0)))/16</f>
        <v>-59.422063699091041</v>
      </c>
      <c r="FF67" s="209">
        <f>(IF(FF$7="X",VLOOKUP(FF$10,'VK-Hooned-Soojus'!$C:$X,2+$C67,FALSE),0)+IF(FF$6="X",VLOOKUP(FF$10,'VK-Transport'!$C:$X,2+$B67,0))+IF(FF$8="X",VLOOKUP(FF$10,'VK-Elekter'!$C:$X,2+$D67,0))+IF(FF$9="X",VLOOKUP(FF$10,'VK-Biokütused'!$C:$U,2+$E67,0))+IF(FF$5="X",VLOOKUP(FF$10,'VK-Põlevkivi'!$C:$X,2+$G67,0))+IF(FF$4="X",VLOOKUP(FF$10,'VK-Võrgud'!$C:$X,2+$F67,0)))/16</f>
        <v>160.45335915350296</v>
      </c>
      <c r="FG67" s="88">
        <f t="shared" ca="1" si="30"/>
        <v>101.03129545441192</v>
      </c>
      <c r="FH67" s="88"/>
      <c r="FI67" s="88"/>
      <c r="FJ67" s="88">
        <f>VLOOKUP(Tulemused!$BN$12,data!M$7:N$12,2,FALSE)-SUM(L67,M67)</f>
        <v>-1.9738666666666731</v>
      </c>
      <c r="FK67" s="209" t="str">
        <f>IF(AZ67&lt;=VLOOKUP(Tulemused!$BN$15,data!$E$36:$F$39,2,FALSE),"JAH","EI")</f>
        <v>JAH</v>
      </c>
      <c r="FL67" s="235">
        <f ca="1">IF(ISNA(MATCH($A67,INDIRECT(VLOOKUP(Tulemused!$BF$11,data!$J$57:$M$71,4,FALSE)))),0,MATCH($A67,INDIRECT(VLOOKUP(Tulemused!$BF$11,data!$J$57:$M$71,4,FALSE))))</f>
        <v>0</v>
      </c>
      <c r="FM67" s="235" t="str">
        <f t="shared" ca="1" si="45"/>
        <v>JAH</v>
      </c>
      <c r="FN67" s="209">
        <f>VLOOKUP(Tulemused!$BN$13,data!$C$132:$D$137,2,FALSE)-KOMBI!R67</f>
        <v>2.9553876728770305</v>
      </c>
      <c r="FO67" s="209"/>
      <c r="FP67" s="209">
        <f>VLOOKUP(Tulemused!$BN$17,NO_x,2,FALSE)-CJ67</f>
        <v>10.77027820675718</v>
      </c>
      <c r="FQ67" s="209">
        <f>VLOOKUP(Tulemused!$BN$18,SO_2,2,FALSE)-CK67</f>
        <v>44.293054537227363</v>
      </c>
      <c r="FR67" s="209">
        <f>VLOOKUP(Tulemused!$BN$19,LOU,2,FALSE)-CN67</f>
        <v>33.912000000000006</v>
      </c>
      <c r="FS67" s="209">
        <f>VLOOKUP(Tulemused!$BN$20,PM_2.5,2,FALSE)-CM67</f>
        <v>8.3401686429099033</v>
      </c>
      <c r="FT67" s="209">
        <f>VLOOKUP(Tulemused!$BN$13,data!$C$132:$D$137,2,FALSE)-FA67/1000</f>
        <v>2.8336240000000008</v>
      </c>
      <c r="FU67" s="209">
        <f>VLOOKUP(Tulemused!$BN$17,NO_x,2,FALSE)-CO67</f>
        <v>6.2784247892027203</v>
      </c>
      <c r="FV67" s="209">
        <f>VLOOKUP(Tulemused!$BN$18,SO_2,2,FALSE)-CP67</f>
        <v>44.844005169650174</v>
      </c>
      <c r="FW67" s="209">
        <f>VLOOKUP(Tulemused!$BN$19,LOU,2,FALSE)-CS67</f>
        <v>33.215665509940173</v>
      </c>
      <c r="FX67" s="209">
        <f>VLOOKUP(Tulemused!$BN$20,PM_2.5,2,FALSE)-CR67</f>
        <v>8.8389127215424246</v>
      </c>
      <c r="FY67" s="209">
        <f>VLOOKUP(Tulemused!$BN$14,KHG_2050,2,FALSE)-EF67</f>
        <v>95.645617672877023</v>
      </c>
      <c r="FZ67" s="231" t="str">
        <f t="shared" ca="1" si="31"/>
        <v>EI</v>
      </c>
      <c r="GA67" s="209"/>
      <c r="GB67" s="209"/>
      <c r="GC67" s="209"/>
      <c r="GD67" s="231"/>
      <c r="GE67" s="87">
        <f t="shared" si="46"/>
        <v>1629</v>
      </c>
      <c r="GF67" s="232" t="str">
        <f t="shared" ca="1" si="32"/>
        <v/>
      </c>
      <c r="GH67" s="238" t="e">
        <f t="shared" ca="1" si="47"/>
        <v>#NUM!</v>
      </c>
      <c r="GI67" s="87" t="e">
        <f t="array" aca="1" ref="GI67" ca="1">INDEX($A$11:$A$145, SMALL(IF(GH67=$GF$11:$GF$145, MATCH(ROW($GF$11:$GF$145), ROW($GF$11:$GF$145))), SUM(--(GH67=$GH$11:GH67))))</f>
        <v>#NUM!</v>
      </c>
      <c r="GM67" s="209">
        <f>IF(GM$7="X",VLOOKUP(GM$10,'VK-Hooned-Soojus'!$C:$X,2+$C67,FALSE),0)+IF(GM$6="X",VLOOKUP(GM$10,'VK-Transport'!$C:$X,2+$B67,0))+IF(GM$8="X",VLOOKUP(GM$10,'VK-Elekter'!$C:$X,2+$D67,0))+IF(GM$9="X",VLOOKUP(GM$10,'VK-Biokütused'!$C:$U,2+$E67,0))+IF(GM$5="X",VLOOKUP(GM$10,'VK-Põlevkivi'!$C:$X,2+$G67,0))+IF(GM$4="X",VLOOKUP(GM$10,'VK-Võrgud'!$C:$X,2+$F67,0))</f>
        <v>0</v>
      </c>
      <c r="GN67" s="209">
        <f>IF(GN$7="X",VLOOKUP(GN$10,'VK-Hooned-Soojus'!$C:$X,2+$C67,FALSE),0)+IF(GN$6="X",VLOOKUP(GN$10,'VK-Transport'!$C:$X,2+$B67,0))+IF(GN$8="X",VLOOKUP(GN$10,'VK-Elekter'!$C:$X,2+$D67,0))+IF(GN$9="X",VLOOKUP(GN$10,'VK-Biokütused'!$C:$U,2+$E67,0))+IF(GN$5="X",VLOOKUP(GN$10,'VK-Põlevkivi'!$C:$X,2+$G67,0))+IF(GN$4="X",VLOOKUP(GN$10,'VK-Võrgud'!$C:$X,2+$F67,0))</f>
        <v>7.5434676424145266</v>
      </c>
      <c r="GO67" s="209">
        <f>IF(GO$7="X",VLOOKUP(GO$10,'VK-Hooned-Soojus'!$C:$X,2+$C67,FALSE),0)+IF(GO$6="X",VLOOKUP(GO$10,'VK-Transport'!$C:$X,2+$B67,0))+IF(GO$8="X",VLOOKUP(GO$10,'VK-Elekter'!$C:$X,2+$D67,0))+IF(GO$9="X",VLOOKUP(GO$10,'VK-Biokütused'!$C:$U,2+$E67,0))+IF(GO$5="X",VLOOKUP(GO$10,'VK-Põlevkivi'!$C:$X,2+$G67,0))+IF(GO$4="X",VLOOKUP(GO$10,'VK-Võrgud'!$C:$X,2+$F67,0))</f>
        <v>8.7471755658278116</v>
      </c>
      <c r="GP67" s="209">
        <f>IF(GP$7="X",VLOOKUP(GP$10,'VK-Hooned-Soojus'!$C:$X,2+$C67,FALSE),0)+IF(GP$6="X",VLOOKUP(GP$10,'VK-Transport'!$C:$X,2+$B67,0))+IF(GP$8="X",VLOOKUP(GP$10,'VK-Elekter'!$C:$X,2+$D67,0))+IF(GP$9="X",VLOOKUP(GP$10,'VK-Biokütused'!$C:$U,2+$E67,0))+IF(GP$5="X",VLOOKUP(GP$10,'VK-Põlevkivi'!$C:$X,2+$G67,0))+IF(GP$4="X",VLOOKUP(GP$10,'VK-Võrgud'!$C:$X,2+$F67,0))</f>
        <v>9.3279335818485372</v>
      </c>
      <c r="GQ67" s="88">
        <f>IF(GQ$7="X",VLOOKUP(GQ$10,'VK-Hooned-Soojus'!$C:$X,2+$C67,FALSE),0)+IF(GQ$6="X",VLOOKUP(GQ$10,'VK-Transport'!$C:$X,2+$B67,0))+IF(GQ$8="X",VLOOKUP(GQ$10,'VK-Elekter'!$C:$X,2+$D67,0))+IF(GQ$9="X",VLOOKUP(GQ$10,'VK-Biokütused'!$C:$U,2+$E67,0))+IF(GQ$5="X",VLOOKUP(GQ$10,'VK-Põlevkivi'!$C:$X,2+$G67,0))+IF(GQ$4="X",VLOOKUP(GQ$10,'VK-Võrgud'!$C:$X,2+$F67,0))</f>
        <v>0.90618397335647782</v>
      </c>
      <c r="GR67" s="186">
        <f t="shared" si="33"/>
        <v>0.51075230408790107</v>
      </c>
    </row>
    <row r="68" spans="1:200" x14ac:dyDescent="0.2">
      <c r="A68" s="184">
        <v>58</v>
      </c>
      <c r="B68" s="87">
        <v>2</v>
      </c>
      <c r="C68" s="87">
        <v>1</v>
      </c>
      <c r="D68" s="87">
        <v>5</v>
      </c>
      <c r="E68" s="87">
        <v>1</v>
      </c>
      <c r="F68" s="87">
        <f>VLOOKUP(Tulemused!$BF$7,data!$J$6:$K$8,2,FALSE)</f>
        <v>2</v>
      </c>
      <c r="G68" s="87">
        <f>VLOOKUP(data!$H$2,data!$J$12:$K$14,2,FALSE)</f>
        <v>2</v>
      </c>
      <c r="I68" s="209">
        <f>IF(I$7="X",VLOOKUP(I$10,'VK-Hooned-Soojus'!$C:$X,2+$C68,FALSE),0)+IF(I$6="X",VLOOKUP(I$10,'VK-Transport'!$C:$X,2+$B68,0))+IF(I$8="X",VLOOKUP(I$10,'VK-Elekter'!$C:$X,2+$D68,0))+IF(I$9="X",VLOOKUP(I$10,'VK-Biokütused'!$C:$U,2+$E68,0))+IF(I$5="X",VLOOKUP(I$10,'VK-Põlevkivi'!$C:$X,2+$G68,0))+IF(I$4="X",VLOOKUP(I$10,'VK-Võrgud'!$C:$X,2+$F68,0))</f>
        <v>26.89</v>
      </c>
      <c r="J68" s="209">
        <f>IF(J$7="X",VLOOKUP(J$10,'VK-Hooned-Soojus'!$C:$X,2+$C68,FALSE),0)+IF(J$6="X",VLOOKUP(J$10,'VK-Transport'!$C:$X,2+$B68,0))+IF(J$8="X",VLOOKUP(J$10,'VK-Elekter'!$C:$X,2+$D68,0))+IF(J$9="X",VLOOKUP(J$10,'VK-Biokütused'!$C:$U,2+$E68,0))+IF(J$5="X",VLOOKUP(J$10,'VK-Põlevkivi'!$C:$X,2+$G68,0))+IF(J$4="X",VLOOKUP(J$10,'VK-Võrgud'!$C:$X,2+$F68,0))</f>
        <v>11.138055555555555</v>
      </c>
      <c r="K68" s="209">
        <f>IF(K$7="X",VLOOKUP(K$10,'VK-Hooned-Soojus'!$C:$X,2+$C68,FALSE),0)+IF(K$6="X",VLOOKUP(K$10,'VK-Transport'!$C:$X,2+$B68,0))+IF(K$8="X",VLOOKUP(K$10,'VK-Elekter'!$C:$X,2+$D68,0))+IF(K$9="X",VLOOKUP(K$10,'VK-Biokütused'!$C:$U,2+$E68,0))+IF(K$5="X",VLOOKUP(K$10,'VK-Põlevkivi'!$C:$X,2+$G68,0))+IF(K$4="X",VLOOKUP(K$10,'VK-Võrgud'!$C:$X,2+$F68,0))</f>
        <v>16.75</v>
      </c>
      <c r="L68" s="209">
        <f>IF(L$7="X",VLOOKUP(L$10,'VK-Hooned-Soojus'!$C:$X,2+$C68,FALSE),0)+IF(L$6="X",VLOOKUP(L$10,'VK-Transport'!$C:$X,2+$B68,0))+IF(L$8="X",VLOOKUP(L$10,'VK-Elekter'!$C:$X,2+$D68,0))+IF(L$9="X",VLOOKUP(L$10,'VK-Biokütused'!$C:$U,2+$E68,0))+IF(L$5="X",VLOOKUP(L$10,'VK-Põlevkivi'!$C:$X,2+$G68,0))+IF(L$4="X",VLOOKUP(L$10,'VK-Võrgud'!$C:$X,2+$F68,0))</f>
        <v>24.95</v>
      </c>
      <c r="M68" s="209">
        <f>IF(M$7="X",VLOOKUP(M$10,'VK-Hooned-Soojus'!$C:$X,2+$C68,FALSE),0)+IF(M$6="X",VLOOKUP(M$10,'VK-Transport'!$C:$X,2+$B68,0))+IF(M$8="X",VLOOKUP(M$10,'VK-Elekter'!$C:$X,2+$D68,0))+IF(M$9="X",VLOOKUP(M$10,'VK-Biokütused'!$C:$U,2+$E68,0))+IF(M$5="X",VLOOKUP(M$10,'VK-Põlevkivi'!$C:$X,2+$G68,0))+IF(M$4="X",VLOOKUP(M$10,'VK-Võrgud'!$C:$X,2+$F68,0))</f>
        <v>9.8566666666666674</v>
      </c>
      <c r="N68" s="209">
        <f>IF(N$7="X",VLOOKUP(N$10,'VK-Hooned-Soojus'!$C:$X,2+$C68,FALSE),0)+IF(N$6="X",VLOOKUP(N$10,'VK-Transport'!$C:$X,2+$B68,0))+IF(N$8="X",VLOOKUP(N$10,'VK-Elekter'!$C:$X,2+$D68,0))+IF(N$9="X",VLOOKUP(N$10,'VK-Biokütused'!$C:$U,2+$E68,0))+IF(N$5="X",VLOOKUP(N$10,'VK-Põlevkivi'!$C:$X,2+$G68,0))+IF(N$4="X",VLOOKUP(N$10,'VK-Võrgud'!$C:$X,2+$F68,0))</f>
        <v>16.75</v>
      </c>
      <c r="O68" s="209">
        <f t="shared" si="13"/>
        <v>38.028055555555554</v>
      </c>
      <c r="P68" s="209"/>
      <c r="Q68" s="209">
        <f>(IF(Q$7="X",VLOOKUP(Q$10,'VK-Hooned-Soojus'!$C:$X,2+$C68,FALSE),0)+IF(Q$6="X",VLOOKUP(Q$10,'VK-Transport'!$C:$X,2+$B68,0))+IF(Q$8="X",VLOOKUP(Q$10,'VK-Elekter'!$C:$X,2+$D68,0))+IF(Q$9="X",VLOOKUP(Q$10,'VK-Biokütused'!$C:$U,2+$E68,0))+IF(Q$5="X",VLOOKUP(Q$10,'VK-Põlevkivi'!$C:$X,2+$G68,0))+IF(Q$4="X",VLOOKUP(Q$10,'VK-Võrgud'!$C:$X,2+$F68,0)))/1000</f>
        <v>6.3289999999999997</v>
      </c>
      <c r="R68" s="209">
        <f>(IF(R$7="X",VLOOKUP(R$10,'VK-Hooned-Soojus'!$C:$X,2+$C68,FALSE),0)+IF(R$6="X",VLOOKUP(R$10,'VK-Transport'!$C:$X,2+$B68,0))+IF(R$8="X",VLOOKUP(R$10,'VK-Elekter'!$C:$X,2+$D68,0))+IF(R$9="X",VLOOKUP(R$10,'VK-Biokütused'!$C:$U,2+$E68,0))+IF(R$5="X",VLOOKUP(R$10,'VK-Põlevkivi'!$C:$X,2+$G68,0))+IF(R$4="X",VLOOKUP(R$10,'VK-Võrgud'!$C:$X,2+$F68,0)))/1000</f>
        <v>2.7043823271229703</v>
      </c>
      <c r="S68" s="226">
        <f>VLOOKUP(S$10,'VK-Hooned-Soojus'!$C:$I,2+$C68,FALSE) + VLOOKUP(S$10,'VK-Transport'!$C:$I,2+$B68,FALSE)+ VLOOKUP(S$10,'VK-Biokütused'!$C:$G,2+$E68,FALSE)+ VLOOKUP(S$10,'VK-Elekter'!$C:$I,2+$D68,FALSE)+ VLOOKUP(S$10,'VK-Põlevkivi'!$C:$I,2+$G68,FALSE)+ VLOOKUP(S$10,'VK-Võrgud'!$C:$I,2+$F68,FALSE)</f>
        <v>2.0962395665283084E-2</v>
      </c>
      <c r="T68" s="226">
        <f>VLOOKUP(T$10,'VK-Hooned-Soojus'!$C:$I,2+$C68,FALSE) + VLOOKUP(T$10,'VK-Transport'!$C:$I,2+$B68,FALSE)+ VLOOKUP(T$10,'VK-Biokütused'!$C:$G,2+$E68,FALSE)+ VLOOKUP(T$10,'VK-Elekter'!$C:$I,2+$D68,FALSE)+ VLOOKUP(T$10,'VK-Põlevkivi'!$C:$I,2+$G68,FALSE)+ VLOOKUP(T$10,'VK-Võrgud'!$C:$I,2+$F68,FALSE)</f>
        <v>1.0539678916237687E-2</v>
      </c>
      <c r="U68" s="226">
        <f>VLOOKUP(U$10,'VK-Hooned-Soojus'!$C:$I,2+$C68,FALSE) + VLOOKUP(U$10,'VK-Transport'!$C:$I,2+$B68,FALSE)+ VLOOKUP(U$10,'VK-Biokütused'!$C:$G,2+$E68,FALSE)+ VLOOKUP(U$10,'VK-Elekter'!$C:$I,2+$D68,FALSE)+ VLOOKUP(U$10,'VK-Põlevkivi'!$C:$I,2+$G68,FALSE)+ VLOOKUP(U$10,'VK-Võrgud'!$C:$I,2+$F68,FALSE)</f>
        <v>1.1283326470398924E-2</v>
      </c>
      <c r="V68" s="226">
        <f>VLOOKUP(V$10,'VK-Hooned-Soojus'!$C:$I,2+$C68,FALSE) + VLOOKUP(V$10,'VK-Transport'!$C:$I,2+$B68,FALSE)+ VLOOKUP(V$10,'VK-Biokütused'!$C:$G,2+$E68,FALSE)+ VLOOKUP(V$10,'VK-Elekter'!$C:$I,2+$D68,FALSE)+ VLOOKUP(V$10,'VK-Põlevkivi'!$C:$I,2+$G68,FALSE)+ VLOOKUP(V$10,'VK-Võrgud'!$C:$I,2+$F68,FALSE)</f>
        <v>9.9735710125935084E-3</v>
      </c>
      <c r="W68" s="226">
        <f>VLOOKUP(W$10,'VK-Hooned-Soojus'!$C:$I,2+$C68,FALSE) + VLOOKUP(W$10,'VK-Transport'!$C:$I,2+$B68,FALSE)+ VLOOKUP(W$10,'VK-Biokütused'!$C:$G,2+$E68,FALSE)+ VLOOKUP(W$10,'VK-Elekter'!$C:$I,2+$D68,FALSE)+ VLOOKUP(W$10,'VK-Põlevkivi'!$C:$I,2+$G68,FALSE)+ VLOOKUP(W$10,'VK-Võrgud'!$C:$I,2+$F68,FALSE)</f>
        <v>-5.9891639695957063E-3</v>
      </c>
      <c r="X68" s="226">
        <f>VLOOKUP(X$10,'VK-Hooned-Soojus'!$C:$I,2+$C68,FALSE) + VLOOKUP(X$10,'VK-Transport'!$C:$I,2+$B68,FALSE)+ VLOOKUP(X$10,'VK-Biokütused'!$C:$G,2+$E68,FALSE)+ VLOOKUP(X$10,'VK-Elekter'!$C:$I,2+$D68,FALSE)+ VLOOKUP(X$10,'VK-Põlevkivi'!$C:$I,2+$G68,FALSE)+ VLOOKUP(X$10,'VK-Võrgud'!$C:$I,2+$F68,FALSE)</f>
        <v>6.7413686440890574E-2</v>
      </c>
      <c r="Y68" s="226">
        <f>VLOOKUP(Y$10,'VK-Hooned-Soojus'!$C:$I,2+$C68,FALSE) + VLOOKUP(Y$10,'VK-Transport'!$C:$I,2+$B68,FALSE)+ VLOOKUP(Y$10,'VK-Biokütused'!$C:$G,2+$E68,FALSE)+ VLOOKUP(Y$10,'VK-Elekter'!$C:$I,2+$D68,FALSE)+ VLOOKUP(Y$10,'VK-Põlevkivi'!$C:$I,2+$G68,FALSE)+ VLOOKUP(Y$10,'VK-Võrgud'!$C:$I,2+$F68,FALSE)</f>
        <v>7.0854906657771041E-2</v>
      </c>
      <c r="Z68" s="227">
        <f>(S68*Tulemused!$Q$9*10+T68*Tulemused!$Q$10*10+KOMBI!U68*Tulemused!$Q$11*10+KOMBI!V68*Tulemused!$Q$12*10)*Tulemused!$Q$8+-(W68*Tulemused!$Q$14*10+KOMBI!X68*Tulemused!$Q$15*10+KOMBI!Y68*Tulemused!$Q$16*10)*Tulemused!$Q$13</f>
        <v>3.7220157151897704</v>
      </c>
      <c r="AA68" s="228">
        <f>(IF(AA$7="X",VLOOKUP(AA$10,'VK-Hooned-Soojus'!$C:$X,2+$C68,FALSE),0)+IF(AA$6="X",VLOOKUP(AA$10,'VK-Transport'!$C:$X,2+$B68,0))+IF(AA$8="X",VLOOKUP(AA$10,'VK-Elekter'!$C:$X,2+$D68,0))+IF(AA$9="X",VLOOKUP(AA$10,'VK-Biokütused'!$C:$U,2+$E68,0))+IF(AA$5="X",VLOOKUP(AA$10,'VK-Põlevkivi'!$C:$X,2+$G68,0))+IF(AA$4="X",VLOOKUP(AA$10,'VK-Võrgud'!$C:$X,2+$F68,0)))</f>
        <v>4727</v>
      </c>
      <c r="AB68" s="228">
        <f>(IF(AB$7="X",VLOOKUP(AB$10,'VK-Hooned-Soojus'!$C:$X,2+$C68,FALSE),0)+IF(AB$6="X",VLOOKUP(AB$10,'VK-Transport'!$C:$X,2+$B68,0))+IF(AB$8="X",VLOOKUP(AB$10,'VK-Elekter'!$C:$X,2+$D68,0))+IF(AB$9="X",VLOOKUP(AB$10,'VK-Biokütused'!$C:$U,2+$E68,0))+IF(AB$5="X",VLOOKUP(AB$10,'VK-Põlevkivi'!$C:$X,2+$G68,0))+IF(AB$4="X",VLOOKUP(AB$10,'VK-Võrgud'!$C:$X,2+$F68,0)))</f>
        <v>1602</v>
      </c>
      <c r="AC68" s="228">
        <f>(IF(AC$7="X",VLOOKUP(AC$10,'VK-Hooned-Soojus'!$C:$X,2+$C68,FALSE),0)+IF(AC$6="X",VLOOKUP(AC$10,'VK-Transport'!$C:$X,2+$B68,0))+IF(AC$8="X",VLOOKUP(AC$10,'VK-Elekter'!$C:$X,2+$D68,0))+IF(AC$9="X",VLOOKUP(AC$10,'VK-Biokütused'!$C:$U,2+$E68,0))+IF(AC$5="X",VLOOKUP(AC$10,'VK-Põlevkivi'!$C:$X,2+$G68,0))+IF(AC$4="X",VLOOKUP(AC$10,'VK-Võrgud'!$C:$X,2+$F68,0)))</f>
        <v>2346</v>
      </c>
      <c r="AD68" s="228">
        <f>(IF(AD$7="X",VLOOKUP(AD$10,'VK-Hooned-Soojus'!$C:$X,2+$C68,FALSE),0)+IF(AD$6="X",VLOOKUP(AD$10,'VK-Transport'!$C:$X,2+$B68,0))+IF(AD$8="X",VLOOKUP(AD$10,'VK-Elekter'!$C:$X,2+$D68,0))+IF(AD$9="X",VLOOKUP(AD$10,'VK-Biokütused'!$C:$U,2+$E68,0))+IF(AD$5="X",VLOOKUP(AD$10,'VK-Põlevkivi'!$C:$X,2+$G68,0))+IF(AD$4="X",VLOOKUP(AD$10,'VK-Võrgud'!$C:$X,2+$F68,0)))</f>
        <v>0</v>
      </c>
      <c r="AE68" s="228">
        <f>(IF(AE$7="X",VLOOKUP(AE$10,'VK-Hooned-Soojus'!$C:$X,2+$C68,FALSE),0)+IF(AE$6="X",VLOOKUP(AE$10,'VK-Transport'!$C:$X,2+$B68,0))+IF(AE$8="X",VLOOKUP(AE$10,'VK-Elekter'!$C:$X,2+$D68,0))+IF(AE$9="X",VLOOKUP(AE$10,'VK-Biokütused'!$C:$U,2+$E68,0))+IF(AE$5="X",VLOOKUP(AE$10,'VK-Põlevkivi'!$C:$X,2+$G68,0))+IF(AE$4="X",VLOOKUP(AE$10,'VK-Võrgud'!$C:$X,2+$F68,0)))</f>
        <v>812</v>
      </c>
      <c r="AF68" s="228">
        <f>(IF(AF$7="X",VLOOKUP(AF$10,'VK-Hooned-Soojus'!$C:$X,2+$C68,FALSE),0)+IF(AF$6="X",VLOOKUP(AF$10,'VK-Transport'!$C:$X,2+$B68,0))+IF(AF$8="X",VLOOKUP(AF$10,'VK-Elekter'!$C:$X,2+$D68,0))+IF(AF$9="X",VLOOKUP(AF$10,'VK-Biokütused'!$C:$U,2+$E68,0))+IF(AF$5="X",VLOOKUP(AF$10,'VK-Põlevkivi'!$C:$X,2+$G68,0))+IF(AF$4="X",VLOOKUP(AF$10,'VK-Võrgud'!$C:$X,2+$F68,0)))</f>
        <v>1892.3823271229701</v>
      </c>
      <c r="AG68" s="209"/>
      <c r="AH68" s="209">
        <f>IF(AH$7="X",VLOOKUP(AH$10,'VK-Hooned-Soojus'!$C:$X,2+$C68,FALSE),0)+IF(AH$6="X",VLOOKUP(AH$10,'VK-Transport'!$C:$X,2+$B68,0))+IF(AH$8="X",VLOOKUP(AH$10,'VK-Elekter'!$C:$X,2+$D68,0))+IF(AH$9="X",VLOOKUP(AH$10,'VK-Biokütused'!$C:$U,2+$E68,0))+IF(AH$5="X",VLOOKUP(AH$10,'VK-Põlevkivi'!$C:$X,2+$G68,0))+IF(AH$4="X",VLOOKUP(AH$10,'VK-Võrgud'!$C:$X,2+$F68,0))</f>
        <v>17.400000000000002</v>
      </c>
      <c r="AI68" s="209">
        <f>IF(AI$7="X",VLOOKUP(AI$10,'VK-Hooned-Soojus'!$C:$X,2+$C68,FALSE),0)+IF(AI$6="X",VLOOKUP(AI$10,'VK-Transport'!$C:$X,2+$B68,0))+IF(AI$8="X",VLOOKUP(AI$10,'VK-Elekter'!$C:$X,2+$D68,0))+IF(AI$9="X",VLOOKUP(AI$10,'VK-Biokütused'!$C:$U,2+$E68,0))+IF(AI$5="X",VLOOKUP(AI$10,'VK-Põlevkivi'!$C:$X,2+$G68,0))+IF(AI$4="X",VLOOKUP(AI$10,'VK-Võrgud'!$C:$X,2+$F68,0))</f>
        <v>2.3100000000000005</v>
      </c>
      <c r="AJ68" s="209">
        <f>IF(AJ$7="X",VLOOKUP(AJ$10,'VK-Hooned-Soojus'!$C:$X,2+$C68,FALSE),0)+IF(AJ$6="X",VLOOKUP(AJ$10,'VK-Transport'!$C:$X,2+$B68,0))+IF(AJ$8="X",VLOOKUP(AJ$10,'VK-Elekter'!$C:$X,2+$D68,0))+IF(AJ$9="X",VLOOKUP(AJ$10,'VK-Biokütused'!$C:$U,2+$E68,0))+IF(AJ$5="X",VLOOKUP(AJ$10,'VK-Põlevkivi'!$C:$X,2+$G68,0))+IF(AJ$4="X",VLOOKUP(AJ$10,'VK-Võrgud'!$C:$X,2+$F68,0))</f>
        <v>4.59</v>
      </c>
      <c r="AK68" s="209">
        <f>IF(AK$7="X",VLOOKUP(AK$10,'VK-Hooned-Soojus'!$C:$X,2+$C68,FALSE),0)+IF(AK$6="X",VLOOKUP(AK$10,'VK-Transport'!$C:$X,2+$B68,0))+IF(AK$8="X",VLOOKUP(AK$10,'VK-Elekter'!$C:$X,2+$D68,0))+IF(AK$9="X",VLOOKUP(AK$10,'VK-Biokütused'!$C:$U,2+$E68,0))+IF(AK$5="X",VLOOKUP(AK$10,'VK-Põlevkivi'!$C:$X,2+$G68,0))+IF(AK$4="X",VLOOKUP(AK$10,'VK-Võrgud'!$C:$X,2+$F68,0))</f>
        <v>-0.41</v>
      </c>
      <c r="AL68" s="209">
        <f>IF(AL$7="X",VLOOKUP(AL$10,'VK-Hooned-Soojus'!$C:$X,2+$C68,FALSE),0)+IF(AL$6="X",VLOOKUP(AL$10,'VK-Transport'!$C:$X,2+$B68,0))+IF(AL$8="X",VLOOKUP(AL$10,'VK-Elekter'!$C:$X,2+$D68,0))+IF(AL$9="X",VLOOKUP(AL$10,'VK-Biokütused'!$C:$U,2+$E68,0))+IF(AL$5="X",VLOOKUP(AL$10,'VK-Põlevkivi'!$C:$X,2+$G68,0))+IF(AL$4="X",VLOOKUP(AL$10,'VK-Võrgud'!$C:$X,2+$F68,0))</f>
        <v>7.1999999999999993</v>
      </c>
      <c r="AM68" s="209">
        <f>IF(AM$7="X",VLOOKUP(AM$10,'VK-Hooned-Soojus'!$C:$X,2+$C68,FALSE),0)+IF(AM$6="X",VLOOKUP(AM$10,'VK-Transport'!$C:$X,2+$B68,0))+IF(AM$8="X",VLOOKUP(AM$10,'VK-Elekter'!$C:$X,2+$D68,0))+IF(AM$9="X",VLOOKUP(AM$10,'VK-Biokütused'!$C:$U,2+$E68,0))+IF(AM$5="X",VLOOKUP(AM$10,'VK-Põlevkivi'!$C:$X,2+$G68,0))+IF(AM$4="X",VLOOKUP(AM$10,'VK-Võrgud'!$C:$X,2+$F68,0))</f>
        <v>12.9</v>
      </c>
      <c r="AN68" s="209">
        <f>IF(AN$7="X",VLOOKUP(AN$10,'VK-Hooned-Soojus'!$C:$X,2+$C68,FALSE),0)+IF(AN$6="X",VLOOKUP(AN$10,'VK-Transport'!$C:$X,2+$B68,0))+IF(AN$8="X",VLOOKUP(AN$10,'VK-Elekter'!$C:$X,2+$D68,0))+IF(AN$9="X",VLOOKUP(AN$10,'VK-Biokütused'!$C:$U,2+$E68,0))+IF(AN$5="X",VLOOKUP(AN$10,'VK-Põlevkivi'!$C:$X,2+$G68,0))+IF(AN$4="X",VLOOKUP(AN$10,'VK-Võrgud'!$C:$X,2+$F68,0))</f>
        <v>5.6999999999999993</v>
      </c>
      <c r="AO68" s="209">
        <f>IF(AO$7="X",VLOOKUP(AO$10,'VK-Hooned-Soojus'!$C:$X,2+$C68,FALSE),0)+IF(AO$6="X",VLOOKUP(AO$10,'VK-Transport'!$C:$X,2+$B68,0))+IF(AO$8="X",VLOOKUP(AO$10,'VK-Elekter'!$C:$X,2+$D68,0))+IF(AO$9="X",VLOOKUP(AO$10,'VK-Biokütused'!$C:$U,2+$E68,0))+IF(AO$5="X",VLOOKUP(AO$10,'VK-Põlevkivi'!$C:$X,2+$G68,0))+IF(AO$4="X",VLOOKUP(AO$10,'VK-Võrgud'!$C:$X,2+$F68,0))</f>
        <v>13.56</v>
      </c>
      <c r="AP68" s="209">
        <f>IF(AP$7="X",VLOOKUP(AP$10,'VK-Hooned-Soojus'!$C:$X,2+$C68,FALSE),0)+IF(AP$6="X",VLOOKUP(AP$10,'VK-Transport'!$C:$X,2+$B68,0))+IF(AP$8="X",VLOOKUP(AP$10,'VK-Elekter'!$C:$X,2+$D68,0))+IF(AP$9="X",VLOOKUP(AP$10,'VK-Biokütused'!$C:$U,2+$E68,0))+IF(AP$5="X",VLOOKUP(AP$10,'VK-Põlevkivi'!$C:$X,2+$G68,0))+IF(AP$4="X",VLOOKUP(AP$10,'VK-Võrgud'!$C:$X,2+$F68,0))</f>
        <v>6.78</v>
      </c>
      <c r="AQ68" s="320">
        <f t="shared" si="14"/>
        <v>1.2599999999999998</v>
      </c>
      <c r="AR68" s="209">
        <f>IF(AR$7="X",VLOOKUP(AR$10,'VK-Hooned-Soojus'!$C:$X,2+$C68,FALSE),0)+IF(AR$6="X",VLOOKUP(AR$10,'VK-Transport'!$C:$X,2+$B68,0))+IF(AR$8="X",VLOOKUP(AR$10,'VK-Elekter'!$C:$X,2+$D68,0))+IF(AR$9="X",VLOOKUP(AR$10,'VK-Biokütused'!$C:$U,2+$E68,0))+IF(AR$5="X",VLOOKUP(AR$10,'VK-Põlevkivi'!$C:$X,2+$G68,0))+IF(AR$4="X",VLOOKUP(AR$10,'VK-Võrgud'!$C:$X,2+$F68,0))</f>
        <v>13.909999999999998</v>
      </c>
      <c r="AS68" s="235">
        <f>'VK-Põlevkivi'!$F$8-AR68-AU68</f>
        <v>14.198622986547708</v>
      </c>
      <c r="AT68" s="209">
        <f>IF(AT$7="X",VLOOKUP(AT$10,'VK-Hooned-Soojus'!$C:$X,2+$C68,FALSE),0)+IF(AT$6="X",VLOOKUP(AT$10,'VK-Transport'!$C:$X,2+$B68,0))+IF(AT$8="X",VLOOKUP(AT$10,'VK-Elekter'!$C:$X,2+$D68,0))+IF(AT$9="X",VLOOKUP(AT$10,'VK-Biokütused'!$C:$U,2+$E68,0))+IF(AT$5="X",VLOOKUP(AT$10,'VK-Põlevkivi'!$C:$X,2+$G68,0))+IF(AT$4="X",VLOOKUP(AT$10,'VK-Võrgud'!$C:$X,2+$F68,0))</f>
        <v>9.2784458909544707</v>
      </c>
      <c r="AU68" s="235">
        <f>'VK-Põlevkivi'!$F$9-VLOOKUP("Kütuste tarbimine @ 2030 - PÕLEVKIVIÕLI",'VK-Hooned-Soojus'!$C:$X,2+$C68,FALSE)</f>
        <v>28.428043680118964</v>
      </c>
      <c r="AV68" s="209">
        <f>IF(AV$7="X",VLOOKUP(AV$10,'VK-Hooned-Soojus'!$C:$X,2+$C68,FALSE),0)+IF(AV$6="X",VLOOKUP(AV$10,'VK-Transport'!$C:$X,2+$B68,0))+IF(AV$8="X",VLOOKUP(AV$10,'VK-Elekter'!$C:$X,2+$D68,0))+IF(AV$9="X",VLOOKUP(AV$10,'VK-Biokütused'!$C:$U,2+$E68,0))+IF(AV$5="X",VLOOKUP(AV$10,'VK-Põlevkivi'!$C:$X,2+$G68,0))+IF(AV$4="X",VLOOKUP(AV$10,'VK-Võrgud'!$C:$X,2+$F68,0))</f>
        <v>1.7257321590343366</v>
      </c>
      <c r="AW68" s="209">
        <f>IF(AW$7="X",VLOOKUP(AW$10,'VK-Hooned-Soojus'!$C:$X,2+$C68,FALSE),0)+IF(AW$6="X",VLOOKUP(AW$10,'VK-Transport'!$C:$X,2+$B68,0))+IF(AW$8="X",VLOOKUP(AW$10,'VK-Elekter'!$C:$X,2+$D68,0))+IF(AW$9="X",VLOOKUP(AW$10,'VK-Biokütused'!$C:$U,2+$E68,0))+IF(AW$5="X",VLOOKUP(AW$10,'VK-Põlevkivi'!$C:$X,2+$G68,0))+IF(AW$4="X",VLOOKUP(AW$10,'VK-Võrgud'!$C:$X,2+$F68,0))</f>
        <v>0</v>
      </c>
      <c r="AX68" s="229">
        <f t="shared" si="34"/>
        <v>0</v>
      </c>
      <c r="AY68" s="229">
        <f t="shared" si="15"/>
        <v>1.7257321590343366</v>
      </c>
      <c r="AZ68" s="230">
        <f t="shared" si="36"/>
        <v>0.34691909346292266</v>
      </c>
      <c r="BA68" s="209">
        <f>IF(BA$7="X",VLOOKUP(BA$10,'VK-Hooned-Soojus'!$C:$X,2+$C68,FALSE),0)+IF(BA$6="X",VLOOKUP(BA$10,'VK-Transport'!$C:$X,2+$B68,0))+IF(BA$8="X",VLOOKUP(BA$10,'VK-Elekter'!$C:$X,2+$D68,0))+IF(BA$9="X",VLOOKUP(BA$10,'VK-Biokütused'!$C:$U,2+$E68,0))+IF(BA$5="X",VLOOKUP(BA$10,'VK-Põlevkivi'!$C:$X,2+$G68,0))+IF(BA$4="X",VLOOKUP(BA$10,'VK-Võrgud'!$C:$X,2+$F68,0))</f>
        <v>7.41</v>
      </c>
      <c r="BB68" s="209">
        <f>IF(BB$7="X",VLOOKUP(BB$10,'VK-Hooned-Soojus'!$C:$X,2+$C68,FALSE),0)+IF(BB$6="X",VLOOKUP(BB$10,'VK-Transport'!$C:$X,2+$B68,0))+IF(BB$8="X",VLOOKUP(BB$10,'VK-Elekter'!$C:$X,2+$D68,0))+IF(BB$9="X",VLOOKUP(BB$10,'VK-Biokütused'!$C:$U,2+$E68,0))+IF(BB$5="X",VLOOKUP(BB$10,'VK-Põlevkivi'!$C:$X,2+$G68,0))+IF(BB$4="X",VLOOKUP(BB$10,'VK-Võrgud'!$C:$X,2+$F68,0))</f>
        <v>2.96</v>
      </c>
      <c r="BC68" s="209">
        <f>IF(BC$7="X",VLOOKUP(BC$10,'VK-Hooned-Soojus'!$C:$X,2+$C68,FALSE),0)+IF(BC$6="X",VLOOKUP(BC$10,'VK-Transport'!$C:$X,2+$B68,0))+IF(BC$8="X",VLOOKUP(BC$10,'VK-Elekter'!$C:$X,2+$D68,0))+IF(BC$9="X",VLOOKUP(BC$10,'VK-Biokütused'!$C:$U,2+$E68,0))+IF(BC$5="X",VLOOKUP(BC$10,'VK-Põlevkivi'!$C:$X,2+$G68,0))+IF(BC$4="X",VLOOKUP(BC$10,'VK-Võrgud'!$C:$X,2+$F68,0))</f>
        <v>8.0523611111111126</v>
      </c>
      <c r="BD68" s="209">
        <f>IF(BD$7="X",VLOOKUP(BD$10,'VK-Hooned-Soojus'!$C:$X,2+$C68,FALSE),0)+IF(BD$6="X",VLOOKUP(BD$10,'VK-Transport'!$C:$X,2+$B68,0))+IF(BD$8="X",VLOOKUP(BD$10,'VK-Elekter'!$C:$X,2+$D68,0))+IF(BD$9="X",VLOOKUP(BD$10,'VK-Biokütused'!$C:$U,2+$E68,0))+IF(BD$5="X",VLOOKUP(BD$10,'VK-Põlevkivi'!$C:$X,2+$G68,0))+IF(BD$4="X",VLOOKUP(BD$10,'VK-Võrgud'!$C:$X,2+$F68,0))</f>
        <v>10.42138888888889</v>
      </c>
      <c r="BE68" s="230"/>
      <c r="BF68" s="229">
        <f t="shared" si="16"/>
        <v>0.26049846883007888</v>
      </c>
      <c r="BG68" s="209" t="e">
        <f>(IF(BG$7="X",VLOOKUP(BG$10,'VK-Hooned-Soojus'!$C:$X,2+$C68,FALSE),0)+IF(BG$6="X",VLOOKUP(BG$10,'VK-Transport'!$C:$X,2+$B68,0))+IF(BG$8="X",VLOOKUP(BG$10,'VK-Elekter'!$C:$X,2+$D68,0))+IF(BG$9="X",VLOOKUP(BG$10,'VK-Biokütused'!$C:$U,2+$E68,0))+IF(BG$5="X",VLOOKUP(BG$10,'VK-Põlevkivi'!$C:$X,2+$G68,0))+IF(BG$4="X",VLOOKUP(BG$10,'VK-Võrgud'!$C:$X,2+$F68,0)))/20</f>
        <v>#N/A</v>
      </c>
      <c r="BH68" s="209">
        <f>(IF(BH$7="X",VLOOKUP(BH$10,'VK-Hooned-Soojus'!$C:$X,2+$C68,FALSE),0)+IF(BH$6="X",VLOOKUP(BH$10,'VK-Transport'!$C:$X,2+$B68,0))+IF(BH$8="X",VLOOKUP(BH$10,'VK-Elekter'!$C:$X,2+$D68,0))+IF(BH$9="X",VLOOKUP(BH$10,'VK-Biokütused'!$C:$U,2+$E68,0))+IF(BH$5="X",VLOOKUP(BH$10,'VK-Põlevkivi'!$C:$X,2+$G68,0))+IF(BH$4="X",VLOOKUP(BH$10,'VK-Võrgud'!$C:$X,2+$F68,0)))/20</f>
        <v>13.99</v>
      </c>
      <c r="BI68" s="209">
        <f>(IF(BI$7="X",VLOOKUP(BI$10,'VK-Hooned-Soojus'!$C:$X,2+$C68,FALSE),0)+IF(BI$6="X",VLOOKUP(BI$10,'VK-Transport'!$C:$X,2+$B68,0))+IF(BI$8="X",VLOOKUP(BI$10,'VK-Elekter'!$C:$X,2+$D68,0))+IF(BI$9="X",VLOOKUP(BI$10,'VK-Biokütused'!$C:$U,2+$E68,0))+IF(BI$5="X",VLOOKUP(BI$10,'VK-Põlevkivi'!$C:$X,2+$G68,0))+IF(BI$4="X",VLOOKUP(BI$10,'VK-Võrgud'!$C:$X,2+$F68,0)))/16</f>
        <v>17.75</v>
      </c>
      <c r="BJ68" s="209">
        <f>(IF(BJ$7="X",VLOOKUP(BJ$10,'VK-Hooned-Soojus'!$C:$X,2+$C68,FALSE),0)+IF(BJ$6="X",VLOOKUP(BJ$10,'VK-Transport'!$C:$X,2+$B68,0))+IF(BJ$8="X",VLOOKUP(BJ$10,'VK-Elekter'!$C:$X,2+$D68,0))+IF(BJ$9="X",VLOOKUP(BJ$10,'VK-Biokütused'!$C:$U,2+$E68,0))+IF(BJ$5="X",VLOOKUP(BJ$10,'VK-Põlevkivi'!$C:$X,2+$G68,0))+IF(BJ$4="X",VLOOKUP(BJ$10,'VK-Võrgud'!$C:$X,2+$F68,0)))/20</f>
        <v>1.85</v>
      </c>
      <c r="BK68" s="209"/>
      <c r="BL68" s="209"/>
      <c r="BM68" s="209"/>
      <c r="BN68" s="209" t="e">
        <f>(IF(BN$7="X",VLOOKUP(BN$10,'VK-Hooned-Soojus'!$C:$X,2+$C68,FALSE),0)+IF(BN$6="X",VLOOKUP(BN$10,'VK-Transport'!$C:$X,2+$B68,0))+IF(BN$8="X",VLOOKUP(BN$10,'VK-Elekter'!$C:$X,2+$D68,0))+IF(BN$9="X",VLOOKUP(BN$10,'VK-Biokütused'!$C:$U,2+$E68,0))+IF(BN$5="X",VLOOKUP(BN$10,'VK-Põlevkivi'!$C:$X,2+$G68,0))+IF(BN$4="X",VLOOKUP(BN$10,'VK-Võrgud'!$C:$X,2+$F68,0)))/16</f>
        <v>#N/A</v>
      </c>
      <c r="BO68" s="209">
        <f>(IF(BO$7="X",VLOOKUP(BO$10,'VK-Hooned-Soojus'!$C:$X,2+$C68,FALSE),0)+IF(BO$6="X",VLOOKUP(BO$10,'VK-Transport'!$C:$X,2+$B68,0))+IF(BO$8="X",VLOOKUP(BO$10,'VK-Elekter'!$C:$X,2+$D68,0))+IF(BO$9="X",VLOOKUP(BO$10,'VK-Biokütused'!$C:$U,2+$E68,0))+IF(BO$5="X",VLOOKUP(BO$10,'VK-Põlevkivi'!$C:$X,2+$G68,0))+IF(BO$4="X",VLOOKUP(BO$10,'VK-Võrgud'!$C:$X,2+$F68,0)))/16</f>
        <v>405.45</v>
      </c>
      <c r="BP68" s="209"/>
      <c r="BQ68" s="209">
        <f>(IF(BQ$7="X",VLOOKUP(BQ$10,'VK-Hooned-Soojus'!$C:$X,2+$C68,FALSE),0)+IF(BQ$6="X",VLOOKUP(BQ$10,'VK-Transport'!$C:$X,2+$B68,0))+IF(BQ$8="X",VLOOKUP(BQ$10,'VK-Elekter'!$C:$X,2+$D68,0))+IF(BQ$9="X",VLOOKUP(BQ$10,'VK-Biokütused'!$C:$U,2+$E68,0))+IF(BQ$5="X",VLOOKUP(BQ$10,'VK-Põlevkivi'!$C:$X,2+$G68,0))+IF(BQ$4="X",VLOOKUP(BQ$10,'VK-Võrgud'!$C:$X,2+$F68,0)))/16</f>
        <v>127.6</v>
      </c>
      <c r="BR68" s="209">
        <f>(IF(BR$7="X",VLOOKUP(BR$10,'VK-Hooned-Soojus'!$C:$X,2+$C68,FALSE),0)+IF(BR$6="X",VLOOKUP(BR$10,'VK-Transport'!$C:$X,2+$B68,0))+IF(BR$8="X",VLOOKUP(BR$10,'VK-Elekter'!$C:$X,2+$D68,0))+IF(BR$9="X",VLOOKUP(BR$10,'VK-Biokütused'!$C:$U,2+$E68,0))+IF(BR$5="X",VLOOKUP(BR$10,'VK-Põlevkivi'!$C:$X,2+$G68,0))+IF(BR$4="X",VLOOKUP(BR$10,'VK-Võrgud'!$C:$X,2+$F68,0)))/16</f>
        <v>27.475000000000001</v>
      </c>
      <c r="BS68" s="209">
        <f>(IF(BS$7="X",VLOOKUP(BS$10,'VK-Hooned-Soojus'!$C:$X,2+$C68,FALSE),0)+IF(BS$6="X",VLOOKUP(BS$10,'VK-Transport'!$C:$X,2+$B68,0))+IF(BS$8="X",VLOOKUP(BS$10,'VK-Elekter'!$C:$X,2+$D68,0))+IF(BS$9="X",VLOOKUP(BS$10,'VK-Biokütused'!$C:$U,2+$E68,0))+IF(BS$5="X",VLOOKUP(BS$10,'VK-Põlevkivi'!$C:$X,2+$G68,0))+IF(BS$4="X",VLOOKUP(BS$10,'VK-Võrgud'!$C:$X,2+$F68,0)))/16</f>
        <v>-23.293749999999999</v>
      </c>
      <c r="BT68" s="209"/>
      <c r="BU68" s="209"/>
      <c r="BV68" s="209">
        <f>(IF(BV$7="X",VLOOKUP(BV$10,'VK-Hooned-Soojus'!$C:$X,2+$C68,FALSE),0)+IF(BV$6="X",VLOOKUP(BV$10,'VK-Transport'!$C:$X,2+$B68,0))+IF(BV$8="X",VLOOKUP(BV$10,'VK-Elekter'!$C:$X,2+$D68,0))+IF(BV$9="X",VLOOKUP(BV$10,'VK-Biokütused'!$C:$U,2+$E68,0))+IF(BV$5="X",VLOOKUP(BV$10,'VK-Põlevkivi'!$C:$X,2+$G68,0))+IF(BV$4="X",VLOOKUP(BV$10,'VK-Võrgud'!$C:$X,2+$F68,0)))/16</f>
        <v>0</v>
      </c>
      <c r="BW68" s="209"/>
      <c r="BX68" s="209">
        <f>(IF(BX$7="X",VLOOKUP(BX$10,'VK-Hooned-Soojus'!$C:$X,2+$C68,FALSE),0)+IF(BX$6="X",VLOOKUP(BX$10,'VK-Transport'!$C:$X,2+$B68,0))+IF(BX$8="X",VLOOKUP(BX$10,'VK-Elekter'!$C:$X,2+$D68,0))+IF(BX$9="X",VLOOKUP(BX$10,'VK-Biokütused'!$C:$U,2+$E68,0))+IF(BX$5="X",VLOOKUP(BX$10,'VK-Põlevkivi'!$C:$X,2+$G68,0))+IF(BX$4="X",VLOOKUP(BX$10,'VK-Võrgud'!$C:$X,2+$F68,0)))/16</f>
        <v>-145.125</v>
      </c>
      <c r="BY68" s="209"/>
      <c r="BZ68" s="209"/>
      <c r="CA68" s="209" t="e">
        <f>(IF(CA$7="X",VLOOKUP(CA$10,'VK-Hooned-Soojus'!$C:$X,2+$C68,FALSE),0)+IF(CA$6="X",VLOOKUP(CA$10,'VK-Transport'!$C:$X,2+$B68,0))+IF(CA$8="X",VLOOKUP(CA$10,'VK-Elekter'!$C:$X,2+$D68,0))+IF(CA$9="X",VLOOKUP(CA$10,'VK-Biokütused'!$C:$U,2+$E68,0))+IF(CA$5="X",VLOOKUP(CA$10,'VK-Põlevkivi'!$C:$X,2+$G68,0))+IF(CA$4="X",VLOOKUP(CA$10,'VK-Võrgud'!$C:$X,2+$F68,0)))/16</f>
        <v>#N/A</v>
      </c>
      <c r="CB68" s="209">
        <f>(IF(CB$7="X",VLOOKUP(CB$10,'VK-Hooned-Soojus'!$C:$X,2+$C68,FALSE),0)+IF(CB$6="X",VLOOKUP(CB$10,'VK-Transport'!$C:$X,2+$B68,0))+IF(CB$8="X",VLOOKUP(CB$10,'VK-Elekter'!$C:$X,2+$D68,0))+IF(CB$9="X",VLOOKUP(CB$10,'VK-Biokütused'!$C:$U,2+$E68,0))+IF(CB$5="X",VLOOKUP(CB$10,'VK-Põlevkivi'!$C:$X,2+$G68,0))+IF(CB$4="X",VLOOKUP(CB$10,'VK-Võrgud'!$C:$X,2+$F68,0)))/16</f>
        <v>0</v>
      </c>
      <c r="CC68" s="209">
        <f>(IF(CC$7="X",VLOOKUP(CC$10,'VK-Hooned-Soojus'!$C:$X,2+$C68,FALSE),0)+IF(CC$6="X",VLOOKUP(CC$10,'VK-Transport'!$C:$X,2+$B68,0))+IF(CC$8="X",VLOOKUP(CC$10,'VK-Elekter'!$C:$X,2+$D68,0))+IF(CC$9="X",VLOOKUP(CC$10,'VK-Biokütused'!$C:$U,2+$E68,0))+IF(CC$5="X",VLOOKUP(CC$10,'VK-Põlevkivi'!$C:$X,2+$G68,0))+IF(CC$4="X",VLOOKUP(CC$10,'VK-Võrgud'!$C:$X,2+$F68,0)))/16</f>
        <v>0</v>
      </c>
      <c r="CD68" s="209"/>
      <c r="CE68" s="209">
        <f>(IF(CE$7="X",VLOOKUP(CE$10,'VK-Hooned-Soojus'!$C:$X,2+$C68,FALSE),0)+IF(CE$6="X",VLOOKUP(CE$10,'VK-Transport'!$C:$X,2+$B68,0))+IF(CE$8="X",VLOOKUP(CE$10,'VK-Elekter'!$C:$X,2+$D68,0))+IF(CE$9="X",VLOOKUP(CE$10,'VK-Biokütused'!$C:$U,2+$E68,0))+IF(CE$5="X",VLOOKUP(CE$10,'VK-Põlevkivi'!$C:$X,2+$G68,0))+IF(CE$4="X",VLOOKUP(CE$10,'VK-Võrgud'!$C:$X,2+$F68,0)))/16</f>
        <v>24.15625</v>
      </c>
      <c r="CF68" s="209"/>
      <c r="CG68" s="209">
        <f>(IF(CG$7="X",VLOOKUP(CG$10,'VK-Hooned-Soojus'!$C:$X,2+$C68,FALSE),0)+IF(CG$6="X",VLOOKUP(CG$10,'VK-Transport'!$C:$X,2+$B68,0))+IF(CG$8="X",VLOOKUP(CG$10,'VK-Elekter'!$C:$X,2+$D68,0))+IF(CG$9="X",VLOOKUP(CG$10,'VK-Biokütused'!$C:$U,2+$E68,0))+IF(CG$5="X",VLOOKUP(CG$10,'VK-Põlevkivi'!$C:$X,2+$G68,0))+IF(CG$4="X",VLOOKUP(CG$10,'VK-Võrgud'!$C:$X,2+$F68,0)))/16</f>
        <v>0</v>
      </c>
      <c r="CH68" s="209">
        <f>(IF(CH$7="X",VLOOKUP(CH$10,'VK-Hooned-Soojus'!$C:$X,2+$C68,FALSE),0)+IF(CH$6="X",VLOOKUP(CH$10,'VK-Transport'!$C:$X,2+$B68,0))+IF(CH$8="X",VLOOKUP(CH$10,'VK-Elekter'!$C:$X,2+$D68,0))+IF(CH$9="X",VLOOKUP(CH$10,'VK-Biokütused'!$C:$U,2+$E68,0))+IF(CH$5="X",VLOOKUP(CH$10,'VK-Põlevkivi'!$C:$X,2+$G68,0))+IF(CH$4="X",VLOOKUP(CH$10,'VK-Võrgud'!$C:$X,2+$F68,0)))/20*0.21</f>
        <v>5.6122500000000004</v>
      </c>
      <c r="CI68" s="209"/>
      <c r="CJ68" s="209">
        <f>(IF(CJ$7="X",VLOOKUP(CJ$10,'VK-Hooned-Soojus'!$C:$X,2+$C68,FALSE),0)+IF(CJ$6="X",VLOOKUP(CJ$10,'VK-Transport'!$C:$X,2+$B68,0))+IF(CJ$8="X",VLOOKUP(CJ$10,'VK-Elekter'!$C:$X,2+$D68,0))+IF(CJ$9="X",VLOOKUP(CJ$10,'VK-Biokütused'!$C:$U,2+$E68,0))+IF(CJ$5="X",VLOOKUP(CJ$10,'VK-Põlevkivi'!$C:$X,2+$G68,0))+IF(CJ$4="X",VLOOKUP(CJ$10,'VK-Võrgud'!$C:$X,2+$F68,0)))/1000</f>
        <v>23.565999999999999</v>
      </c>
      <c r="CK68" s="209">
        <f>(IF(CK$7="X",VLOOKUP(CK$10,'VK-Hooned-Soojus'!$C:$X,2+$C68,FALSE),0)+IF(CK$6="X",VLOOKUP(CK$10,'VK-Transport'!$C:$X,2+$B68,0))+IF(CK$8="X",VLOOKUP(CK$10,'VK-Elekter'!$C:$X,2+$D68,0))+IF(CK$9="X",VLOOKUP(CK$10,'VK-Biokütused'!$C:$U,2+$E68,0))+IF(CK$5="X",VLOOKUP(CK$10,'VK-Põlevkivi'!$C:$X,2+$G68,0))+IF(CK$4="X",VLOOKUP(CK$10,'VK-Võrgud'!$C:$X,2+$F68,0)))/1000</f>
        <v>39.422916215793229</v>
      </c>
      <c r="CL68" s="209">
        <f>(IF(CL$7="X",VLOOKUP(CL$10,'VK-Hooned-Soojus'!$C:$X,2+$C68,FALSE),0)+IF(CL$6="X",VLOOKUP(CL$10,'VK-Transport'!$C:$X,2+$B68,0))+IF(CL$8="X",VLOOKUP(CL$10,'VK-Elekter'!$C:$X,2+$D68,0))+IF(CL$9="X",VLOOKUP(CL$10,'VK-Biokütused'!$C:$U,2+$E68,0))+IF(CL$5="X",VLOOKUP(CL$10,'VK-Põlevkivi'!$C:$X,2+$G68,0))+IF(CL$4="X",VLOOKUP(CL$10,'VK-Võrgud'!$C:$X,2+$F68,0)))/1000</f>
        <v>12.170289559723789</v>
      </c>
      <c r="CM68" s="209">
        <f>(IF(CM$7="X",VLOOKUP(CM$10,'VK-Hooned-Soojus'!$C:$X,2+$C68,FALSE),0)+IF(CM$6="X",VLOOKUP(CM$10,'VK-Transport'!$C:$X,2+$B68,0))+IF(CM$8="X",VLOOKUP(CM$10,'VK-Elekter'!$C:$X,2+$D68,0))+IF(CM$9="X",VLOOKUP(CM$10,'VK-Biokütused'!$C:$U,2+$E68,0))+IF(CM$5="X",VLOOKUP(CM$10,'VK-Põlevkivi'!$C:$X,2+$G68,0))+IF(CM$4="X",VLOOKUP(CM$10,'VK-Võrgud'!$C:$X,2+$F68,0)))/1000</f>
        <v>8.4909896156049154</v>
      </c>
      <c r="CN68" s="209">
        <f>(IF(CN$7="X",VLOOKUP(CN$10,'VK-Hooned-Soojus'!$C:$X,2+$C68,FALSE),0)+IF(CN$6="X",VLOOKUP(CN$10,'VK-Transport'!$C:$X,2+$B68,0))+IF(CN$8="X",VLOOKUP(CN$10,'VK-Elekter'!$C:$X,2+$D68,0))+IF(CN$9="X",VLOOKUP(CN$10,'VK-Biokütused'!$C:$U,2+$E68,0))+IF(CN$5="X",VLOOKUP(CN$10,'VK-Põlevkivi'!$C:$X,2+$G68,0))+IF(CN$4="X",VLOOKUP(CN$10,'VK-Võrgud'!$C:$X,2+$F68,0)))/1000</f>
        <v>3.1680000000000001</v>
      </c>
      <c r="CO68" s="209">
        <f>(IF(CO$7="X",VLOOKUP(CO$10,'VK-Hooned-Soojus'!$C:$X,2+$C68,FALSE),0)+IF(CO$6="X",VLOOKUP(CO$10,'VK-Transport'!$C:$X,2+$B68,0))+IF(CO$8="X",VLOOKUP(CO$10,'VK-Elekter'!$C:$X,2+$D68,0))+IF(CO$9="X",VLOOKUP(CO$10,'VK-Biokütused'!$C:$U,2+$E68,0))+IF(CO$5="X",VLOOKUP(CO$10,'VK-Põlevkivi'!$C:$X,2+$G68,0))+IF(CO$4="X",VLOOKUP(CO$10,'VK-Võrgud'!$C:$X,2+$F68,0)))/1000</f>
        <v>29.735575210797279</v>
      </c>
      <c r="CP68" s="209">
        <f>(IF(CP$7="X",VLOOKUP(CP$10,'VK-Hooned-Soojus'!$C:$X,2+$C68,FALSE),0)+IF(CP$6="X",VLOOKUP(CP$10,'VK-Transport'!$C:$X,2+$B68,0))+IF(CP$8="X",VLOOKUP(CP$10,'VK-Elekter'!$C:$X,2+$D68,0))+IF(CP$9="X",VLOOKUP(CP$10,'VK-Biokütused'!$C:$U,2+$E68,0))+IF(CP$5="X",VLOOKUP(CP$10,'VK-Põlevkivi'!$C:$X,2+$G68,0))+IF(CP$4="X",VLOOKUP(CP$10,'VK-Võrgud'!$C:$X,2+$F68,0)))/1000</f>
        <v>32.720476724654098</v>
      </c>
      <c r="CQ68" s="209">
        <f>(IF(CQ$7="X",VLOOKUP(CQ$10,'VK-Hooned-Soojus'!$C:$X,2+$C68,FALSE),0)+IF(CQ$6="X",VLOOKUP(CQ$10,'VK-Transport'!$C:$X,2+$B68,0))+IF(CQ$8="X",VLOOKUP(CQ$10,'VK-Elekter'!$C:$X,2+$D68,0))+IF(CQ$9="X",VLOOKUP(CQ$10,'VK-Biokütused'!$C:$U,2+$E68,0))+IF(CQ$5="X",VLOOKUP(CQ$10,'VK-Põlevkivi'!$C:$X,2+$G68,0))+IF(CQ$4="X",VLOOKUP(CQ$10,'VK-Võrgud'!$C:$X,2+$F68,0)))/1000</f>
        <v>17.230345999999997</v>
      </c>
      <c r="CR68" s="209">
        <f>(IF(CR$7="X",VLOOKUP(CR$10,'VK-Hooned-Soojus'!$C:$X,2+$C68,FALSE),0)+IF(CR$6="X",VLOOKUP(CR$10,'VK-Transport'!$C:$X,2+$B68,0))+IF(CR$8="X",VLOOKUP(CR$10,'VK-Elekter'!$C:$X,2+$D68,0))+IF(CR$9="X",VLOOKUP(CR$10,'VK-Biokütused'!$C:$U,2+$E68,0))+IF(CR$5="X",VLOOKUP(CR$10,'VK-Põlevkivi'!$C:$X,2+$G68,0))+IF(CR$4="X",VLOOKUP(CR$10,'VK-Võrgud'!$C:$X,2+$F68,0)))/1000</f>
        <v>8.4070872784575741</v>
      </c>
      <c r="CS68" s="209">
        <f>(IF(CS$7="X",VLOOKUP(CS$10,'VK-Hooned-Soojus'!$C:$X,2+$C68,FALSE),0)+IF(CS$6="X",VLOOKUP(CS$10,'VK-Transport'!$C:$X,2+$B68,0))+IF(CS$8="X",VLOOKUP(CS$10,'VK-Elekter'!$C:$X,2+$D68,0))+IF(CS$9="X",VLOOKUP(CS$10,'VK-Biokütused'!$C:$U,2+$E68,0))+IF(CS$5="X",VLOOKUP(CS$10,'VK-Põlevkivi'!$C:$X,2+$G68,0))+IF(CS$4="X",VLOOKUP(CS$10,'VK-Võrgud'!$C:$X,2+$F68,0)))/1000</f>
        <v>3.8643344900598322</v>
      </c>
      <c r="CT68" s="209">
        <f>IF(CT$7="X",VLOOKUP(CT$10,'VK-Hooned-Soojus'!$C:$X,2+$C68,FALSE),0)+IF(CT$6="X",VLOOKUP(CT$10,'VK-Transport'!$C:$X,2+$B68,0))+IF(CT$8="X",VLOOKUP(CT$10,'VK-Elekter'!$C:$X,2+$D68,0))+IF(CT$9="X",VLOOKUP(CT$10,'VK-Biokütused'!$C:$U,2+$E68,0))+IF(CT$5="X",VLOOKUP(CT$10,'VK-Põlevkivi'!$C:$X,2+$G68,0))+IF(CT$4="X",VLOOKUP(CT$10,'VK-Võrgud'!$C:$X,2+$F68,0))</f>
        <v>90</v>
      </c>
      <c r="CU68" s="209">
        <f>IF(CU$7="X",VLOOKUP(CU$10,'VK-Hooned-Soojus'!$C:$X,2+$C68,FALSE),0)+IF(CU$6="X",VLOOKUP(CU$10,'VK-Transport'!$C:$X,2+$B68,0))+IF(CU$8="X",VLOOKUP(CU$10,'VK-Elekter'!$C:$X,2+$D68,0))+IF(CU$9="X",VLOOKUP(CU$10,'VK-Biokütused'!$C:$U,2+$E68,0))+IF(CU$5="X",VLOOKUP(CU$10,'VK-Põlevkivi'!$C:$X,2+$G68,0))+IF(CU$4="X",VLOOKUP(CU$10,'VK-Võrgud'!$C:$X,2+$F68,0))</f>
        <v>1</v>
      </c>
      <c r="CV68" s="209">
        <f t="shared" si="37"/>
        <v>1</v>
      </c>
      <c r="CW68" s="209">
        <f>(IF(CW$7="X",VLOOKUP(CW$10,'VK-Hooned-Soojus'!$C:$X,2+$C68,FALSE),0)+IF(CW$6="X",VLOOKUP(CW$10,'VK-Transport'!$C:$X,2+$B68,0))+IF(CW$8="X",VLOOKUP(CW$10,'VK-Elekter'!$C:$X,2+$D68,0))+IF(CW$9="X",VLOOKUP(CW$10,'VK-Biokütused'!$C:$U,2+$E68,0))+IF(CW$5="X",VLOOKUP(CW$10,'VK-Põlevkivi'!$C:$X,2+$G68,0))+IF(CW$4="X",VLOOKUP(CW$10,'VK-Võrgud'!$C:$X,2+$F68,0)))/16</f>
        <v>0</v>
      </c>
      <c r="CY68" s="209">
        <f>(IF(CY$7="X",VLOOKUP(CY$10,'VK-Hooned-Soojus'!$C:$X,2+$C68,FALSE),0)+IF(CY$6="X",VLOOKUP(CY$10,'VK-Transport'!$C:$X,2+$B68,0))+IF(CY$8="X",VLOOKUP(CY$10,'VK-Elekter'!$C:$X,2+$D68,0))+IF(CY$9="X",VLOOKUP(CY$10,'VK-Biokütused'!$C:$U,2+$E68,0))+IF(CY$5="X",VLOOKUP(CY$10,'VK-Põlevkivi'!$C:$X,2+$G68,0))+IF(CY$4="X",VLOOKUP(CY$10,'VK-Võrgud'!$C:$X,2+$F68,0)))/1000</f>
        <v>11.936999999999999</v>
      </c>
      <c r="CZ68" s="209">
        <f>(IF(CZ$7="X",VLOOKUP(CZ$10,'VK-Hooned-Soojus'!$C:$X,2+$C68,FALSE),0)+IF(CZ$6="X",VLOOKUP(CZ$10,'VK-Transport'!$C:$X,2+$B68,0))+IF(CZ$8="X",VLOOKUP(CZ$10,'VK-Elekter'!$C:$X,2+$D68,0))+IF(CZ$9="X",VLOOKUP(CZ$10,'VK-Biokütused'!$C:$U,2+$E68,0))+IF(CZ$5="X",VLOOKUP(CZ$10,'VK-Põlevkivi'!$C:$X,2+$G68,0))+IF(CZ$4="X",VLOOKUP(CZ$10,'VK-Võrgud'!$C:$X,2+$F68,0)))</f>
        <v>97</v>
      </c>
      <c r="DA68" s="209">
        <f>(IF(DA$7="X",VLOOKUP(DA$10,'VK-Hooned-Soojus'!$C:$X,2+$C68,FALSE),0)+IF(DA$6="X",VLOOKUP(DA$10,'VK-Transport'!$C:$X,2+$B68,0))+IF(DA$8="X",VLOOKUP(DA$10,'VK-Elekter'!$C:$X,2+$D68,0))+IF(DA$9="X",VLOOKUP(DA$10,'VK-Biokütused'!$C:$U,2+$E68,0))+IF(DA$5="X",VLOOKUP(DA$10,'VK-Põlevkivi'!$C:$X,2+$G68,0))+IF(DA$4="X",VLOOKUP(DA$10,'VK-Võrgud'!$C:$X,2+$F68,0)))/1000</f>
        <v>17.428999999999998</v>
      </c>
      <c r="DB68" s="209">
        <f>(IF(DB$7="X",VLOOKUP(DB$10,'VK-Hooned-Soojus'!$C:$X,2+$C68,FALSE),0)+IF(DB$6="X",VLOOKUP(DB$10,'VK-Transport'!$C:$X,2+$B68,0))+IF(DB$8="X",VLOOKUP(DB$10,'VK-Elekter'!$C:$X,2+$D68,0))+IF(DB$9="X",VLOOKUP(DB$10,'VK-Biokütused'!$C:$U,2+$E68,0))+IF(DB$5="X",VLOOKUP(DB$10,'VK-Põlevkivi'!$C:$X,2+$G68,0))+IF(DB$4="X",VLOOKUP(DB$10,'VK-Võrgud'!$C:$X,2+$F68,0)))/1000/3.6</f>
        <v>139.84055555555554</v>
      </c>
      <c r="DC68" s="209">
        <f>(IF(DC$7="X",VLOOKUP(DC$10,'VK-Hooned-Soojus'!$C:$X,2+$C68,FALSE),0)+IF(DC$6="X",VLOOKUP(DC$10,'VK-Transport'!$C:$X,2+$B68,0))+IF(DC$8="X",VLOOKUP(DC$10,'VK-Elekter'!$C:$X,2+$D68,0))+IF(DC$9="X",VLOOKUP(DC$10,'VK-Biokütused'!$C:$U,2+$E68,0))+IF(DC$5="X",VLOOKUP(DC$10,'VK-Põlevkivi'!$C:$X,2+$G68,0))+IF(DC$4="X",VLOOKUP(DC$10,'VK-Võrgud'!$C:$X,2+$F68,0)))/1000000</f>
        <v>7.6263779999999999</v>
      </c>
      <c r="DD68" s="209"/>
      <c r="DE68" s="88">
        <f>VLOOKUP(Tulemused!$BN$12,data!M$7:N$12,2,FALSE)-SUM(L68,M68)</f>
        <v>-1.9738666666666731</v>
      </c>
      <c r="DF68" s="209" t="str">
        <f>IF(AZ68&lt;=VLOOKUP(Tulemused!$BN$15,data!$E$36:$F$39,2,FALSE),"JAH","EI")</f>
        <v>JAH</v>
      </c>
      <c r="DG68" s="209"/>
      <c r="DH68" s="209">
        <f t="shared" si="38"/>
        <v>6.78</v>
      </c>
      <c r="DI68" s="231" t="str">
        <f t="shared" si="17"/>
        <v>EI</v>
      </c>
      <c r="DK68" s="232">
        <f t="shared" si="39"/>
        <v>-996.27798428481026</v>
      </c>
      <c r="DM68" s="233">
        <f t="shared" si="40"/>
        <v>-994.45204270414263</v>
      </c>
      <c r="DN68" s="87">
        <f t="array" ref="DN68">INDEX($A$11:$A$145, SMALL(IF(DM68=$DK$11:$DK$145, MATCH(ROW($DK$11:$DK$145), ROW($DK$11:$DK$145))), SUM(--(DM68=$DM$11:DM68))))</f>
        <v>11</v>
      </c>
      <c r="DP68" s="87" t="e">
        <f t="shared" ca="1" si="18"/>
        <v>#N/A</v>
      </c>
      <c r="DQ68" s="87" t="e">
        <f t="shared" ca="1" si="19"/>
        <v>#N/A</v>
      </c>
      <c r="DR68" s="87">
        <f t="shared" ca="1" si="20"/>
        <v>0</v>
      </c>
      <c r="DS68" s="87" t="e">
        <f t="shared" ca="1" si="21"/>
        <v>#N/A</v>
      </c>
      <c r="DT68" s="87">
        <f t="shared" ca="1" si="22"/>
        <v>0</v>
      </c>
      <c r="DU68" s="87" t="e">
        <f t="shared" ca="1" si="23"/>
        <v>#N/A</v>
      </c>
      <c r="DV68" s="87" t="e">
        <f t="shared" ca="1" si="24"/>
        <v>#N/A</v>
      </c>
      <c r="DW68" s="87">
        <f t="shared" ca="1" si="25"/>
        <v>0</v>
      </c>
      <c r="DX68" s="87">
        <f t="shared" ca="1" si="26"/>
        <v>0</v>
      </c>
      <c r="DZ68" s="87">
        <f t="shared" ca="1" si="35"/>
        <v>0</v>
      </c>
      <c r="EB68" s="87">
        <f t="shared" ca="1" si="27"/>
        <v>0</v>
      </c>
      <c r="EC68" s="87" t="e">
        <f t="shared" ca="1" si="28"/>
        <v>#N/A</v>
      </c>
      <c r="EE68" s="228">
        <f>(IF(EE$7="X",VLOOKUP(EE$10,'VK-Hooned-Soojus'!$C:$X,2+$C68,FALSE),0)+IF(EE$6="X",VLOOKUP(EE$10,'VK-Transport'!$C:$X,2+$B68,0))+IF(EE$8="X",VLOOKUP(EE$10,'VK-Elekter'!$C:$X,2+$D68,0))+IF(EE$9="X",VLOOKUP(EE$10,'VK-Biokütused'!$C:$U,2+$E68,0))+IF(EE$5="X",VLOOKUP(EE$10,'VK-Põlevkivi'!$C:$X,2+$G68,0))+IF(EE$4="X",VLOOKUP(EE$10,'VK-Võrgud'!$C:$X,2+$F68,0)))</f>
        <v>5298.0170045126688</v>
      </c>
      <c r="EF68" s="209">
        <f>(IF(EF$7="X",VLOOKUP(EF$10,'VK-Hooned-Soojus'!$C:$X,2+$C68,FALSE),0)+IF(EF$6="X",VLOOKUP(EF$10,'VK-Transport'!$C:$X,2+$B68,0))+IF(EF$8="X",VLOOKUP(EF$10,'VK-Elekter'!$C:$X,2+$D68,0))+IF(EF$9="X",VLOOKUP(EF$10,'VK-Biokütused'!$C:$U,2+$E68,0))+IF(EF$5="X",VLOOKUP(EF$10,'VK-Põlevkivi'!$C:$X,2+$G68,0))+IF(EF$4="X",VLOOKUP(EF$10,'VK-Võrgud'!$C:$X,2+$F68,0)))/1000</f>
        <v>9.8583823271229711</v>
      </c>
      <c r="EG68" s="209">
        <f>(IF(EG$7="X",VLOOKUP(EG$10,'VK-Hooned-Soojus'!$C:$X,2+$C68,FALSE),0)+IF(EG$6="X",VLOOKUP(EG$10,'VK-Transport'!$C:$X,2+$B68,0))+IF(EG$8="X",VLOOKUP(EG$10,'VK-Elekter'!$C:$X,2+$D68,0))+IF(EG$9="X",VLOOKUP(EG$10,'VK-Biokütused'!$C:$U,2+$E68,0))+IF(EG$5="X",VLOOKUP(EG$10,'VK-Põlevkivi'!$C:$X,2+$G68,0))+IF(EG$4="X",VLOOKUP(EG$10,'VK-Võrgud'!$C:$X,2+$F68,0)))</f>
        <v>0.81</v>
      </c>
      <c r="EH68" s="209">
        <f>(IF(EH$7="X",VLOOKUP(EH$10,'VK-Hooned-Soojus'!$C:$X,2+$C68,FALSE),0)+IF(EH$6="X",VLOOKUP(EH$10,'VK-Transport'!$C:$X,2+$B68,0))+IF(EH$8="X",VLOOKUP(EH$10,'VK-Elekter'!$C:$X,2+$D68,0))+IF(EH$9="X",VLOOKUP(EH$10,'VK-Biokütused'!$C:$U,2+$E68,0)))+AR68+AS68+AU68+AX68</f>
        <v>93.44083333333333</v>
      </c>
      <c r="EI68" s="320">
        <f t="shared" si="41"/>
        <v>65.012789653214369</v>
      </c>
      <c r="EJ68" s="322">
        <f t="shared" si="42"/>
        <v>2.1300063549572323E-2</v>
      </c>
      <c r="EK68" s="323">
        <f t="shared" si="29"/>
        <v>0.39726251650845218</v>
      </c>
      <c r="EM68" s="209"/>
      <c r="EN68" s="209">
        <f t="shared" ca="1" si="43"/>
        <v>0</v>
      </c>
      <c r="EO68" s="209"/>
      <c r="EP68" s="234"/>
      <c r="EQ68" s="209">
        <f>(IF(EQ$7="X",VLOOKUP(EQ$10,'VK-Hooned-Soojus'!$C:$X,2+$C68,FALSE),0)+IF(EQ$6="X",VLOOKUP(EQ$10,'VK-Transport'!$C:$X,2+$B68,0))+IF(EQ$8="X",VLOOKUP(EQ$10,'VK-Elekter'!$C:$X,2+$D68,0))+IF(EQ$9="X",VLOOKUP(EQ$10,'VK-Biokütused'!$C:$U,2+$E68,0))+IF(EQ$5="X",VLOOKUP(EQ$10,'VK-Põlevkivi'!$C:$X,2+$G68,0))+IF(EQ$4="X",VLOOKUP(EQ$10,'VK-Võrgud'!$C:$X,2+$F68,0)))/1000</f>
        <v>0.22900000000000001</v>
      </c>
      <c r="ER68" s="209">
        <f>(IF(ER$7="X",VLOOKUP(ER$10,'VK-Hooned-Soojus'!$C:$X,2+$C68,FALSE),0)+IF(ER$6="X",VLOOKUP(ER$10,'VK-Transport'!$C:$X,2+$B68,0))+IF(ER$8="X",VLOOKUP(ER$10,'VK-Elekter'!$C:$X,2+$D68,0))+IF(ER$9="X",VLOOKUP(ER$10,'VK-Biokütused'!$C:$U,2+$E68,0))+IF(ER$5="X",VLOOKUP(ER$10,'VK-Põlevkivi'!$C:$X,2+$G68,0))+IF(ER$4="X",VLOOKUP(ER$10,'VK-Võrgud'!$C:$X,2+$F68,0)))</f>
        <v>0.82899999999999996</v>
      </c>
      <c r="ES68" s="209">
        <f>(IF(ES$7="X",VLOOKUP(ES$10,'VK-Hooned-Soojus'!$C:$X,2+$C68,FALSE),0)+IF(ES$6="X",VLOOKUP(ES$10,'VK-Transport'!$C:$X,2+$B68,0))+IF(ES$8="X",VLOOKUP(ES$10,'VK-Elekter'!$C:$X,2+$D68,0))+IF(ES$9="X",VLOOKUP(ES$10,'VK-Biokütused'!$C:$U,2+$E68,0))+IF(ES$5="X",VLOOKUP(ES$10,'VK-Põlevkivi'!$C:$X,2+$G68,0))+IF(ES$4="X",VLOOKUP(ES$10,'VK-Võrgud'!$C:$X,2+$F68,0)))</f>
        <v>6.78</v>
      </c>
      <c r="ET68" s="209"/>
      <c r="EU68" s="209"/>
      <c r="EV68" s="87">
        <f>'KSH järjestus'!AS61</f>
        <v>2088</v>
      </c>
      <c r="EX68" s="236"/>
      <c r="EY68" s="236"/>
      <c r="EZ68" s="237">
        <f t="shared" si="44"/>
        <v>0</v>
      </c>
      <c r="FA68" s="209">
        <f>IF(FA$7="X",VLOOKUP(FA$10,'VK-Hooned-Soojus'!$C:$X,2+$C68,FALSE),0)+IF(FA$6="X",VLOOKUP(FA$10,'VK-Transport'!$C:$X,2+$B68,0))+IF(FA$8="X",VLOOKUP(FA$10,'VK-Elekter'!$C:$X,2+$D68,0))+IF(FA$9="X",VLOOKUP(FA$10,'VK-Biokütused'!$C:$U,2+$E68,0))+IF(FA$5="X",VLOOKUP(FA$10,'VK-Põlevkivi'!$C:$X,2+$G68,0))+IF(FA$4="X",VLOOKUP(FA$10,'VK-Võrgud'!$C:$X,2+$F68,0))</f>
        <v>3123.346</v>
      </c>
      <c r="FB68" s="279">
        <f>(IF(FB$7="X",VLOOKUP(FB$10,'VK-Hooned-Soojus'!$C:$X,2+$C68,FALSE),0)+IF(FB$6="X",VLOOKUP(FB$10,'VK-Transport'!$C:$X,2+$B68,0))+IF(FB$8="X",VLOOKUP(FB$10,'VK-Elekter'!$C:$X,2+$D68,0))+IF(FB$9="X",VLOOKUP(FB$10,'VK-Biokütused'!$C:$U,2+$E68,0))+IF(FB$5="X",VLOOKUP(FB$10,'VK-Põlevkivi'!$C:$X,2+$G68,0))+IF(FB$4="X",VLOOKUP(FB$10,'VK-Võrgud'!$C:$X,2+$F68,0)))/16</f>
        <v>572.33511005809328</v>
      </c>
      <c r="FC68" s="209">
        <f>IF(FC$7="X",VLOOKUP(FC$10,'VK-Hooned-Soojus'!$C:$X,2+$C68,FALSE),0)+IF(FC$6="X",VLOOKUP(FC$10,'VK-Transport'!$C:$X,2+$B68,0))+IF(FC$8="X",VLOOKUP(FC$10,'VK-Elekter'!$C:$X,2+$D68,0))+IF(FC$9="X",VLOOKUP(FC$10,'VK-Biokütused'!$C:$U,2+$E68,0))+IF(FC$5="X",VLOOKUP(FC$10,'VK-Põlevkivi'!$C:$X,2+$G68,0))+IF(FC$4="X",VLOOKUP(FC$10,'VK-Võrgud'!$C:$X,2+$F68,0))</f>
        <v>327.45</v>
      </c>
      <c r="FD68" s="209">
        <f>(IF(FD$7="X",VLOOKUP(FD$10,'VK-Hooned-Soojus'!$C:$X,2+$C68,FALSE),0)+IF(FD$6="X",VLOOKUP(FD$10,'VK-Transport'!$C:$X,2+$B68,0))+IF(FD$8="X",VLOOKUP(FD$10,'VK-Elekter'!$C:$X,2+$D68,0))+IF(FD$9="X",VLOOKUP(FD$10,'VK-Biokütused'!$C:$U,2+$E68,0))+IF(FD$5="X",VLOOKUP(FD$10,'VK-Põlevkivi'!$C:$X,2+$G68,0))+IF(FD$4="X",VLOOKUP(FD$10,'VK-Võrgud'!$C:$X,2+$F68,0)))/16</f>
        <v>572.33511005809328</v>
      </c>
      <c r="FE68" s="209">
        <f>(IF(FE$7="X",VLOOKUP(FE$10,'VK-Hooned-Soojus'!$C:$X,2+$C68,FALSE),0)+IF(FE$6="X",VLOOKUP(FE$10,'VK-Transport'!$C:$X,2+$B68,0))+IF(FE$8="X",VLOOKUP(FE$10,'VK-Elekter'!$C:$X,2+$D68,0))+IF(FE$9="X",VLOOKUP(FE$10,'VK-Biokütused'!$C:$U,2+$E68,0))+IF(FE$5="X",VLOOKUP(FE$10,'VK-Põlevkivi'!$C:$X,2+$G68,0))+IF(FE$4="X",VLOOKUP(FE$10,'VK-Võrgud'!$C:$X,2+$F68,0)))/16</f>
        <v>-25.081250000000001</v>
      </c>
      <c r="FF68" s="209">
        <f>(IF(FF$7="X",VLOOKUP(FF$10,'VK-Hooned-Soojus'!$C:$X,2+$C68,FALSE),0)+IF(FF$6="X",VLOOKUP(FF$10,'VK-Transport'!$C:$X,2+$B68,0))+IF(FF$8="X",VLOOKUP(FF$10,'VK-Elekter'!$C:$X,2+$D68,0))+IF(FF$9="X",VLOOKUP(FF$10,'VK-Biokütused'!$C:$U,2+$E68,0))+IF(FF$5="X",VLOOKUP(FF$10,'VK-Põlevkivi'!$C:$X,2+$G68,0))+IF(FF$4="X",VLOOKUP(FF$10,'VK-Võrgud'!$C:$X,2+$F68,0)))/16</f>
        <v>173.23062986251338</v>
      </c>
      <c r="FG68" s="88">
        <f t="shared" ca="1" si="30"/>
        <v>148.14937986251337</v>
      </c>
      <c r="FH68" s="88"/>
      <c r="FI68" s="88"/>
      <c r="FJ68" s="88">
        <f>VLOOKUP(Tulemused!$BN$12,data!M$7:N$12,2,FALSE)-SUM(L68,M68)</f>
        <v>-1.9738666666666731</v>
      </c>
      <c r="FK68" s="209" t="str">
        <f>IF(AZ68&lt;=VLOOKUP(Tulemused!$BN$15,data!$E$36:$F$39,2,FALSE),"JAH","EI")</f>
        <v>JAH</v>
      </c>
      <c r="FL68" s="235">
        <f ca="1">IF(ISNA(MATCH($A68,INDIRECT(VLOOKUP(Tulemused!$BF$11,data!$J$57:$M$71,4,FALSE)))),0,MATCH($A68,INDIRECT(VLOOKUP(Tulemused!$BF$11,data!$J$57:$M$71,4,FALSE))))</f>
        <v>0</v>
      </c>
      <c r="FM68" s="235" t="str">
        <f t="shared" ca="1" si="45"/>
        <v>JAH</v>
      </c>
      <c r="FN68" s="209">
        <f>VLOOKUP(Tulemused!$BN$13,data!$C$132:$D$137,2,FALSE)-KOMBI!R68</f>
        <v>3.5415876728770304</v>
      </c>
      <c r="FO68" s="209"/>
      <c r="FP68" s="209">
        <f>VLOOKUP(Tulemused!$BN$17,NO_x,2,FALSE)-CJ68</f>
        <v>5.8719999999999999</v>
      </c>
      <c r="FQ68" s="209">
        <f>VLOOKUP(Tulemused!$BN$18,SO_2,2,FALSE)-CK68</f>
        <v>12.461083784206771</v>
      </c>
      <c r="FR68" s="209">
        <f>VLOOKUP(Tulemused!$BN$19,LOU,2,FALSE)-CN68</f>
        <v>33.912000000000006</v>
      </c>
      <c r="FS68" s="209">
        <f>VLOOKUP(Tulemused!$BN$20,PM_2.5,2,FALSE)-CM68</f>
        <v>8.4240103843950838</v>
      </c>
      <c r="FT68" s="209">
        <f>VLOOKUP(Tulemused!$BN$13,data!$C$132:$D$137,2,FALSE)-FA68/1000</f>
        <v>3.1226240000000005</v>
      </c>
      <c r="FU68" s="209">
        <f>VLOOKUP(Tulemused!$BN$17,NO_x,2,FALSE)-CO68</f>
        <v>-0.29757521079728022</v>
      </c>
      <c r="FV68" s="209">
        <f>VLOOKUP(Tulemused!$BN$18,SO_2,2,FALSE)-CP68</f>
        <v>19.163523275345902</v>
      </c>
      <c r="FW68" s="209">
        <f>VLOOKUP(Tulemused!$BN$19,LOU,2,FALSE)-CS68</f>
        <v>33.215665509940173</v>
      </c>
      <c r="FX68" s="209">
        <f>VLOOKUP(Tulemused!$BN$20,PM_2.5,2,FALSE)-CR68</f>
        <v>8.5079127215424251</v>
      </c>
      <c r="FY68" s="209">
        <f>VLOOKUP(Tulemused!$BN$14,KHG_2050,2,FALSE)-EF68</f>
        <v>90.141617672877032</v>
      </c>
      <c r="FZ68" s="231" t="str">
        <f t="shared" ca="1" si="31"/>
        <v>EI</v>
      </c>
      <c r="GA68" s="209"/>
      <c r="GB68" s="209"/>
      <c r="GC68" s="209"/>
      <c r="GD68" s="231"/>
      <c r="GE68" s="87">
        <f t="shared" si="46"/>
        <v>2088</v>
      </c>
      <c r="GF68" s="232" t="str">
        <f t="shared" ca="1" si="32"/>
        <v/>
      </c>
      <c r="GH68" s="238" t="e">
        <f t="shared" ca="1" si="47"/>
        <v>#NUM!</v>
      </c>
      <c r="GI68" s="87" t="e">
        <f t="array" aca="1" ref="GI68" ca="1">INDEX($A$11:$A$145, SMALL(IF(GH68=$GF$11:$GF$145, MATCH(ROW($GF$11:$GF$145), ROW($GF$11:$GF$145))), SUM(--(GH68=$GH$11:GH68))))</f>
        <v>#NUM!</v>
      </c>
      <c r="GM68" s="209">
        <f>IF(GM$7="X",VLOOKUP(GM$10,'VK-Hooned-Soojus'!$C:$X,2+$C68,FALSE),0)+IF(GM$6="X",VLOOKUP(GM$10,'VK-Transport'!$C:$X,2+$B68,0))+IF(GM$8="X",VLOOKUP(GM$10,'VK-Elekter'!$C:$X,2+$D68,0))+IF(GM$9="X",VLOOKUP(GM$10,'VK-Biokütused'!$C:$U,2+$E68,0))+IF(GM$5="X",VLOOKUP(GM$10,'VK-Põlevkivi'!$C:$X,2+$G68,0))+IF(GM$4="X",VLOOKUP(GM$10,'VK-Võrgud'!$C:$X,2+$F68,0))</f>
        <v>11.189888530766083</v>
      </c>
      <c r="GN68" s="209">
        <f>IF(GN$7="X",VLOOKUP(GN$10,'VK-Hooned-Soojus'!$C:$X,2+$C68,FALSE),0)+IF(GN$6="X",VLOOKUP(GN$10,'VK-Transport'!$C:$X,2+$B68,0))+IF(GN$8="X",VLOOKUP(GN$10,'VK-Elekter'!$C:$X,2+$D68,0))+IF(GN$9="X",VLOOKUP(GN$10,'VK-Biokütused'!$C:$U,2+$E68,0))+IF(GN$5="X",VLOOKUP(GN$10,'VK-Põlevkivi'!$C:$X,2+$G68,0))+IF(GN$4="X",VLOOKUP(GN$10,'VK-Võrgud'!$C:$X,2+$F68,0))</f>
        <v>2.9930837725682502</v>
      </c>
      <c r="GO68" s="209">
        <f>IF(GO$7="X",VLOOKUP(GO$10,'VK-Hooned-Soojus'!$C:$X,2+$C68,FALSE),0)+IF(GO$6="X",VLOOKUP(GO$10,'VK-Transport'!$C:$X,2+$B68,0))+IF(GO$8="X",VLOOKUP(GO$10,'VK-Elekter'!$C:$X,2+$D68,0))+IF(GO$9="X",VLOOKUP(GO$10,'VK-Biokütused'!$C:$U,2+$E68,0))+IF(GO$5="X",VLOOKUP(GO$10,'VK-Põlevkivi'!$C:$X,2+$G68,0))+IF(GO$4="X",VLOOKUP(GO$10,'VK-Võrgud'!$C:$X,2+$F68,0))</f>
        <v>8.7471755658278116</v>
      </c>
      <c r="GP68" s="209">
        <f>IF(GP$7="X",VLOOKUP(GP$10,'VK-Hooned-Soojus'!$C:$X,2+$C68,FALSE),0)+IF(GP$6="X",VLOOKUP(GP$10,'VK-Transport'!$C:$X,2+$B68,0))+IF(GP$8="X",VLOOKUP(GP$10,'VK-Elekter'!$C:$X,2+$D68,0))+IF(GP$9="X",VLOOKUP(GP$10,'VK-Biokütused'!$C:$U,2+$E68,0))+IF(GP$5="X",VLOOKUP(GP$10,'VK-Põlevkivi'!$C:$X,2+$G68,0))+IF(GP$4="X",VLOOKUP(GP$10,'VK-Võrgud'!$C:$X,2+$F68,0))</f>
        <v>9.3279335818485372</v>
      </c>
      <c r="GQ68" s="88">
        <f>IF(GQ$7="X",VLOOKUP(GQ$10,'VK-Hooned-Soojus'!$C:$X,2+$C68,FALSE),0)+IF(GQ$6="X",VLOOKUP(GQ$10,'VK-Transport'!$C:$X,2+$B68,0))+IF(GQ$8="X",VLOOKUP(GQ$10,'VK-Elekter'!$C:$X,2+$D68,0))+IF(GQ$9="X",VLOOKUP(GQ$10,'VK-Biokütused'!$C:$U,2+$E68,0))+IF(GQ$5="X",VLOOKUP(GQ$10,'VK-Põlevkivi'!$C:$X,2+$G68,0))+IF(GQ$4="X",VLOOKUP(GQ$10,'VK-Võrgud'!$C:$X,2+$F68,0))</f>
        <v>0.90618397335647782</v>
      </c>
      <c r="GR68" s="186">
        <f t="shared" si="33"/>
        <v>0.38001919156598157</v>
      </c>
    </row>
    <row r="69" spans="1:200" x14ac:dyDescent="0.2">
      <c r="A69" s="184">
        <v>59</v>
      </c>
      <c r="B69" s="87">
        <v>2</v>
      </c>
      <c r="C69" s="87">
        <v>1</v>
      </c>
      <c r="D69" s="87">
        <v>5</v>
      </c>
      <c r="E69" s="87">
        <v>2</v>
      </c>
      <c r="F69" s="87">
        <f>VLOOKUP(Tulemused!$BF$7,data!$J$6:$K$8,2,FALSE)</f>
        <v>2</v>
      </c>
      <c r="G69" s="87">
        <f>VLOOKUP(data!$H$2,data!$J$12:$K$14,2,FALSE)</f>
        <v>2</v>
      </c>
      <c r="I69" s="209">
        <f>IF(I$7="X",VLOOKUP(I$10,'VK-Hooned-Soojus'!$C:$X,2+$C69,FALSE),0)+IF(I$6="X",VLOOKUP(I$10,'VK-Transport'!$C:$X,2+$B69,0))+IF(I$8="X",VLOOKUP(I$10,'VK-Elekter'!$C:$X,2+$D69,0))+IF(I$9="X",VLOOKUP(I$10,'VK-Biokütused'!$C:$U,2+$E69,0))+IF(I$5="X",VLOOKUP(I$10,'VK-Põlevkivi'!$C:$X,2+$G69,0))+IF(I$4="X",VLOOKUP(I$10,'VK-Võrgud'!$C:$X,2+$F69,0))</f>
        <v>26.89</v>
      </c>
      <c r="J69" s="209">
        <f>IF(J$7="X",VLOOKUP(J$10,'VK-Hooned-Soojus'!$C:$X,2+$C69,FALSE),0)+IF(J$6="X",VLOOKUP(J$10,'VK-Transport'!$C:$X,2+$B69,0))+IF(J$8="X",VLOOKUP(J$10,'VK-Elekter'!$C:$X,2+$D69,0))+IF(J$9="X",VLOOKUP(J$10,'VK-Biokütused'!$C:$U,2+$E69,0))+IF(J$5="X",VLOOKUP(J$10,'VK-Põlevkivi'!$C:$X,2+$G69,0))+IF(J$4="X",VLOOKUP(J$10,'VK-Võrgud'!$C:$X,2+$F69,0))</f>
        <v>11.138055555555555</v>
      </c>
      <c r="K69" s="209">
        <f>IF(K$7="X",VLOOKUP(K$10,'VK-Hooned-Soojus'!$C:$X,2+$C69,FALSE),0)+IF(K$6="X",VLOOKUP(K$10,'VK-Transport'!$C:$X,2+$B69,0))+IF(K$8="X",VLOOKUP(K$10,'VK-Elekter'!$C:$X,2+$D69,0))+IF(K$9="X",VLOOKUP(K$10,'VK-Biokütused'!$C:$U,2+$E69,0))+IF(K$5="X",VLOOKUP(K$10,'VK-Põlevkivi'!$C:$X,2+$G69,0))+IF(K$4="X",VLOOKUP(K$10,'VK-Võrgud'!$C:$X,2+$F69,0))</f>
        <v>16.75</v>
      </c>
      <c r="L69" s="209">
        <f>IF(L$7="X",VLOOKUP(L$10,'VK-Hooned-Soojus'!$C:$X,2+$C69,FALSE),0)+IF(L$6="X",VLOOKUP(L$10,'VK-Transport'!$C:$X,2+$B69,0))+IF(L$8="X",VLOOKUP(L$10,'VK-Elekter'!$C:$X,2+$D69,0))+IF(L$9="X",VLOOKUP(L$10,'VK-Biokütused'!$C:$U,2+$E69,0))+IF(L$5="X",VLOOKUP(L$10,'VK-Põlevkivi'!$C:$X,2+$G69,0))+IF(L$4="X",VLOOKUP(L$10,'VK-Võrgud'!$C:$X,2+$F69,0))</f>
        <v>24.95</v>
      </c>
      <c r="M69" s="209">
        <f>IF(M$7="X",VLOOKUP(M$10,'VK-Hooned-Soojus'!$C:$X,2+$C69,FALSE),0)+IF(M$6="X",VLOOKUP(M$10,'VK-Transport'!$C:$X,2+$B69,0))+IF(M$8="X",VLOOKUP(M$10,'VK-Elekter'!$C:$X,2+$D69,0))+IF(M$9="X",VLOOKUP(M$10,'VK-Biokütused'!$C:$U,2+$E69,0))+IF(M$5="X",VLOOKUP(M$10,'VK-Põlevkivi'!$C:$X,2+$G69,0))+IF(M$4="X",VLOOKUP(M$10,'VK-Võrgud'!$C:$X,2+$F69,0))</f>
        <v>9.8566666666666674</v>
      </c>
      <c r="N69" s="209">
        <f>IF(N$7="X",VLOOKUP(N$10,'VK-Hooned-Soojus'!$C:$X,2+$C69,FALSE),0)+IF(N$6="X",VLOOKUP(N$10,'VK-Transport'!$C:$X,2+$B69,0))+IF(N$8="X",VLOOKUP(N$10,'VK-Elekter'!$C:$X,2+$D69,0))+IF(N$9="X",VLOOKUP(N$10,'VK-Biokütused'!$C:$U,2+$E69,0))+IF(N$5="X",VLOOKUP(N$10,'VK-Põlevkivi'!$C:$X,2+$G69,0))+IF(N$4="X",VLOOKUP(N$10,'VK-Võrgud'!$C:$X,2+$F69,0))</f>
        <v>16.75</v>
      </c>
      <c r="O69" s="209">
        <f t="shared" si="13"/>
        <v>38.028055555555554</v>
      </c>
      <c r="P69" s="209"/>
      <c r="Q69" s="209">
        <f>(IF(Q$7="X",VLOOKUP(Q$10,'VK-Hooned-Soojus'!$C:$X,2+$C69,FALSE),0)+IF(Q$6="X",VLOOKUP(Q$10,'VK-Transport'!$C:$X,2+$B69,0))+IF(Q$8="X",VLOOKUP(Q$10,'VK-Elekter'!$C:$X,2+$D69,0))+IF(Q$9="X",VLOOKUP(Q$10,'VK-Biokütused'!$C:$U,2+$E69,0))+IF(Q$5="X",VLOOKUP(Q$10,'VK-Põlevkivi'!$C:$X,2+$G69,0))+IF(Q$4="X",VLOOKUP(Q$10,'VK-Võrgud'!$C:$X,2+$F69,0)))/1000</f>
        <v>6.3289999999999997</v>
      </c>
      <c r="R69" s="209">
        <f>(IF(R$7="X",VLOOKUP(R$10,'VK-Hooned-Soojus'!$C:$X,2+$C69,FALSE),0)+IF(R$6="X",VLOOKUP(R$10,'VK-Transport'!$C:$X,2+$B69,0))+IF(R$8="X",VLOOKUP(R$10,'VK-Elekter'!$C:$X,2+$D69,0))+IF(R$9="X",VLOOKUP(R$10,'VK-Biokütused'!$C:$U,2+$E69,0))+IF(R$5="X",VLOOKUP(R$10,'VK-Põlevkivi'!$C:$X,2+$G69,0))+IF(R$4="X",VLOOKUP(R$10,'VK-Võrgud'!$C:$X,2+$F69,0)))/1000</f>
        <v>3.0818823271229703</v>
      </c>
      <c r="S69" s="226">
        <f>VLOOKUP(S$10,'VK-Hooned-Soojus'!$C:$I,2+$C69,FALSE) + VLOOKUP(S$10,'VK-Transport'!$C:$I,2+$B69,FALSE)+ VLOOKUP(S$10,'VK-Biokütused'!$C:$G,2+$E69,FALSE)+ VLOOKUP(S$10,'VK-Elekter'!$C:$I,2+$D69,FALSE)+ VLOOKUP(S$10,'VK-Põlevkivi'!$C:$I,2+$G69,FALSE)+ VLOOKUP(S$10,'VK-Võrgud'!$C:$I,2+$F69,FALSE)</f>
        <v>2.7244788751705409E-2</v>
      </c>
      <c r="T69" s="226">
        <f>VLOOKUP(T$10,'VK-Hooned-Soojus'!$C:$I,2+$C69,FALSE) + VLOOKUP(T$10,'VK-Transport'!$C:$I,2+$B69,FALSE)+ VLOOKUP(T$10,'VK-Biokütused'!$C:$G,2+$E69,FALSE)+ VLOOKUP(T$10,'VK-Elekter'!$C:$I,2+$D69,FALSE)+ VLOOKUP(T$10,'VK-Põlevkivi'!$C:$I,2+$G69,FALSE)+ VLOOKUP(T$10,'VK-Võrgud'!$C:$I,2+$F69,FALSE)</f>
        <v>7.8466260668220728E-3</v>
      </c>
      <c r="U69" s="226">
        <f>VLOOKUP(U$10,'VK-Hooned-Soojus'!$C:$I,2+$C69,FALSE) + VLOOKUP(U$10,'VK-Transport'!$C:$I,2+$B69,FALSE)+ VLOOKUP(U$10,'VK-Biokütused'!$C:$G,2+$E69,FALSE)+ VLOOKUP(U$10,'VK-Elekter'!$C:$I,2+$D69,FALSE)+ VLOOKUP(U$10,'VK-Põlevkivi'!$C:$I,2+$G69,FALSE)+ VLOOKUP(U$10,'VK-Võrgud'!$C:$I,2+$F69,FALSE)</f>
        <v>1.3776196331756752E-2</v>
      </c>
      <c r="V69" s="226">
        <f>VLOOKUP(V$10,'VK-Hooned-Soojus'!$C:$I,2+$C69,FALSE) + VLOOKUP(V$10,'VK-Transport'!$C:$I,2+$B69,FALSE)+ VLOOKUP(V$10,'VK-Biokütused'!$C:$G,2+$E69,FALSE)+ VLOOKUP(V$10,'VK-Elekter'!$C:$I,2+$D69,FALSE)+ VLOOKUP(V$10,'VK-Põlevkivi'!$C:$I,2+$G69,FALSE)+ VLOOKUP(V$10,'VK-Võrgud'!$C:$I,2+$F69,FALSE)</f>
        <v>1.3798457556470337E-2</v>
      </c>
      <c r="W69" s="226">
        <f>VLOOKUP(W$10,'VK-Hooned-Soojus'!$C:$I,2+$C69,FALSE) + VLOOKUP(W$10,'VK-Transport'!$C:$I,2+$B69,FALSE)+ VLOOKUP(W$10,'VK-Biokütused'!$C:$G,2+$E69,FALSE)+ VLOOKUP(W$10,'VK-Elekter'!$C:$I,2+$D69,FALSE)+ VLOOKUP(W$10,'VK-Põlevkivi'!$C:$I,2+$G69,FALSE)+ VLOOKUP(W$10,'VK-Võrgud'!$C:$I,2+$F69,FALSE)</f>
        <v>-1.7553649583309846E-3</v>
      </c>
      <c r="X69" s="226">
        <f>VLOOKUP(X$10,'VK-Hooned-Soojus'!$C:$I,2+$C69,FALSE) + VLOOKUP(X$10,'VK-Transport'!$C:$I,2+$B69,FALSE)+ VLOOKUP(X$10,'VK-Biokütused'!$C:$G,2+$E69,FALSE)+ VLOOKUP(X$10,'VK-Elekter'!$C:$I,2+$D69,FALSE)+ VLOOKUP(X$10,'VK-Põlevkivi'!$C:$I,2+$G69,FALSE)+ VLOOKUP(X$10,'VK-Võrgud'!$C:$I,2+$F69,FALSE)</f>
        <v>6.8747298660526146E-2</v>
      </c>
      <c r="Y69" s="226">
        <f>VLOOKUP(Y$10,'VK-Hooned-Soojus'!$C:$I,2+$C69,FALSE) + VLOOKUP(Y$10,'VK-Transport'!$C:$I,2+$B69,FALSE)+ VLOOKUP(Y$10,'VK-Biokütused'!$C:$G,2+$E69,FALSE)+ VLOOKUP(Y$10,'VK-Elekter'!$C:$I,2+$D69,FALSE)+ VLOOKUP(Y$10,'VK-Põlevkivi'!$C:$I,2+$G69,FALSE)+ VLOOKUP(Y$10,'VK-Võrgud'!$C:$I,2+$F69,FALSE)</f>
        <v>7.1953869457165004E-2</v>
      </c>
      <c r="Z69" s="227">
        <f>(S69*Tulemused!$Q$9*10+T69*Tulemused!$Q$10*10+KOMBI!U69*Tulemused!$Q$11*10+KOMBI!V69*Tulemused!$Q$12*10)*Tulemused!$Q$8+-(W69*Tulemused!$Q$14*10+KOMBI!X69*Tulemused!$Q$15*10+KOMBI!Y69*Tulemused!$Q$16*10)*Tulemused!$Q$13</f>
        <v>4.63792736383561</v>
      </c>
      <c r="AA69" s="228">
        <f>(IF(AA$7="X",VLOOKUP(AA$10,'VK-Hooned-Soojus'!$C:$X,2+$C69,FALSE),0)+IF(AA$6="X",VLOOKUP(AA$10,'VK-Transport'!$C:$X,2+$B69,0))+IF(AA$8="X",VLOOKUP(AA$10,'VK-Elekter'!$C:$X,2+$D69,0))+IF(AA$9="X",VLOOKUP(AA$10,'VK-Biokütused'!$C:$U,2+$E69,0))+IF(AA$5="X",VLOOKUP(AA$10,'VK-Põlevkivi'!$C:$X,2+$G69,0))+IF(AA$4="X",VLOOKUP(AA$10,'VK-Võrgud'!$C:$X,2+$F69,0)))</f>
        <v>4727</v>
      </c>
      <c r="AB69" s="228">
        <f>(IF(AB$7="X",VLOOKUP(AB$10,'VK-Hooned-Soojus'!$C:$X,2+$C69,FALSE),0)+IF(AB$6="X",VLOOKUP(AB$10,'VK-Transport'!$C:$X,2+$B69,0))+IF(AB$8="X",VLOOKUP(AB$10,'VK-Elekter'!$C:$X,2+$D69,0))+IF(AB$9="X",VLOOKUP(AB$10,'VK-Biokütused'!$C:$U,2+$E69,0))+IF(AB$5="X",VLOOKUP(AB$10,'VK-Põlevkivi'!$C:$X,2+$G69,0))+IF(AB$4="X",VLOOKUP(AB$10,'VK-Võrgud'!$C:$X,2+$F69,0)))</f>
        <v>1602</v>
      </c>
      <c r="AC69" s="228">
        <f>(IF(AC$7="X",VLOOKUP(AC$10,'VK-Hooned-Soojus'!$C:$X,2+$C69,FALSE),0)+IF(AC$6="X",VLOOKUP(AC$10,'VK-Transport'!$C:$X,2+$B69,0))+IF(AC$8="X",VLOOKUP(AC$10,'VK-Elekter'!$C:$X,2+$D69,0))+IF(AC$9="X",VLOOKUP(AC$10,'VK-Biokütused'!$C:$U,2+$E69,0))+IF(AC$5="X",VLOOKUP(AC$10,'VK-Põlevkivi'!$C:$X,2+$G69,0))+IF(AC$4="X",VLOOKUP(AC$10,'VK-Võrgud'!$C:$X,2+$F69,0)))</f>
        <v>2346</v>
      </c>
      <c r="AD69" s="228">
        <f>(IF(AD$7="X",VLOOKUP(AD$10,'VK-Hooned-Soojus'!$C:$X,2+$C69,FALSE),0)+IF(AD$6="X",VLOOKUP(AD$10,'VK-Transport'!$C:$X,2+$B69,0))+IF(AD$8="X",VLOOKUP(AD$10,'VK-Elekter'!$C:$X,2+$D69,0))+IF(AD$9="X",VLOOKUP(AD$10,'VK-Biokütused'!$C:$U,2+$E69,0))+IF(AD$5="X",VLOOKUP(AD$10,'VK-Põlevkivi'!$C:$X,2+$G69,0))+IF(AD$4="X",VLOOKUP(AD$10,'VK-Võrgud'!$C:$X,2+$F69,0)))</f>
        <v>377.5</v>
      </c>
      <c r="AE69" s="228">
        <f>(IF(AE$7="X",VLOOKUP(AE$10,'VK-Hooned-Soojus'!$C:$X,2+$C69,FALSE),0)+IF(AE$6="X",VLOOKUP(AE$10,'VK-Transport'!$C:$X,2+$B69,0))+IF(AE$8="X",VLOOKUP(AE$10,'VK-Elekter'!$C:$X,2+$D69,0))+IF(AE$9="X",VLOOKUP(AE$10,'VK-Biokütused'!$C:$U,2+$E69,0))+IF(AE$5="X",VLOOKUP(AE$10,'VK-Põlevkivi'!$C:$X,2+$G69,0))+IF(AE$4="X",VLOOKUP(AE$10,'VK-Võrgud'!$C:$X,2+$F69,0)))</f>
        <v>812</v>
      </c>
      <c r="AF69" s="228">
        <f>(IF(AF$7="X",VLOOKUP(AF$10,'VK-Hooned-Soojus'!$C:$X,2+$C69,FALSE),0)+IF(AF$6="X",VLOOKUP(AF$10,'VK-Transport'!$C:$X,2+$B69,0))+IF(AF$8="X",VLOOKUP(AF$10,'VK-Elekter'!$C:$X,2+$D69,0))+IF(AF$9="X",VLOOKUP(AF$10,'VK-Biokütused'!$C:$U,2+$E69,0))+IF(AF$5="X",VLOOKUP(AF$10,'VK-Põlevkivi'!$C:$X,2+$G69,0))+IF(AF$4="X",VLOOKUP(AF$10,'VK-Võrgud'!$C:$X,2+$F69,0)))</f>
        <v>1892.3823271229701</v>
      </c>
      <c r="AG69" s="209"/>
      <c r="AH69" s="209">
        <f>IF(AH$7="X",VLOOKUP(AH$10,'VK-Hooned-Soojus'!$C:$X,2+$C69,FALSE),0)+IF(AH$6="X",VLOOKUP(AH$10,'VK-Transport'!$C:$X,2+$B69,0))+IF(AH$8="X",VLOOKUP(AH$10,'VK-Elekter'!$C:$X,2+$D69,0))+IF(AH$9="X",VLOOKUP(AH$10,'VK-Biokütused'!$C:$U,2+$E69,0))+IF(AH$5="X",VLOOKUP(AH$10,'VK-Põlevkivi'!$C:$X,2+$G69,0))+IF(AH$4="X",VLOOKUP(AH$10,'VK-Võrgud'!$C:$X,2+$F69,0))</f>
        <v>17.400000000000002</v>
      </c>
      <c r="AI69" s="209">
        <f>IF(AI$7="X",VLOOKUP(AI$10,'VK-Hooned-Soojus'!$C:$X,2+$C69,FALSE),0)+IF(AI$6="X",VLOOKUP(AI$10,'VK-Transport'!$C:$X,2+$B69,0))+IF(AI$8="X",VLOOKUP(AI$10,'VK-Elekter'!$C:$X,2+$D69,0))+IF(AI$9="X",VLOOKUP(AI$10,'VK-Biokütused'!$C:$U,2+$E69,0))+IF(AI$5="X",VLOOKUP(AI$10,'VK-Põlevkivi'!$C:$X,2+$G69,0))+IF(AI$4="X",VLOOKUP(AI$10,'VK-Võrgud'!$C:$X,2+$F69,0))</f>
        <v>2.3100000000000005</v>
      </c>
      <c r="AJ69" s="209">
        <f>IF(AJ$7="X",VLOOKUP(AJ$10,'VK-Hooned-Soojus'!$C:$X,2+$C69,FALSE),0)+IF(AJ$6="X",VLOOKUP(AJ$10,'VK-Transport'!$C:$X,2+$B69,0))+IF(AJ$8="X",VLOOKUP(AJ$10,'VK-Elekter'!$C:$X,2+$D69,0))+IF(AJ$9="X",VLOOKUP(AJ$10,'VK-Biokütused'!$C:$U,2+$E69,0))+IF(AJ$5="X",VLOOKUP(AJ$10,'VK-Põlevkivi'!$C:$X,2+$G69,0))+IF(AJ$4="X",VLOOKUP(AJ$10,'VK-Võrgud'!$C:$X,2+$F69,0))</f>
        <v>4.59</v>
      </c>
      <c r="AK69" s="209">
        <f>IF(AK$7="X",VLOOKUP(AK$10,'VK-Hooned-Soojus'!$C:$X,2+$C69,FALSE),0)+IF(AK$6="X",VLOOKUP(AK$10,'VK-Transport'!$C:$X,2+$B69,0))+IF(AK$8="X",VLOOKUP(AK$10,'VK-Elekter'!$C:$X,2+$D69,0))+IF(AK$9="X",VLOOKUP(AK$10,'VK-Biokütused'!$C:$U,2+$E69,0))+IF(AK$5="X",VLOOKUP(AK$10,'VK-Põlevkivi'!$C:$X,2+$G69,0))+IF(AK$4="X",VLOOKUP(AK$10,'VK-Võrgud'!$C:$X,2+$F69,0))</f>
        <v>-0.41</v>
      </c>
      <c r="AL69" s="209">
        <f>IF(AL$7="X",VLOOKUP(AL$10,'VK-Hooned-Soojus'!$C:$X,2+$C69,FALSE),0)+IF(AL$6="X",VLOOKUP(AL$10,'VK-Transport'!$C:$X,2+$B69,0))+IF(AL$8="X",VLOOKUP(AL$10,'VK-Elekter'!$C:$X,2+$D69,0))+IF(AL$9="X",VLOOKUP(AL$10,'VK-Biokütused'!$C:$U,2+$E69,0))+IF(AL$5="X",VLOOKUP(AL$10,'VK-Põlevkivi'!$C:$X,2+$G69,0))+IF(AL$4="X",VLOOKUP(AL$10,'VK-Võrgud'!$C:$X,2+$F69,0))</f>
        <v>7.1999999999999993</v>
      </c>
      <c r="AM69" s="209">
        <f>IF(AM$7="X",VLOOKUP(AM$10,'VK-Hooned-Soojus'!$C:$X,2+$C69,FALSE),0)+IF(AM$6="X",VLOOKUP(AM$10,'VK-Transport'!$C:$X,2+$B69,0))+IF(AM$8="X",VLOOKUP(AM$10,'VK-Elekter'!$C:$X,2+$D69,0))+IF(AM$9="X",VLOOKUP(AM$10,'VK-Biokütused'!$C:$U,2+$E69,0))+IF(AM$5="X",VLOOKUP(AM$10,'VK-Põlevkivi'!$C:$X,2+$G69,0))+IF(AM$4="X",VLOOKUP(AM$10,'VK-Võrgud'!$C:$X,2+$F69,0))</f>
        <v>12.9</v>
      </c>
      <c r="AN69" s="209">
        <f>IF(AN$7="X",VLOOKUP(AN$10,'VK-Hooned-Soojus'!$C:$X,2+$C69,FALSE),0)+IF(AN$6="X",VLOOKUP(AN$10,'VK-Transport'!$C:$X,2+$B69,0))+IF(AN$8="X",VLOOKUP(AN$10,'VK-Elekter'!$C:$X,2+$D69,0))+IF(AN$9="X",VLOOKUP(AN$10,'VK-Biokütused'!$C:$U,2+$E69,0))+IF(AN$5="X",VLOOKUP(AN$10,'VK-Põlevkivi'!$C:$X,2+$G69,0))+IF(AN$4="X",VLOOKUP(AN$10,'VK-Võrgud'!$C:$X,2+$F69,0))</f>
        <v>5.6999999999999993</v>
      </c>
      <c r="AO69" s="209">
        <f>IF(AO$7="X",VLOOKUP(AO$10,'VK-Hooned-Soojus'!$C:$X,2+$C69,FALSE),0)+IF(AO$6="X",VLOOKUP(AO$10,'VK-Transport'!$C:$X,2+$B69,0))+IF(AO$8="X",VLOOKUP(AO$10,'VK-Elekter'!$C:$X,2+$D69,0))+IF(AO$9="X",VLOOKUP(AO$10,'VK-Biokütused'!$C:$U,2+$E69,0))+IF(AO$5="X",VLOOKUP(AO$10,'VK-Põlevkivi'!$C:$X,2+$G69,0))+IF(AO$4="X",VLOOKUP(AO$10,'VK-Võrgud'!$C:$X,2+$F69,0))</f>
        <v>13.56</v>
      </c>
      <c r="AP69" s="209">
        <f>IF(AP$7="X",VLOOKUP(AP$10,'VK-Hooned-Soojus'!$C:$X,2+$C69,FALSE),0)+IF(AP$6="X",VLOOKUP(AP$10,'VK-Transport'!$C:$X,2+$B69,0))+IF(AP$8="X",VLOOKUP(AP$10,'VK-Elekter'!$C:$X,2+$D69,0))+IF(AP$9="X",VLOOKUP(AP$10,'VK-Biokütused'!$C:$U,2+$E69,0))+IF(AP$5="X",VLOOKUP(AP$10,'VK-Põlevkivi'!$C:$X,2+$G69,0))+IF(AP$4="X",VLOOKUP(AP$10,'VK-Võrgud'!$C:$X,2+$F69,0))</f>
        <v>6.78</v>
      </c>
      <c r="AQ69" s="320">
        <f t="shared" si="14"/>
        <v>1.2599999999999998</v>
      </c>
      <c r="AR69" s="209">
        <f>IF(AR$7="X",VLOOKUP(AR$10,'VK-Hooned-Soojus'!$C:$X,2+$C69,FALSE),0)+IF(AR$6="X",VLOOKUP(AR$10,'VK-Transport'!$C:$X,2+$B69,0))+IF(AR$8="X",VLOOKUP(AR$10,'VK-Elekter'!$C:$X,2+$D69,0))+IF(AR$9="X",VLOOKUP(AR$10,'VK-Biokütused'!$C:$U,2+$E69,0))+IF(AR$5="X",VLOOKUP(AR$10,'VK-Põlevkivi'!$C:$X,2+$G69,0))+IF(AR$4="X",VLOOKUP(AR$10,'VK-Võrgud'!$C:$X,2+$F69,0))</f>
        <v>13.909999999999998</v>
      </c>
      <c r="AS69" s="235">
        <f>'VK-Põlevkivi'!$F$8-AR69-AU69</f>
        <v>14.198622986547708</v>
      </c>
      <c r="AT69" s="209">
        <f>IF(AT$7="X",VLOOKUP(AT$10,'VK-Hooned-Soojus'!$C:$X,2+$C69,FALSE),0)+IF(AT$6="X",VLOOKUP(AT$10,'VK-Transport'!$C:$X,2+$B69,0))+IF(AT$8="X",VLOOKUP(AT$10,'VK-Elekter'!$C:$X,2+$D69,0))+IF(AT$9="X",VLOOKUP(AT$10,'VK-Biokütused'!$C:$U,2+$E69,0))+IF(AT$5="X",VLOOKUP(AT$10,'VK-Põlevkivi'!$C:$X,2+$G69,0))+IF(AT$4="X",VLOOKUP(AT$10,'VK-Võrgud'!$C:$X,2+$F69,0))</f>
        <v>9.2784458909544707</v>
      </c>
      <c r="AU69" s="235">
        <f>'VK-Põlevkivi'!$F$9-VLOOKUP("Kütuste tarbimine @ 2030 - PÕLEVKIVIÕLI",'VK-Hooned-Soojus'!$C:$X,2+$C69,FALSE)</f>
        <v>28.428043680118964</v>
      </c>
      <c r="AV69" s="209">
        <f>IF(AV$7="X",VLOOKUP(AV$10,'VK-Hooned-Soojus'!$C:$X,2+$C69,FALSE),0)+IF(AV$6="X",VLOOKUP(AV$10,'VK-Transport'!$C:$X,2+$B69,0))+IF(AV$8="X",VLOOKUP(AV$10,'VK-Elekter'!$C:$X,2+$D69,0))+IF(AV$9="X",VLOOKUP(AV$10,'VK-Biokütused'!$C:$U,2+$E69,0))+IF(AV$5="X",VLOOKUP(AV$10,'VK-Põlevkivi'!$C:$X,2+$G69,0))+IF(AV$4="X",VLOOKUP(AV$10,'VK-Võrgud'!$C:$X,2+$F69,0))</f>
        <v>1.7257321590343366</v>
      </c>
      <c r="AW69" s="209">
        <f>IF(AW$7="X",VLOOKUP(AW$10,'VK-Hooned-Soojus'!$C:$X,2+$C69,FALSE),0)+IF(AW$6="X",VLOOKUP(AW$10,'VK-Transport'!$C:$X,2+$B69,0))+IF(AW$8="X",VLOOKUP(AW$10,'VK-Elekter'!$C:$X,2+$D69,0))+IF(AW$9="X",VLOOKUP(AW$10,'VK-Biokütused'!$C:$U,2+$E69,0))+IF(AW$5="X",VLOOKUP(AW$10,'VK-Põlevkivi'!$C:$X,2+$G69,0))+IF(AW$4="X",VLOOKUP(AW$10,'VK-Võrgud'!$C:$X,2+$F69,0))</f>
        <v>2.141</v>
      </c>
      <c r="AX69" s="229">
        <f t="shared" si="34"/>
        <v>0.41526784096566338</v>
      </c>
      <c r="AY69" s="229">
        <f t="shared" si="15"/>
        <v>0</v>
      </c>
      <c r="AZ69" s="230">
        <f t="shared" si="36"/>
        <v>0.32037459093904097</v>
      </c>
      <c r="BA69" s="209">
        <f>IF(BA$7="X",VLOOKUP(BA$10,'VK-Hooned-Soojus'!$C:$X,2+$C69,FALSE),0)+IF(BA$6="X",VLOOKUP(BA$10,'VK-Transport'!$C:$X,2+$B69,0))+IF(BA$8="X",VLOOKUP(BA$10,'VK-Elekter'!$C:$X,2+$D69,0))+IF(BA$9="X",VLOOKUP(BA$10,'VK-Biokütused'!$C:$U,2+$E69,0))+IF(BA$5="X",VLOOKUP(BA$10,'VK-Põlevkivi'!$C:$X,2+$G69,0))+IF(BA$4="X",VLOOKUP(BA$10,'VK-Võrgud'!$C:$X,2+$F69,0))</f>
        <v>7.41</v>
      </c>
      <c r="BB69" s="209">
        <f>IF(BB$7="X",VLOOKUP(BB$10,'VK-Hooned-Soojus'!$C:$X,2+$C69,FALSE),0)+IF(BB$6="X",VLOOKUP(BB$10,'VK-Transport'!$C:$X,2+$B69,0))+IF(BB$8="X",VLOOKUP(BB$10,'VK-Elekter'!$C:$X,2+$D69,0))+IF(BB$9="X",VLOOKUP(BB$10,'VK-Biokütused'!$C:$U,2+$E69,0))+IF(BB$5="X",VLOOKUP(BB$10,'VK-Põlevkivi'!$C:$X,2+$G69,0))+IF(BB$4="X",VLOOKUP(BB$10,'VK-Võrgud'!$C:$X,2+$F69,0))</f>
        <v>2.96</v>
      </c>
      <c r="BC69" s="209">
        <f>IF(BC$7="X",VLOOKUP(BC$10,'VK-Hooned-Soojus'!$C:$X,2+$C69,FALSE),0)+IF(BC$6="X",VLOOKUP(BC$10,'VK-Transport'!$C:$X,2+$B69,0))+IF(BC$8="X",VLOOKUP(BC$10,'VK-Elekter'!$C:$X,2+$D69,0))+IF(BC$9="X",VLOOKUP(BC$10,'VK-Biokütused'!$C:$U,2+$E69,0))+IF(BC$5="X",VLOOKUP(BC$10,'VK-Põlevkivi'!$C:$X,2+$G69,0))+IF(BC$4="X",VLOOKUP(BC$10,'VK-Võrgud'!$C:$X,2+$F69,0))</f>
        <v>8.0523611111111126</v>
      </c>
      <c r="BD69" s="209">
        <f>IF(BD$7="X",VLOOKUP(BD$10,'VK-Hooned-Soojus'!$C:$X,2+$C69,FALSE),0)+IF(BD$6="X",VLOOKUP(BD$10,'VK-Transport'!$C:$X,2+$B69,0))+IF(BD$8="X",VLOOKUP(BD$10,'VK-Elekter'!$C:$X,2+$D69,0))+IF(BD$9="X",VLOOKUP(BD$10,'VK-Biokütused'!$C:$U,2+$E69,0))+IF(BD$5="X",VLOOKUP(BD$10,'VK-Põlevkivi'!$C:$X,2+$G69,0))+IF(BD$4="X",VLOOKUP(BD$10,'VK-Võrgud'!$C:$X,2+$F69,0))</f>
        <v>10.42138888888889</v>
      </c>
      <c r="BE69" s="230"/>
      <c r="BF69" s="229">
        <f t="shared" si="16"/>
        <v>0.26049846883007888</v>
      </c>
      <c r="BG69" s="209" t="e">
        <f>(IF(BG$7="X",VLOOKUP(BG$10,'VK-Hooned-Soojus'!$C:$X,2+$C69,FALSE),0)+IF(BG$6="X",VLOOKUP(BG$10,'VK-Transport'!$C:$X,2+$B69,0))+IF(BG$8="X",VLOOKUP(BG$10,'VK-Elekter'!$C:$X,2+$D69,0))+IF(BG$9="X",VLOOKUP(BG$10,'VK-Biokütused'!$C:$U,2+$E69,0))+IF(BG$5="X",VLOOKUP(BG$10,'VK-Põlevkivi'!$C:$X,2+$G69,0))+IF(BG$4="X",VLOOKUP(BG$10,'VK-Võrgud'!$C:$X,2+$F69,0)))/20</f>
        <v>#N/A</v>
      </c>
      <c r="BH69" s="209">
        <f>(IF(BH$7="X",VLOOKUP(BH$10,'VK-Hooned-Soojus'!$C:$X,2+$C69,FALSE),0)+IF(BH$6="X",VLOOKUP(BH$10,'VK-Transport'!$C:$X,2+$B69,0))+IF(BH$8="X",VLOOKUP(BH$10,'VK-Elekter'!$C:$X,2+$D69,0))+IF(BH$9="X",VLOOKUP(BH$10,'VK-Biokütused'!$C:$U,2+$E69,0))+IF(BH$5="X",VLOOKUP(BH$10,'VK-Põlevkivi'!$C:$X,2+$G69,0))+IF(BH$4="X",VLOOKUP(BH$10,'VK-Võrgud'!$C:$X,2+$F69,0)))/20</f>
        <v>13.99</v>
      </c>
      <c r="BI69" s="209">
        <f>(IF(BI$7="X",VLOOKUP(BI$10,'VK-Hooned-Soojus'!$C:$X,2+$C69,FALSE),0)+IF(BI$6="X",VLOOKUP(BI$10,'VK-Transport'!$C:$X,2+$B69,0))+IF(BI$8="X",VLOOKUP(BI$10,'VK-Elekter'!$C:$X,2+$D69,0))+IF(BI$9="X",VLOOKUP(BI$10,'VK-Biokütused'!$C:$U,2+$E69,0))+IF(BI$5="X",VLOOKUP(BI$10,'VK-Põlevkivi'!$C:$X,2+$G69,0))+IF(BI$4="X",VLOOKUP(BI$10,'VK-Võrgud'!$C:$X,2+$F69,0)))/16</f>
        <v>17.75</v>
      </c>
      <c r="BJ69" s="209">
        <f>(IF(BJ$7="X",VLOOKUP(BJ$10,'VK-Hooned-Soojus'!$C:$X,2+$C69,FALSE),0)+IF(BJ$6="X",VLOOKUP(BJ$10,'VK-Transport'!$C:$X,2+$B69,0))+IF(BJ$8="X",VLOOKUP(BJ$10,'VK-Elekter'!$C:$X,2+$D69,0))+IF(BJ$9="X",VLOOKUP(BJ$10,'VK-Biokütused'!$C:$U,2+$E69,0))+IF(BJ$5="X",VLOOKUP(BJ$10,'VK-Põlevkivi'!$C:$X,2+$G69,0))+IF(BJ$4="X",VLOOKUP(BJ$10,'VK-Võrgud'!$C:$X,2+$F69,0)))/20</f>
        <v>1.85</v>
      </c>
      <c r="BK69" s="209"/>
      <c r="BL69" s="209"/>
      <c r="BM69" s="209"/>
      <c r="BN69" s="209" t="e">
        <f>(IF(BN$7="X",VLOOKUP(BN$10,'VK-Hooned-Soojus'!$C:$X,2+$C69,FALSE),0)+IF(BN$6="X",VLOOKUP(BN$10,'VK-Transport'!$C:$X,2+$B69,0))+IF(BN$8="X",VLOOKUP(BN$10,'VK-Elekter'!$C:$X,2+$D69,0))+IF(BN$9="X",VLOOKUP(BN$10,'VK-Biokütused'!$C:$U,2+$E69,0))+IF(BN$5="X",VLOOKUP(BN$10,'VK-Põlevkivi'!$C:$X,2+$G69,0))+IF(BN$4="X",VLOOKUP(BN$10,'VK-Võrgud'!$C:$X,2+$F69,0)))/16</f>
        <v>#N/A</v>
      </c>
      <c r="BO69" s="209">
        <f>(IF(BO$7="X",VLOOKUP(BO$10,'VK-Hooned-Soojus'!$C:$X,2+$C69,FALSE),0)+IF(BO$6="X",VLOOKUP(BO$10,'VK-Transport'!$C:$X,2+$B69,0))+IF(BO$8="X",VLOOKUP(BO$10,'VK-Elekter'!$C:$X,2+$D69,0))+IF(BO$9="X",VLOOKUP(BO$10,'VK-Biokütused'!$C:$U,2+$E69,0))+IF(BO$5="X",VLOOKUP(BO$10,'VK-Põlevkivi'!$C:$X,2+$G69,0))+IF(BO$4="X",VLOOKUP(BO$10,'VK-Võrgud'!$C:$X,2+$F69,0)))/16</f>
        <v>405.45</v>
      </c>
      <c r="BP69" s="209"/>
      <c r="BQ69" s="209">
        <f>(IF(BQ$7="X",VLOOKUP(BQ$10,'VK-Hooned-Soojus'!$C:$X,2+$C69,FALSE),0)+IF(BQ$6="X",VLOOKUP(BQ$10,'VK-Transport'!$C:$X,2+$B69,0))+IF(BQ$8="X",VLOOKUP(BQ$10,'VK-Elekter'!$C:$X,2+$D69,0))+IF(BQ$9="X",VLOOKUP(BQ$10,'VK-Biokütused'!$C:$U,2+$E69,0))+IF(BQ$5="X",VLOOKUP(BQ$10,'VK-Põlevkivi'!$C:$X,2+$G69,0))+IF(BQ$4="X",VLOOKUP(BQ$10,'VK-Võrgud'!$C:$X,2+$F69,0)))/16</f>
        <v>127.6</v>
      </c>
      <c r="BR69" s="209">
        <f>(IF(BR$7="X",VLOOKUP(BR$10,'VK-Hooned-Soojus'!$C:$X,2+$C69,FALSE),0)+IF(BR$6="X",VLOOKUP(BR$10,'VK-Transport'!$C:$X,2+$B69,0))+IF(BR$8="X",VLOOKUP(BR$10,'VK-Elekter'!$C:$X,2+$D69,0))+IF(BR$9="X",VLOOKUP(BR$10,'VK-Biokütused'!$C:$U,2+$E69,0))+IF(BR$5="X",VLOOKUP(BR$10,'VK-Põlevkivi'!$C:$X,2+$G69,0))+IF(BR$4="X",VLOOKUP(BR$10,'VK-Võrgud'!$C:$X,2+$F69,0)))/16</f>
        <v>27.475000000000001</v>
      </c>
      <c r="BS69" s="209">
        <f>(IF(BS$7="X",VLOOKUP(BS$10,'VK-Hooned-Soojus'!$C:$X,2+$C69,FALSE),0)+IF(BS$6="X",VLOOKUP(BS$10,'VK-Transport'!$C:$X,2+$B69,0))+IF(BS$8="X",VLOOKUP(BS$10,'VK-Elekter'!$C:$X,2+$D69,0))+IF(BS$9="X",VLOOKUP(BS$10,'VK-Biokütused'!$C:$U,2+$E69,0))+IF(BS$5="X",VLOOKUP(BS$10,'VK-Põlevkivi'!$C:$X,2+$G69,0))+IF(BS$4="X",VLOOKUP(BS$10,'VK-Võrgud'!$C:$X,2+$F69,0)))/16</f>
        <v>-23.293749999999999</v>
      </c>
      <c r="BT69" s="209"/>
      <c r="BU69" s="209"/>
      <c r="BV69" s="209">
        <f>(IF(BV$7="X",VLOOKUP(BV$10,'VK-Hooned-Soojus'!$C:$X,2+$C69,FALSE),0)+IF(BV$6="X",VLOOKUP(BV$10,'VK-Transport'!$C:$X,2+$B69,0))+IF(BV$8="X",VLOOKUP(BV$10,'VK-Elekter'!$C:$X,2+$D69,0))+IF(BV$9="X",VLOOKUP(BV$10,'VK-Biokütused'!$C:$U,2+$E69,0))+IF(BV$5="X",VLOOKUP(BV$10,'VK-Põlevkivi'!$C:$X,2+$G69,0))+IF(BV$4="X",VLOOKUP(BV$10,'VK-Võrgud'!$C:$X,2+$F69,0)))/16</f>
        <v>0</v>
      </c>
      <c r="BW69" s="209"/>
      <c r="BX69" s="209">
        <f>(IF(BX$7="X",VLOOKUP(BX$10,'VK-Hooned-Soojus'!$C:$X,2+$C69,FALSE),0)+IF(BX$6="X",VLOOKUP(BX$10,'VK-Transport'!$C:$X,2+$B69,0))+IF(BX$8="X",VLOOKUP(BX$10,'VK-Elekter'!$C:$X,2+$D69,0))+IF(BX$9="X",VLOOKUP(BX$10,'VK-Biokütused'!$C:$U,2+$E69,0))+IF(BX$5="X",VLOOKUP(BX$10,'VK-Põlevkivi'!$C:$X,2+$G69,0))+IF(BX$4="X",VLOOKUP(BX$10,'VK-Võrgud'!$C:$X,2+$F69,0)))/16</f>
        <v>-145.125</v>
      </c>
      <c r="BY69" s="209"/>
      <c r="BZ69" s="209"/>
      <c r="CA69" s="209" t="e">
        <f>(IF(CA$7="X",VLOOKUP(CA$10,'VK-Hooned-Soojus'!$C:$X,2+$C69,FALSE),0)+IF(CA$6="X",VLOOKUP(CA$10,'VK-Transport'!$C:$X,2+$B69,0))+IF(CA$8="X",VLOOKUP(CA$10,'VK-Elekter'!$C:$X,2+$D69,0))+IF(CA$9="X",VLOOKUP(CA$10,'VK-Biokütused'!$C:$U,2+$E69,0))+IF(CA$5="X",VLOOKUP(CA$10,'VK-Põlevkivi'!$C:$X,2+$G69,0))+IF(CA$4="X",VLOOKUP(CA$10,'VK-Võrgud'!$C:$X,2+$F69,0)))/16</f>
        <v>#N/A</v>
      </c>
      <c r="CB69" s="209">
        <f>(IF(CB$7="X",VLOOKUP(CB$10,'VK-Hooned-Soojus'!$C:$X,2+$C69,FALSE),0)+IF(CB$6="X",VLOOKUP(CB$10,'VK-Transport'!$C:$X,2+$B69,0))+IF(CB$8="X",VLOOKUP(CB$10,'VK-Elekter'!$C:$X,2+$D69,0))+IF(CB$9="X",VLOOKUP(CB$10,'VK-Biokütused'!$C:$U,2+$E69,0))+IF(CB$5="X",VLOOKUP(CB$10,'VK-Põlevkivi'!$C:$X,2+$G69,0))+IF(CB$4="X",VLOOKUP(CB$10,'VK-Võrgud'!$C:$X,2+$F69,0)))/16</f>
        <v>0</v>
      </c>
      <c r="CC69" s="209">
        <f>(IF(CC$7="X",VLOOKUP(CC$10,'VK-Hooned-Soojus'!$C:$X,2+$C69,FALSE),0)+IF(CC$6="X",VLOOKUP(CC$10,'VK-Transport'!$C:$X,2+$B69,0))+IF(CC$8="X",VLOOKUP(CC$10,'VK-Elekter'!$C:$X,2+$D69,0))+IF(CC$9="X",VLOOKUP(CC$10,'VK-Biokütused'!$C:$U,2+$E69,0))+IF(CC$5="X",VLOOKUP(CC$10,'VK-Põlevkivi'!$C:$X,2+$G69,0))+IF(CC$4="X",VLOOKUP(CC$10,'VK-Võrgud'!$C:$X,2+$F69,0)))/16</f>
        <v>0</v>
      </c>
      <c r="CD69" s="209"/>
      <c r="CE69" s="209">
        <f>(IF(CE$7="X",VLOOKUP(CE$10,'VK-Hooned-Soojus'!$C:$X,2+$C69,FALSE),0)+IF(CE$6="X",VLOOKUP(CE$10,'VK-Transport'!$C:$X,2+$B69,0))+IF(CE$8="X",VLOOKUP(CE$10,'VK-Elekter'!$C:$X,2+$D69,0))+IF(CE$9="X",VLOOKUP(CE$10,'VK-Biokütused'!$C:$U,2+$E69,0))+IF(CE$5="X",VLOOKUP(CE$10,'VK-Põlevkivi'!$C:$X,2+$G69,0))+IF(CE$4="X",VLOOKUP(CE$10,'VK-Võrgud'!$C:$X,2+$F69,0)))/16</f>
        <v>24.15625</v>
      </c>
      <c r="CF69" s="209"/>
      <c r="CG69" s="209">
        <f>(IF(CG$7="X",VLOOKUP(CG$10,'VK-Hooned-Soojus'!$C:$X,2+$C69,FALSE),0)+IF(CG$6="X",VLOOKUP(CG$10,'VK-Transport'!$C:$X,2+$B69,0))+IF(CG$8="X",VLOOKUP(CG$10,'VK-Elekter'!$C:$X,2+$D69,0))+IF(CG$9="X",VLOOKUP(CG$10,'VK-Biokütused'!$C:$U,2+$E69,0))+IF(CG$5="X",VLOOKUP(CG$10,'VK-Põlevkivi'!$C:$X,2+$G69,0))+IF(CG$4="X",VLOOKUP(CG$10,'VK-Võrgud'!$C:$X,2+$F69,0)))/16</f>
        <v>0</v>
      </c>
      <c r="CH69" s="209">
        <f>(IF(CH$7="X",VLOOKUP(CH$10,'VK-Hooned-Soojus'!$C:$X,2+$C69,FALSE),0)+IF(CH$6="X",VLOOKUP(CH$10,'VK-Transport'!$C:$X,2+$B69,0))+IF(CH$8="X",VLOOKUP(CH$10,'VK-Elekter'!$C:$X,2+$D69,0))+IF(CH$9="X",VLOOKUP(CH$10,'VK-Biokütused'!$C:$U,2+$E69,0))+IF(CH$5="X",VLOOKUP(CH$10,'VK-Põlevkivi'!$C:$X,2+$G69,0))+IF(CH$4="X",VLOOKUP(CH$10,'VK-Võrgud'!$C:$X,2+$F69,0)))/20*0.21</f>
        <v>5.6122500000000004</v>
      </c>
      <c r="CI69" s="209"/>
      <c r="CJ69" s="209">
        <f>(IF(CJ$7="X",VLOOKUP(CJ$10,'VK-Hooned-Soojus'!$C:$X,2+$C69,FALSE),0)+IF(CJ$6="X",VLOOKUP(CJ$10,'VK-Transport'!$C:$X,2+$B69,0))+IF(CJ$8="X",VLOOKUP(CJ$10,'VK-Elekter'!$C:$X,2+$D69,0))+IF(CJ$9="X",VLOOKUP(CJ$10,'VK-Biokütused'!$C:$U,2+$E69,0))+IF(CJ$5="X",VLOOKUP(CJ$10,'VK-Põlevkivi'!$C:$X,2+$G69,0))+IF(CJ$4="X",VLOOKUP(CJ$10,'VK-Võrgud'!$C:$X,2+$F69,0)))/1000</f>
        <v>23.565999999999999</v>
      </c>
      <c r="CK69" s="209">
        <f>(IF(CK$7="X",VLOOKUP(CK$10,'VK-Hooned-Soojus'!$C:$X,2+$C69,FALSE),0)+IF(CK$6="X",VLOOKUP(CK$10,'VK-Transport'!$C:$X,2+$B69,0))+IF(CK$8="X",VLOOKUP(CK$10,'VK-Elekter'!$C:$X,2+$D69,0))+IF(CK$9="X",VLOOKUP(CK$10,'VK-Biokütused'!$C:$U,2+$E69,0))+IF(CK$5="X",VLOOKUP(CK$10,'VK-Põlevkivi'!$C:$X,2+$G69,0))+IF(CK$4="X",VLOOKUP(CK$10,'VK-Võrgud'!$C:$X,2+$F69,0)))/1000</f>
        <v>39.422916215793229</v>
      </c>
      <c r="CL69" s="209">
        <f>(IF(CL$7="X",VLOOKUP(CL$10,'VK-Hooned-Soojus'!$C:$X,2+$C69,FALSE),0)+IF(CL$6="X",VLOOKUP(CL$10,'VK-Transport'!$C:$X,2+$B69,0))+IF(CL$8="X",VLOOKUP(CL$10,'VK-Elekter'!$C:$X,2+$D69,0))+IF(CL$9="X",VLOOKUP(CL$10,'VK-Biokütused'!$C:$U,2+$E69,0))+IF(CL$5="X",VLOOKUP(CL$10,'VK-Põlevkivi'!$C:$X,2+$G69,0))+IF(CL$4="X",VLOOKUP(CL$10,'VK-Võrgud'!$C:$X,2+$F69,0)))/1000</f>
        <v>12.170289559723789</v>
      </c>
      <c r="CM69" s="209">
        <f>(IF(CM$7="X",VLOOKUP(CM$10,'VK-Hooned-Soojus'!$C:$X,2+$C69,FALSE),0)+IF(CM$6="X",VLOOKUP(CM$10,'VK-Transport'!$C:$X,2+$B69,0))+IF(CM$8="X",VLOOKUP(CM$10,'VK-Elekter'!$C:$X,2+$D69,0))+IF(CM$9="X",VLOOKUP(CM$10,'VK-Biokütused'!$C:$U,2+$E69,0))+IF(CM$5="X",VLOOKUP(CM$10,'VK-Põlevkivi'!$C:$X,2+$G69,0))+IF(CM$4="X",VLOOKUP(CM$10,'VK-Võrgud'!$C:$X,2+$F69,0)))/1000</f>
        <v>8.4909896156049154</v>
      </c>
      <c r="CN69" s="209">
        <f>(IF(CN$7="X",VLOOKUP(CN$10,'VK-Hooned-Soojus'!$C:$X,2+$C69,FALSE),0)+IF(CN$6="X",VLOOKUP(CN$10,'VK-Transport'!$C:$X,2+$B69,0))+IF(CN$8="X",VLOOKUP(CN$10,'VK-Elekter'!$C:$X,2+$D69,0))+IF(CN$9="X",VLOOKUP(CN$10,'VK-Biokütused'!$C:$U,2+$E69,0))+IF(CN$5="X",VLOOKUP(CN$10,'VK-Põlevkivi'!$C:$X,2+$G69,0))+IF(CN$4="X",VLOOKUP(CN$10,'VK-Võrgud'!$C:$X,2+$F69,0)))/1000</f>
        <v>3.1680000000000001</v>
      </c>
      <c r="CO69" s="209">
        <f>(IF(CO$7="X",VLOOKUP(CO$10,'VK-Hooned-Soojus'!$C:$X,2+$C69,FALSE),0)+IF(CO$6="X",VLOOKUP(CO$10,'VK-Transport'!$C:$X,2+$B69,0))+IF(CO$8="X",VLOOKUP(CO$10,'VK-Elekter'!$C:$X,2+$D69,0))+IF(CO$9="X",VLOOKUP(CO$10,'VK-Biokütused'!$C:$U,2+$E69,0))+IF(CO$5="X",VLOOKUP(CO$10,'VK-Põlevkivi'!$C:$X,2+$G69,0))+IF(CO$4="X",VLOOKUP(CO$10,'VK-Võrgud'!$C:$X,2+$F69,0)))/1000</f>
        <v>29.735575210797279</v>
      </c>
      <c r="CP69" s="209">
        <f>(IF(CP$7="X",VLOOKUP(CP$10,'VK-Hooned-Soojus'!$C:$X,2+$C69,FALSE),0)+IF(CP$6="X",VLOOKUP(CP$10,'VK-Transport'!$C:$X,2+$B69,0))+IF(CP$8="X",VLOOKUP(CP$10,'VK-Elekter'!$C:$X,2+$D69,0))+IF(CP$9="X",VLOOKUP(CP$10,'VK-Biokütused'!$C:$U,2+$E69,0))+IF(CP$5="X",VLOOKUP(CP$10,'VK-Põlevkivi'!$C:$X,2+$G69,0))+IF(CP$4="X",VLOOKUP(CP$10,'VK-Võrgud'!$C:$X,2+$F69,0)))/1000</f>
        <v>32.720476724654098</v>
      </c>
      <c r="CQ69" s="209">
        <f>(IF(CQ$7="X",VLOOKUP(CQ$10,'VK-Hooned-Soojus'!$C:$X,2+$C69,FALSE),0)+IF(CQ$6="X",VLOOKUP(CQ$10,'VK-Transport'!$C:$X,2+$B69,0))+IF(CQ$8="X",VLOOKUP(CQ$10,'VK-Elekter'!$C:$X,2+$D69,0))+IF(CQ$9="X",VLOOKUP(CQ$10,'VK-Biokütused'!$C:$U,2+$E69,0))+IF(CQ$5="X",VLOOKUP(CQ$10,'VK-Põlevkivi'!$C:$X,2+$G69,0))+IF(CQ$4="X",VLOOKUP(CQ$10,'VK-Võrgud'!$C:$X,2+$F69,0)))/1000</f>
        <v>17.230345999999997</v>
      </c>
      <c r="CR69" s="209">
        <f>(IF(CR$7="X",VLOOKUP(CR$10,'VK-Hooned-Soojus'!$C:$X,2+$C69,FALSE),0)+IF(CR$6="X",VLOOKUP(CR$10,'VK-Transport'!$C:$X,2+$B69,0))+IF(CR$8="X",VLOOKUP(CR$10,'VK-Elekter'!$C:$X,2+$D69,0))+IF(CR$9="X",VLOOKUP(CR$10,'VK-Biokütused'!$C:$U,2+$E69,0))+IF(CR$5="X",VLOOKUP(CR$10,'VK-Põlevkivi'!$C:$X,2+$G69,0))+IF(CR$4="X",VLOOKUP(CR$10,'VK-Võrgud'!$C:$X,2+$F69,0)))/1000</f>
        <v>8.4070872784575741</v>
      </c>
      <c r="CS69" s="209">
        <f>(IF(CS$7="X",VLOOKUP(CS$10,'VK-Hooned-Soojus'!$C:$X,2+$C69,FALSE),0)+IF(CS$6="X",VLOOKUP(CS$10,'VK-Transport'!$C:$X,2+$B69,0))+IF(CS$8="X",VLOOKUP(CS$10,'VK-Elekter'!$C:$X,2+$D69,0))+IF(CS$9="X",VLOOKUP(CS$10,'VK-Biokütused'!$C:$U,2+$E69,0))+IF(CS$5="X",VLOOKUP(CS$10,'VK-Põlevkivi'!$C:$X,2+$G69,0))+IF(CS$4="X",VLOOKUP(CS$10,'VK-Võrgud'!$C:$X,2+$F69,0)))/1000</f>
        <v>3.8643344900598322</v>
      </c>
      <c r="CT69" s="209">
        <f>IF(CT$7="X",VLOOKUP(CT$10,'VK-Hooned-Soojus'!$C:$X,2+$C69,FALSE),0)+IF(CT$6="X",VLOOKUP(CT$10,'VK-Transport'!$C:$X,2+$B69,0))+IF(CT$8="X",VLOOKUP(CT$10,'VK-Elekter'!$C:$X,2+$D69,0))+IF(CT$9="X",VLOOKUP(CT$10,'VK-Biokütused'!$C:$U,2+$E69,0))+IF(CT$5="X",VLOOKUP(CT$10,'VK-Põlevkivi'!$C:$X,2+$G69,0))+IF(CT$4="X",VLOOKUP(CT$10,'VK-Võrgud'!$C:$X,2+$F69,0))</f>
        <v>90</v>
      </c>
      <c r="CU69" s="209">
        <f>IF(CU$7="X",VLOOKUP(CU$10,'VK-Hooned-Soojus'!$C:$X,2+$C69,FALSE),0)+IF(CU$6="X",VLOOKUP(CU$10,'VK-Transport'!$C:$X,2+$B69,0))+IF(CU$8="X",VLOOKUP(CU$10,'VK-Elekter'!$C:$X,2+$D69,0))+IF(CU$9="X",VLOOKUP(CU$10,'VK-Biokütused'!$C:$U,2+$E69,0))+IF(CU$5="X",VLOOKUP(CU$10,'VK-Põlevkivi'!$C:$X,2+$G69,0))+IF(CU$4="X",VLOOKUP(CU$10,'VK-Võrgud'!$C:$X,2+$F69,0))</f>
        <v>1</v>
      </c>
      <c r="CV69" s="209">
        <f t="shared" si="37"/>
        <v>0.84317482403548605</v>
      </c>
      <c r="CW69" s="209">
        <f>(IF(CW$7="X",VLOOKUP(CW$10,'VK-Hooned-Soojus'!$C:$X,2+$C69,FALSE),0)+IF(CW$6="X",VLOOKUP(CW$10,'VK-Transport'!$C:$X,2+$B69,0))+IF(CW$8="X",VLOOKUP(CW$10,'VK-Elekter'!$C:$X,2+$D69,0))+IF(CW$9="X",VLOOKUP(CW$10,'VK-Biokütused'!$C:$U,2+$E69,0))+IF(CW$5="X",VLOOKUP(CW$10,'VK-Põlevkivi'!$C:$X,2+$G69,0))+IF(CW$4="X",VLOOKUP(CW$10,'VK-Võrgud'!$C:$X,2+$F69,0)))/16</f>
        <v>59.743749999999999</v>
      </c>
      <c r="CY69" s="209">
        <f>(IF(CY$7="X",VLOOKUP(CY$10,'VK-Hooned-Soojus'!$C:$X,2+$C69,FALSE),0)+IF(CY$6="X",VLOOKUP(CY$10,'VK-Transport'!$C:$X,2+$B69,0))+IF(CY$8="X",VLOOKUP(CY$10,'VK-Elekter'!$C:$X,2+$D69,0))+IF(CY$9="X",VLOOKUP(CY$10,'VK-Biokütused'!$C:$U,2+$E69,0))+IF(CY$5="X",VLOOKUP(CY$10,'VK-Põlevkivi'!$C:$X,2+$G69,0))+IF(CY$4="X",VLOOKUP(CY$10,'VK-Võrgud'!$C:$X,2+$F69,0)))/1000</f>
        <v>12.028</v>
      </c>
      <c r="CZ69" s="209">
        <f>(IF(CZ$7="X",VLOOKUP(CZ$10,'VK-Hooned-Soojus'!$C:$X,2+$C69,FALSE),0)+IF(CZ$6="X",VLOOKUP(CZ$10,'VK-Transport'!$C:$X,2+$B69,0))+IF(CZ$8="X",VLOOKUP(CZ$10,'VK-Elekter'!$C:$X,2+$D69,0))+IF(CZ$9="X",VLOOKUP(CZ$10,'VK-Biokütused'!$C:$U,2+$E69,0))+IF(CZ$5="X",VLOOKUP(CZ$10,'VK-Põlevkivi'!$C:$X,2+$G69,0))+IF(CZ$4="X",VLOOKUP(CZ$10,'VK-Võrgud'!$C:$X,2+$F69,0)))</f>
        <v>97.4</v>
      </c>
      <c r="DA69" s="209">
        <f>(IF(DA$7="X",VLOOKUP(DA$10,'VK-Hooned-Soojus'!$C:$X,2+$C69,FALSE),0)+IF(DA$6="X",VLOOKUP(DA$10,'VK-Transport'!$C:$X,2+$B69,0))+IF(DA$8="X",VLOOKUP(DA$10,'VK-Elekter'!$C:$X,2+$D69,0))+IF(DA$9="X",VLOOKUP(DA$10,'VK-Biokütused'!$C:$U,2+$E69,0))+IF(DA$5="X",VLOOKUP(DA$10,'VK-Põlevkivi'!$C:$X,2+$G69,0))+IF(DA$4="X",VLOOKUP(DA$10,'VK-Võrgud'!$C:$X,2+$F69,0)))/1000</f>
        <v>17.518000000000001</v>
      </c>
      <c r="DB69" s="209">
        <f>(IF(DB$7="X",VLOOKUP(DB$10,'VK-Hooned-Soojus'!$C:$X,2+$C69,FALSE),0)+IF(DB$6="X",VLOOKUP(DB$10,'VK-Transport'!$C:$X,2+$B69,0))+IF(DB$8="X",VLOOKUP(DB$10,'VK-Elekter'!$C:$X,2+$D69,0))+IF(DB$9="X",VLOOKUP(DB$10,'VK-Biokütused'!$C:$U,2+$E69,0))+IF(DB$5="X",VLOOKUP(DB$10,'VK-Põlevkivi'!$C:$X,2+$G69,0))+IF(DB$4="X",VLOOKUP(DB$10,'VK-Võrgud'!$C:$X,2+$F69,0)))/1000/3.6</f>
        <v>140.18083333333334</v>
      </c>
      <c r="DC69" s="209">
        <f>(IF(DC$7="X",VLOOKUP(DC$10,'VK-Hooned-Soojus'!$C:$X,2+$C69,FALSE),0)+IF(DC$6="X",VLOOKUP(DC$10,'VK-Transport'!$C:$X,2+$B69,0))+IF(DC$8="X",VLOOKUP(DC$10,'VK-Elekter'!$C:$X,2+$D69,0))+IF(DC$9="X",VLOOKUP(DC$10,'VK-Biokütused'!$C:$U,2+$E69,0))+IF(DC$5="X",VLOOKUP(DC$10,'VK-Põlevkivi'!$C:$X,2+$G69,0))+IF(DC$4="X",VLOOKUP(DC$10,'VK-Võrgud'!$C:$X,2+$F69,0)))/1000000</f>
        <v>7.6596700000000002</v>
      </c>
      <c r="DD69" s="209"/>
      <c r="DE69" s="88">
        <f>VLOOKUP(Tulemused!$BN$12,data!M$7:N$12,2,FALSE)-SUM(L69,M69)</f>
        <v>-1.9738666666666731</v>
      </c>
      <c r="DF69" s="209" t="str">
        <f>IF(AZ69&lt;=VLOOKUP(Tulemused!$BN$15,data!$E$36:$F$39,2,FALSE),"JAH","EI")</f>
        <v>JAH</v>
      </c>
      <c r="DG69" s="209"/>
      <c r="DH69" s="209">
        <f t="shared" si="38"/>
        <v>6.78</v>
      </c>
      <c r="DI69" s="231" t="str">
        <f t="shared" si="17"/>
        <v>EI</v>
      </c>
      <c r="DK69" s="232">
        <f t="shared" si="39"/>
        <v>-995.36207263616438</v>
      </c>
      <c r="DM69" s="233">
        <f t="shared" si="40"/>
        <v>-994.45446126276272</v>
      </c>
      <c r="DN69" s="87">
        <f t="array" ref="DN69">INDEX($A$11:$A$145, SMALL(IF(DM69=$DK$11:$DK$145, MATCH(ROW($DK$11:$DK$145), ROW($DK$11:$DK$145))), SUM(--(DM69=$DM$11:DM69))))</f>
        <v>69</v>
      </c>
      <c r="DP69" s="87" t="e">
        <f t="shared" ca="1" si="18"/>
        <v>#N/A</v>
      </c>
      <c r="DQ69" s="87" t="e">
        <f t="shared" ca="1" si="19"/>
        <v>#N/A</v>
      </c>
      <c r="DR69" s="87">
        <f t="shared" ca="1" si="20"/>
        <v>0</v>
      </c>
      <c r="DS69" s="87" t="e">
        <f t="shared" ca="1" si="21"/>
        <v>#N/A</v>
      </c>
      <c r="DT69" s="87">
        <f t="shared" ca="1" si="22"/>
        <v>0</v>
      </c>
      <c r="DU69" s="87" t="e">
        <f t="shared" ca="1" si="23"/>
        <v>#N/A</v>
      </c>
      <c r="DV69" s="87" t="e">
        <f t="shared" ca="1" si="24"/>
        <v>#N/A</v>
      </c>
      <c r="DW69" s="87">
        <f t="shared" ca="1" si="25"/>
        <v>0</v>
      </c>
      <c r="DX69" s="87">
        <f t="shared" ca="1" si="26"/>
        <v>0</v>
      </c>
      <c r="DZ69" s="87">
        <f t="shared" ca="1" si="35"/>
        <v>0</v>
      </c>
      <c r="EB69" s="87">
        <f t="shared" ca="1" si="27"/>
        <v>0</v>
      </c>
      <c r="EC69" s="87" t="e">
        <f t="shared" ca="1" si="28"/>
        <v>#N/A</v>
      </c>
      <c r="EE69" s="228">
        <f>(IF(EE$7="X",VLOOKUP(EE$10,'VK-Hooned-Soojus'!$C:$X,2+$C69,FALSE),0)+IF(EE$6="X",VLOOKUP(EE$10,'VK-Transport'!$C:$X,2+$B69,0))+IF(EE$8="X",VLOOKUP(EE$10,'VK-Elekter'!$C:$X,2+$D69,0))+IF(EE$9="X",VLOOKUP(EE$10,'VK-Biokütused'!$C:$U,2+$E69,0))+IF(EE$5="X",VLOOKUP(EE$10,'VK-Põlevkivi'!$C:$X,2+$G69,0))+IF(EE$4="X",VLOOKUP(EE$10,'VK-Võrgud'!$C:$X,2+$F69,0)))</f>
        <v>8411.5062503335394</v>
      </c>
      <c r="EF69" s="209">
        <f>(IF(EF$7="X",VLOOKUP(EF$10,'VK-Hooned-Soojus'!$C:$X,2+$C69,FALSE),0)+IF(EF$6="X",VLOOKUP(EF$10,'VK-Transport'!$C:$X,2+$B69,0))+IF(EF$8="X",VLOOKUP(EF$10,'VK-Elekter'!$C:$X,2+$D69,0))+IF(EF$9="X",VLOOKUP(EF$10,'VK-Biokütused'!$C:$U,2+$E69,0))+IF(EF$5="X",VLOOKUP(EF$10,'VK-Põlevkivi'!$C:$X,2+$G69,0))+IF(EF$4="X",VLOOKUP(EF$10,'VK-Võrgud'!$C:$X,2+$F69,0)))/1000</f>
        <v>9.8583823271229711</v>
      </c>
      <c r="EG69" s="209">
        <f>(IF(EG$7="X",VLOOKUP(EG$10,'VK-Hooned-Soojus'!$C:$X,2+$C69,FALSE),0)+IF(EG$6="X",VLOOKUP(EG$10,'VK-Transport'!$C:$X,2+$B69,0))+IF(EG$8="X",VLOOKUP(EG$10,'VK-Elekter'!$C:$X,2+$D69,0))+IF(EG$9="X",VLOOKUP(EG$10,'VK-Biokütused'!$C:$U,2+$E69,0))+IF(EG$5="X",VLOOKUP(EG$10,'VK-Põlevkivi'!$C:$X,2+$G69,0))+IF(EG$4="X",VLOOKUP(EG$10,'VK-Võrgud'!$C:$X,2+$F69,0)))</f>
        <v>0.81</v>
      </c>
      <c r="EH69" s="209">
        <f>(IF(EH$7="X",VLOOKUP(EH$10,'VK-Hooned-Soojus'!$C:$X,2+$C69,FALSE),0)+IF(EH$6="X",VLOOKUP(EH$10,'VK-Transport'!$C:$X,2+$B69,0))+IF(EH$8="X",VLOOKUP(EH$10,'VK-Elekter'!$C:$X,2+$D69,0))+IF(EH$9="X",VLOOKUP(EH$10,'VK-Biokütused'!$C:$U,2+$E69,0)))+AR69+AS69+AU69+AX69</f>
        <v>93.856101174298999</v>
      </c>
      <c r="EI69" s="320">
        <f t="shared" si="41"/>
        <v>65.012789653214369</v>
      </c>
      <c r="EJ69" s="322">
        <f t="shared" si="42"/>
        <v>2.1300063549572323E-2</v>
      </c>
      <c r="EK69" s="323">
        <f t="shared" si="29"/>
        <v>0.39726251650845218</v>
      </c>
      <c r="EM69" s="209"/>
      <c r="EN69" s="209">
        <f t="shared" ca="1" si="43"/>
        <v>0</v>
      </c>
      <c r="EO69" s="209"/>
      <c r="EP69" s="234"/>
      <c r="EQ69" s="209">
        <f>(IF(EQ$7="X",VLOOKUP(EQ$10,'VK-Hooned-Soojus'!$C:$X,2+$C69,FALSE),0)+IF(EQ$6="X",VLOOKUP(EQ$10,'VK-Transport'!$C:$X,2+$B69,0))+IF(EQ$8="X",VLOOKUP(EQ$10,'VK-Elekter'!$C:$X,2+$D69,0))+IF(EQ$9="X",VLOOKUP(EQ$10,'VK-Biokütused'!$C:$U,2+$E69,0))+IF(EQ$5="X",VLOOKUP(EQ$10,'VK-Põlevkivi'!$C:$X,2+$G69,0))+IF(EQ$4="X",VLOOKUP(EQ$10,'VK-Võrgud'!$C:$X,2+$F69,0)))/1000</f>
        <v>0.22900000000000001</v>
      </c>
      <c r="ER69" s="209">
        <f>(IF(ER$7="X",VLOOKUP(ER$10,'VK-Hooned-Soojus'!$C:$X,2+$C69,FALSE),0)+IF(ER$6="X",VLOOKUP(ER$10,'VK-Transport'!$C:$X,2+$B69,0))+IF(ER$8="X",VLOOKUP(ER$10,'VK-Elekter'!$C:$X,2+$D69,0))+IF(ER$9="X",VLOOKUP(ER$10,'VK-Biokütused'!$C:$U,2+$E69,0))+IF(ER$5="X",VLOOKUP(ER$10,'VK-Põlevkivi'!$C:$X,2+$G69,0))+IF(ER$4="X",VLOOKUP(ER$10,'VK-Võrgud'!$C:$X,2+$F69,0)))</f>
        <v>0.82899999999999996</v>
      </c>
      <c r="ES69" s="209">
        <f>(IF(ES$7="X",VLOOKUP(ES$10,'VK-Hooned-Soojus'!$C:$X,2+$C69,FALSE),0)+IF(ES$6="X",VLOOKUP(ES$10,'VK-Transport'!$C:$X,2+$B69,0))+IF(ES$8="X",VLOOKUP(ES$10,'VK-Elekter'!$C:$X,2+$D69,0))+IF(ES$9="X",VLOOKUP(ES$10,'VK-Biokütused'!$C:$U,2+$E69,0))+IF(ES$5="X",VLOOKUP(ES$10,'VK-Põlevkivi'!$C:$X,2+$G69,0))+IF(ES$4="X",VLOOKUP(ES$10,'VK-Võrgud'!$C:$X,2+$F69,0)))</f>
        <v>6.78</v>
      </c>
      <c r="ET69" s="209"/>
      <c r="EU69" s="209"/>
      <c r="EV69" s="87">
        <f>'KSH järjestus'!AS62</f>
        <v>1984</v>
      </c>
      <c r="EX69" s="236"/>
      <c r="EY69" s="236"/>
      <c r="EZ69" s="237">
        <f t="shared" si="44"/>
        <v>0</v>
      </c>
      <c r="FA69" s="209">
        <f>IF(FA$7="X",VLOOKUP(FA$10,'VK-Hooned-Soojus'!$C:$X,2+$C69,FALSE),0)+IF(FA$6="X",VLOOKUP(FA$10,'VK-Transport'!$C:$X,2+$B69,0))+IF(FA$8="X",VLOOKUP(FA$10,'VK-Elekter'!$C:$X,2+$D69,0))+IF(FA$9="X",VLOOKUP(FA$10,'VK-Biokütused'!$C:$U,2+$E69,0))+IF(FA$5="X",VLOOKUP(FA$10,'VK-Põlevkivi'!$C:$X,2+$G69,0))+IF(FA$4="X",VLOOKUP(FA$10,'VK-Võrgud'!$C:$X,2+$F69,0))</f>
        <v>3335.346</v>
      </c>
      <c r="FB69" s="279">
        <f>(IF(FB$7="X",VLOOKUP(FB$10,'VK-Hooned-Soojus'!$C:$X,2+$C69,FALSE),0)+IF(FB$6="X",VLOOKUP(FB$10,'VK-Transport'!$C:$X,2+$B69,0))+IF(FB$8="X",VLOOKUP(FB$10,'VK-Elekter'!$C:$X,2+$D69,0))+IF(FB$9="X",VLOOKUP(FB$10,'VK-Biokütused'!$C:$U,2+$E69,0))+IF(FB$5="X",VLOOKUP(FB$10,'VK-Põlevkivi'!$C:$X,2+$G69,0))+IF(FB$4="X",VLOOKUP(FB$10,'VK-Võrgud'!$C:$X,2+$F69,0)))/16</f>
        <v>732.81514232735651</v>
      </c>
      <c r="FC69" s="209">
        <f>IF(FC$7="X",VLOOKUP(FC$10,'VK-Hooned-Soojus'!$C:$X,2+$C69,FALSE),0)+IF(FC$6="X",VLOOKUP(FC$10,'VK-Transport'!$C:$X,2+$B69,0))+IF(FC$8="X",VLOOKUP(FC$10,'VK-Elekter'!$C:$X,2+$D69,0))+IF(FC$9="X",VLOOKUP(FC$10,'VK-Biokütused'!$C:$U,2+$E69,0))+IF(FC$5="X",VLOOKUP(FC$10,'VK-Põlevkivi'!$C:$X,2+$G69,0))+IF(FC$4="X",VLOOKUP(FC$10,'VK-Võrgud'!$C:$X,2+$F69,0))</f>
        <v>327.45</v>
      </c>
      <c r="FD69" s="209">
        <f>(IF(FD$7="X",VLOOKUP(FD$10,'VK-Hooned-Soojus'!$C:$X,2+$C69,FALSE),0)+IF(FD$6="X",VLOOKUP(FD$10,'VK-Transport'!$C:$X,2+$B69,0))+IF(FD$8="X",VLOOKUP(FD$10,'VK-Elekter'!$C:$X,2+$D69,0))+IF(FD$9="X",VLOOKUP(FD$10,'VK-Biokütused'!$C:$U,2+$E69,0))+IF(FD$5="X",VLOOKUP(FD$10,'VK-Põlevkivi'!$C:$X,2+$G69,0))+IF(FD$4="X",VLOOKUP(FD$10,'VK-Võrgud'!$C:$X,2+$F69,0)))/16</f>
        <v>732.81514232735651</v>
      </c>
      <c r="FE69" s="209">
        <f>(IF(FE$7="X",VLOOKUP(FE$10,'VK-Hooned-Soojus'!$C:$X,2+$C69,FALSE),0)+IF(FE$6="X",VLOOKUP(FE$10,'VK-Transport'!$C:$X,2+$B69,0))+IF(FE$8="X",VLOOKUP(FE$10,'VK-Elekter'!$C:$X,2+$D69,0))+IF(FE$9="X",VLOOKUP(FE$10,'VK-Biokütused'!$C:$U,2+$E69,0))+IF(FE$5="X",VLOOKUP(FE$10,'VK-Põlevkivi'!$C:$X,2+$G69,0))+IF(FE$4="X",VLOOKUP(FE$10,'VK-Võrgud'!$C:$X,2+$F69,0)))/16</f>
        <v>-40.314469880632103</v>
      </c>
      <c r="FF69" s="209">
        <f>(IF(FF$7="X",VLOOKUP(FF$10,'VK-Hooned-Soojus'!$C:$X,2+$C69,FALSE),0)+IF(FF$6="X",VLOOKUP(FF$10,'VK-Transport'!$C:$X,2+$B69,0))+IF(FF$8="X",VLOOKUP(FF$10,'VK-Elekter'!$C:$X,2+$D69,0))+IF(FF$9="X",VLOOKUP(FF$10,'VK-Biokütused'!$C:$U,2+$E69,0))+IF(FF$5="X",VLOOKUP(FF$10,'VK-Põlevkivi'!$C:$X,2+$G69,0))+IF(FF$4="X",VLOOKUP(FF$10,'VK-Võrgud'!$C:$X,2+$F69,0)))/16</f>
        <v>217.62917177168057</v>
      </c>
      <c r="FG69" s="88">
        <f t="shared" ca="1" si="30"/>
        <v>177.31470189104846</v>
      </c>
      <c r="FH69" s="88"/>
      <c r="FI69" s="88"/>
      <c r="FJ69" s="88">
        <f>VLOOKUP(Tulemused!$BN$12,data!M$7:N$12,2,FALSE)-SUM(L69,M69)</f>
        <v>-1.9738666666666731</v>
      </c>
      <c r="FK69" s="209" t="str">
        <f>IF(AZ69&lt;=VLOOKUP(Tulemused!$BN$15,data!$E$36:$F$39,2,FALSE),"JAH","EI")</f>
        <v>JAH</v>
      </c>
      <c r="FL69" s="235">
        <f ca="1">IF(ISNA(MATCH($A69,INDIRECT(VLOOKUP(Tulemused!$BF$11,data!$J$57:$M$71,4,FALSE)))),0,MATCH($A69,INDIRECT(VLOOKUP(Tulemused!$BF$11,data!$J$57:$M$71,4,FALSE))))</f>
        <v>0</v>
      </c>
      <c r="FM69" s="235" t="str">
        <f t="shared" ca="1" si="45"/>
        <v>JAH</v>
      </c>
      <c r="FN69" s="209">
        <f>VLOOKUP(Tulemused!$BN$13,data!$C$132:$D$137,2,FALSE)-KOMBI!R69</f>
        <v>3.1640876728770304</v>
      </c>
      <c r="FO69" s="209"/>
      <c r="FP69" s="209">
        <f>VLOOKUP(Tulemused!$BN$17,NO_x,2,FALSE)-CJ69</f>
        <v>5.8719999999999999</v>
      </c>
      <c r="FQ69" s="209">
        <f>VLOOKUP(Tulemused!$BN$18,SO_2,2,FALSE)-CK69</f>
        <v>12.461083784206771</v>
      </c>
      <c r="FR69" s="209">
        <f>VLOOKUP(Tulemused!$BN$19,LOU,2,FALSE)-CN69</f>
        <v>33.912000000000006</v>
      </c>
      <c r="FS69" s="209">
        <f>VLOOKUP(Tulemused!$BN$20,PM_2.5,2,FALSE)-CM69</f>
        <v>8.4240103843950838</v>
      </c>
      <c r="FT69" s="209">
        <f>VLOOKUP(Tulemused!$BN$13,data!$C$132:$D$137,2,FALSE)-FA69/1000</f>
        <v>2.9106240000000008</v>
      </c>
      <c r="FU69" s="209">
        <f>VLOOKUP(Tulemused!$BN$17,NO_x,2,FALSE)-CO69</f>
        <v>-0.29757521079728022</v>
      </c>
      <c r="FV69" s="209">
        <f>VLOOKUP(Tulemused!$BN$18,SO_2,2,FALSE)-CP69</f>
        <v>19.163523275345902</v>
      </c>
      <c r="FW69" s="209">
        <f>VLOOKUP(Tulemused!$BN$19,LOU,2,FALSE)-CS69</f>
        <v>33.215665509940173</v>
      </c>
      <c r="FX69" s="209">
        <f>VLOOKUP(Tulemused!$BN$20,PM_2.5,2,FALSE)-CR69</f>
        <v>8.5079127215424251</v>
      </c>
      <c r="FY69" s="209">
        <f>VLOOKUP(Tulemused!$BN$14,KHG_2050,2,FALSE)-EF69</f>
        <v>90.141617672877032</v>
      </c>
      <c r="FZ69" s="231" t="str">
        <f t="shared" ca="1" si="31"/>
        <v>EI</v>
      </c>
      <c r="GA69" s="209"/>
      <c r="GB69" s="209"/>
      <c r="GC69" s="209"/>
      <c r="GD69" s="231"/>
      <c r="GE69" s="87">
        <f t="shared" si="46"/>
        <v>1984</v>
      </c>
      <c r="GF69" s="232" t="str">
        <f t="shared" ca="1" si="32"/>
        <v/>
      </c>
      <c r="GH69" s="238" t="e">
        <f t="shared" ca="1" si="47"/>
        <v>#NUM!</v>
      </c>
      <c r="GI69" s="87" t="e">
        <f t="array" aca="1" ref="GI69" ca="1">INDEX($A$11:$A$145, SMALL(IF(GH69=$GF$11:$GF$145, MATCH(ROW($GF$11:$GF$145), ROW($GF$11:$GF$145))), SUM(--(GH69=$GH$11:GH69))))</f>
        <v>#NUM!</v>
      </c>
      <c r="GM69" s="209">
        <f>IF(GM$7="X",VLOOKUP(GM$10,'VK-Hooned-Soojus'!$C:$X,2+$C69,FALSE),0)+IF(GM$6="X",VLOOKUP(GM$10,'VK-Transport'!$C:$X,2+$B69,0))+IF(GM$8="X",VLOOKUP(GM$10,'VK-Elekter'!$C:$X,2+$D69,0))+IF(GM$9="X",VLOOKUP(GM$10,'VK-Biokütused'!$C:$U,2+$E69,0))+IF(GM$5="X",VLOOKUP(GM$10,'VK-Põlevkivi'!$C:$X,2+$G69,0))+IF(GM$4="X",VLOOKUP(GM$10,'VK-Võrgud'!$C:$X,2+$F69,0))</f>
        <v>11.189888530766083</v>
      </c>
      <c r="GN69" s="209">
        <f>IF(GN$7="X",VLOOKUP(GN$10,'VK-Hooned-Soojus'!$C:$X,2+$C69,FALSE),0)+IF(GN$6="X",VLOOKUP(GN$10,'VK-Transport'!$C:$X,2+$B69,0))+IF(GN$8="X",VLOOKUP(GN$10,'VK-Elekter'!$C:$X,2+$D69,0))+IF(GN$9="X",VLOOKUP(GN$10,'VK-Biokütused'!$C:$U,2+$E69,0))+IF(GN$5="X",VLOOKUP(GN$10,'VK-Põlevkivi'!$C:$X,2+$G69,0))+IF(GN$4="X",VLOOKUP(GN$10,'VK-Võrgud'!$C:$X,2+$F69,0))</f>
        <v>2.9930837725682502</v>
      </c>
      <c r="GO69" s="209">
        <f>IF(GO$7="X",VLOOKUP(GO$10,'VK-Hooned-Soojus'!$C:$X,2+$C69,FALSE),0)+IF(GO$6="X",VLOOKUP(GO$10,'VK-Transport'!$C:$X,2+$B69,0))+IF(GO$8="X",VLOOKUP(GO$10,'VK-Elekter'!$C:$X,2+$D69,0))+IF(GO$9="X",VLOOKUP(GO$10,'VK-Biokütused'!$C:$U,2+$E69,0))+IF(GO$5="X",VLOOKUP(GO$10,'VK-Põlevkivi'!$C:$X,2+$G69,0))+IF(GO$4="X",VLOOKUP(GO$10,'VK-Võrgud'!$C:$X,2+$F69,0))</f>
        <v>8.7471755658278116</v>
      </c>
      <c r="GP69" s="209">
        <f>IF(GP$7="X",VLOOKUP(GP$10,'VK-Hooned-Soojus'!$C:$X,2+$C69,FALSE),0)+IF(GP$6="X",VLOOKUP(GP$10,'VK-Transport'!$C:$X,2+$B69,0))+IF(GP$8="X",VLOOKUP(GP$10,'VK-Elekter'!$C:$X,2+$D69,0))+IF(GP$9="X",VLOOKUP(GP$10,'VK-Biokütused'!$C:$U,2+$E69,0))+IF(GP$5="X",VLOOKUP(GP$10,'VK-Põlevkivi'!$C:$X,2+$G69,0))+IF(GP$4="X",VLOOKUP(GP$10,'VK-Võrgud'!$C:$X,2+$F69,0))</f>
        <v>9.3279335818485372</v>
      </c>
      <c r="GQ69" s="88">
        <f>IF(GQ$7="X",VLOOKUP(GQ$10,'VK-Hooned-Soojus'!$C:$X,2+$C69,FALSE),0)+IF(GQ$6="X",VLOOKUP(GQ$10,'VK-Transport'!$C:$X,2+$B69,0))+IF(GQ$8="X",VLOOKUP(GQ$10,'VK-Elekter'!$C:$X,2+$D69,0))+IF(GQ$9="X",VLOOKUP(GQ$10,'VK-Biokütused'!$C:$U,2+$E69,0))+IF(GQ$5="X",VLOOKUP(GQ$10,'VK-Põlevkivi'!$C:$X,2+$G69,0))+IF(GQ$4="X",VLOOKUP(GQ$10,'VK-Võrgud'!$C:$X,2+$F69,0))</f>
        <v>0.90618397335647782</v>
      </c>
      <c r="GR69" s="186">
        <f t="shared" si="33"/>
        <v>0.38001919156598157</v>
      </c>
    </row>
    <row r="70" spans="1:200" x14ac:dyDescent="0.2">
      <c r="A70" s="184">
        <v>60</v>
      </c>
      <c r="B70" s="87">
        <v>2</v>
      </c>
      <c r="C70" s="87">
        <v>1</v>
      </c>
      <c r="D70" s="87">
        <v>5</v>
      </c>
      <c r="E70" s="87">
        <v>3</v>
      </c>
      <c r="F70" s="87">
        <f>VLOOKUP(Tulemused!$BF$7,data!$J$6:$K$8,2,FALSE)</f>
        <v>2</v>
      </c>
      <c r="G70" s="87">
        <f>VLOOKUP(data!$H$2,data!$J$12:$K$14,2,FALSE)</f>
        <v>2</v>
      </c>
      <c r="I70" s="209">
        <f>IF(I$7="X",VLOOKUP(I$10,'VK-Hooned-Soojus'!$C:$X,2+$C70,FALSE),0)+IF(I$6="X",VLOOKUP(I$10,'VK-Transport'!$C:$X,2+$B70,0))+IF(I$8="X",VLOOKUP(I$10,'VK-Elekter'!$C:$X,2+$D70,0))+IF(I$9="X",VLOOKUP(I$10,'VK-Biokütused'!$C:$U,2+$E70,0))+IF(I$5="X",VLOOKUP(I$10,'VK-Põlevkivi'!$C:$X,2+$G70,0))+IF(I$4="X",VLOOKUP(I$10,'VK-Võrgud'!$C:$X,2+$F70,0))</f>
        <v>26.89</v>
      </c>
      <c r="J70" s="209">
        <f>IF(J$7="X",VLOOKUP(J$10,'VK-Hooned-Soojus'!$C:$X,2+$C70,FALSE),0)+IF(J$6="X",VLOOKUP(J$10,'VK-Transport'!$C:$X,2+$B70,0))+IF(J$8="X",VLOOKUP(J$10,'VK-Elekter'!$C:$X,2+$D70,0))+IF(J$9="X",VLOOKUP(J$10,'VK-Biokütused'!$C:$U,2+$E70,0))+IF(J$5="X",VLOOKUP(J$10,'VK-Põlevkivi'!$C:$X,2+$G70,0))+IF(J$4="X",VLOOKUP(J$10,'VK-Võrgud'!$C:$X,2+$F70,0))</f>
        <v>11.138055555555555</v>
      </c>
      <c r="K70" s="209">
        <f>IF(K$7="X",VLOOKUP(K$10,'VK-Hooned-Soojus'!$C:$X,2+$C70,FALSE),0)+IF(K$6="X",VLOOKUP(K$10,'VK-Transport'!$C:$X,2+$B70,0))+IF(K$8="X",VLOOKUP(K$10,'VK-Elekter'!$C:$X,2+$D70,0))+IF(K$9="X",VLOOKUP(K$10,'VK-Biokütused'!$C:$U,2+$E70,0))+IF(K$5="X",VLOOKUP(K$10,'VK-Põlevkivi'!$C:$X,2+$G70,0))+IF(K$4="X",VLOOKUP(K$10,'VK-Võrgud'!$C:$X,2+$F70,0))</f>
        <v>16.75</v>
      </c>
      <c r="L70" s="209">
        <f>IF(L$7="X",VLOOKUP(L$10,'VK-Hooned-Soojus'!$C:$X,2+$C70,FALSE),0)+IF(L$6="X",VLOOKUP(L$10,'VK-Transport'!$C:$X,2+$B70,0))+IF(L$8="X",VLOOKUP(L$10,'VK-Elekter'!$C:$X,2+$D70,0))+IF(L$9="X",VLOOKUP(L$10,'VK-Biokütused'!$C:$U,2+$E70,0))+IF(L$5="X",VLOOKUP(L$10,'VK-Põlevkivi'!$C:$X,2+$G70,0))+IF(L$4="X",VLOOKUP(L$10,'VK-Võrgud'!$C:$X,2+$F70,0))</f>
        <v>24.95</v>
      </c>
      <c r="M70" s="209">
        <f>IF(M$7="X",VLOOKUP(M$10,'VK-Hooned-Soojus'!$C:$X,2+$C70,FALSE),0)+IF(M$6="X",VLOOKUP(M$10,'VK-Transport'!$C:$X,2+$B70,0))+IF(M$8="X",VLOOKUP(M$10,'VK-Elekter'!$C:$X,2+$D70,0))+IF(M$9="X",VLOOKUP(M$10,'VK-Biokütused'!$C:$U,2+$E70,0))+IF(M$5="X",VLOOKUP(M$10,'VK-Põlevkivi'!$C:$X,2+$G70,0))+IF(M$4="X",VLOOKUP(M$10,'VK-Võrgud'!$C:$X,2+$F70,0))</f>
        <v>9.8566666666666674</v>
      </c>
      <c r="N70" s="209">
        <f>IF(N$7="X",VLOOKUP(N$10,'VK-Hooned-Soojus'!$C:$X,2+$C70,FALSE),0)+IF(N$6="X",VLOOKUP(N$10,'VK-Transport'!$C:$X,2+$B70,0))+IF(N$8="X",VLOOKUP(N$10,'VK-Elekter'!$C:$X,2+$D70,0))+IF(N$9="X",VLOOKUP(N$10,'VK-Biokütused'!$C:$U,2+$E70,0))+IF(N$5="X",VLOOKUP(N$10,'VK-Põlevkivi'!$C:$X,2+$G70,0))+IF(N$4="X",VLOOKUP(N$10,'VK-Võrgud'!$C:$X,2+$F70,0))</f>
        <v>16.75</v>
      </c>
      <c r="O70" s="209">
        <f t="shared" si="13"/>
        <v>38.028055555555554</v>
      </c>
      <c r="P70" s="209"/>
      <c r="Q70" s="209">
        <f>(IF(Q$7="X",VLOOKUP(Q$10,'VK-Hooned-Soojus'!$C:$X,2+$C70,FALSE),0)+IF(Q$6="X",VLOOKUP(Q$10,'VK-Transport'!$C:$X,2+$B70,0))+IF(Q$8="X",VLOOKUP(Q$10,'VK-Elekter'!$C:$X,2+$D70,0))+IF(Q$9="X",VLOOKUP(Q$10,'VK-Biokütused'!$C:$U,2+$E70,0))+IF(Q$5="X",VLOOKUP(Q$10,'VK-Põlevkivi'!$C:$X,2+$G70,0))+IF(Q$4="X",VLOOKUP(Q$10,'VK-Võrgud'!$C:$X,2+$F70,0)))/1000</f>
        <v>6.3289999999999997</v>
      </c>
      <c r="R70" s="209">
        <f>(IF(R$7="X",VLOOKUP(R$10,'VK-Hooned-Soojus'!$C:$X,2+$C70,FALSE),0)+IF(R$6="X",VLOOKUP(R$10,'VK-Transport'!$C:$X,2+$B70,0))+IF(R$8="X",VLOOKUP(R$10,'VK-Elekter'!$C:$X,2+$D70,0))+IF(R$9="X",VLOOKUP(R$10,'VK-Biokütused'!$C:$U,2+$E70,0))+IF(R$5="X",VLOOKUP(R$10,'VK-Põlevkivi'!$C:$X,2+$G70,0))+IF(R$4="X",VLOOKUP(R$10,'VK-Võrgud'!$C:$X,2+$F70,0)))/1000</f>
        <v>3.2905823271229702</v>
      </c>
      <c r="S70" s="226">
        <f>VLOOKUP(S$10,'VK-Hooned-Soojus'!$C:$I,2+$C70,FALSE) + VLOOKUP(S$10,'VK-Transport'!$C:$I,2+$B70,FALSE)+ VLOOKUP(S$10,'VK-Biokütused'!$C:$G,2+$E70,FALSE)+ VLOOKUP(S$10,'VK-Elekter'!$C:$I,2+$D70,FALSE)+ VLOOKUP(S$10,'VK-Põlevkivi'!$C:$I,2+$G70,FALSE)+ VLOOKUP(S$10,'VK-Võrgud'!$C:$I,2+$F70,FALSE)</f>
        <v>3.1895844129951931E-2</v>
      </c>
      <c r="T70" s="226">
        <f>VLOOKUP(T$10,'VK-Hooned-Soojus'!$C:$I,2+$C70,FALSE) + VLOOKUP(T$10,'VK-Transport'!$C:$I,2+$B70,FALSE)+ VLOOKUP(T$10,'VK-Biokütused'!$C:$G,2+$E70,FALSE)+ VLOOKUP(T$10,'VK-Elekter'!$C:$I,2+$D70,FALSE)+ VLOOKUP(T$10,'VK-Põlevkivi'!$C:$I,2+$G70,FALSE)+ VLOOKUP(T$10,'VK-Võrgud'!$C:$I,2+$F70,FALSE)</f>
        <v>7.8593917938634596E-3</v>
      </c>
      <c r="U70" s="226">
        <f>VLOOKUP(U$10,'VK-Hooned-Soojus'!$C:$I,2+$C70,FALSE) + VLOOKUP(U$10,'VK-Transport'!$C:$I,2+$B70,FALSE)+ VLOOKUP(U$10,'VK-Biokütused'!$C:$G,2+$E70,FALSE)+ VLOOKUP(U$10,'VK-Elekter'!$C:$I,2+$D70,FALSE)+ VLOOKUP(U$10,'VK-Põlevkivi'!$C:$I,2+$G70,FALSE)+ VLOOKUP(U$10,'VK-Võrgud'!$C:$I,2+$F70,FALSE)</f>
        <v>1.5106986167803482E-2</v>
      </c>
      <c r="V70" s="226">
        <f>VLOOKUP(V$10,'VK-Hooned-Soojus'!$C:$I,2+$C70,FALSE) + VLOOKUP(V$10,'VK-Transport'!$C:$I,2+$B70,FALSE)+ VLOOKUP(V$10,'VK-Biokütused'!$C:$G,2+$E70,FALSE)+ VLOOKUP(V$10,'VK-Elekter'!$C:$I,2+$D70,FALSE)+ VLOOKUP(V$10,'VK-Põlevkivi'!$C:$I,2+$G70,FALSE)+ VLOOKUP(V$10,'VK-Võrgud'!$C:$I,2+$F70,FALSE)</f>
        <v>1.7192321004635192E-2</v>
      </c>
      <c r="W70" s="226">
        <f>VLOOKUP(W$10,'VK-Hooned-Soojus'!$C:$I,2+$C70,FALSE) + VLOOKUP(W$10,'VK-Transport'!$C:$I,2+$B70,FALSE)+ VLOOKUP(W$10,'VK-Biokütused'!$C:$G,2+$E70,FALSE)+ VLOOKUP(W$10,'VK-Elekter'!$C:$I,2+$D70,FALSE)+ VLOOKUP(W$10,'VK-Põlevkivi'!$C:$I,2+$G70,FALSE)+ VLOOKUP(W$10,'VK-Võrgud'!$C:$I,2+$F70,FALSE)</f>
        <v>2.2241221721149129E-3</v>
      </c>
      <c r="X70" s="226">
        <f>VLOOKUP(X$10,'VK-Hooned-Soojus'!$C:$I,2+$C70,FALSE) + VLOOKUP(X$10,'VK-Transport'!$C:$I,2+$B70,FALSE)+ VLOOKUP(X$10,'VK-Biokütused'!$C:$G,2+$E70,FALSE)+ VLOOKUP(X$10,'VK-Elekter'!$C:$I,2+$D70,FALSE)+ VLOOKUP(X$10,'VK-Põlevkivi'!$C:$I,2+$G70,FALSE)+ VLOOKUP(X$10,'VK-Võrgud'!$C:$I,2+$F70,FALSE)</f>
        <v>7.000645857681459E-2</v>
      </c>
      <c r="Y70" s="226">
        <f>VLOOKUP(Y$10,'VK-Hooned-Soojus'!$C:$I,2+$C70,FALSE) + VLOOKUP(Y$10,'VK-Transport'!$C:$I,2+$B70,FALSE)+ VLOOKUP(Y$10,'VK-Biokütused'!$C:$G,2+$E70,FALSE)+ VLOOKUP(Y$10,'VK-Elekter'!$C:$I,2+$D70,FALSE)+ VLOOKUP(Y$10,'VK-Põlevkivi'!$C:$I,2+$G70,FALSE)+ VLOOKUP(Y$10,'VK-Võrgud'!$C:$I,2+$F70,FALSE)</f>
        <v>7.3414588430391253E-2</v>
      </c>
      <c r="Z70" s="227">
        <f>(S70*Tulemused!$Q$9*10+T70*Tulemused!$Q$10*10+KOMBI!U70*Tulemused!$Q$11*10+KOMBI!V70*Tulemused!$Q$12*10)*Tulemused!$Q$8+-(W70*Tulemused!$Q$14*10+KOMBI!X70*Tulemused!$Q$15*10+KOMBI!Y70*Tulemused!$Q$16*10)*Tulemused!$Q$13</f>
        <v>5.5430270860771387</v>
      </c>
      <c r="AA70" s="228">
        <f>(IF(AA$7="X",VLOOKUP(AA$10,'VK-Hooned-Soojus'!$C:$X,2+$C70,FALSE),0)+IF(AA$6="X",VLOOKUP(AA$10,'VK-Transport'!$C:$X,2+$B70,0))+IF(AA$8="X",VLOOKUP(AA$10,'VK-Elekter'!$C:$X,2+$D70,0))+IF(AA$9="X",VLOOKUP(AA$10,'VK-Biokütused'!$C:$U,2+$E70,0))+IF(AA$5="X",VLOOKUP(AA$10,'VK-Põlevkivi'!$C:$X,2+$G70,0))+IF(AA$4="X",VLOOKUP(AA$10,'VK-Võrgud'!$C:$X,2+$F70,0)))</f>
        <v>4727</v>
      </c>
      <c r="AB70" s="228">
        <f>(IF(AB$7="X",VLOOKUP(AB$10,'VK-Hooned-Soojus'!$C:$X,2+$C70,FALSE),0)+IF(AB$6="X",VLOOKUP(AB$10,'VK-Transport'!$C:$X,2+$B70,0))+IF(AB$8="X",VLOOKUP(AB$10,'VK-Elekter'!$C:$X,2+$D70,0))+IF(AB$9="X",VLOOKUP(AB$10,'VK-Biokütused'!$C:$U,2+$E70,0))+IF(AB$5="X",VLOOKUP(AB$10,'VK-Põlevkivi'!$C:$X,2+$G70,0))+IF(AB$4="X",VLOOKUP(AB$10,'VK-Võrgud'!$C:$X,2+$F70,0)))</f>
        <v>1602</v>
      </c>
      <c r="AC70" s="228">
        <f>(IF(AC$7="X",VLOOKUP(AC$10,'VK-Hooned-Soojus'!$C:$X,2+$C70,FALSE),0)+IF(AC$6="X",VLOOKUP(AC$10,'VK-Transport'!$C:$X,2+$B70,0))+IF(AC$8="X",VLOOKUP(AC$10,'VK-Elekter'!$C:$X,2+$D70,0))+IF(AC$9="X",VLOOKUP(AC$10,'VK-Biokütused'!$C:$U,2+$E70,0))+IF(AC$5="X",VLOOKUP(AC$10,'VK-Põlevkivi'!$C:$X,2+$G70,0))+IF(AC$4="X",VLOOKUP(AC$10,'VK-Võrgud'!$C:$X,2+$F70,0)))</f>
        <v>2346</v>
      </c>
      <c r="AD70" s="228">
        <f>(IF(AD$7="X",VLOOKUP(AD$10,'VK-Hooned-Soojus'!$C:$X,2+$C70,FALSE),0)+IF(AD$6="X",VLOOKUP(AD$10,'VK-Transport'!$C:$X,2+$B70,0))+IF(AD$8="X",VLOOKUP(AD$10,'VK-Elekter'!$C:$X,2+$D70,0))+IF(AD$9="X",VLOOKUP(AD$10,'VK-Biokütused'!$C:$U,2+$E70,0))+IF(AD$5="X",VLOOKUP(AD$10,'VK-Põlevkivi'!$C:$X,2+$G70,0))+IF(AD$4="X",VLOOKUP(AD$10,'VK-Võrgud'!$C:$X,2+$F70,0)))</f>
        <v>586.20000000000005</v>
      </c>
      <c r="AE70" s="228">
        <f>(IF(AE$7="X",VLOOKUP(AE$10,'VK-Hooned-Soojus'!$C:$X,2+$C70,FALSE),0)+IF(AE$6="X",VLOOKUP(AE$10,'VK-Transport'!$C:$X,2+$B70,0))+IF(AE$8="X",VLOOKUP(AE$10,'VK-Elekter'!$C:$X,2+$D70,0))+IF(AE$9="X",VLOOKUP(AE$10,'VK-Biokütused'!$C:$U,2+$E70,0))+IF(AE$5="X",VLOOKUP(AE$10,'VK-Põlevkivi'!$C:$X,2+$G70,0))+IF(AE$4="X",VLOOKUP(AE$10,'VK-Võrgud'!$C:$X,2+$F70,0)))</f>
        <v>812</v>
      </c>
      <c r="AF70" s="228">
        <f>(IF(AF$7="X",VLOOKUP(AF$10,'VK-Hooned-Soojus'!$C:$X,2+$C70,FALSE),0)+IF(AF$6="X",VLOOKUP(AF$10,'VK-Transport'!$C:$X,2+$B70,0))+IF(AF$8="X",VLOOKUP(AF$10,'VK-Elekter'!$C:$X,2+$D70,0))+IF(AF$9="X",VLOOKUP(AF$10,'VK-Biokütused'!$C:$U,2+$E70,0))+IF(AF$5="X",VLOOKUP(AF$10,'VK-Põlevkivi'!$C:$X,2+$G70,0))+IF(AF$4="X",VLOOKUP(AF$10,'VK-Võrgud'!$C:$X,2+$F70,0)))</f>
        <v>1892.3823271229701</v>
      </c>
      <c r="AG70" s="209"/>
      <c r="AH70" s="209">
        <f>IF(AH$7="X",VLOOKUP(AH$10,'VK-Hooned-Soojus'!$C:$X,2+$C70,FALSE),0)+IF(AH$6="X",VLOOKUP(AH$10,'VK-Transport'!$C:$X,2+$B70,0))+IF(AH$8="X",VLOOKUP(AH$10,'VK-Elekter'!$C:$X,2+$D70,0))+IF(AH$9="X",VLOOKUP(AH$10,'VK-Biokütused'!$C:$U,2+$E70,0))+IF(AH$5="X",VLOOKUP(AH$10,'VK-Põlevkivi'!$C:$X,2+$G70,0))+IF(AH$4="X",VLOOKUP(AH$10,'VK-Võrgud'!$C:$X,2+$F70,0))</f>
        <v>17.400000000000002</v>
      </c>
      <c r="AI70" s="209">
        <f>IF(AI$7="X",VLOOKUP(AI$10,'VK-Hooned-Soojus'!$C:$X,2+$C70,FALSE),0)+IF(AI$6="X",VLOOKUP(AI$10,'VK-Transport'!$C:$X,2+$B70,0))+IF(AI$8="X",VLOOKUP(AI$10,'VK-Elekter'!$C:$X,2+$D70,0))+IF(AI$9="X",VLOOKUP(AI$10,'VK-Biokütused'!$C:$U,2+$E70,0))+IF(AI$5="X",VLOOKUP(AI$10,'VK-Põlevkivi'!$C:$X,2+$G70,0))+IF(AI$4="X",VLOOKUP(AI$10,'VK-Võrgud'!$C:$X,2+$F70,0))</f>
        <v>2.3100000000000005</v>
      </c>
      <c r="AJ70" s="209">
        <f>IF(AJ$7="X",VLOOKUP(AJ$10,'VK-Hooned-Soojus'!$C:$X,2+$C70,FALSE),0)+IF(AJ$6="X",VLOOKUP(AJ$10,'VK-Transport'!$C:$X,2+$B70,0))+IF(AJ$8="X",VLOOKUP(AJ$10,'VK-Elekter'!$C:$X,2+$D70,0))+IF(AJ$9="X",VLOOKUP(AJ$10,'VK-Biokütused'!$C:$U,2+$E70,0))+IF(AJ$5="X",VLOOKUP(AJ$10,'VK-Põlevkivi'!$C:$X,2+$G70,0))+IF(AJ$4="X",VLOOKUP(AJ$10,'VK-Võrgud'!$C:$X,2+$F70,0))</f>
        <v>4.59</v>
      </c>
      <c r="AK70" s="209">
        <f>IF(AK$7="X",VLOOKUP(AK$10,'VK-Hooned-Soojus'!$C:$X,2+$C70,FALSE),0)+IF(AK$6="X",VLOOKUP(AK$10,'VK-Transport'!$C:$X,2+$B70,0))+IF(AK$8="X",VLOOKUP(AK$10,'VK-Elekter'!$C:$X,2+$D70,0))+IF(AK$9="X",VLOOKUP(AK$10,'VK-Biokütused'!$C:$U,2+$E70,0))+IF(AK$5="X",VLOOKUP(AK$10,'VK-Põlevkivi'!$C:$X,2+$G70,0))+IF(AK$4="X",VLOOKUP(AK$10,'VK-Võrgud'!$C:$X,2+$F70,0))</f>
        <v>-0.41</v>
      </c>
      <c r="AL70" s="209">
        <f>IF(AL$7="X",VLOOKUP(AL$10,'VK-Hooned-Soojus'!$C:$X,2+$C70,FALSE),0)+IF(AL$6="X",VLOOKUP(AL$10,'VK-Transport'!$C:$X,2+$B70,0))+IF(AL$8="X",VLOOKUP(AL$10,'VK-Elekter'!$C:$X,2+$D70,0))+IF(AL$9="X",VLOOKUP(AL$10,'VK-Biokütused'!$C:$U,2+$E70,0))+IF(AL$5="X",VLOOKUP(AL$10,'VK-Põlevkivi'!$C:$X,2+$G70,0))+IF(AL$4="X",VLOOKUP(AL$10,'VK-Võrgud'!$C:$X,2+$F70,0))</f>
        <v>7.1999999999999993</v>
      </c>
      <c r="AM70" s="209">
        <f>IF(AM$7="X",VLOOKUP(AM$10,'VK-Hooned-Soojus'!$C:$X,2+$C70,FALSE),0)+IF(AM$6="X",VLOOKUP(AM$10,'VK-Transport'!$C:$X,2+$B70,0))+IF(AM$8="X",VLOOKUP(AM$10,'VK-Elekter'!$C:$X,2+$D70,0))+IF(AM$9="X",VLOOKUP(AM$10,'VK-Biokütused'!$C:$U,2+$E70,0))+IF(AM$5="X",VLOOKUP(AM$10,'VK-Põlevkivi'!$C:$X,2+$G70,0))+IF(AM$4="X",VLOOKUP(AM$10,'VK-Võrgud'!$C:$X,2+$F70,0))</f>
        <v>12.9</v>
      </c>
      <c r="AN70" s="209">
        <f>IF(AN$7="X",VLOOKUP(AN$10,'VK-Hooned-Soojus'!$C:$X,2+$C70,FALSE),0)+IF(AN$6="X",VLOOKUP(AN$10,'VK-Transport'!$C:$X,2+$B70,0))+IF(AN$8="X",VLOOKUP(AN$10,'VK-Elekter'!$C:$X,2+$D70,0))+IF(AN$9="X",VLOOKUP(AN$10,'VK-Biokütused'!$C:$U,2+$E70,0))+IF(AN$5="X",VLOOKUP(AN$10,'VK-Põlevkivi'!$C:$X,2+$G70,0))+IF(AN$4="X",VLOOKUP(AN$10,'VK-Võrgud'!$C:$X,2+$F70,0))</f>
        <v>5.6999999999999993</v>
      </c>
      <c r="AO70" s="209">
        <f>IF(AO$7="X",VLOOKUP(AO$10,'VK-Hooned-Soojus'!$C:$X,2+$C70,FALSE),0)+IF(AO$6="X",VLOOKUP(AO$10,'VK-Transport'!$C:$X,2+$B70,0))+IF(AO$8="X",VLOOKUP(AO$10,'VK-Elekter'!$C:$X,2+$D70,0))+IF(AO$9="X",VLOOKUP(AO$10,'VK-Biokütused'!$C:$U,2+$E70,0))+IF(AO$5="X",VLOOKUP(AO$10,'VK-Põlevkivi'!$C:$X,2+$G70,0))+IF(AO$4="X",VLOOKUP(AO$10,'VK-Võrgud'!$C:$X,2+$F70,0))</f>
        <v>13.56</v>
      </c>
      <c r="AP70" s="209">
        <f>IF(AP$7="X",VLOOKUP(AP$10,'VK-Hooned-Soojus'!$C:$X,2+$C70,FALSE),0)+IF(AP$6="X",VLOOKUP(AP$10,'VK-Transport'!$C:$X,2+$B70,0))+IF(AP$8="X",VLOOKUP(AP$10,'VK-Elekter'!$C:$X,2+$D70,0))+IF(AP$9="X",VLOOKUP(AP$10,'VK-Biokütused'!$C:$U,2+$E70,0))+IF(AP$5="X",VLOOKUP(AP$10,'VK-Põlevkivi'!$C:$X,2+$G70,0))+IF(AP$4="X",VLOOKUP(AP$10,'VK-Võrgud'!$C:$X,2+$F70,0))</f>
        <v>6.78</v>
      </c>
      <c r="AQ70" s="320">
        <f t="shared" si="14"/>
        <v>1.2599999999999998</v>
      </c>
      <c r="AR70" s="209">
        <f>IF(AR$7="X",VLOOKUP(AR$10,'VK-Hooned-Soojus'!$C:$X,2+$C70,FALSE),0)+IF(AR$6="X",VLOOKUP(AR$10,'VK-Transport'!$C:$X,2+$B70,0))+IF(AR$8="X",VLOOKUP(AR$10,'VK-Elekter'!$C:$X,2+$D70,0))+IF(AR$9="X",VLOOKUP(AR$10,'VK-Biokütused'!$C:$U,2+$E70,0))+IF(AR$5="X",VLOOKUP(AR$10,'VK-Põlevkivi'!$C:$X,2+$G70,0))+IF(AR$4="X",VLOOKUP(AR$10,'VK-Võrgud'!$C:$X,2+$F70,0))</f>
        <v>13.909999999999998</v>
      </c>
      <c r="AS70" s="235">
        <f>'VK-Põlevkivi'!$F$8-AR70-AU70</f>
        <v>14.198622986547708</v>
      </c>
      <c r="AT70" s="209">
        <f>IF(AT$7="X",VLOOKUP(AT$10,'VK-Hooned-Soojus'!$C:$X,2+$C70,FALSE),0)+IF(AT$6="X",VLOOKUP(AT$10,'VK-Transport'!$C:$X,2+$B70,0))+IF(AT$8="X",VLOOKUP(AT$10,'VK-Elekter'!$C:$X,2+$D70,0))+IF(AT$9="X",VLOOKUP(AT$10,'VK-Biokütused'!$C:$U,2+$E70,0))+IF(AT$5="X",VLOOKUP(AT$10,'VK-Põlevkivi'!$C:$X,2+$G70,0))+IF(AT$4="X",VLOOKUP(AT$10,'VK-Võrgud'!$C:$X,2+$F70,0))</f>
        <v>9.2784458909544707</v>
      </c>
      <c r="AU70" s="235">
        <f>'VK-Põlevkivi'!$F$9-VLOOKUP("Kütuste tarbimine @ 2030 - PÕLEVKIVIÕLI",'VK-Hooned-Soojus'!$C:$X,2+$C70,FALSE)</f>
        <v>28.428043680118964</v>
      </c>
      <c r="AV70" s="209">
        <f>IF(AV$7="X",VLOOKUP(AV$10,'VK-Hooned-Soojus'!$C:$X,2+$C70,FALSE),0)+IF(AV$6="X",VLOOKUP(AV$10,'VK-Transport'!$C:$X,2+$B70,0))+IF(AV$8="X",VLOOKUP(AV$10,'VK-Elekter'!$C:$X,2+$D70,0))+IF(AV$9="X",VLOOKUP(AV$10,'VK-Biokütused'!$C:$U,2+$E70,0))+IF(AV$5="X",VLOOKUP(AV$10,'VK-Põlevkivi'!$C:$X,2+$G70,0))+IF(AV$4="X",VLOOKUP(AV$10,'VK-Võrgud'!$C:$X,2+$F70,0))</f>
        <v>1.7257321590343366</v>
      </c>
      <c r="AW70" s="209">
        <f>IF(AW$7="X",VLOOKUP(AW$10,'VK-Hooned-Soojus'!$C:$X,2+$C70,FALSE),0)+IF(AW$6="X",VLOOKUP(AW$10,'VK-Transport'!$C:$X,2+$B70,0))+IF(AW$8="X",VLOOKUP(AW$10,'VK-Elekter'!$C:$X,2+$D70,0))+IF(AW$9="X",VLOOKUP(AW$10,'VK-Biokütused'!$C:$U,2+$E70,0))+IF(AW$5="X",VLOOKUP(AW$10,'VK-Põlevkivi'!$C:$X,2+$G70,0))+IF(AW$4="X",VLOOKUP(AW$10,'VK-Võrgud'!$C:$X,2+$F70,0))</f>
        <v>4.2799999999999994</v>
      </c>
      <c r="AX70" s="229">
        <f t="shared" si="34"/>
        <v>2.5542678409656627</v>
      </c>
      <c r="AY70" s="229">
        <f t="shared" si="15"/>
        <v>0</v>
      </c>
      <c r="AZ70" s="230">
        <f t="shared" si="36"/>
        <v>0.32037459093904097</v>
      </c>
      <c r="BA70" s="209">
        <f>IF(BA$7="X",VLOOKUP(BA$10,'VK-Hooned-Soojus'!$C:$X,2+$C70,FALSE),0)+IF(BA$6="X",VLOOKUP(BA$10,'VK-Transport'!$C:$X,2+$B70,0))+IF(BA$8="X",VLOOKUP(BA$10,'VK-Elekter'!$C:$X,2+$D70,0))+IF(BA$9="X",VLOOKUP(BA$10,'VK-Biokütused'!$C:$U,2+$E70,0))+IF(BA$5="X",VLOOKUP(BA$10,'VK-Põlevkivi'!$C:$X,2+$G70,0))+IF(BA$4="X",VLOOKUP(BA$10,'VK-Võrgud'!$C:$X,2+$F70,0))</f>
        <v>7.41</v>
      </c>
      <c r="BB70" s="209">
        <f>IF(BB$7="X",VLOOKUP(BB$10,'VK-Hooned-Soojus'!$C:$X,2+$C70,FALSE),0)+IF(BB$6="X",VLOOKUP(BB$10,'VK-Transport'!$C:$X,2+$B70,0))+IF(BB$8="X",VLOOKUP(BB$10,'VK-Elekter'!$C:$X,2+$D70,0))+IF(BB$9="X",VLOOKUP(BB$10,'VK-Biokütused'!$C:$U,2+$E70,0))+IF(BB$5="X",VLOOKUP(BB$10,'VK-Põlevkivi'!$C:$X,2+$G70,0))+IF(BB$4="X",VLOOKUP(BB$10,'VK-Võrgud'!$C:$X,2+$F70,0))</f>
        <v>2.96</v>
      </c>
      <c r="BC70" s="209">
        <f>IF(BC$7="X",VLOOKUP(BC$10,'VK-Hooned-Soojus'!$C:$X,2+$C70,FALSE),0)+IF(BC$6="X",VLOOKUP(BC$10,'VK-Transport'!$C:$X,2+$B70,0))+IF(BC$8="X",VLOOKUP(BC$10,'VK-Elekter'!$C:$X,2+$D70,0))+IF(BC$9="X",VLOOKUP(BC$10,'VK-Biokütused'!$C:$U,2+$E70,0))+IF(BC$5="X",VLOOKUP(BC$10,'VK-Põlevkivi'!$C:$X,2+$G70,0))+IF(BC$4="X",VLOOKUP(BC$10,'VK-Võrgud'!$C:$X,2+$F70,0))</f>
        <v>8.0523611111111126</v>
      </c>
      <c r="BD70" s="209">
        <f>IF(BD$7="X",VLOOKUP(BD$10,'VK-Hooned-Soojus'!$C:$X,2+$C70,FALSE),0)+IF(BD$6="X",VLOOKUP(BD$10,'VK-Transport'!$C:$X,2+$B70,0))+IF(BD$8="X",VLOOKUP(BD$10,'VK-Elekter'!$C:$X,2+$D70,0))+IF(BD$9="X",VLOOKUP(BD$10,'VK-Biokütused'!$C:$U,2+$E70,0))+IF(BD$5="X",VLOOKUP(BD$10,'VK-Põlevkivi'!$C:$X,2+$G70,0))+IF(BD$4="X",VLOOKUP(BD$10,'VK-Võrgud'!$C:$X,2+$F70,0))</f>
        <v>10.42138888888889</v>
      </c>
      <c r="BE70" s="230"/>
      <c r="BF70" s="229">
        <f t="shared" si="16"/>
        <v>0.26049846883007888</v>
      </c>
      <c r="BG70" s="209" t="e">
        <f>(IF(BG$7="X",VLOOKUP(BG$10,'VK-Hooned-Soojus'!$C:$X,2+$C70,FALSE),0)+IF(BG$6="X",VLOOKUP(BG$10,'VK-Transport'!$C:$X,2+$B70,0))+IF(BG$8="X",VLOOKUP(BG$10,'VK-Elekter'!$C:$X,2+$D70,0))+IF(BG$9="X",VLOOKUP(BG$10,'VK-Biokütused'!$C:$U,2+$E70,0))+IF(BG$5="X",VLOOKUP(BG$10,'VK-Põlevkivi'!$C:$X,2+$G70,0))+IF(BG$4="X",VLOOKUP(BG$10,'VK-Võrgud'!$C:$X,2+$F70,0)))/20</f>
        <v>#N/A</v>
      </c>
      <c r="BH70" s="209">
        <f>(IF(BH$7="X",VLOOKUP(BH$10,'VK-Hooned-Soojus'!$C:$X,2+$C70,FALSE),0)+IF(BH$6="X",VLOOKUP(BH$10,'VK-Transport'!$C:$X,2+$B70,0))+IF(BH$8="X",VLOOKUP(BH$10,'VK-Elekter'!$C:$X,2+$D70,0))+IF(BH$9="X",VLOOKUP(BH$10,'VK-Biokütused'!$C:$U,2+$E70,0))+IF(BH$5="X",VLOOKUP(BH$10,'VK-Põlevkivi'!$C:$X,2+$G70,0))+IF(BH$4="X",VLOOKUP(BH$10,'VK-Võrgud'!$C:$X,2+$F70,0)))/20</f>
        <v>13.99</v>
      </c>
      <c r="BI70" s="209">
        <f>(IF(BI$7="X",VLOOKUP(BI$10,'VK-Hooned-Soojus'!$C:$X,2+$C70,FALSE),0)+IF(BI$6="X",VLOOKUP(BI$10,'VK-Transport'!$C:$X,2+$B70,0))+IF(BI$8="X",VLOOKUP(BI$10,'VK-Elekter'!$C:$X,2+$D70,0))+IF(BI$9="X",VLOOKUP(BI$10,'VK-Biokütused'!$C:$U,2+$E70,0))+IF(BI$5="X",VLOOKUP(BI$10,'VK-Põlevkivi'!$C:$X,2+$G70,0))+IF(BI$4="X",VLOOKUP(BI$10,'VK-Võrgud'!$C:$X,2+$F70,0)))/16</f>
        <v>17.75</v>
      </c>
      <c r="BJ70" s="209">
        <f>(IF(BJ$7="X",VLOOKUP(BJ$10,'VK-Hooned-Soojus'!$C:$X,2+$C70,FALSE),0)+IF(BJ$6="X",VLOOKUP(BJ$10,'VK-Transport'!$C:$X,2+$B70,0))+IF(BJ$8="X",VLOOKUP(BJ$10,'VK-Elekter'!$C:$X,2+$D70,0))+IF(BJ$9="X",VLOOKUP(BJ$10,'VK-Biokütused'!$C:$U,2+$E70,0))+IF(BJ$5="X",VLOOKUP(BJ$10,'VK-Põlevkivi'!$C:$X,2+$G70,0))+IF(BJ$4="X",VLOOKUP(BJ$10,'VK-Võrgud'!$C:$X,2+$F70,0)))/20</f>
        <v>1.85</v>
      </c>
      <c r="BK70" s="209"/>
      <c r="BL70" s="209"/>
      <c r="BM70" s="209"/>
      <c r="BN70" s="209" t="e">
        <f>(IF(BN$7="X",VLOOKUP(BN$10,'VK-Hooned-Soojus'!$C:$X,2+$C70,FALSE),0)+IF(BN$6="X",VLOOKUP(BN$10,'VK-Transport'!$C:$X,2+$B70,0))+IF(BN$8="X",VLOOKUP(BN$10,'VK-Elekter'!$C:$X,2+$D70,0))+IF(BN$9="X",VLOOKUP(BN$10,'VK-Biokütused'!$C:$U,2+$E70,0))+IF(BN$5="X",VLOOKUP(BN$10,'VK-Põlevkivi'!$C:$X,2+$G70,0))+IF(BN$4="X",VLOOKUP(BN$10,'VK-Võrgud'!$C:$X,2+$F70,0)))/16</f>
        <v>#N/A</v>
      </c>
      <c r="BO70" s="209">
        <f>(IF(BO$7="X",VLOOKUP(BO$10,'VK-Hooned-Soojus'!$C:$X,2+$C70,FALSE),0)+IF(BO$6="X",VLOOKUP(BO$10,'VK-Transport'!$C:$X,2+$B70,0))+IF(BO$8="X",VLOOKUP(BO$10,'VK-Elekter'!$C:$X,2+$D70,0))+IF(BO$9="X",VLOOKUP(BO$10,'VK-Biokütused'!$C:$U,2+$E70,0))+IF(BO$5="X",VLOOKUP(BO$10,'VK-Põlevkivi'!$C:$X,2+$G70,0))+IF(BO$4="X",VLOOKUP(BO$10,'VK-Võrgud'!$C:$X,2+$F70,0)))/16</f>
        <v>405.45</v>
      </c>
      <c r="BP70" s="209"/>
      <c r="BQ70" s="209">
        <f>(IF(BQ$7="X",VLOOKUP(BQ$10,'VK-Hooned-Soojus'!$C:$X,2+$C70,FALSE),0)+IF(BQ$6="X",VLOOKUP(BQ$10,'VK-Transport'!$C:$X,2+$B70,0))+IF(BQ$8="X",VLOOKUP(BQ$10,'VK-Elekter'!$C:$X,2+$D70,0))+IF(BQ$9="X",VLOOKUP(BQ$10,'VK-Biokütused'!$C:$U,2+$E70,0))+IF(BQ$5="X",VLOOKUP(BQ$10,'VK-Põlevkivi'!$C:$X,2+$G70,0))+IF(BQ$4="X",VLOOKUP(BQ$10,'VK-Võrgud'!$C:$X,2+$F70,0)))/16</f>
        <v>127.6</v>
      </c>
      <c r="BR70" s="209">
        <f>(IF(BR$7="X",VLOOKUP(BR$10,'VK-Hooned-Soojus'!$C:$X,2+$C70,FALSE),0)+IF(BR$6="X",VLOOKUP(BR$10,'VK-Transport'!$C:$X,2+$B70,0))+IF(BR$8="X",VLOOKUP(BR$10,'VK-Elekter'!$C:$X,2+$D70,0))+IF(BR$9="X",VLOOKUP(BR$10,'VK-Biokütused'!$C:$U,2+$E70,0))+IF(BR$5="X",VLOOKUP(BR$10,'VK-Põlevkivi'!$C:$X,2+$G70,0))+IF(BR$4="X",VLOOKUP(BR$10,'VK-Võrgud'!$C:$X,2+$F70,0)))/16</f>
        <v>27.475000000000001</v>
      </c>
      <c r="BS70" s="209">
        <f>(IF(BS$7="X",VLOOKUP(BS$10,'VK-Hooned-Soojus'!$C:$X,2+$C70,FALSE),0)+IF(BS$6="X",VLOOKUP(BS$10,'VK-Transport'!$C:$X,2+$B70,0))+IF(BS$8="X",VLOOKUP(BS$10,'VK-Elekter'!$C:$X,2+$D70,0))+IF(BS$9="X",VLOOKUP(BS$10,'VK-Biokütused'!$C:$U,2+$E70,0))+IF(BS$5="X",VLOOKUP(BS$10,'VK-Põlevkivi'!$C:$X,2+$G70,0))+IF(BS$4="X",VLOOKUP(BS$10,'VK-Võrgud'!$C:$X,2+$F70,0)))/16</f>
        <v>-23.293749999999999</v>
      </c>
      <c r="BT70" s="209"/>
      <c r="BU70" s="209"/>
      <c r="BV70" s="209">
        <f>(IF(BV$7="X",VLOOKUP(BV$10,'VK-Hooned-Soojus'!$C:$X,2+$C70,FALSE),0)+IF(BV$6="X",VLOOKUP(BV$10,'VK-Transport'!$C:$X,2+$B70,0))+IF(BV$8="X",VLOOKUP(BV$10,'VK-Elekter'!$C:$X,2+$D70,0))+IF(BV$9="X",VLOOKUP(BV$10,'VK-Biokütused'!$C:$U,2+$E70,0))+IF(BV$5="X",VLOOKUP(BV$10,'VK-Põlevkivi'!$C:$X,2+$G70,0))+IF(BV$4="X",VLOOKUP(BV$10,'VK-Võrgud'!$C:$X,2+$F70,0)))/16</f>
        <v>0</v>
      </c>
      <c r="BW70" s="209"/>
      <c r="BX70" s="209">
        <f>(IF(BX$7="X",VLOOKUP(BX$10,'VK-Hooned-Soojus'!$C:$X,2+$C70,FALSE),0)+IF(BX$6="X",VLOOKUP(BX$10,'VK-Transport'!$C:$X,2+$B70,0))+IF(BX$8="X",VLOOKUP(BX$10,'VK-Elekter'!$C:$X,2+$D70,0))+IF(BX$9="X",VLOOKUP(BX$10,'VK-Biokütused'!$C:$U,2+$E70,0))+IF(BX$5="X",VLOOKUP(BX$10,'VK-Põlevkivi'!$C:$X,2+$G70,0))+IF(BX$4="X",VLOOKUP(BX$10,'VK-Võrgud'!$C:$X,2+$F70,0)))/16</f>
        <v>-145.125</v>
      </c>
      <c r="BY70" s="209"/>
      <c r="BZ70" s="209"/>
      <c r="CA70" s="209" t="e">
        <f>(IF(CA$7="X",VLOOKUP(CA$10,'VK-Hooned-Soojus'!$C:$X,2+$C70,FALSE),0)+IF(CA$6="X",VLOOKUP(CA$10,'VK-Transport'!$C:$X,2+$B70,0))+IF(CA$8="X",VLOOKUP(CA$10,'VK-Elekter'!$C:$X,2+$D70,0))+IF(CA$9="X",VLOOKUP(CA$10,'VK-Biokütused'!$C:$U,2+$E70,0))+IF(CA$5="X",VLOOKUP(CA$10,'VK-Põlevkivi'!$C:$X,2+$G70,0))+IF(CA$4="X",VLOOKUP(CA$10,'VK-Võrgud'!$C:$X,2+$F70,0)))/16</f>
        <v>#N/A</v>
      </c>
      <c r="CB70" s="209">
        <f>(IF(CB$7="X",VLOOKUP(CB$10,'VK-Hooned-Soojus'!$C:$X,2+$C70,FALSE),0)+IF(CB$6="X",VLOOKUP(CB$10,'VK-Transport'!$C:$X,2+$B70,0))+IF(CB$8="X",VLOOKUP(CB$10,'VK-Elekter'!$C:$X,2+$D70,0))+IF(CB$9="X",VLOOKUP(CB$10,'VK-Biokütused'!$C:$U,2+$E70,0))+IF(CB$5="X",VLOOKUP(CB$10,'VK-Põlevkivi'!$C:$X,2+$G70,0))+IF(CB$4="X",VLOOKUP(CB$10,'VK-Võrgud'!$C:$X,2+$F70,0)))/16</f>
        <v>0</v>
      </c>
      <c r="CC70" s="209">
        <f>(IF(CC$7="X",VLOOKUP(CC$10,'VK-Hooned-Soojus'!$C:$X,2+$C70,FALSE),0)+IF(CC$6="X",VLOOKUP(CC$10,'VK-Transport'!$C:$X,2+$B70,0))+IF(CC$8="X",VLOOKUP(CC$10,'VK-Elekter'!$C:$X,2+$D70,0))+IF(CC$9="X",VLOOKUP(CC$10,'VK-Biokütused'!$C:$U,2+$E70,0))+IF(CC$5="X",VLOOKUP(CC$10,'VK-Põlevkivi'!$C:$X,2+$G70,0))+IF(CC$4="X",VLOOKUP(CC$10,'VK-Võrgud'!$C:$X,2+$F70,0)))/16</f>
        <v>0</v>
      </c>
      <c r="CD70" s="209"/>
      <c r="CE70" s="209">
        <f>(IF(CE$7="X",VLOOKUP(CE$10,'VK-Hooned-Soojus'!$C:$X,2+$C70,FALSE),0)+IF(CE$6="X",VLOOKUP(CE$10,'VK-Transport'!$C:$X,2+$B70,0))+IF(CE$8="X",VLOOKUP(CE$10,'VK-Elekter'!$C:$X,2+$D70,0))+IF(CE$9="X",VLOOKUP(CE$10,'VK-Biokütused'!$C:$U,2+$E70,0))+IF(CE$5="X",VLOOKUP(CE$10,'VK-Põlevkivi'!$C:$X,2+$G70,0))+IF(CE$4="X",VLOOKUP(CE$10,'VK-Võrgud'!$C:$X,2+$F70,0)))/16</f>
        <v>24.15625</v>
      </c>
      <c r="CF70" s="209"/>
      <c r="CG70" s="209">
        <f>(IF(CG$7="X",VLOOKUP(CG$10,'VK-Hooned-Soojus'!$C:$X,2+$C70,FALSE),0)+IF(CG$6="X",VLOOKUP(CG$10,'VK-Transport'!$C:$X,2+$B70,0))+IF(CG$8="X",VLOOKUP(CG$10,'VK-Elekter'!$C:$X,2+$D70,0))+IF(CG$9="X",VLOOKUP(CG$10,'VK-Biokütused'!$C:$U,2+$E70,0))+IF(CG$5="X",VLOOKUP(CG$10,'VK-Põlevkivi'!$C:$X,2+$G70,0))+IF(CG$4="X",VLOOKUP(CG$10,'VK-Võrgud'!$C:$X,2+$F70,0)))/16</f>
        <v>0</v>
      </c>
      <c r="CH70" s="209">
        <f>(IF(CH$7="X",VLOOKUP(CH$10,'VK-Hooned-Soojus'!$C:$X,2+$C70,FALSE),0)+IF(CH$6="X",VLOOKUP(CH$10,'VK-Transport'!$C:$X,2+$B70,0))+IF(CH$8="X",VLOOKUP(CH$10,'VK-Elekter'!$C:$X,2+$D70,0))+IF(CH$9="X",VLOOKUP(CH$10,'VK-Biokütused'!$C:$U,2+$E70,0))+IF(CH$5="X",VLOOKUP(CH$10,'VK-Põlevkivi'!$C:$X,2+$G70,0))+IF(CH$4="X",VLOOKUP(CH$10,'VK-Võrgud'!$C:$X,2+$F70,0)))/20*0.21</f>
        <v>5.6122500000000004</v>
      </c>
      <c r="CI70" s="209"/>
      <c r="CJ70" s="209">
        <f>(IF(CJ$7="X",VLOOKUP(CJ$10,'VK-Hooned-Soojus'!$C:$X,2+$C70,FALSE),0)+IF(CJ$6="X",VLOOKUP(CJ$10,'VK-Transport'!$C:$X,2+$B70,0))+IF(CJ$8="X",VLOOKUP(CJ$10,'VK-Elekter'!$C:$X,2+$D70,0))+IF(CJ$9="X",VLOOKUP(CJ$10,'VK-Biokütused'!$C:$U,2+$E70,0))+IF(CJ$5="X",VLOOKUP(CJ$10,'VK-Põlevkivi'!$C:$X,2+$G70,0))+IF(CJ$4="X",VLOOKUP(CJ$10,'VK-Võrgud'!$C:$X,2+$F70,0)))/1000</f>
        <v>23.565999999999999</v>
      </c>
      <c r="CK70" s="209">
        <f>(IF(CK$7="X",VLOOKUP(CK$10,'VK-Hooned-Soojus'!$C:$X,2+$C70,FALSE),0)+IF(CK$6="X",VLOOKUP(CK$10,'VK-Transport'!$C:$X,2+$B70,0))+IF(CK$8="X",VLOOKUP(CK$10,'VK-Elekter'!$C:$X,2+$D70,0))+IF(CK$9="X",VLOOKUP(CK$10,'VK-Biokütused'!$C:$U,2+$E70,0))+IF(CK$5="X",VLOOKUP(CK$10,'VK-Põlevkivi'!$C:$X,2+$G70,0))+IF(CK$4="X",VLOOKUP(CK$10,'VK-Võrgud'!$C:$X,2+$F70,0)))/1000</f>
        <v>39.422916215793229</v>
      </c>
      <c r="CL70" s="209">
        <f>(IF(CL$7="X",VLOOKUP(CL$10,'VK-Hooned-Soojus'!$C:$X,2+$C70,FALSE),0)+IF(CL$6="X",VLOOKUP(CL$10,'VK-Transport'!$C:$X,2+$B70,0))+IF(CL$8="X",VLOOKUP(CL$10,'VK-Elekter'!$C:$X,2+$D70,0))+IF(CL$9="X",VLOOKUP(CL$10,'VK-Biokütused'!$C:$U,2+$E70,0))+IF(CL$5="X",VLOOKUP(CL$10,'VK-Põlevkivi'!$C:$X,2+$G70,0))+IF(CL$4="X",VLOOKUP(CL$10,'VK-Võrgud'!$C:$X,2+$F70,0)))/1000</f>
        <v>12.170289559723789</v>
      </c>
      <c r="CM70" s="209">
        <f>(IF(CM$7="X",VLOOKUP(CM$10,'VK-Hooned-Soojus'!$C:$X,2+$C70,FALSE),0)+IF(CM$6="X",VLOOKUP(CM$10,'VK-Transport'!$C:$X,2+$B70,0))+IF(CM$8="X",VLOOKUP(CM$10,'VK-Elekter'!$C:$X,2+$D70,0))+IF(CM$9="X",VLOOKUP(CM$10,'VK-Biokütused'!$C:$U,2+$E70,0))+IF(CM$5="X",VLOOKUP(CM$10,'VK-Põlevkivi'!$C:$X,2+$G70,0))+IF(CM$4="X",VLOOKUP(CM$10,'VK-Võrgud'!$C:$X,2+$F70,0)))/1000</f>
        <v>8.4909896156049154</v>
      </c>
      <c r="CN70" s="209">
        <f>(IF(CN$7="X",VLOOKUP(CN$10,'VK-Hooned-Soojus'!$C:$X,2+$C70,FALSE),0)+IF(CN$6="X",VLOOKUP(CN$10,'VK-Transport'!$C:$X,2+$B70,0))+IF(CN$8="X",VLOOKUP(CN$10,'VK-Elekter'!$C:$X,2+$D70,0))+IF(CN$9="X",VLOOKUP(CN$10,'VK-Biokütused'!$C:$U,2+$E70,0))+IF(CN$5="X",VLOOKUP(CN$10,'VK-Põlevkivi'!$C:$X,2+$G70,0))+IF(CN$4="X",VLOOKUP(CN$10,'VK-Võrgud'!$C:$X,2+$F70,0)))/1000</f>
        <v>3.1680000000000001</v>
      </c>
      <c r="CO70" s="209">
        <f>(IF(CO$7="X",VLOOKUP(CO$10,'VK-Hooned-Soojus'!$C:$X,2+$C70,FALSE),0)+IF(CO$6="X",VLOOKUP(CO$10,'VK-Transport'!$C:$X,2+$B70,0))+IF(CO$8="X",VLOOKUP(CO$10,'VK-Elekter'!$C:$X,2+$D70,0))+IF(CO$9="X",VLOOKUP(CO$10,'VK-Biokütused'!$C:$U,2+$E70,0))+IF(CO$5="X",VLOOKUP(CO$10,'VK-Põlevkivi'!$C:$X,2+$G70,0))+IF(CO$4="X",VLOOKUP(CO$10,'VK-Võrgud'!$C:$X,2+$F70,0)))/1000</f>
        <v>29.735575210797279</v>
      </c>
      <c r="CP70" s="209">
        <f>(IF(CP$7="X",VLOOKUP(CP$10,'VK-Hooned-Soojus'!$C:$X,2+$C70,FALSE),0)+IF(CP$6="X",VLOOKUP(CP$10,'VK-Transport'!$C:$X,2+$B70,0))+IF(CP$8="X",VLOOKUP(CP$10,'VK-Elekter'!$C:$X,2+$D70,0))+IF(CP$9="X",VLOOKUP(CP$10,'VK-Biokütused'!$C:$U,2+$E70,0))+IF(CP$5="X",VLOOKUP(CP$10,'VK-Põlevkivi'!$C:$X,2+$G70,0))+IF(CP$4="X",VLOOKUP(CP$10,'VK-Võrgud'!$C:$X,2+$F70,0)))/1000</f>
        <v>32.720476724654098</v>
      </c>
      <c r="CQ70" s="209">
        <f>(IF(CQ$7="X",VLOOKUP(CQ$10,'VK-Hooned-Soojus'!$C:$X,2+$C70,FALSE),0)+IF(CQ$6="X",VLOOKUP(CQ$10,'VK-Transport'!$C:$X,2+$B70,0))+IF(CQ$8="X",VLOOKUP(CQ$10,'VK-Elekter'!$C:$X,2+$D70,0))+IF(CQ$9="X",VLOOKUP(CQ$10,'VK-Biokütused'!$C:$U,2+$E70,0))+IF(CQ$5="X",VLOOKUP(CQ$10,'VK-Põlevkivi'!$C:$X,2+$G70,0))+IF(CQ$4="X",VLOOKUP(CQ$10,'VK-Võrgud'!$C:$X,2+$F70,0)))/1000</f>
        <v>17.230345999999997</v>
      </c>
      <c r="CR70" s="209">
        <f>(IF(CR$7="X",VLOOKUP(CR$10,'VK-Hooned-Soojus'!$C:$X,2+$C70,FALSE),0)+IF(CR$6="X",VLOOKUP(CR$10,'VK-Transport'!$C:$X,2+$B70,0))+IF(CR$8="X",VLOOKUP(CR$10,'VK-Elekter'!$C:$X,2+$D70,0))+IF(CR$9="X",VLOOKUP(CR$10,'VK-Biokütused'!$C:$U,2+$E70,0))+IF(CR$5="X",VLOOKUP(CR$10,'VK-Põlevkivi'!$C:$X,2+$G70,0))+IF(CR$4="X",VLOOKUP(CR$10,'VK-Võrgud'!$C:$X,2+$F70,0)))/1000</f>
        <v>8.4070872784575741</v>
      </c>
      <c r="CS70" s="209">
        <f>(IF(CS$7="X",VLOOKUP(CS$10,'VK-Hooned-Soojus'!$C:$X,2+$C70,FALSE),0)+IF(CS$6="X",VLOOKUP(CS$10,'VK-Transport'!$C:$X,2+$B70,0))+IF(CS$8="X",VLOOKUP(CS$10,'VK-Elekter'!$C:$X,2+$D70,0))+IF(CS$9="X",VLOOKUP(CS$10,'VK-Biokütused'!$C:$U,2+$E70,0))+IF(CS$5="X",VLOOKUP(CS$10,'VK-Põlevkivi'!$C:$X,2+$G70,0))+IF(CS$4="X",VLOOKUP(CS$10,'VK-Võrgud'!$C:$X,2+$F70,0)))/1000</f>
        <v>3.8643344900598322</v>
      </c>
      <c r="CT70" s="209">
        <f>IF(CT$7="X",VLOOKUP(CT$10,'VK-Hooned-Soojus'!$C:$X,2+$C70,FALSE),0)+IF(CT$6="X",VLOOKUP(CT$10,'VK-Transport'!$C:$X,2+$B70,0))+IF(CT$8="X",VLOOKUP(CT$10,'VK-Elekter'!$C:$X,2+$D70,0))+IF(CT$9="X",VLOOKUP(CT$10,'VK-Biokütused'!$C:$U,2+$E70,0))+IF(CT$5="X",VLOOKUP(CT$10,'VK-Põlevkivi'!$C:$X,2+$G70,0))+IF(CT$4="X",VLOOKUP(CT$10,'VK-Võrgud'!$C:$X,2+$F70,0))</f>
        <v>90</v>
      </c>
      <c r="CU70" s="209">
        <f>IF(CU$7="X",VLOOKUP(CU$10,'VK-Hooned-Soojus'!$C:$X,2+$C70,FALSE),0)+IF(CU$6="X",VLOOKUP(CU$10,'VK-Transport'!$C:$X,2+$B70,0))+IF(CU$8="X",VLOOKUP(CU$10,'VK-Elekter'!$C:$X,2+$D70,0))+IF(CU$9="X",VLOOKUP(CU$10,'VK-Biokütused'!$C:$U,2+$E70,0))+IF(CU$5="X",VLOOKUP(CU$10,'VK-Põlevkivi'!$C:$X,2+$G70,0))+IF(CU$4="X",VLOOKUP(CU$10,'VK-Võrgud'!$C:$X,2+$F70,0))</f>
        <v>1</v>
      </c>
      <c r="CV70" s="209">
        <f t="shared" si="37"/>
        <v>0.84317482403548605</v>
      </c>
      <c r="CW70" s="209">
        <f>(IF(CW$7="X",VLOOKUP(CW$10,'VK-Hooned-Soojus'!$C:$X,2+$C70,FALSE),0)+IF(CW$6="X",VLOOKUP(CW$10,'VK-Transport'!$C:$X,2+$B70,0))+IF(CW$8="X",VLOOKUP(CW$10,'VK-Elekter'!$C:$X,2+$D70,0))+IF(CW$9="X",VLOOKUP(CW$10,'VK-Biokütused'!$C:$U,2+$E70,0))+IF(CW$5="X",VLOOKUP(CW$10,'VK-Põlevkivi'!$C:$X,2+$G70,0))+IF(CW$4="X",VLOOKUP(CW$10,'VK-Võrgud'!$C:$X,2+$F70,0)))/16</f>
        <v>126.01875</v>
      </c>
      <c r="CY70" s="209">
        <f>(IF(CY$7="X",VLOOKUP(CY$10,'VK-Hooned-Soojus'!$C:$X,2+$C70,FALSE),0)+IF(CY$6="X",VLOOKUP(CY$10,'VK-Transport'!$C:$X,2+$B70,0))+IF(CY$8="X",VLOOKUP(CY$10,'VK-Elekter'!$C:$X,2+$D70,0))+IF(CY$9="X",VLOOKUP(CY$10,'VK-Biokütused'!$C:$U,2+$E70,0))+IF(CY$5="X",VLOOKUP(CY$10,'VK-Põlevkivi'!$C:$X,2+$G70,0))+IF(CY$4="X",VLOOKUP(CY$10,'VK-Võrgud'!$C:$X,2+$F70,0)))/1000</f>
        <v>12.252000000000001</v>
      </c>
      <c r="CZ70" s="209">
        <f>(IF(CZ$7="X",VLOOKUP(CZ$10,'VK-Hooned-Soojus'!$C:$X,2+$C70,FALSE),0)+IF(CZ$6="X",VLOOKUP(CZ$10,'VK-Transport'!$C:$X,2+$B70,0))+IF(CZ$8="X",VLOOKUP(CZ$10,'VK-Elekter'!$C:$X,2+$D70,0))+IF(CZ$9="X",VLOOKUP(CZ$10,'VK-Biokütused'!$C:$U,2+$E70,0))+IF(CZ$5="X",VLOOKUP(CZ$10,'VK-Põlevkivi'!$C:$X,2+$G70,0))+IF(CZ$4="X",VLOOKUP(CZ$10,'VK-Võrgud'!$C:$X,2+$F70,0)))</f>
        <v>99</v>
      </c>
      <c r="DA70" s="209">
        <f>(IF(DA$7="X",VLOOKUP(DA$10,'VK-Hooned-Soojus'!$C:$X,2+$C70,FALSE),0)+IF(DA$6="X",VLOOKUP(DA$10,'VK-Transport'!$C:$X,2+$B70,0))+IF(DA$8="X",VLOOKUP(DA$10,'VK-Elekter'!$C:$X,2+$D70,0))+IF(DA$9="X",VLOOKUP(DA$10,'VK-Biokütused'!$C:$U,2+$E70,0))+IF(DA$5="X",VLOOKUP(DA$10,'VK-Põlevkivi'!$C:$X,2+$G70,0))+IF(DA$4="X",VLOOKUP(DA$10,'VK-Võrgud'!$C:$X,2+$F70,0)))/1000</f>
        <v>17.77</v>
      </c>
      <c r="DB70" s="209">
        <f>(IF(DB$7="X",VLOOKUP(DB$10,'VK-Hooned-Soojus'!$C:$X,2+$C70,FALSE),0)+IF(DB$6="X",VLOOKUP(DB$10,'VK-Transport'!$C:$X,2+$B70,0))+IF(DB$8="X",VLOOKUP(DB$10,'VK-Elekter'!$C:$X,2+$D70,0))+IF(DB$9="X",VLOOKUP(DB$10,'VK-Biokütused'!$C:$U,2+$E70,0))+IF(DB$5="X",VLOOKUP(DB$10,'VK-Põlevkivi'!$C:$X,2+$G70,0))+IF(DB$4="X",VLOOKUP(DB$10,'VK-Võrgud'!$C:$X,2+$F70,0)))/1000/3.6</f>
        <v>141.0888888888889</v>
      </c>
      <c r="DC70" s="209">
        <f>(IF(DC$7="X",VLOOKUP(DC$10,'VK-Hooned-Soojus'!$C:$X,2+$C70,FALSE),0)+IF(DC$6="X",VLOOKUP(DC$10,'VK-Transport'!$C:$X,2+$B70,0))+IF(DC$8="X",VLOOKUP(DC$10,'VK-Elekter'!$C:$X,2+$D70,0))+IF(DC$9="X",VLOOKUP(DC$10,'VK-Biokütused'!$C:$U,2+$E70,0))+IF(DC$5="X",VLOOKUP(DC$10,'VK-Põlevkivi'!$C:$X,2+$G70,0))+IF(DC$4="X",VLOOKUP(DC$10,'VK-Võrgud'!$C:$X,2+$F70,0)))/1000000</f>
        <v>7.7530150000000004</v>
      </c>
      <c r="DD70" s="209"/>
      <c r="DE70" s="88">
        <f>VLOOKUP(Tulemused!$BN$12,data!M$7:N$12,2,FALSE)-SUM(L70,M70)</f>
        <v>-1.9738666666666731</v>
      </c>
      <c r="DF70" s="209" t="str">
        <f>IF(AZ70&lt;=VLOOKUP(Tulemused!$BN$15,data!$E$36:$F$39,2,FALSE),"JAH","EI")</f>
        <v>JAH</v>
      </c>
      <c r="DG70" s="209"/>
      <c r="DH70" s="209">
        <f t="shared" si="38"/>
        <v>6.78</v>
      </c>
      <c r="DI70" s="231" t="str">
        <f t="shared" si="17"/>
        <v>EI</v>
      </c>
      <c r="DK70" s="232">
        <f t="shared" si="39"/>
        <v>-994.45697291392287</v>
      </c>
      <c r="DM70" s="233">
        <f t="shared" si="40"/>
        <v>-994.4561780157793</v>
      </c>
      <c r="DN70" s="87">
        <f t="array" ref="DN70">INDEX($A$11:$A$145, SMALL(IF(DM70=$DK$11:$DK$145, MATCH(ROW($DK$11:$DK$145), ROW($DK$11:$DK$145))), SUM(--(DM70=$DM$11:DM70))))</f>
        <v>74</v>
      </c>
      <c r="DP70" s="87" t="e">
        <f t="shared" ca="1" si="18"/>
        <v>#N/A</v>
      </c>
      <c r="DQ70" s="87" t="e">
        <f t="shared" ca="1" si="19"/>
        <v>#N/A</v>
      </c>
      <c r="DR70" s="87">
        <f t="shared" ca="1" si="20"/>
        <v>0</v>
      </c>
      <c r="DS70" s="87" t="e">
        <f t="shared" ca="1" si="21"/>
        <v>#N/A</v>
      </c>
      <c r="DT70" s="87">
        <f t="shared" ca="1" si="22"/>
        <v>0</v>
      </c>
      <c r="DU70" s="87" t="e">
        <f t="shared" ca="1" si="23"/>
        <v>#N/A</v>
      </c>
      <c r="DV70" s="87" t="e">
        <f t="shared" ca="1" si="24"/>
        <v>#N/A</v>
      </c>
      <c r="DW70" s="87">
        <f t="shared" ca="1" si="25"/>
        <v>0</v>
      </c>
      <c r="DX70" s="87">
        <f t="shared" ca="1" si="26"/>
        <v>0</v>
      </c>
      <c r="DZ70" s="87">
        <f t="shared" ca="1" si="35"/>
        <v>0</v>
      </c>
      <c r="EB70" s="87">
        <f t="shared" ca="1" si="27"/>
        <v>0</v>
      </c>
      <c r="EC70" s="87" t="e">
        <f t="shared" ca="1" si="28"/>
        <v>#N/A</v>
      </c>
      <c r="EE70" s="228">
        <f>(IF(EE$7="X",VLOOKUP(EE$10,'VK-Hooned-Soojus'!$C:$X,2+$C70,FALSE),0)+IF(EE$6="X",VLOOKUP(EE$10,'VK-Transport'!$C:$X,2+$B70,0))+IF(EE$8="X",VLOOKUP(EE$10,'VK-Elekter'!$C:$X,2+$D70,0))+IF(EE$9="X",VLOOKUP(EE$10,'VK-Biokütused'!$C:$U,2+$E70,0))+IF(EE$5="X",VLOOKUP(EE$10,'VK-Põlevkivi'!$C:$X,2+$G70,0))+IF(EE$4="X",VLOOKUP(EE$10,'VK-Võrgud'!$C:$X,2+$F70,0)))</f>
        <v>11483.096191532388</v>
      </c>
      <c r="EF70" s="209">
        <f>(IF(EF$7="X",VLOOKUP(EF$10,'VK-Hooned-Soojus'!$C:$X,2+$C70,FALSE),0)+IF(EF$6="X",VLOOKUP(EF$10,'VK-Transport'!$C:$X,2+$B70,0))+IF(EF$8="X",VLOOKUP(EF$10,'VK-Elekter'!$C:$X,2+$D70,0))+IF(EF$9="X",VLOOKUP(EF$10,'VK-Biokütused'!$C:$U,2+$E70,0))+IF(EF$5="X",VLOOKUP(EF$10,'VK-Põlevkivi'!$C:$X,2+$G70,0))+IF(EF$4="X",VLOOKUP(EF$10,'VK-Võrgud'!$C:$X,2+$F70,0)))/1000</f>
        <v>9.8583823271229711</v>
      </c>
      <c r="EG70" s="209">
        <f>(IF(EG$7="X",VLOOKUP(EG$10,'VK-Hooned-Soojus'!$C:$X,2+$C70,FALSE),0)+IF(EG$6="X",VLOOKUP(EG$10,'VK-Transport'!$C:$X,2+$B70,0))+IF(EG$8="X",VLOOKUP(EG$10,'VK-Elekter'!$C:$X,2+$D70,0))+IF(EG$9="X",VLOOKUP(EG$10,'VK-Biokütused'!$C:$U,2+$E70,0))+IF(EG$5="X",VLOOKUP(EG$10,'VK-Põlevkivi'!$C:$X,2+$G70,0))+IF(EG$4="X",VLOOKUP(EG$10,'VK-Võrgud'!$C:$X,2+$F70,0)))</f>
        <v>0.81</v>
      </c>
      <c r="EH70" s="209">
        <f>(IF(EH$7="X",VLOOKUP(EH$10,'VK-Hooned-Soojus'!$C:$X,2+$C70,FALSE),0)+IF(EH$6="X",VLOOKUP(EH$10,'VK-Transport'!$C:$X,2+$B70,0))+IF(EH$8="X",VLOOKUP(EH$10,'VK-Elekter'!$C:$X,2+$D70,0))+IF(EH$9="X",VLOOKUP(EH$10,'VK-Biokütused'!$C:$U,2+$E70,0)))+AR70+AS70+AU70+AX70</f>
        <v>95.995101174298995</v>
      </c>
      <c r="EI70" s="320">
        <f t="shared" si="41"/>
        <v>65.012789653214369</v>
      </c>
      <c r="EJ70" s="322">
        <f t="shared" si="42"/>
        <v>2.1300063549572323E-2</v>
      </c>
      <c r="EK70" s="323">
        <f t="shared" si="29"/>
        <v>0.39726251650845218</v>
      </c>
      <c r="EM70" s="209"/>
      <c r="EN70" s="209">
        <f t="shared" ca="1" si="43"/>
        <v>0</v>
      </c>
      <c r="EO70" s="209"/>
      <c r="EP70" s="234"/>
      <c r="EQ70" s="209">
        <f>(IF(EQ$7="X",VLOOKUP(EQ$10,'VK-Hooned-Soojus'!$C:$X,2+$C70,FALSE),0)+IF(EQ$6="X",VLOOKUP(EQ$10,'VK-Transport'!$C:$X,2+$B70,0))+IF(EQ$8="X",VLOOKUP(EQ$10,'VK-Elekter'!$C:$X,2+$D70,0))+IF(EQ$9="X",VLOOKUP(EQ$10,'VK-Biokütused'!$C:$U,2+$E70,0))+IF(EQ$5="X",VLOOKUP(EQ$10,'VK-Põlevkivi'!$C:$X,2+$G70,0))+IF(EQ$4="X",VLOOKUP(EQ$10,'VK-Võrgud'!$C:$X,2+$F70,0)))/1000</f>
        <v>0.22900000000000001</v>
      </c>
      <c r="ER70" s="209">
        <f>(IF(ER$7="X",VLOOKUP(ER$10,'VK-Hooned-Soojus'!$C:$X,2+$C70,FALSE),0)+IF(ER$6="X",VLOOKUP(ER$10,'VK-Transport'!$C:$X,2+$B70,0))+IF(ER$8="X",VLOOKUP(ER$10,'VK-Elekter'!$C:$X,2+$D70,0))+IF(ER$9="X",VLOOKUP(ER$10,'VK-Biokütused'!$C:$U,2+$E70,0))+IF(ER$5="X",VLOOKUP(ER$10,'VK-Põlevkivi'!$C:$X,2+$G70,0))+IF(ER$4="X",VLOOKUP(ER$10,'VK-Võrgud'!$C:$X,2+$F70,0)))</f>
        <v>0.82899999999999996</v>
      </c>
      <c r="ES70" s="209">
        <f>(IF(ES$7="X",VLOOKUP(ES$10,'VK-Hooned-Soojus'!$C:$X,2+$C70,FALSE),0)+IF(ES$6="X",VLOOKUP(ES$10,'VK-Transport'!$C:$X,2+$B70,0))+IF(ES$8="X",VLOOKUP(ES$10,'VK-Elekter'!$C:$X,2+$D70,0))+IF(ES$9="X",VLOOKUP(ES$10,'VK-Biokütused'!$C:$U,2+$E70,0))+IF(ES$5="X",VLOOKUP(ES$10,'VK-Põlevkivi'!$C:$X,2+$G70,0))+IF(ES$4="X",VLOOKUP(ES$10,'VK-Võrgud'!$C:$X,2+$F70,0)))</f>
        <v>6.78</v>
      </c>
      <c r="ET70" s="209"/>
      <c r="EU70" s="209"/>
      <c r="EV70" s="87">
        <f>'KSH järjestus'!AS63</f>
        <v>1920</v>
      </c>
      <c r="EX70" s="236"/>
      <c r="EY70" s="236"/>
      <c r="EZ70" s="237">
        <f t="shared" si="44"/>
        <v>0</v>
      </c>
      <c r="FA70" s="209">
        <f>IF(FA$7="X",VLOOKUP(FA$10,'VK-Hooned-Soojus'!$C:$X,2+$C70,FALSE),0)+IF(FA$6="X",VLOOKUP(FA$10,'VK-Transport'!$C:$X,2+$B70,0))+IF(FA$8="X",VLOOKUP(FA$10,'VK-Elekter'!$C:$X,2+$D70,0))+IF(FA$9="X",VLOOKUP(FA$10,'VK-Biokütused'!$C:$U,2+$E70,0))+IF(FA$5="X",VLOOKUP(FA$10,'VK-Põlevkivi'!$C:$X,2+$G70,0))+IF(FA$4="X",VLOOKUP(FA$10,'VK-Võrgud'!$C:$X,2+$F70,0))</f>
        <v>3412.346</v>
      </c>
      <c r="FB70" s="279">
        <f>(IF(FB$7="X",VLOOKUP(FB$10,'VK-Hooned-Soojus'!$C:$X,2+$C70,FALSE),0)+IF(FB$6="X",VLOOKUP(FB$10,'VK-Transport'!$C:$X,2+$B70,0))+IF(FB$8="X",VLOOKUP(FB$10,'VK-Elekter'!$C:$X,2+$D70,0))+IF(FB$9="X",VLOOKUP(FB$10,'VK-Biokütused'!$C:$U,2+$E70,0))+IF(FB$5="X",VLOOKUP(FB$10,'VK-Põlevkivi'!$C:$X,2+$G70,0))+IF(FB$4="X",VLOOKUP(FB$10,'VK-Võrgud'!$C:$X,2+$F70,0)))/16</f>
        <v>849.42593334483581</v>
      </c>
      <c r="FC70" s="209">
        <f>IF(FC$7="X",VLOOKUP(FC$10,'VK-Hooned-Soojus'!$C:$X,2+$C70,FALSE),0)+IF(FC$6="X",VLOOKUP(FC$10,'VK-Transport'!$C:$X,2+$B70,0))+IF(FC$8="X",VLOOKUP(FC$10,'VK-Elekter'!$C:$X,2+$D70,0))+IF(FC$9="X",VLOOKUP(FC$10,'VK-Biokütused'!$C:$U,2+$E70,0))+IF(FC$5="X",VLOOKUP(FC$10,'VK-Põlevkivi'!$C:$X,2+$G70,0))+IF(FC$4="X",VLOOKUP(FC$10,'VK-Võrgud'!$C:$X,2+$F70,0))</f>
        <v>327.45</v>
      </c>
      <c r="FD70" s="209">
        <f>(IF(FD$7="X",VLOOKUP(FD$10,'VK-Hooned-Soojus'!$C:$X,2+$C70,FALSE),0)+IF(FD$6="X",VLOOKUP(FD$10,'VK-Transport'!$C:$X,2+$B70,0))+IF(FD$8="X",VLOOKUP(FD$10,'VK-Elekter'!$C:$X,2+$D70,0))+IF(FD$9="X",VLOOKUP(FD$10,'VK-Biokütused'!$C:$U,2+$E70,0))+IF(FD$5="X",VLOOKUP(FD$10,'VK-Põlevkivi'!$C:$X,2+$G70,0))+IF(FD$4="X",VLOOKUP(FD$10,'VK-Võrgud'!$C:$X,2+$F70,0)))/16</f>
        <v>849.42593334483581</v>
      </c>
      <c r="FE70" s="209">
        <f>(IF(FE$7="X",VLOOKUP(FE$10,'VK-Hooned-Soojus'!$C:$X,2+$C70,FALSE),0)+IF(FE$6="X",VLOOKUP(FE$10,'VK-Transport'!$C:$X,2+$B70,0))+IF(FE$8="X",VLOOKUP(FE$10,'VK-Elekter'!$C:$X,2+$D70,0))+IF(FE$9="X",VLOOKUP(FE$10,'VK-Biokütused'!$C:$U,2+$E70,0))+IF(FE$5="X",VLOOKUP(FE$10,'VK-Põlevkivi'!$C:$X,2+$G70,0))+IF(FE$4="X",VLOOKUP(FE$10,'VK-Võrgud'!$C:$X,2+$F70,0)))/16</f>
        <v>-59.422063699091041</v>
      </c>
      <c r="FF70" s="209">
        <f>(IF(FF$7="X",VLOOKUP(FF$10,'VK-Hooned-Soojus'!$C:$X,2+$C70,FALSE),0)+IF(FF$6="X",VLOOKUP(FF$10,'VK-Transport'!$C:$X,2+$B70,0))+IF(FF$8="X",VLOOKUP(FF$10,'VK-Elekter'!$C:$X,2+$D70,0))+IF(FF$9="X",VLOOKUP(FF$10,'VK-Biokütused'!$C:$U,2+$E70,0))+IF(FF$5="X",VLOOKUP(FF$10,'VK-Põlevkivi'!$C:$X,2+$G70,0))+IF(FF$4="X",VLOOKUP(FF$10,'VK-Võrgud'!$C:$X,2+$F70,0)))/16</f>
        <v>253.29117994922444</v>
      </c>
      <c r="FG70" s="88">
        <f t="shared" ca="1" si="30"/>
        <v>193.8691162501334</v>
      </c>
      <c r="FH70" s="88"/>
      <c r="FI70" s="88"/>
      <c r="FJ70" s="88">
        <f>VLOOKUP(Tulemused!$BN$12,data!M$7:N$12,2,FALSE)-SUM(L70,M70)</f>
        <v>-1.9738666666666731</v>
      </c>
      <c r="FK70" s="209" t="str">
        <f>IF(AZ70&lt;=VLOOKUP(Tulemused!$BN$15,data!$E$36:$F$39,2,FALSE),"JAH","EI")</f>
        <v>JAH</v>
      </c>
      <c r="FL70" s="235">
        <f ca="1">IF(ISNA(MATCH($A70,INDIRECT(VLOOKUP(Tulemused!$BF$11,data!$J$57:$M$71,4,FALSE)))),0,MATCH($A70,INDIRECT(VLOOKUP(Tulemused!$BF$11,data!$J$57:$M$71,4,FALSE))))</f>
        <v>0</v>
      </c>
      <c r="FM70" s="235" t="str">
        <f t="shared" ca="1" si="45"/>
        <v>JAH</v>
      </c>
      <c r="FN70" s="209">
        <f>VLOOKUP(Tulemused!$BN$13,data!$C$132:$D$137,2,FALSE)-KOMBI!R70</f>
        <v>2.9553876728770305</v>
      </c>
      <c r="FO70" s="209"/>
      <c r="FP70" s="209">
        <f>VLOOKUP(Tulemused!$BN$17,NO_x,2,FALSE)-CJ70</f>
        <v>5.8719999999999999</v>
      </c>
      <c r="FQ70" s="209">
        <f>VLOOKUP(Tulemused!$BN$18,SO_2,2,FALSE)-CK70</f>
        <v>12.461083784206771</v>
      </c>
      <c r="FR70" s="209">
        <f>VLOOKUP(Tulemused!$BN$19,LOU,2,FALSE)-CN70</f>
        <v>33.912000000000006</v>
      </c>
      <c r="FS70" s="209">
        <f>VLOOKUP(Tulemused!$BN$20,PM_2.5,2,FALSE)-CM70</f>
        <v>8.4240103843950838</v>
      </c>
      <c r="FT70" s="209">
        <f>VLOOKUP(Tulemused!$BN$13,data!$C$132:$D$137,2,FALSE)-FA70/1000</f>
        <v>2.8336240000000008</v>
      </c>
      <c r="FU70" s="209">
        <f>VLOOKUP(Tulemused!$BN$17,NO_x,2,FALSE)-CO70</f>
        <v>-0.29757521079728022</v>
      </c>
      <c r="FV70" s="209">
        <f>VLOOKUP(Tulemused!$BN$18,SO_2,2,FALSE)-CP70</f>
        <v>19.163523275345902</v>
      </c>
      <c r="FW70" s="209">
        <f>VLOOKUP(Tulemused!$BN$19,LOU,2,FALSE)-CS70</f>
        <v>33.215665509940173</v>
      </c>
      <c r="FX70" s="209">
        <f>VLOOKUP(Tulemused!$BN$20,PM_2.5,2,FALSE)-CR70</f>
        <v>8.5079127215424251</v>
      </c>
      <c r="FY70" s="209">
        <f>VLOOKUP(Tulemused!$BN$14,KHG_2050,2,FALSE)-EF70</f>
        <v>90.141617672877032</v>
      </c>
      <c r="FZ70" s="231" t="str">
        <f t="shared" ca="1" si="31"/>
        <v>EI</v>
      </c>
      <c r="GA70" s="209"/>
      <c r="GB70" s="209"/>
      <c r="GC70" s="209"/>
      <c r="GD70" s="231"/>
      <c r="GE70" s="87">
        <f t="shared" si="46"/>
        <v>1920</v>
      </c>
      <c r="GF70" s="232" t="str">
        <f t="shared" ca="1" si="32"/>
        <v/>
      </c>
      <c r="GH70" s="238" t="e">
        <f t="shared" ca="1" si="47"/>
        <v>#NUM!</v>
      </c>
      <c r="GI70" s="87" t="e">
        <f t="array" aca="1" ref="GI70" ca="1">INDEX($A$11:$A$145, SMALL(IF(GH70=$GF$11:$GF$145, MATCH(ROW($GF$11:$GF$145), ROW($GF$11:$GF$145))), SUM(--(GH70=$GH$11:GH70))))</f>
        <v>#NUM!</v>
      </c>
      <c r="GM70" s="209">
        <f>IF(GM$7="X",VLOOKUP(GM$10,'VK-Hooned-Soojus'!$C:$X,2+$C70,FALSE),0)+IF(GM$6="X",VLOOKUP(GM$10,'VK-Transport'!$C:$X,2+$B70,0))+IF(GM$8="X",VLOOKUP(GM$10,'VK-Elekter'!$C:$X,2+$D70,0))+IF(GM$9="X",VLOOKUP(GM$10,'VK-Biokütused'!$C:$U,2+$E70,0))+IF(GM$5="X",VLOOKUP(GM$10,'VK-Põlevkivi'!$C:$X,2+$G70,0))+IF(GM$4="X",VLOOKUP(GM$10,'VK-Võrgud'!$C:$X,2+$F70,0))</f>
        <v>11.189888530766083</v>
      </c>
      <c r="GN70" s="209">
        <f>IF(GN$7="X",VLOOKUP(GN$10,'VK-Hooned-Soojus'!$C:$X,2+$C70,FALSE),0)+IF(GN$6="X",VLOOKUP(GN$10,'VK-Transport'!$C:$X,2+$B70,0))+IF(GN$8="X",VLOOKUP(GN$10,'VK-Elekter'!$C:$X,2+$D70,0))+IF(GN$9="X",VLOOKUP(GN$10,'VK-Biokütused'!$C:$U,2+$E70,0))+IF(GN$5="X",VLOOKUP(GN$10,'VK-Põlevkivi'!$C:$X,2+$G70,0))+IF(GN$4="X",VLOOKUP(GN$10,'VK-Võrgud'!$C:$X,2+$F70,0))</f>
        <v>2.9930837725682502</v>
      </c>
      <c r="GO70" s="209">
        <f>IF(GO$7="X",VLOOKUP(GO$10,'VK-Hooned-Soojus'!$C:$X,2+$C70,FALSE),0)+IF(GO$6="X",VLOOKUP(GO$10,'VK-Transport'!$C:$X,2+$B70,0))+IF(GO$8="X",VLOOKUP(GO$10,'VK-Elekter'!$C:$X,2+$D70,0))+IF(GO$9="X",VLOOKUP(GO$10,'VK-Biokütused'!$C:$U,2+$E70,0))+IF(GO$5="X",VLOOKUP(GO$10,'VK-Põlevkivi'!$C:$X,2+$G70,0))+IF(GO$4="X",VLOOKUP(GO$10,'VK-Võrgud'!$C:$X,2+$F70,0))</f>
        <v>8.7471755658278116</v>
      </c>
      <c r="GP70" s="209">
        <f>IF(GP$7="X",VLOOKUP(GP$10,'VK-Hooned-Soojus'!$C:$X,2+$C70,FALSE),0)+IF(GP$6="X",VLOOKUP(GP$10,'VK-Transport'!$C:$X,2+$B70,0))+IF(GP$8="X",VLOOKUP(GP$10,'VK-Elekter'!$C:$X,2+$D70,0))+IF(GP$9="X",VLOOKUP(GP$10,'VK-Biokütused'!$C:$U,2+$E70,0))+IF(GP$5="X",VLOOKUP(GP$10,'VK-Põlevkivi'!$C:$X,2+$G70,0))+IF(GP$4="X",VLOOKUP(GP$10,'VK-Võrgud'!$C:$X,2+$F70,0))</f>
        <v>9.3279335818485372</v>
      </c>
      <c r="GQ70" s="88">
        <f>IF(GQ$7="X",VLOOKUP(GQ$10,'VK-Hooned-Soojus'!$C:$X,2+$C70,FALSE),0)+IF(GQ$6="X",VLOOKUP(GQ$10,'VK-Transport'!$C:$X,2+$B70,0))+IF(GQ$8="X",VLOOKUP(GQ$10,'VK-Elekter'!$C:$X,2+$D70,0))+IF(GQ$9="X",VLOOKUP(GQ$10,'VK-Biokütused'!$C:$U,2+$E70,0))+IF(GQ$5="X",VLOOKUP(GQ$10,'VK-Põlevkivi'!$C:$X,2+$G70,0))+IF(GQ$4="X",VLOOKUP(GQ$10,'VK-Võrgud'!$C:$X,2+$F70,0))</f>
        <v>0.90618397335647782</v>
      </c>
      <c r="GR70" s="186">
        <f t="shared" si="33"/>
        <v>0.38001919156598157</v>
      </c>
    </row>
    <row r="71" spans="1:200" x14ac:dyDescent="0.2">
      <c r="A71" s="184">
        <v>61</v>
      </c>
      <c r="B71" s="87">
        <v>2</v>
      </c>
      <c r="C71" s="87">
        <v>2</v>
      </c>
      <c r="D71" s="87">
        <v>1</v>
      </c>
      <c r="E71" s="87">
        <v>1</v>
      </c>
      <c r="F71" s="87">
        <f>VLOOKUP(Tulemused!$BF$7,data!$J$6:$K$8,2,FALSE)</f>
        <v>2</v>
      </c>
      <c r="G71" s="87">
        <f>VLOOKUP(data!$H$2,data!$J$12:$K$14,2,FALSE)</f>
        <v>2</v>
      </c>
      <c r="I71" s="209">
        <f>IF(I$7="X",VLOOKUP(I$10,'VK-Hooned-Soojus'!$C:$X,2+$C71,FALSE),0)+IF(I$6="X",VLOOKUP(I$10,'VK-Transport'!$C:$X,2+$B71,0))+IF(I$8="X",VLOOKUP(I$10,'VK-Elekter'!$C:$X,2+$D71,0))+IF(I$9="X",VLOOKUP(I$10,'VK-Biokütused'!$C:$U,2+$E71,0))+IF(I$5="X",VLOOKUP(I$10,'VK-Põlevkivi'!$C:$X,2+$G71,0))+IF(I$4="X",VLOOKUP(I$10,'VK-Võrgud'!$C:$X,2+$F71,0))</f>
        <v>24.79</v>
      </c>
      <c r="J71" s="209">
        <f>IF(J$7="X",VLOOKUP(J$10,'VK-Hooned-Soojus'!$C:$X,2+$C71,FALSE),0)+IF(J$6="X",VLOOKUP(J$10,'VK-Transport'!$C:$X,2+$B71,0))+IF(J$8="X",VLOOKUP(J$10,'VK-Elekter'!$C:$X,2+$D71,0))+IF(J$9="X",VLOOKUP(J$10,'VK-Biokütused'!$C:$U,2+$E71,0))+IF(J$5="X",VLOOKUP(J$10,'VK-Põlevkivi'!$C:$X,2+$G71,0))+IF(J$4="X",VLOOKUP(J$10,'VK-Võrgud'!$C:$X,2+$F71,0))</f>
        <v>11.138055555555555</v>
      </c>
      <c r="K71" s="209">
        <f>IF(K$7="X",VLOOKUP(K$10,'VK-Hooned-Soojus'!$C:$X,2+$C71,FALSE),0)+IF(K$6="X",VLOOKUP(K$10,'VK-Transport'!$C:$X,2+$B71,0))+IF(K$8="X",VLOOKUP(K$10,'VK-Elekter'!$C:$X,2+$D71,0))+IF(K$9="X",VLOOKUP(K$10,'VK-Biokütused'!$C:$U,2+$E71,0))+IF(K$5="X",VLOOKUP(K$10,'VK-Põlevkivi'!$C:$X,2+$G71,0))+IF(K$4="X",VLOOKUP(K$10,'VK-Võrgud'!$C:$X,2+$F71,0))</f>
        <v>15.27</v>
      </c>
      <c r="L71" s="209">
        <f>IF(L$7="X",VLOOKUP(L$10,'VK-Hooned-Soojus'!$C:$X,2+$C71,FALSE),0)+IF(L$6="X",VLOOKUP(L$10,'VK-Transport'!$C:$X,2+$B71,0))+IF(L$8="X",VLOOKUP(L$10,'VK-Elekter'!$C:$X,2+$D71,0))+IF(L$9="X",VLOOKUP(L$10,'VK-Biokütused'!$C:$U,2+$E71,0))+IF(L$5="X",VLOOKUP(L$10,'VK-Põlevkivi'!$C:$X,2+$G71,0))+IF(L$4="X",VLOOKUP(L$10,'VK-Võrgud'!$C:$X,2+$F71,0))</f>
        <v>24.2</v>
      </c>
      <c r="M71" s="209">
        <f>IF(M$7="X",VLOOKUP(M$10,'VK-Hooned-Soojus'!$C:$X,2+$C71,FALSE),0)+IF(M$6="X",VLOOKUP(M$10,'VK-Transport'!$C:$X,2+$B71,0))+IF(M$8="X",VLOOKUP(M$10,'VK-Elekter'!$C:$X,2+$D71,0))+IF(M$9="X",VLOOKUP(M$10,'VK-Biokütused'!$C:$U,2+$E71,0))+IF(M$5="X",VLOOKUP(M$10,'VK-Põlevkivi'!$C:$X,2+$G71,0))+IF(M$4="X",VLOOKUP(M$10,'VK-Võrgud'!$C:$X,2+$F71,0))</f>
        <v>9.8566666666666674</v>
      </c>
      <c r="N71" s="209">
        <f>IF(N$7="X",VLOOKUP(N$10,'VK-Hooned-Soojus'!$C:$X,2+$C71,FALSE),0)+IF(N$6="X",VLOOKUP(N$10,'VK-Transport'!$C:$X,2+$B71,0))+IF(N$8="X",VLOOKUP(N$10,'VK-Elekter'!$C:$X,2+$D71,0))+IF(N$9="X",VLOOKUP(N$10,'VK-Biokütused'!$C:$U,2+$E71,0))+IF(N$5="X",VLOOKUP(N$10,'VK-Põlevkivi'!$C:$X,2+$G71,0))+IF(N$4="X",VLOOKUP(N$10,'VK-Võrgud'!$C:$X,2+$F71,0))</f>
        <v>16.09</v>
      </c>
      <c r="O71" s="209">
        <f t="shared" si="13"/>
        <v>35.928055555555552</v>
      </c>
      <c r="P71" s="209"/>
      <c r="Q71" s="209">
        <f>(IF(Q$7="X",VLOOKUP(Q$10,'VK-Hooned-Soojus'!$C:$X,2+$C71,FALSE),0)+IF(Q$6="X",VLOOKUP(Q$10,'VK-Transport'!$C:$X,2+$B71,0))+IF(Q$8="X",VLOOKUP(Q$10,'VK-Elekter'!$C:$X,2+$D71,0))+IF(Q$9="X",VLOOKUP(Q$10,'VK-Biokütused'!$C:$U,2+$E71,0))+IF(Q$5="X",VLOOKUP(Q$10,'VK-Põlevkivi'!$C:$X,2+$G71,0))+IF(Q$4="X",VLOOKUP(Q$10,'VK-Võrgud'!$C:$X,2+$F71,0)))/1000</f>
        <v>5.0659999999999998</v>
      </c>
      <c r="R71" s="209">
        <f>(IF(R$7="X",VLOOKUP(R$10,'VK-Hooned-Soojus'!$C:$X,2+$C71,FALSE),0)+IF(R$6="X",VLOOKUP(R$10,'VK-Transport'!$C:$X,2+$B71,0))+IF(R$8="X",VLOOKUP(R$10,'VK-Elekter'!$C:$X,2+$D71,0))+IF(R$9="X",VLOOKUP(R$10,'VK-Biokütused'!$C:$U,2+$E71,0))+IF(R$5="X",VLOOKUP(R$10,'VK-Põlevkivi'!$C:$X,2+$G71,0))+IF(R$4="X",VLOOKUP(R$10,'VK-Võrgud'!$C:$X,2+$F71,0)))/1000</f>
        <v>2.5583823271229704</v>
      </c>
      <c r="S71" s="226">
        <f>VLOOKUP(S$10,'VK-Hooned-Soojus'!$C:$I,2+$C71,FALSE) + VLOOKUP(S$10,'VK-Transport'!$C:$I,2+$B71,FALSE)+ VLOOKUP(S$10,'VK-Biokütused'!$C:$G,2+$E71,FALSE)+ VLOOKUP(S$10,'VK-Elekter'!$C:$I,2+$D71,FALSE)+ VLOOKUP(S$10,'VK-Põlevkivi'!$C:$I,2+$G71,FALSE)+ VLOOKUP(S$10,'VK-Võrgud'!$C:$I,2+$F71,FALSE)</f>
        <v>7.4025035345110408E-3</v>
      </c>
      <c r="T71" s="226">
        <f>VLOOKUP(T$10,'VK-Hooned-Soojus'!$C:$I,2+$C71,FALSE) + VLOOKUP(T$10,'VK-Transport'!$C:$I,2+$B71,FALSE)+ VLOOKUP(T$10,'VK-Biokütused'!$C:$G,2+$E71,FALSE)+ VLOOKUP(T$10,'VK-Elekter'!$C:$I,2+$D71,FALSE)+ VLOOKUP(T$10,'VK-Põlevkivi'!$C:$I,2+$G71,FALSE)+ VLOOKUP(T$10,'VK-Võrgud'!$C:$I,2+$F71,FALSE)</f>
        <v>2.0917024687926123E-3</v>
      </c>
      <c r="U71" s="226">
        <f>VLOOKUP(U$10,'VK-Hooned-Soojus'!$C:$I,2+$C71,FALSE) + VLOOKUP(U$10,'VK-Transport'!$C:$I,2+$B71,FALSE)+ VLOOKUP(U$10,'VK-Biokütused'!$C:$G,2+$E71,FALSE)+ VLOOKUP(U$10,'VK-Elekter'!$C:$I,2+$D71,FALSE)+ VLOOKUP(U$10,'VK-Põlevkivi'!$C:$I,2+$G71,FALSE)+ VLOOKUP(U$10,'VK-Võrgud'!$C:$I,2+$F71,FALSE)</f>
        <v>1.0832856247567912E-3</v>
      </c>
      <c r="V71" s="226">
        <f>VLOOKUP(V$10,'VK-Hooned-Soojus'!$C:$I,2+$C71,FALSE) + VLOOKUP(V$10,'VK-Transport'!$C:$I,2+$B71,FALSE)+ VLOOKUP(V$10,'VK-Biokütused'!$C:$G,2+$E71,FALSE)+ VLOOKUP(V$10,'VK-Elekter'!$C:$I,2+$D71,FALSE)+ VLOOKUP(V$10,'VK-Põlevkivi'!$C:$I,2+$G71,FALSE)+ VLOOKUP(V$10,'VK-Võrgud'!$C:$I,2+$F71,FALSE)</f>
        <v>6.3440152924583099E-3</v>
      </c>
      <c r="W71" s="226">
        <f>VLOOKUP(W$10,'VK-Hooned-Soojus'!$C:$I,2+$C71,FALSE) + VLOOKUP(W$10,'VK-Transport'!$C:$I,2+$B71,FALSE)+ VLOOKUP(W$10,'VK-Biokütused'!$C:$G,2+$E71,FALSE)+ VLOOKUP(W$10,'VK-Elekter'!$C:$I,2+$D71,FALSE)+ VLOOKUP(W$10,'VK-Põlevkivi'!$C:$I,2+$G71,FALSE)+ VLOOKUP(W$10,'VK-Võrgud'!$C:$I,2+$F71,FALSE)</f>
        <v>-2.8605111101707277E-2</v>
      </c>
      <c r="X71" s="226">
        <f>VLOOKUP(X$10,'VK-Hooned-Soojus'!$C:$I,2+$C71,FALSE) + VLOOKUP(X$10,'VK-Transport'!$C:$I,2+$B71,FALSE)+ VLOOKUP(X$10,'VK-Biokütused'!$C:$G,2+$E71,FALSE)+ VLOOKUP(X$10,'VK-Elekter'!$C:$I,2+$D71,FALSE)+ VLOOKUP(X$10,'VK-Põlevkivi'!$C:$I,2+$G71,FALSE)+ VLOOKUP(X$10,'VK-Võrgud'!$C:$I,2+$F71,FALSE)</f>
        <v>-3.1768638156653872E-2</v>
      </c>
      <c r="Y71" s="226">
        <f>VLOOKUP(Y$10,'VK-Hooned-Soojus'!$C:$I,2+$C71,FALSE) + VLOOKUP(Y$10,'VK-Transport'!$C:$I,2+$B71,FALSE)+ VLOOKUP(Y$10,'VK-Biokütused'!$C:$G,2+$E71,FALSE)+ VLOOKUP(Y$10,'VK-Elekter'!$C:$I,2+$D71,FALSE)+ VLOOKUP(Y$10,'VK-Põlevkivi'!$C:$I,2+$G71,FALSE)+ VLOOKUP(Y$10,'VK-Võrgud'!$C:$I,2+$F71,FALSE)</f>
        <v>-4.3573509794883857E-2</v>
      </c>
      <c r="Z71" s="227">
        <f>(S71*Tulemused!$Q$9*10+T71*Tulemused!$Q$10*10+KOMBI!U71*Tulemused!$Q$11*10+KOMBI!V71*Tulemused!$Q$12*10)*Tulemused!$Q$8+-(W71*Tulemused!$Q$14*10+KOMBI!X71*Tulemused!$Q$15*10+KOMBI!Y71*Tulemused!$Q$16*10)*Tulemused!$Q$13</f>
        <v>3.0461281371813644</v>
      </c>
      <c r="AA71" s="228">
        <f>(IF(AA$7="X",VLOOKUP(AA$10,'VK-Hooned-Soojus'!$C:$X,2+$C71,FALSE),0)+IF(AA$6="X",VLOOKUP(AA$10,'VK-Transport'!$C:$X,2+$B71,0))+IF(AA$8="X",VLOOKUP(AA$10,'VK-Elekter'!$C:$X,2+$D71,0))+IF(AA$9="X",VLOOKUP(AA$10,'VK-Biokütused'!$C:$U,2+$E71,0))+IF(AA$5="X",VLOOKUP(AA$10,'VK-Põlevkivi'!$C:$X,2+$G71,0))+IF(AA$4="X",VLOOKUP(AA$10,'VK-Võrgud'!$C:$X,2+$F71,0)))</f>
        <v>3729</v>
      </c>
      <c r="AB71" s="228">
        <f>(IF(AB$7="X",VLOOKUP(AB$10,'VK-Hooned-Soojus'!$C:$X,2+$C71,FALSE),0)+IF(AB$6="X",VLOOKUP(AB$10,'VK-Transport'!$C:$X,2+$B71,0))+IF(AB$8="X",VLOOKUP(AB$10,'VK-Elekter'!$C:$X,2+$D71,0))+IF(AB$9="X",VLOOKUP(AB$10,'VK-Biokütused'!$C:$U,2+$E71,0))+IF(AB$5="X",VLOOKUP(AB$10,'VK-Põlevkivi'!$C:$X,2+$G71,0))+IF(AB$4="X",VLOOKUP(AB$10,'VK-Võrgud'!$C:$X,2+$F71,0)))</f>
        <v>1337</v>
      </c>
      <c r="AC71" s="228">
        <f>(IF(AC$7="X",VLOOKUP(AC$10,'VK-Hooned-Soojus'!$C:$X,2+$C71,FALSE),0)+IF(AC$6="X",VLOOKUP(AC$10,'VK-Transport'!$C:$X,2+$B71,0))+IF(AC$8="X",VLOOKUP(AC$10,'VK-Elekter'!$C:$X,2+$D71,0))+IF(AC$9="X",VLOOKUP(AC$10,'VK-Biokütused'!$C:$U,2+$E71,0))+IF(AC$5="X",VLOOKUP(AC$10,'VK-Põlevkivi'!$C:$X,2+$G71,0))+IF(AC$4="X",VLOOKUP(AC$10,'VK-Võrgud'!$C:$X,2+$F71,0)))</f>
        <v>2346</v>
      </c>
      <c r="AD71" s="228">
        <f>(IF(AD$7="X",VLOOKUP(AD$10,'VK-Hooned-Soojus'!$C:$X,2+$C71,FALSE),0)+IF(AD$6="X",VLOOKUP(AD$10,'VK-Transport'!$C:$X,2+$B71,0))+IF(AD$8="X",VLOOKUP(AD$10,'VK-Elekter'!$C:$X,2+$D71,0))+IF(AD$9="X",VLOOKUP(AD$10,'VK-Biokütused'!$C:$U,2+$E71,0))+IF(AD$5="X",VLOOKUP(AD$10,'VK-Põlevkivi'!$C:$X,2+$G71,0))+IF(AD$4="X",VLOOKUP(AD$10,'VK-Võrgud'!$C:$X,2+$F71,0)))</f>
        <v>0</v>
      </c>
      <c r="AE71" s="228">
        <f>(IF(AE$7="X",VLOOKUP(AE$10,'VK-Hooned-Soojus'!$C:$X,2+$C71,FALSE),0)+IF(AE$6="X",VLOOKUP(AE$10,'VK-Transport'!$C:$X,2+$B71,0))+IF(AE$8="X",VLOOKUP(AE$10,'VK-Elekter'!$C:$X,2+$D71,0))+IF(AE$9="X",VLOOKUP(AE$10,'VK-Biokütused'!$C:$U,2+$E71,0))+IF(AE$5="X",VLOOKUP(AE$10,'VK-Põlevkivi'!$C:$X,2+$G71,0))+IF(AE$4="X",VLOOKUP(AE$10,'VK-Võrgud'!$C:$X,2+$F71,0)))</f>
        <v>666</v>
      </c>
      <c r="AF71" s="228">
        <f>(IF(AF$7="X",VLOOKUP(AF$10,'VK-Hooned-Soojus'!$C:$X,2+$C71,FALSE),0)+IF(AF$6="X",VLOOKUP(AF$10,'VK-Transport'!$C:$X,2+$B71,0))+IF(AF$8="X",VLOOKUP(AF$10,'VK-Elekter'!$C:$X,2+$D71,0))+IF(AF$9="X",VLOOKUP(AF$10,'VK-Biokütused'!$C:$U,2+$E71,0))+IF(AF$5="X",VLOOKUP(AF$10,'VK-Põlevkivi'!$C:$X,2+$G71,0))+IF(AF$4="X",VLOOKUP(AF$10,'VK-Võrgud'!$C:$X,2+$F71,0)))</f>
        <v>1892.3823271229701</v>
      </c>
      <c r="AG71" s="209"/>
      <c r="AH71" s="209">
        <f>IF(AH$7="X",VLOOKUP(AH$10,'VK-Hooned-Soojus'!$C:$X,2+$C71,FALSE),0)+IF(AH$6="X",VLOOKUP(AH$10,'VK-Transport'!$C:$X,2+$B71,0))+IF(AH$8="X",VLOOKUP(AH$10,'VK-Elekter'!$C:$X,2+$D71,0))+IF(AH$9="X",VLOOKUP(AH$10,'VK-Biokütused'!$C:$U,2+$E71,0))+IF(AH$5="X",VLOOKUP(AH$10,'VK-Põlevkivi'!$C:$X,2+$G71,0))+IF(AH$4="X",VLOOKUP(AH$10,'VK-Võrgud'!$C:$X,2+$F71,0))</f>
        <v>11.629999999999999</v>
      </c>
      <c r="AI71" s="209">
        <f>IF(AI$7="X",VLOOKUP(AI$10,'VK-Hooned-Soojus'!$C:$X,2+$C71,FALSE),0)+IF(AI$6="X",VLOOKUP(AI$10,'VK-Transport'!$C:$X,2+$B71,0))+IF(AI$8="X",VLOOKUP(AI$10,'VK-Elekter'!$C:$X,2+$D71,0))+IF(AI$9="X",VLOOKUP(AI$10,'VK-Biokütused'!$C:$U,2+$E71,0))+IF(AI$5="X",VLOOKUP(AI$10,'VK-Põlevkivi'!$C:$X,2+$G71,0))+IF(AI$4="X",VLOOKUP(AI$10,'VK-Võrgud'!$C:$X,2+$F71,0))</f>
        <v>2.3100000000000005</v>
      </c>
      <c r="AJ71" s="209">
        <f>IF(AJ$7="X",VLOOKUP(AJ$10,'VK-Hooned-Soojus'!$C:$X,2+$C71,FALSE),0)+IF(AJ$6="X",VLOOKUP(AJ$10,'VK-Transport'!$C:$X,2+$B71,0))+IF(AJ$8="X",VLOOKUP(AJ$10,'VK-Elekter'!$C:$X,2+$D71,0))+IF(AJ$9="X",VLOOKUP(AJ$10,'VK-Biokütused'!$C:$U,2+$E71,0))+IF(AJ$5="X",VLOOKUP(AJ$10,'VK-Põlevkivi'!$C:$X,2+$G71,0))+IF(AJ$4="X",VLOOKUP(AJ$10,'VK-Võrgud'!$C:$X,2+$F71,0))</f>
        <v>9.24</v>
      </c>
      <c r="AK71" s="209">
        <f>IF(AK$7="X",VLOOKUP(AK$10,'VK-Hooned-Soojus'!$C:$X,2+$C71,FALSE),0)+IF(AK$6="X",VLOOKUP(AK$10,'VK-Transport'!$C:$X,2+$B71,0))+IF(AK$8="X",VLOOKUP(AK$10,'VK-Elekter'!$C:$X,2+$D71,0))+IF(AK$9="X",VLOOKUP(AK$10,'VK-Biokütused'!$C:$U,2+$E71,0))+IF(AK$5="X",VLOOKUP(AK$10,'VK-Põlevkivi'!$C:$X,2+$G71,0))+IF(AK$4="X",VLOOKUP(AK$10,'VK-Võrgud'!$C:$X,2+$F71,0))</f>
        <v>2.78</v>
      </c>
      <c r="AL71" s="209">
        <f>IF(AL$7="X",VLOOKUP(AL$10,'VK-Hooned-Soojus'!$C:$X,2+$C71,FALSE),0)+IF(AL$6="X",VLOOKUP(AL$10,'VK-Transport'!$C:$X,2+$B71,0))+IF(AL$8="X",VLOOKUP(AL$10,'VK-Elekter'!$C:$X,2+$D71,0))+IF(AL$9="X",VLOOKUP(AL$10,'VK-Biokütused'!$C:$U,2+$E71,0))+IF(AL$5="X",VLOOKUP(AL$10,'VK-Põlevkivi'!$C:$X,2+$G71,0))+IF(AL$4="X",VLOOKUP(AL$10,'VK-Võrgud'!$C:$X,2+$F71,0))</f>
        <v>7.1999999999999993</v>
      </c>
      <c r="AM71" s="209">
        <f>IF(AM$7="X",VLOOKUP(AM$10,'VK-Hooned-Soojus'!$C:$X,2+$C71,FALSE),0)+IF(AM$6="X",VLOOKUP(AM$10,'VK-Transport'!$C:$X,2+$B71,0))+IF(AM$8="X",VLOOKUP(AM$10,'VK-Elekter'!$C:$X,2+$D71,0))+IF(AM$9="X",VLOOKUP(AM$10,'VK-Biokütused'!$C:$U,2+$E71,0))+IF(AM$5="X",VLOOKUP(AM$10,'VK-Põlevkivi'!$C:$X,2+$G71,0))+IF(AM$4="X",VLOOKUP(AM$10,'VK-Võrgud'!$C:$X,2+$F71,0))</f>
        <v>11.9</v>
      </c>
      <c r="AN71" s="209">
        <f>IF(AN$7="X",VLOOKUP(AN$10,'VK-Hooned-Soojus'!$C:$X,2+$C71,FALSE),0)+IF(AN$6="X",VLOOKUP(AN$10,'VK-Transport'!$C:$X,2+$B71,0))+IF(AN$8="X",VLOOKUP(AN$10,'VK-Elekter'!$C:$X,2+$D71,0))+IF(AN$9="X",VLOOKUP(AN$10,'VK-Biokütused'!$C:$U,2+$E71,0))+IF(AN$5="X",VLOOKUP(AN$10,'VK-Põlevkivi'!$C:$X,2+$G71,0))+IF(AN$4="X",VLOOKUP(AN$10,'VK-Võrgud'!$C:$X,2+$F71,0))</f>
        <v>4.8999999999999995</v>
      </c>
      <c r="AO71" s="209">
        <f>IF(AO$7="X",VLOOKUP(AO$10,'VK-Hooned-Soojus'!$C:$X,2+$C71,FALSE),0)+IF(AO$6="X",VLOOKUP(AO$10,'VK-Transport'!$C:$X,2+$B71,0))+IF(AO$8="X",VLOOKUP(AO$10,'VK-Elekter'!$C:$X,2+$D71,0))+IF(AO$9="X",VLOOKUP(AO$10,'VK-Biokütused'!$C:$U,2+$E71,0))+IF(AO$5="X",VLOOKUP(AO$10,'VK-Põlevkivi'!$C:$X,2+$G71,0))+IF(AO$4="X",VLOOKUP(AO$10,'VK-Võrgud'!$C:$X,2+$F71,0))</f>
        <v>12.56</v>
      </c>
      <c r="AP71" s="209">
        <f>IF(AP$7="X",VLOOKUP(AP$10,'VK-Hooned-Soojus'!$C:$X,2+$C71,FALSE),0)+IF(AP$6="X",VLOOKUP(AP$10,'VK-Transport'!$C:$X,2+$B71,0))+IF(AP$8="X",VLOOKUP(AP$10,'VK-Elekter'!$C:$X,2+$D71,0))+IF(AP$9="X",VLOOKUP(AP$10,'VK-Biokütused'!$C:$U,2+$E71,0))+IF(AP$5="X",VLOOKUP(AP$10,'VK-Põlevkivi'!$C:$X,2+$G71,0))+IF(AP$4="X",VLOOKUP(AP$10,'VK-Võrgud'!$C:$X,2+$F71,0))</f>
        <v>6.28</v>
      </c>
      <c r="AQ71" s="320">
        <f t="shared" si="14"/>
        <v>0.25999999999999979</v>
      </c>
      <c r="AR71" s="209">
        <f>IF(AR$7="X",VLOOKUP(AR$10,'VK-Hooned-Soojus'!$C:$X,2+$C71,FALSE),0)+IF(AR$6="X",VLOOKUP(AR$10,'VK-Transport'!$C:$X,2+$B71,0))+IF(AR$8="X",VLOOKUP(AR$10,'VK-Elekter'!$C:$X,2+$D71,0))+IF(AR$9="X",VLOOKUP(AR$10,'VK-Biokütused'!$C:$U,2+$E71,0))+IF(AR$5="X",VLOOKUP(AR$10,'VK-Põlevkivi'!$C:$X,2+$G71,0))+IF(AR$4="X",VLOOKUP(AR$10,'VK-Võrgud'!$C:$X,2+$F71,0))</f>
        <v>2.8899999999999997</v>
      </c>
      <c r="AS71" s="320">
        <f>VLOOKUP("Kütuste tarbimine @ 2030 - UTTEGAAS",'VK-Hooned-Soojus'!$C:$X,2+$C71,FALSE)/0.172+VLOOKUP("Kütuste tarbimine @ 2030 - UTTEGAAS",'VK-Elekter'!$C:$X,2+$D71,FALSE)/0.172-AR71-AU71</f>
        <v>2.8565116279069773</v>
      </c>
      <c r="AT71" s="209">
        <f>IF(AT$7="X",VLOOKUP(AT$10,'VK-Hooned-Soojus'!$C:$X,2+$C71,FALSE),0)+IF(AT$6="X",VLOOKUP(AT$10,'VK-Transport'!$C:$X,2+$B71,0))+IF(AT$8="X",VLOOKUP(AT$10,'VK-Elekter'!$C:$X,2+$D71,0))+IF(AT$9="X",VLOOKUP(AT$10,'VK-Biokütused'!$C:$U,2+$E71,0))+IF(AT$5="X",VLOOKUP(AT$10,'VK-Põlevkivi'!$C:$X,2+$G71,0))+IF(AT$4="X",VLOOKUP(AT$10,'VK-Võrgud'!$C:$X,2+$F71,0))</f>
        <v>9.2784458909544707</v>
      </c>
      <c r="AU71" s="229">
        <f>MAX(0,(VLOOKUP("Kütuste tarbimine @ 2030 - UTTEGAAS",'VK-Hooned-Soojus'!$C:$X,2+$C71,FALSE)/0.172+VLOOKUP("Kütuste tarbimine @ 2030 - UTTEGAAS",'VK-Elekter'!$C:$X,2+$D71,FALSE)/0.172)*0.52-VLOOKUP("Kütuste tarbimine @ 2030 - PÕLEVKIVIÕLI",'VK-Hooned-Soojus'!$C:$X,2+$C71,FALSE))</f>
        <v>5.1837209302325586</v>
      </c>
      <c r="AV71" s="209">
        <f>IF(AV$7="X",VLOOKUP(AV$10,'VK-Hooned-Soojus'!$C:$X,2+$C71,FALSE),0)+IF(AV$6="X",VLOOKUP(AV$10,'VK-Transport'!$C:$X,2+$B71,0))+IF(AV$8="X",VLOOKUP(AV$10,'VK-Elekter'!$C:$X,2+$D71,0))+IF(AV$9="X",VLOOKUP(AV$10,'VK-Biokütused'!$C:$U,2+$E71,0))+IF(AV$5="X",VLOOKUP(AV$10,'VK-Põlevkivi'!$C:$X,2+$G71,0))+IF(AV$4="X",VLOOKUP(AV$10,'VK-Võrgud'!$C:$X,2+$F71,0))</f>
        <v>1.7257321590343366</v>
      </c>
      <c r="AW71" s="209">
        <f>IF(AW$7="X",VLOOKUP(AW$10,'VK-Hooned-Soojus'!$C:$X,2+$C71,FALSE),0)+IF(AW$6="X",VLOOKUP(AW$10,'VK-Transport'!$C:$X,2+$B71,0))+IF(AW$8="X",VLOOKUP(AW$10,'VK-Elekter'!$C:$X,2+$D71,0))+IF(AW$9="X",VLOOKUP(AW$10,'VK-Biokütused'!$C:$U,2+$E71,0))+IF(AW$5="X",VLOOKUP(AW$10,'VK-Põlevkivi'!$C:$X,2+$G71,0))+IF(AW$4="X",VLOOKUP(AW$10,'VK-Võrgud'!$C:$X,2+$F71,0))</f>
        <v>0</v>
      </c>
      <c r="AX71" s="229">
        <f t="shared" si="34"/>
        <v>0</v>
      </c>
      <c r="AY71" s="229">
        <f t="shared" si="15"/>
        <v>1.7257321590343366</v>
      </c>
      <c r="AZ71" s="230">
        <f t="shared" si="36"/>
        <v>0.58375687843549795</v>
      </c>
      <c r="BA71" s="209">
        <f>IF(BA$7="X",VLOOKUP(BA$10,'VK-Hooned-Soojus'!$C:$X,2+$C71,FALSE),0)+IF(BA$6="X",VLOOKUP(BA$10,'VK-Transport'!$C:$X,2+$B71,0))+IF(BA$8="X",VLOOKUP(BA$10,'VK-Elekter'!$C:$X,2+$D71,0))+IF(BA$9="X",VLOOKUP(BA$10,'VK-Biokütused'!$C:$U,2+$E71,0))+IF(BA$5="X",VLOOKUP(BA$10,'VK-Põlevkivi'!$C:$X,2+$G71,0))+IF(BA$4="X",VLOOKUP(BA$10,'VK-Võrgud'!$C:$X,2+$F71,0))</f>
        <v>4.25</v>
      </c>
      <c r="BB71" s="209">
        <f>IF(BB$7="X",VLOOKUP(BB$10,'VK-Hooned-Soojus'!$C:$X,2+$C71,FALSE),0)+IF(BB$6="X",VLOOKUP(BB$10,'VK-Transport'!$C:$X,2+$B71,0))+IF(BB$8="X",VLOOKUP(BB$10,'VK-Elekter'!$C:$X,2+$D71,0))+IF(BB$9="X",VLOOKUP(BB$10,'VK-Biokütused'!$C:$U,2+$E71,0))+IF(BB$5="X",VLOOKUP(BB$10,'VK-Põlevkivi'!$C:$X,2+$G71,0))+IF(BB$4="X",VLOOKUP(BB$10,'VK-Võrgud'!$C:$X,2+$F71,0))</f>
        <v>2.93</v>
      </c>
      <c r="BC71" s="209">
        <f>IF(BC$7="X",VLOOKUP(BC$10,'VK-Hooned-Soojus'!$C:$X,2+$C71,FALSE),0)+IF(BC$6="X",VLOOKUP(BC$10,'VK-Transport'!$C:$X,2+$B71,0))+IF(BC$8="X",VLOOKUP(BC$10,'VK-Elekter'!$C:$X,2+$D71,0))+IF(BC$9="X",VLOOKUP(BC$10,'VK-Biokütused'!$C:$U,2+$E71,0))+IF(BC$5="X",VLOOKUP(BC$10,'VK-Põlevkivi'!$C:$X,2+$G71,0))+IF(BC$4="X",VLOOKUP(BC$10,'VK-Võrgud'!$C:$X,2+$F71,0))</f>
        <v>6.5993333333333322</v>
      </c>
      <c r="BD71" s="209">
        <f>IF(BD$7="X",VLOOKUP(BD$10,'VK-Hooned-Soojus'!$C:$X,2+$C71,FALSE),0)+IF(BD$6="X",VLOOKUP(BD$10,'VK-Transport'!$C:$X,2+$B71,0))+IF(BD$8="X",VLOOKUP(BD$10,'VK-Elekter'!$C:$X,2+$D71,0))+IF(BD$9="X",VLOOKUP(BD$10,'VK-Biokütused'!$C:$U,2+$E71,0))+IF(BD$5="X",VLOOKUP(BD$10,'VK-Põlevkivi'!$C:$X,2+$G71,0))+IF(BD$4="X",VLOOKUP(BD$10,'VK-Võrgud'!$C:$X,2+$F71,0))</f>
        <v>9.425416666666667</v>
      </c>
      <c r="BE71" s="230"/>
      <c r="BF71" s="229">
        <f t="shared" si="16"/>
        <v>0.33006438024350176</v>
      </c>
      <c r="BG71" s="209" t="e">
        <f>(IF(BG$7="X",VLOOKUP(BG$10,'VK-Hooned-Soojus'!$C:$X,2+$C71,FALSE),0)+IF(BG$6="X",VLOOKUP(BG$10,'VK-Transport'!$C:$X,2+$B71,0))+IF(BG$8="X",VLOOKUP(BG$10,'VK-Elekter'!$C:$X,2+$D71,0))+IF(BG$9="X",VLOOKUP(BG$10,'VK-Biokütused'!$C:$U,2+$E71,0))+IF(BG$5="X",VLOOKUP(BG$10,'VK-Põlevkivi'!$C:$X,2+$G71,0))+IF(BG$4="X",VLOOKUP(BG$10,'VK-Võrgud'!$C:$X,2+$F71,0)))/20</f>
        <v>#N/A</v>
      </c>
      <c r="BH71" s="209">
        <f>(IF(BH$7="X",VLOOKUP(BH$10,'VK-Hooned-Soojus'!$C:$X,2+$C71,FALSE),0)+IF(BH$6="X",VLOOKUP(BH$10,'VK-Transport'!$C:$X,2+$B71,0))+IF(BH$8="X",VLOOKUP(BH$10,'VK-Elekter'!$C:$X,2+$D71,0))+IF(BH$9="X",VLOOKUP(BH$10,'VK-Biokütused'!$C:$U,2+$E71,0))+IF(BH$5="X",VLOOKUP(BH$10,'VK-Põlevkivi'!$C:$X,2+$G71,0))+IF(BH$4="X",VLOOKUP(BH$10,'VK-Võrgud'!$C:$X,2+$F71,0)))/20</f>
        <v>45.08</v>
      </c>
      <c r="BI71" s="209">
        <f>(IF(BI$7="X",VLOOKUP(BI$10,'VK-Hooned-Soojus'!$C:$X,2+$C71,FALSE),0)+IF(BI$6="X",VLOOKUP(BI$10,'VK-Transport'!$C:$X,2+$B71,0))+IF(BI$8="X",VLOOKUP(BI$10,'VK-Elekter'!$C:$X,2+$D71,0))+IF(BI$9="X",VLOOKUP(BI$10,'VK-Biokütused'!$C:$U,2+$E71,0))+IF(BI$5="X",VLOOKUP(BI$10,'VK-Põlevkivi'!$C:$X,2+$G71,0))+IF(BI$4="X",VLOOKUP(BI$10,'VK-Võrgud'!$C:$X,2+$F71,0)))/16</f>
        <v>14.1875</v>
      </c>
      <c r="BJ71" s="209">
        <f>(IF(BJ$7="X",VLOOKUP(BJ$10,'VK-Hooned-Soojus'!$C:$X,2+$C71,FALSE),0)+IF(BJ$6="X",VLOOKUP(BJ$10,'VK-Transport'!$C:$X,2+$B71,0))+IF(BJ$8="X",VLOOKUP(BJ$10,'VK-Elekter'!$C:$X,2+$D71,0))+IF(BJ$9="X",VLOOKUP(BJ$10,'VK-Biokütused'!$C:$U,2+$E71,0))+IF(BJ$5="X",VLOOKUP(BJ$10,'VK-Põlevkivi'!$C:$X,2+$G71,0))+IF(BJ$4="X",VLOOKUP(BJ$10,'VK-Võrgud'!$C:$X,2+$F71,0)))/20</f>
        <v>3.91</v>
      </c>
      <c r="BK71" s="209"/>
      <c r="BL71" s="209"/>
      <c r="BM71" s="209"/>
      <c r="BN71" s="209" t="e">
        <f>(IF(BN$7="X",VLOOKUP(BN$10,'VK-Hooned-Soojus'!$C:$X,2+$C71,FALSE),0)+IF(BN$6="X",VLOOKUP(BN$10,'VK-Transport'!$C:$X,2+$B71,0))+IF(BN$8="X",VLOOKUP(BN$10,'VK-Elekter'!$C:$X,2+$D71,0))+IF(BN$9="X",VLOOKUP(BN$10,'VK-Biokütused'!$C:$U,2+$E71,0))+IF(BN$5="X",VLOOKUP(BN$10,'VK-Põlevkivi'!$C:$X,2+$G71,0))+IF(BN$4="X",VLOOKUP(BN$10,'VK-Võrgud'!$C:$X,2+$F71,0)))/16</f>
        <v>#N/A</v>
      </c>
      <c r="BO71" s="209">
        <f>(IF(BO$7="X",VLOOKUP(BO$10,'VK-Hooned-Soojus'!$C:$X,2+$C71,FALSE),0)+IF(BO$6="X",VLOOKUP(BO$10,'VK-Transport'!$C:$X,2+$B71,0))+IF(BO$8="X",VLOOKUP(BO$10,'VK-Elekter'!$C:$X,2+$D71,0))+IF(BO$9="X",VLOOKUP(BO$10,'VK-Biokütused'!$C:$U,2+$E71,0))+IF(BO$5="X",VLOOKUP(BO$10,'VK-Põlevkivi'!$C:$X,2+$G71,0))+IF(BO$4="X",VLOOKUP(BO$10,'VK-Võrgud'!$C:$X,2+$F71,0)))/16</f>
        <v>405.45</v>
      </c>
      <c r="BP71" s="209"/>
      <c r="BQ71" s="209">
        <f>(IF(BQ$7="X",VLOOKUP(BQ$10,'VK-Hooned-Soojus'!$C:$X,2+$C71,FALSE),0)+IF(BQ$6="X",VLOOKUP(BQ$10,'VK-Transport'!$C:$X,2+$B71,0))+IF(BQ$8="X",VLOOKUP(BQ$10,'VK-Elekter'!$C:$X,2+$D71,0))+IF(BQ$9="X",VLOOKUP(BQ$10,'VK-Biokütused'!$C:$U,2+$E71,0))+IF(BQ$5="X",VLOOKUP(BQ$10,'VK-Põlevkivi'!$C:$X,2+$G71,0))+IF(BQ$4="X",VLOOKUP(BQ$10,'VK-Võrgud'!$C:$X,2+$F71,0)))/16</f>
        <v>127.6</v>
      </c>
      <c r="BR71" s="209">
        <f>(IF(BR$7="X",VLOOKUP(BR$10,'VK-Hooned-Soojus'!$C:$X,2+$C71,FALSE),0)+IF(BR$6="X",VLOOKUP(BR$10,'VK-Transport'!$C:$X,2+$B71,0))+IF(BR$8="X",VLOOKUP(BR$10,'VK-Elekter'!$C:$X,2+$D71,0))+IF(BR$9="X",VLOOKUP(BR$10,'VK-Biokütused'!$C:$U,2+$E71,0))+IF(BR$5="X",VLOOKUP(BR$10,'VK-Põlevkivi'!$C:$X,2+$G71,0))+IF(BR$4="X",VLOOKUP(BR$10,'VK-Võrgud'!$C:$X,2+$F71,0)))/16</f>
        <v>27.475000000000001</v>
      </c>
      <c r="BS71" s="209">
        <f>(IF(BS$7="X",VLOOKUP(BS$10,'VK-Hooned-Soojus'!$C:$X,2+$C71,FALSE),0)+IF(BS$6="X",VLOOKUP(BS$10,'VK-Transport'!$C:$X,2+$B71,0))+IF(BS$8="X",VLOOKUP(BS$10,'VK-Elekter'!$C:$X,2+$D71,0))+IF(BS$9="X",VLOOKUP(BS$10,'VK-Biokütused'!$C:$U,2+$E71,0))+IF(BS$5="X",VLOOKUP(BS$10,'VK-Põlevkivi'!$C:$X,2+$G71,0))+IF(BS$4="X",VLOOKUP(BS$10,'VK-Võrgud'!$C:$X,2+$F71,0)))/16</f>
        <v>-23.293749999999999</v>
      </c>
      <c r="BT71" s="209"/>
      <c r="BU71" s="209"/>
      <c r="BV71" s="209">
        <f>(IF(BV$7="X",VLOOKUP(BV$10,'VK-Hooned-Soojus'!$C:$X,2+$C71,FALSE),0)+IF(BV$6="X",VLOOKUP(BV$10,'VK-Transport'!$C:$X,2+$B71,0))+IF(BV$8="X",VLOOKUP(BV$10,'VK-Elekter'!$C:$X,2+$D71,0))+IF(BV$9="X",VLOOKUP(BV$10,'VK-Biokütused'!$C:$U,2+$E71,0))+IF(BV$5="X",VLOOKUP(BV$10,'VK-Põlevkivi'!$C:$X,2+$G71,0))+IF(BV$4="X",VLOOKUP(BV$10,'VK-Võrgud'!$C:$X,2+$F71,0)))/16</f>
        <v>0</v>
      </c>
      <c r="BW71" s="209"/>
      <c r="BX71" s="209">
        <f>(IF(BX$7="X",VLOOKUP(BX$10,'VK-Hooned-Soojus'!$C:$X,2+$C71,FALSE),0)+IF(BX$6="X",VLOOKUP(BX$10,'VK-Transport'!$C:$X,2+$B71,0))+IF(BX$8="X",VLOOKUP(BX$10,'VK-Elekter'!$C:$X,2+$D71,0))+IF(BX$9="X",VLOOKUP(BX$10,'VK-Biokütused'!$C:$U,2+$E71,0))+IF(BX$5="X",VLOOKUP(BX$10,'VK-Põlevkivi'!$C:$X,2+$G71,0))+IF(BX$4="X",VLOOKUP(BX$10,'VK-Võrgud'!$C:$X,2+$F71,0)))/16</f>
        <v>-99.6875</v>
      </c>
      <c r="BY71" s="209"/>
      <c r="BZ71" s="209"/>
      <c r="CA71" s="209" t="e">
        <f>(IF(CA$7="X",VLOOKUP(CA$10,'VK-Hooned-Soojus'!$C:$X,2+$C71,FALSE),0)+IF(CA$6="X",VLOOKUP(CA$10,'VK-Transport'!$C:$X,2+$B71,0))+IF(CA$8="X",VLOOKUP(CA$10,'VK-Elekter'!$C:$X,2+$D71,0))+IF(CA$9="X",VLOOKUP(CA$10,'VK-Biokütused'!$C:$U,2+$E71,0))+IF(CA$5="X",VLOOKUP(CA$10,'VK-Põlevkivi'!$C:$X,2+$G71,0))+IF(CA$4="X",VLOOKUP(CA$10,'VK-Võrgud'!$C:$X,2+$F71,0)))/16</f>
        <v>#N/A</v>
      </c>
      <c r="CB71" s="209">
        <f>(IF(CB$7="X",VLOOKUP(CB$10,'VK-Hooned-Soojus'!$C:$X,2+$C71,FALSE),0)+IF(CB$6="X",VLOOKUP(CB$10,'VK-Transport'!$C:$X,2+$B71,0))+IF(CB$8="X",VLOOKUP(CB$10,'VK-Elekter'!$C:$X,2+$D71,0))+IF(CB$9="X",VLOOKUP(CB$10,'VK-Biokütused'!$C:$U,2+$E71,0))+IF(CB$5="X",VLOOKUP(CB$10,'VK-Põlevkivi'!$C:$X,2+$G71,0))+IF(CB$4="X",VLOOKUP(CB$10,'VK-Võrgud'!$C:$X,2+$F71,0)))/16</f>
        <v>0</v>
      </c>
      <c r="CC71" s="209">
        <f>(IF(CC$7="X",VLOOKUP(CC$10,'VK-Hooned-Soojus'!$C:$X,2+$C71,FALSE),0)+IF(CC$6="X",VLOOKUP(CC$10,'VK-Transport'!$C:$X,2+$B71,0))+IF(CC$8="X",VLOOKUP(CC$10,'VK-Elekter'!$C:$X,2+$D71,0))+IF(CC$9="X",VLOOKUP(CC$10,'VK-Biokütused'!$C:$U,2+$E71,0))+IF(CC$5="X",VLOOKUP(CC$10,'VK-Põlevkivi'!$C:$X,2+$G71,0))+IF(CC$4="X",VLOOKUP(CC$10,'VK-Võrgud'!$C:$X,2+$F71,0)))/16</f>
        <v>0</v>
      </c>
      <c r="CD71" s="209"/>
      <c r="CE71" s="209">
        <f>(IF(CE$7="X",VLOOKUP(CE$10,'VK-Hooned-Soojus'!$C:$X,2+$C71,FALSE),0)+IF(CE$6="X",VLOOKUP(CE$10,'VK-Transport'!$C:$X,2+$B71,0))+IF(CE$8="X",VLOOKUP(CE$10,'VK-Elekter'!$C:$X,2+$D71,0))+IF(CE$9="X",VLOOKUP(CE$10,'VK-Biokütused'!$C:$U,2+$E71,0))+IF(CE$5="X",VLOOKUP(CE$10,'VK-Põlevkivi'!$C:$X,2+$G71,0))+IF(CE$4="X",VLOOKUP(CE$10,'VK-Võrgud'!$C:$X,2+$F71,0)))/16</f>
        <v>24.15625</v>
      </c>
      <c r="CF71" s="209"/>
      <c r="CG71" s="209">
        <f>(IF(CG$7="X",VLOOKUP(CG$10,'VK-Hooned-Soojus'!$C:$X,2+$C71,FALSE),0)+IF(CG$6="X",VLOOKUP(CG$10,'VK-Transport'!$C:$X,2+$B71,0))+IF(CG$8="X",VLOOKUP(CG$10,'VK-Elekter'!$C:$X,2+$D71,0))+IF(CG$9="X",VLOOKUP(CG$10,'VK-Biokütused'!$C:$U,2+$E71,0))+IF(CG$5="X",VLOOKUP(CG$10,'VK-Põlevkivi'!$C:$X,2+$G71,0))+IF(CG$4="X",VLOOKUP(CG$10,'VK-Võrgud'!$C:$X,2+$F71,0)))/16</f>
        <v>0</v>
      </c>
      <c r="CH71" s="209">
        <f>(IF(CH$7="X",VLOOKUP(CH$10,'VK-Hooned-Soojus'!$C:$X,2+$C71,FALSE),0)+IF(CH$6="X",VLOOKUP(CH$10,'VK-Transport'!$C:$X,2+$B71,0))+IF(CH$8="X",VLOOKUP(CH$10,'VK-Elekter'!$C:$X,2+$D71,0))+IF(CH$9="X",VLOOKUP(CH$10,'VK-Biokütused'!$C:$U,2+$E71,0))+IF(CH$5="X",VLOOKUP(CH$10,'VK-Põlevkivi'!$C:$X,2+$G71,0))+IF(CH$4="X",VLOOKUP(CH$10,'VK-Võrgud'!$C:$X,2+$F71,0)))/20*0.21</f>
        <v>11.225549999999998</v>
      </c>
      <c r="CI71" s="209"/>
      <c r="CJ71" s="209">
        <f>(IF(CJ$7="X",VLOOKUP(CJ$10,'VK-Hooned-Soojus'!$C:$X,2+$C71,FALSE),0)+IF(CJ$6="X",VLOOKUP(CJ$10,'VK-Transport'!$C:$X,2+$B71,0))+IF(CJ$8="X",VLOOKUP(CJ$10,'VK-Elekter'!$C:$X,2+$D71,0))+IF(CJ$9="X",VLOOKUP(CJ$10,'VK-Biokütused'!$C:$U,2+$E71,0))+IF(CJ$5="X",VLOOKUP(CJ$10,'VK-Põlevkivi'!$C:$X,2+$G71,0))+IF(CJ$4="X",VLOOKUP(CJ$10,'VK-Võrgud'!$C:$X,2+$F71,0)))/1000</f>
        <v>18.178999999999998</v>
      </c>
      <c r="CK71" s="209">
        <f>(IF(CK$7="X",VLOOKUP(CK$10,'VK-Hooned-Soojus'!$C:$X,2+$C71,FALSE),0)+IF(CK$6="X",VLOOKUP(CK$10,'VK-Transport'!$C:$X,2+$B71,0))+IF(CK$8="X",VLOOKUP(CK$10,'VK-Elekter'!$C:$X,2+$D71,0))+IF(CK$9="X",VLOOKUP(CK$10,'VK-Biokütused'!$C:$U,2+$E71,0))+IF(CK$5="X",VLOOKUP(CK$10,'VK-Põlevkivi'!$C:$X,2+$G71,0))+IF(CK$4="X",VLOOKUP(CK$10,'VK-Võrgud'!$C:$X,2+$F71,0)))/1000</f>
        <v>11.873743209992719</v>
      </c>
      <c r="CL71" s="235">
        <f>(IF(CL$7="X",VLOOKUP(CL$10,'VK-Hooned-Soojus'!$C:$X,2+$C71,FALSE),0)+IF(CL$6="X",VLOOKUP(CL$10,'VK-Transport'!$C:$X,2+$B71,0))+IF(CL$8="X",VLOOKUP(CL$10,'VK-Elekter'!$C:$X,2+$D71,0))+IF(CL$9="X",VLOOKUP(CL$10,'VK-Biokütused'!$C:$U,2+$E71,0)))/1000</f>
        <v>8.4202895597237895</v>
      </c>
      <c r="CM71" s="209">
        <f>(IF(CM$7="X",VLOOKUP(CM$10,'VK-Hooned-Soojus'!$C:$X,2+$C71,FALSE),0)+IF(CM$6="X",VLOOKUP(CM$10,'VK-Transport'!$C:$X,2+$B71,0))+IF(CM$8="X",VLOOKUP(CM$10,'VK-Elekter'!$C:$X,2+$D71,0))+IF(CM$9="X",VLOOKUP(CM$10,'VK-Biokütused'!$C:$U,2+$E71,0))+IF(CM$5="X",VLOOKUP(CM$10,'VK-Põlevkivi'!$C:$X,2+$G71,0))+IF(CM$4="X",VLOOKUP(CM$10,'VK-Võrgud'!$C:$X,2+$F71,0)))/1000</f>
        <v>7.7729999999999997</v>
      </c>
      <c r="CN71" s="209">
        <f>(IF(CN$7="X",VLOOKUP(CN$10,'VK-Hooned-Soojus'!$C:$X,2+$C71,FALSE),0)+IF(CN$6="X",VLOOKUP(CN$10,'VK-Transport'!$C:$X,2+$B71,0))+IF(CN$8="X",VLOOKUP(CN$10,'VK-Elekter'!$C:$X,2+$D71,0))+IF(CN$9="X",VLOOKUP(CN$10,'VK-Biokütused'!$C:$U,2+$E71,0))+IF(CN$5="X",VLOOKUP(CN$10,'VK-Põlevkivi'!$C:$X,2+$G71,0))+IF(CN$4="X",VLOOKUP(CN$10,'VK-Võrgud'!$C:$X,2+$F71,0)))/1000</f>
        <v>2.9929999999999999</v>
      </c>
      <c r="CO71" s="209">
        <f>(IF(CO$7="X",VLOOKUP(CO$10,'VK-Hooned-Soojus'!$C:$X,2+$C71,FALSE),0)+IF(CO$6="X",VLOOKUP(CO$10,'VK-Transport'!$C:$X,2+$B71,0))+IF(CO$8="X",VLOOKUP(CO$10,'VK-Elekter'!$C:$X,2+$D71,0))+IF(CO$9="X",VLOOKUP(CO$10,'VK-Biokütused'!$C:$U,2+$E71,0))+IF(CO$5="X",VLOOKUP(CO$10,'VK-Põlevkivi'!$C:$X,2+$G71,0))+IF(CO$4="X",VLOOKUP(CO$10,'VK-Võrgud'!$C:$X,2+$F71,0)))/1000</f>
        <v>24.00957521079728</v>
      </c>
      <c r="CP71" s="209">
        <f>(IF(CP$7="X",VLOOKUP(CP$10,'VK-Hooned-Soojus'!$C:$X,2+$C71,FALSE),0)+IF(CP$6="X",VLOOKUP(CP$10,'VK-Transport'!$C:$X,2+$B71,0))+IF(CP$8="X",VLOOKUP(CP$10,'VK-Elekter'!$C:$X,2+$D71,0))+IF(CP$9="X",VLOOKUP(CP$10,'VK-Biokütused'!$C:$U,2+$E71,0))+IF(CP$5="X",VLOOKUP(CP$10,'VK-Põlevkivi'!$C:$X,2+$G71,0))+IF(CP$4="X",VLOOKUP(CP$10,'VK-Võrgud'!$C:$X,2+$F71,0)))/1000</f>
        <v>13.441994830349824</v>
      </c>
      <c r="CQ71" s="235">
        <f>(IF(CQ$7="X",VLOOKUP(CQ$10,'VK-Hooned-Soojus'!$C:$X,2+$C71,FALSE),0)+IF(CQ$6="X",VLOOKUP(CQ$10,'VK-Transport'!$C:$X,2+$B71,0))+IF(CQ$8="X",VLOOKUP(CQ$10,'VK-Elekter'!$C:$X,2+$D71,0))+IF(CQ$9="X",VLOOKUP(CQ$10,'VK-Biokütused'!$C:$U,2+$E71,0)))/1000</f>
        <v>10.607346</v>
      </c>
      <c r="CR71" s="209">
        <f>(IF(CR$7="X",VLOOKUP(CR$10,'VK-Hooned-Soojus'!$C:$X,2+$C71,FALSE),0)+IF(CR$6="X",VLOOKUP(CR$10,'VK-Transport'!$C:$X,2+$B71,0))+IF(CR$8="X",VLOOKUP(CR$10,'VK-Elekter'!$C:$X,2+$D71,0))+IF(CR$9="X",VLOOKUP(CR$10,'VK-Biokütused'!$C:$U,2+$E71,0))+IF(CR$5="X",VLOOKUP(CR$10,'VK-Põlevkivi'!$C:$X,2+$G71,0))+IF(CR$4="X",VLOOKUP(CR$10,'VK-Võrgud'!$C:$X,2+$F71,0)))/1000</f>
        <v>7.8640872784575748</v>
      </c>
      <c r="CS71" s="209">
        <f>(IF(CS$7="X",VLOOKUP(CS$10,'VK-Hooned-Soojus'!$C:$X,2+$C71,FALSE),0)+IF(CS$6="X",VLOOKUP(CS$10,'VK-Transport'!$C:$X,2+$B71,0))+IF(CS$8="X",VLOOKUP(CS$10,'VK-Elekter'!$C:$X,2+$D71,0))+IF(CS$9="X",VLOOKUP(CS$10,'VK-Biokütused'!$C:$U,2+$E71,0))+IF(CS$5="X",VLOOKUP(CS$10,'VK-Põlevkivi'!$C:$X,2+$G71,0))+IF(CS$4="X",VLOOKUP(CS$10,'VK-Võrgud'!$C:$X,2+$F71,0)))/1000</f>
        <v>3.8443344900598322</v>
      </c>
      <c r="CT71" s="209">
        <f>IF(CT$7="X",VLOOKUP(CT$10,'VK-Hooned-Soojus'!$C:$X,2+$C71,FALSE),0)+IF(CT$6="X",VLOOKUP(CT$10,'VK-Transport'!$C:$X,2+$B71,0))+IF(CT$8="X",VLOOKUP(CT$10,'VK-Elekter'!$C:$X,2+$D71,0))+IF(CT$9="X",VLOOKUP(CT$10,'VK-Biokütused'!$C:$U,2+$E71,0))+IF(CT$5="X",VLOOKUP(CT$10,'VK-Põlevkivi'!$C:$X,2+$G71,0))+IF(CT$4="X",VLOOKUP(CT$10,'VK-Võrgud'!$C:$X,2+$F71,0))</f>
        <v>90</v>
      </c>
      <c r="CU71" s="209">
        <f>IF(CU$7="X",VLOOKUP(CU$10,'VK-Hooned-Soojus'!$C:$X,2+$C71,FALSE),0)+IF(CU$6="X",VLOOKUP(CU$10,'VK-Transport'!$C:$X,2+$B71,0))+IF(CU$8="X",VLOOKUP(CU$10,'VK-Elekter'!$C:$X,2+$D71,0))+IF(CU$9="X",VLOOKUP(CU$10,'VK-Biokütused'!$C:$U,2+$E71,0))+IF(CU$5="X",VLOOKUP(CU$10,'VK-Põlevkivi'!$C:$X,2+$G71,0))+IF(CU$4="X",VLOOKUP(CU$10,'VK-Võrgud'!$C:$X,2+$F71,0))</f>
        <v>0.72088353413654627</v>
      </c>
      <c r="CV71" s="209">
        <f t="shared" si="37"/>
        <v>1</v>
      </c>
      <c r="CW71" s="209">
        <f>(IF(CW$7="X",VLOOKUP(CW$10,'VK-Hooned-Soojus'!$C:$X,2+$C71,FALSE),0)+IF(CW$6="X",VLOOKUP(CW$10,'VK-Transport'!$C:$X,2+$B71,0))+IF(CW$8="X",VLOOKUP(CW$10,'VK-Elekter'!$C:$X,2+$D71,0))+IF(CW$9="X",VLOOKUP(CW$10,'VK-Biokütused'!$C:$U,2+$E71,0))+IF(CW$5="X",VLOOKUP(CW$10,'VK-Põlevkivi'!$C:$X,2+$G71,0))+IF(CW$4="X",VLOOKUP(CW$10,'VK-Võrgud'!$C:$X,2+$F71,0)))/16</f>
        <v>0</v>
      </c>
      <c r="CY71" s="209">
        <f>(IF(CY$7="X",VLOOKUP(CY$10,'VK-Hooned-Soojus'!$C:$X,2+$C71,FALSE),0)+IF(CY$6="X",VLOOKUP(CY$10,'VK-Transport'!$C:$X,2+$B71,0))+IF(CY$8="X",VLOOKUP(CY$10,'VK-Elekter'!$C:$X,2+$D71,0))+IF(CY$9="X",VLOOKUP(CY$10,'VK-Biokütused'!$C:$U,2+$E71,0))+IF(CY$5="X",VLOOKUP(CY$10,'VK-Põlevkivi'!$C:$X,2+$G71,0))+IF(CY$4="X",VLOOKUP(CY$10,'VK-Võrgud'!$C:$X,2+$F71,0)))/1000</f>
        <v>10.342000000000001</v>
      </c>
      <c r="CZ71" s="209">
        <f>(IF(CZ$7="X",VLOOKUP(CZ$10,'VK-Hooned-Soojus'!$C:$X,2+$C71,FALSE),0)+IF(CZ$6="X",VLOOKUP(CZ$10,'VK-Transport'!$C:$X,2+$B71,0))+IF(CZ$8="X",VLOOKUP(CZ$10,'VK-Elekter'!$C:$X,2+$D71,0))+IF(CZ$9="X",VLOOKUP(CZ$10,'VK-Biokütused'!$C:$U,2+$E71,0))+IF(CZ$5="X",VLOOKUP(CZ$10,'VK-Põlevkivi'!$C:$X,2+$G71,0))+IF(CZ$4="X",VLOOKUP(CZ$10,'VK-Võrgud'!$C:$X,2+$F71,0)))</f>
        <v>68</v>
      </c>
      <c r="DA71" s="209">
        <f>(IF(DA$7="X",VLOOKUP(DA$10,'VK-Hooned-Soojus'!$C:$X,2+$C71,FALSE),0)+IF(DA$6="X",VLOOKUP(DA$10,'VK-Transport'!$C:$X,2+$B71,0))+IF(DA$8="X",VLOOKUP(DA$10,'VK-Elekter'!$C:$X,2+$D71,0))+IF(DA$9="X",VLOOKUP(DA$10,'VK-Biokütused'!$C:$U,2+$E71,0))+IF(DA$5="X",VLOOKUP(DA$10,'VK-Põlevkivi'!$C:$X,2+$G71,0))+IF(DA$4="X",VLOOKUP(DA$10,'VK-Võrgud'!$C:$X,2+$F71,0)))/1000</f>
        <v>14.02</v>
      </c>
      <c r="DB71" s="209">
        <f>(IF(DB$7="X",VLOOKUP(DB$10,'VK-Hooned-Soojus'!$C:$X,2+$C71,FALSE),0)+IF(DB$6="X",VLOOKUP(DB$10,'VK-Transport'!$C:$X,2+$B71,0))+IF(DB$8="X",VLOOKUP(DB$10,'VK-Elekter'!$C:$X,2+$D71,0))+IF(DB$9="X",VLOOKUP(DB$10,'VK-Biokütused'!$C:$U,2+$E71,0))+IF(DB$5="X",VLOOKUP(DB$10,'VK-Põlevkivi'!$C:$X,2+$G71,0))+IF(DB$4="X",VLOOKUP(DB$10,'VK-Võrgud'!$C:$X,2+$F71,0)))/1000/3.6</f>
        <v>62.466944444444444</v>
      </c>
      <c r="DC71" s="209">
        <f>(IF(DC$7="X",VLOOKUP(DC$10,'VK-Hooned-Soojus'!$C:$X,2+$C71,FALSE),0)+IF(DC$6="X",VLOOKUP(DC$10,'VK-Transport'!$C:$X,2+$B71,0))+IF(DC$8="X",VLOOKUP(DC$10,'VK-Elekter'!$C:$X,2+$D71,0))+IF(DC$9="X",VLOOKUP(DC$10,'VK-Biokütused'!$C:$U,2+$E71,0))+IF(DC$5="X",VLOOKUP(DC$10,'VK-Põlevkivi'!$C:$X,2+$G71,0))+IF(DC$4="X",VLOOKUP(DC$10,'VK-Võrgud'!$C:$X,2+$F71,0)))/1000000</f>
        <v>4.9721599999999997</v>
      </c>
      <c r="DD71" s="209"/>
      <c r="DE71" s="88">
        <f>VLOOKUP(Tulemused!$BN$12,data!M$7:N$12,2,FALSE)-SUM(L71,M71)</f>
        <v>-1.2238666666666731</v>
      </c>
      <c r="DF71" s="209" t="str">
        <f>IF(AZ71&lt;=VLOOKUP(Tulemused!$BN$15,data!$E$36:$F$39,2,FALSE),"JAH","EI")</f>
        <v>JAH</v>
      </c>
      <c r="DG71" s="209"/>
      <c r="DH71" s="209">
        <f t="shared" si="38"/>
        <v>6.28</v>
      </c>
      <c r="DI71" s="231" t="str">
        <f t="shared" si="17"/>
        <v>EI</v>
      </c>
      <c r="DK71" s="232">
        <f t="shared" si="39"/>
        <v>-996.95387186281869</v>
      </c>
      <c r="DM71" s="233">
        <f t="shared" si="40"/>
        <v>-994.45697291392287</v>
      </c>
      <c r="DN71" s="87">
        <f t="array" ref="DN71">INDEX($A$11:$A$145, SMALL(IF(DM71=$DK$11:$DK$145, MATCH(ROW($DK$11:$DK$145), ROW($DK$11:$DK$145))), SUM(--(DM71=$DM$11:DM71))))</f>
        <v>60</v>
      </c>
      <c r="DP71" s="87" t="e">
        <f t="shared" ca="1" si="18"/>
        <v>#N/A</v>
      </c>
      <c r="DQ71" s="87" t="e">
        <f t="shared" ca="1" si="19"/>
        <v>#N/A</v>
      </c>
      <c r="DR71" s="87">
        <f t="shared" ca="1" si="20"/>
        <v>0</v>
      </c>
      <c r="DS71" s="87" t="e">
        <f t="shared" ca="1" si="21"/>
        <v>#N/A</v>
      </c>
      <c r="DT71" s="87">
        <f t="shared" ca="1" si="22"/>
        <v>0</v>
      </c>
      <c r="DU71" s="87" t="e">
        <f t="shared" ca="1" si="23"/>
        <v>#N/A</v>
      </c>
      <c r="DV71" s="87" t="e">
        <f t="shared" ca="1" si="24"/>
        <v>#N/A</v>
      </c>
      <c r="DW71" s="87">
        <f t="shared" ca="1" si="25"/>
        <v>0</v>
      </c>
      <c r="DX71" s="87">
        <f t="shared" ca="1" si="26"/>
        <v>0</v>
      </c>
      <c r="DZ71" s="87">
        <f t="shared" ca="1" si="35"/>
        <v>0</v>
      </c>
      <c r="EB71" s="87">
        <f t="shared" ca="1" si="27"/>
        <v>0</v>
      </c>
      <c r="EC71" s="87" t="e">
        <f t="shared" ca="1" si="28"/>
        <v>#N/A</v>
      </c>
      <c r="EE71" s="228">
        <f>(IF(EE$7="X",VLOOKUP(EE$10,'VK-Hooned-Soojus'!$C:$X,2+$C71,FALSE),0)+IF(EE$6="X",VLOOKUP(EE$10,'VK-Transport'!$C:$X,2+$B71,0))+IF(EE$8="X",VLOOKUP(EE$10,'VK-Elekter'!$C:$X,2+$D71,0))+IF(EE$9="X",VLOOKUP(EE$10,'VK-Biokütused'!$C:$U,2+$E71,0))+IF(EE$5="X",VLOOKUP(EE$10,'VK-Põlevkivi'!$C:$X,2+$G71,0))+IF(EE$4="X",VLOOKUP(EE$10,'VK-Võrgud'!$C:$X,2+$F71,0)))</f>
        <v>2942.8774114926346</v>
      </c>
      <c r="EF71" s="235">
        <f>(IF(EF$7="X",VLOOKUP(EF$10,'VK-Hooned-Soojus'!$C:$X,2+$C71,FALSE),0)+IF(EF$6="X",VLOOKUP(EF$10,'VK-Transport'!$C:$X,2+$B71,0))+IF(EF$8="X",VLOOKUP(EF$10,'VK-Elekter'!$C:$X,2+$D71,0))+IF(EF$9="X",VLOOKUP(EF$10,'VK-Biokütused'!$C:$U,2+$E71,0)))/1000</f>
        <v>4.3433823271229706</v>
      </c>
      <c r="EG71" s="209">
        <f>(IF(EG$7="X",VLOOKUP(EG$10,'VK-Hooned-Soojus'!$C:$X,2+$C71,FALSE),0)+IF(EG$6="X",VLOOKUP(EG$10,'VK-Transport'!$C:$X,2+$B71,0))+IF(EG$8="X",VLOOKUP(EG$10,'VK-Elekter'!$C:$X,2+$D71,0))+IF(EG$9="X",VLOOKUP(EG$10,'VK-Biokütused'!$C:$U,2+$E71,0))+IF(EG$5="X",VLOOKUP(EG$10,'VK-Põlevkivi'!$C:$X,2+$G71,0))+IF(EG$4="X",VLOOKUP(EG$10,'VK-Võrgud'!$C:$X,2+$F71,0)))</f>
        <v>0.81</v>
      </c>
      <c r="EH71" s="209">
        <f>(IF(EH$7="X",VLOOKUP(EH$10,'VK-Hooned-Soojus'!$C:$X,2+$C71,FALSE),0)+IF(EH$6="X",VLOOKUP(EH$10,'VK-Transport'!$C:$X,2+$B71,0))+IF(EH$8="X",VLOOKUP(EH$10,'VK-Elekter'!$C:$X,2+$D71,0))+IF(EH$9="X",VLOOKUP(EH$10,'VK-Biokütused'!$C:$U,2+$E71,0)))+AR71+AS71+AU71+AX71</f>
        <v>53.464399224806201</v>
      </c>
      <c r="EI71" s="320">
        <f t="shared" si="41"/>
        <v>48.28067829457364</v>
      </c>
      <c r="EJ71" s="322">
        <f t="shared" si="42"/>
        <v>2.2545055318885739E-2</v>
      </c>
      <c r="EK71" s="323">
        <f t="shared" si="29"/>
        <v>0.39192627065295316</v>
      </c>
      <c r="EM71" s="209"/>
      <c r="EN71" s="209">
        <f t="shared" ca="1" si="43"/>
        <v>0</v>
      </c>
      <c r="EO71" s="209"/>
      <c r="EP71" s="234"/>
      <c r="EQ71" s="209">
        <f>(IF(EQ$7="X",VLOOKUP(EQ$10,'VK-Hooned-Soojus'!$C:$X,2+$C71,FALSE),0)+IF(EQ$6="X",VLOOKUP(EQ$10,'VK-Transport'!$C:$X,2+$B71,0))+IF(EQ$8="X",VLOOKUP(EQ$10,'VK-Elekter'!$C:$X,2+$D71,0))+IF(EQ$9="X",VLOOKUP(EQ$10,'VK-Biokütused'!$C:$U,2+$E71,0))+IF(EQ$5="X",VLOOKUP(EQ$10,'VK-Põlevkivi'!$C:$X,2+$G71,0))+IF(EQ$4="X",VLOOKUP(EQ$10,'VK-Võrgud'!$C:$X,2+$F71,0)))/1000</f>
        <v>0.21099999999999999</v>
      </c>
      <c r="ER71" s="209">
        <f>(IF(ER$7="X",VLOOKUP(ER$10,'VK-Hooned-Soojus'!$C:$X,2+$C71,FALSE),0)+IF(ER$6="X",VLOOKUP(ER$10,'VK-Transport'!$C:$X,2+$B71,0))+IF(ER$8="X",VLOOKUP(ER$10,'VK-Elekter'!$C:$X,2+$D71,0))+IF(ER$9="X",VLOOKUP(ER$10,'VK-Biokütused'!$C:$U,2+$E71,0))+IF(ER$5="X",VLOOKUP(ER$10,'VK-Põlevkivi'!$C:$X,2+$G71,0))+IF(ER$4="X",VLOOKUP(ER$10,'VK-Võrgud'!$C:$X,2+$F71,0)))</f>
        <v>0.76300000000000001</v>
      </c>
      <c r="ES71" s="209">
        <f>(IF(ES$7="X",VLOOKUP(ES$10,'VK-Hooned-Soojus'!$C:$X,2+$C71,FALSE),0)+IF(ES$6="X",VLOOKUP(ES$10,'VK-Transport'!$C:$X,2+$B71,0))+IF(ES$8="X",VLOOKUP(ES$10,'VK-Elekter'!$C:$X,2+$D71,0))+IF(ES$9="X",VLOOKUP(ES$10,'VK-Biokütused'!$C:$U,2+$E71,0))+IF(ES$5="X",VLOOKUP(ES$10,'VK-Põlevkivi'!$C:$X,2+$G71,0))+IF(ES$4="X",VLOOKUP(ES$10,'VK-Võrgud'!$C:$X,2+$F71,0)))</f>
        <v>6.28</v>
      </c>
      <c r="ET71" s="209"/>
      <c r="EU71" s="209"/>
      <c r="EV71" s="87">
        <f>'KSH järjestus'!AS64</f>
        <v>1657</v>
      </c>
      <c r="EX71" s="236"/>
      <c r="EY71" s="236"/>
      <c r="EZ71" s="237">
        <f t="shared" si="44"/>
        <v>0.27911646586345373</v>
      </c>
      <c r="FA71" s="209">
        <f>IF(FA$7="X",VLOOKUP(FA$10,'VK-Hooned-Soojus'!$C:$X,2+$C71,FALSE),0)+IF(FA$6="X",VLOOKUP(FA$10,'VK-Transport'!$C:$X,2+$B71,0))+IF(FA$8="X",VLOOKUP(FA$10,'VK-Elekter'!$C:$X,2+$D71,0))+IF(FA$9="X",VLOOKUP(FA$10,'VK-Biokütused'!$C:$U,2+$E71,0))+IF(FA$5="X",VLOOKUP(FA$10,'VK-Põlevkivi'!$C:$X,2+$G71,0))+IF(FA$4="X",VLOOKUP(FA$10,'VK-Võrgud'!$C:$X,2+$F71,0))</f>
        <v>3011.346</v>
      </c>
      <c r="FB71" s="279">
        <f>(IF(FB$7="X",VLOOKUP(FB$10,'VK-Hooned-Soojus'!$C:$X,2+$C71,FALSE),0)+IF(FB$6="X",VLOOKUP(FB$10,'VK-Transport'!$C:$X,2+$B71,0))+IF(FB$8="X",VLOOKUP(FB$10,'VK-Elekter'!$C:$X,2+$D71,0))+IF(FB$9="X",VLOOKUP(FB$10,'VK-Biokütused'!$C:$U,2+$E71,0))+IF(FB$5="X",VLOOKUP(FB$10,'VK-Põlevkivi'!$C:$X,2+$G71,0))+IF(FB$4="X",VLOOKUP(FB$10,'VK-Võrgud'!$C:$X,2+$F71,0)))/16</f>
        <v>188.2820125469479</v>
      </c>
      <c r="FC71" s="209">
        <f>IF(FC$7="X",VLOOKUP(FC$10,'VK-Hooned-Soojus'!$C:$X,2+$C71,FALSE),0)+IF(FC$6="X",VLOOKUP(FC$10,'VK-Transport'!$C:$X,2+$B71,0))+IF(FC$8="X",VLOOKUP(FC$10,'VK-Elekter'!$C:$X,2+$D71,0))+IF(FC$9="X",VLOOKUP(FC$10,'VK-Biokütused'!$C:$U,2+$E71,0))+IF(FC$5="X",VLOOKUP(FC$10,'VK-Põlevkivi'!$C:$X,2+$G71,0))+IF(FC$4="X",VLOOKUP(FC$10,'VK-Võrgud'!$C:$X,2+$F71,0))</f>
        <v>306.45</v>
      </c>
      <c r="FD71" s="209">
        <f>(IF(FD$7="X",VLOOKUP(FD$10,'VK-Hooned-Soojus'!$C:$X,2+$C71,FALSE),0)+IF(FD$6="X",VLOOKUP(FD$10,'VK-Transport'!$C:$X,2+$B71,0))+IF(FD$8="X",VLOOKUP(FD$10,'VK-Elekter'!$C:$X,2+$D71,0))+IF(FD$9="X",VLOOKUP(FD$10,'VK-Biokütused'!$C:$U,2+$E71,0))+IF(FD$5="X",VLOOKUP(FD$10,'VK-Põlevkivi'!$C:$X,2+$G71,0))+IF(FD$4="X",VLOOKUP(FD$10,'VK-Võrgud'!$C:$X,2+$F71,0)))/16</f>
        <v>188.2820125469479</v>
      </c>
      <c r="FE71" s="209">
        <f>(IF(FE$7="X",VLOOKUP(FE$10,'VK-Hooned-Soojus'!$C:$X,2+$C71,FALSE),0)+IF(FE$6="X",VLOOKUP(FE$10,'VK-Transport'!$C:$X,2+$B71,0))+IF(FE$8="X",VLOOKUP(FE$10,'VK-Elekter'!$C:$X,2+$D71,0))+IF(FE$9="X",VLOOKUP(FE$10,'VK-Biokütused'!$C:$U,2+$E71,0))+IF(FE$5="X",VLOOKUP(FE$10,'VK-Põlevkivi'!$C:$X,2+$G71,0))+IF(FE$4="X",VLOOKUP(FE$10,'VK-Võrgud'!$C:$X,2+$F71,0)))/16</f>
        <v>-61.841250000000002</v>
      </c>
      <c r="FF71" s="209">
        <f>(IF(FF$7="X",VLOOKUP(FF$10,'VK-Hooned-Soojus'!$C:$X,2+$C71,FALSE),0)+IF(FF$6="X",VLOOKUP(FF$10,'VK-Transport'!$C:$X,2+$B71,0))+IF(FF$8="X",VLOOKUP(FF$10,'VK-Elekter'!$C:$X,2+$D71,0))+IF(FF$9="X",VLOOKUP(FF$10,'VK-Biokütused'!$C:$U,2+$E71,0))+IF(FF$5="X",VLOOKUP(FF$10,'VK-Põlevkivi'!$C:$X,2+$G71,0))+IF(FF$4="X",VLOOKUP(FF$10,'VK-Võrgud'!$C:$X,2+$F71,0)))/16</f>
        <v>95.426281143389787</v>
      </c>
      <c r="FG71" s="88">
        <f t="shared" ca="1" si="30"/>
        <v>33.585031143389784</v>
      </c>
      <c r="FH71" s="88"/>
      <c r="FI71" s="88"/>
      <c r="FJ71" s="88">
        <f>VLOOKUP(Tulemused!$BN$12,data!M$7:N$12,2,FALSE)-SUM(L71,M71)</f>
        <v>-1.2238666666666731</v>
      </c>
      <c r="FK71" s="209" t="str">
        <f>IF(AZ71&lt;=VLOOKUP(Tulemused!$BN$15,data!$E$36:$F$39,2,FALSE),"JAH","EI")</f>
        <v>JAH</v>
      </c>
      <c r="FL71" s="235">
        <f ca="1">IF(ISNA(MATCH($A71,INDIRECT(VLOOKUP(Tulemused!$BF$11,data!$J$57:$M$71,4,FALSE)))),0,MATCH($A71,INDIRECT(VLOOKUP(Tulemused!$BF$11,data!$J$57:$M$71,4,FALSE))))</f>
        <v>0</v>
      </c>
      <c r="FM71" s="235" t="str">
        <f t="shared" ca="1" si="45"/>
        <v>JAH</v>
      </c>
      <c r="FN71" s="209">
        <f>VLOOKUP(Tulemused!$BN$13,data!$C$132:$D$137,2,FALSE)-KOMBI!R71</f>
        <v>3.6875876728770303</v>
      </c>
      <c r="FO71" s="209"/>
      <c r="FP71" s="209">
        <f>VLOOKUP(Tulemused!$BN$17,NO_x,2,FALSE)-CJ71</f>
        <v>11.259</v>
      </c>
      <c r="FQ71" s="209">
        <f>VLOOKUP(Tulemused!$BN$18,SO_2,2,FALSE)-CK71</f>
        <v>40.010256790007283</v>
      </c>
      <c r="FR71" s="209">
        <f>VLOOKUP(Tulemused!$BN$19,LOU,2,FALSE)-CN71</f>
        <v>34.087000000000003</v>
      </c>
      <c r="FS71" s="209">
        <f>VLOOKUP(Tulemused!$BN$20,PM_2.5,2,FALSE)-CM71</f>
        <v>9.1419999999999995</v>
      </c>
      <c r="FT71" s="209">
        <f>VLOOKUP(Tulemused!$BN$13,data!$C$132:$D$137,2,FALSE)-FA71/1000</f>
        <v>3.2346240000000006</v>
      </c>
      <c r="FU71" s="209">
        <f>VLOOKUP(Tulemused!$BN$17,NO_x,2,FALSE)-CO71</f>
        <v>5.4284247892027189</v>
      </c>
      <c r="FV71" s="209">
        <f>VLOOKUP(Tulemused!$BN$18,SO_2,2,FALSE)-CP71</f>
        <v>38.442005169650173</v>
      </c>
      <c r="FW71" s="209">
        <f>VLOOKUP(Tulemused!$BN$19,LOU,2,FALSE)-CS71</f>
        <v>33.235665509940176</v>
      </c>
      <c r="FX71" s="209">
        <f>VLOOKUP(Tulemused!$BN$20,PM_2.5,2,FALSE)-CR71</f>
        <v>9.0509127215424243</v>
      </c>
      <c r="FY71" s="209">
        <f>VLOOKUP(Tulemused!$BN$14,KHG_2050,2,FALSE)-EF71</f>
        <v>95.656617672877033</v>
      </c>
      <c r="FZ71" s="231" t="str">
        <f t="shared" ca="1" si="31"/>
        <v>EI</v>
      </c>
      <c r="GA71" s="209"/>
      <c r="GB71" s="209"/>
      <c r="GC71" s="209"/>
      <c r="GD71" s="231"/>
      <c r="GE71" s="87">
        <f t="shared" si="46"/>
        <v>1657</v>
      </c>
      <c r="GF71" s="232" t="str">
        <f t="shared" ca="1" si="32"/>
        <v/>
      </c>
      <c r="GH71" s="238" t="e">
        <f t="shared" ca="1" si="47"/>
        <v>#NUM!</v>
      </c>
      <c r="GI71" s="87" t="e">
        <f t="array" aca="1" ref="GI71" ca="1">INDEX($A$11:$A$145, SMALL(IF(GH71=$GF$11:$GF$145, MATCH(ROW($GF$11:$GF$145), ROW($GF$11:$GF$145))), SUM(--(GH71=$GH$11:GH71))))</f>
        <v>#NUM!</v>
      </c>
      <c r="GM71" s="209">
        <f>IF(GM$7="X",VLOOKUP(GM$10,'VK-Hooned-Soojus'!$C:$X,2+$C71,FALSE),0)+IF(GM$6="X",VLOOKUP(GM$10,'VK-Transport'!$C:$X,2+$B71,0))+IF(GM$8="X",VLOOKUP(GM$10,'VK-Elekter'!$C:$X,2+$D71,0))+IF(GM$9="X",VLOOKUP(GM$10,'VK-Biokütused'!$C:$U,2+$E71,0))+IF(GM$5="X",VLOOKUP(GM$10,'VK-Põlevkivi'!$C:$X,2+$G71,0))+IF(GM$4="X",VLOOKUP(GM$10,'VK-Võrgud'!$C:$X,2+$F71,0))</f>
        <v>6.012827991027228</v>
      </c>
      <c r="GN71" s="209">
        <f>IF(GN$7="X",VLOOKUP(GN$10,'VK-Hooned-Soojus'!$C:$X,2+$C71,FALSE),0)+IF(GN$6="X",VLOOKUP(GN$10,'VK-Transport'!$C:$X,2+$B71,0))+IF(GN$8="X",VLOOKUP(GN$10,'VK-Elekter'!$C:$X,2+$D71,0))+IF(GN$9="X",VLOOKUP(GN$10,'VK-Biokütused'!$C:$U,2+$E71,0))+IF(GN$5="X",VLOOKUP(GN$10,'VK-Põlevkivi'!$C:$X,2+$G71,0))+IF(GN$4="X",VLOOKUP(GN$10,'VK-Võrgud'!$C:$X,2+$F71,0))</f>
        <v>3.4467619395011728</v>
      </c>
      <c r="GO71" s="209">
        <f>IF(GO$7="X",VLOOKUP(GO$10,'VK-Hooned-Soojus'!$C:$X,2+$C71,FALSE),0)+IF(GO$6="X",VLOOKUP(GO$10,'VK-Transport'!$C:$X,2+$B71,0))+IF(GO$8="X",VLOOKUP(GO$10,'VK-Elekter'!$C:$X,2+$D71,0))+IF(GO$9="X",VLOOKUP(GO$10,'VK-Biokütused'!$C:$U,2+$E71,0))+IF(GO$5="X",VLOOKUP(GO$10,'VK-Põlevkivi'!$C:$X,2+$G71,0))+IF(GO$4="X",VLOOKUP(GO$10,'VK-Võrgud'!$C:$X,2+$F71,0))</f>
        <v>7.936370010272257</v>
      </c>
      <c r="GP71" s="209">
        <f>IF(GP$7="X",VLOOKUP(GP$10,'VK-Hooned-Soojus'!$C:$X,2+$C71,FALSE),0)+IF(GP$6="X",VLOOKUP(GP$10,'VK-Transport'!$C:$X,2+$B71,0))+IF(GP$8="X",VLOOKUP(GP$10,'VK-Elekter'!$C:$X,2+$D71,0))+IF(GP$9="X",VLOOKUP(GP$10,'VK-Biokütused'!$C:$U,2+$E71,0))+IF(GP$5="X",VLOOKUP(GP$10,'VK-Põlevkivi'!$C:$X,2+$G71,0))+IF(GP$4="X",VLOOKUP(GP$10,'VK-Võrgud'!$C:$X,2+$F71,0))</f>
        <v>9.1527946929596489</v>
      </c>
      <c r="GQ71" s="88">
        <f>IF(GQ$7="X",VLOOKUP(GQ$10,'VK-Hooned-Soojus'!$C:$X,2+$C71,FALSE),0)+IF(GQ$6="X",VLOOKUP(GQ$10,'VK-Transport'!$C:$X,2+$B71,0))+IF(GQ$8="X",VLOOKUP(GQ$10,'VK-Elekter'!$C:$X,2+$D71,0))+IF(GQ$9="X",VLOOKUP(GQ$10,'VK-Biokütused'!$C:$U,2+$E71,0))+IF(GQ$5="X",VLOOKUP(GQ$10,'VK-Põlevkivi'!$C:$X,2+$G71,0))+IF(GQ$4="X",VLOOKUP(GQ$10,'VK-Võrgud'!$C:$X,2+$F71,0))</f>
        <v>0.90618397335647782</v>
      </c>
      <c r="GR71" s="186">
        <f t="shared" si="33"/>
        <v>0.39656672034307427</v>
      </c>
    </row>
    <row r="72" spans="1:200" x14ac:dyDescent="0.2">
      <c r="A72" s="184">
        <v>62</v>
      </c>
      <c r="B72" s="87">
        <v>2</v>
      </c>
      <c r="C72" s="87">
        <v>2</v>
      </c>
      <c r="D72" s="87">
        <v>1</v>
      </c>
      <c r="E72" s="87">
        <v>2</v>
      </c>
      <c r="F72" s="87">
        <f>VLOOKUP(Tulemused!$BF$7,data!$J$6:$K$8,2,FALSE)</f>
        <v>2</v>
      </c>
      <c r="G72" s="87">
        <f>VLOOKUP(data!$H$2,data!$J$12:$K$14,2,FALSE)</f>
        <v>2</v>
      </c>
      <c r="I72" s="209">
        <f>IF(I$7="X",VLOOKUP(I$10,'VK-Hooned-Soojus'!$C:$X,2+$C72,FALSE),0)+IF(I$6="X",VLOOKUP(I$10,'VK-Transport'!$C:$X,2+$B72,0))+IF(I$8="X",VLOOKUP(I$10,'VK-Elekter'!$C:$X,2+$D72,0))+IF(I$9="X",VLOOKUP(I$10,'VK-Biokütused'!$C:$U,2+$E72,0))+IF(I$5="X",VLOOKUP(I$10,'VK-Põlevkivi'!$C:$X,2+$G72,0))+IF(I$4="X",VLOOKUP(I$10,'VK-Võrgud'!$C:$X,2+$F72,0))</f>
        <v>24.79</v>
      </c>
      <c r="J72" s="209">
        <f>IF(J$7="X",VLOOKUP(J$10,'VK-Hooned-Soojus'!$C:$X,2+$C72,FALSE),0)+IF(J$6="X",VLOOKUP(J$10,'VK-Transport'!$C:$X,2+$B72,0))+IF(J$8="X",VLOOKUP(J$10,'VK-Elekter'!$C:$X,2+$D72,0))+IF(J$9="X",VLOOKUP(J$10,'VK-Biokütused'!$C:$U,2+$E72,0))+IF(J$5="X",VLOOKUP(J$10,'VK-Põlevkivi'!$C:$X,2+$G72,0))+IF(J$4="X",VLOOKUP(J$10,'VK-Võrgud'!$C:$X,2+$F72,0))</f>
        <v>11.138055555555555</v>
      </c>
      <c r="K72" s="209">
        <f>IF(K$7="X",VLOOKUP(K$10,'VK-Hooned-Soojus'!$C:$X,2+$C72,FALSE),0)+IF(K$6="X",VLOOKUP(K$10,'VK-Transport'!$C:$X,2+$B72,0))+IF(K$8="X",VLOOKUP(K$10,'VK-Elekter'!$C:$X,2+$D72,0))+IF(K$9="X",VLOOKUP(K$10,'VK-Biokütused'!$C:$U,2+$E72,0))+IF(K$5="X",VLOOKUP(K$10,'VK-Põlevkivi'!$C:$X,2+$G72,0))+IF(K$4="X",VLOOKUP(K$10,'VK-Võrgud'!$C:$X,2+$F72,0))</f>
        <v>15.27</v>
      </c>
      <c r="L72" s="209">
        <f>IF(L$7="X",VLOOKUP(L$10,'VK-Hooned-Soojus'!$C:$X,2+$C72,FALSE),0)+IF(L$6="X",VLOOKUP(L$10,'VK-Transport'!$C:$X,2+$B72,0))+IF(L$8="X",VLOOKUP(L$10,'VK-Elekter'!$C:$X,2+$D72,0))+IF(L$9="X",VLOOKUP(L$10,'VK-Biokütused'!$C:$U,2+$E72,0))+IF(L$5="X",VLOOKUP(L$10,'VK-Põlevkivi'!$C:$X,2+$G72,0))+IF(L$4="X",VLOOKUP(L$10,'VK-Võrgud'!$C:$X,2+$F72,0))</f>
        <v>24.2</v>
      </c>
      <c r="M72" s="209">
        <f>IF(M$7="X",VLOOKUP(M$10,'VK-Hooned-Soojus'!$C:$X,2+$C72,FALSE),0)+IF(M$6="X",VLOOKUP(M$10,'VK-Transport'!$C:$X,2+$B72,0))+IF(M$8="X",VLOOKUP(M$10,'VK-Elekter'!$C:$X,2+$D72,0))+IF(M$9="X",VLOOKUP(M$10,'VK-Biokütused'!$C:$U,2+$E72,0))+IF(M$5="X",VLOOKUP(M$10,'VK-Põlevkivi'!$C:$X,2+$G72,0))+IF(M$4="X",VLOOKUP(M$10,'VK-Võrgud'!$C:$X,2+$F72,0))</f>
        <v>9.8566666666666674</v>
      </c>
      <c r="N72" s="209">
        <f>IF(N$7="X",VLOOKUP(N$10,'VK-Hooned-Soojus'!$C:$X,2+$C72,FALSE),0)+IF(N$6="X",VLOOKUP(N$10,'VK-Transport'!$C:$X,2+$B72,0))+IF(N$8="X",VLOOKUP(N$10,'VK-Elekter'!$C:$X,2+$D72,0))+IF(N$9="X",VLOOKUP(N$10,'VK-Biokütused'!$C:$U,2+$E72,0))+IF(N$5="X",VLOOKUP(N$10,'VK-Põlevkivi'!$C:$X,2+$G72,0))+IF(N$4="X",VLOOKUP(N$10,'VK-Võrgud'!$C:$X,2+$F72,0))</f>
        <v>16.09</v>
      </c>
      <c r="O72" s="209">
        <f t="shared" si="13"/>
        <v>35.928055555555552</v>
      </c>
      <c r="P72" s="209"/>
      <c r="Q72" s="209">
        <f>(IF(Q$7="X",VLOOKUP(Q$10,'VK-Hooned-Soojus'!$C:$X,2+$C72,FALSE),0)+IF(Q$6="X",VLOOKUP(Q$10,'VK-Transport'!$C:$X,2+$B72,0))+IF(Q$8="X",VLOOKUP(Q$10,'VK-Elekter'!$C:$X,2+$D72,0))+IF(Q$9="X",VLOOKUP(Q$10,'VK-Biokütused'!$C:$U,2+$E72,0))+IF(Q$5="X",VLOOKUP(Q$10,'VK-Põlevkivi'!$C:$X,2+$G72,0))+IF(Q$4="X",VLOOKUP(Q$10,'VK-Võrgud'!$C:$X,2+$F72,0)))/1000</f>
        <v>5.0659999999999998</v>
      </c>
      <c r="R72" s="209">
        <f>(IF(R$7="X",VLOOKUP(R$10,'VK-Hooned-Soojus'!$C:$X,2+$C72,FALSE),0)+IF(R$6="X",VLOOKUP(R$10,'VK-Transport'!$C:$X,2+$B72,0))+IF(R$8="X",VLOOKUP(R$10,'VK-Elekter'!$C:$X,2+$D72,0))+IF(R$9="X",VLOOKUP(R$10,'VK-Biokütused'!$C:$U,2+$E72,0))+IF(R$5="X",VLOOKUP(R$10,'VK-Põlevkivi'!$C:$X,2+$G72,0))+IF(R$4="X",VLOOKUP(R$10,'VK-Võrgud'!$C:$X,2+$F72,0)))/1000</f>
        <v>2.9358823271229704</v>
      </c>
      <c r="S72" s="226">
        <f>VLOOKUP(S$10,'VK-Hooned-Soojus'!$C:$I,2+$C72,FALSE) + VLOOKUP(S$10,'VK-Transport'!$C:$I,2+$B72,FALSE)+ VLOOKUP(S$10,'VK-Biokütused'!$C:$G,2+$E72,FALSE)+ VLOOKUP(S$10,'VK-Elekter'!$C:$I,2+$D72,FALSE)+ VLOOKUP(S$10,'VK-Põlevkivi'!$C:$I,2+$G72,FALSE)+ VLOOKUP(S$10,'VK-Võrgud'!$C:$I,2+$F72,FALSE)</f>
        <v>1.3684896620933369E-2</v>
      </c>
      <c r="T72" s="226">
        <f>VLOOKUP(T$10,'VK-Hooned-Soojus'!$C:$I,2+$C72,FALSE) + VLOOKUP(T$10,'VK-Transport'!$C:$I,2+$B72,FALSE)+ VLOOKUP(T$10,'VK-Biokütused'!$C:$G,2+$E72,FALSE)+ VLOOKUP(T$10,'VK-Elekter'!$C:$I,2+$D72,FALSE)+ VLOOKUP(T$10,'VK-Põlevkivi'!$C:$I,2+$G72,FALSE)+ VLOOKUP(T$10,'VK-Võrgud'!$C:$I,2+$F72,FALSE)</f>
        <v>-6.0135038062300106E-4</v>
      </c>
      <c r="U72" s="226">
        <f>VLOOKUP(U$10,'VK-Hooned-Soojus'!$C:$I,2+$C72,FALSE) + VLOOKUP(U$10,'VK-Transport'!$C:$I,2+$B72,FALSE)+ VLOOKUP(U$10,'VK-Biokütused'!$C:$G,2+$E72,FALSE)+ VLOOKUP(U$10,'VK-Elekter'!$C:$I,2+$D72,FALSE)+ VLOOKUP(U$10,'VK-Põlevkivi'!$C:$I,2+$G72,FALSE)+ VLOOKUP(U$10,'VK-Võrgud'!$C:$I,2+$F72,FALSE)</f>
        <v>3.5761554861146183E-3</v>
      </c>
      <c r="V72" s="226">
        <f>VLOOKUP(V$10,'VK-Hooned-Soojus'!$C:$I,2+$C72,FALSE) + VLOOKUP(V$10,'VK-Transport'!$C:$I,2+$B72,FALSE)+ VLOOKUP(V$10,'VK-Biokütused'!$C:$G,2+$E72,FALSE)+ VLOOKUP(V$10,'VK-Elekter'!$C:$I,2+$D72,FALSE)+ VLOOKUP(V$10,'VK-Põlevkivi'!$C:$I,2+$G72,FALSE)+ VLOOKUP(V$10,'VK-Võrgud'!$C:$I,2+$F72,FALSE)</f>
        <v>1.0168901836335138E-2</v>
      </c>
      <c r="W72" s="226">
        <f>VLOOKUP(W$10,'VK-Hooned-Soojus'!$C:$I,2+$C72,FALSE) + VLOOKUP(W$10,'VK-Transport'!$C:$I,2+$B72,FALSE)+ VLOOKUP(W$10,'VK-Biokütused'!$C:$G,2+$E72,FALSE)+ VLOOKUP(W$10,'VK-Elekter'!$C:$I,2+$D72,FALSE)+ VLOOKUP(W$10,'VK-Põlevkivi'!$C:$I,2+$G72,FALSE)+ VLOOKUP(W$10,'VK-Võrgud'!$C:$I,2+$F72,FALSE)</f>
        <v>-2.4371312090442555E-2</v>
      </c>
      <c r="X72" s="226">
        <f>VLOOKUP(X$10,'VK-Hooned-Soojus'!$C:$I,2+$C72,FALSE) + VLOOKUP(X$10,'VK-Transport'!$C:$I,2+$B72,FALSE)+ VLOOKUP(X$10,'VK-Biokütused'!$C:$G,2+$E72,FALSE)+ VLOOKUP(X$10,'VK-Elekter'!$C:$I,2+$D72,FALSE)+ VLOOKUP(X$10,'VK-Põlevkivi'!$C:$I,2+$G72,FALSE)+ VLOOKUP(X$10,'VK-Võrgud'!$C:$I,2+$F72,FALSE)</f>
        <v>-3.0435025937018311E-2</v>
      </c>
      <c r="Y72" s="226">
        <f>VLOOKUP(Y$10,'VK-Hooned-Soojus'!$C:$I,2+$C72,FALSE) + VLOOKUP(Y$10,'VK-Transport'!$C:$I,2+$B72,FALSE)+ VLOOKUP(Y$10,'VK-Biokütused'!$C:$G,2+$E72,FALSE)+ VLOOKUP(Y$10,'VK-Elekter'!$C:$I,2+$D72,FALSE)+ VLOOKUP(Y$10,'VK-Põlevkivi'!$C:$I,2+$G72,FALSE)+ VLOOKUP(Y$10,'VK-Võrgud'!$C:$I,2+$F72,FALSE)</f>
        <v>-4.2474546995489901E-2</v>
      </c>
      <c r="Z72" s="227">
        <f>(S72*Tulemused!$Q$9*10+T72*Tulemused!$Q$10*10+KOMBI!U72*Tulemused!$Q$11*10+KOMBI!V72*Tulemused!$Q$12*10)*Tulemused!$Q$8+-(W72*Tulemused!$Q$14*10+KOMBI!X72*Tulemused!$Q$15*10+KOMBI!Y72*Tulemused!$Q$16*10)*Tulemused!$Q$13</f>
        <v>3.9620397858272054</v>
      </c>
      <c r="AA72" s="228">
        <f>(IF(AA$7="X",VLOOKUP(AA$10,'VK-Hooned-Soojus'!$C:$X,2+$C72,FALSE),0)+IF(AA$6="X",VLOOKUP(AA$10,'VK-Transport'!$C:$X,2+$B72,0))+IF(AA$8="X",VLOOKUP(AA$10,'VK-Elekter'!$C:$X,2+$D72,0))+IF(AA$9="X",VLOOKUP(AA$10,'VK-Biokütused'!$C:$U,2+$E72,0))+IF(AA$5="X",VLOOKUP(AA$10,'VK-Põlevkivi'!$C:$X,2+$G72,0))+IF(AA$4="X",VLOOKUP(AA$10,'VK-Võrgud'!$C:$X,2+$F72,0)))</f>
        <v>3729</v>
      </c>
      <c r="AB72" s="228">
        <f>(IF(AB$7="X",VLOOKUP(AB$10,'VK-Hooned-Soojus'!$C:$X,2+$C72,FALSE),0)+IF(AB$6="X",VLOOKUP(AB$10,'VK-Transport'!$C:$X,2+$B72,0))+IF(AB$8="X",VLOOKUP(AB$10,'VK-Elekter'!$C:$X,2+$D72,0))+IF(AB$9="X",VLOOKUP(AB$10,'VK-Biokütused'!$C:$U,2+$E72,0))+IF(AB$5="X",VLOOKUP(AB$10,'VK-Põlevkivi'!$C:$X,2+$G72,0))+IF(AB$4="X",VLOOKUP(AB$10,'VK-Võrgud'!$C:$X,2+$F72,0)))</f>
        <v>1337</v>
      </c>
      <c r="AC72" s="228">
        <f>(IF(AC$7="X",VLOOKUP(AC$10,'VK-Hooned-Soojus'!$C:$X,2+$C72,FALSE),0)+IF(AC$6="X",VLOOKUP(AC$10,'VK-Transport'!$C:$X,2+$B72,0))+IF(AC$8="X",VLOOKUP(AC$10,'VK-Elekter'!$C:$X,2+$D72,0))+IF(AC$9="X",VLOOKUP(AC$10,'VK-Biokütused'!$C:$U,2+$E72,0))+IF(AC$5="X",VLOOKUP(AC$10,'VK-Põlevkivi'!$C:$X,2+$G72,0))+IF(AC$4="X",VLOOKUP(AC$10,'VK-Võrgud'!$C:$X,2+$F72,0)))</f>
        <v>2346</v>
      </c>
      <c r="AD72" s="228">
        <f>(IF(AD$7="X",VLOOKUP(AD$10,'VK-Hooned-Soojus'!$C:$X,2+$C72,FALSE),0)+IF(AD$6="X",VLOOKUP(AD$10,'VK-Transport'!$C:$X,2+$B72,0))+IF(AD$8="X",VLOOKUP(AD$10,'VK-Elekter'!$C:$X,2+$D72,0))+IF(AD$9="X",VLOOKUP(AD$10,'VK-Biokütused'!$C:$U,2+$E72,0))+IF(AD$5="X",VLOOKUP(AD$10,'VK-Põlevkivi'!$C:$X,2+$G72,0))+IF(AD$4="X",VLOOKUP(AD$10,'VK-Võrgud'!$C:$X,2+$F72,0)))</f>
        <v>377.5</v>
      </c>
      <c r="AE72" s="228">
        <f>(IF(AE$7="X",VLOOKUP(AE$10,'VK-Hooned-Soojus'!$C:$X,2+$C72,FALSE),0)+IF(AE$6="X",VLOOKUP(AE$10,'VK-Transport'!$C:$X,2+$B72,0))+IF(AE$8="X",VLOOKUP(AE$10,'VK-Elekter'!$C:$X,2+$D72,0))+IF(AE$9="X",VLOOKUP(AE$10,'VK-Biokütused'!$C:$U,2+$E72,0))+IF(AE$5="X",VLOOKUP(AE$10,'VK-Põlevkivi'!$C:$X,2+$G72,0))+IF(AE$4="X",VLOOKUP(AE$10,'VK-Võrgud'!$C:$X,2+$F72,0)))</f>
        <v>666</v>
      </c>
      <c r="AF72" s="228">
        <f>(IF(AF$7="X",VLOOKUP(AF$10,'VK-Hooned-Soojus'!$C:$X,2+$C72,FALSE),0)+IF(AF$6="X",VLOOKUP(AF$10,'VK-Transport'!$C:$X,2+$B72,0))+IF(AF$8="X",VLOOKUP(AF$10,'VK-Elekter'!$C:$X,2+$D72,0))+IF(AF$9="X",VLOOKUP(AF$10,'VK-Biokütused'!$C:$U,2+$E72,0))+IF(AF$5="X",VLOOKUP(AF$10,'VK-Põlevkivi'!$C:$X,2+$G72,0))+IF(AF$4="X",VLOOKUP(AF$10,'VK-Võrgud'!$C:$X,2+$F72,0)))</f>
        <v>1892.3823271229701</v>
      </c>
      <c r="AG72" s="209"/>
      <c r="AH72" s="209">
        <f>IF(AH$7="X",VLOOKUP(AH$10,'VK-Hooned-Soojus'!$C:$X,2+$C72,FALSE),0)+IF(AH$6="X",VLOOKUP(AH$10,'VK-Transport'!$C:$X,2+$B72,0))+IF(AH$8="X",VLOOKUP(AH$10,'VK-Elekter'!$C:$X,2+$D72,0))+IF(AH$9="X",VLOOKUP(AH$10,'VK-Biokütused'!$C:$U,2+$E72,0))+IF(AH$5="X",VLOOKUP(AH$10,'VK-Põlevkivi'!$C:$X,2+$G72,0))+IF(AH$4="X",VLOOKUP(AH$10,'VK-Võrgud'!$C:$X,2+$F72,0))</f>
        <v>11.629999999999999</v>
      </c>
      <c r="AI72" s="209">
        <f>IF(AI$7="X",VLOOKUP(AI$10,'VK-Hooned-Soojus'!$C:$X,2+$C72,FALSE),0)+IF(AI$6="X",VLOOKUP(AI$10,'VK-Transport'!$C:$X,2+$B72,0))+IF(AI$8="X",VLOOKUP(AI$10,'VK-Elekter'!$C:$X,2+$D72,0))+IF(AI$9="X",VLOOKUP(AI$10,'VK-Biokütused'!$C:$U,2+$E72,0))+IF(AI$5="X",VLOOKUP(AI$10,'VK-Põlevkivi'!$C:$X,2+$G72,0))+IF(AI$4="X",VLOOKUP(AI$10,'VK-Võrgud'!$C:$X,2+$F72,0))</f>
        <v>2.3100000000000005</v>
      </c>
      <c r="AJ72" s="209">
        <f>IF(AJ$7="X",VLOOKUP(AJ$10,'VK-Hooned-Soojus'!$C:$X,2+$C72,FALSE),0)+IF(AJ$6="X",VLOOKUP(AJ$10,'VK-Transport'!$C:$X,2+$B72,0))+IF(AJ$8="X",VLOOKUP(AJ$10,'VK-Elekter'!$C:$X,2+$D72,0))+IF(AJ$9="X",VLOOKUP(AJ$10,'VK-Biokütused'!$C:$U,2+$E72,0))+IF(AJ$5="X",VLOOKUP(AJ$10,'VK-Põlevkivi'!$C:$X,2+$G72,0))+IF(AJ$4="X",VLOOKUP(AJ$10,'VK-Võrgud'!$C:$X,2+$F72,0))</f>
        <v>9.24</v>
      </c>
      <c r="AK72" s="209">
        <f>IF(AK$7="X",VLOOKUP(AK$10,'VK-Hooned-Soojus'!$C:$X,2+$C72,FALSE),0)+IF(AK$6="X",VLOOKUP(AK$10,'VK-Transport'!$C:$X,2+$B72,0))+IF(AK$8="X",VLOOKUP(AK$10,'VK-Elekter'!$C:$X,2+$D72,0))+IF(AK$9="X",VLOOKUP(AK$10,'VK-Biokütused'!$C:$U,2+$E72,0))+IF(AK$5="X",VLOOKUP(AK$10,'VK-Põlevkivi'!$C:$X,2+$G72,0))+IF(AK$4="X",VLOOKUP(AK$10,'VK-Võrgud'!$C:$X,2+$F72,0))</f>
        <v>2.78</v>
      </c>
      <c r="AL72" s="209">
        <f>IF(AL$7="X",VLOOKUP(AL$10,'VK-Hooned-Soojus'!$C:$X,2+$C72,FALSE),0)+IF(AL$6="X",VLOOKUP(AL$10,'VK-Transport'!$C:$X,2+$B72,0))+IF(AL$8="X",VLOOKUP(AL$10,'VK-Elekter'!$C:$X,2+$D72,0))+IF(AL$9="X",VLOOKUP(AL$10,'VK-Biokütused'!$C:$U,2+$E72,0))+IF(AL$5="X",VLOOKUP(AL$10,'VK-Põlevkivi'!$C:$X,2+$G72,0))+IF(AL$4="X",VLOOKUP(AL$10,'VK-Võrgud'!$C:$X,2+$F72,0))</f>
        <v>7.1999999999999993</v>
      </c>
      <c r="AM72" s="209">
        <f>IF(AM$7="X",VLOOKUP(AM$10,'VK-Hooned-Soojus'!$C:$X,2+$C72,FALSE),0)+IF(AM$6="X",VLOOKUP(AM$10,'VK-Transport'!$C:$X,2+$B72,0))+IF(AM$8="X",VLOOKUP(AM$10,'VK-Elekter'!$C:$X,2+$D72,0))+IF(AM$9="X",VLOOKUP(AM$10,'VK-Biokütused'!$C:$U,2+$E72,0))+IF(AM$5="X",VLOOKUP(AM$10,'VK-Põlevkivi'!$C:$X,2+$G72,0))+IF(AM$4="X",VLOOKUP(AM$10,'VK-Võrgud'!$C:$X,2+$F72,0))</f>
        <v>11.9</v>
      </c>
      <c r="AN72" s="209">
        <f>IF(AN$7="X",VLOOKUP(AN$10,'VK-Hooned-Soojus'!$C:$X,2+$C72,FALSE),0)+IF(AN$6="X",VLOOKUP(AN$10,'VK-Transport'!$C:$X,2+$B72,0))+IF(AN$8="X",VLOOKUP(AN$10,'VK-Elekter'!$C:$X,2+$D72,0))+IF(AN$9="X",VLOOKUP(AN$10,'VK-Biokütused'!$C:$U,2+$E72,0))+IF(AN$5="X",VLOOKUP(AN$10,'VK-Põlevkivi'!$C:$X,2+$G72,0))+IF(AN$4="X",VLOOKUP(AN$10,'VK-Võrgud'!$C:$X,2+$F72,0))</f>
        <v>4.8999999999999995</v>
      </c>
      <c r="AO72" s="209">
        <f>IF(AO$7="X",VLOOKUP(AO$10,'VK-Hooned-Soojus'!$C:$X,2+$C72,FALSE),0)+IF(AO$6="X",VLOOKUP(AO$10,'VK-Transport'!$C:$X,2+$B72,0))+IF(AO$8="X",VLOOKUP(AO$10,'VK-Elekter'!$C:$X,2+$D72,0))+IF(AO$9="X",VLOOKUP(AO$10,'VK-Biokütused'!$C:$U,2+$E72,0))+IF(AO$5="X",VLOOKUP(AO$10,'VK-Põlevkivi'!$C:$X,2+$G72,0))+IF(AO$4="X",VLOOKUP(AO$10,'VK-Võrgud'!$C:$X,2+$F72,0))</f>
        <v>12.56</v>
      </c>
      <c r="AP72" s="209">
        <f>IF(AP$7="X",VLOOKUP(AP$10,'VK-Hooned-Soojus'!$C:$X,2+$C72,FALSE),0)+IF(AP$6="X",VLOOKUP(AP$10,'VK-Transport'!$C:$X,2+$B72,0))+IF(AP$8="X",VLOOKUP(AP$10,'VK-Elekter'!$C:$X,2+$D72,0))+IF(AP$9="X",VLOOKUP(AP$10,'VK-Biokütused'!$C:$U,2+$E72,0))+IF(AP$5="X",VLOOKUP(AP$10,'VK-Põlevkivi'!$C:$X,2+$G72,0))+IF(AP$4="X",VLOOKUP(AP$10,'VK-Võrgud'!$C:$X,2+$F72,0))</f>
        <v>6.28</v>
      </c>
      <c r="AQ72" s="320">
        <f t="shared" si="14"/>
        <v>0.25999999999999979</v>
      </c>
      <c r="AR72" s="209">
        <f>IF(AR$7="X",VLOOKUP(AR$10,'VK-Hooned-Soojus'!$C:$X,2+$C72,FALSE),0)+IF(AR$6="X",VLOOKUP(AR$10,'VK-Transport'!$C:$X,2+$B72,0))+IF(AR$8="X",VLOOKUP(AR$10,'VK-Elekter'!$C:$X,2+$D72,0))+IF(AR$9="X",VLOOKUP(AR$10,'VK-Biokütused'!$C:$U,2+$E72,0))+IF(AR$5="X",VLOOKUP(AR$10,'VK-Põlevkivi'!$C:$X,2+$G72,0))+IF(AR$4="X",VLOOKUP(AR$10,'VK-Võrgud'!$C:$X,2+$F72,0))</f>
        <v>2.8899999999999997</v>
      </c>
      <c r="AS72" s="320">
        <f>VLOOKUP("Kütuste tarbimine @ 2030 - UTTEGAAS",'VK-Hooned-Soojus'!$C:$X,2+$C72,FALSE)/0.172+VLOOKUP("Kütuste tarbimine @ 2030 - UTTEGAAS",'VK-Elekter'!$C:$X,2+$D72,FALSE)/0.172-AR72-AU72</f>
        <v>2.8565116279069773</v>
      </c>
      <c r="AT72" s="209">
        <f>IF(AT$7="X",VLOOKUP(AT$10,'VK-Hooned-Soojus'!$C:$X,2+$C72,FALSE),0)+IF(AT$6="X",VLOOKUP(AT$10,'VK-Transport'!$C:$X,2+$B72,0))+IF(AT$8="X",VLOOKUP(AT$10,'VK-Elekter'!$C:$X,2+$D72,0))+IF(AT$9="X",VLOOKUP(AT$10,'VK-Biokütused'!$C:$U,2+$E72,0))+IF(AT$5="X",VLOOKUP(AT$10,'VK-Põlevkivi'!$C:$X,2+$G72,0))+IF(AT$4="X",VLOOKUP(AT$10,'VK-Võrgud'!$C:$X,2+$F72,0))</f>
        <v>9.2784458909544707</v>
      </c>
      <c r="AU72" s="229">
        <f>MAX(0,(VLOOKUP("Kütuste tarbimine @ 2030 - UTTEGAAS",'VK-Hooned-Soojus'!$C:$X,2+$C72,FALSE)/0.172+VLOOKUP("Kütuste tarbimine @ 2030 - UTTEGAAS",'VK-Elekter'!$C:$X,2+$D72,FALSE)/0.172)*0.52-VLOOKUP("Kütuste tarbimine @ 2030 - PÕLEVKIVIÕLI",'VK-Hooned-Soojus'!$C:$X,2+$C72,FALSE))</f>
        <v>5.1837209302325586</v>
      </c>
      <c r="AV72" s="209">
        <f>IF(AV$7="X",VLOOKUP(AV$10,'VK-Hooned-Soojus'!$C:$X,2+$C72,FALSE),0)+IF(AV$6="X",VLOOKUP(AV$10,'VK-Transport'!$C:$X,2+$B72,0))+IF(AV$8="X",VLOOKUP(AV$10,'VK-Elekter'!$C:$X,2+$D72,0))+IF(AV$9="X",VLOOKUP(AV$10,'VK-Biokütused'!$C:$U,2+$E72,0))+IF(AV$5="X",VLOOKUP(AV$10,'VK-Põlevkivi'!$C:$X,2+$G72,0))+IF(AV$4="X",VLOOKUP(AV$10,'VK-Võrgud'!$C:$X,2+$F72,0))</f>
        <v>1.7257321590343366</v>
      </c>
      <c r="AW72" s="209">
        <f>IF(AW$7="X",VLOOKUP(AW$10,'VK-Hooned-Soojus'!$C:$X,2+$C72,FALSE),0)+IF(AW$6="X",VLOOKUP(AW$10,'VK-Transport'!$C:$X,2+$B72,0))+IF(AW$8="X",VLOOKUP(AW$10,'VK-Elekter'!$C:$X,2+$D72,0))+IF(AW$9="X",VLOOKUP(AW$10,'VK-Biokütused'!$C:$U,2+$E72,0))+IF(AW$5="X",VLOOKUP(AW$10,'VK-Põlevkivi'!$C:$X,2+$G72,0))+IF(AW$4="X",VLOOKUP(AW$10,'VK-Võrgud'!$C:$X,2+$F72,0))</f>
        <v>2.141</v>
      </c>
      <c r="AX72" s="229">
        <f t="shared" si="34"/>
        <v>0.41526784096566338</v>
      </c>
      <c r="AY72" s="229">
        <f t="shared" si="15"/>
        <v>0</v>
      </c>
      <c r="AZ72" s="230">
        <f t="shared" si="36"/>
        <v>0.54801313538977747</v>
      </c>
      <c r="BA72" s="209">
        <f>IF(BA$7="X",VLOOKUP(BA$10,'VK-Hooned-Soojus'!$C:$X,2+$C72,FALSE),0)+IF(BA$6="X",VLOOKUP(BA$10,'VK-Transport'!$C:$X,2+$B72,0))+IF(BA$8="X",VLOOKUP(BA$10,'VK-Elekter'!$C:$X,2+$D72,0))+IF(BA$9="X",VLOOKUP(BA$10,'VK-Biokütused'!$C:$U,2+$E72,0))+IF(BA$5="X",VLOOKUP(BA$10,'VK-Põlevkivi'!$C:$X,2+$G72,0))+IF(BA$4="X",VLOOKUP(BA$10,'VK-Võrgud'!$C:$X,2+$F72,0))</f>
        <v>4.25</v>
      </c>
      <c r="BB72" s="209">
        <f>IF(BB$7="X",VLOOKUP(BB$10,'VK-Hooned-Soojus'!$C:$X,2+$C72,FALSE),0)+IF(BB$6="X",VLOOKUP(BB$10,'VK-Transport'!$C:$X,2+$B72,0))+IF(BB$8="X",VLOOKUP(BB$10,'VK-Elekter'!$C:$X,2+$D72,0))+IF(BB$9="X",VLOOKUP(BB$10,'VK-Biokütused'!$C:$U,2+$E72,0))+IF(BB$5="X",VLOOKUP(BB$10,'VK-Põlevkivi'!$C:$X,2+$G72,0))+IF(BB$4="X",VLOOKUP(BB$10,'VK-Võrgud'!$C:$X,2+$F72,0))</f>
        <v>2.93</v>
      </c>
      <c r="BC72" s="209">
        <f>IF(BC$7="X",VLOOKUP(BC$10,'VK-Hooned-Soojus'!$C:$X,2+$C72,FALSE),0)+IF(BC$6="X",VLOOKUP(BC$10,'VK-Transport'!$C:$X,2+$B72,0))+IF(BC$8="X",VLOOKUP(BC$10,'VK-Elekter'!$C:$X,2+$D72,0))+IF(BC$9="X",VLOOKUP(BC$10,'VK-Biokütused'!$C:$U,2+$E72,0))+IF(BC$5="X",VLOOKUP(BC$10,'VK-Põlevkivi'!$C:$X,2+$G72,0))+IF(BC$4="X",VLOOKUP(BC$10,'VK-Võrgud'!$C:$X,2+$F72,0))</f>
        <v>6.5993333333333322</v>
      </c>
      <c r="BD72" s="209">
        <f>IF(BD$7="X",VLOOKUP(BD$10,'VK-Hooned-Soojus'!$C:$X,2+$C72,FALSE),0)+IF(BD$6="X",VLOOKUP(BD$10,'VK-Transport'!$C:$X,2+$B72,0))+IF(BD$8="X",VLOOKUP(BD$10,'VK-Elekter'!$C:$X,2+$D72,0))+IF(BD$9="X",VLOOKUP(BD$10,'VK-Biokütused'!$C:$U,2+$E72,0))+IF(BD$5="X",VLOOKUP(BD$10,'VK-Põlevkivi'!$C:$X,2+$G72,0))+IF(BD$4="X",VLOOKUP(BD$10,'VK-Võrgud'!$C:$X,2+$F72,0))</f>
        <v>9.425416666666667</v>
      </c>
      <c r="BE72" s="230"/>
      <c r="BF72" s="229">
        <f t="shared" si="16"/>
        <v>0.33006438024350176</v>
      </c>
      <c r="BG72" s="209" t="e">
        <f>(IF(BG$7="X",VLOOKUP(BG$10,'VK-Hooned-Soojus'!$C:$X,2+$C72,FALSE),0)+IF(BG$6="X",VLOOKUP(BG$10,'VK-Transport'!$C:$X,2+$B72,0))+IF(BG$8="X",VLOOKUP(BG$10,'VK-Elekter'!$C:$X,2+$D72,0))+IF(BG$9="X",VLOOKUP(BG$10,'VK-Biokütused'!$C:$U,2+$E72,0))+IF(BG$5="X",VLOOKUP(BG$10,'VK-Põlevkivi'!$C:$X,2+$G72,0))+IF(BG$4="X",VLOOKUP(BG$10,'VK-Võrgud'!$C:$X,2+$F72,0)))/20</f>
        <v>#N/A</v>
      </c>
      <c r="BH72" s="209">
        <f>(IF(BH$7="X",VLOOKUP(BH$10,'VK-Hooned-Soojus'!$C:$X,2+$C72,FALSE),0)+IF(BH$6="X",VLOOKUP(BH$10,'VK-Transport'!$C:$X,2+$B72,0))+IF(BH$8="X",VLOOKUP(BH$10,'VK-Elekter'!$C:$X,2+$D72,0))+IF(BH$9="X",VLOOKUP(BH$10,'VK-Biokütused'!$C:$U,2+$E72,0))+IF(BH$5="X",VLOOKUP(BH$10,'VK-Põlevkivi'!$C:$X,2+$G72,0))+IF(BH$4="X",VLOOKUP(BH$10,'VK-Võrgud'!$C:$X,2+$F72,0)))/20</f>
        <v>45.08</v>
      </c>
      <c r="BI72" s="209">
        <f>(IF(BI$7="X",VLOOKUP(BI$10,'VK-Hooned-Soojus'!$C:$X,2+$C72,FALSE),0)+IF(BI$6="X",VLOOKUP(BI$10,'VK-Transport'!$C:$X,2+$B72,0))+IF(BI$8="X",VLOOKUP(BI$10,'VK-Elekter'!$C:$X,2+$D72,0))+IF(BI$9="X",VLOOKUP(BI$10,'VK-Biokütused'!$C:$U,2+$E72,0))+IF(BI$5="X",VLOOKUP(BI$10,'VK-Põlevkivi'!$C:$X,2+$G72,0))+IF(BI$4="X",VLOOKUP(BI$10,'VK-Võrgud'!$C:$X,2+$F72,0)))/16</f>
        <v>14.1875</v>
      </c>
      <c r="BJ72" s="209">
        <f>(IF(BJ$7="X",VLOOKUP(BJ$10,'VK-Hooned-Soojus'!$C:$X,2+$C72,FALSE),0)+IF(BJ$6="X",VLOOKUP(BJ$10,'VK-Transport'!$C:$X,2+$B72,0))+IF(BJ$8="X",VLOOKUP(BJ$10,'VK-Elekter'!$C:$X,2+$D72,0))+IF(BJ$9="X",VLOOKUP(BJ$10,'VK-Biokütused'!$C:$U,2+$E72,0))+IF(BJ$5="X",VLOOKUP(BJ$10,'VK-Põlevkivi'!$C:$X,2+$G72,0))+IF(BJ$4="X",VLOOKUP(BJ$10,'VK-Võrgud'!$C:$X,2+$F72,0)))/20</f>
        <v>3.91</v>
      </c>
      <c r="BK72" s="209"/>
      <c r="BL72" s="209"/>
      <c r="BM72" s="209"/>
      <c r="BN72" s="209" t="e">
        <f>(IF(BN$7="X",VLOOKUP(BN$10,'VK-Hooned-Soojus'!$C:$X,2+$C72,FALSE),0)+IF(BN$6="X",VLOOKUP(BN$10,'VK-Transport'!$C:$X,2+$B72,0))+IF(BN$8="X",VLOOKUP(BN$10,'VK-Elekter'!$C:$X,2+$D72,0))+IF(BN$9="X",VLOOKUP(BN$10,'VK-Biokütused'!$C:$U,2+$E72,0))+IF(BN$5="X",VLOOKUP(BN$10,'VK-Põlevkivi'!$C:$X,2+$G72,0))+IF(BN$4="X",VLOOKUP(BN$10,'VK-Võrgud'!$C:$X,2+$F72,0)))/16</f>
        <v>#N/A</v>
      </c>
      <c r="BO72" s="209">
        <f>(IF(BO$7="X",VLOOKUP(BO$10,'VK-Hooned-Soojus'!$C:$X,2+$C72,FALSE),0)+IF(BO$6="X",VLOOKUP(BO$10,'VK-Transport'!$C:$X,2+$B72,0))+IF(BO$8="X",VLOOKUP(BO$10,'VK-Elekter'!$C:$X,2+$D72,0))+IF(BO$9="X",VLOOKUP(BO$10,'VK-Biokütused'!$C:$U,2+$E72,0))+IF(BO$5="X",VLOOKUP(BO$10,'VK-Põlevkivi'!$C:$X,2+$G72,0))+IF(BO$4="X",VLOOKUP(BO$10,'VK-Võrgud'!$C:$X,2+$F72,0)))/16</f>
        <v>405.45</v>
      </c>
      <c r="BP72" s="209"/>
      <c r="BQ72" s="209">
        <f>(IF(BQ$7="X",VLOOKUP(BQ$10,'VK-Hooned-Soojus'!$C:$X,2+$C72,FALSE),0)+IF(BQ$6="X",VLOOKUP(BQ$10,'VK-Transport'!$C:$X,2+$B72,0))+IF(BQ$8="X",VLOOKUP(BQ$10,'VK-Elekter'!$C:$X,2+$D72,0))+IF(BQ$9="X",VLOOKUP(BQ$10,'VK-Biokütused'!$C:$U,2+$E72,0))+IF(BQ$5="X",VLOOKUP(BQ$10,'VK-Põlevkivi'!$C:$X,2+$G72,0))+IF(BQ$4="X",VLOOKUP(BQ$10,'VK-Võrgud'!$C:$X,2+$F72,0)))/16</f>
        <v>127.6</v>
      </c>
      <c r="BR72" s="209">
        <f>(IF(BR$7="X",VLOOKUP(BR$10,'VK-Hooned-Soojus'!$C:$X,2+$C72,FALSE),0)+IF(BR$6="X",VLOOKUP(BR$10,'VK-Transport'!$C:$X,2+$B72,0))+IF(BR$8="X",VLOOKUP(BR$10,'VK-Elekter'!$C:$X,2+$D72,0))+IF(BR$9="X",VLOOKUP(BR$10,'VK-Biokütused'!$C:$U,2+$E72,0))+IF(BR$5="X",VLOOKUP(BR$10,'VK-Põlevkivi'!$C:$X,2+$G72,0))+IF(BR$4="X",VLOOKUP(BR$10,'VK-Võrgud'!$C:$X,2+$F72,0)))/16</f>
        <v>27.475000000000001</v>
      </c>
      <c r="BS72" s="209">
        <f>(IF(BS$7="X",VLOOKUP(BS$10,'VK-Hooned-Soojus'!$C:$X,2+$C72,FALSE),0)+IF(BS$6="X",VLOOKUP(BS$10,'VK-Transport'!$C:$X,2+$B72,0))+IF(BS$8="X",VLOOKUP(BS$10,'VK-Elekter'!$C:$X,2+$D72,0))+IF(BS$9="X",VLOOKUP(BS$10,'VK-Biokütused'!$C:$U,2+$E72,0))+IF(BS$5="X",VLOOKUP(BS$10,'VK-Põlevkivi'!$C:$X,2+$G72,0))+IF(BS$4="X",VLOOKUP(BS$10,'VK-Võrgud'!$C:$X,2+$F72,0)))/16</f>
        <v>-23.293749999999999</v>
      </c>
      <c r="BT72" s="209"/>
      <c r="BU72" s="209"/>
      <c r="BV72" s="209">
        <f>(IF(BV$7="X",VLOOKUP(BV$10,'VK-Hooned-Soojus'!$C:$X,2+$C72,FALSE),0)+IF(BV$6="X",VLOOKUP(BV$10,'VK-Transport'!$C:$X,2+$B72,0))+IF(BV$8="X",VLOOKUP(BV$10,'VK-Elekter'!$C:$X,2+$D72,0))+IF(BV$9="X",VLOOKUP(BV$10,'VK-Biokütused'!$C:$U,2+$E72,0))+IF(BV$5="X",VLOOKUP(BV$10,'VK-Põlevkivi'!$C:$X,2+$G72,0))+IF(BV$4="X",VLOOKUP(BV$10,'VK-Võrgud'!$C:$X,2+$F72,0)))/16</f>
        <v>0</v>
      </c>
      <c r="BW72" s="209"/>
      <c r="BX72" s="209">
        <f>(IF(BX$7="X",VLOOKUP(BX$10,'VK-Hooned-Soojus'!$C:$X,2+$C72,FALSE),0)+IF(BX$6="X",VLOOKUP(BX$10,'VK-Transport'!$C:$X,2+$B72,0))+IF(BX$8="X",VLOOKUP(BX$10,'VK-Elekter'!$C:$X,2+$D72,0))+IF(BX$9="X",VLOOKUP(BX$10,'VK-Biokütused'!$C:$U,2+$E72,0))+IF(BX$5="X",VLOOKUP(BX$10,'VK-Põlevkivi'!$C:$X,2+$G72,0))+IF(BX$4="X",VLOOKUP(BX$10,'VK-Võrgud'!$C:$X,2+$F72,0)))/16</f>
        <v>-99.6875</v>
      </c>
      <c r="BY72" s="209"/>
      <c r="BZ72" s="209"/>
      <c r="CA72" s="209" t="e">
        <f>(IF(CA$7="X",VLOOKUP(CA$10,'VK-Hooned-Soojus'!$C:$X,2+$C72,FALSE),0)+IF(CA$6="X",VLOOKUP(CA$10,'VK-Transport'!$C:$X,2+$B72,0))+IF(CA$8="X",VLOOKUP(CA$10,'VK-Elekter'!$C:$X,2+$D72,0))+IF(CA$9="X",VLOOKUP(CA$10,'VK-Biokütused'!$C:$U,2+$E72,0))+IF(CA$5="X",VLOOKUP(CA$10,'VK-Põlevkivi'!$C:$X,2+$G72,0))+IF(CA$4="X",VLOOKUP(CA$10,'VK-Võrgud'!$C:$X,2+$F72,0)))/16</f>
        <v>#N/A</v>
      </c>
      <c r="CB72" s="209">
        <f>(IF(CB$7="X",VLOOKUP(CB$10,'VK-Hooned-Soojus'!$C:$X,2+$C72,FALSE),0)+IF(CB$6="X",VLOOKUP(CB$10,'VK-Transport'!$C:$X,2+$B72,0))+IF(CB$8="X",VLOOKUP(CB$10,'VK-Elekter'!$C:$X,2+$D72,0))+IF(CB$9="X",VLOOKUP(CB$10,'VK-Biokütused'!$C:$U,2+$E72,0))+IF(CB$5="X",VLOOKUP(CB$10,'VK-Põlevkivi'!$C:$X,2+$G72,0))+IF(CB$4="X",VLOOKUP(CB$10,'VK-Võrgud'!$C:$X,2+$F72,0)))/16</f>
        <v>0</v>
      </c>
      <c r="CC72" s="209">
        <f>(IF(CC$7="X",VLOOKUP(CC$10,'VK-Hooned-Soojus'!$C:$X,2+$C72,FALSE),0)+IF(CC$6="X",VLOOKUP(CC$10,'VK-Transport'!$C:$X,2+$B72,0))+IF(CC$8="X",VLOOKUP(CC$10,'VK-Elekter'!$C:$X,2+$D72,0))+IF(CC$9="X",VLOOKUP(CC$10,'VK-Biokütused'!$C:$U,2+$E72,0))+IF(CC$5="X",VLOOKUP(CC$10,'VK-Põlevkivi'!$C:$X,2+$G72,0))+IF(CC$4="X",VLOOKUP(CC$10,'VK-Võrgud'!$C:$X,2+$F72,0)))/16</f>
        <v>0</v>
      </c>
      <c r="CD72" s="209"/>
      <c r="CE72" s="209">
        <f>(IF(CE$7="X",VLOOKUP(CE$10,'VK-Hooned-Soojus'!$C:$X,2+$C72,FALSE),0)+IF(CE$6="X",VLOOKUP(CE$10,'VK-Transport'!$C:$X,2+$B72,0))+IF(CE$8="X",VLOOKUP(CE$10,'VK-Elekter'!$C:$X,2+$D72,0))+IF(CE$9="X",VLOOKUP(CE$10,'VK-Biokütused'!$C:$U,2+$E72,0))+IF(CE$5="X",VLOOKUP(CE$10,'VK-Põlevkivi'!$C:$X,2+$G72,0))+IF(CE$4="X",VLOOKUP(CE$10,'VK-Võrgud'!$C:$X,2+$F72,0)))/16</f>
        <v>24.15625</v>
      </c>
      <c r="CF72" s="209"/>
      <c r="CG72" s="209">
        <f>(IF(CG$7="X",VLOOKUP(CG$10,'VK-Hooned-Soojus'!$C:$X,2+$C72,FALSE),0)+IF(CG$6="X",VLOOKUP(CG$10,'VK-Transport'!$C:$X,2+$B72,0))+IF(CG$8="X",VLOOKUP(CG$10,'VK-Elekter'!$C:$X,2+$D72,0))+IF(CG$9="X",VLOOKUP(CG$10,'VK-Biokütused'!$C:$U,2+$E72,0))+IF(CG$5="X",VLOOKUP(CG$10,'VK-Põlevkivi'!$C:$X,2+$G72,0))+IF(CG$4="X",VLOOKUP(CG$10,'VK-Võrgud'!$C:$X,2+$F72,0)))/16</f>
        <v>0</v>
      </c>
      <c r="CH72" s="209">
        <f>(IF(CH$7="X",VLOOKUP(CH$10,'VK-Hooned-Soojus'!$C:$X,2+$C72,FALSE),0)+IF(CH$6="X",VLOOKUP(CH$10,'VK-Transport'!$C:$X,2+$B72,0))+IF(CH$8="X",VLOOKUP(CH$10,'VK-Elekter'!$C:$X,2+$D72,0))+IF(CH$9="X",VLOOKUP(CH$10,'VK-Biokütused'!$C:$U,2+$E72,0))+IF(CH$5="X",VLOOKUP(CH$10,'VK-Põlevkivi'!$C:$X,2+$G72,0))+IF(CH$4="X",VLOOKUP(CH$10,'VK-Võrgud'!$C:$X,2+$F72,0)))/20*0.21</f>
        <v>11.225549999999998</v>
      </c>
      <c r="CI72" s="209"/>
      <c r="CJ72" s="209">
        <f>(IF(CJ$7="X",VLOOKUP(CJ$10,'VK-Hooned-Soojus'!$C:$X,2+$C72,FALSE),0)+IF(CJ$6="X",VLOOKUP(CJ$10,'VK-Transport'!$C:$X,2+$B72,0))+IF(CJ$8="X",VLOOKUP(CJ$10,'VK-Elekter'!$C:$X,2+$D72,0))+IF(CJ$9="X",VLOOKUP(CJ$10,'VK-Biokütused'!$C:$U,2+$E72,0))+IF(CJ$5="X",VLOOKUP(CJ$10,'VK-Põlevkivi'!$C:$X,2+$G72,0))+IF(CJ$4="X",VLOOKUP(CJ$10,'VK-Võrgud'!$C:$X,2+$F72,0)))/1000</f>
        <v>18.178999999999998</v>
      </c>
      <c r="CK72" s="209">
        <f>(IF(CK$7="X",VLOOKUP(CK$10,'VK-Hooned-Soojus'!$C:$X,2+$C72,FALSE),0)+IF(CK$6="X",VLOOKUP(CK$10,'VK-Transport'!$C:$X,2+$B72,0))+IF(CK$8="X",VLOOKUP(CK$10,'VK-Elekter'!$C:$X,2+$D72,0))+IF(CK$9="X",VLOOKUP(CK$10,'VK-Biokütused'!$C:$U,2+$E72,0))+IF(CK$5="X",VLOOKUP(CK$10,'VK-Põlevkivi'!$C:$X,2+$G72,0))+IF(CK$4="X",VLOOKUP(CK$10,'VK-Võrgud'!$C:$X,2+$F72,0)))/1000</f>
        <v>11.873743209992719</v>
      </c>
      <c r="CL72" s="235">
        <f>(IF(CL$7="X",VLOOKUP(CL$10,'VK-Hooned-Soojus'!$C:$X,2+$C72,FALSE),0)+IF(CL$6="X",VLOOKUP(CL$10,'VK-Transport'!$C:$X,2+$B72,0))+IF(CL$8="X",VLOOKUP(CL$10,'VK-Elekter'!$C:$X,2+$D72,0))+IF(CL$9="X",VLOOKUP(CL$10,'VK-Biokütused'!$C:$U,2+$E72,0)))/1000</f>
        <v>8.4202895597237895</v>
      </c>
      <c r="CM72" s="209">
        <f>(IF(CM$7="X",VLOOKUP(CM$10,'VK-Hooned-Soojus'!$C:$X,2+$C72,FALSE),0)+IF(CM$6="X",VLOOKUP(CM$10,'VK-Transport'!$C:$X,2+$B72,0))+IF(CM$8="X",VLOOKUP(CM$10,'VK-Elekter'!$C:$X,2+$D72,0))+IF(CM$9="X",VLOOKUP(CM$10,'VK-Biokütused'!$C:$U,2+$E72,0))+IF(CM$5="X",VLOOKUP(CM$10,'VK-Põlevkivi'!$C:$X,2+$G72,0))+IF(CM$4="X",VLOOKUP(CM$10,'VK-Võrgud'!$C:$X,2+$F72,0)))/1000</f>
        <v>7.7729999999999997</v>
      </c>
      <c r="CN72" s="209">
        <f>(IF(CN$7="X",VLOOKUP(CN$10,'VK-Hooned-Soojus'!$C:$X,2+$C72,FALSE),0)+IF(CN$6="X",VLOOKUP(CN$10,'VK-Transport'!$C:$X,2+$B72,0))+IF(CN$8="X",VLOOKUP(CN$10,'VK-Elekter'!$C:$X,2+$D72,0))+IF(CN$9="X",VLOOKUP(CN$10,'VK-Biokütused'!$C:$U,2+$E72,0))+IF(CN$5="X",VLOOKUP(CN$10,'VK-Põlevkivi'!$C:$X,2+$G72,0))+IF(CN$4="X",VLOOKUP(CN$10,'VK-Võrgud'!$C:$X,2+$F72,0)))/1000</f>
        <v>2.9929999999999999</v>
      </c>
      <c r="CO72" s="209">
        <f>(IF(CO$7="X",VLOOKUP(CO$10,'VK-Hooned-Soojus'!$C:$X,2+$C72,FALSE),0)+IF(CO$6="X",VLOOKUP(CO$10,'VK-Transport'!$C:$X,2+$B72,0))+IF(CO$8="X",VLOOKUP(CO$10,'VK-Elekter'!$C:$X,2+$D72,0))+IF(CO$9="X",VLOOKUP(CO$10,'VK-Biokütused'!$C:$U,2+$E72,0))+IF(CO$5="X",VLOOKUP(CO$10,'VK-Põlevkivi'!$C:$X,2+$G72,0))+IF(CO$4="X",VLOOKUP(CO$10,'VK-Võrgud'!$C:$X,2+$F72,0)))/1000</f>
        <v>24.00957521079728</v>
      </c>
      <c r="CP72" s="209">
        <f>(IF(CP$7="X",VLOOKUP(CP$10,'VK-Hooned-Soojus'!$C:$X,2+$C72,FALSE),0)+IF(CP$6="X",VLOOKUP(CP$10,'VK-Transport'!$C:$X,2+$B72,0))+IF(CP$8="X",VLOOKUP(CP$10,'VK-Elekter'!$C:$X,2+$D72,0))+IF(CP$9="X",VLOOKUP(CP$10,'VK-Biokütused'!$C:$U,2+$E72,0))+IF(CP$5="X",VLOOKUP(CP$10,'VK-Põlevkivi'!$C:$X,2+$G72,0))+IF(CP$4="X",VLOOKUP(CP$10,'VK-Võrgud'!$C:$X,2+$F72,0)))/1000</f>
        <v>13.441994830349824</v>
      </c>
      <c r="CQ72" s="235">
        <f>(IF(CQ$7="X",VLOOKUP(CQ$10,'VK-Hooned-Soojus'!$C:$X,2+$C72,FALSE),0)+IF(CQ$6="X",VLOOKUP(CQ$10,'VK-Transport'!$C:$X,2+$B72,0))+IF(CQ$8="X",VLOOKUP(CQ$10,'VK-Elekter'!$C:$X,2+$D72,0))+IF(CQ$9="X",VLOOKUP(CQ$10,'VK-Biokütused'!$C:$U,2+$E72,0)))/1000</f>
        <v>10.607346</v>
      </c>
      <c r="CR72" s="209">
        <f>(IF(CR$7="X",VLOOKUP(CR$10,'VK-Hooned-Soojus'!$C:$X,2+$C72,FALSE),0)+IF(CR$6="X",VLOOKUP(CR$10,'VK-Transport'!$C:$X,2+$B72,0))+IF(CR$8="X",VLOOKUP(CR$10,'VK-Elekter'!$C:$X,2+$D72,0))+IF(CR$9="X",VLOOKUP(CR$10,'VK-Biokütused'!$C:$U,2+$E72,0))+IF(CR$5="X",VLOOKUP(CR$10,'VK-Põlevkivi'!$C:$X,2+$G72,0))+IF(CR$4="X",VLOOKUP(CR$10,'VK-Võrgud'!$C:$X,2+$F72,0)))/1000</f>
        <v>7.8640872784575748</v>
      </c>
      <c r="CS72" s="209">
        <f>(IF(CS$7="X",VLOOKUP(CS$10,'VK-Hooned-Soojus'!$C:$X,2+$C72,FALSE),0)+IF(CS$6="X",VLOOKUP(CS$10,'VK-Transport'!$C:$X,2+$B72,0))+IF(CS$8="X",VLOOKUP(CS$10,'VK-Elekter'!$C:$X,2+$D72,0))+IF(CS$9="X",VLOOKUP(CS$10,'VK-Biokütused'!$C:$U,2+$E72,0))+IF(CS$5="X",VLOOKUP(CS$10,'VK-Põlevkivi'!$C:$X,2+$G72,0))+IF(CS$4="X",VLOOKUP(CS$10,'VK-Võrgud'!$C:$X,2+$F72,0)))/1000</f>
        <v>3.8443344900598322</v>
      </c>
      <c r="CT72" s="209">
        <f>IF(CT$7="X",VLOOKUP(CT$10,'VK-Hooned-Soojus'!$C:$X,2+$C72,FALSE),0)+IF(CT$6="X",VLOOKUP(CT$10,'VK-Transport'!$C:$X,2+$B72,0))+IF(CT$8="X",VLOOKUP(CT$10,'VK-Elekter'!$C:$X,2+$D72,0))+IF(CT$9="X",VLOOKUP(CT$10,'VK-Biokütused'!$C:$U,2+$E72,0))+IF(CT$5="X",VLOOKUP(CT$10,'VK-Põlevkivi'!$C:$X,2+$G72,0))+IF(CT$4="X",VLOOKUP(CT$10,'VK-Võrgud'!$C:$X,2+$F72,0))</f>
        <v>90</v>
      </c>
      <c r="CU72" s="209">
        <f>IF(CU$7="X",VLOOKUP(CU$10,'VK-Hooned-Soojus'!$C:$X,2+$C72,FALSE),0)+IF(CU$6="X",VLOOKUP(CU$10,'VK-Transport'!$C:$X,2+$B72,0))+IF(CU$8="X",VLOOKUP(CU$10,'VK-Elekter'!$C:$X,2+$D72,0))+IF(CU$9="X",VLOOKUP(CU$10,'VK-Biokütused'!$C:$U,2+$E72,0))+IF(CU$5="X",VLOOKUP(CU$10,'VK-Põlevkivi'!$C:$X,2+$G72,0))+IF(CU$4="X",VLOOKUP(CU$10,'VK-Võrgud'!$C:$X,2+$F72,0))</f>
        <v>0.72088353413654627</v>
      </c>
      <c r="CV72" s="209">
        <f t="shared" si="37"/>
        <v>0.84317482403548605</v>
      </c>
      <c r="CW72" s="209">
        <f>(IF(CW$7="X",VLOOKUP(CW$10,'VK-Hooned-Soojus'!$C:$X,2+$C72,FALSE),0)+IF(CW$6="X",VLOOKUP(CW$10,'VK-Transport'!$C:$X,2+$B72,0))+IF(CW$8="X",VLOOKUP(CW$10,'VK-Elekter'!$C:$X,2+$D72,0))+IF(CW$9="X",VLOOKUP(CW$10,'VK-Biokütused'!$C:$U,2+$E72,0))+IF(CW$5="X",VLOOKUP(CW$10,'VK-Põlevkivi'!$C:$X,2+$G72,0))+IF(CW$4="X",VLOOKUP(CW$10,'VK-Võrgud'!$C:$X,2+$F72,0)))/16</f>
        <v>59.743749999999999</v>
      </c>
      <c r="CY72" s="209">
        <f>(IF(CY$7="X",VLOOKUP(CY$10,'VK-Hooned-Soojus'!$C:$X,2+$C72,FALSE),0)+IF(CY$6="X",VLOOKUP(CY$10,'VK-Transport'!$C:$X,2+$B72,0))+IF(CY$8="X",VLOOKUP(CY$10,'VK-Elekter'!$C:$X,2+$D72,0))+IF(CY$9="X",VLOOKUP(CY$10,'VK-Biokütused'!$C:$U,2+$E72,0))+IF(CY$5="X",VLOOKUP(CY$10,'VK-Põlevkivi'!$C:$X,2+$G72,0))+IF(CY$4="X",VLOOKUP(CY$10,'VK-Võrgud'!$C:$X,2+$F72,0)))/1000</f>
        <v>10.433</v>
      </c>
      <c r="CZ72" s="209">
        <f>(IF(CZ$7="X",VLOOKUP(CZ$10,'VK-Hooned-Soojus'!$C:$X,2+$C72,FALSE),0)+IF(CZ$6="X",VLOOKUP(CZ$10,'VK-Transport'!$C:$X,2+$B72,0))+IF(CZ$8="X",VLOOKUP(CZ$10,'VK-Elekter'!$C:$X,2+$D72,0))+IF(CZ$9="X",VLOOKUP(CZ$10,'VK-Biokütused'!$C:$U,2+$E72,0))+IF(CZ$5="X",VLOOKUP(CZ$10,'VK-Põlevkivi'!$C:$X,2+$G72,0))+IF(CZ$4="X",VLOOKUP(CZ$10,'VK-Võrgud'!$C:$X,2+$F72,0)))</f>
        <v>68.400000000000006</v>
      </c>
      <c r="DA72" s="209">
        <f>(IF(DA$7="X",VLOOKUP(DA$10,'VK-Hooned-Soojus'!$C:$X,2+$C72,FALSE),0)+IF(DA$6="X",VLOOKUP(DA$10,'VK-Transport'!$C:$X,2+$B72,0))+IF(DA$8="X",VLOOKUP(DA$10,'VK-Elekter'!$C:$X,2+$D72,0))+IF(DA$9="X",VLOOKUP(DA$10,'VK-Biokütused'!$C:$U,2+$E72,0))+IF(DA$5="X",VLOOKUP(DA$10,'VK-Põlevkivi'!$C:$X,2+$G72,0))+IF(DA$4="X",VLOOKUP(DA$10,'VK-Võrgud'!$C:$X,2+$F72,0)))/1000</f>
        <v>14.109</v>
      </c>
      <c r="DB72" s="209">
        <f>(IF(DB$7="X",VLOOKUP(DB$10,'VK-Hooned-Soojus'!$C:$X,2+$C72,FALSE),0)+IF(DB$6="X",VLOOKUP(DB$10,'VK-Transport'!$C:$X,2+$B72,0))+IF(DB$8="X",VLOOKUP(DB$10,'VK-Elekter'!$C:$X,2+$D72,0))+IF(DB$9="X",VLOOKUP(DB$10,'VK-Biokütused'!$C:$U,2+$E72,0))+IF(DB$5="X",VLOOKUP(DB$10,'VK-Põlevkivi'!$C:$X,2+$G72,0))+IF(DB$4="X",VLOOKUP(DB$10,'VK-Võrgud'!$C:$X,2+$F72,0)))/1000/3.6</f>
        <v>62.807222222222222</v>
      </c>
      <c r="DC72" s="209">
        <f>(IF(DC$7="X",VLOOKUP(DC$10,'VK-Hooned-Soojus'!$C:$X,2+$C72,FALSE),0)+IF(DC$6="X",VLOOKUP(DC$10,'VK-Transport'!$C:$X,2+$B72,0))+IF(DC$8="X",VLOOKUP(DC$10,'VK-Elekter'!$C:$X,2+$D72,0))+IF(DC$9="X",VLOOKUP(DC$10,'VK-Biokütused'!$C:$U,2+$E72,0))+IF(DC$5="X",VLOOKUP(DC$10,'VK-Põlevkivi'!$C:$X,2+$G72,0))+IF(DC$4="X",VLOOKUP(DC$10,'VK-Võrgud'!$C:$X,2+$F72,0)))/1000000</f>
        <v>5.005452</v>
      </c>
      <c r="DD72" s="209"/>
      <c r="DE72" s="88">
        <f>VLOOKUP(Tulemused!$BN$12,data!M$7:N$12,2,FALSE)-SUM(L72,M72)</f>
        <v>-1.2238666666666731</v>
      </c>
      <c r="DF72" s="209" t="str">
        <f>IF(AZ72&lt;=VLOOKUP(Tulemused!$BN$15,data!$E$36:$F$39,2,FALSE),"JAH","EI")</f>
        <v>JAH</v>
      </c>
      <c r="DG72" s="209"/>
      <c r="DH72" s="209">
        <f t="shared" si="38"/>
        <v>6.28</v>
      </c>
      <c r="DI72" s="231" t="str">
        <f t="shared" si="17"/>
        <v>EI</v>
      </c>
      <c r="DK72" s="232">
        <f t="shared" si="39"/>
        <v>-996.03796021417281</v>
      </c>
      <c r="DM72" s="233">
        <f t="shared" si="40"/>
        <v>-994.46205973240342</v>
      </c>
      <c r="DN72" s="87">
        <f t="array" ref="DN72">INDEX($A$11:$A$145, SMALL(IF(DM72=$DK$11:$DK$145, MATCH(ROW($DK$11:$DK$145), ROW($DK$11:$DK$145))), SUM(--(DM72=$DM$11:DM72))))</f>
        <v>25</v>
      </c>
      <c r="DP72" s="87" t="e">
        <f t="shared" ca="1" si="18"/>
        <v>#N/A</v>
      </c>
      <c r="DQ72" s="87" t="e">
        <f t="shared" ca="1" si="19"/>
        <v>#N/A</v>
      </c>
      <c r="DR72" s="87">
        <f t="shared" ca="1" si="20"/>
        <v>0</v>
      </c>
      <c r="DS72" s="87" t="e">
        <f t="shared" ca="1" si="21"/>
        <v>#N/A</v>
      </c>
      <c r="DT72" s="87">
        <f t="shared" ca="1" si="22"/>
        <v>0</v>
      </c>
      <c r="DU72" s="87" t="e">
        <f t="shared" ca="1" si="23"/>
        <v>#N/A</v>
      </c>
      <c r="DV72" s="87" t="e">
        <f t="shared" ca="1" si="24"/>
        <v>#N/A</v>
      </c>
      <c r="DW72" s="87">
        <f t="shared" ca="1" si="25"/>
        <v>0</v>
      </c>
      <c r="DX72" s="87">
        <f t="shared" ca="1" si="26"/>
        <v>0</v>
      </c>
      <c r="DZ72" s="87">
        <f t="shared" ca="1" si="35"/>
        <v>0</v>
      </c>
      <c r="EB72" s="87">
        <f t="shared" ca="1" si="27"/>
        <v>0</v>
      </c>
      <c r="EC72" s="87" t="e">
        <f t="shared" ca="1" si="28"/>
        <v>#N/A</v>
      </c>
      <c r="EE72" s="228">
        <f>(IF(EE$7="X",VLOOKUP(EE$10,'VK-Hooned-Soojus'!$C:$X,2+$C72,FALSE),0)+IF(EE$6="X",VLOOKUP(EE$10,'VK-Transport'!$C:$X,2+$B72,0))+IF(EE$8="X",VLOOKUP(EE$10,'VK-Elekter'!$C:$X,2+$D72,0))+IF(EE$9="X",VLOOKUP(EE$10,'VK-Biokütused'!$C:$U,2+$E72,0))+IF(EE$5="X",VLOOKUP(EE$10,'VK-Põlevkivi'!$C:$X,2+$G72,0))+IF(EE$4="X",VLOOKUP(EE$10,'VK-Võrgud'!$C:$X,2+$F72,0)))</f>
        <v>6056.3666573135042</v>
      </c>
      <c r="EF72" s="235">
        <f>(IF(EF$7="X",VLOOKUP(EF$10,'VK-Hooned-Soojus'!$C:$X,2+$C72,FALSE),0)+IF(EF$6="X",VLOOKUP(EF$10,'VK-Transport'!$C:$X,2+$B72,0))+IF(EF$8="X",VLOOKUP(EF$10,'VK-Elekter'!$C:$X,2+$D72,0))+IF(EF$9="X",VLOOKUP(EF$10,'VK-Biokütused'!$C:$U,2+$E72,0)))/1000</f>
        <v>4.3433823271229706</v>
      </c>
      <c r="EG72" s="209">
        <f>(IF(EG$7="X",VLOOKUP(EG$10,'VK-Hooned-Soojus'!$C:$X,2+$C72,FALSE),0)+IF(EG$6="X",VLOOKUP(EG$10,'VK-Transport'!$C:$X,2+$B72,0))+IF(EG$8="X",VLOOKUP(EG$10,'VK-Elekter'!$C:$X,2+$D72,0))+IF(EG$9="X",VLOOKUP(EG$10,'VK-Biokütused'!$C:$U,2+$E72,0))+IF(EG$5="X",VLOOKUP(EG$10,'VK-Põlevkivi'!$C:$X,2+$G72,0))+IF(EG$4="X",VLOOKUP(EG$10,'VK-Võrgud'!$C:$X,2+$F72,0)))</f>
        <v>0.81</v>
      </c>
      <c r="EH72" s="209">
        <f>(IF(EH$7="X",VLOOKUP(EH$10,'VK-Hooned-Soojus'!$C:$X,2+$C72,FALSE),0)+IF(EH$6="X",VLOOKUP(EH$10,'VK-Transport'!$C:$X,2+$B72,0))+IF(EH$8="X",VLOOKUP(EH$10,'VK-Elekter'!$C:$X,2+$D72,0))+IF(EH$9="X",VLOOKUP(EH$10,'VK-Biokütused'!$C:$U,2+$E72,0)))+AR72+AS72+AU72+AX72</f>
        <v>53.879667065771862</v>
      </c>
      <c r="EI72" s="320">
        <f t="shared" si="41"/>
        <v>48.28067829457364</v>
      </c>
      <c r="EJ72" s="322">
        <f t="shared" si="42"/>
        <v>2.2545055318885739E-2</v>
      </c>
      <c r="EK72" s="323">
        <f t="shared" si="29"/>
        <v>0.39192627065295316</v>
      </c>
      <c r="EM72" s="209"/>
      <c r="EN72" s="209">
        <f t="shared" ca="1" si="43"/>
        <v>0</v>
      </c>
      <c r="EO72" s="209"/>
      <c r="EP72" s="234"/>
      <c r="EQ72" s="209">
        <f>(IF(EQ$7="X",VLOOKUP(EQ$10,'VK-Hooned-Soojus'!$C:$X,2+$C72,FALSE),0)+IF(EQ$6="X",VLOOKUP(EQ$10,'VK-Transport'!$C:$X,2+$B72,0))+IF(EQ$8="X",VLOOKUP(EQ$10,'VK-Elekter'!$C:$X,2+$D72,0))+IF(EQ$9="X",VLOOKUP(EQ$10,'VK-Biokütused'!$C:$U,2+$E72,0))+IF(EQ$5="X",VLOOKUP(EQ$10,'VK-Põlevkivi'!$C:$X,2+$G72,0))+IF(EQ$4="X",VLOOKUP(EQ$10,'VK-Võrgud'!$C:$X,2+$F72,0)))/1000</f>
        <v>0.21099999999999999</v>
      </c>
      <c r="ER72" s="209">
        <f>(IF(ER$7="X",VLOOKUP(ER$10,'VK-Hooned-Soojus'!$C:$X,2+$C72,FALSE),0)+IF(ER$6="X",VLOOKUP(ER$10,'VK-Transport'!$C:$X,2+$B72,0))+IF(ER$8="X",VLOOKUP(ER$10,'VK-Elekter'!$C:$X,2+$D72,0))+IF(ER$9="X",VLOOKUP(ER$10,'VK-Biokütused'!$C:$U,2+$E72,0))+IF(ER$5="X",VLOOKUP(ER$10,'VK-Põlevkivi'!$C:$X,2+$G72,0))+IF(ER$4="X",VLOOKUP(ER$10,'VK-Võrgud'!$C:$X,2+$F72,0)))</f>
        <v>0.76300000000000001</v>
      </c>
      <c r="ES72" s="209">
        <f>(IF(ES$7="X",VLOOKUP(ES$10,'VK-Hooned-Soojus'!$C:$X,2+$C72,FALSE),0)+IF(ES$6="X",VLOOKUP(ES$10,'VK-Transport'!$C:$X,2+$B72,0))+IF(ES$8="X",VLOOKUP(ES$10,'VK-Elekter'!$C:$X,2+$D72,0))+IF(ES$9="X",VLOOKUP(ES$10,'VK-Biokütused'!$C:$U,2+$E72,0))+IF(ES$5="X",VLOOKUP(ES$10,'VK-Põlevkivi'!$C:$X,2+$G72,0))+IF(ES$4="X",VLOOKUP(ES$10,'VK-Võrgud'!$C:$X,2+$F72,0)))</f>
        <v>6.28</v>
      </c>
      <c r="ET72" s="209"/>
      <c r="EU72" s="209"/>
      <c r="EV72" s="87">
        <f>'KSH järjestus'!AS65</f>
        <v>1543</v>
      </c>
      <c r="EX72" s="236"/>
      <c r="EY72" s="236"/>
      <c r="EZ72" s="237">
        <f t="shared" si="44"/>
        <v>0.27911646586345373</v>
      </c>
      <c r="FA72" s="209">
        <f>IF(FA$7="X",VLOOKUP(FA$10,'VK-Hooned-Soojus'!$C:$X,2+$C72,FALSE),0)+IF(FA$6="X",VLOOKUP(FA$10,'VK-Transport'!$C:$X,2+$B72,0))+IF(FA$8="X",VLOOKUP(FA$10,'VK-Elekter'!$C:$X,2+$D72,0))+IF(FA$9="X",VLOOKUP(FA$10,'VK-Biokütused'!$C:$U,2+$E72,0))+IF(FA$5="X",VLOOKUP(FA$10,'VK-Põlevkivi'!$C:$X,2+$G72,0))+IF(FA$4="X",VLOOKUP(FA$10,'VK-Võrgud'!$C:$X,2+$F72,0))</f>
        <v>3223.346</v>
      </c>
      <c r="FB72" s="279">
        <f>(IF(FB$7="X",VLOOKUP(FB$10,'VK-Hooned-Soojus'!$C:$X,2+$C72,FALSE),0)+IF(FB$6="X",VLOOKUP(FB$10,'VK-Transport'!$C:$X,2+$B72,0))+IF(FB$8="X",VLOOKUP(FB$10,'VK-Elekter'!$C:$X,2+$D72,0))+IF(FB$9="X",VLOOKUP(FB$10,'VK-Biokütused'!$C:$U,2+$E72,0))+IF(FB$5="X",VLOOKUP(FB$10,'VK-Põlevkivi'!$C:$X,2+$G72,0))+IF(FB$4="X",VLOOKUP(FB$10,'VK-Võrgud'!$C:$X,2+$F72,0)))/16</f>
        <v>348.76204481621113</v>
      </c>
      <c r="FC72" s="209">
        <f>IF(FC$7="X",VLOOKUP(FC$10,'VK-Hooned-Soojus'!$C:$X,2+$C72,FALSE),0)+IF(FC$6="X",VLOOKUP(FC$10,'VK-Transport'!$C:$X,2+$B72,0))+IF(FC$8="X",VLOOKUP(FC$10,'VK-Elekter'!$C:$X,2+$D72,0))+IF(FC$9="X",VLOOKUP(FC$10,'VK-Biokütused'!$C:$U,2+$E72,0))+IF(FC$5="X",VLOOKUP(FC$10,'VK-Põlevkivi'!$C:$X,2+$G72,0))+IF(FC$4="X",VLOOKUP(FC$10,'VK-Võrgud'!$C:$X,2+$F72,0))</f>
        <v>306.45</v>
      </c>
      <c r="FD72" s="209">
        <f>(IF(FD$7="X",VLOOKUP(FD$10,'VK-Hooned-Soojus'!$C:$X,2+$C72,FALSE),0)+IF(FD$6="X",VLOOKUP(FD$10,'VK-Transport'!$C:$X,2+$B72,0))+IF(FD$8="X",VLOOKUP(FD$10,'VK-Elekter'!$C:$X,2+$D72,0))+IF(FD$9="X",VLOOKUP(FD$10,'VK-Biokütused'!$C:$U,2+$E72,0))+IF(FD$5="X",VLOOKUP(FD$10,'VK-Põlevkivi'!$C:$X,2+$G72,0))+IF(FD$4="X",VLOOKUP(FD$10,'VK-Võrgud'!$C:$X,2+$F72,0)))/16</f>
        <v>348.76204481621113</v>
      </c>
      <c r="FE72" s="209">
        <f>(IF(FE$7="X",VLOOKUP(FE$10,'VK-Hooned-Soojus'!$C:$X,2+$C72,FALSE),0)+IF(FE$6="X",VLOOKUP(FE$10,'VK-Transport'!$C:$X,2+$B72,0))+IF(FE$8="X",VLOOKUP(FE$10,'VK-Elekter'!$C:$X,2+$D72,0))+IF(FE$9="X",VLOOKUP(FE$10,'VK-Biokütused'!$C:$U,2+$E72,0))+IF(FE$5="X",VLOOKUP(FE$10,'VK-Põlevkivi'!$C:$X,2+$G72,0))+IF(FE$4="X",VLOOKUP(FE$10,'VK-Võrgud'!$C:$X,2+$F72,0)))/16</f>
        <v>-77.074469880632108</v>
      </c>
      <c r="FF72" s="209">
        <f>(IF(FF$7="X",VLOOKUP(FF$10,'VK-Hooned-Soojus'!$C:$X,2+$C72,FALSE),0)+IF(FF$6="X",VLOOKUP(FF$10,'VK-Transport'!$C:$X,2+$B72,0))+IF(FF$8="X",VLOOKUP(FF$10,'VK-Elekter'!$C:$X,2+$D72,0))+IF(FF$9="X",VLOOKUP(FF$10,'VK-Biokütused'!$C:$U,2+$E72,0))+IF(FF$5="X",VLOOKUP(FF$10,'VK-Põlevkivi'!$C:$X,2+$G72,0))+IF(FF$4="X",VLOOKUP(FF$10,'VK-Võrgud'!$C:$X,2+$F72,0)))/16</f>
        <v>139.82482305255698</v>
      </c>
      <c r="FG72" s="88">
        <f t="shared" ca="1" si="30"/>
        <v>62.750353171924871</v>
      </c>
      <c r="FH72" s="88"/>
      <c r="FI72" s="88"/>
      <c r="FJ72" s="88">
        <f>VLOOKUP(Tulemused!$BN$12,data!M$7:N$12,2,FALSE)-SUM(L72,M72)</f>
        <v>-1.2238666666666731</v>
      </c>
      <c r="FK72" s="209" t="str">
        <f>IF(AZ72&lt;=VLOOKUP(Tulemused!$BN$15,data!$E$36:$F$39,2,FALSE),"JAH","EI")</f>
        <v>JAH</v>
      </c>
      <c r="FL72" s="235">
        <f ca="1">IF(ISNA(MATCH($A72,INDIRECT(VLOOKUP(Tulemused!$BF$11,data!$J$57:$M$71,4,FALSE)))),0,MATCH($A72,INDIRECT(VLOOKUP(Tulemused!$BF$11,data!$J$57:$M$71,4,FALSE))))</f>
        <v>0</v>
      </c>
      <c r="FM72" s="235" t="str">
        <f t="shared" ca="1" si="45"/>
        <v>JAH</v>
      </c>
      <c r="FN72" s="209">
        <f>VLOOKUP(Tulemused!$BN$13,data!$C$132:$D$137,2,FALSE)-KOMBI!R72</f>
        <v>3.3100876728770303</v>
      </c>
      <c r="FO72" s="209"/>
      <c r="FP72" s="209">
        <f>VLOOKUP(Tulemused!$BN$17,NO_x,2,FALSE)-CJ72</f>
        <v>11.259</v>
      </c>
      <c r="FQ72" s="209">
        <f>VLOOKUP(Tulemused!$BN$18,SO_2,2,FALSE)-CK72</f>
        <v>40.010256790007283</v>
      </c>
      <c r="FR72" s="209">
        <f>VLOOKUP(Tulemused!$BN$19,LOU,2,FALSE)-CN72</f>
        <v>34.087000000000003</v>
      </c>
      <c r="FS72" s="209">
        <f>VLOOKUP(Tulemused!$BN$20,PM_2.5,2,FALSE)-CM72</f>
        <v>9.1419999999999995</v>
      </c>
      <c r="FT72" s="209">
        <f>VLOOKUP(Tulemused!$BN$13,data!$C$132:$D$137,2,FALSE)-FA72/1000</f>
        <v>3.0226240000000009</v>
      </c>
      <c r="FU72" s="209">
        <f>VLOOKUP(Tulemused!$BN$17,NO_x,2,FALSE)-CO72</f>
        <v>5.4284247892027189</v>
      </c>
      <c r="FV72" s="209">
        <f>VLOOKUP(Tulemused!$BN$18,SO_2,2,FALSE)-CP72</f>
        <v>38.442005169650173</v>
      </c>
      <c r="FW72" s="209">
        <f>VLOOKUP(Tulemused!$BN$19,LOU,2,FALSE)-CS72</f>
        <v>33.235665509940176</v>
      </c>
      <c r="FX72" s="209">
        <f>VLOOKUP(Tulemused!$BN$20,PM_2.5,2,FALSE)-CR72</f>
        <v>9.0509127215424243</v>
      </c>
      <c r="FY72" s="209">
        <f>VLOOKUP(Tulemused!$BN$14,KHG_2050,2,FALSE)-EF72</f>
        <v>95.656617672877033</v>
      </c>
      <c r="FZ72" s="231" t="str">
        <f t="shared" ca="1" si="31"/>
        <v>EI</v>
      </c>
      <c r="GA72" s="209"/>
      <c r="GB72" s="209"/>
      <c r="GC72" s="209"/>
      <c r="GD72" s="231"/>
      <c r="GE72" s="87">
        <f t="shared" si="46"/>
        <v>1543</v>
      </c>
      <c r="GF72" s="232" t="str">
        <f t="shared" ca="1" si="32"/>
        <v/>
      </c>
      <c r="GH72" s="238" t="e">
        <f t="shared" ca="1" si="47"/>
        <v>#NUM!</v>
      </c>
      <c r="GI72" s="87" t="e">
        <f t="array" aca="1" ref="GI72" ca="1">INDEX($A$11:$A$145, SMALL(IF(GH72=$GF$11:$GF$145, MATCH(ROW($GF$11:$GF$145), ROW($GF$11:$GF$145))), SUM(--(GH72=$GH$11:GH72))))</f>
        <v>#NUM!</v>
      </c>
      <c r="GM72" s="209">
        <f>IF(GM$7="X",VLOOKUP(GM$10,'VK-Hooned-Soojus'!$C:$X,2+$C72,FALSE),0)+IF(GM$6="X",VLOOKUP(GM$10,'VK-Transport'!$C:$X,2+$B72,0))+IF(GM$8="X",VLOOKUP(GM$10,'VK-Elekter'!$C:$X,2+$D72,0))+IF(GM$9="X",VLOOKUP(GM$10,'VK-Biokütused'!$C:$U,2+$E72,0))+IF(GM$5="X",VLOOKUP(GM$10,'VK-Põlevkivi'!$C:$X,2+$G72,0))+IF(GM$4="X",VLOOKUP(GM$10,'VK-Võrgud'!$C:$X,2+$F72,0))</f>
        <v>6.012827991027228</v>
      </c>
      <c r="GN72" s="209">
        <f>IF(GN$7="X",VLOOKUP(GN$10,'VK-Hooned-Soojus'!$C:$X,2+$C72,FALSE),0)+IF(GN$6="X",VLOOKUP(GN$10,'VK-Transport'!$C:$X,2+$B72,0))+IF(GN$8="X",VLOOKUP(GN$10,'VK-Elekter'!$C:$X,2+$D72,0))+IF(GN$9="X",VLOOKUP(GN$10,'VK-Biokütused'!$C:$U,2+$E72,0))+IF(GN$5="X",VLOOKUP(GN$10,'VK-Põlevkivi'!$C:$X,2+$G72,0))+IF(GN$4="X",VLOOKUP(GN$10,'VK-Võrgud'!$C:$X,2+$F72,0))</f>
        <v>3.4467619395011728</v>
      </c>
      <c r="GO72" s="209">
        <f>IF(GO$7="X",VLOOKUP(GO$10,'VK-Hooned-Soojus'!$C:$X,2+$C72,FALSE),0)+IF(GO$6="X",VLOOKUP(GO$10,'VK-Transport'!$C:$X,2+$B72,0))+IF(GO$8="X",VLOOKUP(GO$10,'VK-Elekter'!$C:$X,2+$D72,0))+IF(GO$9="X",VLOOKUP(GO$10,'VK-Biokütused'!$C:$U,2+$E72,0))+IF(GO$5="X",VLOOKUP(GO$10,'VK-Põlevkivi'!$C:$X,2+$G72,0))+IF(GO$4="X",VLOOKUP(GO$10,'VK-Võrgud'!$C:$X,2+$F72,0))</f>
        <v>7.936370010272257</v>
      </c>
      <c r="GP72" s="209">
        <f>IF(GP$7="X",VLOOKUP(GP$10,'VK-Hooned-Soojus'!$C:$X,2+$C72,FALSE),0)+IF(GP$6="X",VLOOKUP(GP$10,'VK-Transport'!$C:$X,2+$B72,0))+IF(GP$8="X",VLOOKUP(GP$10,'VK-Elekter'!$C:$X,2+$D72,0))+IF(GP$9="X",VLOOKUP(GP$10,'VK-Biokütused'!$C:$U,2+$E72,0))+IF(GP$5="X",VLOOKUP(GP$10,'VK-Põlevkivi'!$C:$X,2+$G72,0))+IF(GP$4="X",VLOOKUP(GP$10,'VK-Võrgud'!$C:$X,2+$F72,0))</f>
        <v>9.1527946929596489</v>
      </c>
      <c r="GQ72" s="88">
        <f>IF(GQ$7="X",VLOOKUP(GQ$10,'VK-Hooned-Soojus'!$C:$X,2+$C72,FALSE),0)+IF(GQ$6="X",VLOOKUP(GQ$10,'VK-Transport'!$C:$X,2+$B72,0))+IF(GQ$8="X",VLOOKUP(GQ$10,'VK-Elekter'!$C:$X,2+$D72,0))+IF(GQ$9="X",VLOOKUP(GQ$10,'VK-Biokütused'!$C:$U,2+$E72,0))+IF(GQ$5="X",VLOOKUP(GQ$10,'VK-Põlevkivi'!$C:$X,2+$G72,0))+IF(GQ$4="X",VLOOKUP(GQ$10,'VK-Võrgud'!$C:$X,2+$F72,0))</f>
        <v>0.90618397335647782</v>
      </c>
      <c r="GR72" s="186">
        <f t="shared" si="33"/>
        <v>0.39656672034307427</v>
      </c>
    </row>
    <row r="73" spans="1:200" x14ac:dyDescent="0.2">
      <c r="A73" s="184">
        <v>63</v>
      </c>
      <c r="B73" s="87">
        <v>2</v>
      </c>
      <c r="C73" s="87">
        <v>2</v>
      </c>
      <c r="D73" s="87">
        <v>1</v>
      </c>
      <c r="E73" s="87">
        <v>3</v>
      </c>
      <c r="F73" s="87">
        <f>VLOOKUP(Tulemused!$BF$7,data!$J$6:$K$8,2,FALSE)</f>
        <v>2</v>
      </c>
      <c r="G73" s="87">
        <f>VLOOKUP(data!$H$2,data!$J$12:$K$14,2,FALSE)</f>
        <v>2</v>
      </c>
      <c r="I73" s="209">
        <f>IF(I$7="X",VLOOKUP(I$10,'VK-Hooned-Soojus'!$C:$X,2+$C73,FALSE),0)+IF(I$6="X",VLOOKUP(I$10,'VK-Transport'!$C:$X,2+$B73,0))+IF(I$8="X",VLOOKUP(I$10,'VK-Elekter'!$C:$X,2+$D73,0))+IF(I$9="X",VLOOKUP(I$10,'VK-Biokütused'!$C:$U,2+$E73,0))+IF(I$5="X",VLOOKUP(I$10,'VK-Põlevkivi'!$C:$X,2+$G73,0))+IF(I$4="X",VLOOKUP(I$10,'VK-Võrgud'!$C:$X,2+$F73,0))</f>
        <v>24.79</v>
      </c>
      <c r="J73" s="209">
        <f>IF(J$7="X",VLOOKUP(J$10,'VK-Hooned-Soojus'!$C:$X,2+$C73,FALSE),0)+IF(J$6="X",VLOOKUP(J$10,'VK-Transport'!$C:$X,2+$B73,0))+IF(J$8="X",VLOOKUP(J$10,'VK-Elekter'!$C:$X,2+$D73,0))+IF(J$9="X",VLOOKUP(J$10,'VK-Biokütused'!$C:$U,2+$E73,0))+IF(J$5="X",VLOOKUP(J$10,'VK-Põlevkivi'!$C:$X,2+$G73,0))+IF(J$4="X",VLOOKUP(J$10,'VK-Võrgud'!$C:$X,2+$F73,0))</f>
        <v>11.138055555555555</v>
      </c>
      <c r="K73" s="209">
        <f>IF(K$7="X",VLOOKUP(K$10,'VK-Hooned-Soojus'!$C:$X,2+$C73,FALSE),0)+IF(K$6="X",VLOOKUP(K$10,'VK-Transport'!$C:$X,2+$B73,0))+IF(K$8="X",VLOOKUP(K$10,'VK-Elekter'!$C:$X,2+$D73,0))+IF(K$9="X",VLOOKUP(K$10,'VK-Biokütused'!$C:$U,2+$E73,0))+IF(K$5="X",VLOOKUP(K$10,'VK-Põlevkivi'!$C:$X,2+$G73,0))+IF(K$4="X",VLOOKUP(K$10,'VK-Võrgud'!$C:$X,2+$F73,0))</f>
        <v>15.27</v>
      </c>
      <c r="L73" s="209">
        <f>IF(L$7="X",VLOOKUP(L$10,'VK-Hooned-Soojus'!$C:$X,2+$C73,FALSE),0)+IF(L$6="X",VLOOKUP(L$10,'VK-Transport'!$C:$X,2+$B73,0))+IF(L$8="X",VLOOKUP(L$10,'VK-Elekter'!$C:$X,2+$D73,0))+IF(L$9="X",VLOOKUP(L$10,'VK-Biokütused'!$C:$U,2+$E73,0))+IF(L$5="X",VLOOKUP(L$10,'VK-Põlevkivi'!$C:$X,2+$G73,0))+IF(L$4="X",VLOOKUP(L$10,'VK-Võrgud'!$C:$X,2+$F73,0))</f>
        <v>24.2</v>
      </c>
      <c r="M73" s="209">
        <f>IF(M$7="X",VLOOKUP(M$10,'VK-Hooned-Soojus'!$C:$X,2+$C73,FALSE),0)+IF(M$6="X",VLOOKUP(M$10,'VK-Transport'!$C:$X,2+$B73,0))+IF(M$8="X",VLOOKUP(M$10,'VK-Elekter'!$C:$X,2+$D73,0))+IF(M$9="X",VLOOKUP(M$10,'VK-Biokütused'!$C:$U,2+$E73,0))+IF(M$5="X",VLOOKUP(M$10,'VK-Põlevkivi'!$C:$X,2+$G73,0))+IF(M$4="X",VLOOKUP(M$10,'VK-Võrgud'!$C:$X,2+$F73,0))</f>
        <v>9.8566666666666674</v>
      </c>
      <c r="N73" s="209">
        <f>IF(N$7="X",VLOOKUP(N$10,'VK-Hooned-Soojus'!$C:$X,2+$C73,FALSE),0)+IF(N$6="X",VLOOKUP(N$10,'VK-Transport'!$C:$X,2+$B73,0))+IF(N$8="X",VLOOKUP(N$10,'VK-Elekter'!$C:$X,2+$D73,0))+IF(N$9="X",VLOOKUP(N$10,'VK-Biokütused'!$C:$U,2+$E73,0))+IF(N$5="X",VLOOKUP(N$10,'VK-Põlevkivi'!$C:$X,2+$G73,0))+IF(N$4="X",VLOOKUP(N$10,'VK-Võrgud'!$C:$X,2+$F73,0))</f>
        <v>16.09</v>
      </c>
      <c r="O73" s="209">
        <f t="shared" si="13"/>
        <v>35.928055555555552</v>
      </c>
      <c r="P73" s="209"/>
      <c r="Q73" s="209">
        <f>(IF(Q$7="X",VLOOKUP(Q$10,'VK-Hooned-Soojus'!$C:$X,2+$C73,FALSE),0)+IF(Q$6="X",VLOOKUP(Q$10,'VK-Transport'!$C:$X,2+$B73,0))+IF(Q$8="X",VLOOKUP(Q$10,'VK-Elekter'!$C:$X,2+$D73,0))+IF(Q$9="X",VLOOKUP(Q$10,'VK-Biokütused'!$C:$U,2+$E73,0))+IF(Q$5="X",VLOOKUP(Q$10,'VK-Põlevkivi'!$C:$X,2+$G73,0))+IF(Q$4="X",VLOOKUP(Q$10,'VK-Võrgud'!$C:$X,2+$F73,0)))/1000</f>
        <v>5.0659999999999998</v>
      </c>
      <c r="R73" s="209">
        <f>(IF(R$7="X",VLOOKUP(R$10,'VK-Hooned-Soojus'!$C:$X,2+$C73,FALSE),0)+IF(R$6="X",VLOOKUP(R$10,'VK-Transport'!$C:$X,2+$B73,0))+IF(R$8="X",VLOOKUP(R$10,'VK-Elekter'!$C:$X,2+$D73,0))+IF(R$9="X",VLOOKUP(R$10,'VK-Biokütused'!$C:$U,2+$E73,0))+IF(R$5="X",VLOOKUP(R$10,'VK-Põlevkivi'!$C:$X,2+$G73,0))+IF(R$4="X",VLOOKUP(R$10,'VK-Võrgud'!$C:$X,2+$F73,0)))/1000</f>
        <v>3.1445823271229703</v>
      </c>
      <c r="S73" s="226">
        <f>VLOOKUP(S$10,'VK-Hooned-Soojus'!$C:$I,2+$C73,FALSE) + VLOOKUP(S$10,'VK-Transport'!$C:$I,2+$B73,FALSE)+ VLOOKUP(S$10,'VK-Biokütused'!$C:$G,2+$E73,FALSE)+ VLOOKUP(S$10,'VK-Elekter'!$C:$I,2+$D73,FALSE)+ VLOOKUP(S$10,'VK-Põlevkivi'!$C:$I,2+$G73,FALSE)+ VLOOKUP(S$10,'VK-Võrgud'!$C:$I,2+$F73,FALSE)</f>
        <v>1.8335951999179888E-2</v>
      </c>
      <c r="T73" s="226">
        <f>VLOOKUP(T$10,'VK-Hooned-Soojus'!$C:$I,2+$C73,FALSE) + VLOOKUP(T$10,'VK-Transport'!$C:$I,2+$B73,FALSE)+ VLOOKUP(T$10,'VK-Biokütused'!$C:$G,2+$E73,FALSE)+ VLOOKUP(T$10,'VK-Elekter'!$C:$I,2+$D73,FALSE)+ VLOOKUP(T$10,'VK-Põlevkivi'!$C:$I,2+$G73,FALSE)+ VLOOKUP(T$10,'VK-Võrgud'!$C:$I,2+$F73,FALSE)</f>
        <v>-5.8858465358161468E-4</v>
      </c>
      <c r="U73" s="226">
        <f>VLOOKUP(U$10,'VK-Hooned-Soojus'!$C:$I,2+$C73,FALSE) + VLOOKUP(U$10,'VK-Transport'!$C:$I,2+$B73,FALSE)+ VLOOKUP(U$10,'VK-Biokütused'!$C:$G,2+$E73,FALSE)+ VLOOKUP(U$10,'VK-Elekter'!$C:$I,2+$D73,FALSE)+ VLOOKUP(U$10,'VK-Põlevkivi'!$C:$I,2+$G73,FALSE)+ VLOOKUP(U$10,'VK-Võrgud'!$C:$I,2+$F73,FALSE)</f>
        <v>4.906945322161349E-3</v>
      </c>
      <c r="V73" s="226">
        <f>VLOOKUP(V$10,'VK-Hooned-Soojus'!$C:$I,2+$C73,FALSE) + VLOOKUP(V$10,'VK-Transport'!$C:$I,2+$B73,FALSE)+ VLOOKUP(V$10,'VK-Biokütused'!$C:$G,2+$E73,FALSE)+ VLOOKUP(V$10,'VK-Elekter'!$C:$I,2+$D73,FALSE)+ VLOOKUP(V$10,'VK-Põlevkivi'!$C:$I,2+$G73,FALSE)+ VLOOKUP(V$10,'VK-Võrgud'!$C:$I,2+$F73,FALSE)</f>
        <v>1.3562765284499992E-2</v>
      </c>
      <c r="W73" s="226">
        <f>VLOOKUP(W$10,'VK-Hooned-Soojus'!$C:$I,2+$C73,FALSE) + VLOOKUP(W$10,'VK-Transport'!$C:$I,2+$B73,FALSE)+ VLOOKUP(W$10,'VK-Biokütused'!$C:$G,2+$E73,FALSE)+ VLOOKUP(W$10,'VK-Elekter'!$C:$I,2+$D73,FALSE)+ VLOOKUP(W$10,'VK-Põlevkivi'!$C:$I,2+$G73,FALSE)+ VLOOKUP(W$10,'VK-Võrgud'!$C:$I,2+$F73,FALSE)</f>
        <v>-2.0391824959996658E-2</v>
      </c>
      <c r="X73" s="226">
        <f>VLOOKUP(X$10,'VK-Hooned-Soojus'!$C:$I,2+$C73,FALSE) + VLOOKUP(X$10,'VK-Transport'!$C:$I,2+$B73,FALSE)+ VLOOKUP(X$10,'VK-Biokütused'!$C:$G,2+$E73,FALSE)+ VLOOKUP(X$10,'VK-Elekter'!$C:$I,2+$D73,FALSE)+ VLOOKUP(X$10,'VK-Põlevkivi'!$C:$I,2+$G73,FALSE)+ VLOOKUP(X$10,'VK-Võrgud'!$C:$I,2+$F73,FALSE)</f>
        <v>-2.9175866020729864E-2</v>
      </c>
      <c r="Y73" s="226">
        <f>VLOOKUP(Y$10,'VK-Hooned-Soojus'!$C:$I,2+$C73,FALSE) + VLOOKUP(Y$10,'VK-Transport'!$C:$I,2+$B73,FALSE)+ VLOOKUP(Y$10,'VK-Biokütused'!$C:$G,2+$E73,FALSE)+ VLOOKUP(Y$10,'VK-Elekter'!$C:$I,2+$D73,FALSE)+ VLOOKUP(Y$10,'VK-Põlevkivi'!$C:$I,2+$G73,FALSE)+ VLOOKUP(Y$10,'VK-Võrgud'!$C:$I,2+$F73,FALSE)</f>
        <v>-4.1013828022263644E-2</v>
      </c>
      <c r="Z73" s="227">
        <f>(S73*Tulemused!$Q$9*10+T73*Tulemused!$Q$10*10+KOMBI!U73*Tulemused!$Q$11*10+KOMBI!V73*Tulemused!$Q$12*10)*Tulemused!$Q$8+-(W73*Tulemused!$Q$14*10+KOMBI!X73*Tulemused!$Q$15*10+KOMBI!Y73*Tulemused!$Q$16*10)*Tulemused!$Q$13</f>
        <v>4.8671395080687327</v>
      </c>
      <c r="AA73" s="228">
        <f>(IF(AA$7="X",VLOOKUP(AA$10,'VK-Hooned-Soojus'!$C:$X,2+$C73,FALSE),0)+IF(AA$6="X",VLOOKUP(AA$10,'VK-Transport'!$C:$X,2+$B73,0))+IF(AA$8="X",VLOOKUP(AA$10,'VK-Elekter'!$C:$X,2+$D73,0))+IF(AA$9="X",VLOOKUP(AA$10,'VK-Biokütused'!$C:$U,2+$E73,0))+IF(AA$5="X",VLOOKUP(AA$10,'VK-Põlevkivi'!$C:$X,2+$G73,0))+IF(AA$4="X",VLOOKUP(AA$10,'VK-Võrgud'!$C:$X,2+$F73,0)))</f>
        <v>3729</v>
      </c>
      <c r="AB73" s="228">
        <f>(IF(AB$7="X",VLOOKUP(AB$10,'VK-Hooned-Soojus'!$C:$X,2+$C73,FALSE),0)+IF(AB$6="X",VLOOKUP(AB$10,'VK-Transport'!$C:$X,2+$B73,0))+IF(AB$8="X",VLOOKUP(AB$10,'VK-Elekter'!$C:$X,2+$D73,0))+IF(AB$9="X",VLOOKUP(AB$10,'VK-Biokütused'!$C:$U,2+$E73,0))+IF(AB$5="X",VLOOKUP(AB$10,'VK-Põlevkivi'!$C:$X,2+$G73,0))+IF(AB$4="X",VLOOKUP(AB$10,'VK-Võrgud'!$C:$X,2+$F73,0)))</f>
        <v>1337</v>
      </c>
      <c r="AC73" s="228">
        <f>(IF(AC$7="X",VLOOKUP(AC$10,'VK-Hooned-Soojus'!$C:$X,2+$C73,FALSE),0)+IF(AC$6="X",VLOOKUP(AC$10,'VK-Transport'!$C:$X,2+$B73,0))+IF(AC$8="X",VLOOKUP(AC$10,'VK-Elekter'!$C:$X,2+$D73,0))+IF(AC$9="X",VLOOKUP(AC$10,'VK-Biokütused'!$C:$U,2+$E73,0))+IF(AC$5="X",VLOOKUP(AC$10,'VK-Põlevkivi'!$C:$X,2+$G73,0))+IF(AC$4="X",VLOOKUP(AC$10,'VK-Võrgud'!$C:$X,2+$F73,0)))</f>
        <v>2346</v>
      </c>
      <c r="AD73" s="228">
        <f>(IF(AD$7="X",VLOOKUP(AD$10,'VK-Hooned-Soojus'!$C:$X,2+$C73,FALSE),0)+IF(AD$6="X",VLOOKUP(AD$10,'VK-Transport'!$C:$X,2+$B73,0))+IF(AD$8="X",VLOOKUP(AD$10,'VK-Elekter'!$C:$X,2+$D73,0))+IF(AD$9="X",VLOOKUP(AD$10,'VK-Biokütused'!$C:$U,2+$E73,0))+IF(AD$5="X",VLOOKUP(AD$10,'VK-Põlevkivi'!$C:$X,2+$G73,0))+IF(AD$4="X",VLOOKUP(AD$10,'VK-Võrgud'!$C:$X,2+$F73,0)))</f>
        <v>586.20000000000005</v>
      </c>
      <c r="AE73" s="228">
        <f>(IF(AE$7="X",VLOOKUP(AE$10,'VK-Hooned-Soojus'!$C:$X,2+$C73,FALSE),0)+IF(AE$6="X",VLOOKUP(AE$10,'VK-Transport'!$C:$X,2+$B73,0))+IF(AE$8="X",VLOOKUP(AE$10,'VK-Elekter'!$C:$X,2+$D73,0))+IF(AE$9="X",VLOOKUP(AE$10,'VK-Biokütused'!$C:$U,2+$E73,0))+IF(AE$5="X",VLOOKUP(AE$10,'VK-Põlevkivi'!$C:$X,2+$G73,0))+IF(AE$4="X",VLOOKUP(AE$10,'VK-Võrgud'!$C:$X,2+$F73,0)))</f>
        <v>666</v>
      </c>
      <c r="AF73" s="228">
        <f>(IF(AF$7="X",VLOOKUP(AF$10,'VK-Hooned-Soojus'!$C:$X,2+$C73,FALSE),0)+IF(AF$6="X",VLOOKUP(AF$10,'VK-Transport'!$C:$X,2+$B73,0))+IF(AF$8="X",VLOOKUP(AF$10,'VK-Elekter'!$C:$X,2+$D73,0))+IF(AF$9="X",VLOOKUP(AF$10,'VK-Biokütused'!$C:$U,2+$E73,0))+IF(AF$5="X",VLOOKUP(AF$10,'VK-Põlevkivi'!$C:$X,2+$G73,0))+IF(AF$4="X",VLOOKUP(AF$10,'VK-Võrgud'!$C:$X,2+$F73,0)))</f>
        <v>1892.3823271229701</v>
      </c>
      <c r="AG73" s="209"/>
      <c r="AH73" s="209">
        <f>IF(AH$7="X",VLOOKUP(AH$10,'VK-Hooned-Soojus'!$C:$X,2+$C73,FALSE),0)+IF(AH$6="X",VLOOKUP(AH$10,'VK-Transport'!$C:$X,2+$B73,0))+IF(AH$8="X",VLOOKUP(AH$10,'VK-Elekter'!$C:$X,2+$D73,0))+IF(AH$9="X",VLOOKUP(AH$10,'VK-Biokütused'!$C:$U,2+$E73,0))+IF(AH$5="X",VLOOKUP(AH$10,'VK-Põlevkivi'!$C:$X,2+$G73,0))+IF(AH$4="X",VLOOKUP(AH$10,'VK-Võrgud'!$C:$X,2+$F73,0))</f>
        <v>11.629999999999999</v>
      </c>
      <c r="AI73" s="209">
        <f>IF(AI$7="X",VLOOKUP(AI$10,'VK-Hooned-Soojus'!$C:$X,2+$C73,FALSE),0)+IF(AI$6="X",VLOOKUP(AI$10,'VK-Transport'!$C:$X,2+$B73,0))+IF(AI$8="X",VLOOKUP(AI$10,'VK-Elekter'!$C:$X,2+$D73,0))+IF(AI$9="X",VLOOKUP(AI$10,'VK-Biokütused'!$C:$U,2+$E73,0))+IF(AI$5="X",VLOOKUP(AI$10,'VK-Põlevkivi'!$C:$X,2+$G73,0))+IF(AI$4="X",VLOOKUP(AI$10,'VK-Võrgud'!$C:$X,2+$F73,0))</f>
        <v>2.3100000000000005</v>
      </c>
      <c r="AJ73" s="209">
        <f>IF(AJ$7="X",VLOOKUP(AJ$10,'VK-Hooned-Soojus'!$C:$X,2+$C73,FALSE),0)+IF(AJ$6="X",VLOOKUP(AJ$10,'VK-Transport'!$C:$X,2+$B73,0))+IF(AJ$8="X",VLOOKUP(AJ$10,'VK-Elekter'!$C:$X,2+$D73,0))+IF(AJ$9="X",VLOOKUP(AJ$10,'VK-Biokütused'!$C:$U,2+$E73,0))+IF(AJ$5="X",VLOOKUP(AJ$10,'VK-Põlevkivi'!$C:$X,2+$G73,0))+IF(AJ$4="X",VLOOKUP(AJ$10,'VK-Võrgud'!$C:$X,2+$F73,0))</f>
        <v>9.24</v>
      </c>
      <c r="AK73" s="209">
        <f>IF(AK$7="X",VLOOKUP(AK$10,'VK-Hooned-Soojus'!$C:$X,2+$C73,FALSE),0)+IF(AK$6="X",VLOOKUP(AK$10,'VK-Transport'!$C:$X,2+$B73,0))+IF(AK$8="X",VLOOKUP(AK$10,'VK-Elekter'!$C:$X,2+$D73,0))+IF(AK$9="X",VLOOKUP(AK$10,'VK-Biokütused'!$C:$U,2+$E73,0))+IF(AK$5="X",VLOOKUP(AK$10,'VK-Põlevkivi'!$C:$X,2+$G73,0))+IF(AK$4="X",VLOOKUP(AK$10,'VK-Võrgud'!$C:$X,2+$F73,0))</f>
        <v>2.78</v>
      </c>
      <c r="AL73" s="209">
        <f>IF(AL$7="X",VLOOKUP(AL$10,'VK-Hooned-Soojus'!$C:$X,2+$C73,FALSE),0)+IF(AL$6="X",VLOOKUP(AL$10,'VK-Transport'!$C:$X,2+$B73,0))+IF(AL$8="X",VLOOKUP(AL$10,'VK-Elekter'!$C:$X,2+$D73,0))+IF(AL$9="X",VLOOKUP(AL$10,'VK-Biokütused'!$C:$U,2+$E73,0))+IF(AL$5="X",VLOOKUP(AL$10,'VK-Põlevkivi'!$C:$X,2+$G73,0))+IF(AL$4="X",VLOOKUP(AL$10,'VK-Võrgud'!$C:$X,2+$F73,0))</f>
        <v>7.1999999999999993</v>
      </c>
      <c r="AM73" s="209">
        <f>IF(AM$7="X",VLOOKUP(AM$10,'VK-Hooned-Soojus'!$C:$X,2+$C73,FALSE),0)+IF(AM$6="X",VLOOKUP(AM$10,'VK-Transport'!$C:$X,2+$B73,0))+IF(AM$8="X",VLOOKUP(AM$10,'VK-Elekter'!$C:$X,2+$D73,0))+IF(AM$9="X",VLOOKUP(AM$10,'VK-Biokütused'!$C:$U,2+$E73,0))+IF(AM$5="X",VLOOKUP(AM$10,'VK-Põlevkivi'!$C:$X,2+$G73,0))+IF(AM$4="X",VLOOKUP(AM$10,'VK-Võrgud'!$C:$X,2+$F73,0))</f>
        <v>11.9</v>
      </c>
      <c r="AN73" s="209">
        <f>IF(AN$7="X",VLOOKUP(AN$10,'VK-Hooned-Soojus'!$C:$X,2+$C73,FALSE),0)+IF(AN$6="X",VLOOKUP(AN$10,'VK-Transport'!$C:$X,2+$B73,0))+IF(AN$8="X",VLOOKUP(AN$10,'VK-Elekter'!$C:$X,2+$D73,0))+IF(AN$9="X",VLOOKUP(AN$10,'VK-Biokütused'!$C:$U,2+$E73,0))+IF(AN$5="X",VLOOKUP(AN$10,'VK-Põlevkivi'!$C:$X,2+$G73,0))+IF(AN$4="X",VLOOKUP(AN$10,'VK-Võrgud'!$C:$X,2+$F73,0))</f>
        <v>4.8999999999999995</v>
      </c>
      <c r="AO73" s="209">
        <f>IF(AO$7="X",VLOOKUP(AO$10,'VK-Hooned-Soojus'!$C:$X,2+$C73,FALSE),0)+IF(AO$6="X",VLOOKUP(AO$10,'VK-Transport'!$C:$X,2+$B73,0))+IF(AO$8="X",VLOOKUP(AO$10,'VK-Elekter'!$C:$X,2+$D73,0))+IF(AO$9="X",VLOOKUP(AO$10,'VK-Biokütused'!$C:$U,2+$E73,0))+IF(AO$5="X",VLOOKUP(AO$10,'VK-Põlevkivi'!$C:$X,2+$G73,0))+IF(AO$4="X",VLOOKUP(AO$10,'VK-Võrgud'!$C:$X,2+$F73,0))</f>
        <v>12.56</v>
      </c>
      <c r="AP73" s="209">
        <f>IF(AP$7="X",VLOOKUP(AP$10,'VK-Hooned-Soojus'!$C:$X,2+$C73,FALSE),0)+IF(AP$6="X",VLOOKUP(AP$10,'VK-Transport'!$C:$X,2+$B73,0))+IF(AP$8="X",VLOOKUP(AP$10,'VK-Elekter'!$C:$X,2+$D73,0))+IF(AP$9="X",VLOOKUP(AP$10,'VK-Biokütused'!$C:$U,2+$E73,0))+IF(AP$5="X",VLOOKUP(AP$10,'VK-Põlevkivi'!$C:$X,2+$G73,0))+IF(AP$4="X",VLOOKUP(AP$10,'VK-Võrgud'!$C:$X,2+$F73,0))</f>
        <v>6.28</v>
      </c>
      <c r="AQ73" s="320">
        <f t="shared" si="14"/>
        <v>0.25999999999999979</v>
      </c>
      <c r="AR73" s="209">
        <f>IF(AR$7="X",VLOOKUP(AR$10,'VK-Hooned-Soojus'!$C:$X,2+$C73,FALSE),0)+IF(AR$6="X",VLOOKUP(AR$10,'VK-Transport'!$C:$X,2+$B73,0))+IF(AR$8="X",VLOOKUP(AR$10,'VK-Elekter'!$C:$X,2+$D73,0))+IF(AR$9="X",VLOOKUP(AR$10,'VK-Biokütused'!$C:$U,2+$E73,0))+IF(AR$5="X",VLOOKUP(AR$10,'VK-Põlevkivi'!$C:$X,2+$G73,0))+IF(AR$4="X",VLOOKUP(AR$10,'VK-Võrgud'!$C:$X,2+$F73,0))</f>
        <v>2.8899999999999997</v>
      </c>
      <c r="AS73" s="320">
        <f>VLOOKUP("Kütuste tarbimine @ 2030 - UTTEGAAS",'VK-Hooned-Soojus'!$C:$X,2+$C73,FALSE)/0.172+VLOOKUP("Kütuste tarbimine @ 2030 - UTTEGAAS",'VK-Elekter'!$C:$X,2+$D73,FALSE)/0.172-AR73-AU73</f>
        <v>2.8565116279069773</v>
      </c>
      <c r="AT73" s="209">
        <f>IF(AT$7="X",VLOOKUP(AT$10,'VK-Hooned-Soojus'!$C:$X,2+$C73,FALSE),0)+IF(AT$6="X",VLOOKUP(AT$10,'VK-Transport'!$C:$X,2+$B73,0))+IF(AT$8="X",VLOOKUP(AT$10,'VK-Elekter'!$C:$X,2+$D73,0))+IF(AT$9="X",VLOOKUP(AT$10,'VK-Biokütused'!$C:$U,2+$E73,0))+IF(AT$5="X",VLOOKUP(AT$10,'VK-Põlevkivi'!$C:$X,2+$G73,0))+IF(AT$4="X",VLOOKUP(AT$10,'VK-Võrgud'!$C:$X,2+$F73,0))</f>
        <v>9.2784458909544707</v>
      </c>
      <c r="AU73" s="229">
        <f>MAX(0,(VLOOKUP("Kütuste tarbimine @ 2030 - UTTEGAAS",'VK-Hooned-Soojus'!$C:$X,2+$C73,FALSE)/0.172+VLOOKUP("Kütuste tarbimine @ 2030 - UTTEGAAS",'VK-Elekter'!$C:$X,2+$D73,FALSE)/0.172)*0.52-VLOOKUP("Kütuste tarbimine @ 2030 - PÕLEVKIVIÕLI",'VK-Hooned-Soojus'!$C:$X,2+$C73,FALSE))</f>
        <v>5.1837209302325586</v>
      </c>
      <c r="AV73" s="209">
        <f>IF(AV$7="X",VLOOKUP(AV$10,'VK-Hooned-Soojus'!$C:$X,2+$C73,FALSE),0)+IF(AV$6="X",VLOOKUP(AV$10,'VK-Transport'!$C:$X,2+$B73,0))+IF(AV$8="X",VLOOKUP(AV$10,'VK-Elekter'!$C:$X,2+$D73,0))+IF(AV$9="X",VLOOKUP(AV$10,'VK-Biokütused'!$C:$U,2+$E73,0))+IF(AV$5="X",VLOOKUP(AV$10,'VK-Põlevkivi'!$C:$X,2+$G73,0))+IF(AV$4="X",VLOOKUP(AV$10,'VK-Võrgud'!$C:$X,2+$F73,0))</f>
        <v>1.7257321590343366</v>
      </c>
      <c r="AW73" s="209">
        <f>IF(AW$7="X",VLOOKUP(AW$10,'VK-Hooned-Soojus'!$C:$X,2+$C73,FALSE),0)+IF(AW$6="X",VLOOKUP(AW$10,'VK-Transport'!$C:$X,2+$B73,0))+IF(AW$8="X",VLOOKUP(AW$10,'VK-Elekter'!$C:$X,2+$D73,0))+IF(AW$9="X",VLOOKUP(AW$10,'VK-Biokütused'!$C:$U,2+$E73,0))+IF(AW$5="X",VLOOKUP(AW$10,'VK-Põlevkivi'!$C:$X,2+$G73,0))+IF(AW$4="X",VLOOKUP(AW$10,'VK-Võrgud'!$C:$X,2+$F73,0))</f>
        <v>4.2799999999999994</v>
      </c>
      <c r="AX73" s="229">
        <f t="shared" si="34"/>
        <v>2.5542678409656627</v>
      </c>
      <c r="AY73" s="229">
        <f t="shared" si="15"/>
        <v>0</v>
      </c>
      <c r="AZ73" s="230">
        <f t="shared" si="36"/>
        <v>0.54801313538977747</v>
      </c>
      <c r="BA73" s="209">
        <f>IF(BA$7="X",VLOOKUP(BA$10,'VK-Hooned-Soojus'!$C:$X,2+$C73,FALSE),0)+IF(BA$6="X",VLOOKUP(BA$10,'VK-Transport'!$C:$X,2+$B73,0))+IF(BA$8="X",VLOOKUP(BA$10,'VK-Elekter'!$C:$X,2+$D73,0))+IF(BA$9="X",VLOOKUP(BA$10,'VK-Biokütused'!$C:$U,2+$E73,0))+IF(BA$5="X",VLOOKUP(BA$10,'VK-Põlevkivi'!$C:$X,2+$G73,0))+IF(BA$4="X",VLOOKUP(BA$10,'VK-Võrgud'!$C:$X,2+$F73,0))</f>
        <v>4.25</v>
      </c>
      <c r="BB73" s="209">
        <f>IF(BB$7="X",VLOOKUP(BB$10,'VK-Hooned-Soojus'!$C:$X,2+$C73,FALSE),0)+IF(BB$6="X",VLOOKUP(BB$10,'VK-Transport'!$C:$X,2+$B73,0))+IF(BB$8="X",VLOOKUP(BB$10,'VK-Elekter'!$C:$X,2+$D73,0))+IF(BB$9="X",VLOOKUP(BB$10,'VK-Biokütused'!$C:$U,2+$E73,0))+IF(BB$5="X",VLOOKUP(BB$10,'VK-Põlevkivi'!$C:$X,2+$G73,0))+IF(BB$4="X",VLOOKUP(BB$10,'VK-Võrgud'!$C:$X,2+$F73,0))</f>
        <v>2.93</v>
      </c>
      <c r="BC73" s="209">
        <f>IF(BC$7="X",VLOOKUP(BC$10,'VK-Hooned-Soojus'!$C:$X,2+$C73,FALSE),0)+IF(BC$6="X",VLOOKUP(BC$10,'VK-Transport'!$C:$X,2+$B73,0))+IF(BC$8="X",VLOOKUP(BC$10,'VK-Elekter'!$C:$X,2+$D73,0))+IF(BC$9="X",VLOOKUP(BC$10,'VK-Biokütused'!$C:$U,2+$E73,0))+IF(BC$5="X",VLOOKUP(BC$10,'VK-Põlevkivi'!$C:$X,2+$G73,0))+IF(BC$4="X",VLOOKUP(BC$10,'VK-Võrgud'!$C:$X,2+$F73,0))</f>
        <v>6.5993333333333322</v>
      </c>
      <c r="BD73" s="209">
        <f>IF(BD$7="X",VLOOKUP(BD$10,'VK-Hooned-Soojus'!$C:$X,2+$C73,FALSE),0)+IF(BD$6="X",VLOOKUP(BD$10,'VK-Transport'!$C:$X,2+$B73,0))+IF(BD$8="X",VLOOKUP(BD$10,'VK-Elekter'!$C:$X,2+$D73,0))+IF(BD$9="X",VLOOKUP(BD$10,'VK-Biokütused'!$C:$U,2+$E73,0))+IF(BD$5="X",VLOOKUP(BD$10,'VK-Põlevkivi'!$C:$X,2+$G73,0))+IF(BD$4="X",VLOOKUP(BD$10,'VK-Võrgud'!$C:$X,2+$F73,0))</f>
        <v>9.425416666666667</v>
      </c>
      <c r="BE73" s="230"/>
      <c r="BF73" s="229">
        <f t="shared" si="16"/>
        <v>0.33006438024350176</v>
      </c>
      <c r="BG73" s="209" t="e">
        <f>(IF(BG$7="X",VLOOKUP(BG$10,'VK-Hooned-Soojus'!$C:$X,2+$C73,FALSE),0)+IF(BG$6="X",VLOOKUP(BG$10,'VK-Transport'!$C:$X,2+$B73,0))+IF(BG$8="X",VLOOKUP(BG$10,'VK-Elekter'!$C:$X,2+$D73,0))+IF(BG$9="X",VLOOKUP(BG$10,'VK-Biokütused'!$C:$U,2+$E73,0))+IF(BG$5="X",VLOOKUP(BG$10,'VK-Põlevkivi'!$C:$X,2+$G73,0))+IF(BG$4="X",VLOOKUP(BG$10,'VK-Võrgud'!$C:$X,2+$F73,0)))/20</f>
        <v>#N/A</v>
      </c>
      <c r="BH73" s="209">
        <f>(IF(BH$7="X",VLOOKUP(BH$10,'VK-Hooned-Soojus'!$C:$X,2+$C73,FALSE),0)+IF(BH$6="X",VLOOKUP(BH$10,'VK-Transport'!$C:$X,2+$B73,0))+IF(BH$8="X",VLOOKUP(BH$10,'VK-Elekter'!$C:$X,2+$D73,0))+IF(BH$9="X",VLOOKUP(BH$10,'VK-Biokütused'!$C:$U,2+$E73,0))+IF(BH$5="X",VLOOKUP(BH$10,'VK-Põlevkivi'!$C:$X,2+$G73,0))+IF(BH$4="X",VLOOKUP(BH$10,'VK-Võrgud'!$C:$X,2+$F73,0)))/20</f>
        <v>45.08</v>
      </c>
      <c r="BI73" s="209">
        <f>(IF(BI$7="X",VLOOKUP(BI$10,'VK-Hooned-Soojus'!$C:$X,2+$C73,FALSE),0)+IF(BI$6="X",VLOOKUP(BI$10,'VK-Transport'!$C:$X,2+$B73,0))+IF(BI$8="X",VLOOKUP(BI$10,'VK-Elekter'!$C:$X,2+$D73,0))+IF(BI$9="X",VLOOKUP(BI$10,'VK-Biokütused'!$C:$U,2+$E73,0))+IF(BI$5="X",VLOOKUP(BI$10,'VK-Põlevkivi'!$C:$X,2+$G73,0))+IF(BI$4="X",VLOOKUP(BI$10,'VK-Võrgud'!$C:$X,2+$F73,0)))/16</f>
        <v>14.1875</v>
      </c>
      <c r="BJ73" s="209">
        <f>(IF(BJ$7="X",VLOOKUP(BJ$10,'VK-Hooned-Soojus'!$C:$X,2+$C73,FALSE),0)+IF(BJ$6="X",VLOOKUP(BJ$10,'VK-Transport'!$C:$X,2+$B73,0))+IF(BJ$8="X",VLOOKUP(BJ$10,'VK-Elekter'!$C:$X,2+$D73,0))+IF(BJ$9="X",VLOOKUP(BJ$10,'VK-Biokütused'!$C:$U,2+$E73,0))+IF(BJ$5="X",VLOOKUP(BJ$10,'VK-Põlevkivi'!$C:$X,2+$G73,0))+IF(BJ$4="X",VLOOKUP(BJ$10,'VK-Võrgud'!$C:$X,2+$F73,0)))/20</f>
        <v>3.91</v>
      </c>
      <c r="BK73" s="209"/>
      <c r="BL73" s="209"/>
      <c r="BM73" s="209"/>
      <c r="BN73" s="209" t="e">
        <f>(IF(BN$7="X",VLOOKUP(BN$10,'VK-Hooned-Soojus'!$C:$X,2+$C73,FALSE),0)+IF(BN$6="X",VLOOKUP(BN$10,'VK-Transport'!$C:$X,2+$B73,0))+IF(BN$8="X",VLOOKUP(BN$10,'VK-Elekter'!$C:$X,2+$D73,0))+IF(BN$9="X",VLOOKUP(BN$10,'VK-Biokütused'!$C:$U,2+$E73,0))+IF(BN$5="X",VLOOKUP(BN$10,'VK-Põlevkivi'!$C:$X,2+$G73,0))+IF(BN$4="X",VLOOKUP(BN$10,'VK-Võrgud'!$C:$X,2+$F73,0)))/16</f>
        <v>#N/A</v>
      </c>
      <c r="BO73" s="209">
        <f>(IF(BO$7="X",VLOOKUP(BO$10,'VK-Hooned-Soojus'!$C:$X,2+$C73,FALSE),0)+IF(BO$6="X",VLOOKUP(BO$10,'VK-Transport'!$C:$X,2+$B73,0))+IF(BO$8="X",VLOOKUP(BO$10,'VK-Elekter'!$C:$X,2+$D73,0))+IF(BO$9="X",VLOOKUP(BO$10,'VK-Biokütused'!$C:$U,2+$E73,0))+IF(BO$5="X",VLOOKUP(BO$10,'VK-Põlevkivi'!$C:$X,2+$G73,0))+IF(BO$4="X",VLOOKUP(BO$10,'VK-Võrgud'!$C:$X,2+$F73,0)))/16</f>
        <v>405.45</v>
      </c>
      <c r="BP73" s="209"/>
      <c r="BQ73" s="209">
        <f>(IF(BQ$7="X",VLOOKUP(BQ$10,'VK-Hooned-Soojus'!$C:$X,2+$C73,FALSE),0)+IF(BQ$6="X",VLOOKUP(BQ$10,'VK-Transport'!$C:$X,2+$B73,0))+IF(BQ$8="X",VLOOKUP(BQ$10,'VK-Elekter'!$C:$X,2+$D73,0))+IF(BQ$9="X",VLOOKUP(BQ$10,'VK-Biokütused'!$C:$U,2+$E73,0))+IF(BQ$5="X",VLOOKUP(BQ$10,'VK-Põlevkivi'!$C:$X,2+$G73,0))+IF(BQ$4="X",VLOOKUP(BQ$10,'VK-Võrgud'!$C:$X,2+$F73,0)))/16</f>
        <v>127.6</v>
      </c>
      <c r="BR73" s="209">
        <f>(IF(BR$7="X",VLOOKUP(BR$10,'VK-Hooned-Soojus'!$C:$X,2+$C73,FALSE),0)+IF(BR$6="X",VLOOKUP(BR$10,'VK-Transport'!$C:$X,2+$B73,0))+IF(BR$8="X",VLOOKUP(BR$10,'VK-Elekter'!$C:$X,2+$D73,0))+IF(BR$9="X",VLOOKUP(BR$10,'VK-Biokütused'!$C:$U,2+$E73,0))+IF(BR$5="X",VLOOKUP(BR$10,'VK-Põlevkivi'!$C:$X,2+$G73,0))+IF(BR$4="X",VLOOKUP(BR$10,'VK-Võrgud'!$C:$X,2+$F73,0)))/16</f>
        <v>27.475000000000001</v>
      </c>
      <c r="BS73" s="209">
        <f>(IF(BS$7="X",VLOOKUP(BS$10,'VK-Hooned-Soojus'!$C:$X,2+$C73,FALSE),0)+IF(BS$6="X",VLOOKUP(BS$10,'VK-Transport'!$C:$X,2+$B73,0))+IF(BS$8="X",VLOOKUP(BS$10,'VK-Elekter'!$C:$X,2+$D73,0))+IF(BS$9="X",VLOOKUP(BS$10,'VK-Biokütused'!$C:$U,2+$E73,0))+IF(BS$5="X",VLOOKUP(BS$10,'VK-Põlevkivi'!$C:$X,2+$G73,0))+IF(BS$4="X",VLOOKUP(BS$10,'VK-Võrgud'!$C:$X,2+$F73,0)))/16</f>
        <v>-23.293749999999999</v>
      </c>
      <c r="BT73" s="209"/>
      <c r="BU73" s="209"/>
      <c r="BV73" s="209">
        <f>(IF(BV$7="X",VLOOKUP(BV$10,'VK-Hooned-Soojus'!$C:$X,2+$C73,FALSE),0)+IF(BV$6="X",VLOOKUP(BV$10,'VK-Transport'!$C:$X,2+$B73,0))+IF(BV$8="X",VLOOKUP(BV$10,'VK-Elekter'!$C:$X,2+$D73,0))+IF(BV$9="X",VLOOKUP(BV$10,'VK-Biokütused'!$C:$U,2+$E73,0))+IF(BV$5="X",VLOOKUP(BV$10,'VK-Põlevkivi'!$C:$X,2+$G73,0))+IF(BV$4="X",VLOOKUP(BV$10,'VK-Võrgud'!$C:$X,2+$F73,0)))/16</f>
        <v>0</v>
      </c>
      <c r="BW73" s="209"/>
      <c r="BX73" s="209">
        <f>(IF(BX$7="X",VLOOKUP(BX$10,'VK-Hooned-Soojus'!$C:$X,2+$C73,FALSE),0)+IF(BX$6="X",VLOOKUP(BX$10,'VK-Transport'!$C:$X,2+$B73,0))+IF(BX$8="X",VLOOKUP(BX$10,'VK-Elekter'!$C:$X,2+$D73,0))+IF(BX$9="X",VLOOKUP(BX$10,'VK-Biokütused'!$C:$U,2+$E73,0))+IF(BX$5="X",VLOOKUP(BX$10,'VK-Põlevkivi'!$C:$X,2+$G73,0))+IF(BX$4="X",VLOOKUP(BX$10,'VK-Võrgud'!$C:$X,2+$F73,0)))/16</f>
        <v>-99.6875</v>
      </c>
      <c r="BY73" s="209"/>
      <c r="BZ73" s="209"/>
      <c r="CA73" s="209" t="e">
        <f>(IF(CA$7="X",VLOOKUP(CA$10,'VK-Hooned-Soojus'!$C:$X,2+$C73,FALSE),0)+IF(CA$6="X",VLOOKUP(CA$10,'VK-Transport'!$C:$X,2+$B73,0))+IF(CA$8="X",VLOOKUP(CA$10,'VK-Elekter'!$C:$X,2+$D73,0))+IF(CA$9="X",VLOOKUP(CA$10,'VK-Biokütused'!$C:$U,2+$E73,0))+IF(CA$5="X",VLOOKUP(CA$10,'VK-Põlevkivi'!$C:$X,2+$G73,0))+IF(CA$4="X",VLOOKUP(CA$10,'VK-Võrgud'!$C:$X,2+$F73,0)))/16</f>
        <v>#N/A</v>
      </c>
      <c r="CB73" s="209">
        <f>(IF(CB$7="X",VLOOKUP(CB$10,'VK-Hooned-Soojus'!$C:$X,2+$C73,FALSE),0)+IF(CB$6="X",VLOOKUP(CB$10,'VK-Transport'!$C:$X,2+$B73,0))+IF(CB$8="X",VLOOKUP(CB$10,'VK-Elekter'!$C:$X,2+$D73,0))+IF(CB$9="X",VLOOKUP(CB$10,'VK-Biokütused'!$C:$U,2+$E73,0))+IF(CB$5="X",VLOOKUP(CB$10,'VK-Põlevkivi'!$C:$X,2+$G73,0))+IF(CB$4="X",VLOOKUP(CB$10,'VK-Võrgud'!$C:$X,2+$F73,0)))/16</f>
        <v>0</v>
      </c>
      <c r="CC73" s="209">
        <f>(IF(CC$7="X",VLOOKUP(CC$10,'VK-Hooned-Soojus'!$C:$X,2+$C73,FALSE),0)+IF(CC$6="X",VLOOKUP(CC$10,'VK-Transport'!$C:$X,2+$B73,0))+IF(CC$8="X",VLOOKUP(CC$10,'VK-Elekter'!$C:$X,2+$D73,0))+IF(CC$9="X",VLOOKUP(CC$10,'VK-Biokütused'!$C:$U,2+$E73,0))+IF(CC$5="X",VLOOKUP(CC$10,'VK-Põlevkivi'!$C:$X,2+$G73,0))+IF(CC$4="X",VLOOKUP(CC$10,'VK-Võrgud'!$C:$X,2+$F73,0)))/16</f>
        <v>0</v>
      </c>
      <c r="CD73" s="209"/>
      <c r="CE73" s="209">
        <f>(IF(CE$7="X",VLOOKUP(CE$10,'VK-Hooned-Soojus'!$C:$X,2+$C73,FALSE),0)+IF(CE$6="X",VLOOKUP(CE$10,'VK-Transport'!$C:$X,2+$B73,0))+IF(CE$8="X",VLOOKUP(CE$10,'VK-Elekter'!$C:$X,2+$D73,0))+IF(CE$9="X",VLOOKUP(CE$10,'VK-Biokütused'!$C:$U,2+$E73,0))+IF(CE$5="X",VLOOKUP(CE$10,'VK-Põlevkivi'!$C:$X,2+$G73,0))+IF(CE$4="X",VLOOKUP(CE$10,'VK-Võrgud'!$C:$X,2+$F73,0)))/16</f>
        <v>24.15625</v>
      </c>
      <c r="CF73" s="209"/>
      <c r="CG73" s="209">
        <f>(IF(CG$7="X",VLOOKUP(CG$10,'VK-Hooned-Soojus'!$C:$X,2+$C73,FALSE),0)+IF(CG$6="X",VLOOKUP(CG$10,'VK-Transport'!$C:$X,2+$B73,0))+IF(CG$8="X",VLOOKUP(CG$10,'VK-Elekter'!$C:$X,2+$D73,0))+IF(CG$9="X",VLOOKUP(CG$10,'VK-Biokütused'!$C:$U,2+$E73,0))+IF(CG$5="X",VLOOKUP(CG$10,'VK-Põlevkivi'!$C:$X,2+$G73,0))+IF(CG$4="X",VLOOKUP(CG$10,'VK-Võrgud'!$C:$X,2+$F73,0)))/16</f>
        <v>0</v>
      </c>
      <c r="CH73" s="209">
        <f>(IF(CH$7="X",VLOOKUP(CH$10,'VK-Hooned-Soojus'!$C:$X,2+$C73,FALSE),0)+IF(CH$6="X",VLOOKUP(CH$10,'VK-Transport'!$C:$X,2+$B73,0))+IF(CH$8="X",VLOOKUP(CH$10,'VK-Elekter'!$C:$X,2+$D73,0))+IF(CH$9="X",VLOOKUP(CH$10,'VK-Biokütused'!$C:$U,2+$E73,0))+IF(CH$5="X",VLOOKUP(CH$10,'VK-Põlevkivi'!$C:$X,2+$G73,0))+IF(CH$4="X",VLOOKUP(CH$10,'VK-Võrgud'!$C:$X,2+$F73,0)))/20*0.21</f>
        <v>11.225549999999998</v>
      </c>
      <c r="CI73" s="209"/>
      <c r="CJ73" s="209">
        <f>(IF(CJ$7="X",VLOOKUP(CJ$10,'VK-Hooned-Soojus'!$C:$X,2+$C73,FALSE),0)+IF(CJ$6="X",VLOOKUP(CJ$10,'VK-Transport'!$C:$X,2+$B73,0))+IF(CJ$8="X",VLOOKUP(CJ$10,'VK-Elekter'!$C:$X,2+$D73,0))+IF(CJ$9="X",VLOOKUP(CJ$10,'VK-Biokütused'!$C:$U,2+$E73,0))+IF(CJ$5="X",VLOOKUP(CJ$10,'VK-Põlevkivi'!$C:$X,2+$G73,0))+IF(CJ$4="X",VLOOKUP(CJ$10,'VK-Võrgud'!$C:$X,2+$F73,0)))/1000</f>
        <v>18.178999999999998</v>
      </c>
      <c r="CK73" s="209">
        <f>(IF(CK$7="X",VLOOKUP(CK$10,'VK-Hooned-Soojus'!$C:$X,2+$C73,FALSE),0)+IF(CK$6="X",VLOOKUP(CK$10,'VK-Transport'!$C:$X,2+$B73,0))+IF(CK$8="X",VLOOKUP(CK$10,'VK-Elekter'!$C:$X,2+$D73,0))+IF(CK$9="X",VLOOKUP(CK$10,'VK-Biokütused'!$C:$U,2+$E73,0))+IF(CK$5="X",VLOOKUP(CK$10,'VK-Põlevkivi'!$C:$X,2+$G73,0))+IF(CK$4="X",VLOOKUP(CK$10,'VK-Võrgud'!$C:$X,2+$F73,0)))/1000</f>
        <v>11.873743209992719</v>
      </c>
      <c r="CL73" s="235">
        <f>(IF(CL$7="X",VLOOKUP(CL$10,'VK-Hooned-Soojus'!$C:$X,2+$C73,FALSE),0)+IF(CL$6="X",VLOOKUP(CL$10,'VK-Transport'!$C:$X,2+$B73,0))+IF(CL$8="X",VLOOKUP(CL$10,'VK-Elekter'!$C:$X,2+$D73,0))+IF(CL$9="X",VLOOKUP(CL$10,'VK-Biokütused'!$C:$U,2+$E73,0)))/1000</f>
        <v>8.4202895597237895</v>
      </c>
      <c r="CM73" s="209">
        <f>(IF(CM$7="X",VLOOKUP(CM$10,'VK-Hooned-Soojus'!$C:$X,2+$C73,FALSE),0)+IF(CM$6="X",VLOOKUP(CM$10,'VK-Transport'!$C:$X,2+$B73,0))+IF(CM$8="X",VLOOKUP(CM$10,'VK-Elekter'!$C:$X,2+$D73,0))+IF(CM$9="X",VLOOKUP(CM$10,'VK-Biokütused'!$C:$U,2+$E73,0))+IF(CM$5="X",VLOOKUP(CM$10,'VK-Põlevkivi'!$C:$X,2+$G73,0))+IF(CM$4="X",VLOOKUP(CM$10,'VK-Võrgud'!$C:$X,2+$F73,0)))/1000</f>
        <v>7.7729999999999997</v>
      </c>
      <c r="CN73" s="209">
        <f>(IF(CN$7="X",VLOOKUP(CN$10,'VK-Hooned-Soojus'!$C:$X,2+$C73,FALSE),0)+IF(CN$6="X",VLOOKUP(CN$10,'VK-Transport'!$C:$X,2+$B73,0))+IF(CN$8="X",VLOOKUP(CN$10,'VK-Elekter'!$C:$X,2+$D73,0))+IF(CN$9="X",VLOOKUP(CN$10,'VK-Biokütused'!$C:$U,2+$E73,0))+IF(CN$5="X",VLOOKUP(CN$10,'VK-Põlevkivi'!$C:$X,2+$G73,0))+IF(CN$4="X",VLOOKUP(CN$10,'VK-Võrgud'!$C:$X,2+$F73,0)))/1000</f>
        <v>2.9929999999999999</v>
      </c>
      <c r="CO73" s="209">
        <f>(IF(CO$7="X",VLOOKUP(CO$10,'VK-Hooned-Soojus'!$C:$X,2+$C73,FALSE),0)+IF(CO$6="X",VLOOKUP(CO$10,'VK-Transport'!$C:$X,2+$B73,0))+IF(CO$8="X",VLOOKUP(CO$10,'VK-Elekter'!$C:$X,2+$D73,0))+IF(CO$9="X",VLOOKUP(CO$10,'VK-Biokütused'!$C:$U,2+$E73,0))+IF(CO$5="X",VLOOKUP(CO$10,'VK-Põlevkivi'!$C:$X,2+$G73,0))+IF(CO$4="X",VLOOKUP(CO$10,'VK-Võrgud'!$C:$X,2+$F73,0)))/1000</f>
        <v>24.00957521079728</v>
      </c>
      <c r="CP73" s="209">
        <f>(IF(CP$7="X",VLOOKUP(CP$10,'VK-Hooned-Soojus'!$C:$X,2+$C73,FALSE),0)+IF(CP$6="X",VLOOKUP(CP$10,'VK-Transport'!$C:$X,2+$B73,0))+IF(CP$8="X",VLOOKUP(CP$10,'VK-Elekter'!$C:$X,2+$D73,0))+IF(CP$9="X",VLOOKUP(CP$10,'VK-Biokütused'!$C:$U,2+$E73,0))+IF(CP$5="X",VLOOKUP(CP$10,'VK-Põlevkivi'!$C:$X,2+$G73,0))+IF(CP$4="X",VLOOKUP(CP$10,'VK-Võrgud'!$C:$X,2+$F73,0)))/1000</f>
        <v>13.441994830349824</v>
      </c>
      <c r="CQ73" s="235">
        <f>(IF(CQ$7="X",VLOOKUP(CQ$10,'VK-Hooned-Soojus'!$C:$X,2+$C73,FALSE),0)+IF(CQ$6="X",VLOOKUP(CQ$10,'VK-Transport'!$C:$X,2+$B73,0))+IF(CQ$8="X",VLOOKUP(CQ$10,'VK-Elekter'!$C:$X,2+$D73,0))+IF(CQ$9="X",VLOOKUP(CQ$10,'VK-Biokütused'!$C:$U,2+$E73,0)))/1000</f>
        <v>10.607346</v>
      </c>
      <c r="CR73" s="209">
        <f>(IF(CR$7="X",VLOOKUP(CR$10,'VK-Hooned-Soojus'!$C:$X,2+$C73,FALSE),0)+IF(CR$6="X",VLOOKUP(CR$10,'VK-Transport'!$C:$X,2+$B73,0))+IF(CR$8="X",VLOOKUP(CR$10,'VK-Elekter'!$C:$X,2+$D73,0))+IF(CR$9="X",VLOOKUP(CR$10,'VK-Biokütused'!$C:$U,2+$E73,0))+IF(CR$5="X",VLOOKUP(CR$10,'VK-Põlevkivi'!$C:$X,2+$G73,0))+IF(CR$4="X",VLOOKUP(CR$10,'VK-Võrgud'!$C:$X,2+$F73,0)))/1000</f>
        <v>7.8640872784575748</v>
      </c>
      <c r="CS73" s="209">
        <f>(IF(CS$7="X",VLOOKUP(CS$10,'VK-Hooned-Soojus'!$C:$X,2+$C73,FALSE),0)+IF(CS$6="X",VLOOKUP(CS$10,'VK-Transport'!$C:$X,2+$B73,0))+IF(CS$8="X",VLOOKUP(CS$10,'VK-Elekter'!$C:$X,2+$D73,0))+IF(CS$9="X",VLOOKUP(CS$10,'VK-Biokütused'!$C:$U,2+$E73,0))+IF(CS$5="X",VLOOKUP(CS$10,'VK-Põlevkivi'!$C:$X,2+$G73,0))+IF(CS$4="X",VLOOKUP(CS$10,'VK-Võrgud'!$C:$X,2+$F73,0)))/1000</f>
        <v>3.8443344900598322</v>
      </c>
      <c r="CT73" s="209">
        <f>IF(CT$7="X",VLOOKUP(CT$10,'VK-Hooned-Soojus'!$C:$X,2+$C73,FALSE),0)+IF(CT$6="X",VLOOKUP(CT$10,'VK-Transport'!$C:$X,2+$B73,0))+IF(CT$8="X",VLOOKUP(CT$10,'VK-Elekter'!$C:$X,2+$D73,0))+IF(CT$9="X",VLOOKUP(CT$10,'VK-Biokütused'!$C:$U,2+$E73,0))+IF(CT$5="X",VLOOKUP(CT$10,'VK-Põlevkivi'!$C:$X,2+$G73,0))+IF(CT$4="X",VLOOKUP(CT$10,'VK-Võrgud'!$C:$X,2+$F73,0))</f>
        <v>90</v>
      </c>
      <c r="CU73" s="209">
        <f>IF(CU$7="X",VLOOKUP(CU$10,'VK-Hooned-Soojus'!$C:$X,2+$C73,FALSE),0)+IF(CU$6="X",VLOOKUP(CU$10,'VK-Transport'!$C:$X,2+$B73,0))+IF(CU$8="X",VLOOKUP(CU$10,'VK-Elekter'!$C:$X,2+$D73,0))+IF(CU$9="X",VLOOKUP(CU$10,'VK-Biokütused'!$C:$U,2+$E73,0))+IF(CU$5="X",VLOOKUP(CU$10,'VK-Põlevkivi'!$C:$X,2+$G73,0))+IF(CU$4="X",VLOOKUP(CU$10,'VK-Võrgud'!$C:$X,2+$F73,0))</f>
        <v>0.72088353413654627</v>
      </c>
      <c r="CV73" s="209">
        <f t="shared" si="37"/>
        <v>0.84317482403548605</v>
      </c>
      <c r="CW73" s="209">
        <f>(IF(CW$7="X",VLOOKUP(CW$10,'VK-Hooned-Soojus'!$C:$X,2+$C73,FALSE),0)+IF(CW$6="X",VLOOKUP(CW$10,'VK-Transport'!$C:$X,2+$B73,0))+IF(CW$8="X",VLOOKUP(CW$10,'VK-Elekter'!$C:$X,2+$D73,0))+IF(CW$9="X",VLOOKUP(CW$10,'VK-Biokütused'!$C:$U,2+$E73,0))+IF(CW$5="X",VLOOKUP(CW$10,'VK-Põlevkivi'!$C:$X,2+$G73,0))+IF(CW$4="X",VLOOKUP(CW$10,'VK-Võrgud'!$C:$X,2+$F73,0)))/16</f>
        <v>126.01875</v>
      </c>
      <c r="CY73" s="209">
        <f>(IF(CY$7="X",VLOOKUP(CY$10,'VK-Hooned-Soojus'!$C:$X,2+$C73,FALSE),0)+IF(CY$6="X",VLOOKUP(CY$10,'VK-Transport'!$C:$X,2+$B73,0))+IF(CY$8="X",VLOOKUP(CY$10,'VK-Elekter'!$C:$X,2+$D73,0))+IF(CY$9="X",VLOOKUP(CY$10,'VK-Biokütused'!$C:$U,2+$E73,0))+IF(CY$5="X",VLOOKUP(CY$10,'VK-Põlevkivi'!$C:$X,2+$G73,0))+IF(CY$4="X",VLOOKUP(CY$10,'VK-Võrgud'!$C:$X,2+$F73,0)))/1000</f>
        <v>10.657</v>
      </c>
      <c r="CZ73" s="209">
        <f>(IF(CZ$7="X",VLOOKUP(CZ$10,'VK-Hooned-Soojus'!$C:$X,2+$C73,FALSE),0)+IF(CZ$6="X",VLOOKUP(CZ$10,'VK-Transport'!$C:$X,2+$B73,0))+IF(CZ$8="X",VLOOKUP(CZ$10,'VK-Elekter'!$C:$X,2+$D73,0))+IF(CZ$9="X",VLOOKUP(CZ$10,'VK-Biokütused'!$C:$U,2+$E73,0))+IF(CZ$5="X",VLOOKUP(CZ$10,'VK-Põlevkivi'!$C:$X,2+$G73,0))+IF(CZ$4="X",VLOOKUP(CZ$10,'VK-Võrgud'!$C:$X,2+$F73,0)))</f>
        <v>70</v>
      </c>
      <c r="DA73" s="209">
        <f>(IF(DA$7="X",VLOOKUP(DA$10,'VK-Hooned-Soojus'!$C:$X,2+$C73,FALSE),0)+IF(DA$6="X",VLOOKUP(DA$10,'VK-Transport'!$C:$X,2+$B73,0))+IF(DA$8="X",VLOOKUP(DA$10,'VK-Elekter'!$C:$X,2+$D73,0))+IF(DA$9="X",VLOOKUP(DA$10,'VK-Biokütused'!$C:$U,2+$E73,0))+IF(DA$5="X",VLOOKUP(DA$10,'VK-Põlevkivi'!$C:$X,2+$G73,0))+IF(DA$4="X",VLOOKUP(DA$10,'VK-Võrgud'!$C:$X,2+$F73,0)))/1000</f>
        <v>14.361000000000001</v>
      </c>
      <c r="DB73" s="209">
        <f>(IF(DB$7="X",VLOOKUP(DB$10,'VK-Hooned-Soojus'!$C:$X,2+$C73,FALSE),0)+IF(DB$6="X",VLOOKUP(DB$10,'VK-Transport'!$C:$X,2+$B73,0))+IF(DB$8="X",VLOOKUP(DB$10,'VK-Elekter'!$C:$X,2+$D73,0))+IF(DB$9="X",VLOOKUP(DB$10,'VK-Biokütused'!$C:$U,2+$E73,0))+IF(DB$5="X",VLOOKUP(DB$10,'VK-Põlevkivi'!$C:$X,2+$G73,0))+IF(DB$4="X",VLOOKUP(DB$10,'VK-Võrgud'!$C:$X,2+$F73,0)))/1000/3.6</f>
        <v>63.715277777777779</v>
      </c>
      <c r="DC73" s="209">
        <f>(IF(DC$7="X",VLOOKUP(DC$10,'VK-Hooned-Soojus'!$C:$X,2+$C73,FALSE),0)+IF(DC$6="X",VLOOKUP(DC$10,'VK-Transport'!$C:$X,2+$B73,0))+IF(DC$8="X",VLOOKUP(DC$10,'VK-Elekter'!$C:$X,2+$D73,0))+IF(DC$9="X",VLOOKUP(DC$10,'VK-Biokütused'!$C:$U,2+$E73,0))+IF(DC$5="X",VLOOKUP(DC$10,'VK-Põlevkivi'!$C:$X,2+$G73,0))+IF(DC$4="X",VLOOKUP(DC$10,'VK-Võrgud'!$C:$X,2+$F73,0)))/1000000</f>
        <v>5.0987970000000002</v>
      </c>
      <c r="DD73" s="209"/>
      <c r="DE73" s="88">
        <f>VLOOKUP(Tulemused!$BN$12,data!M$7:N$12,2,FALSE)-SUM(L73,M73)</f>
        <v>-1.2238666666666731</v>
      </c>
      <c r="DF73" s="209" t="str">
        <f>IF(AZ73&lt;=VLOOKUP(Tulemused!$BN$15,data!$E$36:$F$39,2,FALSE),"JAH","EI")</f>
        <v>JAH</v>
      </c>
      <c r="DG73" s="209"/>
      <c r="DH73" s="209">
        <f t="shared" si="38"/>
        <v>6.28</v>
      </c>
      <c r="DI73" s="231" t="str">
        <f t="shared" si="17"/>
        <v>EI</v>
      </c>
      <c r="DK73" s="232">
        <f t="shared" si="39"/>
        <v>-995.1328604919313</v>
      </c>
      <c r="DM73" s="233">
        <f t="shared" si="40"/>
        <v>-994.63770285307248</v>
      </c>
      <c r="DN73" s="87">
        <f t="array" ref="DN73">INDEX($A$11:$A$145, SMALL(IF(DM73=$DK$11:$DK$145, MATCH(ROW($DK$11:$DK$145), ROW($DK$11:$DK$145))), SUM(--(DM73=$DM$11:DM73))))</f>
        <v>95</v>
      </c>
      <c r="DP73" s="87" t="e">
        <f t="shared" ca="1" si="18"/>
        <v>#N/A</v>
      </c>
      <c r="DQ73" s="87" t="e">
        <f t="shared" ca="1" si="19"/>
        <v>#N/A</v>
      </c>
      <c r="DR73" s="87">
        <f t="shared" ca="1" si="20"/>
        <v>0</v>
      </c>
      <c r="DS73" s="87" t="e">
        <f t="shared" ca="1" si="21"/>
        <v>#N/A</v>
      </c>
      <c r="DT73" s="87">
        <f t="shared" ca="1" si="22"/>
        <v>0</v>
      </c>
      <c r="DU73" s="87" t="e">
        <f t="shared" ca="1" si="23"/>
        <v>#N/A</v>
      </c>
      <c r="DV73" s="87" t="e">
        <f t="shared" ca="1" si="24"/>
        <v>#N/A</v>
      </c>
      <c r="DW73" s="87">
        <f t="shared" ca="1" si="25"/>
        <v>0</v>
      </c>
      <c r="DX73" s="87">
        <f t="shared" ca="1" si="26"/>
        <v>0</v>
      </c>
      <c r="DZ73" s="87">
        <f t="shared" ca="1" si="35"/>
        <v>0</v>
      </c>
      <c r="EB73" s="87">
        <f t="shared" ca="1" si="27"/>
        <v>0</v>
      </c>
      <c r="EC73" s="87" t="e">
        <f t="shared" ca="1" si="28"/>
        <v>#N/A</v>
      </c>
      <c r="EE73" s="228">
        <f>(IF(EE$7="X",VLOOKUP(EE$10,'VK-Hooned-Soojus'!$C:$X,2+$C73,FALSE),0)+IF(EE$6="X",VLOOKUP(EE$10,'VK-Transport'!$C:$X,2+$B73,0))+IF(EE$8="X",VLOOKUP(EE$10,'VK-Elekter'!$C:$X,2+$D73,0))+IF(EE$9="X",VLOOKUP(EE$10,'VK-Biokütused'!$C:$U,2+$E73,0))+IF(EE$5="X",VLOOKUP(EE$10,'VK-Põlevkivi'!$C:$X,2+$G73,0))+IF(EE$4="X",VLOOKUP(EE$10,'VK-Võrgud'!$C:$X,2+$F73,0)))</f>
        <v>9127.9565985123536</v>
      </c>
      <c r="EF73" s="235">
        <f>(IF(EF$7="X",VLOOKUP(EF$10,'VK-Hooned-Soojus'!$C:$X,2+$C73,FALSE),0)+IF(EF$6="X",VLOOKUP(EF$10,'VK-Transport'!$C:$X,2+$B73,0))+IF(EF$8="X",VLOOKUP(EF$10,'VK-Elekter'!$C:$X,2+$D73,0))+IF(EF$9="X",VLOOKUP(EF$10,'VK-Biokütused'!$C:$U,2+$E73,0)))/1000</f>
        <v>4.3433823271229706</v>
      </c>
      <c r="EG73" s="209">
        <f>(IF(EG$7="X",VLOOKUP(EG$10,'VK-Hooned-Soojus'!$C:$X,2+$C73,FALSE),0)+IF(EG$6="X",VLOOKUP(EG$10,'VK-Transport'!$C:$X,2+$B73,0))+IF(EG$8="X",VLOOKUP(EG$10,'VK-Elekter'!$C:$X,2+$D73,0))+IF(EG$9="X",VLOOKUP(EG$10,'VK-Biokütused'!$C:$U,2+$E73,0))+IF(EG$5="X",VLOOKUP(EG$10,'VK-Põlevkivi'!$C:$X,2+$G73,0))+IF(EG$4="X",VLOOKUP(EG$10,'VK-Võrgud'!$C:$X,2+$F73,0)))</f>
        <v>0.81</v>
      </c>
      <c r="EH73" s="209">
        <f>(IF(EH$7="X",VLOOKUP(EH$10,'VK-Hooned-Soojus'!$C:$X,2+$C73,FALSE),0)+IF(EH$6="X",VLOOKUP(EH$10,'VK-Transport'!$C:$X,2+$B73,0))+IF(EH$8="X",VLOOKUP(EH$10,'VK-Elekter'!$C:$X,2+$D73,0))+IF(EH$9="X",VLOOKUP(EH$10,'VK-Biokütused'!$C:$U,2+$E73,0)))+AR73+AS73+AU73+AX73</f>
        <v>56.018667065771865</v>
      </c>
      <c r="EI73" s="320">
        <f t="shared" si="41"/>
        <v>48.28067829457364</v>
      </c>
      <c r="EJ73" s="322">
        <f t="shared" si="42"/>
        <v>2.2545055318885739E-2</v>
      </c>
      <c r="EK73" s="323">
        <f t="shared" si="29"/>
        <v>0.39192627065295316</v>
      </c>
      <c r="EM73" s="209"/>
      <c r="EN73" s="209">
        <f t="shared" ca="1" si="43"/>
        <v>0</v>
      </c>
      <c r="EO73" s="209"/>
      <c r="EP73" s="234"/>
      <c r="EQ73" s="209">
        <f>(IF(EQ$7="X",VLOOKUP(EQ$10,'VK-Hooned-Soojus'!$C:$X,2+$C73,FALSE),0)+IF(EQ$6="X",VLOOKUP(EQ$10,'VK-Transport'!$C:$X,2+$B73,0))+IF(EQ$8="X",VLOOKUP(EQ$10,'VK-Elekter'!$C:$X,2+$D73,0))+IF(EQ$9="X",VLOOKUP(EQ$10,'VK-Biokütused'!$C:$U,2+$E73,0))+IF(EQ$5="X",VLOOKUP(EQ$10,'VK-Põlevkivi'!$C:$X,2+$G73,0))+IF(EQ$4="X",VLOOKUP(EQ$10,'VK-Võrgud'!$C:$X,2+$F73,0)))/1000</f>
        <v>0.21099999999999999</v>
      </c>
      <c r="ER73" s="209">
        <f>(IF(ER$7="X",VLOOKUP(ER$10,'VK-Hooned-Soojus'!$C:$X,2+$C73,FALSE),0)+IF(ER$6="X",VLOOKUP(ER$10,'VK-Transport'!$C:$X,2+$B73,0))+IF(ER$8="X",VLOOKUP(ER$10,'VK-Elekter'!$C:$X,2+$D73,0))+IF(ER$9="X",VLOOKUP(ER$10,'VK-Biokütused'!$C:$U,2+$E73,0))+IF(ER$5="X",VLOOKUP(ER$10,'VK-Põlevkivi'!$C:$X,2+$G73,0))+IF(ER$4="X",VLOOKUP(ER$10,'VK-Võrgud'!$C:$X,2+$F73,0)))</f>
        <v>0.76300000000000001</v>
      </c>
      <c r="ES73" s="209">
        <f>(IF(ES$7="X",VLOOKUP(ES$10,'VK-Hooned-Soojus'!$C:$X,2+$C73,FALSE),0)+IF(ES$6="X",VLOOKUP(ES$10,'VK-Transport'!$C:$X,2+$B73,0))+IF(ES$8="X",VLOOKUP(ES$10,'VK-Elekter'!$C:$X,2+$D73,0))+IF(ES$9="X",VLOOKUP(ES$10,'VK-Biokütused'!$C:$U,2+$E73,0))+IF(ES$5="X",VLOOKUP(ES$10,'VK-Põlevkivi'!$C:$X,2+$G73,0))+IF(ES$4="X",VLOOKUP(ES$10,'VK-Võrgud'!$C:$X,2+$F73,0)))</f>
        <v>6.28</v>
      </c>
      <c r="ET73" s="209"/>
      <c r="EU73" s="209"/>
      <c r="EV73" s="87">
        <f>'KSH järjestus'!AS66</f>
        <v>1467</v>
      </c>
      <c r="EX73" s="236"/>
      <c r="EY73" s="236"/>
      <c r="EZ73" s="237">
        <f t="shared" si="44"/>
        <v>0.27911646586345373</v>
      </c>
      <c r="FA73" s="209">
        <f>IF(FA$7="X",VLOOKUP(FA$10,'VK-Hooned-Soojus'!$C:$X,2+$C73,FALSE),0)+IF(FA$6="X",VLOOKUP(FA$10,'VK-Transport'!$C:$X,2+$B73,0))+IF(FA$8="X",VLOOKUP(FA$10,'VK-Elekter'!$C:$X,2+$D73,0))+IF(FA$9="X",VLOOKUP(FA$10,'VK-Biokütused'!$C:$U,2+$E73,0))+IF(FA$5="X",VLOOKUP(FA$10,'VK-Põlevkivi'!$C:$X,2+$G73,0))+IF(FA$4="X",VLOOKUP(FA$10,'VK-Võrgud'!$C:$X,2+$F73,0))</f>
        <v>3300.346</v>
      </c>
      <c r="FB73" s="279">
        <f>(IF(FB$7="X",VLOOKUP(FB$10,'VK-Hooned-Soojus'!$C:$X,2+$C73,FALSE),0)+IF(FB$6="X",VLOOKUP(FB$10,'VK-Transport'!$C:$X,2+$B73,0))+IF(FB$8="X",VLOOKUP(FB$10,'VK-Elekter'!$C:$X,2+$D73,0))+IF(FB$9="X",VLOOKUP(FB$10,'VK-Biokütused'!$C:$U,2+$E73,0))+IF(FB$5="X",VLOOKUP(FB$10,'VK-Põlevkivi'!$C:$X,2+$G73,0))+IF(FB$4="X",VLOOKUP(FB$10,'VK-Võrgud'!$C:$X,2+$F73,0)))/16</f>
        <v>465.37283583369043</v>
      </c>
      <c r="FC73" s="209">
        <f>IF(FC$7="X",VLOOKUP(FC$10,'VK-Hooned-Soojus'!$C:$X,2+$C73,FALSE),0)+IF(FC$6="X",VLOOKUP(FC$10,'VK-Transport'!$C:$X,2+$B73,0))+IF(FC$8="X",VLOOKUP(FC$10,'VK-Elekter'!$C:$X,2+$D73,0))+IF(FC$9="X",VLOOKUP(FC$10,'VK-Biokütused'!$C:$U,2+$E73,0))+IF(FC$5="X",VLOOKUP(FC$10,'VK-Põlevkivi'!$C:$X,2+$G73,0))+IF(FC$4="X",VLOOKUP(FC$10,'VK-Võrgud'!$C:$X,2+$F73,0))</f>
        <v>306.45</v>
      </c>
      <c r="FD73" s="209">
        <f>(IF(FD$7="X",VLOOKUP(FD$10,'VK-Hooned-Soojus'!$C:$X,2+$C73,FALSE),0)+IF(FD$6="X",VLOOKUP(FD$10,'VK-Transport'!$C:$X,2+$B73,0))+IF(FD$8="X",VLOOKUP(FD$10,'VK-Elekter'!$C:$X,2+$D73,0))+IF(FD$9="X",VLOOKUP(FD$10,'VK-Biokütused'!$C:$U,2+$E73,0))+IF(FD$5="X",VLOOKUP(FD$10,'VK-Põlevkivi'!$C:$X,2+$G73,0))+IF(FD$4="X",VLOOKUP(FD$10,'VK-Võrgud'!$C:$X,2+$F73,0)))/16</f>
        <v>465.37283583369043</v>
      </c>
      <c r="FE73" s="209">
        <f>(IF(FE$7="X",VLOOKUP(FE$10,'VK-Hooned-Soojus'!$C:$X,2+$C73,FALSE),0)+IF(FE$6="X",VLOOKUP(FE$10,'VK-Transport'!$C:$X,2+$B73,0))+IF(FE$8="X",VLOOKUP(FE$10,'VK-Elekter'!$C:$X,2+$D73,0))+IF(FE$9="X",VLOOKUP(FE$10,'VK-Biokütused'!$C:$U,2+$E73,0))+IF(FE$5="X",VLOOKUP(FE$10,'VK-Põlevkivi'!$C:$X,2+$G73,0))+IF(FE$4="X",VLOOKUP(FE$10,'VK-Võrgud'!$C:$X,2+$F73,0)))/16</f>
        <v>-96.182063699091032</v>
      </c>
      <c r="FF73" s="209">
        <f>(IF(FF$7="X",VLOOKUP(FF$10,'VK-Hooned-Soojus'!$C:$X,2+$C73,FALSE),0)+IF(FF$6="X",VLOOKUP(FF$10,'VK-Transport'!$C:$X,2+$B73,0))+IF(FF$8="X",VLOOKUP(FF$10,'VK-Elekter'!$C:$X,2+$D73,0))+IF(FF$9="X",VLOOKUP(FF$10,'VK-Biokütused'!$C:$U,2+$E73,0))+IF(FF$5="X",VLOOKUP(FF$10,'VK-Põlevkivi'!$C:$X,2+$G73,0))+IF(FF$4="X",VLOOKUP(FF$10,'VK-Võrgud'!$C:$X,2+$F73,0)))/16</f>
        <v>175.48683123010088</v>
      </c>
      <c r="FG73" s="88">
        <f t="shared" ca="1" si="30"/>
        <v>79.304767531009844</v>
      </c>
      <c r="FH73" s="88"/>
      <c r="FI73" s="88"/>
      <c r="FJ73" s="88">
        <f>VLOOKUP(Tulemused!$BN$12,data!M$7:N$12,2,FALSE)-SUM(L73,M73)</f>
        <v>-1.2238666666666731</v>
      </c>
      <c r="FK73" s="209" t="str">
        <f>IF(AZ73&lt;=VLOOKUP(Tulemused!$BN$15,data!$E$36:$F$39,2,FALSE),"JAH","EI")</f>
        <v>JAH</v>
      </c>
      <c r="FL73" s="235">
        <f ca="1">IF(ISNA(MATCH($A73,INDIRECT(VLOOKUP(Tulemused!$BF$11,data!$J$57:$M$71,4,FALSE)))),0,MATCH($A73,INDIRECT(VLOOKUP(Tulemused!$BF$11,data!$J$57:$M$71,4,FALSE))))</f>
        <v>0</v>
      </c>
      <c r="FM73" s="235" t="str">
        <f t="shared" ca="1" si="45"/>
        <v>JAH</v>
      </c>
      <c r="FN73" s="209">
        <f>VLOOKUP(Tulemused!$BN$13,data!$C$132:$D$137,2,FALSE)-KOMBI!R73</f>
        <v>3.1013876728770304</v>
      </c>
      <c r="FO73" s="209"/>
      <c r="FP73" s="209">
        <f>VLOOKUP(Tulemused!$BN$17,NO_x,2,FALSE)-CJ73</f>
        <v>11.259</v>
      </c>
      <c r="FQ73" s="209">
        <f>VLOOKUP(Tulemused!$BN$18,SO_2,2,FALSE)-CK73</f>
        <v>40.010256790007283</v>
      </c>
      <c r="FR73" s="209">
        <f>VLOOKUP(Tulemused!$BN$19,LOU,2,FALSE)-CN73</f>
        <v>34.087000000000003</v>
      </c>
      <c r="FS73" s="209">
        <f>VLOOKUP(Tulemused!$BN$20,PM_2.5,2,FALSE)-CM73</f>
        <v>9.1419999999999995</v>
      </c>
      <c r="FT73" s="209">
        <f>VLOOKUP(Tulemused!$BN$13,data!$C$132:$D$137,2,FALSE)-FA73/1000</f>
        <v>2.9456240000000005</v>
      </c>
      <c r="FU73" s="209">
        <f>VLOOKUP(Tulemused!$BN$17,NO_x,2,FALSE)-CO73</f>
        <v>5.4284247892027189</v>
      </c>
      <c r="FV73" s="209">
        <f>VLOOKUP(Tulemused!$BN$18,SO_2,2,FALSE)-CP73</f>
        <v>38.442005169650173</v>
      </c>
      <c r="FW73" s="209">
        <f>VLOOKUP(Tulemused!$BN$19,LOU,2,FALSE)-CS73</f>
        <v>33.235665509940176</v>
      </c>
      <c r="FX73" s="209">
        <f>VLOOKUP(Tulemused!$BN$20,PM_2.5,2,FALSE)-CR73</f>
        <v>9.0509127215424243</v>
      </c>
      <c r="FY73" s="209">
        <f>VLOOKUP(Tulemused!$BN$14,KHG_2050,2,FALSE)-EF73</f>
        <v>95.656617672877033</v>
      </c>
      <c r="FZ73" s="231" t="str">
        <f t="shared" ca="1" si="31"/>
        <v>EI</v>
      </c>
      <c r="GA73" s="209"/>
      <c r="GB73" s="209"/>
      <c r="GC73" s="209"/>
      <c r="GD73" s="231"/>
      <c r="GE73" s="87">
        <f t="shared" si="46"/>
        <v>1467</v>
      </c>
      <c r="GF73" s="232" t="str">
        <f t="shared" ca="1" si="32"/>
        <v/>
      </c>
      <c r="GH73" s="238" t="e">
        <f t="shared" ca="1" si="47"/>
        <v>#NUM!</v>
      </c>
      <c r="GI73" s="87" t="e">
        <f t="array" aca="1" ref="GI73" ca="1">INDEX($A$11:$A$145, SMALL(IF(GH73=$GF$11:$GF$145, MATCH(ROW($GF$11:$GF$145), ROW($GF$11:$GF$145))), SUM(--(GH73=$GH$11:GH73))))</f>
        <v>#NUM!</v>
      </c>
      <c r="GM73" s="209">
        <f>IF(GM$7="X",VLOOKUP(GM$10,'VK-Hooned-Soojus'!$C:$X,2+$C73,FALSE),0)+IF(GM$6="X",VLOOKUP(GM$10,'VK-Transport'!$C:$X,2+$B73,0))+IF(GM$8="X",VLOOKUP(GM$10,'VK-Elekter'!$C:$X,2+$D73,0))+IF(GM$9="X",VLOOKUP(GM$10,'VK-Biokütused'!$C:$U,2+$E73,0))+IF(GM$5="X",VLOOKUP(GM$10,'VK-Põlevkivi'!$C:$X,2+$G73,0))+IF(GM$4="X",VLOOKUP(GM$10,'VK-Võrgud'!$C:$X,2+$F73,0))</f>
        <v>6.012827991027228</v>
      </c>
      <c r="GN73" s="209">
        <f>IF(GN$7="X",VLOOKUP(GN$10,'VK-Hooned-Soojus'!$C:$X,2+$C73,FALSE),0)+IF(GN$6="X",VLOOKUP(GN$10,'VK-Transport'!$C:$X,2+$B73,0))+IF(GN$8="X",VLOOKUP(GN$10,'VK-Elekter'!$C:$X,2+$D73,0))+IF(GN$9="X",VLOOKUP(GN$10,'VK-Biokütused'!$C:$U,2+$E73,0))+IF(GN$5="X",VLOOKUP(GN$10,'VK-Põlevkivi'!$C:$X,2+$G73,0))+IF(GN$4="X",VLOOKUP(GN$10,'VK-Võrgud'!$C:$X,2+$F73,0))</f>
        <v>3.4467619395011728</v>
      </c>
      <c r="GO73" s="209">
        <f>IF(GO$7="X",VLOOKUP(GO$10,'VK-Hooned-Soojus'!$C:$X,2+$C73,FALSE),0)+IF(GO$6="X",VLOOKUP(GO$10,'VK-Transport'!$C:$X,2+$B73,0))+IF(GO$8="X",VLOOKUP(GO$10,'VK-Elekter'!$C:$X,2+$D73,0))+IF(GO$9="X",VLOOKUP(GO$10,'VK-Biokütused'!$C:$U,2+$E73,0))+IF(GO$5="X",VLOOKUP(GO$10,'VK-Põlevkivi'!$C:$X,2+$G73,0))+IF(GO$4="X",VLOOKUP(GO$10,'VK-Võrgud'!$C:$X,2+$F73,0))</f>
        <v>7.936370010272257</v>
      </c>
      <c r="GP73" s="209">
        <f>IF(GP$7="X",VLOOKUP(GP$10,'VK-Hooned-Soojus'!$C:$X,2+$C73,FALSE),0)+IF(GP$6="X",VLOOKUP(GP$10,'VK-Transport'!$C:$X,2+$B73,0))+IF(GP$8="X",VLOOKUP(GP$10,'VK-Elekter'!$C:$X,2+$D73,0))+IF(GP$9="X",VLOOKUP(GP$10,'VK-Biokütused'!$C:$U,2+$E73,0))+IF(GP$5="X",VLOOKUP(GP$10,'VK-Põlevkivi'!$C:$X,2+$G73,0))+IF(GP$4="X",VLOOKUP(GP$10,'VK-Võrgud'!$C:$X,2+$F73,0))</f>
        <v>9.1527946929596489</v>
      </c>
      <c r="GQ73" s="88">
        <f>IF(GQ$7="X",VLOOKUP(GQ$10,'VK-Hooned-Soojus'!$C:$X,2+$C73,FALSE),0)+IF(GQ$6="X",VLOOKUP(GQ$10,'VK-Transport'!$C:$X,2+$B73,0))+IF(GQ$8="X",VLOOKUP(GQ$10,'VK-Elekter'!$C:$X,2+$D73,0))+IF(GQ$9="X",VLOOKUP(GQ$10,'VK-Biokütused'!$C:$U,2+$E73,0))+IF(GQ$5="X",VLOOKUP(GQ$10,'VK-Põlevkivi'!$C:$X,2+$G73,0))+IF(GQ$4="X",VLOOKUP(GQ$10,'VK-Võrgud'!$C:$X,2+$F73,0))</f>
        <v>0.90618397335647782</v>
      </c>
      <c r="GR73" s="186">
        <f t="shared" si="33"/>
        <v>0.39656672034307427</v>
      </c>
    </row>
    <row r="74" spans="1:200" x14ac:dyDescent="0.2">
      <c r="A74" s="184">
        <v>64</v>
      </c>
      <c r="B74" s="87">
        <v>2</v>
      </c>
      <c r="C74" s="87">
        <v>2</v>
      </c>
      <c r="D74" s="87">
        <v>2</v>
      </c>
      <c r="E74" s="87">
        <v>1</v>
      </c>
      <c r="F74" s="87">
        <f>VLOOKUP(Tulemused!$BF$7,data!$J$6:$K$8,2,FALSE)</f>
        <v>2</v>
      </c>
      <c r="G74" s="87">
        <f>VLOOKUP(data!$H$2,data!$J$12:$K$14,2,FALSE)</f>
        <v>2</v>
      </c>
      <c r="I74" s="209">
        <f>IF(I$7="X",VLOOKUP(I$10,'VK-Hooned-Soojus'!$C:$X,2+$C74,FALSE),0)+IF(I$6="X",VLOOKUP(I$10,'VK-Transport'!$C:$X,2+$B74,0))+IF(I$8="X",VLOOKUP(I$10,'VK-Elekter'!$C:$X,2+$D74,0))+IF(I$9="X",VLOOKUP(I$10,'VK-Biokütused'!$C:$U,2+$E74,0))+IF(I$5="X",VLOOKUP(I$10,'VK-Põlevkivi'!$C:$X,2+$G74,0))+IF(I$4="X",VLOOKUP(I$10,'VK-Võrgud'!$C:$X,2+$F74,0))</f>
        <v>24.79</v>
      </c>
      <c r="J74" s="209">
        <f>IF(J$7="X",VLOOKUP(J$10,'VK-Hooned-Soojus'!$C:$X,2+$C74,FALSE),0)+IF(J$6="X",VLOOKUP(J$10,'VK-Transport'!$C:$X,2+$B74,0))+IF(J$8="X",VLOOKUP(J$10,'VK-Elekter'!$C:$X,2+$D74,0))+IF(J$9="X",VLOOKUP(J$10,'VK-Biokütused'!$C:$U,2+$E74,0))+IF(J$5="X",VLOOKUP(J$10,'VK-Põlevkivi'!$C:$X,2+$G74,0))+IF(J$4="X",VLOOKUP(J$10,'VK-Võrgud'!$C:$X,2+$F74,0))</f>
        <v>11.138055555555555</v>
      </c>
      <c r="K74" s="209">
        <f>IF(K$7="X",VLOOKUP(K$10,'VK-Hooned-Soojus'!$C:$X,2+$C74,FALSE),0)+IF(K$6="X",VLOOKUP(K$10,'VK-Transport'!$C:$X,2+$B74,0))+IF(K$8="X",VLOOKUP(K$10,'VK-Elekter'!$C:$X,2+$D74,0))+IF(K$9="X",VLOOKUP(K$10,'VK-Biokütused'!$C:$U,2+$E74,0))+IF(K$5="X",VLOOKUP(K$10,'VK-Põlevkivi'!$C:$X,2+$G74,0))+IF(K$4="X",VLOOKUP(K$10,'VK-Võrgud'!$C:$X,2+$F74,0))</f>
        <v>15.27</v>
      </c>
      <c r="L74" s="209">
        <f>IF(L$7="X",VLOOKUP(L$10,'VK-Hooned-Soojus'!$C:$X,2+$C74,FALSE),0)+IF(L$6="X",VLOOKUP(L$10,'VK-Transport'!$C:$X,2+$B74,0))+IF(L$8="X",VLOOKUP(L$10,'VK-Elekter'!$C:$X,2+$D74,0))+IF(L$9="X",VLOOKUP(L$10,'VK-Biokütused'!$C:$U,2+$E74,0))+IF(L$5="X",VLOOKUP(L$10,'VK-Põlevkivi'!$C:$X,2+$G74,0))+IF(L$4="X",VLOOKUP(L$10,'VK-Võrgud'!$C:$X,2+$F74,0))</f>
        <v>24.2</v>
      </c>
      <c r="M74" s="209">
        <f>IF(M$7="X",VLOOKUP(M$10,'VK-Hooned-Soojus'!$C:$X,2+$C74,FALSE),0)+IF(M$6="X",VLOOKUP(M$10,'VK-Transport'!$C:$X,2+$B74,0))+IF(M$8="X",VLOOKUP(M$10,'VK-Elekter'!$C:$X,2+$D74,0))+IF(M$9="X",VLOOKUP(M$10,'VK-Biokütused'!$C:$U,2+$E74,0))+IF(M$5="X",VLOOKUP(M$10,'VK-Põlevkivi'!$C:$X,2+$G74,0))+IF(M$4="X",VLOOKUP(M$10,'VK-Võrgud'!$C:$X,2+$F74,0))</f>
        <v>9.8566666666666674</v>
      </c>
      <c r="N74" s="209">
        <f>IF(N$7="X",VLOOKUP(N$10,'VK-Hooned-Soojus'!$C:$X,2+$C74,FALSE),0)+IF(N$6="X",VLOOKUP(N$10,'VK-Transport'!$C:$X,2+$B74,0))+IF(N$8="X",VLOOKUP(N$10,'VK-Elekter'!$C:$X,2+$D74,0))+IF(N$9="X",VLOOKUP(N$10,'VK-Biokütused'!$C:$U,2+$E74,0))+IF(N$5="X",VLOOKUP(N$10,'VK-Põlevkivi'!$C:$X,2+$G74,0))+IF(N$4="X",VLOOKUP(N$10,'VK-Võrgud'!$C:$X,2+$F74,0))</f>
        <v>16.09</v>
      </c>
      <c r="O74" s="209">
        <f t="shared" si="13"/>
        <v>35.928055555555552</v>
      </c>
      <c r="P74" s="209"/>
      <c r="Q74" s="209">
        <f>(IF(Q$7="X",VLOOKUP(Q$10,'VK-Hooned-Soojus'!$C:$X,2+$C74,FALSE),0)+IF(Q$6="X",VLOOKUP(Q$10,'VK-Transport'!$C:$X,2+$B74,0))+IF(Q$8="X",VLOOKUP(Q$10,'VK-Elekter'!$C:$X,2+$D74,0))+IF(Q$9="X",VLOOKUP(Q$10,'VK-Biokütused'!$C:$U,2+$E74,0))+IF(Q$5="X",VLOOKUP(Q$10,'VK-Põlevkivi'!$C:$X,2+$G74,0))+IF(Q$4="X",VLOOKUP(Q$10,'VK-Võrgud'!$C:$X,2+$F74,0)))/1000</f>
        <v>5.0979999999999999</v>
      </c>
      <c r="R74" s="209">
        <f>(IF(R$7="X",VLOOKUP(R$10,'VK-Hooned-Soojus'!$C:$X,2+$C74,FALSE),0)+IF(R$6="X",VLOOKUP(R$10,'VK-Transport'!$C:$X,2+$B74,0))+IF(R$8="X",VLOOKUP(R$10,'VK-Elekter'!$C:$X,2+$D74,0))+IF(R$9="X",VLOOKUP(R$10,'VK-Biokütused'!$C:$U,2+$E74,0))+IF(R$5="X",VLOOKUP(R$10,'VK-Põlevkivi'!$C:$X,2+$G74,0))+IF(R$4="X",VLOOKUP(R$10,'VK-Võrgud'!$C:$X,2+$F74,0)))/1000</f>
        <v>2.5583823271229704</v>
      </c>
      <c r="S74" s="226">
        <f>VLOOKUP(S$10,'VK-Hooned-Soojus'!$C:$I,2+$C74,FALSE) + VLOOKUP(S$10,'VK-Transport'!$C:$I,2+$B74,FALSE)+ VLOOKUP(S$10,'VK-Biokütused'!$C:$G,2+$E74,FALSE)+ VLOOKUP(S$10,'VK-Elekter'!$C:$I,2+$D74,FALSE)+ VLOOKUP(S$10,'VK-Põlevkivi'!$C:$I,2+$G74,FALSE)+ VLOOKUP(S$10,'VK-Võrgud'!$C:$I,2+$F74,FALSE)</f>
        <v>7.4413643104428821E-3</v>
      </c>
      <c r="T74" s="226">
        <f>VLOOKUP(T$10,'VK-Hooned-Soojus'!$C:$I,2+$C74,FALSE) + VLOOKUP(T$10,'VK-Transport'!$C:$I,2+$B74,FALSE)+ VLOOKUP(T$10,'VK-Biokütused'!$C:$G,2+$E74,FALSE)+ VLOOKUP(T$10,'VK-Elekter'!$C:$I,2+$D74,FALSE)+ VLOOKUP(T$10,'VK-Põlevkivi'!$C:$I,2+$G74,FALSE)+ VLOOKUP(T$10,'VK-Võrgud'!$C:$I,2+$F74,FALSE)</f>
        <v>2.0589499368268011E-3</v>
      </c>
      <c r="U74" s="226">
        <f>VLOOKUP(U$10,'VK-Hooned-Soojus'!$C:$I,2+$C74,FALSE) + VLOOKUP(U$10,'VK-Transport'!$C:$I,2+$B74,FALSE)+ VLOOKUP(U$10,'VK-Biokütused'!$C:$G,2+$E74,FALSE)+ VLOOKUP(U$10,'VK-Elekter'!$C:$I,2+$D74,FALSE)+ VLOOKUP(U$10,'VK-Põlevkivi'!$C:$I,2+$G74,FALSE)+ VLOOKUP(U$10,'VK-Võrgud'!$C:$I,2+$F74,FALSE)</f>
        <v>1.1002831218942521E-3</v>
      </c>
      <c r="V74" s="226">
        <f>VLOOKUP(V$10,'VK-Hooned-Soojus'!$C:$I,2+$C74,FALSE) + VLOOKUP(V$10,'VK-Transport'!$C:$I,2+$B74,FALSE)+ VLOOKUP(V$10,'VK-Biokütused'!$C:$G,2+$E74,FALSE)+ VLOOKUP(V$10,'VK-Elekter'!$C:$I,2+$D74,FALSE)+ VLOOKUP(V$10,'VK-Põlevkivi'!$C:$I,2+$G74,FALSE)+ VLOOKUP(V$10,'VK-Võrgud'!$C:$I,2+$F74,FALSE)</f>
        <v>6.3658810807618203E-3</v>
      </c>
      <c r="W74" s="226">
        <f>VLOOKUP(W$10,'VK-Hooned-Soojus'!$C:$I,2+$C74,FALSE) + VLOOKUP(W$10,'VK-Transport'!$C:$I,2+$B74,FALSE)+ VLOOKUP(W$10,'VK-Biokütused'!$C:$G,2+$E74,FALSE)+ VLOOKUP(W$10,'VK-Elekter'!$C:$I,2+$D74,FALSE)+ VLOOKUP(W$10,'VK-Põlevkivi'!$C:$I,2+$G74,FALSE)+ VLOOKUP(W$10,'VK-Võrgud'!$C:$I,2+$F74,FALSE)</f>
        <v>-2.8586614250970251E-2</v>
      </c>
      <c r="X74" s="226">
        <f>VLOOKUP(X$10,'VK-Hooned-Soojus'!$C:$I,2+$C74,FALSE) + VLOOKUP(X$10,'VK-Transport'!$C:$I,2+$B74,FALSE)+ VLOOKUP(X$10,'VK-Biokütused'!$C:$G,2+$E74,FALSE)+ VLOOKUP(X$10,'VK-Elekter'!$C:$I,2+$D74,FALSE)+ VLOOKUP(X$10,'VK-Põlevkivi'!$C:$I,2+$G74,FALSE)+ VLOOKUP(X$10,'VK-Võrgud'!$C:$I,2+$F74,FALSE)</f>
        <v>-3.174777787153691E-2</v>
      </c>
      <c r="Y74" s="226">
        <f>VLOOKUP(Y$10,'VK-Hooned-Soojus'!$C:$I,2+$C74,FALSE) + VLOOKUP(Y$10,'VK-Transport'!$C:$I,2+$B74,FALSE)+ VLOOKUP(Y$10,'VK-Biokütused'!$C:$G,2+$E74,FALSE)+ VLOOKUP(Y$10,'VK-Elekter'!$C:$I,2+$D74,FALSE)+ VLOOKUP(Y$10,'VK-Põlevkivi'!$C:$I,2+$G74,FALSE)+ VLOOKUP(Y$10,'VK-Võrgud'!$C:$I,2+$F74,FALSE)</f>
        <v>-4.3535447600146555E-2</v>
      </c>
      <c r="Z74" s="227">
        <f>(S74*Tulemused!$Q$9*10+T74*Tulemused!$Q$10*10+KOMBI!U74*Tulemused!$Q$11*10+KOMBI!V74*Tulemused!$Q$12*10)*Tulemused!$Q$8+-(W74*Tulemused!$Q$14*10+KOMBI!X74*Tulemused!$Q$15*10+KOMBI!Y74*Tulemused!$Q$16*10)*Tulemused!$Q$13</f>
        <v>3.0495479698008232</v>
      </c>
      <c r="AA74" s="228">
        <f>(IF(AA$7="X",VLOOKUP(AA$10,'VK-Hooned-Soojus'!$C:$X,2+$C74,FALSE),0)+IF(AA$6="X",VLOOKUP(AA$10,'VK-Transport'!$C:$X,2+$B74,0))+IF(AA$8="X",VLOOKUP(AA$10,'VK-Elekter'!$C:$X,2+$D74,0))+IF(AA$9="X",VLOOKUP(AA$10,'VK-Biokütused'!$C:$U,2+$E74,0))+IF(AA$5="X",VLOOKUP(AA$10,'VK-Põlevkivi'!$C:$X,2+$G74,0))+IF(AA$4="X",VLOOKUP(AA$10,'VK-Võrgud'!$C:$X,2+$F74,0)))</f>
        <v>3761</v>
      </c>
      <c r="AB74" s="228">
        <f>(IF(AB$7="X",VLOOKUP(AB$10,'VK-Hooned-Soojus'!$C:$X,2+$C74,FALSE),0)+IF(AB$6="X",VLOOKUP(AB$10,'VK-Transport'!$C:$X,2+$B74,0))+IF(AB$8="X",VLOOKUP(AB$10,'VK-Elekter'!$C:$X,2+$D74,0))+IF(AB$9="X",VLOOKUP(AB$10,'VK-Biokütused'!$C:$U,2+$E74,0))+IF(AB$5="X",VLOOKUP(AB$10,'VK-Põlevkivi'!$C:$X,2+$G74,0))+IF(AB$4="X",VLOOKUP(AB$10,'VK-Võrgud'!$C:$X,2+$F74,0)))</f>
        <v>1337</v>
      </c>
      <c r="AC74" s="228">
        <f>(IF(AC$7="X",VLOOKUP(AC$10,'VK-Hooned-Soojus'!$C:$X,2+$C74,FALSE),0)+IF(AC$6="X",VLOOKUP(AC$10,'VK-Transport'!$C:$X,2+$B74,0))+IF(AC$8="X",VLOOKUP(AC$10,'VK-Elekter'!$C:$X,2+$D74,0))+IF(AC$9="X",VLOOKUP(AC$10,'VK-Biokütused'!$C:$U,2+$E74,0))+IF(AC$5="X",VLOOKUP(AC$10,'VK-Põlevkivi'!$C:$X,2+$G74,0))+IF(AC$4="X",VLOOKUP(AC$10,'VK-Võrgud'!$C:$X,2+$F74,0)))</f>
        <v>2346</v>
      </c>
      <c r="AD74" s="228">
        <f>(IF(AD$7="X",VLOOKUP(AD$10,'VK-Hooned-Soojus'!$C:$X,2+$C74,FALSE),0)+IF(AD$6="X",VLOOKUP(AD$10,'VK-Transport'!$C:$X,2+$B74,0))+IF(AD$8="X",VLOOKUP(AD$10,'VK-Elekter'!$C:$X,2+$D74,0))+IF(AD$9="X",VLOOKUP(AD$10,'VK-Biokütused'!$C:$U,2+$E74,0))+IF(AD$5="X",VLOOKUP(AD$10,'VK-Põlevkivi'!$C:$X,2+$G74,0))+IF(AD$4="X",VLOOKUP(AD$10,'VK-Võrgud'!$C:$X,2+$F74,0)))</f>
        <v>0</v>
      </c>
      <c r="AE74" s="228">
        <f>(IF(AE$7="X",VLOOKUP(AE$10,'VK-Hooned-Soojus'!$C:$X,2+$C74,FALSE),0)+IF(AE$6="X",VLOOKUP(AE$10,'VK-Transport'!$C:$X,2+$B74,0))+IF(AE$8="X",VLOOKUP(AE$10,'VK-Elekter'!$C:$X,2+$D74,0))+IF(AE$9="X",VLOOKUP(AE$10,'VK-Biokütused'!$C:$U,2+$E74,0))+IF(AE$5="X",VLOOKUP(AE$10,'VK-Põlevkivi'!$C:$X,2+$G74,0))+IF(AE$4="X",VLOOKUP(AE$10,'VK-Võrgud'!$C:$X,2+$F74,0)))</f>
        <v>666</v>
      </c>
      <c r="AF74" s="228">
        <f>(IF(AF$7="X",VLOOKUP(AF$10,'VK-Hooned-Soojus'!$C:$X,2+$C74,FALSE),0)+IF(AF$6="X",VLOOKUP(AF$10,'VK-Transport'!$C:$X,2+$B74,0))+IF(AF$8="X",VLOOKUP(AF$10,'VK-Elekter'!$C:$X,2+$D74,0))+IF(AF$9="X",VLOOKUP(AF$10,'VK-Biokütused'!$C:$U,2+$E74,0))+IF(AF$5="X",VLOOKUP(AF$10,'VK-Põlevkivi'!$C:$X,2+$G74,0))+IF(AF$4="X",VLOOKUP(AF$10,'VK-Võrgud'!$C:$X,2+$F74,0)))</f>
        <v>1892.3823271229701</v>
      </c>
      <c r="AG74" s="209"/>
      <c r="AH74" s="209">
        <f>IF(AH$7="X",VLOOKUP(AH$10,'VK-Hooned-Soojus'!$C:$X,2+$C74,FALSE),0)+IF(AH$6="X",VLOOKUP(AH$10,'VK-Transport'!$C:$X,2+$B74,0))+IF(AH$8="X",VLOOKUP(AH$10,'VK-Elekter'!$C:$X,2+$D74,0))+IF(AH$9="X",VLOOKUP(AH$10,'VK-Biokütused'!$C:$U,2+$E74,0))+IF(AH$5="X",VLOOKUP(AH$10,'VK-Põlevkivi'!$C:$X,2+$G74,0))+IF(AH$4="X",VLOOKUP(AH$10,'VK-Võrgud'!$C:$X,2+$F74,0))</f>
        <v>11.64</v>
      </c>
      <c r="AI74" s="209">
        <f>IF(AI$7="X",VLOOKUP(AI$10,'VK-Hooned-Soojus'!$C:$X,2+$C74,FALSE),0)+IF(AI$6="X",VLOOKUP(AI$10,'VK-Transport'!$C:$X,2+$B74,0))+IF(AI$8="X",VLOOKUP(AI$10,'VK-Elekter'!$C:$X,2+$D74,0))+IF(AI$9="X",VLOOKUP(AI$10,'VK-Biokütused'!$C:$U,2+$E74,0))+IF(AI$5="X",VLOOKUP(AI$10,'VK-Põlevkivi'!$C:$X,2+$G74,0))+IF(AI$4="X",VLOOKUP(AI$10,'VK-Võrgud'!$C:$X,2+$F74,0))</f>
        <v>2.3100000000000005</v>
      </c>
      <c r="AJ74" s="209">
        <f>IF(AJ$7="X",VLOOKUP(AJ$10,'VK-Hooned-Soojus'!$C:$X,2+$C74,FALSE),0)+IF(AJ$6="X",VLOOKUP(AJ$10,'VK-Transport'!$C:$X,2+$B74,0))+IF(AJ$8="X",VLOOKUP(AJ$10,'VK-Elekter'!$C:$X,2+$D74,0))+IF(AJ$9="X",VLOOKUP(AJ$10,'VK-Biokütused'!$C:$U,2+$E74,0))+IF(AJ$5="X",VLOOKUP(AJ$10,'VK-Põlevkivi'!$C:$X,2+$G74,0))+IF(AJ$4="X",VLOOKUP(AJ$10,'VK-Võrgud'!$C:$X,2+$F74,0))</f>
        <v>9.25</v>
      </c>
      <c r="AK74" s="209">
        <f>IF(AK$7="X",VLOOKUP(AK$10,'VK-Hooned-Soojus'!$C:$X,2+$C74,FALSE),0)+IF(AK$6="X",VLOOKUP(AK$10,'VK-Transport'!$C:$X,2+$B74,0))+IF(AK$8="X",VLOOKUP(AK$10,'VK-Elekter'!$C:$X,2+$D74,0))+IF(AK$9="X",VLOOKUP(AK$10,'VK-Biokütused'!$C:$U,2+$E74,0))+IF(AK$5="X",VLOOKUP(AK$10,'VK-Põlevkivi'!$C:$X,2+$G74,0))+IF(AK$4="X",VLOOKUP(AK$10,'VK-Võrgud'!$C:$X,2+$F74,0))</f>
        <v>2.78</v>
      </c>
      <c r="AL74" s="209">
        <f>IF(AL$7="X",VLOOKUP(AL$10,'VK-Hooned-Soojus'!$C:$X,2+$C74,FALSE),0)+IF(AL$6="X",VLOOKUP(AL$10,'VK-Transport'!$C:$X,2+$B74,0))+IF(AL$8="X",VLOOKUP(AL$10,'VK-Elekter'!$C:$X,2+$D74,0))+IF(AL$9="X",VLOOKUP(AL$10,'VK-Biokütused'!$C:$U,2+$E74,0))+IF(AL$5="X",VLOOKUP(AL$10,'VK-Põlevkivi'!$C:$X,2+$G74,0))+IF(AL$4="X",VLOOKUP(AL$10,'VK-Võrgud'!$C:$X,2+$F74,0))</f>
        <v>7.1999999999999993</v>
      </c>
      <c r="AM74" s="209">
        <f>IF(AM$7="X",VLOOKUP(AM$10,'VK-Hooned-Soojus'!$C:$X,2+$C74,FALSE),0)+IF(AM$6="X",VLOOKUP(AM$10,'VK-Transport'!$C:$X,2+$B74,0))+IF(AM$8="X",VLOOKUP(AM$10,'VK-Elekter'!$C:$X,2+$D74,0))+IF(AM$9="X",VLOOKUP(AM$10,'VK-Biokütused'!$C:$U,2+$E74,0))+IF(AM$5="X",VLOOKUP(AM$10,'VK-Põlevkivi'!$C:$X,2+$G74,0))+IF(AM$4="X",VLOOKUP(AM$10,'VK-Võrgud'!$C:$X,2+$F74,0))</f>
        <v>11.9</v>
      </c>
      <c r="AN74" s="209">
        <f>IF(AN$7="X",VLOOKUP(AN$10,'VK-Hooned-Soojus'!$C:$X,2+$C74,FALSE),0)+IF(AN$6="X",VLOOKUP(AN$10,'VK-Transport'!$C:$X,2+$B74,0))+IF(AN$8="X",VLOOKUP(AN$10,'VK-Elekter'!$C:$X,2+$D74,0))+IF(AN$9="X",VLOOKUP(AN$10,'VK-Biokütused'!$C:$U,2+$E74,0))+IF(AN$5="X",VLOOKUP(AN$10,'VK-Põlevkivi'!$C:$X,2+$G74,0))+IF(AN$4="X",VLOOKUP(AN$10,'VK-Võrgud'!$C:$X,2+$F74,0))</f>
        <v>4.8999999999999995</v>
      </c>
      <c r="AO74" s="209">
        <f>IF(AO$7="X",VLOOKUP(AO$10,'VK-Hooned-Soojus'!$C:$X,2+$C74,FALSE),0)+IF(AO$6="X",VLOOKUP(AO$10,'VK-Transport'!$C:$X,2+$B74,0))+IF(AO$8="X",VLOOKUP(AO$10,'VK-Elekter'!$C:$X,2+$D74,0))+IF(AO$9="X",VLOOKUP(AO$10,'VK-Biokütused'!$C:$U,2+$E74,0))+IF(AO$5="X",VLOOKUP(AO$10,'VK-Põlevkivi'!$C:$X,2+$G74,0))+IF(AO$4="X",VLOOKUP(AO$10,'VK-Võrgud'!$C:$X,2+$F74,0))</f>
        <v>12.56</v>
      </c>
      <c r="AP74" s="209">
        <f>IF(AP$7="X",VLOOKUP(AP$10,'VK-Hooned-Soojus'!$C:$X,2+$C74,FALSE),0)+IF(AP$6="X",VLOOKUP(AP$10,'VK-Transport'!$C:$X,2+$B74,0))+IF(AP$8="X",VLOOKUP(AP$10,'VK-Elekter'!$C:$X,2+$D74,0))+IF(AP$9="X",VLOOKUP(AP$10,'VK-Biokütused'!$C:$U,2+$E74,0))+IF(AP$5="X",VLOOKUP(AP$10,'VK-Põlevkivi'!$C:$X,2+$G74,0))+IF(AP$4="X",VLOOKUP(AP$10,'VK-Võrgud'!$C:$X,2+$F74,0))</f>
        <v>6.28</v>
      </c>
      <c r="AQ74" s="320">
        <f t="shared" si="14"/>
        <v>0.25999999999999979</v>
      </c>
      <c r="AR74" s="209">
        <f>IF(AR$7="X",VLOOKUP(AR$10,'VK-Hooned-Soojus'!$C:$X,2+$C74,FALSE),0)+IF(AR$6="X",VLOOKUP(AR$10,'VK-Transport'!$C:$X,2+$B74,0))+IF(AR$8="X",VLOOKUP(AR$10,'VK-Elekter'!$C:$X,2+$D74,0))+IF(AR$9="X",VLOOKUP(AR$10,'VK-Biokütused'!$C:$U,2+$E74,0))+IF(AR$5="X",VLOOKUP(AR$10,'VK-Põlevkivi'!$C:$X,2+$G74,0))+IF(AR$4="X",VLOOKUP(AR$10,'VK-Võrgud'!$C:$X,2+$F74,0))</f>
        <v>2.8899999999999997</v>
      </c>
      <c r="AS74" s="320">
        <f>VLOOKUP("Kütuste tarbimine @ 2030 - UTTEGAAS",'VK-Hooned-Soojus'!$C:$X,2+$C74,FALSE)/0.172+VLOOKUP("Kütuste tarbimine @ 2030 - UTTEGAAS",'VK-Elekter'!$C:$X,2+$D74,FALSE)/0.172-AR74-AU74</f>
        <v>2.8565116279069773</v>
      </c>
      <c r="AT74" s="209">
        <f>IF(AT$7="X",VLOOKUP(AT$10,'VK-Hooned-Soojus'!$C:$X,2+$C74,FALSE),0)+IF(AT$6="X",VLOOKUP(AT$10,'VK-Transport'!$C:$X,2+$B74,0))+IF(AT$8="X",VLOOKUP(AT$10,'VK-Elekter'!$C:$X,2+$D74,0))+IF(AT$9="X",VLOOKUP(AT$10,'VK-Biokütused'!$C:$U,2+$E74,0))+IF(AT$5="X",VLOOKUP(AT$10,'VK-Põlevkivi'!$C:$X,2+$G74,0))+IF(AT$4="X",VLOOKUP(AT$10,'VK-Võrgud'!$C:$X,2+$F74,0))</f>
        <v>9.2784458909544707</v>
      </c>
      <c r="AU74" s="229">
        <f>MAX(0,(VLOOKUP("Kütuste tarbimine @ 2030 - UTTEGAAS",'VK-Hooned-Soojus'!$C:$X,2+$C74,FALSE)/0.172+VLOOKUP("Kütuste tarbimine @ 2030 - UTTEGAAS",'VK-Elekter'!$C:$X,2+$D74,FALSE)/0.172)*0.52-VLOOKUP("Kütuste tarbimine @ 2030 - PÕLEVKIVIÕLI",'VK-Hooned-Soojus'!$C:$X,2+$C74,FALSE))</f>
        <v>5.1837209302325586</v>
      </c>
      <c r="AV74" s="209">
        <f>IF(AV$7="X",VLOOKUP(AV$10,'VK-Hooned-Soojus'!$C:$X,2+$C74,FALSE),0)+IF(AV$6="X",VLOOKUP(AV$10,'VK-Transport'!$C:$X,2+$B74,0))+IF(AV$8="X",VLOOKUP(AV$10,'VK-Elekter'!$C:$X,2+$D74,0))+IF(AV$9="X",VLOOKUP(AV$10,'VK-Biokütused'!$C:$U,2+$E74,0))+IF(AV$5="X",VLOOKUP(AV$10,'VK-Põlevkivi'!$C:$X,2+$G74,0))+IF(AV$4="X",VLOOKUP(AV$10,'VK-Võrgud'!$C:$X,2+$F74,0))</f>
        <v>1.7257321590343366</v>
      </c>
      <c r="AW74" s="209">
        <f>IF(AW$7="X",VLOOKUP(AW$10,'VK-Hooned-Soojus'!$C:$X,2+$C74,FALSE),0)+IF(AW$6="X",VLOOKUP(AW$10,'VK-Transport'!$C:$X,2+$B74,0))+IF(AW$8="X",VLOOKUP(AW$10,'VK-Elekter'!$C:$X,2+$D74,0))+IF(AW$9="X",VLOOKUP(AW$10,'VK-Biokütused'!$C:$U,2+$E74,0))+IF(AW$5="X",VLOOKUP(AW$10,'VK-Põlevkivi'!$C:$X,2+$G74,0))+IF(AW$4="X",VLOOKUP(AW$10,'VK-Võrgud'!$C:$X,2+$F74,0))</f>
        <v>0</v>
      </c>
      <c r="AX74" s="229">
        <f t="shared" si="34"/>
        <v>0</v>
      </c>
      <c r="AY74" s="229">
        <f t="shared" si="15"/>
        <v>1.7257321590343366</v>
      </c>
      <c r="AZ74" s="230">
        <f t="shared" si="36"/>
        <v>0.58384307377096734</v>
      </c>
      <c r="BA74" s="209">
        <f>IF(BA$7="X",VLOOKUP(BA$10,'VK-Hooned-Soojus'!$C:$X,2+$C74,FALSE),0)+IF(BA$6="X",VLOOKUP(BA$10,'VK-Transport'!$C:$X,2+$B74,0))+IF(BA$8="X",VLOOKUP(BA$10,'VK-Elekter'!$C:$X,2+$D74,0))+IF(BA$9="X",VLOOKUP(BA$10,'VK-Biokütused'!$C:$U,2+$E74,0))+IF(BA$5="X",VLOOKUP(BA$10,'VK-Põlevkivi'!$C:$X,2+$G74,0))+IF(BA$4="X",VLOOKUP(BA$10,'VK-Võrgud'!$C:$X,2+$F74,0))</f>
        <v>4.25</v>
      </c>
      <c r="BB74" s="209">
        <f>IF(BB$7="X",VLOOKUP(BB$10,'VK-Hooned-Soojus'!$C:$X,2+$C74,FALSE),0)+IF(BB$6="X",VLOOKUP(BB$10,'VK-Transport'!$C:$X,2+$B74,0))+IF(BB$8="X",VLOOKUP(BB$10,'VK-Elekter'!$C:$X,2+$D74,0))+IF(BB$9="X",VLOOKUP(BB$10,'VK-Biokütused'!$C:$U,2+$E74,0))+IF(BB$5="X",VLOOKUP(BB$10,'VK-Põlevkivi'!$C:$X,2+$G74,0))+IF(BB$4="X",VLOOKUP(BB$10,'VK-Võrgud'!$C:$X,2+$F74,0))</f>
        <v>2.93</v>
      </c>
      <c r="BC74" s="209">
        <f>IF(BC$7="X",VLOOKUP(BC$10,'VK-Hooned-Soojus'!$C:$X,2+$C74,FALSE),0)+IF(BC$6="X",VLOOKUP(BC$10,'VK-Transport'!$C:$X,2+$B74,0))+IF(BC$8="X",VLOOKUP(BC$10,'VK-Elekter'!$C:$X,2+$D74,0))+IF(BC$9="X",VLOOKUP(BC$10,'VK-Biokütused'!$C:$U,2+$E74,0))+IF(BC$5="X",VLOOKUP(BC$10,'VK-Põlevkivi'!$C:$X,2+$G74,0))+IF(BC$4="X",VLOOKUP(BC$10,'VK-Võrgud'!$C:$X,2+$F74,0))</f>
        <v>6.5993333333333322</v>
      </c>
      <c r="BD74" s="209">
        <f>IF(BD$7="X",VLOOKUP(BD$10,'VK-Hooned-Soojus'!$C:$X,2+$C74,FALSE),0)+IF(BD$6="X",VLOOKUP(BD$10,'VK-Transport'!$C:$X,2+$B74,0))+IF(BD$8="X",VLOOKUP(BD$10,'VK-Elekter'!$C:$X,2+$D74,0))+IF(BD$9="X",VLOOKUP(BD$10,'VK-Biokütused'!$C:$U,2+$E74,0))+IF(BD$5="X",VLOOKUP(BD$10,'VK-Põlevkivi'!$C:$X,2+$G74,0))+IF(BD$4="X",VLOOKUP(BD$10,'VK-Võrgud'!$C:$X,2+$F74,0))</f>
        <v>9.425416666666667</v>
      </c>
      <c r="BE74" s="230"/>
      <c r="BF74" s="229">
        <f t="shared" si="16"/>
        <v>0.32999603074171385</v>
      </c>
      <c r="BG74" s="209" t="e">
        <f>(IF(BG$7="X",VLOOKUP(BG$10,'VK-Hooned-Soojus'!$C:$X,2+$C74,FALSE),0)+IF(BG$6="X",VLOOKUP(BG$10,'VK-Transport'!$C:$X,2+$B74,0))+IF(BG$8="X",VLOOKUP(BG$10,'VK-Elekter'!$C:$X,2+$D74,0))+IF(BG$9="X",VLOOKUP(BG$10,'VK-Biokütused'!$C:$U,2+$E74,0))+IF(BG$5="X",VLOOKUP(BG$10,'VK-Põlevkivi'!$C:$X,2+$G74,0))+IF(BG$4="X",VLOOKUP(BG$10,'VK-Võrgud'!$C:$X,2+$F74,0)))/20</f>
        <v>#N/A</v>
      </c>
      <c r="BH74" s="209">
        <f>(IF(BH$7="X",VLOOKUP(BH$10,'VK-Hooned-Soojus'!$C:$X,2+$C74,FALSE),0)+IF(BH$6="X",VLOOKUP(BH$10,'VK-Transport'!$C:$X,2+$B74,0))+IF(BH$8="X",VLOOKUP(BH$10,'VK-Elekter'!$C:$X,2+$D74,0))+IF(BH$9="X",VLOOKUP(BH$10,'VK-Biokütused'!$C:$U,2+$E74,0))+IF(BH$5="X",VLOOKUP(BH$10,'VK-Põlevkivi'!$C:$X,2+$G74,0))+IF(BH$4="X",VLOOKUP(BH$10,'VK-Võrgud'!$C:$X,2+$F74,0)))/20</f>
        <v>45.08</v>
      </c>
      <c r="BI74" s="209">
        <f>(IF(BI$7="X",VLOOKUP(BI$10,'VK-Hooned-Soojus'!$C:$X,2+$C74,FALSE),0)+IF(BI$6="X",VLOOKUP(BI$10,'VK-Transport'!$C:$X,2+$B74,0))+IF(BI$8="X",VLOOKUP(BI$10,'VK-Elekter'!$C:$X,2+$D74,0))+IF(BI$9="X",VLOOKUP(BI$10,'VK-Biokütused'!$C:$U,2+$E74,0))+IF(BI$5="X",VLOOKUP(BI$10,'VK-Põlevkivi'!$C:$X,2+$G74,0))+IF(BI$4="X",VLOOKUP(BI$10,'VK-Võrgud'!$C:$X,2+$F74,0)))/16</f>
        <v>14.1875</v>
      </c>
      <c r="BJ74" s="209">
        <f>(IF(BJ$7="X",VLOOKUP(BJ$10,'VK-Hooned-Soojus'!$C:$X,2+$C74,FALSE),0)+IF(BJ$6="X",VLOOKUP(BJ$10,'VK-Transport'!$C:$X,2+$B74,0))+IF(BJ$8="X",VLOOKUP(BJ$10,'VK-Elekter'!$C:$X,2+$D74,0))+IF(BJ$9="X",VLOOKUP(BJ$10,'VK-Biokütused'!$C:$U,2+$E74,0))+IF(BJ$5="X",VLOOKUP(BJ$10,'VK-Põlevkivi'!$C:$X,2+$G74,0))+IF(BJ$4="X",VLOOKUP(BJ$10,'VK-Võrgud'!$C:$X,2+$F74,0)))/20</f>
        <v>3.91</v>
      </c>
      <c r="BK74" s="209"/>
      <c r="BL74" s="209"/>
      <c r="BM74" s="209"/>
      <c r="BN74" s="209" t="e">
        <f>(IF(BN$7="X",VLOOKUP(BN$10,'VK-Hooned-Soojus'!$C:$X,2+$C74,FALSE),0)+IF(BN$6="X",VLOOKUP(BN$10,'VK-Transport'!$C:$X,2+$B74,0))+IF(BN$8="X",VLOOKUP(BN$10,'VK-Elekter'!$C:$X,2+$D74,0))+IF(BN$9="X",VLOOKUP(BN$10,'VK-Biokütused'!$C:$U,2+$E74,0))+IF(BN$5="X",VLOOKUP(BN$10,'VK-Põlevkivi'!$C:$X,2+$G74,0))+IF(BN$4="X",VLOOKUP(BN$10,'VK-Võrgud'!$C:$X,2+$F74,0)))/16</f>
        <v>#N/A</v>
      </c>
      <c r="BO74" s="209">
        <f>(IF(BO$7="X",VLOOKUP(BO$10,'VK-Hooned-Soojus'!$C:$X,2+$C74,FALSE),0)+IF(BO$6="X",VLOOKUP(BO$10,'VK-Transport'!$C:$X,2+$B74,0))+IF(BO$8="X",VLOOKUP(BO$10,'VK-Elekter'!$C:$X,2+$D74,0))+IF(BO$9="X",VLOOKUP(BO$10,'VK-Biokütused'!$C:$U,2+$E74,0))+IF(BO$5="X",VLOOKUP(BO$10,'VK-Põlevkivi'!$C:$X,2+$G74,0))+IF(BO$4="X",VLOOKUP(BO$10,'VK-Võrgud'!$C:$X,2+$F74,0)))/16</f>
        <v>405.45</v>
      </c>
      <c r="BP74" s="209"/>
      <c r="BQ74" s="209">
        <f>(IF(BQ$7="X",VLOOKUP(BQ$10,'VK-Hooned-Soojus'!$C:$X,2+$C74,FALSE),0)+IF(BQ$6="X",VLOOKUP(BQ$10,'VK-Transport'!$C:$X,2+$B74,0))+IF(BQ$8="X",VLOOKUP(BQ$10,'VK-Elekter'!$C:$X,2+$D74,0))+IF(BQ$9="X",VLOOKUP(BQ$10,'VK-Biokütused'!$C:$U,2+$E74,0))+IF(BQ$5="X",VLOOKUP(BQ$10,'VK-Põlevkivi'!$C:$X,2+$G74,0))+IF(BQ$4="X",VLOOKUP(BQ$10,'VK-Võrgud'!$C:$X,2+$F74,0)))/16</f>
        <v>127.6</v>
      </c>
      <c r="BR74" s="209">
        <f>(IF(BR$7="X",VLOOKUP(BR$10,'VK-Hooned-Soojus'!$C:$X,2+$C74,FALSE),0)+IF(BR$6="X",VLOOKUP(BR$10,'VK-Transport'!$C:$X,2+$B74,0))+IF(BR$8="X",VLOOKUP(BR$10,'VK-Elekter'!$C:$X,2+$D74,0))+IF(BR$9="X",VLOOKUP(BR$10,'VK-Biokütused'!$C:$U,2+$E74,0))+IF(BR$5="X",VLOOKUP(BR$10,'VK-Põlevkivi'!$C:$X,2+$G74,0))+IF(BR$4="X",VLOOKUP(BR$10,'VK-Võrgud'!$C:$X,2+$F74,0)))/16</f>
        <v>27.475000000000001</v>
      </c>
      <c r="BS74" s="209">
        <f>(IF(BS$7="X",VLOOKUP(BS$10,'VK-Hooned-Soojus'!$C:$X,2+$C74,FALSE),0)+IF(BS$6="X",VLOOKUP(BS$10,'VK-Transport'!$C:$X,2+$B74,0))+IF(BS$8="X",VLOOKUP(BS$10,'VK-Elekter'!$C:$X,2+$D74,0))+IF(BS$9="X",VLOOKUP(BS$10,'VK-Biokütused'!$C:$U,2+$E74,0))+IF(BS$5="X",VLOOKUP(BS$10,'VK-Põlevkivi'!$C:$X,2+$G74,0))+IF(BS$4="X",VLOOKUP(BS$10,'VK-Võrgud'!$C:$X,2+$F74,0)))/16</f>
        <v>-23.293749999999999</v>
      </c>
      <c r="BT74" s="209"/>
      <c r="BU74" s="209"/>
      <c r="BV74" s="209">
        <f>(IF(BV$7="X",VLOOKUP(BV$10,'VK-Hooned-Soojus'!$C:$X,2+$C74,FALSE),0)+IF(BV$6="X",VLOOKUP(BV$10,'VK-Transport'!$C:$X,2+$B74,0))+IF(BV$8="X",VLOOKUP(BV$10,'VK-Elekter'!$C:$X,2+$D74,0))+IF(BV$9="X",VLOOKUP(BV$10,'VK-Biokütused'!$C:$U,2+$E74,0))+IF(BV$5="X",VLOOKUP(BV$10,'VK-Põlevkivi'!$C:$X,2+$G74,0))+IF(BV$4="X",VLOOKUP(BV$10,'VK-Võrgud'!$C:$X,2+$F74,0)))/16</f>
        <v>0</v>
      </c>
      <c r="BW74" s="209"/>
      <c r="BX74" s="209">
        <f>(IF(BX$7="X",VLOOKUP(BX$10,'VK-Hooned-Soojus'!$C:$X,2+$C74,FALSE),0)+IF(BX$6="X",VLOOKUP(BX$10,'VK-Transport'!$C:$X,2+$B74,0))+IF(BX$8="X",VLOOKUP(BX$10,'VK-Elekter'!$C:$X,2+$D74,0))+IF(BX$9="X",VLOOKUP(BX$10,'VK-Biokütused'!$C:$U,2+$E74,0))+IF(BX$5="X",VLOOKUP(BX$10,'VK-Põlevkivi'!$C:$X,2+$G74,0))+IF(BX$4="X",VLOOKUP(BX$10,'VK-Võrgud'!$C:$X,2+$F74,0)))/16</f>
        <v>-99.75</v>
      </c>
      <c r="BY74" s="209"/>
      <c r="BZ74" s="209"/>
      <c r="CA74" s="209" t="e">
        <f>(IF(CA$7="X",VLOOKUP(CA$10,'VK-Hooned-Soojus'!$C:$X,2+$C74,FALSE),0)+IF(CA$6="X",VLOOKUP(CA$10,'VK-Transport'!$C:$X,2+$B74,0))+IF(CA$8="X",VLOOKUP(CA$10,'VK-Elekter'!$C:$X,2+$D74,0))+IF(CA$9="X",VLOOKUP(CA$10,'VK-Biokütused'!$C:$U,2+$E74,0))+IF(CA$5="X",VLOOKUP(CA$10,'VK-Põlevkivi'!$C:$X,2+$G74,0))+IF(CA$4="X",VLOOKUP(CA$10,'VK-Võrgud'!$C:$X,2+$F74,0)))/16</f>
        <v>#N/A</v>
      </c>
      <c r="CB74" s="209">
        <f>(IF(CB$7="X",VLOOKUP(CB$10,'VK-Hooned-Soojus'!$C:$X,2+$C74,FALSE),0)+IF(CB$6="X",VLOOKUP(CB$10,'VK-Transport'!$C:$X,2+$B74,0))+IF(CB$8="X",VLOOKUP(CB$10,'VK-Elekter'!$C:$X,2+$D74,0))+IF(CB$9="X",VLOOKUP(CB$10,'VK-Biokütused'!$C:$U,2+$E74,0))+IF(CB$5="X",VLOOKUP(CB$10,'VK-Põlevkivi'!$C:$X,2+$G74,0))+IF(CB$4="X",VLOOKUP(CB$10,'VK-Võrgud'!$C:$X,2+$F74,0)))/16</f>
        <v>0</v>
      </c>
      <c r="CC74" s="209">
        <f>(IF(CC$7="X",VLOOKUP(CC$10,'VK-Hooned-Soojus'!$C:$X,2+$C74,FALSE),0)+IF(CC$6="X",VLOOKUP(CC$10,'VK-Transport'!$C:$X,2+$B74,0))+IF(CC$8="X",VLOOKUP(CC$10,'VK-Elekter'!$C:$X,2+$D74,0))+IF(CC$9="X",VLOOKUP(CC$10,'VK-Biokütused'!$C:$U,2+$E74,0))+IF(CC$5="X",VLOOKUP(CC$10,'VK-Põlevkivi'!$C:$X,2+$G74,0))+IF(CC$4="X",VLOOKUP(CC$10,'VK-Võrgud'!$C:$X,2+$F74,0)))/16</f>
        <v>0</v>
      </c>
      <c r="CD74" s="209"/>
      <c r="CE74" s="209">
        <f>(IF(CE$7="X",VLOOKUP(CE$10,'VK-Hooned-Soojus'!$C:$X,2+$C74,FALSE),0)+IF(CE$6="X",VLOOKUP(CE$10,'VK-Transport'!$C:$X,2+$B74,0))+IF(CE$8="X",VLOOKUP(CE$10,'VK-Elekter'!$C:$X,2+$D74,0))+IF(CE$9="X",VLOOKUP(CE$10,'VK-Biokütused'!$C:$U,2+$E74,0))+IF(CE$5="X",VLOOKUP(CE$10,'VK-Põlevkivi'!$C:$X,2+$G74,0))+IF(CE$4="X",VLOOKUP(CE$10,'VK-Võrgud'!$C:$X,2+$F74,0)))/16</f>
        <v>24.15625</v>
      </c>
      <c r="CF74" s="209"/>
      <c r="CG74" s="209">
        <f>(IF(CG$7="X",VLOOKUP(CG$10,'VK-Hooned-Soojus'!$C:$X,2+$C74,FALSE),0)+IF(CG$6="X",VLOOKUP(CG$10,'VK-Transport'!$C:$X,2+$B74,0))+IF(CG$8="X",VLOOKUP(CG$10,'VK-Elekter'!$C:$X,2+$D74,0))+IF(CG$9="X",VLOOKUP(CG$10,'VK-Biokütused'!$C:$U,2+$E74,0))+IF(CG$5="X",VLOOKUP(CG$10,'VK-Põlevkivi'!$C:$X,2+$G74,0))+IF(CG$4="X",VLOOKUP(CG$10,'VK-Võrgud'!$C:$X,2+$F74,0)))/16</f>
        <v>0</v>
      </c>
      <c r="CH74" s="209">
        <f>(IF(CH$7="X",VLOOKUP(CH$10,'VK-Hooned-Soojus'!$C:$X,2+$C74,FALSE),0)+IF(CH$6="X",VLOOKUP(CH$10,'VK-Transport'!$C:$X,2+$B74,0))+IF(CH$8="X",VLOOKUP(CH$10,'VK-Elekter'!$C:$X,2+$D74,0))+IF(CH$9="X",VLOOKUP(CH$10,'VK-Biokütused'!$C:$U,2+$E74,0))+IF(CH$5="X",VLOOKUP(CH$10,'VK-Põlevkivi'!$C:$X,2+$G74,0))+IF(CH$4="X",VLOOKUP(CH$10,'VK-Võrgud'!$C:$X,2+$F74,0)))/20*0.21</f>
        <v>11.225549999999998</v>
      </c>
      <c r="CI74" s="209"/>
      <c r="CJ74" s="209">
        <f>(IF(CJ$7="X",VLOOKUP(CJ$10,'VK-Hooned-Soojus'!$C:$X,2+$C74,FALSE),0)+IF(CJ$6="X",VLOOKUP(CJ$10,'VK-Transport'!$C:$X,2+$B74,0))+IF(CJ$8="X",VLOOKUP(CJ$10,'VK-Elekter'!$C:$X,2+$D74,0))+IF(CJ$9="X",VLOOKUP(CJ$10,'VK-Biokütused'!$C:$U,2+$E74,0))+IF(CJ$5="X",VLOOKUP(CJ$10,'VK-Põlevkivi'!$C:$X,2+$G74,0))+IF(CJ$4="X",VLOOKUP(CJ$10,'VK-Võrgud'!$C:$X,2+$F74,0)))/1000</f>
        <v>18.181578011574537</v>
      </c>
      <c r="CK74" s="209">
        <f>(IF(CK$7="X",VLOOKUP(CK$10,'VK-Hooned-Soojus'!$C:$X,2+$C74,FALSE),0)+IF(CK$6="X",VLOOKUP(CK$10,'VK-Transport'!$C:$X,2+$B74,0))+IF(CK$8="X",VLOOKUP(CK$10,'VK-Elekter'!$C:$X,2+$D74,0))+IF(CK$9="X",VLOOKUP(CK$10,'VK-Biokütused'!$C:$U,2+$E74,0))+IF(CK$5="X",VLOOKUP(CK$10,'VK-Põlevkivi'!$C:$X,2+$G74,0))+IF(CK$4="X",VLOOKUP(CK$10,'VK-Võrgud'!$C:$X,2+$F74,0)))/1000</f>
        <v>11.872324637900011</v>
      </c>
      <c r="CL74" s="235">
        <f>(IF(CL$7="X",VLOOKUP(CL$10,'VK-Hooned-Soojus'!$C:$X,2+$C74,FALSE),0)+IF(CL$6="X",VLOOKUP(CL$10,'VK-Transport'!$C:$X,2+$B74,0))+IF(CL$8="X",VLOOKUP(CL$10,'VK-Elekter'!$C:$X,2+$D74,0))+IF(CL$9="X",VLOOKUP(CL$10,'VK-Biokütused'!$C:$U,2+$E74,0)))/1000</f>
        <v>8.4527703590452106</v>
      </c>
      <c r="CM74" s="209">
        <f>(IF(CM$7="X",VLOOKUP(CM$10,'VK-Hooned-Soojus'!$C:$X,2+$C74,FALSE),0)+IF(CM$6="X",VLOOKUP(CM$10,'VK-Transport'!$C:$X,2+$B74,0))+IF(CM$8="X",VLOOKUP(CM$10,'VK-Elekter'!$C:$X,2+$D74,0))+IF(CM$9="X",VLOOKUP(CM$10,'VK-Biokütused'!$C:$U,2+$E74,0))+IF(CM$5="X",VLOOKUP(CM$10,'VK-Põlevkivi'!$C:$X,2+$G74,0))+IF(CM$4="X",VLOOKUP(CM$10,'VK-Võrgud'!$C:$X,2+$F74,0)))/1000</f>
        <v>7.7837605777489074</v>
      </c>
      <c r="CN74" s="209">
        <f>(IF(CN$7="X",VLOOKUP(CN$10,'VK-Hooned-Soojus'!$C:$X,2+$C74,FALSE),0)+IF(CN$6="X",VLOOKUP(CN$10,'VK-Transport'!$C:$X,2+$B74,0))+IF(CN$8="X",VLOOKUP(CN$10,'VK-Elekter'!$C:$X,2+$D74,0))+IF(CN$9="X",VLOOKUP(CN$10,'VK-Biokütused'!$C:$U,2+$E74,0))+IF(CN$5="X",VLOOKUP(CN$10,'VK-Põlevkivi'!$C:$X,2+$G74,0))+IF(CN$4="X",VLOOKUP(CN$10,'VK-Võrgud'!$C:$X,2+$F74,0)))/1000</f>
        <v>2.9929999999999999</v>
      </c>
      <c r="CO74" s="209">
        <f>(IF(CO$7="X",VLOOKUP(CO$10,'VK-Hooned-Soojus'!$C:$X,2+$C74,FALSE),0)+IF(CO$6="X",VLOOKUP(CO$10,'VK-Transport'!$C:$X,2+$B74,0))+IF(CO$8="X",VLOOKUP(CO$10,'VK-Elekter'!$C:$X,2+$D74,0))+IF(CO$9="X",VLOOKUP(CO$10,'VK-Biokütused'!$C:$U,2+$E74,0))+IF(CO$5="X",VLOOKUP(CO$10,'VK-Põlevkivi'!$C:$X,2+$G74,0))+IF(CO$4="X",VLOOKUP(CO$10,'VK-Võrgud'!$C:$X,2+$F74,0)))/1000</f>
        <v>24.00957521079728</v>
      </c>
      <c r="CP74" s="209">
        <f>(IF(CP$7="X",VLOOKUP(CP$10,'VK-Hooned-Soojus'!$C:$X,2+$C74,FALSE),0)+IF(CP$6="X",VLOOKUP(CP$10,'VK-Transport'!$C:$X,2+$B74,0))+IF(CP$8="X",VLOOKUP(CP$10,'VK-Elekter'!$C:$X,2+$D74,0))+IF(CP$9="X",VLOOKUP(CP$10,'VK-Biokütused'!$C:$U,2+$E74,0))+IF(CP$5="X",VLOOKUP(CP$10,'VK-Põlevkivi'!$C:$X,2+$G74,0))+IF(CP$4="X",VLOOKUP(CP$10,'VK-Võrgud'!$C:$X,2+$F74,0)))/1000</f>
        <v>13.441994830349824</v>
      </c>
      <c r="CQ74" s="235">
        <f>(IF(CQ$7="X",VLOOKUP(CQ$10,'VK-Hooned-Soojus'!$C:$X,2+$C74,FALSE),0)+IF(CQ$6="X",VLOOKUP(CQ$10,'VK-Transport'!$C:$X,2+$B74,0))+IF(CQ$8="X",VLOOKUP(CQ$10,'VK-Elekter'!$C:$X,2+$D74,0))+IF(CQ$9="X",VLOOKUP(CQ$10,'VK-Biokütused'!$C:$U,2+$E74,0)))/1000</f>
        <v>10.637345999999999</v>
      </c>
      <c r="CR74" s="209">
        <f>(IF(CR$7="X",VLOOKUP(CR$10,'VK-Hooned-Soojus'!$C:$X,2+$C74,FALSE),0)+IF(CR$6="X",VLOOKUP(CR$10,'VK-Transport'!$C:$X,2+$B74,0))+IF(CR$8="X",VLOOKUP(CR$10,'VK-Elekter'!$C:$X,2+$D74,0))+IF(CR$9="X",VLOOKUP(CR$10,'VK-Biokütused'!$C:$U,2+$E74,0))+IF(CR$5="X",VLOOKUP(CR$10,'VK-Põlevkivi'!$C:$X,2+$G74,0))+IF(CR$4="X",VLOOKUP(CR$10,'VK-Võrgud'!$C:$X,2+$F74,0)))/1000</f>
        <v>7.8750872784575749</v>
      </c>
      <c r="CS74" s="209">
        <f>(IF(CS$7="X",VLOOKUP(CS$10,'VK-Hooned-Soojus'!$C:$X,2+$C74,FALSE),0)+IF(CS$6="X",VLOOKUP(CS$10,'VK-Transport'!$C:$X,2+$B74,0))+IF(CS$8="X",VLOOKUP(CS$10,'VK-Elekter'!$C:$X,2+$D74,0))+IF(CS$9="X",VLOOKUP(CS$10,'VK-Biokütused'!$C:$U,2+$E74,0))+IF(CS$5="X",VLOOKUP(CS$10,'VK-Põlevkivi'!$C:$X,2+$G74,0))+IF(CS$4="X",VLOOKUP(CS$10,'VK-Võrgud'!$C:$X,2+$F74,0)))/1000</f>
        <v>3.8443344900598322</v>
      </c>
      <c r="CT74" s="209">
        <f>IF(CT$7="X",VLOOKUP(CT$10,'VK-Hooned-Soojus'!$C:$X,2+$C74,FALSE),0)+IF(CT$6="X",VLOOKUP(CT$10,'VK-Transport'!$C:$X,2+$B74,0))+IF(CT$8="X",VLOOKUP(CT$10,'VK-Elekter'!$C:$X,2+$D74,0))+IF(CT$9="X",VLOOKUP(CT$10,'VK-Biokütused'!$C:$U,2+$E74,0))+IF(CT$5="X",VLOOKUP(CT$10,'VK-Põlevkivi'!$C:$X,2+$G74,0))+IF(CT$4="X",VLOOKUP(CT$10,'VK-Võrgud'!$C:$X,2+$F74,0))</f>
        <v>90</v>
      </c>
      <c r="CU74" s="209">
        <f>IF(CU$7="X",VLOOKUP(CU$10,'VK-Hooned-Soojus'!$C:$X,2+$C74,FALSE),0)+IF(CU$6="X",VLOOKUP(CU$10,'VK-Transport'!$C:$X,2+$B74,0))+IF(CU$8="X",VLOOKUP(CU$10,'VK-Elekter'!$C:$X,2+$D74,0))+IF(CU$9="X",VLOOKUP(CU$10,'VK-Biokütused'!$C:$U,2+$E74,0))+IF(CU$5="X",VLOOKUP(CU$10,'VK-Põlevkivi'!$C:$X,2+$G74,0))+IF(CU$4="X",VLOOKUP(CU$10,'VK-Võrgud'!$C:$X,2+$F74,0))</f>
        <v>0.72088353413654627</v>
      </c>
      <c r="CV74" s="209">
        <f t="shared" si="37"/>
        <v>1</v>
      </c>
      <c r="CW74" s="209">
        <f>(IF(CW$7="X",VLOOKUP(CW$10,'VK-Hooned-Soojus'!$C:$X,2+$C74,FALSE),0)+IF(CW$6="X",VLOOKUP(CW$10,'VK-Transport'!$C:$X,2+$B74,0))+IF(CW$8="X",VLOOKUP(CW$10,'VK-Elekter'!$C:$X,2+$D74,0))+IF(CW$9="X",VLOOKUP(CW$10,'VK-Biokütused'!$C:$U,2+$E74,0))+IF(CW$5="X",VLOOKUP(CW$10,'VK-Põlevkivi'!$C:$X,2+$G74,0))+IF(CW$4="X",VLOOKUP(CW$10,'VK-Võrgud'!$C:$X,2+$F74,0)))/16</f>
        <v>0</v>
      </c>
      <c r="CY74" s="209">
        <f>(IF(CY$7="X",VLOOKUP(CY$10,'VK-Hooned-Soojus'!$C:$X,2+$C74,FALSE),0)+IF(CY$6="X",VLOOKUP(CY$10,'VK-Transport'!$C:$X,2+$B74,0))+IF(CY$8="X",VLOOKUP(CY$10,'VK-Elekter'!$C:$X,2+$D74,0))+IF(CY$9="X",VLOOKUP(CY$10,'VK-Biokütused'!$C:$U,2+$E74,0))+IF(CY$5="X",VLOOKUP(CY$10,'VK-Põlevkivi'!$C:$X,2+$G74,0))+IF(CY$4="X",VLOOKUP(CY$10,'VK-Võrgud'!$C:$X,2+$F74,0)))/1000</f>
        <v>10.342000000000001</v>
      </c>
      <c r="CZ74" s="209">
        <f>(IF(CZ$7="X",VLOOKUP(CZ$10,'VK-Hooned-Soojus'!$C:$X,2+$C74,FALSE),0)+IF(CZ$6="X",VLOOKUP(CZ$10,'VK-Transport'!$C:$X,2+$B74,0))+IF(CZ$8="X",VLOOKUP(CZ$10,'VK-Elekter'!$C:$X,2+$D74,0))+IF(CZ$9="X",VLOOKUP(CZ$10,'VK-Biokütused'!$C:$U,2+$E74,0))+IF(CZ$5="X",VLOOKUP(CZ$10,'VK-Põlevkivi'!$C:$X,2+$G74,0))+IF(CZ$4="X",VLOOKUP(CZ$10,'VK-Võrgud'!$C:$X,2+$F74,0)))</f>
        <v>68</v>
      </c>
      <c r="DA74" s="209">
        <f>(IF(DA$7="X",VLOOKUP(DA$10,'VK-Hooned-Soojus'!$C:$X,2+$C74,FALSE),0)+IF(DA$6="X",VLOOKUP(DA$10,'VK-Transport'!$C:$X,2+$B74,0))+IF(DA$8="X",VLOOKUP(DA$10,'VK-Elekter'!$C:$X,2+$D74,0))+IF(DA$9="X",VLOOKUP(DA$10,'VK-Biokütused'!$C:$U,2+$E74,0))+IF(DA$5="X",VLOOKUP(DA$10,'VK-Põlevkivi'!$C:$X,2+$G74,0))+IF(DA$4="X",VLOOKUP(DA$10,'VK-Võrgud'!$C:$X,2+$F74,0)))/1000</f>
        <v>14.022</v>
      </c>
      <c r="DB74" s="209">
        <f>(IF(DB$7="X",VLOOKUP(DB$10,'VK-Hooned-Soojus'!$C:$X,2+$C74,FALSE),0)+IF(DB$6="X",VLOOKUP(DB$10,'VK-Transport'!$C:$X,2+$B74,0))+IF(DB$8="X",VLOOKUP(DB$10,'VK-Elekter'!$C:$X,2+$D74,0))+IF(DB$9="X",VLOOKUP(DB$10,'VK-Biokütused'!$C:$U,2+$E74,0))+IF(DB$5="X",VLOOKUP(DB$10,'VK-Põlevkivi'!$C:$X,2+$G74,0))+IF(DB$4="X",VLOOKUP(DB$10,'VK-Võrgud'!$C:$X,2+$F74,0)))/1000/3.6</f>
        <v>62.474444444444437</v>
      </c>
      <c r="DC74" s="209">
        <f>(IF(DC$7="X",VLOOKUP(DC$10,'VK-Hooned-Soojus'!$C:$X,2+$C74,FALSE),0)+IF(DC$6="X",VLOOKUP(DC$10,'VK-Transport'!$C:$X,2+$B74,0))+IF(DC$8="X",VLOOKUP(DC$10,'VK-Elekter'!$C:$X,2+$D74,0))+IF(DC$9="X",VLOOKUP(DC$10,'VK-Biokütused'!$C:$U,2+$E74,0))+IF(DC$5="X",VLOOKUP(DC$10,'VK-Põlevkivi'!$C:$X,2+$G74,0))+IF(DC$4="X",VLOOKUP(DC$10,'VK-Võrgud'!$C:$X,2+$F74,0)))/1000000</f>
        <v>4.9727290000000002</v>
      </c>
      <c r="DD74" s="209"/>
      <c r="DE74" s="88">
        <f>VLOOKUP(Tulemused!$BN$12,data!M$7:N$12,2,FALSE)-SUM(L74,M74)</f>
        <v>-1.2238666666666731</v>
      </c>
      <c r="DF74" s="209" t="str">
        <f>IF(AZ74&lt;=VLOOKUP(Tulemused!$BN$15,data!$E$36:$F$39,2,FALSE),"JAH","EI")</f>
        <v>JAH</v>
      </c>
      <c r="DG74" s="209"/>
      <c r="DH74" s="209">
        <f t="shared" si="38"/>
        <v>6.28</v>
      </c>
      <c r="DI74" s="231" t="str">
        <f t="shared" si="17"/>
        <v>EI</v>
      </c>
      <c r="DK74" s="232">
        <f t="shared" si="39"/>
        <v>-996.95045203019913</v>
      </c>
      <c r="DM74" s="233">
        <f t="shared" si="40"/>
        <v>-994.64112268569193</v>
      </c>
      <c r="DN74" s="87">
        <f t="array" ref="DN74">INDEX($A$11:$A$145, SMALL(IF(DM74=$DK$11:$DK$145, MATCH(ROW($DK$11:$DK$145), ROW($DK$11:$DK$145))), SUM(--(DM74=$DM$11:DM74))))</f>
        <v>92</v>
      </c>
      <c r="DP74" s="87" t="e">
        <f t="shared" ca="1" si="18"/>
        <v>#N/A</v>
      </c>
      <c r="DQ74" s="87" t="e">
        <f t="shared" ca="1" si="19"/>
        <v>#N/A</v>
      </c>
      <c r="DR74" s="87">
        <f t="shared" ca="1" si="20"/>
        <v>0</v>
      </c>
      <c r="DS74" s="87" t="e">
        <f t="shared" ca="1" si="21"/>
        <v>#N/A</v>
      </c>
      <c r="DT74" s="87">
        <f t="shared" ca="1" si="22"/>
        <v>0</v>
      </c>
      <c r="DU74" s="87" t="e">
        <f t="shared" ca="1" si="23"/>
        <v>#N/A</v>
      </c>
      <c r="DV74" s="87" t="e">
        <f t="shared" ca="1" si="24"/>
        <v>#N/A</v>
      </c>
      <c r="DW74" s="87">
        <f t="shared" ca="1" si="25"/>
        <v>0</v>
      </c>
      <c r="DX74" s="87">
        <f t="shared" ca="1" si="26"/>
        <v>0</v>
      </c>
      <c r="DZ74" s="87">
        <f t="shared" ca="1" si="35"/>
        <v>0</v>
      </c>
      <c r="EB74" s="87">
        <f t="shared" ca="1" si="27"/>
        <v>0</v>
      </c>
      <c r="EC74" s="87" t="e">
        <f t="shared" ca="1" si="28"/>
        <v>#N/A</v>
      </c>
      <c r="EE74" s="228">
        <f>(IF(EE$7="X",VLOOKUP(EE$10,'VK-Hooned-Soojus'!$C:$X,2+$C74,FALSE),0)+IF(EE$6="X",VLOOKUP(EE$10,'VK-Transport'!$C:$X,2+$B74,0))+IF(EE$8="X",VLOOKUP(EE$10,'VK-Elekter'!$C:$X,2+$D74,0))+IF(EE$9="X",VLOOKUP(EE$10,'VK-Biokütused'!$C:$U,2+$E74,0))+IF(EE$5="X",VLOOKUP(EE$10,'VK-Põlevkivi'!$C:$X,2+$G74,0))+IF(EE$4="X",VLOOKUP(EE$10,'VK-Võrgud'!$C:$X,2+$F74,0)))</f>
        <v>2944.6613513872962</v>
      </c>
      <c r="EF74" s="235">
        <f>(IF(EF$7="X",VLOOKUP(EF$10,'VK-Hooned-Soojus'!$C:$X,2+$C74,FALSE),0)+IF(EF$6="X",VLOOKUP(EF$10,'VK-Transport'!$C:$X,2+$B74,0))+IF(EF$8="X",VLOOKUP(EF$10,'VK-Elekter'!$C:$X,2+$D74,0))+IF(EF$9="X",VLOOKUP(EF$10,'VK-Biokütused'!$C:$U,2+$E74,0)))/1000</f>
        <v>5.0583823271229704</v>
      </c>
      <c r="EG74" s="209">
        <f>(IF(EG$7="X",VLOOKUP(EG$10,'VK-Hooned-Soojus'!$C:$X,2+$C74,FALSE),0)+IF(EG$6="X",VLOOKUP(EG$10,'VK-Transport'!$C:$X,2+$B74,0))+IF(EG$8="X",VLOOKUP(EG$10,'VK-Elekter'!$C:$X,2+$D74,0))+IF(EG$9="X",VLOOKUP(EG$10,'VK-Biokütused'!$C:$U,2+$E74,0))+IF(EG$5="X",VLOOKUP(EG$10,'VK-Põlevkivi'!$C:$X,2+$G74,0))+IF(EG$4="X",VLOOKUP(EG$10,'VK-Võrgud'!$C:$X,2+$F74,0)))</f>
        <v>0.81</v>
      </c>
      <c r="EH74" s="209">
        <f>(IF(EH$7="X",VLOOKUP(EH$10,'VK-Hooned-Soojus'!$C:$X,2+$C74,FALSE),0)+IF(EH$6="X",VLOOKUP(EH$10,'VK-Transport'!$C:$X,2+$B74,0))+IF(EH$8="X",VLOOKUP(EH$10,'VK-Elekter'!$C:$X,2+$D74,0))+IF(EH$9="X",VLOOKUP(EH$10,'VK-Biokütused'!$C:$U,2+$E74,0)))+AR74+AS74+AU74+AX74</f>
        <v>53.474399224806199</v>
      </c>
      <c r="EI74" s="320">
        <f t="shared" si="41"/>
        <v>48.290678294573638</v>
      </c>
      <c r="EJ74" s="322">
        <f t="shared" si="42"/>
        <v>2.2545055318885739E-2</v>
      </c>
      <c r="EK74" s="323">
        <f t="shared" si="29"/>
        <v>0.39192627065295316</v>
      </c>
      <c r="EM74" s="209"/>
      <c r="EN74" s="209">
        <f t="shared" ca="1" si="43"/>
        <v>0</v>
      </c>
      <c r="EO74" s="209"/>
      <c r="EP74" s="234"/>
      <c r="EQ74" s="209">
        <f>(IF(EQ$7="X",VLOOKUP(EQ$10,'VK-Hooned-Soojus'!$C:$X,2+$C74,FALSE),0)+IF(EQ$6="X",VLOOKUP(EQ$10,'VK-Transport'!$C:$X,2+$B74,0))+IF(EQ$8="X",VLOOKUP(EQ$10,'VK-Elekter'!$C:$X,2+$D74,0))+IF(EQ$9="X",VLOOKUP(EQ$10,'VK-Biokütused'!$C:$U,2+$E74,0))+IF(EQ$5="X",VLOOKUP(EQ$10,'VK-Põlevkivi'!$C:$X,2+$G74,0))+IF(EQ$4="X",VLOOKUP(EQ$10,'VK-Võrgud'!$C:$X,2+$F74,0)))/1000</f>
        <v>0.21099999999999999</v>
      </c>
      <c r="ER74" s="209">
        <f>(IF(ER$7="X",VLOOKUP(ER$10,'VK-Hooned-Soojus'!$C:$X,2+$C74,FALSE),0)+IF(ER$6="X",VLOOKUP(ER$10,'VK-Transport'!$C:$X,2+$B74,0))+IF(ER$8="X",VLOOKUP(ER$10,'VK-Elekter'!$C:$X,2+$D74,0))+IF(ER$9="X",VLOOKUP(ER$10,'VK-Biokütused'!$C:$U,2+$E74,0))+IF(ER$5="X",VLOOKUP(ER$10,'VK-Põlevkivi'!$C:$X,2+$G74,0))+IF(ER$4="X",VLOOKUP(ER$10,'VK-Võrgud'!$C:$X,2+$F74,0)))</f>
        <v>0.76300000000000001</v>
      </c>
      <c r="ES74" s="209">
        <f>(IF(ES$7="X",VLOOKUP(ES$10,'VK-Hooned-Soojus'!$C:$X,2+$C74,FALSE),0)+IF(ES$6="X",VLOOKUP(ES$10,'VK-Transport'!$C:$X,2+$B74,0))+IF(ES$8="X",VLOOKUP(ES$10,'VK-Elekter'!$C:$X,2+$D74,0))+IF(ES$9="X",VLOOKUP(ES$10,'VK-Biokütused'!$C:$U,2+$E74,0))+IF(ES$5="X",VLOOKUP(ES$10,'VK-Põlevkivi'!$C:$X,2+$G74,0))+IF(ES$4="X",VLOOKUP(ES$10,'VK-Võrgud'!$C:$X,2+$F74,0)))</f>
        <v>6.28</v>
      </c>
      <c r="ET74" s="209"/>
      <c r="EU74" s="209"/>
      <c r="EV74" s="87">
        <f>'KSH järjestus'!AS67</f>
        <v>1660</v>
      </c>
      <c r="EX74" s="236"/>
      <c r="EY74" s="236"/>
      <c r="EZ74" s="237">
        <f t="shared" si="44"/>
        <v>0.27911646586345373</v>
      </c>
      <c r="FA74" s="209">
        <f>IF(FA$7="X",VLOOKUP(FA$10,'VK-Hooned-Soojus'!$C:$X,2+$C74,FALSE),0)+IF(FA$6="X",VLOOKUP(FA$10,'VK-Transport'!$C:$X,2+$B74,0))+IF(FA$8="X",VLOOKUP(FA$10,'VK-Elekter'!$C:$X,2+$D74,0))+IF(FA$9="X",VLOOKUP(FA$10,'VK-Biokütused'!$C:$U,2+$E74,0))+IF(FA$5="X",VLOOKUP(FA$10,'VK-Põlevkivi'!$C:$X,2+$G74,0))+IF(FA$4="X",VLOOKUP(FA$10,'VK-Võrgud'!$C:$X,2+$F74,0))</f>
        <v>3011.346</v>
      </c>
      <c r="FB74" s="279">
        <f>(IF(FB$7="X",VLOOKUP(FB$10,'VK-Hooned-Soojus'!$C:$X,2+$C74,FALSE),0)+IF(FB$6="X",VLOOKUP(FB$10,'VK-Transport'!$C:$X,2+$B74,0))+IF(FB$8="X",VLOOKUP(FB$10,'VK-Elekter'!$C:$X,2+$D74,0))+IF(FB$9="X",VLOOKUP(FB$10,'VK-Biokütused'!$C:$U,2+$E74,0))+IF(FB$5="X",VLOOKUP(FB$10,'VK-Põlevkivi'!$C:$X,2+$G74,0))+IF(FB$4="X",VLOOKUP(FB$10,'VK-Võrgud'!$C:$X,2+$F74,0)))/16</f>
        <v>188.86563186343184</v>
      </c>
      <c r="FC74" s="209">
        <f>IF(FC$7="X",VLOOKUP(FC$10,'VK-Hooned-Soojus'!$C:$X,2+$C74,FALSE),0)+IF(FC$6="X",VLOOKUP(FC$10,'VK-Transport'!$C:$X,2+$B74,0))+IF(FC$8="X",VLOOKUP(FC$10,'VK-Elekter'!$C:$X,2+$D74,0))+IF(FC$9="X",VLOOKUP(FC$10,'VK-Biokütused'!$C:$U,2+$E74,0))+IF(FC$5="X",VLOOKUP(FC$10,'VK-Põlevkivi'!$C:$X,2+$G74,0))+IF(FC$4="X",VLOOKUP(FC$10,'VK-Võrgud'!$C:$X,2+$F74,0))</f>
        <v>306.45</v>
      </c>
      <c r="FD74" s="209">
        <f>(IF(FD$7="X",VLOOKUP(FD$10,'VK-Hooned-Soojus'!$C:$X,2+$C74,FALSE),0)+IF(FD$6="X",VLOOKUP(FD$10,'VK-Transport'!$C:$X,2+$B74,0))+IF(FD$8="X",VLOOKUP(FD$10,'VK-Elekter'!$C:$X,2+$D74,0))+IF(FD$9="X",VLOOKUP(FD$10,'VK-Biokütused'!$C:$U,2+$E74,0))+IF(FD$5="X",VLOOKUP(FD$10,'VK-Põlevkivi'!$C:$X,2+$G74,0))+IF(FD$4="X",VLOOKUP(FD$10,'VK-Võrgud'!$C:$X,2+$F74,0)))/16</f>
        <v>188.86563186343184</v>
      </c>
      <c r="FE74" s="209">
        <f>(IF(FE$7="X",VLOOKUP(FE$10,'VK-Hooned-Soojus'!$C:$X,2+$C74,FALSE),0)+IF(FE$6="X",VLOOKUP(FE$10,'VK-Transport'!$C:$X,2+$B74,0))+IF(FE$8="X",VLOOKUP(FE$10,'VK-Elekter'!$C:$X,2+$D74,0))+IF(FE$9="X",VLOOKUP(FE$10,'VK-Biokütused'!$C:$U,2+$E74,0))+IF(FE$5="X",VLOOKUP(FE$10,'VK-Põlevkivi'!$C:$X,2+$G74,0))+IF(FE$4="X",VLOOKUP(FE$10,'VK-Võrgud'!$C:$X,2+$F74,0)))/16</f>
        <v>-61.841250000000002</v>
      </c>
      <c r="FF74" s="209">
        <f>(IF(FF$7="X",VLOOKUP(FF$10,'VK-Hooned-Soojus'!$C:$X,2+$C74,FALSE),0)+IF(FF$6="X",VLOOKUP(FF$10,'VK-Transport'!$C:$X,2+$B74,0))+IF(FF$8="X",VLOOKUP(FF$10,'VK-Elekter'!$C:$X,2+$D74,0))+IF(FF$9="X",VLOOKUP(FF$10,'VK-Biokütused'!$C:$U,2+$E74,0))+IF(FF$5="X",VLOOKUP(FF$10,'VK-Põlevkivi'!$C:$X,2+$G74,0))+IF(FF$4="X",VLOOKUP(FF$10,'VK-Võrgud'!$C:$X,2+$F74,0)))/16</f>
        <v>95.623685898063371</v>
      </c>
      <c r="FG74" s="88">
        <f t="shared" ca="1" si="30"/>
        <v>33.782435898063369</v>
      </c>
      <c r="FH74" s="88"/>
      <c r="FI74" s="88"/>
      <c r="FJ74" s="88">
        <f>VLOOKUP(Tulemused!$BN$12,data!M$7:N$12,2,FALSE)-SUM(L74,M74)</f>
        <v>-1.2238666666666731</v>
      </c>
      <c r="FK74" s="209" t="str">
        <f>IF(AZ74&lt;=VLOOKUP(Tulemused!$BN$15,data!$E$36:$F$39,2,FALSE),"JAH","EI")</f>
        <v>JAH</v>
      </c>
      <c r="FL74" s="235">
        <f ca="1">IF(ISNA(MATCH($A74,INDIRECT(VLOOKUP(Tulemused!$BF$11,data!$J$57:$M$71,4,FALSE)))),0,MATCH($A74,INDIRECT(VLOOKUP(Tulemused!$BF$11,data!$J$57:$M$71,4,FALSE))))</f>
        <v>0</v>
      </c>
      <c r="FM74" s="235" t="str">
        <f t="shared" ca="1" si="45"/>
        <v>JAH</v>
      </c>
      <c r="FN74" s="209">
        <f>VLOOKUP(Tulemused!$BN$13,data!$C$132:$D$137,2,FALSE)-KOMBI!R74</f>
        <v>3.6875876728770303</v>
      </c>
      <c r="FO74" s="209"/>
      <c r="FP74" s="209">
        <f>VLOOKUP(Tulemused!$BN$17,NO_x,2,FALSE)-CJ74</f>
        <v>11.256421988425462</v>
      </c>
      <c r="FQ74" s="209">
        <f>VLOOKUP(Tulemused!$BN$18,SO_2,2,FALSE)-CK74</f>
        <v>40.011675362099993</v>
      </c>
      <c r="FR74" s="209">
        <f>VLOOKUP(Tulemused!$BN$19,LOU,2,FALSE)-CN74</f>
        <v>34.087000000000003</v>
      </c>
      <c r="FS74" s="209">
        <f>VLOOKUP(Tulemused!$BN$20,PM_2.5,2,FALSE)-CM74</f>
        <v>9.1312394222510918</v>
      </c>
      <c r="FT74" s="209">
        <f>VLOOKUP(Tulemused!$BN$13,data!$C$132:$D$137,2,FALSE)-FA74/1000</f>
        <v>3.2346240000000006</v>
      </c>
      <c r="FU74" s="209">
        <f>VLOOKUP(Tulemused!$BN$17,NO_x,2,FALSE)-CO74</f>
        <v>5.4284247892027189</v>
      </c>
      <c r="FV74" s="209">
        <f>VLOOKUP(Tulemused!$BN$18,SO_2,2,FALSE)-CP74</f>
        <v>38.442005169650173</v>
      </c>
      <c r="FW74" s="209">
        <f>VLOOKUP(Tulemused!$BN$19,LOU,2,FALSE)-CS74</f>
        <v>33.235665509940176</v>
      </c>
      <c r="FX74" s="209">
        <f>VLOOKUP(Tulemused!$BN$20,PM_2.5,2,FALSE)-CR74</f>
        <v>9.0399127215424251</v>
      </c>
      <c r="FY74" s="209">
        <f>VLOOKUP(Tulemused!$BN$14,KHG_2050,2,FALSE)-EF74</f>
        <v>94.94161767287703</v>
      </c>
      <c r="FZ74" s="231" t="str">
        <f t="shared" ca="1" si="31"/>
        <v>EI</v>
      </c>
      <c r="GA74" s="209"/>
      <c r="GB74" s="209"/>
      <c r="GC74" s="209"/>
      <c r="GD74" s="231"/>
      <c r="GE74" s="87">
        <f t="shared" si="46"/>
        <v>1660</v>
      </c>
      <c r="GF74" s="232" t="str">
        <f t="shared" ca="1" si="32"/>
        <v/>
      </c>
      <c r="GH74" s="238" t="e">
        <f t="shared" ca="1" si="47"/>
        <v>#NUM!</v>
      </c>
      <c r="GI74" s="87" t="e">
        <f t="array" aca="1" ref="GI74" ca="1">INDEX($A$11:$A$145, SMALL(IF(GH74=$GF$11:$GF$145, MATCH(ROW($GF$11:$GF$145), ROW($GF$11:$GF$145))), SUM(--(GH74=$GH$11:GH74))))</f>
        <v>#NUM!</v>
      </c>
      <c r="GM74" s="209">
        <f>IF(GM$7="X",VLOOKUP(GM$10,'VK-Hooned-Soojus'!$C:$X,2+$C74,FALSE),0)+IF(GM$6="X",VLOOKUP(GM$10,'VK-Transport'!$C:$X,2+$B74,0))+IF(GM$8="X",VLOOKUP(GM$10,'VK-Elekter'!$C:$X,2+$D74,0))+IF(GM$9="X",VLOOKUP(GM$10,'VK-Biokütused'!$C:$U,2+$E74,0))+IF(GM$5="X",VLOOKUP(GM$10,'VK-Põlevkivi'!$C:$X,2+$G74,0))+IF(GM$4="X",VLOOKUP(GM$10,'VK-Võrgud'!$C:$X,2+$F74,0))</f>
        <v>6.0128279910272253</v>
      </c>
      <c r="GN74" s="209">
        <f>IF(GN$7="X",VLOOKUP(GN$10,'VK-Hooned-Soojus'!$C:$X,2+$C74,FALSE),0)+IF(GN$6="X",VLOOKUP(GN$10,'VK-Transport'!$C:$X,2+$B74,0))+IF(GN$8="X",VLOOKUP(GN$10,'VK-Elekter'!$C:$X,2+$D74,0))+IF(GN$9="X",VLOOKUP(GN$10,'VK-Biokütused'!$C:$U,2+$E74,0))+IF(GN$5="X",VLOOKUP(GN$10,'VK-Põlevkivi'!$C:$X,2+$G74,0))+IF(GN$4="X",VLOOKUP(GN$10,'VK-Võrgud'!$C:$X,2+$F74,0))</f>
        <v>3.4467619395011728</v>
      </c>
      <c r="GO74" s="209">
        <f>IF(GO$7="X",VLOOKUP(GO$10,'VK-Hooned-Soojus'!$C:$X,2+$C74,FALSE),0)+IF(GO$6="X",VLOOKUP(GO$10,'VK-Transport'!$C:$X,2+$B74,0))+IF(GO$8="X",VLOOKUP(GO$10,'VK-Elekter'!$C:$X,2+$D74,0))+IF(GO$9="X",VLOOKUP(GO$10,'VK-Biokütused'!$C:$U,2+$E74,0))+IF(GO$5="X",VLOOKUP(GO$10,'VK-Põlevkivi'!$C:$X,2+$G74,0))+IF(GO$4="X",VLOOKUP(GO$10,'VK-Võrgud'!$C:$X,2+$F74,0))</f>
        <v>7.936370010272257</v>
      </c>
      <c r="GP74" s="209">
        <f>IF(GP$7="X",VLOOKUP(GP$10,'VK-Hooned-Soojus'!$C:$X,2+$C74,FALSE),0)+IF(GP$6="X",VLOOKUP(GP$10,'VK-Transport'!$C:$X,2+$B74,0))+IF(GP$8="X",VLOOKUP(GP$10,'VK-Elekter'!$C:$X,2+$D74,0))+IF(GP$9="X",VLOOKUP(GP$10,'VK-Biokütused'!$C:$U,2+$E74,0))+IF(GP$5="X",VLOOKUP(GP$10,'VK-Põlevkivi'!$C:$X,2+$G74,0))+IF(GP$4="X",VLOOKUP(GP$10,'VK-Võrgud'!$C:$X,2+$F74,0))</f>
        <v>9.1527946929596489</v>
      </c>
      <c r="GQ74" s="88">
        <f>IF(GQ$7="X",VLOOKUP(GQ$10,'VK-Hooned-Soojus'!$C:$X,2+$C74,FALSE),0)+IF(GQ$6="X",VLOOKUP(GQ$10,'VK-Transport'!$C:$X,2+$B74,0))+IF(GQ$8="X",VLOOKUP(GQ$10,'VK-Elekter'!$C:$X,2+$D74,0))+IF(GQ$9="X",VLOOKUP(GQ$10,'VK-Biokütused'!$C:$U,2+$E74,0))+IF(GQ$5="X",VLOOKUP(GQ$10,'VK-Põlevkivi'!$C:$X,2+$G74,0))+IF(GQ$4="X",VLOOKUP(GQ$10,'VK-Võrgud'!$C:$X,2+$F74,0))</f>
        <v>0.90618397335647782</v>
      </c>
      <c r="GR74" s="186">
        <f t="shared" si="33"/>
        <v>0.39656672034307427</v>
      </c>
    </row>
    <row r="75" spans="1:200" x14ac:dyDescent="0.2">
      <c r="A75" s="184">
        <v>65</v>
      </c>
      <c r="B75" s="87">
        <v>2</v>
      </c>
      <c r="C75" s="87">
        <v>2</v>
      </c>
      <c r="D75" s="87">
        <v>2</v>
      </c>
      <c r="E75" s="87">
        <v>2</v>
      </c>
      <c r="F75" s="87">
        <f>VLOOKUP(Tulemused!$BF$7,data!$J$6:$K$8,2,FALSE)</f>
        <v>2</v>
      </c>
      <c r="G75" s="87">
        <f>VLOOKUP(data!$H$2,data!$J$12:$K$14,2,FALSE)</f>
        <v>2</v>
      </c>
      <c r="I75" s="209">
        <f>IF(I$7="X",VLOOKUP(I$10,'VK-Hooned-Soojus'!$C:$X,2+$C75,FALSE),0)+IF(I$6="X",VLOOKUP(I$10,'VK-Transport'!$C:$X,2+$B75,0))+IF(I$8="X",VLOOKUP(I$10,'VK-Elekter'!$C:$X,2+$D75,0))+IF(I$9="X",VLOOKUP(I$10,'VK-Biokütused'!$C:$U,2+$E75,0))+IF(I$5="X",VLOOKUP(I$10,'VK-Põlevkivi'!$C:$X,2+$G75,0))+IF(I$4="X",VLOOKUP(I$10,'VK-Võrgud'!$C:$X,2+$F75,0))</f>
        <v>24.79</v>
      </c>
      <c r="J75" s="209">
        <f>IF(J$7="X",VLOOKUP(J$10,'VK-Hooned-Soojus'!$C:$X,2+$C75,FALSE),0)+IF(J$6="X",VLOOKUP(J$10,'VK-Transport'!$C:$X,2+$B75,0))+IF(J$8="X",VLOOKUP(J$10,'VK-Elekter'!$C:$X,2+$D75,0))+IF(J$9="X",VLOOKUP(J$10,'VK-Biokütused'!$C:$U,2+$E75,0))+IF(J$5="X",VLOOKUP(J$10,'VK-Põlevkivi'!$C:$X,2+$G75,0))+IF(J$4="X",VLOOKUP(J$10,'VK-Võrgud'!$C:$X,2+$F75,0))</f>
        <v>11.138055555555555</v>
      </c>
      <c r="K75" s="209">
        <f>IF(K$7="X",VLOOKUP(K$10,'VK-Hooned-Soojus'!$C:$X,2+$C75,FALSE),0)+IF(K$6="X",VLOOKUP(K$10,'VK-Transport'!$C:$X,2+$B75,0))+IF(K$8="X",VLOOKUP(K$10,'VK-Elekter'!$C:$X,2+$D75,0))+IF(K$9="X",VLOOKUP(K$10,'VK-Biokütused'!$C:$U,2+$E75,0))+IF(K$5="X",VLOOKUP(K$10,'VK-Põlevkivi'!$C:$X,2+$G75,0))+IF(K$4="X",VLOOKUP(K$10,'VK-Võrgud'!$C:$X,2+$F75,0))</f>
        <v>15.27</v>
      </c>
      <c r="L75" s="209">
        <f>IF(L$7="X",VLOOKUP(L$10,'VK-Hooned-Soojus'!$C:$X,2+$C75,FALSE),0)+IF(L$6="X",VLOOKUP(L$10,'VK-Transport'!$C:$X,2+$B75,0))+IF(L$8="X",VLOOKUP(L$10,'VK-Elekter'!$C:$X,2+$D75,0))+IF(L$9="X",VLOOKUP(L$10,'VK-Biokütused'!$C:$U,2+$E75,0))+IF(L$5="X",VLOOKUP(L$10,'VK-Põlevkivi'!$C:$X,2+$G75,0))+IF(L$4="X",VLOOKUP(L$10,'VK-Võrgud'!$C:$X,2+$F75,0))</f>
        <v>24.2</v>
      </c>
      <c r="M75" s="209">
        <f>IF(M$7="X",VLOOKUP(M$10,'VK-Hooned-Soojus'!$C:$X,2+$C75,FALSE),0)+IF(M$6="X",VLOOKUP(M$10,'VK-Transport'!$C:$X,2+$B75,0))+IF(M$8="X",VLOOKUP(M$10,'VK-Elekter'!$C:$X,2+$D75,0))+IF(M$9="X",VLOOKUP(M$10,'VK-Biokütused'!$C:$U,2+$E75,0))+IF(M$5="X",VLOOKUP(M$10,'VK-Põlevkivi'!$C:$X,2+$G75,0))+IF(M$4="X",VLOOKUP(M$10,'VK-Võrgud'!$C:$X,2+$F75,0))</f>
        <v>9.8566666666666674</v>
      </c>
      <c r="N75" s="209">
        <f>IF(N$7="X",VLOOKUP(N$10,'VK-Hooned-Soojus'!$C:$X,2+$C75,FALSE),0)+IF(N$6="X",VLOOKUP(N$10,'VK-Transport'!$C:$X,2+$B75,0))+IF(N$8="X",VLOOKUP(N$10,'VK-Elekter'!$C:$X,2+$D75,0))+IF(N$9="X",VLOOKUP(N$10,'VK-Biokütused'!$C:$U,2+$E75,0))+IF(N$5="X",VLOOKUP(N$10,'VK-Põlevkivi'!$C:$X,2+$G75,0))+IF(N$4="X",VLOOKUP(N$10,'VK-Võrgud'!$C:$X,2+$F75,0))</f>
        <v>16.09</v>
      </c>
      <c r="O75" s="209">
        <f t="shared" si="13"/>
        <v>35.928055555555552</v>
      </c>
      <c r="P75" s="209"/>
      <c r="Q75" s="209">
        <f>(IF(Q$7="X",VLOOKUP(Q$10,'VK-Hooned-Soojus'!$C:$X,2+$C75,FALSE),0)+IF(Q$6="X",VLOOKUP(Q$10,'VK-Transport'!$C:$X,2+$B75,0))+IF(Q$8="X",VLOOKUP(Q$10,'VK-Elekter'!$C:$X,2+$D75,0))+IF(Q$9="X",VLOOKUP(Q$10,'VK-Biokütused'!$C:$U,2+$E75,0))+IF(Q$5="X",VLOOKUP(Q$10,'VK-Põlevkivi'!$C:$X,2+$G75,0))+IF(Q$4="X",VLOOKUP(Q$10,'VK-Võrgud'!$C:$X,2+$F75,0)))/1000</f>
        <v>5.0979999999999999</v>
      </c>
      <c r="R75" s="209">
        <f>(IF(R$7="X",VLOOKUP(R$10,'VK-Hooned-Soojus'!$C:$X,2+$C75,FALSE),0)+IF(R$6="X",VLOOKUP(R$10,'VK-Transport'!$C:$X,2+$B75,0))+IF(R$8="X",VLOOKUP(R$10,'VK-Elekter'!$C:$X,2+$D75,0))+IF(R$9="X",VLOOKUP(R$10,'VK-Biokütused'!$C:$U,2+$E75,0))+IF(R$5="X",VLOOKUP(R$10,'VK-Põlevkivi'!$C:$X,2+$G75,0))+IF(R$4="X",VLOOKUP(R$10,'VK-Võrgud'!$C:$X,2+$F75,0)))/1000</f>
        <v>2.9358823271229704</v>
      </c>
      <c r="S75" s="226">
        <f>VLOOKUP(S$10,'VK-Hooned-Soojus'!$C:$I,2+$C75,FALSE) + VLOOKUP(S$10,'VK-Transport'!$C:$I,2+$B75,FALSE)+ VLOOKUP(S$10,'VK-Biokütused'!$C:$G,2+$E75,FALSE)+ VLOOKUP(S$10,'VK-Elekter'!$C:$I,2+$D75,FALSE)+ VLOOKUP(S$10,'VK-Põlevkivi'!$C:$I,2+$G75,FALSE)+ VLOOKUP(S$10,'VK-Võrgud'!$C:$I,2+$F75,FALSE)</f>
        <v>1.372375739686521E-2</v>
      </c>
      <c r="T75" s="226">
        <f>VLOOKUP(T$10,'VK-Hooned-Soojus'!$C:$I,2+$C75,FALSE) + VLOOKUP(T$10,'VK-Transport'!$C:$I,2+$B75,FALSE)+ VLOOKUP(T$10,'VK-Biokütused'!$C:$G,2+$E75,FALSE)+ VLOOKUP(T$10,'VK-Elekter'!$C:$I,2+$D75,FALSE)+ VLOOKUP(T$10,'VK-Põlevkivi'!$C:$I,2+$G75,FALSE)+ VLOOKUP(T$10,'VK-Võrgud'!$C:$I,2+$F75,FALSE)</f>
        <v>-6.3410291258881213E-4</v>
      </c>
      <c r="U75" s="226">
        <f>VLOOKUP(U$10,'VK-Hooned-Soojus'!$C:$I,2+$C75,FALSE) + VLOOKUP(U$10,'VK-Transport'!$C:$I,2+$B75,FALSE)+ VLOOKUP(U$10,'VK-Biokütused'!$C:$G,2+$E75,FALSE)+ VLOOKUP(U$10,'VK-Elekter'!$C:$I,2+$D75,FALSE)+ VLOOKUP(U$10,'VK-Põlevkivi'!$C:$I,2+$G75,FALSE)+ VLOOKUP(U$10,'VK-Võrgud'!$C:$I,2+$F75,FALSE)</f>
        <v>3.5931529832520792E-3</v>
      </c>
      <c r="V75" s="226">
        <f>VLOOKUP(V$10,'VK-Hooned-Soojus'!$C:$I,2+$C75,FALSE) + VLOOKUP(V$10,'VK-Transport'!$C:$I,2+$B75,FALSE)+ VLOOKUP(V$10,'VK-Biokütused'!$C:$G,2+$E75,FALSE)+ VLOOKUP(V$10,'VK-Elekter'!$C:$I,2+$D75,FALSE)+ VLOOKUP(V$10,'VK-Põlevkivi'!$C:$I,2+$G75,FALSE)+ VLOOKUP(V$10,'VK-Võrgud'!$C:$I,2+$F75,FALSE)</f>
        <v>1.0190767624638648E-2</v>
      </c>
      <c r="W75" s="226">
        <f>VLOOKUP(W$10,'VK-Hooned-Soojus'!$C:$I,2+$C75,FALSE) + VLOOKUP(W$10,'VK-Transport'!$C:$I,2+$B75,FALSE)+ VLOOKUP(W$10,'VK-Biokütused'!$C:$G,2+$E75,FALSE)+ VLOOKUP(W$10,'VK-Elekter'!$C:$I,2+$D75,FALSE)+ VLOOKUP(W$10,'VK-Põlevkivi'!$C:$I,2+$G75,FALSE)+ VLOOKUP(W$10,'VK-Võrgud'!$C:$I,2+$F75,FALSE)</f>
        <v>-2.435281523970553E-2</v>
      </c>
      <c r="X75" s="226">
        <f>VLOOKUP(X$10,'VK-Hooned-Soojus'!$C:$I,2+$C75,FALSE) + VLOOKUP(X$10,'VK-Transport'!$C:$I,2+$B75,FALSE)+ VLOOKUP(X$10,'VK-Biokütused'!$C:$G,2+$E75,FALSE)+ VLOOKUP(X$10,'VK-Elekter'!$C:$I,2+$D75,FALSE)+ VLOOKUP(X$10,'VK-Põlevkivi'!$C:$I,2+$G75,FALSE)+ VLOOKUP(X$10,'VK-Võrgud'!$C:$I,2+$F75,FALSE)</f>
        <v>-3.0414165651901349E-2</v>
      </c>
      <c r="Y75" s="226">
        <f>VLOOKUP(Y$10,'VK-Hooned-Soojus'!$C:$I,2+$C75,FALSE) + VLOOKUP(Y$10,'VK-Transport'!$C:$I,2+$B75,FALSE)+ VLOOKUP(Y$10,'VK-Biokütused'!$C:$G,2+$E75,FALSE)+ VLOOKUP(Y$10,'VK-Elekter'!$C:$I,2+$D75,FALSE)+ VLOOKUP(Y$10,'VK-Põlevkivi'!$C:$I,2+$G75,FALSE)+ VLOOKUP(Y$10,'VK-Võrgud'!$C:$I,2+$F75,FALSE)</f>
        <v>-4.24364848007526E-2</v>
      </c>
      <c r="Z75" s="227">
        <f>(S75*Tulemused!$Q$9*10+T75*Tulemused!$Q$10*10+KOMBI!U75*Tulemused!$Q$11*10+KOMBI!V75*Tulemused!$Q$12*10)*Tulemused!$Q$8+-(W75*Tulemused!$Q$14*10+KOMBI!X75*Tulemused!$Q$15*10+KOMBI!Y75*Tulemused!$Q$16*10)*Tulemused!$Q$13</f>
        <v>3.9654596184466637</v>
      </c>
      <c r="AA75" s="228">
        <f>(IF(AA$7="X",VLOOKUP(AA$10,'VK-Hooned-Soojus'!$C:$X,2+$C75,FALSE),0)+IF(AA$6="X",VLOOKUP(AA$10,'VK-Transport'!$C:$X,2+$B75,0))+IF(AA$8="X",VLOOKUP(AA$10,'VK-Elekter'!$C:$X,2+$D75,0))+IF(AA$9="X",VLOOKUP(AA$10,'VK-Biokütused'!$C:$U,2+$E75,0))+IF(AA$5="X",VLOOKUP(AA$10,'VK-Põlevkivi'!$C:$X,2+$G75,0))+IF(AA$4="X",VLOOKUP(AA$10,'VK-Võrgud'!$C:$X,2+$F75,0)))</f>
        <v>3761</v>
      </c>
      <c r="AB75" s="228">
        <f>(IF(AB$7="X",VLOOKUP(AB$10,'VK-Hooned-Soojus'!$C:$X,2+$C75,FALSE),0)+IF(AB$6="X",VLOOKUP(AB$10,'VK-Transport'!$C:$X,2+$B75,0))+IF(AB$8="X",VLOOKUP(AB$10,'VK-Elekter'!$C:$X,2+$D75,0))+IF(AB$9="X",VLOOKUP(AB$10,'VK-Biokütused'!$C:$U,2+$E75,0))+IF(AB$5="X",VLOOKUP(AB$10,'VK-Põlevkivi'!$C:$X,2+$G75,0))+IF(AB$4="X",VLOOKUP(AB$10,'VK-Võrgud'!$C:$X,2+$F75,0)))</f>
        <v>1337</v>
      </c>
      <c r="AC75" s="228">
        <f>(IF(AC$7="X",VLOOKUP(AC$10,'VK-Hooned-Soojus'!$C:$X,2+$C75,FALSE),0)+IF(AC$6="X",VLOOKUP(AC$10,'VK-Transport'!$C:$X,2+$B75,0))+IF(AC$8="X",VLOOKUP(AC$10,'VK-Elekter'!$C:$X,2+$D75,0))+IF(AC$9="X",VLOOKUP(AC$10,'VK-Biokütused'!$C:$U,2+$E75,0))+IF(AC$5="X",VLOOKUP(AC$10,'VK-Põlevkivi'!$C:$X,2+$G75,0))+IF(AC$4="X",VLOOKUP(AC$10,'VK-Võrgud'!$C:$X,2+$F75,0)))</f>
        <v>2346</v>
      </c>
      <c r="AD75" s="228">
        <f>(IF(AD$7="X",VLOOKUP(AD$10,'VK-Hooned-Soojus'!$C:$X,2+$C75,FALSE),0)+IF(AD$6="X",VLOOKUP(AD$10,'VK-Transport'!$C:$X,2+$B75,0))+IF(AD$8="X",VLOOKUP(AD$10,'VK-Elekter'!$C:$X,2+$D75,0))+IF(AD$9="X",VLOOKUP(AD$10,'VK-Biokütused'!$C:$U,2+$E75,0))+IF(AD$5="X",VLOOKUP(AD$10,'VK-Põlevkivi'!$C:$X,2+$G75,0))+IF(AD$4="X",VLOOKUP(AD$10,'VK-Võrgud'!$C:$X,2+$F75,0)))</f>
        <v>377.5</v>
      </c>
      <c r="AE75" s="228">
        <f>(IF(AE$7="X",VLOOKUP(AE$10,'VK-Hooned-Soojus'!$C:$X,2+$C75,FALSE),0)+IF(AE$6="X",VLOOKUP(AE$10,'VK-Transport'!$C:$X,2+$B75,0))+IF(AE$8="X",VLOOKUP(AE$10,'VK-Elekter'!$C:$X,2+$D75,0))+IF(AE$9="X",VLOOKUP(AE$10,'VK-Biokütused'!$C:$U,2+$E75,0))+IF(AE$5="X",VLOOKUP(AE$10,'VK-Põlevkivi'!$C:$X,2+$G75,0))+IF(AE$4="X",VLOOKUP(AE$10,'VK-Võrgud'!$C:$X,2+$F75,0)))</f>
        <v>666</v>
      </c>
      <c r="AF75" s="228">
        <f>(IF(AF$7="X",VLOOKUP(AF$10,'VK-Hooned-Soojus'!$C:$X,2+$C75,FALSE),0)+IF(AF$6="X",VLOOKUP(AF$10,'VK-Transport'!$C:$X,2+$B75,0))+IF(AF$8="X",VLOOKUP(AF$10,'VK-Elekter'!$C:$X,2+$D75,0))+IF(AF$9="X",VLOOKUP(AF$10,'VK-Biokütused'!$C:$U,2+$E75,0))+IF(AF$5="X",VLOOKUP(AF$10,'VK-Põlevkivi'!$C:$X,2+$G75,0))+IF(AF$4="X",VLOOKUP(AF$10,'VK-Võrgud'!$C:$X,2+$F75,0)))</f>
        <v>1892.3823271229701</v>
      </c>
      <c r="AG75" s="209"/>
      <c r="AH75" s="209">
        <f>IF(AH$7="X",VLOOKUP(AH$10,'VK-Hooned-Soojus'!$C:$X,2+$C75,FALSE),0)+IF(AH$6="X",VLOOKUP(AH$10,'VK-Transport'!$C:$X,2+$B75,0))+IF(AH$8="X",VLOOKUP(AH$10,'VK-Elekter'!$C:$X,2+$D75,0))+IF(AH$9="X",VLOOKUP(AH$10,'VK-Biokütused'!$C:$U,2+$E75,0))+IF(AH$5="X",VLOOKUP(AH$10,'VK-Põlevkivi'!$C:$X,2+$G75,0))+IF(AH$4="X",VLOOKUP(AH$10,'VK-Võrgud'!$C:$X,2+$F75,0))</f>
        <v>11.64</v>
      </c>
      <c r="AI75" s="209">
        <f>IF(AI$7="X",VLOOKUP(AI$10,'VK-Hooned-Soojus'!$C:$X,2+$C75,FALSE),0)+IF(AI$6="X",VLOOKUP(AI$10,'VK-Transport'!$C:$X,2+$B75,0))+IF(AI$8="X",VLOOKUP(AI$10,'VK-Elekter'!$C:$X,2+$D75,0))+IF(AI$9="X",VLOOKUP(AI$10,'VK-Biokütused'!$C:$U,2+$E75,0))+IF(AI$5="X",VLOOKUP(AI$10,'VK-Põlevkivi'!$C:$X,2+$G75,0))+IF(AI$4="X",VLOOKUP(AI$10,'VK-Võrgud'!$C:$X,2+$F75,0))</f>
        <v>2.3100000000000005</v>
      </c>
      <c r="AJ75" s="209">
        <f>IF(AJ$7="X",VLOOKUP(AJ$10,'VK-Hooned-Soojus'!$C:$X,2+$C75,FALSE),0)+IF(AJ$6="X",VLOOKUP(AJ$10,'VK-Transport'!$C:$X,2+$B75,0))+IF(AJ$8="X",VLOOKUP(AJ$10,'VK-Elekter'!$C:$X,2+$D75,0))+IF(AJ$9="X",VLOOKUP(AJ$10,'VK-Biokütused'!$C:$U,2+$E75,0))+IF(AJ$5="X",VLOOKUP(AJ$10,'VK-Põlevkivi'!$C:$X,2+$G75,0))+IF(AJ$4="X",VLOOKUP(AJ$10,'VK-Võrgud'!$C:$X,2+$F75,0))</f>
        <v>9.25</v>
      </c>
      <c r="AK75" s="209">
        <f>IF(AK$7="X",VLOOKUP(AK$10,'VK-Hooned-Soojus'!$C:$X,2+$C75,FALSE),0)+IF(AK$6="X",VLOOKUP(AK$10,'VK-Transport'!$C:$X,2+$B75,0))+IF(AK$8="X",VLOOKUP(AK$10,'VK-Elekter'!$C:$X,2+$D75,0))+IF(AK$9="X",VLOOKUP(AK$10,'VK-Biokütused'!$C:$U,2+$E75,0))+IF(AK$5="X",VLOOKUP(AK$10,'VK-Põlevkivi'!$C:$X,2+$G75,0))+IF(AK$4="X",VLOOKUP(AK$10,'VK-Võrgud'!$C:$X,2+$F75,0))</f>
        <v>2.78</v>
      </c>
      <c r="AL75" s="209">
        <f>IF(AL$7="X",VLOOKUP(AL$10,'VK-Hooned-Soojus'!$C:$X,2+$C75,FALSE),0)+IF(AL$6="X",VLOOKUP(AL$10,'VK-Transport'!$C:$X,2+$B75,0))+IF(AL$8="X",VLOOKUP(AL$10,'VK-Elekter'!$C:$X,2+$D75,0))+IF(AL$9="X",VLOOKUP(AL$10,'VK-Biokütused'!$C:$U,2+$E75,0))+IF(AL$5="X",VLOOKUP(AL$10,'VK-Põlevkivi'!$C:$X,2+$G75,0))+IF(AL$4="X",VLOOKUP(AL$10,'VK-Võrgud'!$C:$X,2+$F75,0))</f>
        <v>7.1999999999999993</v>
      </c>
      <c r="AM75" s="209">
        <f>IF(AM$7="X",VLOOKUP(AM$10,'VK-Hooned-Soojus'!$C:$X,2+$C75,FALSE),0)+IF(AM$6="X",VLOOKUP(AM$10,'VK-Transport'!$C:$X,2+$B75,0))+IF(AM$8="X",VLOOKUP(AM$10,'VK-Elekter'!$C:$X,2+$D75,0))+IF(AM$9="X",VLOOKUP(AM$10,'VK-Biokütused'!$C:$U,2+$E75,0))+IF(AM$5="X",VLOOKUP(AM$10,'VK-Põlevkivi'!$C:$X,2+$G75,0))+IF(AM$4="X",VLOOKUP(AM$10,'VK-Võrgud'!$C:$X,2+$F75,0))</f>
        <v>11.9</v>
      </c>
      <c r="AN75" s="209">
        <f>IF(AN$7="X",VLOOKUP(AN$10,'VK-Hooned-Soojus'!$C:$X,2+$C75,FALSE),0)+IF(AN$6="X",VLOOKUP(AN$10,'VK-Transport'!$C:$X,2+$B75,0))+IF(AN$8="X",VLOOKUP(AN$10,'VK-Elekter'!$C:$X,2+$D75,0))+IF(AN$9="X",VLOOKUP(AN$10,'VK-Biokütused'!$C:$U,2+$E75,0))+IF(AN$5="X",VLOOKUP(AN$10,'VK-Põlevkivi'!$C:$X,2+$G75,0))+IF(AN$4="X",VLOOKUP(AN$10,'VK-Võrgud'!$C:$X,2+$F75,0))</f>
        <v>4.8999999999999995</v>
      </c>
      <c r="AO75" s="209">
        <f>IF(AO$7="X",VLOOKUP(AO$10,'VK-Hooned-Soojus'!$C:$X,2+$C75,FALSE),0)+IF(AO$6="X",VLOOKUP(AO$10,'VK-Transport'!$C:$X,2+$B75,0))+IF(AO$8="X",VLOOKUP(AO$10,'VK-Elekter'!$C:$X,2+$D75,0))+IF(AO$9="X",VLOOKUP(AO$10,'VK-Biokütused'!$C:$U,2+$E75,0))+IF(AO$5="X",VLOOKUP(AO$10,'VK-Põlevkivi'!$C:$X,2+$G75,0))+IF(AO$4="X",VLOOKUP(AO$10,'VK-Võrgud'!$C:$X,2+$F75,0))</f>
        <v>12.56</v>
      </c>
      <c r="AP75" s="209">
        <f>IF(AP$7="X",VLOOKUP(AP$10,'VK-Hooned-Soojus'!$C:$X,2+$C75,FALSE),0)+IF(AP$6="X",VLOOKUP(AP$10,'VK-Transport'!$C:$X,2+$B75,0))+IF(AP$8="X",VLOOKUP(AP$10,'VK-Elekter'!$C:$X,2+$D75,0))+IF(AP$9="X",VLOOKUP(AP$10,'VK-Biokütused'!$C:$U,2+$E75,0))+IF(AP$5="X",VLOOKUP(AP$10,'VK-Põlevkivi'!$C:$X,2+$G75,0))+IF(AP$4="X",VLOOKUP(AP$10,'VK-Võrgud'!$C:$X,2+$F75,0))</f>
        <v>6.28</v>
      </c>
      <c r="AQ75" s="320">
        <f t="shared" si="14"/>
        <v>0.25999999999999979</v>
      </c>
      <c r="AR75" s="209">
        <f>IF(AR$7="X",VLOOKUP(AR$10,'VK-Hooned-Soojus'!$C:$X,2+$C75,FALSE),0)+IF(AR$6="X",VLOOKUP(AR$10,'VK-Transport'!$C:$X,2+$B75,0))+IF(AR$8="X",VLOOKUP(AR$10,'VK-Elekter'!$C:$X,2+$D75,0))+IF(AR$9="X",VLOOKUP(AR$10,'VK-Biokütused'!$C:$U,2+$E75,0))+IF(AR$5="X",VLOOKUP(AR$10,'VK-Põlevkivi'!$C:$X,2+$G75,0))+IF(AR$4="X",VLOOKUP(AR$10,'VK-Võrgud'!$C:$X,2+$F75,0))</f>
        <v>2.8899999999999997</v>
      </c>
      <c r="AS75" s="320">
        <f>VLOOKUP("Kütuste tarbimine @ 2030 - UTTEGAAS",'VK-Hooned-Soojus'!$C:$X,2+$C75,FALSE)/0.172+VLOOKUP("Kütuste tarbimine @ 2030 - UTTEGAAS",'VK-Elekter'!$C:$X,2+$D75,FALSE)/0.172-AR75-AU75</f>
        <v>2.8565116279069773</v>
      </c>
      <c r="AT75" s="209">
        <f>IF(AT$7="X",VLOOKUP(AT$10,'VK-Hooned-Soojus'!$C:$X,2+$C75,FALSE),0)+IF(AT$6="X",VLOOKUP(AT$10,'VK-Transport'!$C:$X,2+$B75,0))+IF(AT$8="X",VLOOKUP(AT$10,'VK-Elekter'!$C:$X,2+$D75,0))+IF(AT$9="X",VLOOKUP(AT$10,'VK-Biokütused'!$C:$U,2+$E75,0))+IF(AT$5="X",VLOOKUP(AT$10,'VK-Põlevkivi'!$C:$X,2+$G75,0))+IF(AT$4="X",VLOOKUP(AT$10,'VK-Võrgud'!$C:$X,2+$F75,0))</f>
        <v>9.2784458909544707</v>
      </c>
      <c r="AU75" s="229">
        <f>MAX(0,(VLOOKUP("Kütuste tarbimine @ 2030 - UTTEGAAS",'VK-Hooned-Soojus'!$C:$X,2+$C75,FALSE)/0.172+VLOOKUP("Kütuste tarbimine @ 2030 - UTTEGAAS",'VK-Elekter'!$C:$X,2+$D75,FALSE)/0.172)*0.52-VLOOKUP("Kütuste tarbimine @ 2030 - PÕLEVKIVIÕLI",'VK-Hooned-Soojus'!$C:$X,2+$C75,FALSE))</f>
        <v>5.1837209302325586</v>
      </c>
      <c r="AV75" s="209">
        <f>IF(AV$7="X",VLOOKUP(AV$10,'VK-Hooned-Soojus'!$C:$X,2+$C75,FALSE),0)+IF(AV$6="X",VLOOKUP(AV$10,'VK-Transport'!$C:$X,2+$B75,0))+IF(AV$8="X",VLOOKUP(AV$10,'VK-Elekter'!$C:$X,2+$D75,0))+IF(AV$9="X",VLOOKUP(AV$10,'VK-Biokütused'!$C:$U,2+$E75,0))+IF(AV$5="X",VLOOKUP(AV$10,'VK-Põlevkivi'!$C:$X,2+$G75,0))+IF(AV$4="X",VLOOKUP(AV$10,'VK-Võrgud'!$C:$X,2+$F75,0))</f>
        <v>1.7257321590343366</v>
      </c>
      <c r="AW75" s="209">
        <f>IF(AW$7="X",VLOOKUP(AW$10,'VK-Hooned-Soojus'!$C:$X,2+$C75,FALSE),0)+IF(AW$6="X",VLOOKUP(AW$10,'VK-Transport'!$C:$X,2+$B75,0))+IF(AW$8="X",VLOOKUP(AW$10,'VK-Elekter'!$C:$X,2+$D75,0))+IF(AW$9="X",VLOOKUP(AW$10,'VK-Biokütused'!$C:$U,2+$E75,0))+IF(AW$5="X",VLOOKUP(AW$10,'VK-Põlevkivi'!$C:$X,2+$G75,0))+IF(AW$4="X",VLOOKUP(AW$10,'VK-Võrgud'!$C:$X,2+$F75,0))</f>
        <v>2.141</v>
      </c>
      <c r="AX75" s="229">
        <f t="shared" si="34"/>
        <v>0.41526784096566338</v>
      </c>
      <c r="AY75" s="229">
        <f t="shared" si="15"/>
        <v>0</v>
      </c>
      <c r="AZ75" s="230">
        <f t="shared" ref="AZ75:AZ106" si="48">(MAX(0,AK75)+AJ75+AN75+AQ75+AT75+AY75)/EI75</f>
        <v>0.54810673251464137</v>
      </c>
      <c r="BA75" s="209">
        <f>IF(BA$7="X",VLOOKUP(BA$10,'VK-Hooned-Soojus'!$C:$X,2+$C75,FALSE),0)+IF(BA$6="X",VLOOKUP(BA$10,'VK-Transport'!$C:$X,2+$B75,0))+IF(BA$8="X",VLOOKUP(BA$10,'VK-Elekter'!$C:$X,2+$D75,0))+IF(BA$9="X",VLOOKUP(BA$10,'VK-Biokütused'!$C:$U,2+$E75,0))+IF(BA$5="X",VLOOKUP(BA$10,'VK-Põlevkivi'!$C:$X,2+$G75,0))+IF(BA$4="X",VLOOKUP(BA$10,'VK-Võrgud'!$C:$X,2+$F75,0))</f>
        <v>4.25</v>
      </c>
      <c r="BB75" s="209">
        <f>IF(BB$7="X",VLOOKUP(BB$10,'VK-Hooned-Soojus'!$C:$X,2+$C75,FALSE),0)+IF(BB$6="X",VLOOKUP(BB$10,'VK-Transport'!$C:$X,2+$B75,0))+IF(BB$8="X",VLOOKUP(BB$10,'VK-Elekter'!$C:$X,2+$D75,0))+IF(BB$9="X",VLOOKUP(BB$10,'VK-Biokütused'!$C:$U,2+$E75,0))+IF(BB$5="X",VLOOKUP(BB$10,'VK-Põlevkivi'!$C:$X,2+$G75,0))+IF(BB$4="X",VLOOKUP(BB$10,'VK-Võrgud'!$C:$X,2+$F75,0))</f>
        <v>2.93</v>
      </c>
      <c r="BC75" s="209">
        <f>IF(BC$7="X",VLOOKUP(BC$10,'VK-Hooned-Soojus'!$C:$X,2+$C75,FALSE),0)+IF(BC$6="X",VLOOKUP(BC$10,'VK-Transport'!$C:$X,2+$B75,0))+IF(BC$8="X",VLOOKUP(BC$10,'VK-Elekter'!$C:$X,2+$D75,0))+IF(BC$9="X",VLOOKUP(BC$10,'VK-Biokütused'!$C:$U,2+$E75,0))+IF(BC$5="X",VLOOKUP(BC$10,'VK-Põlevkivi'!$C:$X,2+$G75,0))+IF(BC$4="X",VLOOKUP(BC$10,'VK-Võrgud'!$C:$X,2+$F75,0))</f>
        <v>6.5993333333333322</v>
      </c>
      <c r="BD75" s="209">
        <f>IF(BD$7="X",VLOOKUP(BD$10,'VK-Hooned-Soojus'!$C:$X,2+$C75,FALSE),0)+IF(BD$6="X",VLOOKUP(BD$10,'VK-Transport'!$C:$X,2+$B75,0))+IF(BD$8="X",VLOOKUP(BD$10,'VK-Elekter'!$C:$X,2+$D75,0))+IF(BD$9="X",VLOOKUP(BD$10,'VK-Biokütused'!$C:$U,2+$E75,0))+IF(BD$5="X",VLOOKUP(BD$10,'VK-Põlevkivi'!$C:$X,2+$G75,0))+IF(BD$4="X",VLOOKUP(BD$10,'VK-Võrgud'!$C:$X,2+$F75,0))</f>
        <v>9.425416666666667</v>
      </c>
      <c r="BE75" s="230"/>
      <c r="BF75" s="229">
        <f t="shared" si="16"/>
        <v>0.32999603074171385</v>
      </c>
      <c r="BG75" s="209" t="e">
        <f>(IF(BG$7="X",VLOOKUP(BG$10,'VK-Hooned-Soojus'!$C:$X,2+$C75,FALSE),0)+IF(BG$6="X",VLOOKUP(BG$10,'VK-Transport'!$C:$X,2+$B75,0))+IF(BG$8="X",VLOOKUP(BG$10,'VK-Elekter'!$C:$X,2+$D75,0))+IF(BG$9="X",VLOOKUP(BG$10,'VK-Biokütused'!$C:$U,2+$E75,0))+IF(BG$5="X",VLOOKUP(BG$10,'VK-Põlevkivi'!$C:$X,2+$G75,0))+IF(BG$4="X",VLOOKUP(BG$10,'VK-Võrgud'!$C:$X,2+$F75,0)))/20</f>
        <v>#N/A</v>
      </c>
      <c r="BH75" s="209">
        <f>(IF(BH$7="X",VLOOKUP(BH$10,'VK-Hooned-Soojus'!$C:$X,2+$C75,FALSE),0)+IF(BH$6="X",VLOOKUP(BH$10,'VK-Transport'!$C:$X,2+$B75,0))+IF(BH$8="X",VLOOKUP(BH$10,'VK-Elekter'!$C:$X,2+$D75,0))+IF(BH$9="X",VLOOKUP(BH$10,'VK-Biokütused'!$C:$U,2+$E75,0))+IF(BH$5="X",VLOOKUP(BH$10,'VK-Põlevkivi'!$C:$X,2+$G75,0))+IF(BH$4="X",VLOOKUP(BH$10,'VK-Võrgud'!$C:$X,2+$F75,0)))/20</f>
        <v>45.08</v>
      </c>
      <c r="BI75" s="209">
        <f>(IF(BI$7="X",VLOOKUP(BI$10,'VK-Hooned-Soojus'!$C:$X,2+$C75,FALSE),0)+IF(BI$6="X",VLOOKUP(BI$10,'VK-Transport'!$C:$X,2+$B75,0))+IF(BI$8="X",VLOOKUP(BI$10,'VK-Elekter'!$C:$X,2+$D75,0))+IF(BI$9="X",VLOOKUP(BI$10,'VK-Biokütused'!$C:$U,2+$E75,0))+IF(BI$5="X",VLOOKUP(BI$10,'VK-Põlevkivi'!$C:$X,2+$G75,0))+IF(BI$4="X",VLOOKUP(BI$10,'VK-Võrgud'!$C:$X,2+$F75,0)))/16</f>
        <v>14.1875</v>
      </c>
      <c r="BJ75" s="209">
        <f>(IF(BJ$7="X",VLOOKUP(BJ$10,'VK-Hooned-Soojus'!$C:$X,2+$C75,FALSE),0)+IF(BJ$6="X",VLOOKUP(BJ$10,'VK-Transport'!$C:$X,2+$B75,0))+IF(BJ$8="X",VLOOKUP(BJ$10,'VK-Elekter'!$C:$X,2+$D75,0))+IF(BJ$9="X",VLOOKUP(BJ$10,'VK-Biokütused'!$C:$U,2+$E75,0))+IF(BJ$5="X",VLOOKUP(BJ$10,'VK-Põlevkivi'!$C:$X,2+$G75,0))+IF(BJ$4="X",VLOOKUP(BJ$10,'VK-Võrgud'!$C:$X,2+$F75,0)))/20</f>
        <v>3.91</v>
      </c>
      <c r="BK75" s="209"/>
      <c r="BL75" s="209"/>
      <c r="BM75" s="209"/>
      <c r="BN75" s="209" t="e">
        <f>(IF(BN$7="X",VLOOKUP(BN$10,'VK-Hooned-Soojus'!$C:$X,2+$C75,FALSE),0)+IF(BN$6="X",VLOOKUP(BN$10,'VK-Transport'!$C:$X,2+$B75,0))+IF(BN$8="X",VLOOKUP(BN$10,'VK-Elekter'!$C:$X,2+$D75,0))+IF(BN$9="X",VLOOKUP(BN$10,'VK-Biokütused'!$C:$U,2+$E75,0))+IF(BN$5="X",VLOOKUP(BN$10,'VK-Põlevkivi'!$C:$X,2+$G75,0))+IF(BN$4="X",VLOOKUP(BN$10,'VK-Võrgud'!$C:$X,2+$F75,0)))/16</f>
        <v>#N/A</v>
      </c>
      <c r="BO75" s="209">
        <f>(IF(BO$7="X",VLOOKUP(BO$10,'VK-Hooned-Soojus'!$C:$X,2+$C75,FALSE),0)+IF(BO$6="X",VLOOKUP(BO$10,'VK-Transport'!$C:$X,2+$B75,0))+IF(BO$8="X",VLOOKUP(BO$10,'VK-Elekter'!$C:$X,2+$D75,0))+IF(BO$9="X",VLOOKUP(BO$10,'VK-Biokütused'!$C:$U,2+$E75,0))+IF(BO$5="X",VLOOKUP(BO$10,'VK-Põlevkivi'!$C:$X,2+$G75,0))+IF(BO$4="X",VLOOKUP(BO$10,'VK-Võrgud'!$C:$X,2+$F75,0)))/16</f>
        <v>405.45</v>
      </c>
      <c r="BP75" s="209"/>
      <c r="BQ75" s="209">
        <f>(IF(BQ$7="X",VLOOKUP(BQ$10,'VK-Hooned-Soojus'!$C:$X,2+$C75,FALSE),0)+IF(BQ$6="X",VLOOKUP(BQ$10,'VK-Transport'!$C:$X,2+$B75,0))+IF(BQ$8="X",VLOOKUP(BQ$10,'VK-Elekter'!$C:$X,2+$D75,0))+IF(BQ$9="X",VLOOKUP(BQ$10,'VK-Biokütused'!$C:$U,2+$E75,0))+IF(BQ$5="X",VLOOKUP(BQ$10,'VK-Põlevkivi'!$C:$X,2+$G75,0))+IF(BQ$4="X",VLOOKUP(BQ$10,'VK-Võrgud'!$C:$X,2+$F75,0)))/16</f>
        <v>127.6</v>
      </c>
      <c r="BR75" s="209">
        <f>(IF(BR$7="X",VLOOKUP(BR$10,'VK-Hooned-Soojus'!$C:$X,2+$C75,FALSE),0)+IF(BR$6="X",VLOOKUP(BR$10,'VK-Transport'!$C:$X,2+$B75,0))+IF(BR$8="X",VLOOKUP(BR$10,'VK-Elekter'!$C:$X,2+$D75,0))+IF(BR$9="X",VLOOKUP(BR$10,'VK-Biokütused'!$C:$U,2+$E75,0))+IF(BR$5="X",VLOOKUP(BR$10,'VK-Põlevkivi'!$C:$X,2+$G75,0))+IF(BR$4="X",VLOOKUP(BR$10,'VK-Võrgud'!$C:$X,2+$F75,0)))/16</f>
        <v>27.475000000000001</v>
      </c>
      <c r="BS75" s="209">
        <f>(IF(BS$7="X",VLOOKUP(BS$10,'VK-Hooned-Soojus'!$C:$X,2+$C75,FALSE),0)+IF(BS$6="X",VLOOKUP(BS$10,'VK-Transport'!$C:$X,2+$B75,0))+IF(BS$8="X",VLOOKUP(BS$10,'VK-Elekter'!$C:$X,2+$D75,0))+IF(BS$9="X",VLOOKUP(BS$10,'VK-Biokütused'!$C:$U,2+$E75,0))+IF(BS$5="X",VLOOKUP(BS$10,'VK-Põlevkivi'!$C:$X,2+$G75,0))+IF(BS$4="X",VLOOKUP(BS$10,'VK-Võrgud'!$C:$X,2+$F75,0)))/16</f>
        <v>-23.293749999999999</v>
      </c>
      <c r="BT75" s="209"/>
      <c r="BU75" s="209"/>
      <c r="BV75" s="209">
        <f>(IF(BV$7="X",VLOOKUP(BV$10,'VK-Hooned-Soojus'!$C:$X,2+$C75,FALSE),0)+IF(BV$6="X",VLOOKUP(BV$10,'VK-Transport'!$C:$X,2+$B75,0))+IF(BV$8="X",VLOOKUP(BV$10,'VK-Elekter'!$C:$X,2+$D75,0))+IF(BV$9="X",VLOOKUP(BV$10,'VK-Biokütused'!$C:$U,2+$E75,0))+IF(BV$5="X",VLOOKUP(BV$10,'VK-Põlevkivi'!$C:$X,2+$G75,0))+IF(BV$4="X",VLOOKUP(BV$10,'VK-Võrgud'!$C:$X,2+$F75,0)))/16</f>
        <v>0</v>
      </c>
      <c r="BW75" s="209"/>
      <c r="BX75" s="209">
        <f>(IF(BX$7="X",VLOOKUP(BX$10,'VK-Hooned-Soojus'!$C:$X,2+$C75,FALSE),0)+IF(BX$6="X",VLOOKUP(BX$10,'VK-Transport'!$C:$X,2+$B75,0))+IF(BX$8="X",VLOOKUP(BX$10,'VK-Elekter'!$C:$X,2+$D75,0))+IF(BX$9="X",VLOOKUP(BX$10,'VK-Biokütused'!$C:$U,2+$E75,0))+IF(BX$5="X",VLOOKUP(BX$10,'VK-Põlevkivi'!$C:$X,2+$G75,0))+IF(BX$4="X",VLOOKUP(BX$10,'VK-Võrgud'!$C:$X,2+$F75,0)))/16</f>
        <v>-99.75</v>
      </c>
      <c r="BY75" s="209"/>
      <c r="BZ75" s="209"/>
      <c r="CA75" s="209" t="e">
        <f>(IF(CA$7="X",VLOOKUP(CA$10,'VK-Hooned-Soojus'!$C:$X,2+$C75,FALSE),0)+IF(CA$6="X",VLOOKUP(CA$10,'VK-Transport'!$C:$X,2+$B75,0))+IF(CA$8="X",VLOOKUP(CA$10,'VK-Elekter'!$C:$X,2+$D75,0))+IF(CA$9="X",VLOOKUP(CA$10,'VK-Biokütused'!$C:$U,2+$E75,0))+IF(CA$5="X",VLOOKUP(CA$10,'VK-Põlevkivi'!$C:$X,2+$G75,0))+IF(CA$4="X",VLOOKUP(CA$10,'VK-Võrgud'!$C:$X,2+$F75,0)))/16</f>
        <v>#N/A</v>
      </c>
      <c r="CB75" s="209">
        <f>(IF(CB$7="X",VLOOKUP(CB$10,'VK-Hooned-Soojus'!$C:$X,2+$C75,FALSE),0)+IF(CB$6="X",VLOOKUP(CB$10,'VK-Transport'!$C:$X,2+$B75,0))+IF(CB$8="X",VLOOKUP(CB$10,'VK-Elekter'!$C:$X,2+$D75,0))+IF(CB$9="X",VLOOKUP(CB$10,'VK-Biokütused'!$C:$U,2+$E75,0))+IF(CB$5="X",VLOOKUP(CB$10,'VK-Põlevkivi'!$C:$X,2+$G75,0))+IF(CB$4="X",VLOOKUP(CB$10,'VK-Võrgud'!$C:$X,2+$F75,0)))/16</f>
        <v>0</v>
      </c>
      <c r="CC75" s="209">
        <f>(IF(CC$7="X",VLOOKUP(CC$10,'VK-Hooned-Soojus'!$C:$X,2+$C75,FALSE),0)+IF(CC$6="X",VLOOKUP(CC$10,'VK-Transport'!$C:$X,2+$B75,0))+IF(CC$8="X",VLOOKUP(CC$10,'VK-Elekter'!$C:$X,2+$D75,0))+IF(CC$9="X",VLOOKUP(CC$10,'VK-Biokütused'!$C:$U,2+$E75,0))+IF(CC$5="X",VLOOKUP(CC$10,'VK-Põlevkivi'!$C:$X,2+$G75,0))+IF(CC$4="X",VLOOKUP(CC$10,'VK-Võrgud'!$C:$X,2+$F75,0)))/16</f>
        <v>0</v>
      </c>
      <c r="CD75" s="209"/>
      <c r="CE75" s="209">
        <f>(IF(CE$7="X",VLOOKUP(CE$10,'VK-Hooned-Soojus'!$C:$X,2+$C75,FALSE),0)+IF(CE$6="X",VLOOKUP(CE$10,'VK-Transport'!$C:$X,2+$B75,0))+IF(CE$8="X",VLOOKUP(CE$10,'VK-Elekter'!$C:$X,2+$D75,0))+IF(CE$9="X",VLOOKUP(CE$10,'VK-Biokütused'!$C:$U,2+$E75,0))+IF(CE$5="X",VLOOKUP(CE$10,'VK-Põlevkivi'!$C:$X,2+$G75,0))+IF(CE$4="X",VLOOKUP(CE$10,'VK-Võrgud'!$C:$X,2+$F75,0)))/16</f>
        <v>24.15625</v>
      </c>
      <c r="CF75" s="209"/>
      <c r="CG75" s="209">
        <f>(IF(CG$7="X",VLOOKUP(CG$10,'VK-Hooned-Soojus'!$C:$X,2+$C75,FALSE),0)+IF(CG$6="X",VLOOKUP(CG$10,'VK-Transport'!$C:$X,2+$B75,0))+IF(CG$8="X",VLOOKUP(CG$10,'VK-Elekter'!$C:$X,2+$D75,0))+IF(CG$9="X",VLOOKUP(CG$10,'VK-Biokütused'!$C:$U,2+$E75,0))+IF(CG$5="X",VLOOKUP(CG$10,'VK-Põlevkivi'!$C:$X,2+$G75,0))+IF(CG$4="X",VLOOKUP(CG$10,'VK-Võrgud'!$C:$X,2+$F75,0)))/16</f>
        <v>0</v>
      </c>
      <c r="CH75" s="209">
        <f>(IF(CH$7="X",VLOOKUP(CH$10,'VK-Hooned-Soojus'!$C:$X,2+$C75,FALSE),0)+IF(CH$6="X",VLOOKUP(CH$10,'VK-Transport'!$C:$X,2+$B75,0))+IF(CH$8="X",VLOOKUP(CH$10,'VK-Elekter'!$C:$X,2+$D75,0))+IF(CH$9="X",VLOOKUP(CH$10,'VK-Biokütused'!$C:$U,2+$E75,0))+IF(CH$5="X",VLOOKUP(CH$10,'VK-Põlevkivi'!$C:$X,2+$G75,0))+IF(CH$4="X",VLOOKUP(CH$10,'VK-Võrgud'!$C:$X,2+$F75,0)))/20*0.21</f>
        <v>11.225549999999998</v>
      </c>
      <c r="CI75" s="209"/>
      <c r="CJ75" s="209">
        <f>(IF(CJ$7="X",VLOOKUP(CJ$10,'VK-Hooned-Soojus'!$C:$X,2+$C75,FALSE),0)+IF(CJ$6="X",VLOOKUP(CJ$10,'VK-Transport'!$C:$X,2+$B75,0))+IF(CJ$8="X",VLOOKUP(CJ$10,'VK-Elekter'!$C:$X,2+$D75,0))+IF(CJ$9="X",VLOOKUP(CJ$10,'VK-Biokütused'!$C:$U,2+$E75,0))+IF(CJ$5="X",VLOOKUP(CJ$10,'VK-Põlevkivi'!$C:$X,2+$G75,0))+IF(CJ$4="X",VLOOKUP(CJ$10,'VK-Võrgud'!$C:$X,2+$F75,0)))/1000</f>
        <v>18.181578011574537</v>
      </c>
      <c r="CK75" s="209">
        <f>(IF(CK$7="X",VLOOKUP(CK$10,'VK-Hooned-Soojus'!$C:$X,2+$C75,FALSE),0)+IF(CK$6="X",VLOOKUP(CK$10,'VK-Transport'!$C:$X,2+$B75,0))+IF(CK$8="X",VLOOKUP(CK$10,'VK-Elekter'!$C:$X,2+$D75,0))+IF(CK$9="X",VLOOKUP(CK$10,'VK-Biokütused'!$C:$U,2+$E75,0))+IF(CK$5="X",VLOOKUP(CK$10,'VK-Põlevkivi'!$C:$X,2+$G75,0))+IF(CK$4="X",VLOOKUP(CK$10,'VK-Võrgud'!$C:$X,2+$F75,0)))/1000</f>
        <v>11.872324637900011</v>
      </c>
      <c r="CL75" s="235">
        <f>(IF(CL$7="X",VLOOKUP(CL$10,'VK-Hooned-Soojus'!$C:$X,2+$C75,FALSE),0)+IF(CL$6="X",VLOOKUP(CL$10,'VK-Transport'!$C:$X,2+$B75,0))+IF(CL$8="X",VLOOKUP(CL$10,'VK-Elekter'!$C:$X,2+$D75,0))+IF(CL$9="X",VLOOKUP(CL$10,'VK-Biokütused'!$C:$U,2+$E75,0)))/1000</f>
        <v>8.4527703590452106</v>
      </c>
      <c r="CM75" s="209">
        <f>(IF(CM$7="X",VLOOKUP(CM$10,'VK-Hooned-Soojus'!$C:$X,2+$C75,FALSE),0)+IF(CM$6="X",VLOOKUP(CM$10,'VK-Transport'!$C:$X,2+$B75,0))+IF(CM$8="X",VLOOKUP(CM$10,'VK-Elekter'!$C:$X,2+$D75,0))+IF(CM$9="X",VLOOKUP(CM$10,'VK-Biokütused'!$C:$U,2+$E75,0))+IF(CM$5="X",VLOOKUP(CM$10,'VK-Põlevkivi'!$C:$X,2+$G75,0))+IF(CM$4="X",VLOOKUP(CM$10,'VK-Võrgud'!$C:$X,2+$F75,0)))/1000</f>
        <v>7.7837605777489074</v>
      </c>
      <c r="CN75" s="209">
        <f>(IF(CN$7="X",VLOOKUP(CN$10,'VK-Hooned-Soojus'!$C:$X,2+$C75,FALSE),0)+IF(CN$6="X",VLOOKUP(CN$10,'VK-Transport'!$C:$X,2+$B75,0))+IF(CN$8="X",VLOOKUP(CN$10,'VK-Elekter'!$C:$X,2+$D75,0))+IF(CN$9="X",VLOOKUP(CN$10,'VK-Biokütused'!$C:$U,2+$E75,0))+IF(CN$5="X",VLOOKUP(CN$10,'VK-Põlevkivi'!$C:$X,2+$G75,0))+IF(CN$4="X",VLOOKUP(CN$10,'VK-Võrgud'!$C:$X,2+$F75,0)))/1000</f>
        <v>2.9929999999999999</v>
      </c>
      <c r="CO75" s="209">
        <f>(IF(CO$7="X",VLOOKUP(CO$10,'VK-Hooned-Soojus'!$C:$X,2+$C75,FALSE),0)+IF(CO$6="X",VLOOKUP(CO$10,'VK-Transport'!$C:$X,2+$B75,0))+IF(CO$8="X",VLOOKUP(CO$10,'VK-Elekter'!$C:$X,2+$D75,0))+IF(CO$9="X",VLOOKUP(CO$10,'VK-Biokütused'!$C:$U,2+$E75,0))+IF(CO$5="X",VLOOKUP(CO$10,'VK-Põlevkivi'!$C:$X,2+$G75,0))+IF(CO$4="X",VLOOKUP(CO$10,'VK-Võrgud'!$C:$X,2+$F75,0)))/1000</f>
        <v>24.00957521079728</v>
      </c>
      <c r="CP75" s="209">
        <f>(IF(CP$7="X",VLOOKUP(CP$10,'VK-Hooned-Soojus'!$C:$X,2+$C75,FALSE),0)+IF(CP$6="X",VLOOKUP(CP$10,'VK-Transport'!$C:$X,2+$B75,0))+IF(CP$8="X",VLOOKUP(CP$10,'VK-Elekter'!$C:$X,2+$D75,0))+IF(CP$9="X",VLOOKUP(CP$10,'VK-Biokütused'!$C:$U,2+$E75,0))+IF(CP$5="X",VLOOKUP(CP$10,'VK-Põlevkivi'!$C:$X,2+$G75,0))+IF(CP$4="X",VLOOKUP(CP$10,'VK-Võrgud'!$C:$X,2+$F75,0)))/1000</f>
        <v>13.441994830349824</v>
      </c>
      <c r="CQ75" s="235">
        <f>(IF(CQ$7="X",VLOOKUP(CQ$10,'VK-Hooned-Soojus'!$C:$X,2+$C75,FALSE),0)+IF(CQ$6="X",VLOOKUP(CQ$10,'VK-Transport'!$C:$X,2+$B75,0))+IF(CQ$8="X",VLOOKUP(CQ$10,'VK-Elekter'!$C:$X,2+$D75,0))+IF(CQ$9="X",VLOOKUP(CQ$10,'VK-Biokütused'!$C:$U,2+$E75,0)))/1000</f>
        <v>10.637345999999999</v>
      </c>
      <c r="CR75" s="209">
        <f>(IF(CR$7="X",VLOOKUP(CR$10,'VK-Hooned-Soojus'!$C:$X,2+$C75,FALSE),0)+IF(CR$6="X",VLOOKUP(CR$10,'VK-Transport'!$C:$X,2+$B75,0))+IF(CR$8="X",VLOOKUP(CR$10,'VK-Elekter'!$C:$X,2+$D75,0))+IF(CR$9="X",VLOOKUP(CR$10,'VK-Biokütused'!$C:$U,2+$E75,0))+IF(CR$5="X",VLOOKUP(CR$10,'VK-Põlevkivi'!$C:$X,2+$G75,0))+IF(CR$4="X",VLOOKUP(CR$10,'VK-Võrgud'!$C:$X,2+$F75,0)))/1000</f>
        <v>7.8750872784575749</v>
      </c>
      <c r="CS75" s="209">
        <f>(IF(CS$7="X",VLOOKUP(CS$10,'VK-Hooned-Soojus'!$C:$X,2+$C75,FALSE),0)+IF(CS$6="X",VLOOKUP(CS$10,'VK-Transport'!$C:$X,2+$B75,0))+IF(CS$8="X",VLOOKUP(CS$10,'VK-Elekter'!$C:$X,2+$D75,0))+IF(CS$9="X",VLOOKUP(CS$10,'VK-Biokütused'!$C:$U,2+$E75,0))+IF(CS$5="X",VLOOKUP(CS$10,'VK-Põlevkivi'!$C:$X,2+$G75,0))+IF(CS$4="X",VLOOKUP(CS$10,'VK-Võrgud'!$C:$X,2+$F75,0)))/1000</f>
        <v>3.8443344900598322</v>
      </c>
      <c r="CT75" s="209">
        <f>IF(CT$7="X",VLOOKUP(CT$10,'VK-Hooned-Soojus'!$C:$X,2+$C75,FALSE),0)+IF(CT$6="X",VLOOKUP(CT$10,'VK-Transport'!$C:$X,2+$B75,0))+IF(CT$8="X",VLOOKUP(CT$10,'VK-Elekter'!$C:$X,2+$D75,0))+IF(CT$9="X",VLOOKUP(CT$10,'VK-Biokütused'!$C:$U,2+$E75,0))+IF(CT$5="X",VLOOKUP(CT$10,'VK-Põlevkivi'!$C:$X,2+$G75,0))+IF(CT$4="X",VLOOKUP(CT$10,'VK-Võrgud'!$C:$X,2+$F75,0))</f>
        <v>90</v>
      </c>
      <c r="CU75" s="209">
        <f>IF(CU$7="X",VLOOKUP(CU$10,'VK-Hooned-Soojus'!$C:$X,2+$C75,FALSE),0)+IF(CU$6="X",VLOOKUP(CU$10,'VK-Transport'!$C:$X,2+$B75,0))+IF(CU$8="X",VLOOKUP(CU$10,'VK-Elekter'!$C:$X,2+$D75,0))+IF(CU$9="X",VLOOKUP(CU$10,'VK-Biokütused'!$C:$U,2+$E75,0))+IF(CU$5="X",VLOOKUP(CU$10,'VK-Põlevkivi'!$C:$X,2+$G75,0))+IF(CU$4="X",VLOOKUP(CU$10,'VK-Võrgud'!$C:$X,2+$F75,0))</f>
        <v>0.72088353413654627</v>
      </c>
      <c r="CV75" s="209">
        <f t="shared" ref="CV75:CV106" si="49">(AY75+AT75)/(AT75+AY75+AW75-AX75)</f>
        <v>0.84317482403548605</v>
      </c>
      <c r="CW75" s="209">
        <f>(IF(CW$7="X",VLOOKUP(CW$10,'VK-Hooned-Soojus'!$C:$X,2+$C75,FALSE),0)+IF(CW$6="X",VLOOKUP(CW$10,'VK-Transport'!$C:$X,2+$B75,0))+IF(CW$8="X",VLOOKUP(CW$10,'VK-Elekter'!$C:$X,2+$D75,0))+IF(CW$9="X",VLOOKUP(CW$10,'VK-Biokütused'!$C:$U,2+$E75,0))+IF(CW$5="X",VLOOKUP(CW$10,'VK-Põlevkivi'!$C:$X,2+$G75,0))+IF(CW$4="X",VLOOKUP(CW$10,'VK-Võrgud'!$C:$X,2+$F75,0)))/16</f>
        <v>59.743749999999999</v>
      </c>
      <c r="CY75" s="209">
        <f>(IF(CY$7="X",VLOOKUP(CY$10,'VK-Hooned-Soojus'!$C:$X,2+$C75,FALSE),0)+IF(CY$6="X",VLOOKUP(CY$10,'VK-Transport'!$C:$X,2+$B75,0))+IF(CY$8="X",VLOOKUP(CY$10,'VK-Elekter'!$C:$X,2+$D75,0))+IF(CY$9="X",VLOOKUP(CY$10,'VK-Biokütused'!$C:$U,2+$E75,0))+IF(CY$5="X",VLOOKUP(CY$10,'VK-Põlevkivi'!$C:$X,2+$G75,0))+IF(CY$4="X",VLOOKUP(CY$10,'VK-Võrgud'!$C:$X,2+$F75,0)))/1000</f>
        <v>10.433</v>
      </c>
      <c r="CZ75" s="209">
        <f>(IF(CZ$7="X",VLOOKUP(CZ$10,'VK-Hooned-Soojus'!$C:$X,2+$C75,FALSE),0)+IF(CZ$6="X",VLOOKUP(CZ$10,'VK-Transport'!$C:$X,2+$B75,0))+IF(CZ$8="X",VLOOKUP(CZ$10,'VK-Elekter'!$C:$X,2+$D75,0))+IF(CZ$9="X",VLOOKUP(CZ$10,'VK-Biokütused'!$C:$U,2+$E75,0))+IF(CZ$5="X",VLOOKUP(CZ$10,'VK-Põlevkivi'!$C:$X,2+$G75,0))+IF(CZ$4="X",VLOOKUP(CZ$10,'VK-Võrgud'!$C:$X,2+$F75,0)))</f>
        <v>68.400000000000006</v>
      </c>
      <c r="DA75" s="209">
        <f>(IF(DA$7="X",VLOOKUP(DA$10,'VK-Hooned-Soojus'!$C:$X,2+$C75,FALSE),0)+IF(DA$6="X",VLOOKUP(DA$10,'VK-Transport'!$C:$X,2+$B75,0))+IF(DA$8="X",VLOOKUP(DA$10,'VK-Elekter'!$C:$X,2+$D75,0))+IF(DA$9="X",VLOOKUP(DA$10,'VK-Biokütused'!$C:$U,2+$E75,0))+IF(DA$5="X",VLOOKUP(DA$10,'VK-Põlevkivi'!$C:$X,2+$G75,0))+IF(DA$4="X",VLOOKUP(DA$10,'VK-Võrgud'!$C:$X,2+$F75,0)))/1000</f>
        <v>14.111000000000001</v>
      </c>
      <c r="DB75" s="209">
        <f>(IF(DB$7="X",VLOOKUP(DB$10,'VK-Hooned-Soojus'!$C:$X,2+$C75,FALSE),0)+IF(DB$6="X",VLOOKUP(DB$10,'VK-Transport'!$C:$X,2+$B75,0))+IF(DB$8="X",VLOOKUP(DB$10,'VK-Elekter'!$C:$X,2+$D75,0))+IF(DB$9="X",VLOOKUP(DB$10,'VK-Biokütused'!$C:$U,2+$E75,0))+IF(DB$5="X",VLOOKUP(DB$10,'VK-Põlevkivi'!$C:$X,2+$G75,0))+IF(DB$4="X",VLOOKUP(DB$10,'VK-Võrgud'!$C:$X,2+$F75,0)))/1000/3.6</f>
        <v>62.814722222222223</v>
      </c>
      <c r="DC75" s="209">
        <f>(IF(DC$7="X",VLOOKUP(DC$10,'VK-Hooned-Soojus'!$C:$X,2+$C75,FALSE),0)+IF(DC$6="X",VLOOKUP(DC$10,'VK-Transport'!$C:$X,2+$B75,0))+IF(DC$8="X",VLOOKUP(DC$10,'VK-Elekter'!$C:$X,2+$D75,0))+IF(DC$9="X",VLOOKUP(DC$10,'VK-Biokütused'!$C:$U,2+$E75,0))+IF(DC$5="X",VLOOKUP(DC$10,'VK-Põlevkivi'!$C:$X,2+$G75,0))+IF(DC$4="X",VLOOKUP(DC$10,'VK-Võrgud'!$C:$X,2+$F75,0)))/1000000</f>
        <v>5.0060209999999996</v>
      </c>
      <c r="DD75" s="209"/>
      <c r="DE75" s="88">
        <f>VLOOKUP(Tulemused!$BN$12,data!M$7:N$12,2,FALSE)-SUM(L75,M75)</f>
        <v>-1.2238666666666731</v>
      </c>
      <c r="DF75" s="209" t="str">
        <f>IF(AZ75&lt;=VLOOKUP(Tulemused!$BN$15,data!$E$36:$F$39,2,FALSE),"JAH","EI")</f>
        <v>JAH</v>
      </c>
      <c r="DG75" s="209"/>
      <c r="DH75" s="209">
        <f t="shared" ref="DH75:DH106" si="50">ES75</f>
        <v>6.28</v>
      </c>
      <c r="DI75" s="231" t="str">
        <f t="shared" si="17"/>
        <v>EI</v>
      </c>
      <c r="DK75" s="232">
        <f t="shared" ref="DK75:DK106" si="51">$Z75+IF($DI75="EI",-1000,0)</f>
        <v>-996.03454038155337</v>
      </c>
      <c r="DM75" s="233">
        <f t="shared" ref="DM75:DM106" si="52">LARGE($DK$11:$DK$145,ROW(65:65))</f>
        <v>-994.64771988133327</v>
      </c>
      <c r="DN75" s="87">
        <f t="array" ref="DN75">INDEX($A$11:$A$145, SMALL(IF(DM75=$DK$11:$DK$145, MATCH(ROW($DK$11:$DK$145), ROW($DK$11:$DK$145))), SUM(--(DM75=$DM$11:DM75))))</f>
        <v>109</v>
      </c>
      <c r="DP75" s="87" t="e">
        <f t="shared" ca="1" si="18"/>
        <v>#N/A</v>
      </c>
      <c r="DQ75" s="87" t="e">
        <f t="shared" ca="1" si="19"/>
        <v>#N/A</v>
      </c>
      <c r="DR75" s="87">
        <f t="shared" ca="1" si="20"/>
        <v>0</v>
      </c>
      <c r="DS75" s="87" t="e">
        <f t="shared" ca="1" si="21"/>
        <v>#N/A</v>
      </c>
      <c r="DT75" s="87">
        <f t="shared" ca="1" si="22"/>
        <v>0</v>
      </c>
      <c r="DU75" s="87" t="e">
        <f t="shared" ca="1" si="23"/>
        <v>#N/A</v>
      </c>
      <c r="DV75" s="87" t="e">
        <f t="shared" ca="1" si="24"/>
        <v>#N/A</v>
      </c>
      <c r="DW75" s="87">
        <f t="shared" ca="1" si="25"/>
        <v>0</v>
      </c>
      <c r="DX75" s="87">
        <f t="shared" ca="1" si="26"/>
        <v>0</v>
      </c>
      <c r="DZ75" s="87">
        <f t="shared" ca="1" si="35"/>
        <v>0</v>
      </c>
      <c r="EB75" s="87">
        <f t="shared" ca="1" si="27"/>
        <v>0</v>
      </c>
      <c r="EC75" s="87" t="e">
        <f t="shared" ca="1" si="28"/>
        <v>#N/A</v>
      </c>
      <c r="EE75" s="228">
        <f>(IF(EE$7="X",VLOOKUP(EE$10,'VK-Hooned-Soojus'!$C:$X,2+$C75,FALSE),0)+IF(EE$6="X",VLOOKUP(EE$10,'VK-Transport'!$C:$X,2+$B75,0))+IF(EE$8="X",VLOOKUP(EE$10,'VK-Elekter'!$C:$X,2+$D75,0))+IF(EE$9="X",VLOOKUP(EE$10,'VK-Biokütused'!$C:$U,2+$E75,0))+IF(EE$5="X",VLOOKUP(EE$10,'VK-Põlevkivi'!$C:$X,2+$G75,0))+IF(EE$4="X",VLOOKUP(EE$10,'VK-Võrgud'!$C:$X,2+$F75,0)))</f>
        <v>6058.1505972081659</v>
      </c>
      <c r="EF75" s="235">
        <f>(IF(EF$7="X",VLOOKUP(EF$10,'VK-Hooned-Soojus'!$C:$X,2+$C75,FALSE),0)+IF(EF$6="X",VLOOKUP(EF$10,'VK-Transport'!$C:$X,2+$B75,0))+IF(EF$8="X",VLOOKUP(EF$10,'VK-Elekter'!$C:$X,2+$D75,0))+IF(EF$9="X",VLOOKUP(EF$10,'VK-Biokütused'!$C:$U,2+$E75,0)))/1000</f>
        <v>5.0583823271229704</v>
      </c>
      <c r="EG75" s="209">
        <f>(IF(EG$7="X",VLOOKUP(EG$10,'VK-Hooned-Soojus'!$C:$X,2+$C75,FALSE),0)+IF(EG$6="X",VLOOKUP(EG$10,'VK-Transport'!$C:$X,2+$B75,0))+IF(EG$8="X",VLOOKUP(EG$10,'VK-Elekter'!$C:$X,2+$D75,0))+IF(EG$9="X",VLOOKUP(EG$10,'VK-Biokütused'!$C:$U,2+$E75,0))+IF(EG$5="X",VLOOKUP(EG$10,'VK-Põlevkivi'!$C:$X,2+$G75,0))+IF(EG$4="X",VLOOKUP(EG$10,'VK-Võrgud'!$C:$X,2+$F75,0)))</f>
        <v>0.81</v>
      </c>
      <c r="EH75" s="209">
        <f>(IF(EH$7="X",VLOOKUP(EH$10,'VK-Hooned-Soojus'!$C:$X,2+$C75,FALSE),0)+IF(EH$6="X",VLOOKUP(EH$10,'VK-Transport'!$C:$X,2+$B75,0))+IF(EH$8="X",VLOOKUP(EH$10,'VK-Elekter'!$C:$X,2+$D75,0))+IF(EH$9="X",VLOOKUP(EH$10,'VK-Biokütused'!$C:$U,2+$E75,0)))+AR75+AS75+AU75+AX75</f>
        <v>53.88966706577186</v>
      </c>
      <c r="EI75" s="320">
        <f t="shared" ref="EI75:EI106" si="53">EH75-AU75-AX75</f>
        <v>48.290678294573638</v>
      </c>
      <c r="EJ75" s="322">
        <f t="shared" ref="EJ75:EJ106" si="54">EG75/O75</f>
        <v>2.2545055318885739E-2</v>
      </c>
      <c r="EK75" s="323">
        <f t="shared" si="29"/>
        <v>0.39192627065295316</v>
      </c>
      <c r="EM75" s="209"/>
      <c r="EN75" s="209">
        <f t="shared" ref="EN75:EN106" ca="1" si="55">SUM(DT75,DX75,DZ75,EB75,DY75)</f>
        <v>0</v>
      </c>
      <c r="EO75" s="209"/>
      <c r="EP75" s="234"/>
      <c r="EQ75" s="209">
        <f>(IF(EQ$7="X",VLOOKUP(EQ$10,'VK-Hooned-Soojus'!$C:$X,2+$C75,FALSE),0)+IF(EQ$6="X",VLOOKUP(EQ$10,'VK-Transport'!$C:$X,2+$B75,0))+IF(EQ$8="X",VLOOKUP(EQ$10,'VK-Elekter'!$C:$X,2+$D75,0))+IF(EQ$9="X",VLOOKUP(EQ$10,'VK-Biokütused'!$C:$U,2+$E75,0))+IF(EQ$5="X",VLOOKUP(EQ$10,'VK-Põlevkivi'!$C:$X,2+$G75,0))+IF(EQ$4="X",VLOOKUP(EQ$10,'VK-Võrgud'!$C:$X,2+$F75,0)))/1000</f>
        <v>0.21099999999999999</v>
      </c>
      <c r="ER75" s="209">
        <f>(IF(ER$7="X",VLOOKUP(ER$10,'VK-Hooned-Soojus'!$C:$X,2+$C75,FALSE),0)+IF(ER$6="X",VLOOKUP(ER$10,'VK-Transport'!$C:$X,2+$B75,0))+IF(ER$8="X",VLOOKUP(ER$10,'VK-Elekter'!$C:$X,2+$D75,0))+IF(ER$9="X",VLOOKUP(ER$10,'VK-Biokütused'!$C:$U,2+$E75,0))+IF(ER$5="X",VLOOKUP(ER$10,'VK-Põlevkivi'!$C:$X,2+$G75,0))+IF(ER$4="X",VLOOKUP(ER$10,'VK-Võrgud'!$C:$X,2+$F75,0)))</f>
        <v>0.76300000000000001</v>
      </c>
      <c r="ES75" s="209">
        <f>(IF(ES$7="X",VLOOKUP(ES$10,'VK-Hooned-Soojus'!$C:$X,2+$C75,FALSE),0)+IF(ES$6="X",VLOOKUP(ES$10,'VK-Transport'!$C:$X,2+$B75,0))+IF(ES$8="X",VLOOKUP(ES$10,'VK-Elekter'!$C:$X,2+$D75,0))+IF(ES$9="X",VLOOKUP(ES$10,'VK-Biokütused'!$C:$U,2+$E75,0))+IF(ES$5="X",VLOOKUP(ES$10,'VK-Põlevkivi'!$C:$X,2+$G75,0))+IF(ES$4="X",VLOOKUP(ES$10,'VK-Võrgud'!$C:$X,2+$F75,0)))</f>
        <v>6.28</v>
      </c>
      <c r="ET75" s="209"/>
      <c r="EU75" s="209"/>
      <c r="EV75" s="87">
        <f>'KSH järjestus'!AS68</f>
        <v>1549</v>
      </c>
      <c r="EX75" s="236"/>
      <c r="EY75" s="236"/>
      <c r="EZ75" s="237">
        <f t="shared" ref="EZ75:EZ106" si="56">1-CU75</f>
        <v>0.27911646586345373</v>
      </c>
      <c r="FA75" s="209">
        <f>IF(FA$7="X",VLOOKUP(FA$10,'VK-Hooned-Soojus'!$C:$X,2+$C75,FALSE),0)+IF(FA$6="X",VLOOKUP(FA$10,'VK-Transport'!$C:$X,2+$B75,0))+IF(FA$8="X",VLOOKUP(FA$10,'VK-Elekter'!$C:$X,2+$D75,0))+IF(FA$9="X",VLOOKUP(FA$10,'VK-Biokütused'!$C:$U,2+$E75,0))+IF(FA$5="X",VLOOKUP(FA$10,'VK-Põlevkivi'!$C:$X,2+$G75,0))+IF(FA$4="X",VLOOKUP(FA$10,'VK-Võrgud'!$C:$X,2+$F75,0))</f>
        <v>3223.346</v>
      </c>
      <c r="FB75" s="279">
        <f>(IF(FB$7="X",VLOOKUP(FB$10,'VK-Hooned-Soojus'!$C:$X,2+$C75,FALSE),0)+IF(FB$6="X",VLOOKUP(FB$10,'VK-Transport'!$C:$X,2+$B75,0))+IF(FB$8="X",VLOOKUP(FB$10,'VK-Elekter'!$C:$X,2+$D75,0))+IF(FB$9="X",VLOOKUP(FB$10,'VK-Biokütused'!$C:$U,2+$E75,0))+IF(FB$5="X",VLOOKUP(FB$10,'VK-Põlevkivi'!$C:$X,2+$G75,0))+IF(FB$4="X",VLOOKUP(FB$10,'VK-Võrgud'!$C:$X,2+$F75,0)))/16</f>
        <v>349.34566413269511</v>
      </c>
      <c r="FC75" s="209">
        <f>IF(FC$7="X",VLOOKUP(FC$10,'VK-Hooned-Soojus'!$C:$X,2+$C75,FALSE),0)+IF(FC$6="X",VLOOKUP(FC$10,'VK-Transport'!$C:$X,2+$B75,0))+IF(FC$8="X",VLOOKUP(FC$10,'VK-Elekter'!$C:$X,2+$D75,0))+IF(FC$9="X",VLOOKUP(FC$10,'VK-Biokütused'!$C:$U,2+$E75,0))+IF(FC$5="X",VLOOKUP(FC$10,'VK-Põlevkivi'!$C:$X,2+$G75,0))+IF(FC$4="X",VLOOKUP(FC$10,'VK-Võrgud'!$C:$X,2+$F75,0))</f>
        <v>306.45</v>
      </c>
      <c r="FD75" s="209">
        <f>(IF(FD$7="X",VLOOKUP(FD$10,'VK-Hooned-Soojus'!$C:$X,2+$C75,FALSE),0)+IF(FD$6="X",VLOOKUP(FD$10,'VK-Transport'!$C:$X,2+$B75,0))+IF(FD$8="X",VLOOKUP(FD$10,'VK-Elekter'!$C:$X,2+$D75,0))+IF(FD$9="X",VLOOKUP(FD$10,'VK-Biokütused'!$C:$U,2+$E75,0))+IF(FD$5="X",VLOOKUP(FD$10,'VK-Põlevkivi'!$C:$X,2+$G75,0))+IF(FD$4="X",VLOOKUP(FD$10,'VK-Võrgud'!$C:$X,2+$F75,0)))/16</f>
        <v>349.34566413269511</v>
      </c>
      <c r="FE75" s="209">
        <f>(IF(FE$7="X",VLOOKUP(FE$10,'VK-Hooned-Soojus'!$C:$X,2+$C75,FALSE),0)+IF(FE$6="X",VLOOKUP(FE$10,'VK-Transport'!$C:$X,2+$B75,0))+IF(FE$8="X",VLOOKUP(FE$10,'VK-Elekter'!$C:$X,2+$D75,0))+IF(FE$9="X",VLOOKUP(FE$10,'VK-Biokütused'!$C:$U,2+$E75,0))+IF(FE$5="X",VLOOKUP(FE$10,'VK-Põlevkivi'!$C:$X,2+$G75,0))+IF(FE$4="X",VLOOKUP(FE$10,'VK-Võrgud'!$C:$X,2+$F75,0)))/16</f>
        <v>-77.074469880632108</v>
      </c>
      <c r="FF75" s="209">
        <f>(IF(FF$7="X",VLOOKUP(FF$10,'VK-Hooned-Soojus'!$C:$X,2+$C75,FALSE),0)+IF(FF$6="X",VLOOKUP(FF$10,'VK-Transport'!$C:$X,2+$B75,0))+IF(FF$8="X",VLOOKUP(FF$10,'VK-Elekter'!$C:$X,2+$D75,0))+IF(FF$9="X",VLOOKUP(FF$10,'VK-Biokütused'!$C:$U,2+$E75,0))+IF(FF$5="X",VLOOKUP(FF$10,'VK-Põlevkivi'!$C:$X,2+$G75,0))+IF(FF$4="X",VLOOKUP(FF$10,'VK-Võrgud'!$C:$X,2+$F75,0)))/16</f>
        <v>140.02222780723056</v>
      </c>
      <c r="FG75" s="88">
        <f t="shared" ca="1" si="30"/>
        <v>62.947757926598456</v>
      </c>
      <c r="FH75" s="88"/>
      <c r="FI75" s="88"/>
      <c r="FJ75" s="88">
        <f>VLOOKUP(Tulemused!$BN$12,data!M$7:N$12,2,FALSE)-SUM(L75,M75)</f>
        <v>-1.2238666666666731</v>
      </c>
      <c r="FK75" s="209" t="str">
        <f>IF(AZ75&lt;=VLOOKUP(Tulemused!$BN$15,data!$E$36:$F$39,2,FALSE),"JAH","EI")</f>
        <v>JAH</v>
      </c>
      <c r="FL75" s="235">
        <f ca="1">IF(ISNA(MATCH($A75,INDIRECT(VLOOKUP(Tulemused!$BF$11,data!$J$57:$M$71,4,FALSE)))),0,MATCH($A75,INDIRECT(VLOOKUP(Tulemused!$BF$11,data!$J$57:$M$71,4,FALSE))))</f>
        <v>0</v>
      </c>
      <c r="FM75" s="235" t="str">
        <f t="shared" ref="FM75:FM106" ca="1" si="57">IF(OR(ISNA($FL75),$FL75=$FL74,$FL75=0),"JAH","EI")</f>
        <v>JAH</v>
      </c>
      <c r="FN75" s="209">
        <f>VLOOKUP(Tulemused!$BN$13,data!$C$132:$D$137,2,FALSE)-KOMBI!R75</f>
        <v>3.3100876728770303</v>
      </c>
      <c r="FO75" s="209"/>
      <c r="FP75" s="209">
        <f>VLOOKUP(Tulemused!$BN$17,NO_x,2,FALSE)-CJ75</f>
        <v>11.256421988425462</v>
      </c>
      <c r="FQ75" s="209">
        <f>VLOOKUP(Tulemused!$BN$18,SO_2,2,FALSE)-CK75</f>
        <v>40.011675362099993</v>
      </c>
      <c r="FR75" s="209">
        <f>VLOOKUP(Tulemused!$BN$19,LOU,2,FALSE)-CN75</f>
        <v>34.087000000000003</v>
      </c>
      <c r="FS75" s="209">
        <f>VLOOKUP(Tulemused!$BN$20,PM_2.5,2,FALSE)-CM75</f>
        <v>9.1312394222510918</v>
      </c>
      <c r="FT75" s="209">
        <f>VLOOKUP(Tulemused!$BN$13,data!$C$132:$D$137,2,FALSE)-FA75/1000</f>
        <v>3.0226240000000009</v>
      </c>
      <c r="FU75" s="209">
        <f>VLOOKUP(Tulemused!$BN$17,NO_x,2,FALSE)-CO75</f>
        <v>5.4284247892027189</v>
      </c>
      <c r="FV75" s="209">
        <f>VLOOKUP(Tulemused!$BN$18,SO_2,2,FALSE)-CP75</f>
        <v>38.442005169650173</v>
      </c>
      <c r="FW75" s="209">
        <f>VLOOKUP(Tulemused!$BN$19,LOU,2,FALSE)-CS75</f>
        <v>33.235665509940176</v>
      </c>
      <c r="FX75" s="209">
        <f>VLOOKUP(Tulemused!$BN$20,PM_2.5,2,FALSE)-CR75</f>
        <v>9.0399127215424251</v>
      </c>
      <c r="FY75" s="209">
        <f>VLOOKUP(Tulemused!$BN$14,KHG_2050,2,FALSE)-EF75</f>
        <v>94.94161767287703</v>
      </c>
      <c r="FZ75" s="231" t="str">
        <f t="shared" ca="1" si="31"/>
        <v>EI</v>
      </c>
      <c r="GA75" s="209"/>
      <c r="GB75" s="209"/>
      <c r="GC75" s="209"/>
      <c r="GD75" s="231"/>
      <c r="GE75" s="87">
        <f t="shared" ref="GE75:GE106" si="58">HLOOKUP($GE$10,$I$1:$GC$145,ROW(A75),FALSE)</f>
        <v>1549</v>
      </c>
      <c r="GF75" s="232" t="str">
        <f t="shared" ca="1" si="32"/>
        <v/>
      </c>
      <c r="GH75" s="238" t="e">
        <f t="shared" ref="GH75:GH106" ca="1" si="59">IF($GG$10="↓",SMALL($GF$11:$GF$145,ROW(65:65)),LARGE($GF$11:$GF$145,ROW(65:65)))</f>
        <v>#NUM!</v>
      </c>
      <c r="GI75" s="87" t="e">
        <f t="array" aca="1" ref="GI75" ca="1">INDEX($A$11:$A$145, SMALL(IF(GH75=$GF$11:$GF$145, MATCH(ROW($GF$11:$GF$145), ROW($GF$11:$GF$145))), SUM(--(GH75=$GH$11:GH75))))</f>
        <v>#NUM!</v>
      </c>
      <c r="GM75" s="209">
        <f>IF(GM$7="X",VLOOKUP(GM$10,'VK-Hooned-Soojus'!$C:$X,2+$C75,FALSE),0)+IF(GM$6="X",VLOOKUP(GM$10,'VK-Transport'!$C:$X,2+$B75,0))+IF(GM$8="X",VLOOKUP(GM$10,'VK-Elekter'!$C:$X,2+$D75,0))+IF(GM$9="X",VLOOKUP(GM$10,'VK-Biokütused'!$C:$U,2+$E75,0))+IF(GM$5="X",VLOOKUP(GM$10,'VK-Põlevkivi'!$C:$X,2+$G75,0))+IF(GM$4="X",VLOOKUP(GM$10,'VK-Võrgud'!$C:$X,2+$F75,0))</f>
        <v>6.0128279910272253</v>
      </c>
      <c r="GN75" s="209">
        <f>IF(GN$7="X",VLOOKUP(GN$10,'VK-Hooned-Soojus'!$C:$X,2+$C75,FALSE),0)+IF(GN$6="X",VLOOKUP(GN$10,'VK-Transport'!$C:$X,2+$B75,0))+IF(GN$8="X",VLOOKUP(GN$10,'VK-Elekter'!$C:$X,2+$D75,0))+IF(GN$9="X",VLOOKUP(GN$10,'VK-Biokütused'!$C:$U,2+$E75,0))+IF(GN$5="X",VLOOKUP(GN$10,'VK-Põlevkivi'!$C:$X,2+$G75,0))+IF(GN$4="X",VLOOKUP(GN$10,'VK-Võrgud'!$C:$X,2+$F75,0))</f>
        <v>3.4467619395011728</v>
      </c>
      <c r="GO75" s="209">
        <f>IF(GO$7="X",VLOOKUP(GO$10,'VK-Hooned-Soojus'!$C:$X,2+$C75,FALSE),0)+IF(GO$6="X",VLOOKUP(GO$10,'VK-Transport'!$C:$X,2+$B75,0))+IF(GO$8="X",VLOOKUP(GO$10,'VK-Elekter'!$C:$X,2+$D75,0))+IF(GO$9="X",VLOOKUP(GO$10,'VK-Biokütused'!$C:$U,2+$E75,0))+IF(GO$5="X",VLOOKUP(GO$10,'VK-Põlevkivi'!$C:$X,2+$G75,0))+IF(GO$4="X",VLOOKUP(GO$10,'VK-Võrgud'!$C:$X,2+$F75,0))</f>
        <v>7.936370010272257</v>
      </c>
      <c r="GP75" s="209">
        <f>IF(GP$7="X",VLOOKUP(GP$10,'VK-Hooned-Soojus'!$C:$X,2+$C75,FALSE),0)+IF(GP$6="X",VLOOKUP(GP$10,'VK-Transport'!$C:$X,2+$B75,0))+IF(GP$8="X",VLOOKUP(GP$10,'VK-Elekter'!$C:$X,2+$D75,0))+IF(GP$9="X",VLOOKUP(GP$10,'VK-Biokütused'!$C:$U,2+$E75,0))+IF(GP$5="X",VLOOKUP(GP$10,'VK-Põlevkivi'!$C:$X,2+$G75,0))+IF(GP$4="X",VLOOKUP(GP$10,'VK-Võrgud'!$C:$X,2+$F75,0))</f>
        <v>9.1527946929596489</v>
      </c>
      <c r="GQ75" s="88">
        <f>IF(GQ$7="X",VLOOKUP(GQ$10,'VK-Hooned-Soojus'!$C:$X,2+$C75,FALSE),0)+IF(GQ$6="X",VLOOKUP(GQ$10,'VK-Transport'!$C:$X,2+$B75,0))+IF(GQ$8="X",VLOOKUP(GQ$10,'VK-Elekter'!$C:$X,2+$D75,0))+IF(GQ$9="X",VLOOKUP(GQ$10,'VK-Biokütused'!$C:$U,2+$E75,0))+IF(GQ$5="X",VLOOKUP(GQ$10,'VK-Põlevkivi'!$C:$X,2+$G75,0))+IF(GQ$4="X",VLOOKUP(GQ$10,'VK-Võrgud'!$C:$X,2+$F75,0))</f>
        <v>0.90618397335647782</v>
      </c>
      <c r="GR75" s="186">
        <f t="shared" si="33"/>
        <v>0.39656672034307427</v>
      </c>
    </row>
    <row r="76" spans="1:200" x14ac:dyDescent="0.2">
      <c r="A76" s="184">
        <v>66</v>
      </c>
      <c r="B76" s="87">
        <v>2</v>
      </c>
      <c r="C76" s="87">
        <v>2</v>
      </c>
      <c r="D76" s="87">
        <v>2</v>
      </c>
      <c r="E76" s="87">
        <v>3</v>
      </c>
      <c r="F76" s="87">
        <f>VLOOKUP(Tulemused!$BF$7,data!$J$6:$K$8,2,FALSE)</f>
        <v>2</v>
      </c>
      <c r="G76" s="87">
        <f>VLOOKUP(data!$H$2,data!$J$12:$K$14,2,FALSE)</f>
        <v>2</v>
      </c>
      <c r="I76" s="209">
        <f>IF(I$7="X",VLOOKUP(I$10,'VK-Hooned-Soojus'!$C:$X,2+$C76,FALSE),0)+IF(I$6="X",VLOOKUP(I$10,'VK-Transport'!$C:$X,2+$B76,0))+IF(I$8="X",VLOOKUP(I$10,'VK-Elekter'!$C:$X,2+$D76,0))+IF(I$9="X",VLOOKUP(I$10,'VK-Biokütused'!$C:$U,2+$E76,0))+IF(I$5="X",VLOOKUP(I$10,'VK-Põlevkivi'!$C:$X,2+$G76,0))+IF(I$4="X",VLOOKUP(I$10,'VK-Võrgud'!$C:$X,2+$F76,0))</f>
        <v>24.79</v>
      </c>
      <c r="J76" s="209">
        <f>IF(J$7="X",VLOOKUP(J$10,'VK-Hooned-Soojus'!$C:$X,2+$C76,FALSE),0)+IF(J$6="X",VLOOKUP(J$10,'VK-Transport'!$C:$X,2+$B76,0))+IF(J$8="X",VLOOKUP(J$10,'VK-Elekter'!$C:$X,2+$D76,0))+IF(J$9="X",VLOOKUP(J$10,'VK-Biokütused'!$C:$U,2+$E76,0))+IF(J$5="X",VLOOKUP(J$10,'VK-Põlevkivi'!$C:$X,2+$G76,0))+IF(J$4="X",VLOOKUP(J$10,'VK-Võrgud'!$C:$X,2+$F76,0))</f>
        <v>11.138055555555555</v>
      </c>
      <c r="K76" s="209">
        <f>IF(K$7="X",VLOOKUP(K$10,'VK-Hooned-Soojus'!$C:$X,2+$C76,FALSE),0)+IF(K$6="X",VLOOKUP(K$10,'VK-Transport'!$C:$X,2+$B76,0))+IF(K$8="X",VLOOKUP(K$10,'VK-Elekter'!$C:$X,2+$D76,0))+IF(K$9="X",VLOOKUP(K$10,'VK-Biokütused'!$C:$U,2+$E76,0))+IF(K$5="X",VLOOKUP(K$10,'VK-Põlevkivi'!$C:$X,2+$G76,0))+IF(K$4="X",VLOOKUP(K$10,'VK-Võrgud'!$C:$X,2+$F76,0))</f>
        <v>15.27</v>
      </c>
      <c r="L76" s="209">
        <f>IF(L$7="X",VLOOKUP(L$10,'VK-Hooned-Soojus'!$C:$X,2+$C76,FALSE),0)+IF(L$6="X",VLOOKUP(L$10,'VK-Transport'!$C:$X,2+$B76,0))+IF(L$8="X",VLOOKUP(L$10,'VK-Elekter'!$C:$X,2+$D76,0))+IF(L$9="X",VLOOKUP(L$10,'VK-Biokütused'!$C:$U,2+$E76,0))+IF(L$5="X",VLOOKUP(L$10,'VK-Põlevkivi'!$C:$X,2+$G76,0))+IF(L$4="X",VLOOKUP(L$10,'VK-Võrgud'!$C:$X,2+$F76,0))</f>
        <v>24.2</v>
      </c>
      <c r="M76" s="209">
        <f>IF(M$7="X",VLOOKUP(M$10,'VK-Hooned-Soojus'!$C:$X,2+$C76,FALSE),0)+IF(M$6="X",VLOOKUP(M$10,'VK-Transport'!$C:$X,2+$B76,0))+IF(M$8="X",VLOOKUP(M$10,'VK-Elekter'!$C:$X,2+$D76,0))+IF(M$9="X",VLOOKUP(M$10,'VK-Biokütused'!$C:$U,2+$E76,0))+IF(M$5="X",VLOOKUP(M$10,'VK-Põlevkivi'!$C:$X,2+$G76,0))+IF(M$4="X",VLOOKUP(M$10,'VK-Võrgud'!$C:$X,2+$F76,0))</f>
        <v>9.8566666666666674</v>
      </c>
      <c r="N76" s="209">
        <f>IF(N$7="X",VLOOKUP(N$10,'VK-Hooned-Soojus'!$C:$X,2+$C76,FALSE),0)+IF(N$6="X",VLOOKUP(N$10,'VK-Transport'!$C:$X,2+$B76,0))+IF(N$8="X",VLOOKUP(N$10,'VK-Elekter'!$C:$X,2+$D76,0))+IF(N$9="X",VLOOKUP(N$10,'VK-Biokütused'!$C:$U,2+$E76,0))+IF(N$5="X",VLOOKUP(N$10,'VK-Põlevkivi'!$C:$X,2+$G76,0))+IF(N$4="X",VLOOKUP(N$10,'VK-Võrgud'!$C:$X,2+$F76,0))</f>
        <v>16.09</v>
      </c>
      <c r="O76" s="209">
        <f t="shared" ref="O76:O139" si="60">SUM(I76:J76)</f>
        <v>35.928055555555552</v>
      </c>
      <c r="P76" s="209"/>
      <c r="Q76" s="209">
        <f>(IF(Q$7="X",VLOOKUP(Q$10,'VK-Hooned-Soojus'!$C:$X,2+$C76,FALSE),0)+IF(Q$6="X",VLOOKUP(Q$10,'VK-Transport'!$C:$X,2+$B76,0))+IF(Q$8="X",VLOOKUP(Q$10,'VK-Elekter'!$C:$X,2+$D76,0))+IF(Q$9="X",VLOOKUP(Q$10,'VK-Biokütused'!$C:$U,2+$E76,0))+IF(Q$5="X",VLOOKUP(Q$10,'VK-Põlevkivi'!$C:$X,2+$G76,0))+IF(Q$4="X",VLOOKUP(Q$10,'VK-Võrgud'!$C:$X,2+$F76,0)))/1000</f>
        <v>5.0979999999999999</v>
      </c>
      <c r="R76" s="209">
        <f>(IF(R$7="X",VLOOKUP(R$10,'VK-Hooned-Soojus'!$C:$X,2+$C76,FALSE),0)+IF(R$6="X",VLOOKUP(R$10,'VK-Transport'!$C:$X,2+$B76,0))+IF(R$8="X",VLOOKUP(R$10,'VK-Elekter'!$C:$X,2+$D76,0))+IF(R$9="X",VLOOKUP(R$10,'VK-Biokütused'!$C:$U,2+$E76,0))+IF(R$5="X",VLOOKUP(R$10,'VK-Põlevkivi'!$C:$X,2+$G76,0))+IF(R$4="X",VLOOKUP(R$10,'VK-Võrgud'!$C:$X,2+$F76,0)))/1000</f>
        <v>3.1445823271229703</v>
      </c>
      <c r="S76" s="226">
        <f>VLOOKUP(S$10,'VK-Hooned-Soojus'!$C:$I,2+$C76,FALSE) + VLOOKUP(S$10,'VK-Transport'!$C:$I,2+$B76,FALSE)+ VLOOKUP(S$10,'VK-Biokütused'!$C:$G,2+$E76,FALSE)+ VLOOKUP(S$10,'VK-Elekter'!$C:$I,2+$D76,FALSE)+ VLOOKUP(S$10,'VK-Põlevkivi'!$C:$I,2+$G76,FALSE)+ VLOOKUP(S$10,'VK-Võrgud'!$C:$I,2+$F76,FALSE)</f>
        <v>1.8374812775111729E-2</v>
      </c>
      <c r="T76" s="226">
        <f>VLOOKUP(T$10,'VK-Hooned-Soojus'!$C:$I,2+$C76,FALSE) + VLOOKUP(T$10,'VK-Transport'!$C:$I,2+$B76,FALSE)+ VLOOKUP(T$10,'VK-Biokütused'!$C:$G,2+$E76,FALSE)+ VLOOKUP(T$10,'VK-Elekter'!$C:$I,2+$D76,FALSE)+ VLOOKUP(T$10,'VK-Põlevkivi'!$C:$I,2+$G76,FALSE)+ VLOOKUP(T$10,'VK-Võrgud'!$C:$I,2+$F76,FALSE)</f>
        <v>-6.2133718554742575E-4</v>
      </c>
      <c r="U76" s="226">
        <f>VLOOKUP(U$10,'VK-Hooned-Soojus'!$C:$I,2+$C76,FALSE) + VLOOKUP(U$10,'VK-Transport'!$C:$I,2+$B76,FALSE)+ VLOOKUP(U$10,'VK-Biokütused'!$C:$G,2+$E76,FALSE)+ VLOOKUP(U$10,'VK-Elekter'!$C:$I,2+$D76,FALSE)+ VLOOKUP(U$10,'VK-Põlevkivi'!$C:$I,2+$G76,FALSE)+ VLOOKUP(U$10,'VK-Võrgud'!$C:$I,2+$F76,FALSE)</f>
        <v>4.9239428192988099E-3</v>
      </c>
      <c r="V76" s="226">
        <f>VLOOKUP(V$10,'VK-Hooned-Soojus'!$C:$I,2+$C76,FALSE) + VLOOKUP(V$10,'VK-Transport'!$C:$I,2+$B76,FALSE)+ VLOOKUP(V$10,'VK-Biokütused'!$C:$G,2+$E76,FALSE)+ VLOOKUP(V$10,'VK-Elekter'!$C:$I,2+$D76,FALSE)+ VLOOKUP(V$10,'VK-Põlevkivi'!$C:$I,2+$G76,FALSE)+ VLOOKUP(V$10,'VK-Võrgud'!$C:$I,2+$F76,FALSE)</f>
        <v>1.3584631072803503E-2</v>
      </c>
      <c r="W76" s="226">
        <f>VLOOKUP(W$10,'VK-Hooned-Soojus'!$C:$I,2+$C76,FALSE) + VLOOKUP(W$10,'VK-Transport'!$C:$I,2+$B76,FALSE)+ VLOOKUP(W$10,'VK-Biokütused'!$C:$G,2+$E76,FALSE)+ VLOOKUP(W$10,'VK-Elekter'!$C:$I,2+$D76,FALSE)+ VLOOKUP(W$10,'VK-Põlevkivi'!$C:$I,2+$G76,FALSE)+ VLOOKUP(W$10,'VK-Võrgud'!$C:$I,2+$F76,FALSE)</f>
        <v>-2.0373328109259632E-2</v>
      </c>
      <c r="X76" s="226">
        <f>VLOOKUP(X$10,'VK-Hooned-Soojus'!$C:$I,2+$C76,FALSE) + VLOOKUP(X$10,'VK-Transport'!$C:$I,2+$B76,FALSE)+ VLOOKUP(X$10,'VK-Biokütused'!$C:$G,2+$E76,FALSE)+ VLOOKUP(X$10,'VK-Elekter'!$C:$I,2+$D76,FALSE)+ VLOOKUP(X$10,'VK-Põlevkivi'!$C:$I,2+$G76,FALSE)+ VLOOKUP(X$10,'VK-Võrgud'!$C:$I,2+$F76,FALSE)</f>
        <v>-2.9155005735612902E-2</v>
      </c>
      <c r="Y76" s="226">
        <f>VLOOKUP(Y$10,'VK-Hooned-Soojus'!$C:$I,2+$C76,FALSE) + VLOOKUP(Y$10,'VK-Transport'!$C:$I,2+$B76,FALSE)+ VLOOKUP(Y$10,'VK-Biokütused'!$C:$G,2+$E76,FALSE)+ VLOOKUP(Y$10,'VK-Elekter'!$C:$I,2+$D76,FALSE)+ VLOOKUP(Y$10,'VK-Põlevkivi'!$C:$I,2+$G76,FALSE)+ VLOOKUP(Y$10,'VK-Võrgud'!$C:$I,2+$F76,FALSE)</f>
        <v>-4.0975765827526343E-2</v>
      </c>
      <c r="Z76" s="227">
        <f>(S76*Tulemused!$Q$9*10+T76*Tulemused!$Q$10*10+KOMBI!U76*Tulemused!$Q$11*10+KOMBI!V76*Tulemused!$Q$12*10)*Tulemused!$Q$8+-(W76*Tulemused!$Q$14*10+KOMBI!X76*Tulemused!$Q$15*10+KOMBI!Y76*Tulemused!$Q$16*10)*Tulemused!$Q$13</f>
        <v>4.8705593406881897</v>
      </c>
      <c r="AA76" s="228">
        <f>(IF(AA$7="X",VLOOKUP(AA$10,'VK-Hooned-Soojus'!$C:$X,2+$C76,FALSE),0)+IF(AA$6="X",VLOOKUP(AA$10,'VK-Transport'!$C:$X,2+$B76,0))+IF(AA$8="X",VLOOKUP(AA$10,'VK-Elekter'!$C:$X,2+$D76,0))+IF(AA$9="X",VLOOKUP(AA$10,'VK-Biokütused'!$C:$U,2+$E76,0))+IF(AA$5="X",VLOOKUP(AA$10,'VK-Põlevkivi'!$C:$X,2+$G76,0))+IF(AA$4="X",VLOOKUP(AA$10,'VK-Võrgud'!$C:$X,2+$F76,0)))</f>
        <v>3761</v>
      </c>
      <c r="AB76" s="228">
        <f>(IF(AB$7="X",VLOOKUP(AB$10,'VK-Hooned-Soojus'!$C:$X,2+$C76,FALSE),0)+IF(AB$6="X",VLOOKUP(AB$10,'VK-Transport'!$C:$X,2+$B76,0))+IF(AB$8="X",VLOOKUP(AB$10,'VK-Elekter'!$C:$X,2+$D76,0))+IF(AB$9="X",VLOOKUP(AB$10,'VK-Biokütused'!$C:$U,2+$E76,0))+IF(AB$5="X",VLOOKUP(AB$10,'VK-Põlevkivi'!$C:$X,2+$G76,0))+IF(AB$4="X",VLOOKUP(AB$10,'VK-Võrgud'!$C:$X,2+$F76,0)))</f>
        <v>1337</v>
      </c>
      <c r="AC76" s="228">
        <f>(IF(AC$7="X",VLOOKUP(AC$10,'VK-Hooned-Soojus'!$C:$X,2+$C76,FALSE),0)+IF(AC$6="X",VLOOKUP(AC$10,'VK-Transport'!$C:$X,2+$B76,0))+IF(AC$8="X",VLOOKUP(AC$10,'VK-Elekter'!$C:$X,2+$D76,0))+IF(AC$9="X",VLOOKUP(AC$10,'VK-Biokütused'!$C:$U,2+$E76,0))+IF(AC$5="X",VLOOKUP(AC$10,'VK-Põlevkivi'!$C:$X,2+$G76,0))+IF(AC$4="X",VLOOKUP(AC$10,'VK-Võrgud'!$C:$X,2+$F76,0)))</f>
        <v>2346</v>
      </c>
      <c r="AD76" s="228">
        <f>(IF(AD$7="X",VLOOKUP(AD$10,'VK-Hooned-Soojus'!$C:$X,2+$C76,FALSE),0)+IF(AD$6="X",VLOOKUP(AD$10,'VK-Transport'!$C:$X,2+$B76,0))+IF(AD$8="X",VLOOKUP(AD$10,'VK-Elekter'!$C:$X,2+$D76,0))+IF(AD$9="X",VLOOKUP(AD$10,'VK-Biokütused'!$C:$U,2+$E76,0))+IF(AD$5="X",VLOOKUP(AD$10,'VK-Põlevkivi'!$C:$X,2+$G76,0))+IF(AD$4="X",VLOOKUP(AD$10,'VK-Võrgud'!$C:$X,2+$F76,0)))</f>
        <v>586.20000000000005</v>
      </c>
      <c r="AE76" s="228">
        <f>(IF(AE$7="X",VLOOKUP(AE$10,'VK-Hooned-Soojus'!$C:$X,2+$C76,FALSE),0)+IF(AE$6="X",VLOOKUP(AE$10,'VK-Transport'!$C:$X,2+$B76,0))+IF(AE$8="X",VLOOKUP(AE$10,'VK-Elekter'!$C:$X,2+$D76,0))+IF(AE$9="X",VLOOKUP(AE$10,'VK-Biokütused'!$C:$U,2+$E76,0))+IF(AE$5="X",VLOOKUP(AE$10,'VK-Põlevkivi'!$C:$X,2+$G76,0))+IF(AE$4="X",VLOOKUP(AE$10,'VK-Võrgud'!$C:$X,2+$F76,0)))</f>
        <v>666</v>
      </c>
      <c r="AF76" s="228">
        <f>(IF(AF$7="X",VLOOKUP(AF$10,'VK-Hooned-Soojus'!$C:$X,2+$C76,FALSE),0)+IF(AF$6="X",VLOOKUP(AF$10,'VK-Transport'!$C:$X,2+$B76,0))+IF(AF$8="X",VLOOKUP(AF$10,'VK-Elekter'!$C:$X,2+$D76,0))+IF(AF$9="X",VLOOKUP(AF$10,'VK-Biokütused'!$C:$U,2+$E76,0))+IF(AF$5="X",VLOOKUP(AF$10,'VK-Põlevkivi'!$C:$X,2+$G76,0))+IF(AF$4="X",VLOOKUP(AF$10,'VK-Võrgud'!$C:$X,2+$F76,0)))</f>
        <v>1892.3823271229701</v>
      </c>
      <c r="AG76" s="209"/>
      <c r="AH76" s="209">
        <f>IF(AH$7="X",VLOOKUP(AH$10,'VK-Hooned-Soojus'!$C:$X,2+$C76,FALSE),0)+IF(AH$6="X",VLOOKUP(AH$10,'VK-Transport'!$C:$X,2+$B76,0))+IF(AH$8="X",VLOOKUP(AH$10,'VK-Elekter'!$C:$X,2+$D76,0))+IF(AH$9="X",VLOOKUP(AH$10,'VK-Biokütused'!$C:$U,2+$E76,0))+IF(AH$5="X",VLOOKUP(AH$10,'VK-Põlevkivi'!$C:$X,2+$G76,0))+IF(AH$4="X",VLOOKUP(AH$10,'VK-Võrgud'!$C:$X,2+$F76,0))</f>
        <v>11.64</v>
      </c>
      <c r="AI76" s="209">
        <f>IF(AI$7="X",VLOOKUP(AI$10,'VK-Hooned-Soojus'!$C:$X,2+$C76,FALSE),0)+IF(AI$6="X",VLOOKUP(AI$10,'VK-Transport'!$C:$X,2+$B76,0))+IF(AI$8="X",VLOOKUP(AI$10,'VK-Elekter'!$C:$X,2+$D76,0))+IF(AI$9="X",VLOOKUP(AI$10,'VK-Biokütused'!$C:$U,2+$E76,0))+IF(AI$5="X",VLOOKUP(AI$10,'VK-Põlevkivi'!$C:$X,2+$G76,0))+IF(AI$4="X",VLOOKUP(AI$10,'VK-Võrgud'!$C:$X,2+$F76,0))</f>
        <v>2.3100000000000005</v>
      </c>
      <c r="AJ76" s="209">
        <f>IF(AJ$7="X",VLOOKUP(AJ$10,'VK-Hooned-Soojus'!$C:$X,2+$C76,FALSE),0)+IF(AJ$6="X",VLOOKUP(AJ$10,'VK-Transport'!$C:$X,2+$B76,0))+IF(AJ$8="X",VLOOKUP(AJ$10,'VK-Elekter'!$C:$X,2+$D76,0))+IF(AJ$9="X",VLOOKUP(AJ$10,'VK-Biokütused'!$C:$U,2+$E76,0))+IF(AJ$5="X",VLOOKUP(AJ$10,'VK-Põlevkivi'!$C:$X,2+$G76,0))+IF(AJ$4="X",VLOOKUP(AJ$10,'VK-Võrgud'!$C:$X,2+$F76,0))</f>
        <v>9.25</v>
      </c>
      <c r="AK76" s="209">
        <f>IF(AK$7="X",VLOOKUP(AK$10,'VK-Hooned-Soojus'!$C:$X,2+$C76,FALSE),0)+IF(AK$6="X",VLOOKUP(AK$10,'VK-Transport'!$C:$X,2+$B76,0))+IF(AK$8="X",VLOOKUP(AK$10,'VK-Elekter'!$C:$X,2+$D76,0))+IF(AK$9="X",VLOOKUP(AK$10,'VK-Biokütused'!$C:$U,2+$E76,0))+IF(AK$5="X",VLOOKUP(AK$10,'VK-Põlevkivi'!$C:$X,2+$G76,0))+IF(AK$4="X",VLOOKUP(AK$10,'VK-Võrgud'!$C:$X,2+$F76,0))</f>
        <v>2.78</v>
      </c>
      <c r="AL76" s="209">
        <f>IF(AL$7="X",VLOOKUP(AL$10,'VK-Hooned-Soojus'!$C:$X,2+$C76,FALSE),0)+IF(AL$6="X",VLOOKUP(AL$10,'VK-Transport'!$C:$X,2+$B76,0))+IF(AL$8="X",VLOOKUP(AL$10,'VK-Elekter'!$C:$X,2+$D76,0))+IF(AL$9="X",VLOOKUP(AL$10,'VK-Biokütused'!$C:$U,2+$E76,0))+IF(AL$5="X",VLOOKUP(AL$10,'VK-Põlevkivi'!$C:$X,2+$G76,0))+IF(AL$4="X",VLOOKUP(AL$10,'VK-Võrgud'!$C:$X,2+$F76,0))</f>
        <v>7.1999999999999993</v>
      </c>
      <c r="AM76" s="209">
        <f>IF(AM$7="X",VLOOKUP(AM$10,'VK-Hooned-Soojus'!$C:$X,2+$C76,FALSE),0)+IF(AM$6="X",VLOOKUP(AM$10,'VK-Transport'!$C:$X,2+$B76,0))+IF(AM$8="X",VLOOKUP(AM$10,'VK-Elekter'!$C:$X,2+$D76,0))+IF(AM$9="X",VLOOKUP(AM$10,'VK-Biokütused'!$C:$U,2+$E76,0))+IF(AM$5="X",VLOOKUP(AM$10,'VK-Põlevkivi'!$C:$X,2+$G76,0))+IF(AM$4="X",VLOOKUP(AM$10,'VK-Võrgud'!$C:$X,2+$F76,0))</f>
        <v>11.9</v>
      </c>
      <c r="AN76" s="209">
        <f>IF(AN$7="X",VLOOKUP(AN$10,'VK-Hooned-Soojus'!$C:$X,2+$C76,FALSE),0)+IF(AN$6="X",VLOOKUP(AN$10,'VK-Transport'!$C:$X,2+$B76,0))+IF(AN$8="X",VLOOKUP(AN$10,'VK-Elekter'!$C:$X,2+$D76,0))+IF(AN$9="X",VLOOKUP(AN$10,'VK-Biokütused'!$C:$U,2+$E76,0))+IF(AN$5="X",VLOOKUP(AN$10,'VK-Põlevkivi'!$C:$X,2+$G76,0))+IF(AN$4="X",VLOOKUP(AN$10,'VK-Võrgud'!$C:$X,2+$F76,0))</f>
        <v>4.8999999999999995</v>
      </c>
      <c r="AO76" s="209">
        <f>IF(AO$7="X",VLOOKUP(AO$10,'VK-Hooned-Soojus'!$C:$X,2+$C76,FALSE),0)+IF(AO$6="X",VLOOKUP(AO$10,'VK-Transport'!$C:$X,2+$B76,0))+IF(AO$8="X",VLOOKUP(AO$10,'VK-Elekter'!$C:$X,2+$D76,0))+IF(AO$9="X",VLOOKUP(AO$10,'VK-Biokütused'!$C:$U,2+$E76,0))+IF(AO$5="X",VLOOKUP(AO$10,'VK-Põlevkivi'!$C:$X,2+$G76,0))+IF(AO$4="X",VLOOKUP(AO$10,'VK-Võrgud'!$C:$X,2+$F76,0))</f>
        <v>12.56</v>
      </c>
      <c r="AP76" s="209">
        <f>IF(AP$7="X",VLOOKUP(AP$10,'VK-Hooned-Soojus'!$C:$X,2+$C76,FALSE),0)+IF(AP$6="X",VLOOKUP(AP$10,'VK-Transport'!$C:$X,2+$B76,0))+IF(AP$8="X",VLOOKUP(AP$10,'VK-Elekter'!$C:$X,2+$D76,0))+IF(AP$9="X",VLOOKUP(AP$10,'VK-Biokütused'!$C:$U,2+$E76,0))+IF(AP$5="X",VLOOKUP(AP$10,'VK-Põlevkivi'!$C:$X,2+$G76,0))+IF(AP$4="X",VLOOKUP(AP$10,'VK-Võrgud'!$C:$X,2+$F76,0))</f>
        <v>6.28</v>
      </c>
      <c r="AQ76" s="320">
        <f t="shared" ref="AQ76:AQ139" si="61">IF(12.3-AO76&gt;0,0,ABS(12.3-AO76))</f>
        <v>0.25999999999999979</v>
      </c>
      <c r="AR76" s="209">
        <f>IF(AR$7="X",VLOOKUP(AR$10,'VK-Hooned-Soojus'!$C:$X,2+$C76,FALSE),0)+IF(AR$6="X",VLOOKUP(AR$10,'VK-Transport'!$C:$X,2+$B76,0))+IF(AR$8="X",VLOOKUP(AR$10,'VK-Elekter'!$C:$X,2+$D76,0))+IF(AR$9="X",VLOOKUP(AR$10,'VK-Biokütused'!$C:$U,2+$E76,0))+IF(AR$5="X",VLOOKUP(AR$10,'VK-Põlevkivi'!$C:$X,2+$G76,0))+IF(AR$4="X",VLOOKUP(AR$10,'VK-Võrgud'!$C:$X,2+$F76,0))</f>
        <v>2.8899999999999997</v>
      </c>
      <c r="AS76" s="320">
        <f>VLOOKUP("Kütuste tarbimine @ 2030 - UTTEGAAS",'VK-Hooned-Soojus'!$C:$X,2+$C76,FALSE)/0.172+VLOOKUP("Kütuste tarbimine @ 2030 - UTTEGAAS",'VK-Elekter'!$C:$X,2+$D76,FALSE)/0.172-AR76-AU76</f>
        <v>2.8565116279069773</v>
      </c>
      <c r="AT76" s="209">
        <f>IF(AT$7="X",VLOOKUP(AT$10,'VK-Hooned-Soojus'!$C:$X,2+$C76,FALSE),0)+IF(AT$6="X",VLOOKUP(AT$10,'VK-Transport'!$C:$X,2+$B76,0))+IF(AT$8="X",VLOOKUP(AT$10,'VK-Elekter'!$C:$X,2+$D76,0))+IF(AT$9="X",VLOOKUP(AT$10,'VK-Biokütused'!$C:$U,2+$E76,0))+IF(AT$5="X",VLOOKUP(AT$10,'VK-Põlevkivi'!$C:$X,2+$G76,0))+IF(AT$4="X",VLOOKUP(AT$10,'VK-Võrgud'!$C:$X,2+$F76,0))</f>
        <v>9.2784458909544707</v>
      </c>
      <c r="AU76" s="229">
        <f>MAX(0,(VLOOKUP("Kütuste tarbimine @ 2030 - UTTEGAAS",'VK-Hooned-Soojus'!$C:$X,2+$C76,FALSE)/0.172+VLOOKUP("Kütuste tarbimine @ 2030 - UTTEGAAS",'VK-Elekter'!$C:$X,2+$D76,FALSE)/0.172)*0.52-VLOOKUP("Kütuste tarbimine @ 2030 - PÕLEVKIVIÕLI",'VK-Hooned-Soojus'!$C:$X,2+$C76,FALSE))</f>
        <v>5.1837209302325586</v>
      </c>
      <c r="AV76" s="209">
        <f>IF(AV$7="X",VLOOKUP(AV$10,'VK-Hooned-Soojus'!$C:$X,2+$C76,FALSE),0)+IF(AV$6="X",VLOOKUP(AV$10,'VK-Transport'!$C:$X,2+$B76,0))+IF(AV$8="X",VLOOKUP(AV$10,'VK-Elekter'!$C:$X,2+$D76,0))+IF(AV$9="X",VLOOKUP(AV$10,'VK-Biokütused'!$C:$U,2+$E76,0))+IF(AV$5="X",VLOOKUP(AV$10,'VK-Põlevkivi'!$C:$X,2+$G76,0))+IF(AV$4="X",VLOOKUP(AV$10,'VK-Võrgud'!$C:$X,2+$F76,0))</f>
        <v>1.7257321590343366</v>
      </c>
      <c r="AW76" s="209">
        <f>IF(AW$7="X",VLOOKUP(AW$10,'VK-Hooned-Soojus'!$C:$X,2+$C76,FALSE),0)+IF(AW$6="X",VLOOKUP(AW$10,'VK-Transport'!$C:$X,2+$B76,0))+IF(AW$8="X",VLOOKUP(AW$10,'VK-Elekter'!$C:$X,2+$D76,0))+IF(AW$9="X",VLOOKUP(AW$10,'VK-Biokütused'!$C:$U,2+$E76,0))+IF(AW$5="X",VLOOKUP(AW$10,'VK-Põlevkivi'!$C:$X,2+$G76,0))+IF(AW$4="X",VLOOKUP(AW$10,'VK-Võrgud'!$C:$X,2+$F76,0))</f>
        <v>4.2799999999999994</v>
      </c>
      <c r="AX76" s="229">
        <f t="shared" ref="AX76:AX139" si="62">MAX(0,AW76-AV76)</f>
        <v>2.5542678409656627</v>
      </c>
      <c r="AY76" s="229">
        <f t="shared" ref="AY76:AY139" si="63">MAX(0,AV76-AW76)</f>
        <v>0</v>
      </c>
      <c r="AZ76" s="230">
        <f t="shared" si="48"/>
        <v>0.54810673251464137</v>
      </c>
      <c r="BA76" s="209">
        <f>IF(BA$7="X",VLOOKUP(BA$10,'VK-Hooned-Soojus'!$C:$X,2+$C76,FALSE),0)+IF(BA$6="X",VLOOKUP(BA$10,'VK-Transport'!$C:$X,2+$B76,0))+IF(BA$8="X",VLOOKUP(BA$10,'VK-Elekter'!$C:$X,2+$D76,0))+IF(BA$9="X",VLOOKUP(BA$10,'VK-Biokütused'!$C:$U,2+$E76,0))+IF(BA$5="X",VLOOKUP(BA$10,'VK-Põlevkivi'!$C:$X,2+$G76,0))+IF(BA$4="X",VLOOKUP(BA$10,'VK-Võrgud'!$C:$X,2+$F76,0))</f>
        <v>4.25</v>
      </c>
      <c r="BB76" s="209">
        <f>IF(BB$7="X",VLOOKUP(BB$10,'VK-Hooned-Soojus'!$C:$X,2+$C76,FALSE),0)+IF(BB$6="X",VLOOKUP(BB$10,'VK-Transport'!$C:$X,2+$B76,0))+IF(BB$8="X",VLOOKUP(BB$10,'VK-Elekter'!$C:$X,2+$D76,0))+IF(BB$9="X",VLOOKUP(BB$10,'VK-Biokütused'!$C:$U,2+$E76,0))+IF(BB$5="X",VLOOKUP(BB$10,'VK-Põlevkivi'!$C:$X,2+$G76,0))+IF(BB$4="X",VLOOKUP(BB$10,'VK-Võrgud'!$C:$X,2+$F76,0))</f>
        <v>2.93</v>
      </c>
      <c r="BC76" s="209">
        <f>IF(BC$7="X",VLOOKUP(BC$10,'VK-Hooned-Soojus'!$C:$X,2+$C76,FALSE),0)+IF(BC$6="X",VLOOKUP(BC$10,'VK-Transport'!$C:$X,2+$B76,0))+IF(BC$8="X",VLOOKUP(BC$10,'VK-Elekter'!$C:$X,2+$D76,0))+IF(BC$9="X",VLOOKUP(BC$10,'VK-Biokütused'!$C:$U,2+$E76,0))+IF(BC$5="X",VLOOKUP(BC$10,'VK-Põlevkivi'!$C:$X,2+$G76,0))+IF(BC$4="X",VLOOKUP(BC$10,'VK-Võrgud'!$C:$X,2+$F76,0))</f>
        <v>6.5993333333333322</v>
      </c>
      <c r="BD76" s="209">
        <f>IF(BD$7="X",VLOOKUP(BD$10,'VK-Hooned-Soojus'!$C:$X,2+$C76,FALSE),0)+IF(BD$6="X",VLOOKUP(BD$10,'VK-Transport'!$C:$X,2+$B76,0))+IF(BD$8="X",VLOOKUP(BD$10,'VK-Elekter'!$C:$X,2+$D76,0))+IF(BD$9="X",VLOOKUP(BD$10,'VK-Biokütused'!$C:$U,2+$E76,0))+IF(BD$5="X",VLOOKUP(BD$10,'VK-Põlevkivi'!$C:$X,2+$G76,0))+IF(BD$4="X",VLOOKUP(BD$10,'VK-Võrgud'!$C:$X,2+$F76,0))</f>
        <v>9.425416666666667</v>
      </c>
      <c r="BE76" s="230"/>
      <c r="BF76" s="229">
        <f t="shared" ref="BF76:BF139" si="64">SUM(AI76,AM76,AV76)/EI76</f>
        <v>0.32999603074171385</v>
      </c>
      <c r="BG76" s="209" t="e">
        <f>(IF(BG$7="X",VLOOKUP(BG$10,'VK-Hooned-Soojus'!$C:$X,2+$C76,FALSE),0)+IF(BG$6="X",VLOOKUP(BG$10,'VK-Transport'!$C:$X,2+$B76,0))+IF(BG$8="X",VLOOKUP(BG$10,'VK-Elekter'!$C:$X,2+$D76,0))+IF(BG$9="X",VLOOKUP(BG$10,'VK-Biokütused'!$C:$U,2+$E76,0))+IF(BG$5="X",VLOOKUP(BG$10,'VK-Põlevkivi'!$C:$X,2+$G76,0))+IF(BG$4="X",VLOOKUP(BG$10,'VK-Võrgud'!$C:$X,2+$F76,0)))/20</f>
        <v>#N/A</v>
      </c>
      <c r="BH76" s="209">
        <f>(IF(BH$7="X",VLOOKUP(BH$10,'VK-Hooned-Soojus'!$C:$X,2+$C76,FALSE),0)+IF(BH$6="X",VLOOKUP(BH$10,'VK-Transport'!$C:$X,2+$B76,0))+IF(BH$8="X",VLOOKUP(BH$10,'VK-Elekter'!$C:$X,2+$D76,0))+IF(BH$9="X",VLOOKUP(BH$10,'VK-Biokütused'!$C:$U,2+$E76,0))+IF(BH$5="X",VLOOKUP(BH$10,'VK-Põlevkivi'!$C:$X,2+$G76,0))+IF(BH$4="X",VLOOKUP(BH$10,'VK-Võrgud'!$C:$X,2+$F76,0)))/20</f>
        <v>45.08</v>
      </c>
      <c r="BI76" s="209">
        <f>(IF(BI$7="X",VLOOKUP(BI$10,'VK-Hooned-Soojus'!$C:$X,2+$C76,FALSE),0)+IF(BI$6="X",VLOOKUP(BI$10,'VK-Transport'!$C:$X,2+$B76,0))+IF(BI$8="X",VLOOKUP(BI$10,'VK-Elekter'!$C:$X,2+$D76,0))+IF(BI$9="X",VLOOKUP(BI$10,'VK-Biokütused'!$C:$U,2+$E76,0))+IF(BI$5="X",VLOOKUP(BI$10,'VK-Põlevkivi'!$C:$X,2+$G76,0))+IF(BI$4="X",VLOOKUP(BI$10,'VK-Võrgud'!$C:$X,2+$F76,0)))/16</f>
        <v>14.1875</v>
      </c>
      <c r="BJ76" s="209">
        <f>(IF(BJ$7="X",VLOOKUP(BJ$10,'VK-Hooned-Soojus'!$C:$X,2+$C76,FALSE),0)+IF(BJ$6="X",VLOOKUP(BJ$10,'VK-Transport'!$C:$X,2+$B76,0))+IF(BJ$8="X",VLOOKUP(BJ$10,'VK-Elekter'!$C:$X,2+$D76,0))+IF(BJ$9="X",VLOOKUP(BJ$10,'VK-Biokütused'!$C:$U,2+$E76,0))+IF(BJ$5="X",VLOOKUP(BJ$10,'VK-Põlevkivi'!$C:$X,2+$G76,0))+IF(BJ$4="X",VLOOKUP(BJ$10,'VK-Võrgud'!$C:$X,2+$F76,0)))/20</f>
        <v>3.91</v>
      </c>
      <c r="BK76" s="209"/>
      <c r="BL76" s="209"/>
      <c r="BM76" s="209"/>
      <c r="BN76" s="209" t="e">
        <f>(IF(BN$7="X",VLOOKUP(BN$10,'VK-Hooned-Soojus'!$C:$X,2+$C76,FALSE),0)+IF(BN$6="X",VLOOKUP(BN$10,'VK-Transport'!$C:$X,2+$B76,0))+IF(BN$8="X",VLOOKUP(BN$10,'VK-Elekter'!$C:$X,2+$D76,0))+IF(BN$9="X",VLOOKUP(BN$10,'VK-Biokütused'!$C:$U,2+$E76,0))+IF(BN$5="X",VLOOKUP(BN$10,'VK-Põlevkivi'!$C:$X,2+$G76,0))+IF(BN$4="X",VLOOKUP(BN$10,'VK-Võrgud'!$C:$X,2+$F76,0)))/16</f>
        <v>#N/A</v>
      </c>
      <c r="BO76" s="209">
        <f>(IF(BO$7="X",VLOOKUP(BO$10,'VK-Hooned-Soojus'!$C:$X,2+$C76,FALSE),0)+IF(BO$6="X",VLOOKUP(BO$10,'VK-Transport'!$C:$X,2+$B76,0))+IF(BO$8="X",VLOOKUP(BO$10,'VK-Elekter'!$C:$X,2+$D76,0))+IF(BO$9="X",VLOOKUP(BO$10,'VK-Biokütused'!$C:$U,2+$E76,0))+IF(BO$5="X",VLOOKUP(BO$10,'VK-Põlevkivi'!$C:$X,2+$G76,0))+IF(BO$4="X",VLOOKUP(BO$10,'VK-Võrgud'!$C:$X,2+$F76,0)))/16</f>
        <v>405.45</v>
      </c>
      <c r="BP76" s="209"/>
      <c r="BQ76" s="209">
        <f>(IF(BQ$7="X",VLOOKUP(BQ$10,'VK-Hooned-Soojus'!$C:$X,2+$C76,FALSE),0)+IF(BQ$6="X",VLOOKUP(BQ$10,'VK-Transport'!$C:$X,2+$B76,0))+IF(BQ$8="X",VLOOKUP(BQ$10,'VK-Elekter'!$C:$X,2+$D76,0))+IF(BQ$9="X",VLOOKUP(BQ$10,'VK-Biokütused'!$C:$U,2+$E76,0))+IF(BQ$5="X",VLOOKUP(BQ$10,'VK-Põlevkivi'!$C:$X,2+$G76,0))+IF(BQ$4="X",VLOOKUP(BQ$10,'VK-Võrgud'!$C:$X,2+$F76,0)))/16</f>
        <v>127.6</v>
      </c>
      <c r="BR76" s="209">
        <f>(IF(BR$7="X",VLOOKUP(BR$10,'VK-Hooned-Soojus'!$C:$X,2+$C76,FALSE),0)+IF(BR$6="X",VLOOKUP(BR$10,'VK-Transport'!$C:$X,2+$B76,0))+IF(BR$8="X",VLOOKUP(BR$10,'VK-Elekter'!$C:$X,2+$D76,0))+IF(BR$9="X",VLOOKUP(BR$10,'VK-Biokütused'!$C:$U,2+$E76,0))+IF(BR$5="X",VLOOKUP(BR$10,'VK-Põlevkivi'!$C:$X,2+$G76,0))+IF(BR$4="X",VLOOKUP(BR$10,'VK-Võrgud'!$C:$X,2+$F76,0)))/16</f>
        <v>27.475000000000001</v>
      </c>
      <c r="BS76" s="209">
        <f>(IF(BS$7="X",VLOOKUP(BS$10,'VK-Hooned-Soojus'!$C:$X,2+$C76,FALSE),0)+IF(BS$6="X",VLOOKUP(BS$10,'VK-Transport'!$C:$X,2+$B76,0))+IF(BS$8="X",VLOOKUP(BS$10,'VK-Elekter'!$C:$X,2+$D76,0))+IF(BS$9="X",VLOOKUP(BS$10,'VK-Biokütused'!$C:$U,2+$E76,0))+IF(BS$5="X",VLOOKUP(BS$10,'VK-Põlevkivi'!$C:$X,2+$G76,0))+IF(BS$4="X",VLOOKUP(BS$10,'VK-Võrgud'!$C:$X,2+$F76,0)))/16</f>
        <v>-23.293749999999999</v>
      </c>
      <c r="BT76" s="209"/>
      <c r="BU76" s="209"/>
      <c r="BV76" s="209">
        <f>(IF(BV$7="X",VLOOKUP(BV$10,'VK-Hooned-Soojus'!$C:$X,2+$C76,FALSE),0)+IF(BV$6="X",VLOOKUP(BV$10,'VK-Transport'!$C:$X,2+$B76,0))+IF(BV$8="X",VLOOKUP(BV$10,'VK-Elekter'!$C:$X,2+$D76,0))+IF(BV$9="X",VLOOKUP(BV$10,'VK-Biokütused'!$C:$U,2+$E76,0))+IF(BV$5="X",VLOOKUP(BV$10,'VK-Põlevkivi'!$C:$X,2+$G76,0))+IF(BV$4="X",VLOOKUP(BV$10,'VK-Võrgud'!$C:$X,2+$F76,0)))/16</f>
        <v>0</v>
      </c>
      <c r="BW76" s="209"/>
      <c r="BX76" s="209">
        <f>(IF(BX$7="X",VLOOKUP(BX$10,'VK-Hooned-Soojus'!$C:$X,2+$C76,FALSE),0)+IF(BX$6="X",VLOOKUP(BX$10,'VK-Transport'!$C:$X,2+$B76,0))+IF(BX$8="X",VLOOKUP(BX$10,'VK-Elekter'!$C:$X,2+$D76,0))+IF(BX$9="X",VLOOKUP(BX$10,'VK-Biokütused'!$C:$U,2+$E76,0))+IF(BX$5="X",VLOOKUP(BX$10,'VK-Põlevkivi'!$C:$X,2+$G76,0))+IF(BX$4="X",VLOOKUP(BX$10,'VK-Võrgud'!$C:$X,2+$F76,0)))/16</f>
        <v>-99.75</v>
      </c>
      <c r="BY76" s="209"/>
      <c r="BZ76" s="209"/>
      <c r="CA76" s="209" t="e">
        <f>(IF(CA$7="X",VLOOKUP(CA$10,'VK-Hooned-Soojus'!$C:$X,2+$C76,FALSE),0)+IF(CA$6="X",VLOOKUP(CA$10,'VK-Transport'!$C:$X,2+$B76,0))+IF(CA$8="X",VLOOKUP(CA$10,'VK-Elekter'!$C:$X,2+$D76,0))+IF(CA$9="X",VLOOKUP(CA$10,'VK-Biokütused'!$C:$U,2+$E76,0))+IF(CA$5="X",VLOOKUP(CA$10,'VK-Põlevkivi'!$C:$X,2+$G76,0))+IF(CA$4="X",VLOOKUP(CA$10,'VK-Võrgud'!$C:$X,2+$F76,0)))/16</f>
        <v>#N/A</v>
      </c>
      <c r="CB76" s="209">
        <f>(IF(CB$7="X",VLOOKUP(CB$10,'VK-Hooned-Soojus'!$C:$X,2+$C76,FALSE),0)+IF(CB$6="X",VLOOKUP(CB$10,'VK-Transport'!$C:$X,2+$B76,0))+IF(CB$8="X",VLOOKUP(CB$10,'VK-Elekter'!$C:$X,2+$D76,0))+IF(CB$9="X",VLOOKUP(CB$10,'VK-Biokütused'!$C:$U,2+$E76,0))+IF(CB$5="X",VLOOKUP(CB$10,'VK-Põlevkivi'!$C:$X,2+$G76,0))+IF(CB$4="X",VLOOKUP(CB$10,'VK-Võrgud'!$C:$X,2+$F76,0)))/16</f>
        <v>0</v>
      </c>
      <c r="CC76" s="209">
        <f>(IF(CC$7="X",VLOOKUP(CC$10,'VK-Hooned-Soojus'!$C:$X,2+$C76,FALSE),0)+IF(CC$6="X",VLOOKUP(CC$10,'VK-Transport'!$C:$X,2+$B76,0))+IF(CC$8="X",VLOOKUP(CC$10,'VK-Elekter'!$C:$X,2+$D76,0))+IF(CC$9="X",VLOOKUP(CC$10,'VK-Biokütused'!$C:$U,2+$E76,0))+IF(CC$5="X",VLOOKUP(CC$10,'VK-Põlevkivi'!$C:$X,2+$G76,0))+IF(CC$4="X",VLOOKUP(CC$10,'VK-Võrgud'!$C:$X,2+$F76,0)))/16</f>
        <v>0</v>
      </c>
      <c r="CD76" s="209"/>
      <c r="CE76" s="209">
        <f>(IF(CE$7="X",VLOOKUP(CE$10,'VK-Hooned-Soojus'!$C:$X,2+$C76,FALSE),0)+IF(CE$6="X",VLOOKUP(CE$10,'VK-Transport'!$C:$X,2+$B76,0))+IF(CE$8="X",VLOOKUP(CE$10,'VK-Elekter'!$C:$X,2+$D76,0))+IF(CE$9="X",VLOOKUP(CE$10,'VK-Biokütused'!$C:$U,2+$E76,0))+IF(CE$5="X",VLOOKUP(CE$10,'VK-Põlevkivi'!$C:$X,2+$G76,0))+IF(CE$4="X",VLOOKUP(CE$10,'VK-Võrgud'!$C:$X,2+$F76,0)))/16</f>
        <v>24.15625</v>
      </c>
      <c r="CF76" s="209"/>
      <c r="CG76" s="209">
        <f>(IF(CG$7="X",VLOOKUP(CG$10,'VK-Hooned-Soojus'!$C:$X,2+$C76,FALSE),0)+IF(CG$6="X",VLOOKUP(CG$10,'VK-Transport'!$C:$X,2+$B76,0))+IF(CG$8="X",VLOOKUP(CG$10,'VK-Elekter'!$C:$X,2+$D76,0))+IF(CG$9="X",VLOOKUP(CG$10,'VK-Biokütused'!$C:$U,2+$E76,0))+IF(CG$5="X",VLOOKUP(CG$10,'VK-Põlevkivi'!$C:$X,2+$G76,0))+IF(CG$4="X",VLOOKUP(CG$10,'VK-Võrgud'!$C:$X,2+$F76,0)))/16</f>
        <v>0</v>
      </c>
      <c r="CH76" s="209">
        <f>(IF(CH$7="X",VLOOKUP(CH$10,'VK-Hooned-Soojus'!$C:$X,2+$C76,FALSE),0)+IF(CH$6="X",VLOOKUP(CH$10,'VK-Transport'!$C:$X,2+$B76,0))+IF(CH$8="X",VLOOKUP(CH$10,'VK-Elekter'!$C:$X,2+$D76,0))+IF(CH$9="X",VLOOKUP(CH$10,'VK-Biokütused'!$C:$U,2+$E76,0))+IF(CH$5="X",VLOOKUP(CH$10,'VK-Põlevkivi'!$C:$X,2+$G76,0))+IF(CH$4="X",VLOOKUP(CH$10,'VK-Võrgud'!$C:$X,2+$F76,0)))/20*0.21</f>
        <v>11.225549999999998</v>
      </c>
      <c r="CI76" s="209"/>
      <c r="CJ76" s="209">
        <f>(IF(CJ$7="X",VLOOKUP(CJ$10,'VK-Hooned-Soojus'!$C:$X,2+$C76,FALSE),0)+IF(CJ$6="X",VLOOKUP(CJ$10,'VK-Transport'!$C:$X,2+$B76,0))+IF(CJ$8="X",VLOOKUP(CJ$10,'VK-Elekter'!$C:$X,2+$D76,0))+IF(CJ$9="X",VLOOKUP(CJ$10,'VK-Biokütused'!$C:$U,2+$E76,0))+IF(CJ$5="X",VLOOKUP(CJ$10,'VK-Põlevkivi'!$C:$X,2+$G76,0))+IF(CJ$4="X",VLOOKUP(CJ$10,'VK-Võrgud'!$C:$X,2+$F76,0)))/1000</f>
        <v>18.181578011574537</v>
      </c>
      <c r="CK76" s="209">
        <f>(IF(CK$7="X",VLOOKUP(CK$10,'VK-Hooned-Soojus'!$C:$X,2+$C76,FALSE),0)+IF(CK$6="X",VLOOKUP(CK$10,'VK-Transport'!$C:$X,2+$B76,0))+IF(CK$8="X",VLOOKUP(CK$10,'VK-Elekter'!$C:$X,2+$D76,0))+IF(CK$9="X",VLOOKUP(CK$10,'VK-Biokütused'!$C:$U,2+$E76,0))+IF(CK$5="X",VLOOKUP(CK$10,'VK-Põlevkivi'!$C:$X,2+$G76,0))+IF(CK$4="X",VLOOKUP(CK$10,'VK-Võrgud'!$C:$X,2+$F76,0)))/1000</f>
        <v>11.872324637900011</v>
      </c>
      <c r="CL76" s="235">
        <f>(IF(CL$7="X",VLOOKUP(CL$10,'VK-Hooned-Soojus'!$C:$X,2+$C76,FALSE),0)+IF(CL$6="X",VLOOKUP(CL$10,'VK-Transport'!$C:$X,2+$B76,0))+IF(CL$8="X",VLOOKUP(CL$10,'VK-Elekter'!$C:$X,2+$D76,0))+IF(CL$9="X",VLOOKUP(CL$10,'VK-Biokütused'!$C:$U,2+$E76,0)))/1000</f>
        <v>8.4527703590452106</v>
      </c>
      <c r="CM76" s="209">
        <f>(IF(CM$7="X",VLOOKUP(CM$10,'VK-Hooned-Soojus'!$C:$X,2+$C76,FALSE),0)+IF(CM$6="X",VLOOKUP(CM$10,'VK-Transport'!$C:$X,2+$B76,0))+IF(CM$8="X",VLOOKUP(CM$10,'VK-Elekter'!$C:$X,2+$D76,0))+IF(CM$9="X",VLOOKUP(CM$10,'VK-Biokütused'!$C:$U,2+$E76,0))+IF(CM$5="X",VLOOKUP(CM$10,'VK-Põlevkivi'!$C:$X,2+$G76,0))+IF(CM$4="X",VLOOKUP(CM$10,'VK-Võrgud'!$C:$X,2+$F76,0)))/1000</f>
        <v>7.7837605777489074</v>
      </c>
      <c r="CN76" s="209">
        <f>(IF(CN$7="X",VLOOKUP(CN$10,'VK-Hooned-Soojus'!$C:$X,2+$C76,FALSE),0)+IF(CN$6="X",VLOOKUP(CN$10,'VK-Transport'!$C:$X,2+$B76,0))+IF(CN$8="X",VLOOKUP(CN$10,'VK-Elekter'!$C:$X,2+$D76,0))+IF(CN$9="X",VLOOKUP(CN$10,'VK-Biokütused'!$C:$U,2+$E76,0))+IF(CN$5="X",VLOOKUP(CN$10,'VK-Põlevkivi'!$C:$X,2+$G76,0))+IF(CN$4="X",VLOOKUP(CN$10,'VK-Võrgud'!$C:$X,2+$F76,0)))/1000</f>
        <v>2.9929999999999999</v>
      </c>
      <c r="CO76" s="209">
        <f>(IF(CO$7="X",VLOOKUP(CO$10,'VK-Hooned-Soojus'!$C:$X,2+$C76,FALSE),0)+IF(CO$6="X",VLOOKUP(CO$10,'VK-Transport'!$C:$X,2+$B76,0))+IF(CO$8="X",VLOOKUP(CO$10,'VK-Elekter'!$C:$X,2+$D76,0))+IF(CO$9="X",VLOOKUP(CO$10,'VK-Biokütused'!$C:$U,2+$E76,0))+IF(CO$5="X",VLOOKUP(CO$10,'VK-Põlevkivi'!$C:$X,2+$G76,0))+IF(CO$4="X",VLOOKUP(CO$10,'VK-Võrgud'!$C:$X,2+$F76,0)))/1000</f>
        <v>24.00957521079728</v>
      </c>
      <c r="CP76" s="209">
        <f>(IF(CP$7="X",VLOOKUP(CP$10,'VK-Hooned-Soojus'!$C:$X,2+$C76,FALSE),0)+IF(CP$6="X",VLOOKUP(CP$10,'VK-Transport'!$C:$X,2+$B76,0))+IF(CP$8="X",VLOOKUP(CP$10,'VK-Elekter'!$C:$X,2+$D76,0))+IF(CP$9="X",VLOOKUP(CP$10,'VK-Biokütused'!$C:$U,2+$E76,0))+IF(CP$5="X",VLOOKUP(CP$10,'VK-Põlevkivi'!$C:$X,2+$G76,0))+IF(CP$4="X",VLOOKUP(CP$10,'VK-Võrgud'!$C:$X,2+$F76,0)))/1000</f>
        <v>13.441994830349824</v>
      </c>
      <c r="CQ76" s="235">
        <f>(IF(CQ$7="X",VLOOKUP(CQ$10,'VK-Hooned-Soojus'!$C:$X,2+$C76,FALSE),0)+IF(CQ$6="X",VLOOKUP(CQ$10,'VK-Transport'!$C:$X,2+$B76,0))+IF(CQ$8="X",VLOOKUP(CQ$10,'VK-Elekter'!$C:$X,2+$D76,0))+IF(CQ$9="X",VLOOKUP(CQ$10,'VK-Biokütused'!$C:$U,2+$E76,0)))/1000</f>
        <v>10.637345999999999</v>
      </c>
      <c r="CR76" s="209">
        <f>(IF(CR$7="X",VLOOKUP(CR$10,'VK-Hooned-Soojus'!$C:$X,2+$C76,FALSE),0)+IF(CR$6="X",VLOOKUP(CR$10,'VK-Transport'!$C:$X,2+$B76,0))+IF(CR$8="X",VLOOKUP(CR$10,'VK-Elekter'!$C:$X,2+$D76,0))+IF(CR$9="X",VLOOKUP(CR$10,'VK-Biokütused'!$C:$U,2+$E76,0))+IF(CR$5="X",VLOOKUP(CR$10,'VK-Põlevkivi'!$C:$X,2+$G76,0))+IF(CR$4="X",VLOOKUP(CR$10,'VK-Võrgud'!$C:$X,2+$F76,0)))/1000</f>
        <v>7.8750872784575749</v>
      </c>
      <c r="CS76" s="209">
        <f>(IF(CS$7="X",VLOOKUP(CS$10,'VK-Hooned-Soojus'!$C:$X,2+$C76,FALSE),0)+IF(CS$6="X",VLOOKUP(CS$10,'VK-Transport'!$C:$X,2+$B76,0))+IF(CS$8="X",VLOOKUP(CS$10,'VK-Elekter'!$C:$X,2+$D76,0))+IF(CS$9="X",VLOOKUP(CS$10,'VK-Biokütused'!$C:$U,2+$E76,0))+IF(CS$5="X",VLOOKUP(CS$10,'VK-Põlevkivi'!$C:$X,2+$G76,0))+IF(CS$4="X",VLOOKUP(CS$10,'VK-Võrgud'!$C:$X,2+$F76,0)))/1000</f>
        <v>3.8443344900598322</v>
      </c>
      <c r="CT76" s="209">
        <f>IF(CT$7="X",VLOOKUP(CT$10,'VK-Hooned-Soojus'!$C:$X,2+$C76,FALSE),0)+IF(CT$6="X",VLOOKUP(CT$10,'VK-Transport'!$C:$X,2+$B76,0))+IF(CT$8="X",VLOOKUP(CT$10,'VK-Elekter'!$C:$X,2+$D76,0))+IF(CT$9="X",VLOOKUP(CT$10,'VK-Biokütused'!$C:$U,2+$E76,0))+IF(CT$5="X",VLOOKUP(CT$10,'VK-Põlevkivi'!$C:$X,2+$G76,0))+IF(CT$4="X",VLOOKUP(CT$10,'VK-Võrgud'!$C:$X,2+$F76,0))</f>
        <v>90</v>
      </c>
      <c r="CU76" s="209">
        <f>IF(CU$7="X",VLOOKUP(CU$10,'VK-Hooned-Soojus'!$C:$X,2+$C76,FALSE),0)+IF(CU$6="X",VLOOKUP(CU$10,'VK-Transport'!$C:$X,2+$B76,0))+IF(CU$8="X",VLOOKUP(CU$10,'VK-Elekter'!$C:$X,2+$D76,0))+IF(CU$9="X",VLOOKUP(CU$10,'VK-Biokütused'!$C:$U,2+$E76,0))+IF(CU$5="X",VLOOKUP(CU$10,'VK-Põlevkivi'!$C:$X,2+$G76,0))+IF(CU$4="X",VLOOKUP(CU$10,'VK-Võrgud'!$C:$X,2+$F76,0))</f>
        <v>0.72088353413654627</v>
      </c>
      <c r="CV76" s="209">
        <f t="shared" si="49"/>
        <v>0.84317482403548605</v>
      </c>
      <c r="CW76" s="209">
        <f>(IF(CW$7="X",VLOOKUP(CW$10,'VK-Hooned-Soojus'!$C:$X,2+$C76,FALSE),0)+IF(CW$6="X",VLOOKUP(CW$10,'VK-Transport'!$C:$X,2+$B76,0))+IF(CW$8="X",VLOOKUP(CW$10,'VK-Elekter'!$C:$X,2+$D76,0))+IF(CW$9="X",VLOOKUP(CW$10,'VK-Biokütused'!$C:$U,2+$E76,0))+IF(CW$5="X",VLOOKUP(CW$10,'VK-Põlevkivi'!$C:$X,2+$G76,0))+IF(CW$4="X",VLOOKUP(CW$10,'VK-Võrgud'!$C:$X,2+$F76,0)))/16</f>
        <v>126.01875</v>
      </c>
      <c r="CY76" s="209">
        <f>(IF(CY$7="X",VLOOKUP(CY$10,'VK-Hooned-Soojus'!$C:$X,2+$C76,FALSE),0)+IF(CY$6="X",VLOOKUP(CY$10,'VK-Transport'!$C:$X,2+$B76,0))+IF(CY$8="X",VLOOKUP(CY$10,'VK-Elekter'!$C:$X,2+$D76,0))+IF(CY$9="X",VLOOKUP(CY$10,'VK-Biokütused'!$C:$U,2+$E76,0))+IF(CY$5="X",VLOOKUP(CY$10,'VK-Põlevkivi'!$C:$X,2+$G76,0))+IF(CY$4="X",VLOOKUP(CY$10,'VK-Võrgud'!$C:$X,2+$F76,0)))/1000</f>
        <v>10.657</v>
      </c>
      <c r="CZ76" s="209">
        <f>(IF(CZ$7="X",VLOOKUP(CZ$10,'VK-Hooned-Soojus'!$C:$X,2+$C76,FALSE),0)+IF(CZ$6="X",VLOOKUP(CZ$10,'VK-Transport'!$C:$X,2+$B76,0))+IF(CZ$8="X",VLOOKUP(CZ$10,'VK-Elekter'!$C:$X,2+$D76,0))+IF(CZ$9="X",VLOOKUP(CZ$10,'VK-Biokütused'!$C:$U,2+$E76,0))+IF(CZ$5="X",VLOOKUP(CZ$10,'VK-Põlevkivi'!$C:$X,2+$G76,0))+IF(CZ$4="X",VLOOKUP(CZ$10,'VK-Võrgud'!$C:$X,2+$F76,0)))</f>
        <v>70</v>
      </c>
      <c r="DA76" s="209">
        <f>(IF(DA$7="X",VLOOKUP(DA$10,'VK-Hooned-Soojus'!$C:$X,2+$C76,FALSE),0)+IF(DA$6="X",VLOOKUP(DA$10,'VK-Transport'!$C:$X,2+$B76,0))+IF(DA$8="X",VLOOKUP(DA$10,'VK-Elekter'!$C:$X,2+$D76,0))+IF(DA$9="X",VLOOKUP(DA$10,'VK-Biokütused'!$C:$U,2+$E76,0))+IF(DA$5="X",VLOOKUP(DA$10,'VK-Põlevkivi'!$C:$X,2+$G76,0))+IF(DA$4="X",VLOOKUP(DA$10,'VK-Võrgud'!$C:$X,2+$F76,0)))/1000</f>
        <v>14.363</v>
      </c>
      <c r="DB76" s="209">
        <f>(IF(DB$7="X",VLOOKUP(DB$10,'VK-Hooned-Soojus'!$C:$X,2+$C76,FALSE),0)+IF(DB$6="X",VLOOKUP(DB$10,'VK-Transport'!$C:$X,2+$B76,0))+IF(DB$8="X",VLOOKUP(DB$10,'VK-Elekter'!$C:$X,2+$D76,0))+IF(DB$9="X",VLOOKUP(DB$10,'VK-Biokütused'!$C:$U,2+$E76,0))+IF(DB$5="X",VLOOKUP(DB$10,'VK-Põlevkivi'!$C:$X,2+$G76,0))+IF(DB$4="X",VLOOKUP(DB$10,'VK-Võrgud'!$C:$X,2+$F76,0)))/1000/3.6</f>
        <v>63.722777777777772</v>
      </c>
      <c r="DC76" s="209">
        <f>(IF(DC$7="X",VLOOKUP(DC$10,'VK-Hooned-Soojus'!$C:$X,2+$C76,FALSE),0)+IF(DC$6="X",VLOOKUP(DC$10,'VK-Transport'!$C:$X,2+$B76,0))+IF(DC$8="X",VLOOKUP(DC$10,'VK-Elekter'!$C:$X,2+$D76,0))+IF(DC$9="X",VLOOKUP(DC$10,'VK-Biokütused'!$C:$U,2+$E76,0))+IF(DC$5="X",VLOOKUP(DC$10,'VK-Põlevkivi'!$C:$X,2+$G76,0))+IF(DC$4="X",VLOOKUP(DC$10,'VK-Võrgud'!$C:$X,2+$F76,0)))/1000000</f>
        <v>5.0993659999999998</v>
      </c>
      <c r="DD76" s="209"/>
      <c r="DE76" s="88">
        <f>VLOOKUP(Tulemused!$BN$12,data!M$7:N$12,2,FALSE)-SUM(L76,M76)</f>
        <v>-1.2238666666666731</v>
      </c>
      <c r="DF76" s="209" t="str">
        <f>IF(AZ76&lt;=VLOOKUP(Tulemused!$BN$15,data!$E$36:$F$39,2,FALSE),"JAH","EI")</f>
        <v>JAH</v>
      </c>
      <c r="DG76" s="209"/>
      <c r="DH76" s="209">
        <f t="shared" si="50"/>
        <v>6.28</v>
      </c>
      <c r="DI76" s="231" t="str">
        <f t="shared" ref="DI76:DI139" si="65">IF((DE76&lt;0)+(DF76="EI")+(DG76="EI")+(DH76="JAH"),"EI","JAH")</f>
        <v>EI</v>
      </c>
      <c r="DK76" s="232">
        <f t="shared" si="51"/>
        <v>-995.12944065931185</v>
      </c>
      <c r="DM76" s="233">
        <f t="shared" si="52"/>
        <v>-994.65113971395272</v>
      </c>
      <c r="DN76" s="87">
        <f t="array" ref="DN76">INDEX($A$11:$A$145, SMALL(IF(DM76=$DK$11:$DK$145, MATCH(ROW($DK$11:$DK$145), ROW($DK$11:$DK$145))), SUM(--(DM76=$DM$11:DM76))))</f>
        <v>106</v>
      </c>
      <c r="DP76" s="87" t="e">
        <f t="shared" ref="DP76:DP139" ca="1" si="66">IF(INDIRECT("Tulemused!"&amp;DP$8)="Jah",BN76,0)</f>
        <v>#N/A</v>
      </c>
      <c r="DQ76" s="87" t="e">
        <f t="shared" ref="DQ76:DQ139" ca="1" si="67">IF(INDIRECT("Tulemused!"&amp;DQ$8)="Jah",BO76,0)</f>
        <v>#N/A</v>
      </c>
      <c r="DR76" s="87">
        <f t="shared" ref="DR76:DR139" ca="1" si="68">IF(INDIRECT("Tulemused!"&amp;DR$8)="Jah",BP76,0)</f>
        <v>0</v>
      </c>
      <c r="DS76" s="87" t="e">
        <f t="shared" ref="DS76:DS139" ca="1" si="69">IF(INDIRECT("Tulemused!"&amp;DS$8)="Jah",BQ76,0)</f>
        <v>#N/A</v>
      </c>
      <c r="DT76" s="87">
        <f t="shared" ref="DT76:DT139" ca="1" si="70">IF(INDIRECT("Tulemused!"&amp;DT$8)="Jah",BS76+BX76,0)</f>
        <v>0</v>
      </c>
      <c r="DU76" s="87" t="e">
        <f t="shared" ref="DU76:DU139" ca="1" si="71">IF(INDIRECT("Tulemused!"&amp;DU$8)="Jah",BS76,0)</f>
        <v>#N/A</v>
      </c>
      <c r="DV76" s="87" t="e">
        <f t="shared" ref="DV76:DV139" ca="1" si="72">IF(INDIRECT("Tulemused!"&amp;DV$8)="Jah",BT76,0)</f>
        <v>#N/A</v>
      </c>
      <c r="DW76" s="87">
        <f t="shared" ref="DW76:DW139" ca="1" si="73">IF(INDIRECT("Tulemused!"&amp;DW$8)="Jah",BU76,0)</f>
        <v>0</v>
      </c>
      <c r="DX76" s="87">
        <f t="shared" ref="DX76:DX139" ca="1" si="74">IF(INDIRECT("Tulemused!"&amp;DX$8)="Jah",BR76+BJ76,0)</f>
        <v>0</v>
      </c>
      <c r="DZ76" s="87">
        <f t="shared" ca="1" si="35"/>
        <v>0</v>
      </c>
      <c r="EB76" s="87">
        <f t="shared" ref="EB76:EB139" ca="1" si="75">IF(INDIRECT("Tulemused!"&amp;EB$8)="Jah",CH76,0)</f>
        <v>0</v>
      </c>
      <c r="EC76" s="87" t="e">
        <f t="shared" ref="EC76:EC139" ca="1" si="76">IF(INDIRECT("Tulemused!"&amp;EC$8)="Jah",CA76,0)</f>
        <v>#N/A</v>
      </c>
      <c r="EE76" s="228">
        <f>(IF(EE$7="X",VLOOKUP(EE$10,'VK-Hooned-Soojus'!$C:$X,2+$C76,FALSE),0)+IF(EE$6="X",VLOOKUP(EE$10,'VK-Transport'!$C:$X,2+$B76,0))+IF(EE$8="X",VLOOKUP(EE$10,'VK-Elekter'!$C:$X,2+$D76,0))+IF(EE$9="X",VLOOKUP(EE$10,'VK-Biokütused'!$C:$U,2+$E76,0))+IF(EE$5="X",VLOOKUP(EE$10,'VK-Põlevkivi'!$C:$X,2+$G76,0))+IF(EE$4="X",VLOOKUP(EE$10,'VK-Võrgud'!$C:$X,2+$F76,0)))</f>
        <v>9129.7405384070153</v>
      </c>
      <c r="EF76" s="235">
        <f>(IF(EF$7="X",VLOOKUP(EF$10,'VK-Hooned-Soojus'!$C:$X,2+$C76,FALSE),0)+IF(EF$6="X",VLOOKUP(EF$10,'VK-Transport'!$C:$X,2+$B76,0))+IF(EF$8="X",VLOOKUP(EF$10,'VK-Elekter'!$C:$X,2+$D76,0))+IF(EF$9="X",VLOOKUP(EF$10,'VK-Biokütused'!$C:$U,2+$E76,0)))/1000</f>
        <v>5.0583823271229704</v>
      </c>
      <c r="EG76" s="209">
        <f>(IF(EG$7="X",VLOOKUP(EG$10,'VK-Hooned-Soojus'!$C:$X,2+$C76,FALSE),0)+IF(EG$6="X",VLOOKUP(EG$10,'VK-Transport'!$C:$X,2+$B76,0))+IF(EG$8="X",VLOOKUP(EG$10,'VK-Elekter'!$C:$X,2+$D76,0))+IF(EG$9="X",VLOOKUP(EG$10,'VK-Biokütused'!$C:$U,2+$E76,0))+IF(EG$5="X",VLOOKUP(EG$10,'VK-Põlevkivi'!$C:$X,2+$G76,0))+IF(EG$4="X",VLOOKUP(EG$10,'VK-Võrgud'!$C:$X,2+$F76,0)))</f>
        <v>0.81</v>
      </c>
      <c r="EH76" s="209">
        <f>(IF(EH$7="X",VLOOKUP(EH$10,'VK-Hooned-Soojus'!$C:$X,2+$C76,FALSE),0)+IF(EH$6="X",VLOOKUP(EH$10,'VK-Transport'!$C:$X,2+$B76,0))+IF(EH$8="X",VLOOKUP(EH$10,'VK-Elekter'!$C:$X,2+$D76,0))+IF(EH$9="X",VLOOKUP(EH$10,'VK-Biokütused'!$C:$U,2+$E76,0)))+AR76+AS76+AU76+AX76</f>
        <v>56.028667065771863</v>
      </c>
      <c r="EI76" s="320">
        <f t="shared" si="53"/>
        <v>48.290678294573638</v>
      </c>
      <c r="EJ76" s="322">
        <f t="shared" si="54"/>
        <v>2.2545055318885739E-2</v>
      </c>
      <c r="EK76" s="323">
        <f t="shared" ref="EK76:EK139" si="77">SUM(BB76,BD76,AV76)/O76</f>
        <v>0.39192627065295316</v>
      </c>
      <c r="EM76" s="209"/>
      <c r="EN76" s="209">
        <f t="shared" ca="1" si="55"/>
        <v>0</v>
      </c>
      <c r="EO76" s="209"/>
      <c r="EP76" s="234"/>
      <c r="EQ76" s="209">
        <f>(IF(EQ$7="X",VLOOKUP(EQ$10,'VK-Hooned-Soojus'!$C:$X,2+$C76,FALSE),0)+IF(EQ$6="X",VLOOKUP(EQ$10,'VK-Transport'!$C:$X,2+$B76,0))+IF(EQ$8="X",VLOOKUP(EQ$10,'VK-Elekter'!$C:$X,2+$D76,0))+IF(EQ$9="X",VLOOKUP(EQ$10,'VK-Biokütused'!$C:$U,2+$E76,0))+IF(EQ$5="X",VLOOKUP(EQ$10,'VK-Põlevkivi'!$C:$X,2+$G76,0))+IF(EQ$4="X",VLOOKUP(EQ$10,'VK-Võrgud'!$C:$X,2+$F76,0)))/1000</f>
        <v>0.21099999999999999</v>
      </c>
      <c r="ER76" s="209">
        <f>(IF(ER$7="X",VLOOKUP(ER$10,'VK-Hooned-Soojus'!$C:$X,2+$C76,FALSE),0)+IF(ER$6="X",VLOOKUP(ER$10,'VK-Transport'!$C:$X,2+$B76,0))+IF(ER$8="X",VLOOKUP(ER$10,'VK-Elekter'!$C:$X,2+$D76,0))+IF(ER$9="X",VLOOKUP(ER$10,'VK-Biokütused'!$C:$U,2+$E76,0))+IF(ER$5="X",VLOOKUP(ER$10,'VK-Põlevkivi'!$C:$X,2+$G76,0))+IF(ER$4="X",VLOOKUP(ER$10,'VK-Võrgud'!$C:$X,2+$F76,0)))</f>
        <v>0.76300000000000001</v>
      </c>
      <c r="ES76" s="209">
        <f>(IF(ES$7="X",VLOOKUP(ES$10,'VK-Hooned-Soojus'!$C:$X,2+$C76,FALSE),0)+IF(ES$6="X",VLOOKUP(ES$10,'VK-Transport'!$C:$X,2+$B76,0))+IF(ES$8="X",VLOOKUP(ES$10,'VK-Elekter'!$C:$X,2+$D76,0))+IF(ES$9="X",VLOOKUP(ES$10,'VK-Biokütused'!$C:$U,2+$E76,0))+IF(ES$5="X",VLOOKUP(ES$10,'VK-Põlevkivi'!$C:$X,2+$G76,0))+IF(ES$4="X",VLOOKUP(ES$10,'VK-Võrgud'!$C:$X,2+$F76,0)))</f>
        <v>6.28</v>
      </c>
      <c r="ET76" s="209"/>
      <c r="EU76" s="209"/>
      <c r="EV76" s="87">
        <f>'KSH järjestus'!AS69</f>
        <v>1472</v>
      </c>
      <c r="EX76" s="236"/>
      <c r="EY76" s="236"/>
      <c r="EZ76" s="237">
        <f t="shared" si="56"/>
        <v>0.27911646586345373</v>
      </c>
      <c r="FA76" s="209">
        <f>IF(FA$7="X",VLOOKUP(FA$10,'VK-Hooned-Soojus'!$C:$X,2+$C76,FALSE),0)+IF(FA$6="X",VLOOKUP(FA$10,'VK-Transport'!$C:$X,2+$B76,0))+IF(FA$8="X",VLOOKUP(FA$10,'VK-Elekter'!$C:$X,2+$D76,0))+IF(FA$9="X",VLOOKUP(FA$10,'VK-Biokütused'!$C:$U,2+$E76,0))+IF(FA$5="X",VLOOKUP(FA$10,'VK-Põlevkivi'!$C:$X,2+$G76,0))+IF(FA$4="X",VLOOKUP(FA$10,'VK-Võrgud'!$C:$X,2+$F76,0))</f>
        <v>3300.346</v>
      </c>
      <c r="FB76" s="279">
        <f>(IF(FB$7="X",VLOOKUP(FB$10,'VK-Hooned-Soojus'!$C:$X,2+$C76,FALSE),0)+IF(FB$6="X",VLOOKUP(FB$10,'VK-Transport'!$C:$X,2+$B76,0))+IF(FB$8="X",VLOOKUP(FB$10,'VK-Elekter'!$C:$X,2+$D76,0))+IF(FB$9="X",VLOOKUP(FB$10,'VK-Biokütused'!$C:$U,2+$E76,0))+IF(FB$5="X",VLOOKUP(FB$10,'VK-Põlevkivi'!$C:$X,2+$G76,0))+IF(FB$4="X",VLOOKUP(FB$10,'VK-Võrgud'!$C:$X,2+$F76,0)))/16</f>
        <v>465.95645515017441</v>
      </c>
      <c r="FC76" s="209">
        <f>IF(FC$7="X",VLOOKUP(FC$10,'VK-Hooned-Soojus'!$C:$X,2+$C76,FALSE),0)+IF(FC$6="X",VLOOKUP(FC$10,'VK-Transport'!$C:$X,2+$B76,0))+IF(FC$8="X",VLOOKUP(FC$10,'VK-Elekter'!$C:$X,2+$D76,0))+IF(FC$9="X",VLOOKUP(FC$10,'VK-Biokütused'!$C:$U,2+$E76,0))+IF(FC$5="X",VLOOKUP(FC$10,'VK-Põlevkivi'!$C:$X,2+$G76,0))+IF(FC$4="X",VLOOKUP(FC$10,'VK-Võrgud'!$C:$X,2+$F76,0))</f>
        <v>306.45</v>
      </c>
      <c r="FD76" s="209">
        <f>(IF(FD$7="X",VLOOKUP(FD$10,'VK-Hooned-Soojus'!$C:$X,2+$C76,FALSE),0)+IF(FD$6="X",VLOOKUP(FD$10,'VK-Transport'!$C:$X,2+$B76,0))+IF(FD$8="X",VLOOKUP(FD$10,'VK-Elekter'!$C:$X,2+$D76,0))+IF(FD$9="X",VLOOKUP(FD$10,'VK-Biokütused'!$C:$U,2+$E76,0))+IF(FD$5="X",VLOOKUP(FD$10,'VK-Põlevkivi'!$C:$X,2+$G76,0))+IF(FD$4="X",VLOOKUP(FD$10,'VK-Võrgud'!$C:$X,2+$F76,0)))/16</f>
        <v>465.95645515017441</v>
      </c>
      <c r="FE76" s="209">
        <f>(IF(FE$7="X",VLOOKUP(FE$10,'VK-Hooned-Soojus'!$C:$X,2+$C76,FALSE),0)+IF(FE$6="X",VLOOKUP(FE$10,'VK-Transport'!$C:$X,2+$B76,0))+IF(FE$8="X",VLOOKUP(FE$10,'VK-Elekter'!$C:$X,2+$D76,0))+IF(FE$9="X",VLOOKUP(FE$10,'VK-Biokütused'!$C:$U,2+$E76,0))+IF(FE$5="X",VLOOKUP(FE$10,'VK-Põlevkivi'!$C:$X,2+$G76,0))+IF(FE$4="X",VLOOKUP(FE$10,'VK-Võrgud'!$C:$X,2+$F76,0)))/16</f>
        <v>-96.182063699091032</v>
      </c>
      <c r="FF76" s="209">
        <f>(IF(FF$7="X",VLOOKUP(FF$10,'VK-Hooned-Soojus'!$C:$X,2+$C76,FALSE),0)+IF(FF$6="X",VLOOKUP(FF$10,'VK-Transport'!$C:$X,2+$B76,0))+IF(FF$8="X",VLOOKUP(FF$10,'VK-Elekter'!$C:$X,2+$D76,0))+IF(FF$9="X",VLOOKUP(FF$10,'VK-Biokütused'!$C:$U,2+$E76,0))+IF(FF$5="X",VLOOKUP(FF$10,'VK-Põlevkivi'!$C:$X,2+$G76,0))+IF(FF$4="X",VLOOKUP(FF$10,'VK-Võrgud'!$C:$X,2+$F76,0)))/16</f>
        <v>175.68423598477446</v>
      </c>
      <c r="FG76" s="88">
        <f t="shared" ref="FG76:FG139" ca="1" si="78">SUM(EN76,FE76,FF76)</f>
        <v>79.502172285683429</v>
      </c>
      <c r="FH76" s="88"/>
      <c r="FI76" s="88"/>
      <c r="FJ76" s="88">
        <f>VLOOKUP(Tulemused!$BN$12,data!M$7:N$12,2,FALSE)-SUM(L76,M76)</f>
        <v>-1.2238666666666731</v>
      </c>
      <c r="FK76" s="209" t="str">
        <f>IF(AZ76&lt;=VLOOKUP(Tulemused!$BN$15,data!$E$36:$F$39,2,FALSE),"JAH","EI")</f>
        <v>JAH</v>
      </c>
      <c r="FL76" s="235">
        <f ca="1">IF(ISNA(MATCH($A76,INDIRECT(VLOOKUP(Tulemused!$BF$11,data!$J$57:$M$71,4,FALSE)))),0,MATCH($A76,INDIRECT(VLOOKUP(Tulemused!$BF$11,data!$J$57:$M$71,4,FALSE))))</f>
        <v>0</v>
      </c>
      <c r="FM76" s="235" t="str">
        <f t="shared" ca="1" si="57"/>
        <v>JAH</v>
      </c>
      <c r="FN76" s="209">
        <f>VLOOKUP(Tulemused!$BN$13,data!$C$132:$D$137,2,FALSE)-KOMBI!R76</f>
        <v>3.1013876728770304</v>
      </c>
      <c r="FO76" s="209"/>
      <c r="FP76" s="209">
        <f>VLOOKUP(Tulemused!$BN$17,NO_x,2,FALSE)-CJ76</f>
        <v>11.256421988425462</v>
      </c>
      <c r="FQ76" s="209">
        <f>VLOOKUP(Tulemused!$BN$18,SO_2,2,FALSE)-CK76</f>
        <v>40.011675362099993</v>
      </c>
      <c r="FR76" s="209">
        <f>VLOOKUP(Tulemused!$BN$19,LOU,2,FALSE)-CN76</f>
        <v>34.087000000000003</v>
      </c>
      <c r="FS76" s="209">
        <f>VLOOKUP(Tulemused!$BN$20,PM_2.5,2,FALSE)-CM76</f>
        <v>9.1312394222510918</v>
      </c>
      <c r="FT76" s="209">
        <f>VLOOKUP(Tulemused!$BN$13,data!$C$132:$D$137,2,FALSE)-FA76/1000</f>
        <v>2.9456240000000005</v>
      </c>
      <c r="FU76" s="209">
        <f>VLOOKUP(Tulemused!$BN$17,NO_x,2,FALSE)-CO76</f>
        <v>5.4284247892027189</v>
      </c>
      <c r="FV76" s="209">
        <f>VLOOKUP(Tulemused!$BN$18,SO_2,2,FALSE)-CP76</f>
        <v>38.442005169650173</v>
      </c>
      <c r="FW76" s="209">
        <f>VLOOKUP(Tulemused!$BN$19,LOU,2,FALSE)-CS76</f>
        <v>33.235665509940176</v>
      </c>
      <c r="FX76" s="209">
        <f>VLOOKUP(Tulemused!$BN$20,PM_2.5,2,FALSE)-CR76</f>
        <v>9.0399127215424251</v>
      </c>
      <c r="FY76" s="209">
        <f>VLOOKUP(Tulemused!$BN$14,KHG_2050,2,FALSE)-EF76</f>
        <v>94.94161767287703</v>
      </c>
      <c r="FZ76" s="231" t="str">
        <f t="shared" ref="FZ76:FZ139" ca="1" si="79">IF((FJ76&lt;0)+(FK76="EI")+(FM76="EI")+(FN76&lt;0)+(FO76&lt;0)+(FP76&lt;0)+(FQ76&lt;0)+(FR76&lt;0)+(FS76&lt;0)+(FT76&lt;0)+(FU76&lt;0)+(FV76&lt;0)+(FW76&lt;0)+(FX76&lt;0)+(FY76&lt;0),"EI","JAH")</f>
        <v>EI</v>
      </c>
      <c r="GA76" s="209"/>
      <c r="GB76" s="209"/>
      <c r="GC76" s="209"/>
      <c r="GD76" s="231"/>
      <c r="GE76" s="87">
        <f t="shared" si="58"/>
        <v>1472</v>
      </c>
      <c r="GF76" s="232" t="str">
        <f t="shared" ref="GF76:GF139" ca="1" si="80">IF(FZ76="EI","",GE76)</f>
        <v/>
      </c>
      <c r="GH76" s="238" t="e">
        <f t="shared" ca="1" si="59"/>
        <v>#NUM!</v>
      </c>
      <c r="GI76" s="87" t="e">
        <f t="array" aca="1" ref="GI76" ca="1">INDEX($A$11:$A$145, SMALL(IF(GH76=$GF$11:$GF$145, MATCH(ROW($GF$11:$GF$145), ROW($GF$11:$GF$145))), SUM(--(GH76=$GH$11:GH76))))</f>
        <v>#NUM!</v>
      </c>
      <c r="GM76" s="209">
        <f>IF(GM$7="X",VLOOKUP(GM$10,'VK-Hooned-Soojus'!$C:$X,2+$C76,FALSE),0)+IF(GM$6="X",VLOOKUP(GM$10,'VK-Transport'!$C:$X,2+$B76,0))+IF(GM$8="X",VLOOKUP(GM$10,'VK-Elekter'!$C:$X,2+$D76,0))+IF(GM$9="X",VLOOKUP(GM$10,'VK-Biokütused'!$C:$U,2+$E76,0))+IF(GM$5="X",VLOOKUP(GM$10,'VK-Põlevkivi'!$C:$X,2+$G76,0))+IF(GM$4="X",VLOOKUP(GM$10,'VK-Võrgud'!$C:$X,2+$F76,0))</f>
        <v>6.0128279910272253</v>
      </c>
      <c r="GN76" s="209">
        <f>IF(GN$7="X",VLOOKUP(GN$10,'VK-Hooned-Soojus'!$C:$X,2+$C76,FALSE),0)+IF(GN$6="X",VLOOKUP(GN$10,'VK-Transport'!$C:$X,2+$B76,0))+IF(GN$8="X",VLOOKUP(GN$10,'VK-Elekter'!$C:$X,2+$D76,0))+IF(GN$9="X",VLOOKUP(GN$10,'VK-Biokütused'!$C:$U,2+$E76,0))+IF(GN$5="X",VLOOKUP(GN$10,'VK-Põlevkivi'!$C:$X,2+$G76,0))+IF(GN$4="X",VLOOKUP(GN$10,'VK-Võrgud'!$C:$X,2+$F76,0))</f>
        <v>3.4467619395011728</v>
      </c>
      <c r="GO76" s="209">
        <f>IF(GO$7="X",VLOOKUP(GO$10,'VK-Hooned-Soojus'!$C:$X,2+$C76,FALSE),0)+IF(GO$6="X",VLOOKUP(GO$10,'VK-Transport'!$C:$X,2+$B76,0))+IF(GO$8="X",VLOOKUP(GO$10,'VK-Elekter'!$C:$X,2+$D76,0))+IF(GO$9="X",VLOOKUP(GO$10,'VK-Biokütused'!$C:$U,2+$E76,0))+IF(GO$5="X",VLOOKUP(GO$10,'VK-Põlevkivi'!$C:$X,2+$G76,0))+IF(GO$4="X",VLOOKUP(GO$10,'VK-Võrgud'!$C:$X,2+$F76,0))</f>
        <v>7.936370010272257</v>
      </c>
      <c r="GP76" s="209">
        <f>IF(GP$7="X",VLOOKUP(GP$10,'VK-Hooned-Soojus'!$C:$X,2+$C76,FALSE),0)+IF(GP$6="X",VLOOKUP(GP$10,'VK-Transport'!$C:$X,2+$B76,0))+IF(GP$8="X",VLOOKUP(GP$10,'VK-Elekter'!$C:$X,2+$D76,0))+IF(GP$9="X",VLOOKUP(GP$10,'VK-Biokütused'!$C:$U,2+$E76,0))+IF(GP$5="X",VLOOKUP(GP$10,'VK-Põlevkivi'!$C:$X,2+$G76,0))+IF(GP$4="X",VLOOKUP(GP$10,'VK-Võrgud'!$C:$X,2+$F76,0))</f>
        <v>9.1527946929596489</v>
      </c>
      <c r="GQ76" s="88">
        <f>IF(GQ$7="X",VLOOKUP(GQ$10,'VK-Hooned-Soojus'!$C:$X,2+$C76,FALSE),0)+IF(GQ$6="X",VLOOKUP(GQ$10,'VK-Transport'!$C:$X,2+$B76,0))+IF(GQ$8="X",VLOOKUP(GQ$10,'VK-Elekter'!$C:$X,2+$D76,0))+IF(GQ$9="X",VLOOKUP(GQ$10,'VK-Biokütused'!$C:$U,2+$E76,0))+IF(GQ$5="X",VLOOKUP(GQ$10,'VK-Põlevkivi'!$C:$X,2+$G76,0))+IF(GQ$4="X",VLOOKUP(GQ$10,'VK-Võrgud'!$C:$X,2+$F76,0))</f>
        <v>0.90618397335647782</v>
      </c>
      <c r="GR76" s="186">
        <f t="shared" ref="GR76:GR139" si="81">SUM(GN76,GP76,GQ76)/SUM(L76,M76)</f>
        <v>0.39656672034307427</v>
      </c>
    </row>
    <row r="77" spans="1:200" x14ac:dyDescent="0.2">
      <c r="A77" s="184">
        <v>67</v>
      </c>
      <c r="B77" s="87">
        <v>2</v>
      </c>
      <c r="C77" s="87">
        <v>2</v>
      </c>
      <c r="D77" s="87">
        <v>3</v>
      </c>
      <c r="E77" s="87">
        <v>1</v>
      </c>
      <c r="F77" s="87">
        <f>VLOOKUP(Tulemused!$BF$7,data!$J$6:$K$8,2,FALSE)</f>
        <v>2</v>
      </c>
      <c r="G77" s="87">
        <f>VLOOKUP(data!$H$2,data!$J$12:$K$14,2,FALSE)</f>
        <v>2</v>
      </c>
      <c r="I77" s="209">
        <f>IF(I$7="X",VLOOKUP(I$10,'VK-Hooned-Soojus'!$C:$X,2+$C77,FALSE),0)+IF(I$6="X",VLOOKUP(I$10,'VK-Transport'!$C:$X,2+$B77,0))+IF(I$8="X",VLOOKUP(I$10,'VK-Elekter'!$C:$X,2+$D77,0))+IF(I$9="X",VLOOKUP(I$10,'VK-Biokütused'!$C:$U,2+$E77,0))+IF(I$5="X",VLOOKUP(I$10,'VK-Põlevkivi'!$C:$X,2+$G77,0))+IF(I$4="X",VLOOKUP(I$10,'VK-Võrgud'!$C:$X,2+$F77,0))</f>
        <v>24.79</v>
      </c>
      <c r="J77" s="209">
        <f>IF(J$7="X",VLOOKUP(J$10,'VK-Hooned-Soojus'!$C:$X,2+$C77,FALSE),0)+IF(J$6="X",VLOOKUP(J$10,'VK-Transport'!$C:$X,2+$B77,0))+IF(J$8="X",VLOOKUP(J$10,'VK-Elekter'!$C:$X,2+$D77,0))+IF(J$9="X",VLOOKUP(J$10,'VK-Biokütused'!$C:$U,2+$E77,0))+IF(J$5="X",VLOOKUP(J$10,'VK-Põlevkivi'!$C:$X,2+$G77,0))+IF(J$4="X",VLOOKUP(J$10,'VK-Võrgud'!$C:$X,2+$F77,0))</f>
        <v>11.138055555555555</v>
      </c>
      <c r="K77" s="209">
        <f>IF(K$7="X",VLOOKUP(K$10,'VK-Hooned-Soojus'!$C:$X,2+$C77,FALSE),0)+IF(K$6="X",VLOOKUP(K$10,'VK-Transport'!$C:$X,2+$B77,0))+IF(K$8="X",VLOOKUP(K$10,'VK-Elekter'!$C:$X,2+$D77,0))+IF(K$9="X",VLOOKUP(K$10,'VK-Biokütused'!$C:$U,2+$E77,0))+IF(K$5="X",VLOOKUP(K$10,'VK-Põlevkivi'!$C:$X,2+$G77,0))+IF(K$4="X",VLOOKUP(K$10,'VK-Võrgud'!$C:$X,2+$F77,0))</f>
        <v>15.27</v>
      </c>
      <c r="L77" s="209">
        <f>IF(L$7="X",VLOOKUP(L$10,'VK-Hooned-Soojus'!$C:$X,2+$C77,FALSE),0)+IF(L$6="X",VLOOKUP(L$10,'VK-Transport'!$C:$X,2+$B77,0))+IF(L$8="X",VLOOKUP(L$10,'VK-Elekter'!$C:$X,2+$D77,0))+IF(L$9="X",VLOOKUP(L$10,'VK-Biokütused'!$C:$U,2+$E77,0))+IF(L$5="X",VLOOKUP(L$10,'VK-Põlevkivi'!$C:$X,2+$G77,0))+IF(L$4="X",VLOOKUP(L$10,'VK-Võrgud'!$C:$X,2+$F77,0))</f>
        <v>24.2</v>
      </c>
      <c r="M77" s="209">
        <f>IF(M$7="X",VLOOKUP(M$10,'VK-Hooned-Soojus'!$C:$X,2+$C77,FALSE),0)+IF(M$6="X",VLOOKUP(M$10,'VK-Transport'!$C:$X,2+$B77,0))+IF(M$8="X",VLOOKUP(M$10,'VK-Elekter'!$C:$X,2+$D77,0))+IF(M$9="X",VLOOKUP(M$10,'VK-Biokütused'!$C:$U,2+$E77,0))+IF(M$5="X",VLOOKUP(M$10,'VK-Põlevkivi'!$C:$X,2+$G77,0))+IF(M$4="X",VLOOKUP(M$10,'VK-Võrgud'!$C:$X,2+$F77,0))</f>
        <v>9.8566666666666674</v>
      </c>
      <c r="N77" s="209">
        <f>IF(N$7="X",VLOOKUP(N$10,'VK-Hooned-Soojus'!$C:$X,2+$C77,FALSE),0)+IF(N$6="X",VLOOKUP(N$10,'VK-Transport'!$C:$X,2+$B77,0))+IF(N$8="X",VLOOKUP(N$10,'VK-Elekter'!$C:$X,2+$D77,0))+IF(N$9="X",VLOOKUP(N$10,'VK-Biokütused'!$C:$U,2+$E77,0))+IF(N$5="X",VLOOKUP(N$10,'VK-Põlevkivi'!$C:$X,2+$G77,0))+IF(N$4="X",VLOOKUP(N$10,'VK-Võrgud'!$C:$X,2+$F77,0))</f>
        <v>16.09</v>
      </c>
      <c r="O77" s="209">
        <f t="shared" si="60"/>
        <v>35.928055555555552</v>
      </c>
      <c r="P77" s="209"/>
      <c r="Q77" s="209">
        <f>(IF(Q$7="X",VLOOKUP(Q$10,'VK-Hooned-Soojus'!$C:$X,2+$C77,FALSE),0)+IF(Q$6="X",VLOOKUP(Q$10,'VK-Transport'!$C:$X,2+$B77,0))+IF(Q$8="X",VLOOKUP(Q$10,'VK-Elekter'!$C:$X,2+$D77,0))+IF(Q$9="X",VLOOKUP(Q$10,'VK-Biokütused'!$C:$U,2+$E77,0))+IF(Q$5="X",VLOOKUP(Q$10,'VK-Põlevkivi'!$C:$X,2+$G77,0))+IF(Q$4="X",VLOOKUP(Q$10,'VK-Võrgud'!$C:$X,2+$F77,0)))/1000</f>
        <v>5.0650000000000004</v>
      </c>
      <c r="R77" s="209">
        <f>(IF(R$7="X",VLOOKUP(R$10,'VK-Hooned-Soojus'!$C:$X,2+$C77,FALSE),0)+IF(R$6="X",VLOOKUP(R$10,'VK-Transport'!$C:$X,2+$B77,0))+IF(R$8="X",VLOOKUP(R$10,'VK-Elekter'!$C:$X,2+$D77,0))+IF(R$9="X",VLOOKUP(R$10,'VK-Biokütused'!$C:$U,2+$E77,0))+IF(R$5="X",VLOOKUP(R$10,'VK-Põlevkivi'!$C:$X,2+$G77,0))+IF(R$4="X",VLOOKUP(R$10,'VK-Võrgud'!$C:$X,2+$F77,0)))/1000</f>
        <v>2.5583823271229704</v>
      </c>
      <c r="S77" s="226">
        <f>VLOOKUP(S$10,'VK-Hooned-Soojus'!$C:$I,2+$C77,FALSE) + VLOOKUP(S$10,'VK-Transport'!$C:$I,2+$B77,FALSE)+ VLOOKUP(S$10,'VK-Biokütused'!$C:$G,2+$E77,FALSE)+ VLOOKUP(S$10,'VK-Elekter'!$C:$I,2+$D77,FALSE)+ VLOOKUP(S$10,'VK-Põlevkivi'!$C:$I,2+$G77,FALSE)+ VLOOKUP(S$10,'VK-Võrgud'!$C:$I,2+$F77,FALSE)</f>
        <v>1.105201052543962E-2</v>
      </c>
      <c r="T77" s="226">
        <f>VLOOKUP(T$10,'VK-Hooned-Soojus'!$C:$I,2+$C77,FALSE) + VLOOKUP(T$10,'VK-Transport'!$C:$I,2+$B77,FALSE)+ VLOOKUP(T$10,'VK-Biokütused'!$C:$G,2+$E77,FALSE)+ VLOOKUP(T$10,'VK-Elekter'!$C:$I,2+$D77,FALSE)+ VLOOKUP(T$10,'VK-Põlevkivi'!$C:$I,2+$G77,FALSE)+ VLOOKUP(T$10,'VK-Võrgud'!$C:$I,2+$F77,FALSE)</f>
        <v>1.2697379812343624E-3</v>
      </c>
      <c r="U77" s="226">
        <f>VLOOKUP(U$10,'VK-Hooned-Soojus'!$C:$I,2+$C77,FALSE) + VLOOKUP(U$10,'VK-Transport'!$C:$I,2+$B77,FALSE)+ VLOOKUP(U$10,'VK-Biokütused'!$C:$G,2+$E77,FALSE)+ VLOOKUP(U$10,'VK-Elekter'!$C:$I,2+$D77,FALSE)+ VLOOKUP(U$10,'VK-Põlevkivi'!$C:$I,2+$G77,FALSE)+ VLOOKUP(U$10,'VK-Võrgud'!$C:$I,2+$F77,FALSE)</f>
        <v>2.737167551280395E-3</v>
      </c>
      <c r="V77" s="226">
        <f>VLOOKUP(V$10,'VK-Hooned-Soojus'!$C:$I,2+$C77,FALSE) + VLOOKUP(V$10,'VK-Transport'!$C:$I,2+$B77,FALSE)+ VLOOKUP(V$10,'VK-Biokütused'!$C:$G,2+$E77,FALSE)+ VLOOKUP(V$10,'VK-Elekter'!$C:$I,2+$D77,FALSE)+ VLOOKUP(V$10,'VK-Põlevkivi'!$C:$I,2+$G77,FALSE)+ VLOOKUP(V$10,'VK-Võrgud'!$C:$I,2+$F77,FALSE)</f>
        <v>8.3670156030550957E-3</v>
      </c>
      <c r="W77" s="226">
        <f>VLOOKUP(W$10,'VK-Hooned-Soojus'!$C:$I,2+$C77,FALSE) + VLOOKUP(W$10,'VK-Transport'!$C:$I,2+$B77,FALSE)+ VLOOKUP(W$10,'VK-Biokütused'!$C:$G,2+$E77,FALSE)+ VLOOKUP(W$10,'VK-Elekter'!$C:$I,2+$D77,FALSE)+ VLOOKUP(W$10,'VK-Põlevkivi'!$C:$I,2+$G77,FALSE)+ VLOOKUP(W$10,'VK-Võrgud'!$C:$I,2+$F77,FALSE)</f>
        <v>-2.8569960374368281E-2</v>
      </c>
      <c r="X77" s="226">
        <f>VLOOKUP(X$10,'VK-Hooned-Soojus'!$C:$I,2+$C77,FALSE) + VLOOKUP(X$10,'VK-Transport'!$C:$I,2+$B77,FALSE)+ VLOOKUP(X$10,'VK-Biokütused'!$C:$G,2+$E77,FALSE)+ VLOOKUP(X$10,'VK-Elekter'!$C:$I,2+$D77,FALSE)+ VLOOKUP(X$10,'VK-Põlevkivi'!$C:$I,2+$G77,FALSE)+ VLOOKUP(X$10,'VK-Võrgud'!$C:$I,2+$F77,FALSE)</f>
        <v>-3.2080221226067678E-2</v>
      </c>
      <c r="Y77" s="226">
        <f>VLOOKUP(Y$10,'VK-Hooned-Soojus'!$C:$I,2+$C77,FALSE) + VLOOKUP(Y$10,'VK-Transport'!$C:$I,2+$B77,FALSE)+ VLOOKUP(Y$10,'VK-Biokütused'!$C:$G,2+$E77,FALSE)+ VLOOKUP(Y$10,'VK-Elekter'!$C:$I,2+$D77,FALSE)+ VLOOKUP(Y$10,'VK-Põlevkivi'!$C:$I,2+$G77,FALSE)+ VLOOKUP(Y$10,'VK-Võrgud'!$C:$I,2+$F77,FALSE)</f>
        <v>-4.326293723474995E-2</v>
      </c>
      <c r="Z77" s="227">
        <f>(S77*Tulemused!$Q$9*10+T77*Tulemused!$Q$10*10+KOMBI!U77*Tulemused!$Q$11*10+KOMBI!V77*Tulemused!$Q$12*10)*Tulemused!$Q$8+-(W77*Tulemused!$Q$14*10+KOMBI!X77*Tulemused!$Q$15*10+KOMBI!Y77*Tulemused!$Q$16*10)*Tulemused!$Q$13</f>
        <v>3.7245273663499092</v>
      </c>
      <c r="AA77" s="228">
        <f>(IF(AA$7="X",VLOOKUP(AA$10,'VK-Hooned-Soojus'!$C:$X,2+$C77,FALSE),0)+IF(AA$6="X",VLOOKUP(AA$10,'VK-Transport'!$C:$X,2+$B77,0))+IF(AA$8="X",VLOOKUP(AA$10,'VK-Elekter'!$C:$X,2+$D77,0))+IF(AA$9="X",VLOOKUP(AA$10,'VK-Biokütused'!$C:$U,2+$E77,0))+IF(AA$5="X",VLOOKUP(AA$10,'VK-Põlevkivi'!$C:$X,2+$G77,0))+IF(AA$4="X",VLOOKUP(AA$10,'VK-Võrgud'!$C:$X,2+$F77,0)))</f>
        <v>3728</v>
      </c>
      <c r="AB77" s="228">
        <f>(IF(AB$7="X",VLOOKUP(AB$10,'VK-Hooned-Soojus'!$C:$X,2+$C77,FALSE),0)+IF(AB$6="X",VLOOKUP(AB$10,'VK-Transport'!$C:$X,2+$B77,0))+IF(AB$8="X",VLOOKUP(AB$10,'VK-Elekter'!$C:$X,2+$D77,0))+IF(AB$9="X",VLOOKUP(AB$10,'VK-Biokütused'!$C:$U,2+$E77,0))+IF(AB$5="X",VLOOKUP(AB$10,'VK-Põlevkivi'!$C:$X,2+$G77,0))+IF(AB$4="X",VLOOKUP(AB$10,'VK-Võrgud'!$C:$X,2+$F77,0)))</f>
        <v>1337</v>
      </c>
      <c r="AC77" s="228">
        <f>(IF(AC$7="X",VLOOKUP(AC$10,'VK-Hooned-Soojus'!$C:$X,2+$C77,FALSE),0)+IF(AC$6="X",VLOOKUP(AC$10,'VK-Transport'!$C:$X,2+$B77,0))+IF(AC$8="X",VLOOKUP(AC$10,'VK-Elekter'!$C:$X,2+$D77,0))+IF(AC$9="X",VLOOKUP(AC$10,'VK-Biokütused'!$C:$U,2+$E77,0))+IF(AC$5="X",VLOOKUP(AC$10,'VK-Põlevkivi'!$C:$X,2+$G77,0))+IF(AC$4="X",VLOOKUP(AC$10,'VK-Võrgud'!$C:$X,2+$F77,0)))</f>
        <v>2346</v>
      </c>
      <c r="AD77" s="228">
        <f>(IF(AD$7="X",VLOOKUP(AD$10,'VK-Hooned-Soojus'!$C:$X,2+$C77,FALSE),0)+IF(AD$6="X",VLOOKUP(AD$10,'VK-Transport'!$C:$X,2+$B77,0))+IF(AD$8="X",VLOOKUP(AD$10,'VK-Elekter'!$C:$X,2+$D77,0))+IF(AD$9="X",VLOOKUP(AD$10,'VK-Biokütused'!$C:$U,2+$E77,0))+IF(AD$5="X",VLOOKUP(AD$10,'VK-Põlevkivi'!$C:$X,2+$G77,0))+IF(AD$4="X",VLOOKUP(AD$10,'VK-Võrgud'!$C:$X,2+$F77,0)))</f>
        <v>0</v>
      </c>
      <c r="AE77" s="228">
        <f>(IF(AE$7="X",VLOOKUP(AE$10,'VK-Hooned-Soojus'!$C:$X,2+$C77,FALSE),0)+IF(AE$6="X",VLOOKUP(AE$10,'VK-Transport'!$C:$X,2+$B77,0))+IF(AE$8="X",VLOOKUP(AE$10,'VK-Elekter'!$C:$X,2+$D77,0))+IF(AE$9="X",VLOOKUP(AE$10,'VK-Biokütused'!$C:$U,2+$E77,0))+IF(AE$5="X",VLOOKUP(AE$10,'VK-Põlevkivi'!$C:$X,2+$G77,0))+IF(AE$4="X",VLOOKUP(AE$10,'VK-Võrgud'!$C:$X,2+$F77,0)))</f>
        <v>666</v>
      </c>
      <c r="AF77" s="228">
        <f>(IF(AF$7="X",VLOOKUP(AF$10,'VK-Hooned-Soojus'!$C:$X,2+$C77,FALSE),0)+IF(AF$6="X",VLOOKUP(AF$10,'VK-Transport'!$C:$X,2+$B77,0))+IF(AF$8="X",VLOOKUP(AF$10,'VK-Elekter'!$C:$X,2+$D77,0))+IF(AF$9="X",VLOOKUP(AF$10,'VK-Biokütused'!$C:$U,2+$E77,0))+IF(AF$5="X",VLOOKUP(AF$10,'VK-Põlevkivi'!$C:$X,2+$G77,0))+IF(AF$4="X",VLOOKUP(AF$10,'VK-Võrgud'!$C:$X,2+$F77,0)))</f>
        <v>1892.3823271229701</v>
      </c>
      <c r="AG77" s="209"/>
      <c r="AH77" s="209">
        <f>IF(AH$7="X",VLOOKUP(AH$10,'VK-Hooned-Soojus'!$C:$X,2+$C77,FALSE),0)+IF(AH$6="X",VLOOKUP(AH$10,'VK-Transport'!$C:$X,2+$B77,0))+IF(AH$8="X",VLOOKUP(AH$10,'VK-Elekter'!$C:$X,2+$D77,0))+IF(AH$9="X",VLOOKUP(AH$10,'VK-Biokütused'!$C:$U,2+$E77,0))+IF(AH$5="X",VLOOKUP(AH$10,'VK-Põlevkivi'!$C:$X,2+$G77,0))+IF(AH$4="X",VLOOKUP(AH$10,'VK-Võrgud'!$C:$X,2+$F77,0))</f>
        <v>11.579999999999998</v>
      </c>
      <c r="AI77" s="209">
        <f>IF(AI$7="X",VLOOKUP(AI$10,'VK-Hooned-Soojus'!$C:$X,2+$C77,FALSE),0)+IF(AI$6="X",VLOOKUP(AI$10,'VK-Transport'!$C:$X,2+$B77,0))+IF(AI$8="X",VLOOKUP(AI$10,'VK-Elekter'!$C:$X,2+$D77,0))+IF(AI$9="X",VLOOKUP(AI$10,'VK-Biokütused'!$C:$U,2+$E77,0))+IF(AI$5="X",VLOOKUP(AI$10,'VK-Põlevkivi'!$C:$X,2+$G77,0))+IF(AI$4="X",VLOOKUP(AI$10,'VK-Võrgud'!$C:$X,2+$F77,0))</f>
        <v>4.45</v>
      </c>
      <c r="AJ77" s="209">
        <f>IF(AJ$7="X",VLOOKUP(AJ$10,'VK-Hooned-Soojus'!$C:$X,2+$C77,FALSE),0)+IF(AJ$6="X",VLOOKUP(AJ$10,'VK-Transport'!$C:$X,2+$B77,0))+IF(AJ$8="X",VLOOKUP(AJ$10,'VK-Elekter'!$C:$X,2+$D77,0))+IF(AJ$9="X",VLOOKUP(AJ$10,'VK-Biokütused'!$C:$U,2+$E77,0))+IF(AJ$5="X",VLOOKUP(AJ$10,'VK-Põlevkivi'!$C:$X,2+$G77,0))+IF(AJ$4="X",VLOOKUP(AJ$10,'VK-Võrgud'!$C:$X,2+$F77,0))</f>
        <v>9.19</v>
      </c>
      <c r="AK77" s="209">
        <f>IF(AK$7="X",VLOOKUP(AK$10,'VK-Hooned-Soojus'!$C:$X,2+$C77,FALSE),0)+IF(AK$6="X",VLOOKUP(AK$10,'VK-Transport'!$C:$X,2+$B77,0))+IF(AK$8="X",VLOOKUP(AK$10,'VK-Elekter'!$C:$X,2+$D77,0))+IF(AK$9="X",VLOOKUP(AK$10,'VK-Biokütused'!$C:$U,2+$E77,0))+IF(AK$5="X",VLOOKUP(AK$10,'VK-Põlevkivi'!$C:$X,2+$G77,0))+IF(AK$4="X",VLOOKUP(AK$10,'VK-Võrgud'!$C:$X,2+$F77,0))</f>
        <v>0.66</v>
      </c>
      <c r="AL77" s="209">
        <f>IF(AL$7="X",VLOOKUP(AL$10,'VK-Hooned-Soojus'!$C:$X,2+$C77,FALSE),0)+IF(AL$6="X",VLOOKUP(AL$10,'VK-Transport'!$C:$X,2+$B77,0))+IF(AL$8="X",VLOOKUP(AL$10,'VK-Elekter'!$C:$X,2+$D77,0))+IF(AL$9="X",VLOOKUP(AL$10,'VK-Biokütused'!$C:$U,2+$E77,0))+IF(AL$5="X",VLOOKUP(AL$10,'VK-Põlevkivi'!$C:$X,2+$G77,0))+IF(AL$4="X",VLOOKUP(AL$10,'VK-Võrgud'!$C:$X,2+$F77,0))</f>
        <v>7.1999999999999993</v>
      </c>
      <c r="AM77" s="209">
        <f>IF(AM$7="X",VLOOKUP(AM$10,'VK-Hooned-Soojus'!$C:$X,2+$C77,FALSE),0)+IF(AM$6="X",VLOOKUP(AM$10,'VK-Transport'!$C:$X,2+$B77,0))+IF(AM$8="X",VLOOKUP(AM$10,'VK-Elekter'!$C:$X,2+$D77,0))+IF(AM$9="X",VLOOKUP(AM$10,'VK-Biokütused'!$C:$U,2+$E77,0))+IF(AM$5="X",VLOOKUP(AM$10,'VK-Põlevkivi'!$C:$X,2+$G77,0))+IF(AM$4="X",VLOOKUP(AM$10,'VK-Võrgud'!$C:$X,2+$F77,0))</f>
        <v>11.9</v>
      </c>
      <c r="AN77" s="209">
        <f>IF(AN$7="X",VLOOKUP(AN$10,'VK-Hooned-Soojus'!$C:$X,2+$C77,FALSE),0)+IF(AN$6="X",VLOOKUP(AN$10,'VK-Transport'!$C:$X,2+$B77,0))+IF(AN$8="X",VLOOKUP(AN$10,'VK-Elekter'!$C:$X,2+$D77,0))+IF(AN$9="X",VLOOKUP(AN$10,'VK-Biokütused'!$C:$U,2+$E77,0))+IF(AN$5="X",VLOOKUP(AN$10,'VK-Põlevkivi'!$C:$X,2+$G77,0))+IF(AN$4="X",VLOOKUP(AN$10,'VK-Võrgud'!$C:$X,2+$F77,0))</f>
        <v>4.8999999999999995</v>
      </c>
      <c r="AO77" s="209">
        <f>IF(AO$7="X",VLOOKUP(AO$10,'VK-Hooned-Soojus'!$C:$X,2+$C77,FALSE),0)+IF(AO$6="X",VLOOKUP(AO$10,'VK-Transport'!$C:$X,2+$B77,0))+IF(AO$8="X",VLOOKUP(AO$10,'VK-Elekter'!$C:$X,2+$D77,0))+IF(AO$9="X",VLOOKUP(AO$10,'VK-Biokütused'!$C:$U,2+$E77,0))+IF(AO$5="X",VLOOKUP(AO$10,'VK-Põlevkivi'!$C:$X,2+$G77,0))+IF(AO$4="X",VLOOKUP(AO$10,'VK-Võrgud'!$C:$X,2+$F77,0))</f>
        <v>12.56</v>
      </c>
      <c r="AP77" s="209">
        <f>IF(AP$7="X",VLOOKUP(AP$10,'VK-Hooned-Soojus'!$C:$X,2+$C77,FALSE),0)+IF(AP$6="X",VLOOKUP(AP$10,'VK-Transport'!$C:$X,2+$B77,0))+IF(AP$8="X",VLOOKUP(AP$10,'VK-Elekter'!$C:$X,2+$D77,0))+IF(AP$9="X",VLOOKUP(AP$10,'VK-Biokütused'!$C:$U,2+$E77,0))+IF(AP$5="X",VLOOKUP(AP$10,'VK-Põlevkivi'!$C:$X,2+$G77,0))+IF(AP$4="X",VLOOKUP(AP$10,'VK-Võrgud'!$C:$X,2+$F77,0))</f>
        <v>6.28</v>
      </c>
      <c r="AQ77" s="320">
        <f t="shared" si="61"/>
        <v>0.25999999999999979</v>
      </c>
      <c r="AR77" s="209">
        <f>IF(AR$7="X",VLOOKUP(AR$10,'VK-Hooned-Soojus'!$C:$X,2+$C77,FALSE),0)+IF(AR$6="X",VLOOKUP(AR$10,'VK-Transport'!$C:$X,2+$B77,0))+IF(AR$8="X",VLOOKUP(AR$10,'VK-Elekter'!$C:$X,2+$D77,0))+IF(AR$9="X",VLOOKUP(AR$10,'VK-Biokütused'!$C:$U,2+$E77,0))+IF(AR$5="X",VLOOKUP(AR$10,'VK-Põlevkivi'!$C:$X,2+$G77,0))+IF(AR$4="X",VLOOKUP(AR$10,'VK-Võrgud'!$C:$X,2+$F77,0))</f>
        <v>2.8899999999999997</v>
      </c>
      <c r="AS77" s="320">
        <f>VLOOKUP("Kütuste tarbimine @ 2030 - UTTEGAAS",'VK-Hooned-Soojus'!$C:$X,2+$C77,FALSE)/0.172+VLOOKUP("Kütuste tarbimine @ 2030 - UTTEGAAS",'VK-Elekter'!$C:$X,2+$D77,FALSE)/0.172-AR77-AU77</f>
        <v>2.8565116279069773</v>
      </c>
      <c r="AT77" s="209">
        <f>IF(AT$7="X",VLOOKUP(AT$10,'VK-Hooned-Soojus'!$C:$X,2+$C77,FALSE),0)+IF(AT$6="X",VLOOKUP(AT$10,'VK-Transport'!$C:$X,2+$B77,0))+IF(AT$8="X",VLOOKUP(AT$10,'VK-Elekter'!$C:$X,2+$D77,0))+IF(AT$9="X",VLOOKUP(AT$10,'VK-Biokütused'!$C:$U,2+$E77,0))+IF(AT$5="X",VLOOKUP(AT$10,'VK-Põlevkivi'!$C:$X,2+$G77,0))+IF(AT$4="X",VLOOKUP(AT$10,'VK-Võrgud'!$C:$X,2+$F77,0))</f>
        <v>9.2784458909544707</v>
      </c>
      <c r="AU77" s="229">
        <f>MAX(0,(VLOOKUP("Kütuste tarbimine @ 2030 - UTTEGAAS",'VK-Hooned-Soojus'!$C:$X,2+$C77,FALSE)/0.172+VLOOKUP("Kütuste tarbimine @ 2030 - UTTEGAAS",'VK-Elekter'!$C:$X,2+$D77,FALSE)/0.172)*0.52-VLOOKUP("Kütuste tarbimine @ 2030 - PÕLEVKIVIÕLI",'VK-Hooned-Soojus'!$C:$X,2+$C77,FALSE))</f>
        <v>5.1837209302325586</v>
      </c>
      <c r="AV77" s="209">
        <f>IF(AV$7="X",VLOOKUP(AV$10,'VK-Hooned-Soojus'!$C:$X,2+$C77,FALSE),0)+IF(AV$6="X",VLOOKUP(AV$10,'VK-Transport'!$C:$X,2+$B77,0))+IF(AV$8="X",VLOOKUP(AV$10,'VK-Elekter'!$C:$X,2+$D77,0))+IF(AV$9="X",VLOOKUP(AV$10,'VK-Biokütused'!$C:$U,2+$E77,0))+IF(AV$5="X",VLOOKUP(AV$10,'VK-Põlevkivi'!$C:$X,2+$G77,0))+IF(AV$4="X",VLOOKUP(AV$10,'VK-Võrgud'!$C:$X,2+$F77,0))</f>
        <v>1.7257321590343366</v>
      </c>
      <c r="AW77" s="209">
        <f>IF(AW$7="X",VLOOKUP(AW$10,'VK-Hooned-Soojus'!$C:$X,2+$C77,FALSE),0)+IF(AW$6="X",VLOOKUP(AW$10,'VK-Transport'!$C:$X,2+$B77,0))+IF(AW$8="X",VLOOKUP(AW$10,'VK-Elekter'!$C:$X,2+$D77,0))+IF(AW$9="X",VLOOKUP(AW$10,'VK-Biokütused'!$C:$U,2+$E77,0))+IF(AW$5="X",VLOOKUP(AW$10,'VK-Põlevkivi'!$C:$X,2+$G77,0))+IF(AW$4="X",VLOOKUP(AW$10,'VK-Võrgud'!$C:$X,2+$F77,0))</f>
        <v>0</v>
      </c>
      <c r="AX77" s="229">
        <f t="shared" si="62"/>
        <v>0</v>
      </c>
      <c r="AY77" s="229">
        <f t="shared" si="63"/>
        <v>1.7257321590343366</v>
      </c>
      <c r="AZ77" s="230">
        <f t="shared" si="48"/>
        <v>0.53914636994677045</v>
      </c>
      <c r="BA77" s="209">
        <f>IF(BA$7="X",VLOOKUP(BA$10,'VK-Hooned-Soojus'!$C:$X,2+$C77,FALSE),0)+IF(BA$6="X",VLOOKUP(BA$10,'VK-Transport'!$C:$X,2+$B77,0))+IF(BA$8="X",VLOOKUP(BA$10,'VK-Elekter'!$C:$X,2+$D77,0))+IF(BA$9="X",VLOOKUP(BA$10,'VK-Biokütused'!$C:$U,2+$E77,0))+IF(BA$5="X",VLOOKUP(BA$10,'VK-Põlevkivi'!$C:$X,2+$G77,0))+IF(BA$4="X",VLOOKUP(BA$10,'VK-Võrgud'!$C:$X,2+$F77,0))</f>
        <v>4.2</v>
      </c>
      <c r="BB77" s="209">
        <f>IF(BB$7="X",VLOOKUP(BB$10,'VK-Hooned-Soojus'!$C:$X,2+$C77,FALSE),0)+IF(BB$6="X",VLOOKUP(BB$10,'VK-Transport'!$C:$X,2+$B77,0))+IF(BB$8="X",VLOOKUP(BB$10,'VK-Elekter'!$C:$X,2+$D77,0))+IF(BB$9="X",VLOOKUP(BB$10,'VK-Biokütused'!$C:$U,2+$E77,0))+IF(BB$5="X",VLOOKUP(BB$10,'VK-Põlevkivi'!$C:$X,2+$G77,0))+IF(BB$4="X",VLOOKUP(BB$10,'VK-Võrgud'!$C:$X,2+$F77,0))</f>
        <v>5.1000000000000005</v>
      </c>
      <c r="BC77" s="209">
        <f>IF(BC$7="X",VLOOKUP(BC$10,'VK-Hooned-Soojus'!$C:$X,2+$C77,FALSE),0)+IF(BC$6="X",VLOOKUP(BC$10,'VK-Transport'!$C:$X,2+$B77,0))+IF(BC$8="X",VLOOKUP(BC$10,'VK-Elekter'!$C:$X,2+$D77,0))+IF(BC$9="X",VLOOKUP(BC$10,'VK-Biokütused'!$C:$U,2+$E77,0))+IF(BC$5="X",VLOOKUP(BC$10,'VK-Põlevkivi'!$C:$X,2+$G77,0))+IF(BC$4="X",VLOOKUP(BC$10,'VK-Võrgud'!$C:$X,2+$F77,0))</f>
        <v>6.5993333333333322</v>
      </c>
      <c r="BD77" s="209">
        <f>IF(BD$7="X",VLOOKUP(BD$10,'VK-Hooned-Soojus'!$C:$X,2+$C77,FALSE),0)+IF(BD$6="X",VLOOKUP(BD$10,'VK-Transport'!$C:$X,2+$B77,0))+IF(BD$8="X",VLOOKUP(BD$10,'VK-Elekter'!$C:$X,2+$D77,0))+IF(BD$9="X",VLOOKUP(BD$10,'VK-Biokütused'!$C:$U,2+$E77,0))+IF(BD$5="X",VLOOKUP(BD$10,'VK-Põlevkivi'!$C:$X,2+$G77,0))+IF(BD$4="X",VLOOKUP(BD$10,'VK-Võrgud'!$C:$X,2+$F77,0))</f>
        <v>9.425416666666667</v>
      </c>
      <c r="BE77" s="230"/>
      <c r="BF77" s="229">
        <f t="shared" si="64"/>
        <v>0.37462130684838824</v>
      </c>
      <c r="BG77" s="209" t="e">
        <f>(IF(BG$7="X",VLOOKUP(BG$10,'VK-Hooned-Soojus'!$C:$X,2+$C77,FALSE),0)+IF(BG$6="X",VLOOKUP(BG$10,'VK-Transport'!$C:$X,2+$B77,0))+IF(BG$8="X",VLOOKUP(BG$10,'VK-Elekter'!$C:$X,2+$D77,0))+IF(BG$9="X",VLOOKUP(BG$10,'VK-Biokütused'!$C:$U,2+$E77,0))+IF(BG$5="X",VLOOKUP(BG$10,'VK-Põlevkivi'!$C:$X,2+$G77,0))+IF(BG$4="X",VLOOKUP(BG$10,'VK-Võrgud'!$C:$X,2+$F77,0)))/20</f>
        <v>#N/A</v>
      </c>
      <c r="BH77" s="209">
        <f>(IF(BH$7="X",VLOOKUP(BH$10,'VK-Hooned-Soojus'!$C:$X,2+$C77,FALSE),0)+IF(BH$6="X",VLOOKUP(BH$10,'VK-Transport'!$C:$X,2+$B77,0))+IF(BH$8="X",VLOOKUP(BH$10,'VK-Elekter'!$C:$X,2+$D77,0))+IF(BH$9="X",VLOOKUP(BH$10,'VK-Biokütused'!$C:$U,2+$E77,0))+IF(BH$5="X",VLOOKUP(BH$10,'VK-Põlevkivi'!$C:$X,2+$G77,0))+IF(BH$4="X",VLOOKUP(BH$10,'VK-Võrgud'!$C:$X,2+$F77,0)))/20</f>
        <v>45.08</v>
      </c>
      <c r="BI77" s="209">
        <f>(IF(BI$7="X",VLOOKUP(BI$10,'VK-Hooned-Soojus'!$C:$X,2+$C77,FALSE),0)+IF(BI$6="X",VLOOKUP(BI$10,'VK-Transport'!$C:$X,2+$B77,0))+IF(BI$8="X",VLOOKUP(BI$10,'VK-Elekter'!$C:$X,2+$D77,0))+IF(BI$9="X",VLOOKUP(BI$10,'VK-Biokütused'!$C:$U,2+$E77,0))+IF(BI$5="X",VLOOKUP(BI$10,'VK-Põlevkivi'!$C:$X,2+$G77,0))+IF(BI$4="X",VLOOKUP(BI$10,'VK-Võrgud'!$C:$X,2+$F77,0)))/16</f>
        <v>14.1875</v>
      </c>
      <c r="BJ77" s="209">
        <f>(IF(BJ$7="X",VLOOKUP(BJ$10,'VK-Hooned-Soojus'!$C:$X,2+$C77,FALSE),0)+IF(BJ$6="X",VLOOKUP(BJ$10,'VK-Transport'!$C:$X,2+$B77,0))+IF(BJ$8="X",VLOOKUP(BJ$10,'VK-Elekter'!$C:$X,2+$D77,0))+IF(BJ$9="X",VLOOKUP(BJ$10,'VK-Biokütused'!$C:$U,2+$E77,0))+IF(BJ$5="X",VLOOKUP(BJ$10,'VK-Põlevkivi'!$C:$X,2+$G77,0))+IF(BJ$4="X",VLOOKUP(BJ$10,'VK-Võrgud'!$C:$X,2+$F77,0)))/20</f>
        <v>3.91</v>
      </c>
      <c r="BK77" s="209"/>
      <c r="BL77" s="209"/>
      <c r="BM77" s="209"/>
      <c r="BN77" s="209" t="e">
        <f>(IF(BN$7="X",VLOOKUP(BN$10,'VK-Hooned-Soojus'!$C:$X,2+$C77,FALSE),0)+IF(BN$6="X",VLOOKUP(BN$10,'VK-Transport'!$C:$X,2+$B77,0))+IF(BN$8="X",VLOOKUP(BN$10,'VK-Elekter'!$C:$X,2+$D77,0))+IF(BN$9="X",VLOOKUP(BN$10,'VK-Biokütused'!$C:$U,2+$E77,0))+IF(BN$5="X",VLOOKUP(BN$10,'VK-Põlevkivi'!$C:$X,2+$G77,0))+IF(BN$4="X",VLOOKUP(BN$10,'VK-Võrgud'!$C:$X,2+$F77,0)))/16</f>
        <v>#N/A</v>
      </c>
      <c r="BO77" s="209">
        <f>(IF(BO$7="X",VLOOKUP(BO$10,'VK-Hooned-Soojus'!$C:$X,2+$C77,FALSE),0)+IF(BO$6="X",VLOOKUP(BO$10,'VK-Transport'!$C:$X,2+$B77,0))+IF(BO$8="X",VLOOKUP(BO$10,'VK-Elekter'!$C:$X,2+$D77,0))+IF(BO$9="X",VLOOKUP(BO$10,'VK-Biokütused'!$C:$U,2+$E77,0))+IF(BO$5="X",VLOOKUP(BO$10,'VK-Põlevkivi'!$C:$X,2+$G77,0))+IF(BO$4="X",VLOOKUP(BO$10,'VK-Võrgud'!$C:$X,2+$F77,0)))/16</f>
        <v>405.45</v>
      </c>
      <c r="BP77" s="209"/>
      <c r="BQ77" s="209">
        <f>(IF(BQ$7="X",VLOOKUP(BQ$10,'VK-Hooned-Soojus'!$C:$X,2+$C77,FALSE),0)+IF(BQ$6="X",VLOOKUP(BQ$10,'VK-Transport'!$C:$X,2+$B77,0))+IF(BQ$8="X",VLOOKUP(BQ$10,'VK-Elekter'!$C:$X,2+$D77,0))+IF(BQ$9="X",VLOOKUP(BQ$10,'VK-Biokütused'!$C:$U,2+$E77,0))+IF(BQ$5="X",VLOOKUP(BQ$10,'VK-Põlevkivi'!$C:$X,2+$G77,0))+IF(BQ$4="X",VLOOKUP(BQ$10,'VK-Võrgud'!$C:$X,2+$F77,0)))/16</f>
        <v>127.6</v>
      </c>
      <c r="BR77" s="209">
        <f>(IF(BR$7="X",VLOOKUP(BR$10,'VK-Hooned-Soojus'!$C:$X,2+$C77,FALSE),0)+IF(BR$6="X",VLOOKUP(BR$10,'VK-Transport'!$C:$X,2+$B77,0))+IF(BR$8="X",VLOOKUP(BR$10,'VK-Elekter'!$C:$X,2+$D77,0))+IF(BR$9="X",VLOOKUP(BR$10,'VK-Biokütused'!$C:$U,2+$E77,0))+IF(BR$5="X",VLOOKUP(BR$10,'VK-Põlevkivi'!$C:$X,2+$G77,0))+IF(BR$4="X",VLOOKUP(BR$10,'VK-Võrgud'!$C:$X,2+$F77,0)))/16</f>
        <v>27.475000000000001</v>
      </c>
      <c r="BS77" s="209">
        <f>(IF(BS$7="X",VLOOKUP(BS$10,'VK-Hooned-Soojus'!$C:$X,2+$C77,FALSE),0)+IF(BS$6="X",VLOOKUP(BS$10,'VK-Transport'!$C:$X,2+$B77,0))+IF(BS$8="X",VLOOKUP(BS$10,'VK-Elekter'!$C:$X,2+$D77,0))+IF(BS$9="X",VLOOKUP(BS$10,'VK-Biokütused'!$C:$U,2+$E77,0))+IF(BS$5="X",VLOOKUP(BS$10,'VK-Põlevkivi'!$C:$X,2+$G77,0))+IF(BS$4="X",VLOOKUP(BS$10,'VK-Võrgud'!$C:$X,2+$F77,0)))/16</f>
        <v>-23.293749999999999</v>
      </c>
      <c r="BT77" s="209"/>
      <c r="BU77" s="209"/>
      <c r="BV77" s="209">
        <f>(IF(BV$7="X",VLOOKUP(BV$10,'VK-Hooned-Soojus'!$C:$X,2+$C77,FALSE),0)+IF(BV$6="X",VLOOKUP(BV$10,'VK-Transport'!$C:$X,2+$B77,0))+IF(BV$8="X",VLOOKUP(BV$10,'VK-Elekter'!$C:$X,2+$D77,0))+IF(BV$9="X",VLOOKUP(BV$10,'VK-Biokütused'!$C:$U,2+$E77,0))+IF(BV$5="X",VLOOKUP(BV$10,'VK-Põlevkivi'!$C:$X,2+$G77,0))+IF(BV$4="X",VLOOKUP(BV$10,'VK-Võrgud'!$C:$X,2+$F77,0)))/16</f>
        <v>0</v>
      </c>
      <c r="BW77" s="209"/>
      <c r="BX77" s="209">
        <f>(IF(BX$7="X",VLOOKUP(BX$10,'VK-Hooned-Soojus'!$C:$X,2+$C77,FALSE),0)+IF(BX$6="X",VLOOKUP(BX$10,'VK-Transport'!$C:$X,2+$B77,0))+IF(BX$8="X",VLOOKUP(BX$10,'VK-Elekter'!$C:$X,2+$D77,0))+IF(BX$9="X",VLOOKUP(BX$10,'VK-Biokütused'!$C:$U,2+$E77,0))+IF(BX$5="X",VLOOKUP(BX$10,'VK-Põlevkivi'!$C:$X,2+$G77,0))+IF(BX$4="X",VLOOKUP(BX$10,'VK-Võrgud'!$C:$X,2+$F77,0)))/16</f>
        <v>-99.4375</v>
      </c>
      <c r="BY77" s="209"/>
      <c r="BZ77" s="209"/>
      <c r="CA77" s="209" t="e">
        <f>(IF(CA$7="X",VLOOKUP(CA$10,'VK-Hooned-Soojus'!$C:$X,2+$C77,FALSE),0)+IF(CA$6="X",VLOOKUP(CA$10,'VK-Transport'!$C:$X,2+$B77,0))+IF(CA$8="X",VLOOKUP(CA$10,'VK-Elekter'!$C:$X,2+$D77,0))+IF(CA$9="X",VLOOKUP(CA$10,'VK-Biokütused'!$C:$U,2+$E77,0))+IF(CA$5="X",VLOOKUP(CA$10,'VK-Põlevkivi'!$C:$X,2+$G77,0))+IF(CA$4="X",VLOOKUP(CA$10,'VK-Võrgud'!$C:$X,2+$F77,0)))/16</f>
        <v>#N/A</v>
      </c>
      <c r="CB77" s="209">
        <f>(IF(CB$7="X",VLOOKUP(CB$10,'VK-Hooned-Soojus'!$C:$X,2+$C77,FALSE),0)+IF(CB$6="X",VLOOKUP(CB$10,'VK-Transport'!$C:$X,2+$B77,0))+IF(CB$8="X",VLOOKUP(CB$10,'VK-Elekter'!$C:$X,2+$D77,0))+IF(CB$9="X",VLOOKUP(CB$10,'VK-Biokütused'!$C:$U,2+$E77,0))+IF(CB$5="X",VLOOKUP(CB$10,'VK-Põlevkivi'!$C:$X,2+$G77,0))+IF(CB$4="X",VLOOKUP(CB$10,'VK-Võrgud'!$C:$X,2+$F77,0)))/16</f>
        <v>0</v>
      </c>
      <c r="CC77" s="209">
        <f>(IF(CC$7="X",VLOOKUP(CC$10,'VK-Hooned-Soojus'!$C:$X,2+$C77,FALSE),0)+IF(CC$6="X",VLOOKUP(CC$10,'VK-Transport'!$C:$X,2+$B77,0))+IF(CC$8="X",VLOOKUP(CC$10,'VK-Elekter'!$C:$X,2+$D77,0))+IF(CC$9="X",VLOOKUP(CC$10,'VK-Biokütused'!$C:$U,2+$E77,0))+IF(CC$5="X",VLOOKUP(CC$10,'VK-Põlevkivi'!$C:$X,2+$G77,0))+IF(CC$4="X",VLOOKUP(CC$10,'VK-Võrgud'!$C:$X,2+$F77,0)))/16</f>
        <v>0</v>
      </c>
      <c r="CD77" s="209"/>
      <c r="CE77" s="209">
        <f>(IF(CE$7="X",VLOOKUP(CE$10,'VK-Hooned-Soojus'!$C:$X,2+$C77,FALSE),0)+IF(CE$6="X",VLOOKUP(CE$10,'VK-Transport'!$C:$X,2+$B77,0))+IF(CE$8="X",VLOOKUP(CE$10,'VK-Elekter'!$C:$X,2+$D77,0))+IF(CE$9="X",VLOOKUP(CE$10,'VK-Biokütused'!$C:$U,2+$E77,0))+IF(CE$5="X",VLOOKUP(CE$10,'VK-Põlevkivi'!$C:$X,2+$G77,0))+IF(CE$4="X",VLOOKUP(CE$10,'VK-Võrgud'!$C:$X,2+$F77,0)))/16</f>
        <v>24.15625</v>
      </c>
      <c r="CF77" s="209"/>
      <c r="CG77" s="209">
        <f>(IF(CG$7="X",VLOOKUP(CG$10,'VK-Hooned-Soojus'!$C:$X,2+$C77,FALSE),0)+IF(CG$6="X",VLOOKUP(CG$10,'VK-Transport'!$C:$X,2+$B77,0))+IF(CG$8="X",VLOOKUP(CG$10,'VK-Elekter'!$C:$X,2+$D77,0))+IF(CG$9="X",VLOOKUP(CG$10,'VK-Biokütused'!$C:$U,2+$E77,0))+IF(CG$5="X",VLOOKUP(CG$10,'VK-Põlevkivi'!$C:$X,2+$G77,0))+IF(CG$4="X",VLOOKUP(CG$10,'VK-Võrgud'!$C:$X,2+$F77,0)))/16</f>
        <v>0</v>
      </c>
      <c r="CH77" s="209">
        <f>(IF(CH$7="X",VLOOKUP(CH$10,'VK-Hooned-Soojus'!$C:$X,2+$C77,FALSE),0)+IF(CH$6="X",VLOOKUP(CH$10,'VK-Transport'!$C:$X,2+$B77,0))+IF(CH$8="X",VLOOKUP(CH$10,'VK-Elekter'!$C:$X,2+$D77,0))+IF(CH$9="X",VLOOKUP(CH$10,'VK-Biokütused'!$C:$U,2+$E77,0))+IF(CH$5="X",VLOOKUP(CH$10,'VK-Põlevkivi'!$C:$X,2+$G77,0))+IF(CH$4="X",VLOOKUP(CH$10,'VK-Võrgud'!$C:$X,2+$F77,0)))/20*0.21</f>
        <v>11.225549999999998</v>
      </c>
      <c r="CI77" s="209"/>
      <c r="CJ77" s="209">
        <f>(IF(CJ$7="X",VLOOKUP(CJ$10,'VK-Hooned-Soojus'!$C:$X,2+$C77,FALSE),0)+IF(CJ$6="X",VLOOKUP(CJ$10,'VK-Transport'!$C:$X,2+$B77,0))+IF(CJ$8="X",VLOOKUP(CJ$10,'VK-Elekter'!$C:$X,2+$D77,0))+IF(CJ$9="X",VLOOKUP(CJ$10,'VK-Biokütused'!$C:$U,2+$E77,0))+IF(CJ$5="X",VLOOKUP(CJ$10,'VK-Põlevkivi'!$C:$X,2+$G77,0))+IF(CJ$4="X",VLOOKUP(CJ$10,'VK-Võrgud'!$C:$X,2+$F77,0)))/1000</f>
        <v>18.184861099430584</v>
      </c>
      <c r="CK77" s="209">
        <f>(IF(CK$7="X",VLOOKUP(CK$10,'VK-Hooned-Soojus'!$C:$X,2+$C77,FALSE),0)+IF(CK$6="X",VLOOKUP(CK$10,'VK-Transport'!$C:$X,2+$B77,0))+IF(CK$8="X",VLOOKUP(CK$10,'VK-Elekter'!$C:$X,2+$D77,0))+IF(CK$9="X",VLOOKUP(CK$10,'VK-Biokütused'!$C:$U,2+$E77,0))+IF(CK$5="X",VLOOKUP(CK$10,'VK-Põlevkivi'!$C:$X,2+$G77,0))+IF(CK$4="X",VLOOKUP(CK$10,'VK-Võrgud'!$C:$X,2+$F77,0)))/1000</f>
        <v>11.872324637900011</v>
      </c>
      <c r="CL77" s="235">
        <f>(IF(CL$7="X",VLOOKUP(CL$10,'VK-Hooned-Soojus'!$C:$X,2+$C77,FALSE),0)+IF(CL$6="X",VLOOKUP(CL$10,'VK-Transport'!$C:$X,2+$B77,0))+IF(CL$8="X",VLOOKUP(CL$10,'VK-Elekter'!$C:$X,2+$D77,0))+IF(CL$9="X",VLOOKUP(CL$10,'VK-Biokütused'!$C:$U,2+$E77,0)))/1000</f>
        <v>8.4199419404241382</v>
      </c>
      <c r="CM77" s="209">
        <f>(IF(CM$7="X",VLOOKUP(CM$10,'VK-Hooned-Soojus'!$C:$X,2+$C77,FALSE),0)+IF(CM$6="X",VLOOKUP(CM$10,'VK-Transport'!$C:$X,2+$B77,0))+IF(CM$8="X",VLOOKUP(CM$10,'VK-Elekter'!$C:$X,2+$D77,0))+IF(CM$9="X",VLOOKUP(CM$10,'VK-Biokütused'!$C:$U,2+$E77,0))+IF(CM$5="X",VLOOKUP(CM$10,'VK-Põlevkivi'!$C:$X,2+$G77,0))+IF(CM$4="X",VLOOKUP(CM$10,'VK-Võrgud'!$C:$X,2+$F77,0)))/1000</f>
        <v>7.7863156794471022</v>
      </c>
      <c r="CN77" s="209">
        <f>(IF(CN$7="X",VLOOKUP(CN$10,'VK-Hooned-Soojus'!$C:$X,2+$C77,FALSE),0)+IF(CN$6="X",VLOOKUP(CN$10,'VK-Transport'!$C:$X,2+$B77,0))+IF(CN$8="X",VLOOKUP(CN$10,'VK-Elekter'!$C:$X,2+$D77,0))+IF(CN$9="X",VLOOKUP(CN$10,'VK-Biokütused'!$C:$U,2+$E77,0))+IF(CN$5="X",VLOOKUP(CN$10,'VK-Põlevkivi'!$C:$X,2+$G77,0))+IF(CN$4="X",VLOOKUP(CN$10,'VK-Võrgud'!$C:$X,2+$F77,0)))/1000</f>
        <v>2.9929999999999999</v>
      </c>
      <c r="CO77" s="209">
        <f>(IF(CO$7="X",VLOOKUP(CO$10,'VK-Hooned-Soojus'!$C:$X,2+$C77,FALSE),0)+IF(CO$6="X",VLOOKUP(CO$10,'VK-Transport'!$C:$X,2+$B77,0))+IF(CO$8="X",VLOOKUP(CO$10,'VK-Elekter'!$C:$X,2+$D77,0))+IF(CO$9="X",VLOOKUP(CO$10,'VK-Biokütused'!$C:$U,2+$E77,0))+IF(CO$5="X",VLOOKUP(CO$10,'VK-Põlevkivi'!$C:$X,2+$G77,0))+IF(CO$4="X",VLOOKUP(CO$10,'VK-Võrgud'!$C:$X,2+$F77,0)))/1000</f>
        <v>24.017575210797279</v>
      </c>
      <c r="CP77" s="209">
        <f>(IF(CP$7="X",VLOOKUP(CP$10,'VK-Hooned-Soojus'!$C:$X,2+$C77,FALSE),0)+IF(CP$6="X",VLOOKUP(CP$10,'VK-Transport'!$C:$X,2+$B77,0))+IF(CP$8="X",VLOOKUP(CP$10,'VK-Elekter'!$C:$X,2+$D77,0))+IF(CP$9="X",VLOOKUP(CP$10,'VK-Biokütused'!$C:$U,2+$E77,0))+IF(CP$5="X",VLOOKUP(CP$10,'VK-Põlevkivi'!$C:$X,2+$G77,0))+IF(CP$4="X",VLOOKUP(CP$10,'VK-Võrgud'!$C:$X,2+$F77,0)))/1000</f>
        <v>13.441994830349824</v>
      </c>
      <c r="CQ77" s="235">
        <f>(IF(CQ$7="X",VLOOKUP(CQ$10,'VK-Hooned-Soojus'!$C:$X,2+$C77,FALSE),0)+IF(CQ$6="X",VLOOKUP(CQ$10,'VK-Transport'!$C:$X,2+$B77,0))+IF(CQ$8="X",VLOOKUP(CQ$10,'VK-Elekter'!$C:$X,2+$D77,0))+IF(CQ$9="X",VLOOKUP(CQ$10,'VK-Biokütused'!$C:$U,2+$E77,0)))/1000</f>
        <v>10.636346</v>
      </c>
      <c r="CR77" s="209">
        <f>(IF(CR$7="X",VLOOKUP(CR$10,'VK-Hooned-Soojus'!$C:$X,2+$C77,FALSE),0)+IF(CR$6="X",VLOOKUP(CR$10,'VK-Transport'!$C:$X,2+$B77,0))+IF(CR$8="X",VLOOKUP(CR$10,'VK-Elekter'!$C:$X,2+$D77,0))+IF(CR$9="X",VLOOKUP(CR$10,'VK-Biokütused'!$C:$U,2+$E77,0))+IF(CR$5="X",VLOOKUP(CR$10,'VK-Põlevkivi'!$C:$X,2+$G77,0))+IF(CR$4="X",VLOOKUP(CR$10,'VK-Võrgud'!$C:$X,2+$F77,0)))/1000</f>
        <v>7.8760872784575753</v>
      </c>
      <c r="CS77" s="209">
        <f>(IF(CS$7="X",VLOOKUP(CS$10,'VK-Hooned-Soojus'!$C:$X,2+$C77,FALSE),0)+IF(CS$6="X",VLOOKUP(CS$10,'VK-Transport'!$C:$X,2+$B77,0))+IF(CS$8="X",VLOOKUP(CS$10,'VK-Elekter'!$C:$X,2+$D77,0))+IF(CS$9="X",VLOOKUP(CS$10,'VK-Biokütused'!$C:$U,2+$E77,0))+IF(CS$5="X",VLOOKUP(CS$10,'VK-Põlevkivi'!$C:$X,2+$G77,0))+IF(CS$4="X",VLOOKUP(CS$10,'VK-Võrgud'!$C:$X,2+$F77,0)))/1000</f>
        <v>3.8443344900598322</v>
      </c>
      <c r="CT77" s="209">
        <f>IF(CT$7="X",VLOOKUP(CT$10,'VK-Hooned-Soojus'!$C:$X,2+$C77,FALSE),0)+IF(CT$6="X",VLOOKUP(CT$10,'VK-Transport'!$C:$X,2+$B77,0))+IF(CT$8="X",VLOOKUP(CT$10,'VK-Elekter'!$C:$X,2+$D77,0))+IF(CT$9="X",VLOOKUP(CT$10,'VK-Biokütused'!$C:$U,2+$E77,0))+IF(CT$5="X",VLOOKUP(CT$10,'VK-Põlevkivi'!$C:$X,2+$G77,0))+IF(CT$4="X",VLOOKUP(CT$10,'VK-Võrgud'!$C:$X,2+$F77,0))</f>
        <v>90</v>
      </c>
      <c r="CU77" s="209">
        <f>IF(CU$7="X",VLOOKUP(CU$10,'VK-Hooned-Soojus'!$C:$X,2+$C77,FALSE),0)+IF(CU$6="X",VLOOKUP(CU$10,'VK-Transport'!$C:$X,2+$B77,0))+IF(CU$8="X",VLOOKUP(CU$10,'VK-Elekter'!$C:$X,2+$D77,0))+IF(CU$9="X",VLOOKUP(CU$10,'VK-Biokütused'!$C:$U,2+$E77,0))+IF(CU$5="X",VLOOKUP(CU$10,'VK-Põlevkivi'!$C:$X,2+$G77,0))+IF(CU$4="X",VLOOKUP(CU$10,'VK-Võrgud'!$C:$X,2+$F77,0))</f>
        <v>0.9337349397590361</v>
      </c>
      <c r="CV77" s="209">
        <f t="shared" si="49"/>
        <v>1</v>
      </c>
      <c r="CW77" s="209">
        <f>(IF(CW$7="X",VLOOKUP(CW$10,'VK-Hooned-Soojus'!$C:$X,2+$C77,FALSE),0)+IF(CW$6="X",VLOOKUP(CW$10,'VK-Transport'!$C:$X,2+$B77,0))+IF(CW$8="X",VLOOKUP(CW$10,'VK-Elekter'!$C:$X,2+$D77,0))+IF(CW$9="X",VLOOKUP(CW$10,'VK-Biokütused'!$C:$U,2+$E77,0))+IF(CW$5="X",VLOOKUP(CW$10,'VK-Põlevkivi'!$C:$X,2+$G77,0))+IF(CW$4="X",VLOOKUP(CW$10,'VK-Võrgud'!$C:$X,2+$F77,0)))/16</f>
        <v>0</v>
      </c>
      <c r="CY77" s="209">
        <f>(IF(CY$7="X",VLOOKUP(CY$10,'VK-Hooned-Soojus'!$C:$X,2+$C77,FALSE),0)+IF(CY$6="X",VLOOKUP(CY$10,'VK-Transport'!$C:$X,2+$B77,0))+IF(CY$8="X",VLOOKUP(CY$10,'VK-Elekter'!$C:$X,2+$D77,0))+IF(CY$9="X",VLOOKUP(CY$10,'VK-Biokütused'!$C:$U,2+$E77,0))+IF(CY$5="X",VLOOKUP(CY$10,'VK-Põlevkivi'!$C:$X,2+$G77,0))+IF(CY$4="X",VLOOKUP(CY$10,'VK-Võrgud'!$C:$X,2+$F77,0)))/1000</f>
        <v>10.425000000000001</v>
      </c>
      <c r="CZ77" s="209">
        <f>(IF(CZ$7="X",VLOOKUP(CZ$10,'VK-Hooned-Soojus'!$C:$X,2+$C77,FALSE),0)+IF(CZ$6="X",VLOOKUP(CZ$10,'VK-Transport'!$C:$X,2+$B77,0))+IF(CZ$8="X",VLOOKUP(CZ$10,'VK-Elekter'!$C:$X,2+$D77,0))+IF(CZ$9="X",VLOOKUP(CZ$10,'VK-Biokütused'!$C:$U,2+$E77,0))+IF(CZ$5="X",VLOOKUP(CZ$10,'VK-Põlevkivi'!$C:$X,2+$G77,0))+IF(CZ$4="X",VLOOKUP(CZ$10,'VK-Võrgud'!$C:$X,2+$F77,0)))</f>
        <v>69</v>
      </c>
      <c r="DA77" s="209">
        <f>(IF(DA$7="X",VLOOKUP(DA$10,'VK-Hooned-Soojus'!$C:$X,2+$C77,FALSE),0)+IF(DA$6="X",VLOOKUP(DA$10,'VK-Transport'!$C:$X,2+$B77,0))+IF(DA$8="X",VLOOKUP(DA$10,'VK-Elekter'!$C:$X,2+$D77,0))+IF(DA$9="X",VLOOKUP(DA$10,'VK-Biokütused'!$C:$U,2+$E77,0))+IF(DA$5="X",VLOOKUP(DA$10,'VK-Põlevkivi'!$C:$X,2+$G77,0))+IF(DA$4="X",VLOOKUP(DA$10,'VK-Võrgud'!$C:$X,2+$F77,0)))/1000</f>
        <v>14.037000000000001</v>
      </c>
      <c r="DB77" s="209">
        <f>(IF(DB$7="X",VLOOKUP(DB$10,'VK-Hooned-Soojus'!$C:$X,2+$C77,FALSE),0)+IF(DB$6="X",VLOOKUP(DB$10,'VK-Transport'!$C:$X,2+$B77,0))+IF(DB$8="X",VLOOKUP(DB$10,'VK-Elekter'!$C:$X,2+$D77,0))+IF(DB$9="X",VLOOKUP(DB$10,'VK-Biokütused'!$C:$U,2+$E77,0))+IF(DB$5="X",VLOOKUP(DB$10,'VK-Põlevkivi'!$C:$X,2+$G77,0))+IF(DB$4="X",VLOOKUP(DB$10,'VK-Võrgud'!$C:$X,2+$F77,0)))/1000/3.6</f>
        <v>62.480277777777779</v>
      </c>
      <c r="DC77" s="209">
        <f>(IF(DC$7="X",VLOOKUP(DC$10,'VK-Hooned-Soojus'!$C:$X,2+$C77,FALSE),0)+IF(DC$6="X",VLOOKUP(DC$10,'VK-Transport'!$C:$X,2+$B77,0))+IF(DC$8="X",VLOOKUP(DC$10,'VK-Elekter'!$C:$X,2+$D77,0))+IF(DC$9="X",VLOOKUP(DC$10,'VK-Biokütused'!$C:$U,2+$E77,0))+IF(DC$5="X",VLOOKUP(DC$10,'VK-Põlevkivi'!$C:$X,2+$G77,0))+IF(DC$4="X",VLOOKUP(DC$10,'VK-Võrgud'!$C:$X,2+$F77,0)))/1000000</f>
        <v>4.9937480000000001</v>
      </c>
      <c r="DD77" s="209"/>
      <c r="DE77" s="88">
        <f>VLOOKUP(Tulemused!$BN$12,data!M$7:N$12,2,FALSE)-SUM(L77,M77)</f>
        <v>-1.2238666666666731</v>
      </c>
      <c r="DF77" s="209" t="str">
        <f>IF(AZ77&lt;=VLOOKUP(Tulemused!$BN$15,data!$E$36:$F$39,2,FALSE),"JAH","EI")</f>
        <v>JAH</v>
      </c>
      <c r="DG77" s="209"/>
      <c r="DH77" s="209">
        <f t="shared" si="50"/>
        <v>6.28</v>
      </c>
      <c r="DI77" s="231" t="str">
        <f t="shared" si="65"/>
        <v>EI</v>
      </c>
      <c r="DK77" s="232">
        <f t="shared" si="51"/>
        <v>-996.27547263365011</v>
      </c>
      <c r="DM77" s="233">
        <f t="shared" si="52"/>
        <v>-994.83533294439235</v>
      </c>
      <c r="DN77" s="87">
        <f t="array" ref="DN77">INDEX($A$11:$A$145, SMALL(IF(DM77=$DK$11:$DK$145, MATCH(ROW($DK$11:$DK$145), ROW($DK$11:$DK$145))), SUM(--(DM77=$DM$11:DM77))))</f>
        <v>81</v>
      </c>
      <c r="DP77" s="87" t="e">
        <f t="shared" ca="1" si="66"/>
        <v>#N/A</v>
      </c>
      <c r="DQ77" s="87" t="e">
        <f t="shared" ca="1" si="67"/>
        <v>#N/A</v>
      </c>
      <c r="DR77" s="87">
        <f t="shared" ca="1" si="68"/>
        <v>0</v>
      </c>
      <c r="DS77" s="87" t="e">
        <f t="shared" ca="1" si="69"/>
        <v>#N/A</v>
      </c>
      <c r="DT77" s="87">
        <f t="shared" ca="1" si="70"/>
        <v>0</v>
      </c>
      <c r="DU77" s="87" t="e">
        <f t="shared" ca="1" si="71"/>
        <v>#N/A</v>
      </c>
      <c r="DV77" s="87" t="e">
        <f t="shared" ca="1" si="72"/>
        <v>#N/A</v>
      </c>
      <c r="DW77" s="87">
        <f t="shared" ca="1" si="73"/>
        <v>0</v>
      </c>
      <c r="DX77" s="87">
        <f t="shared" ca="1" si="74"/>
        <v>0</v>
      </c>
      <c r="DZ77" s="87">
        <f t="shared" ca="1" si="35"/>
        <v>0</v>
      </c>
      <c r="EB77" s="87">
        <f t="shared" ca="1" si="75"/>
        <v>0</v>
      </c>
      <c r="EC77" s="87" t="e">
        <f t="shared" ca="1" si="76"/>
        <v>#N/A</v>
      </c>
      <c r="EE77" s="228">
        <f>(IF(EE$7="X",VLOOKUP(EE$10,'VK-Hooned-Soojus'!$C:$X,2+$C77,FALSE),0)+IF(EE$6="X",VLOOKUP(EE$10,'VK-Transport'!$C:$X,2+$B77,0))+IF(EE$8="X",VLOOKUP(EE$10,'VK-Elekter'!$C:$X,2+$D77,0))+IF(EE$9="X",VLOOKUP(EE$10,'VK-Biokütused'!$C:$U,2+$E77,0))+IF(EE$5="X",VLOOKUP(EE$10,'VK-Põlevkivi'!$C:$X,2+$G77,0))+IF(EE$4="X",VLOOKUP(EE$10,'VK-Võrgud'!$C:$X,2+$F77,0)))</f>
        <v>6853.199928135552</v>
      </c>
      <c r="EF77" s="235">
        <f>(IF(EF$7="X",VLOOKUP(EF$10,'VK-Hooned-Soojus'!$C:$X,2+$C77,FALSE),0)+IF(EF$6="X",VLOOKUP(EF$10,'VK-Transport'!$C:$X,2+$B77,0))+IF(EF$8="X",VLOOKUP(EF$10,'VK-Elekter'!$C:$X,2+$D77,0))+IF(EF$9="X",VLOOKUP(EF$10,'VK-Biokütused'!$C:$U,2+$E77,0)))/1000</f>
        <v>4.3663823271229703</v>
      </c>
      <c r="EG77" s="209">
        <f>(IF(EG$7="X",VLOOKUP(EG$10,'VK-Hooned-Soojus'!$C:$X,2+$C77,FALSE),0)+IF(EG$6="X",VLOOKUP(EG$10,'VK-Transport'!$C:$X,2+$B77,0))+IF(EG$8="X",VLOOKUP(EG$10,'VK-Elekter'!$C:$X,2+$D77,0))+IF(EG$9="X",VLOOKUP(EG$10,'VK-Biokütused'!$C:$U,2+$E77,0))+IF(EG$5="X",VLOOKUP(EG$10,'VK-Põlevkivi'!$C:$X,2+$G77,0))+IF(EG$4="X",VLOOKUP(EG$10,'VK-Võrgud'!$C:$X,2+$F77,0)))</f>
        <v>2.95</v>
      </c>
      <c r="EH77" s="209">
        <f>(IF(EH$7="X",VLOOKUP(EH$10,'VK-Hooned-Soojus'!$C:$X,2+$C77,FALSE),0)+IF(EH$6="X",VLOOKUP(EH$10,'VK-Transport'!$C:$X,2+$B77,0))+IF(EH$8="X",VLOOKUP(EH$10,'VK-Elekter'!$C:$X,2+$D77,0))+IF(EH$9="X",VLOOKUP(EH$10,'VK-Biokütused'!$C:$U,2+$E77,0)))+AR77+AS77+AU77+AX77</f>
        <v>53.434399224806199</v>
      </c>
      <c r="EI77" s="320">
        <f t="shared" si="53"/>
        <v>48.250678294573639</v>
      </c>
      <c r="EJ77" s="322">
        <f t="shared" si="54"/>
        <v>8.2108534803349301E-2</v>
      </c>
      <c r="EK77" s="323">
        <f t="shared" si="77"/>
        <v>0.45232475218626439</v>
      </c>
      <c r="EM77" s="209"/>
      <c r="EN77" s="209">
        <f t="shared" ca="1" si="55"/>
        <v>0</v>
      </c>
      <c r="EO77" s="209"/>
      <c r="EP77" s="234"/>
      <c r="EQ77" s="209">
        <f>(IF(EQ$7="X",VLOOKUP(EQ$10,'VK-Hooned-Soojus'!$C:$X,2+$C77,FALSE),0)+IF(EQ$6="X",VLOOKUP(EQ$10,'VK-Transport'!$C:$X,2+$B77,0))+IF(EQ$8="X",VLOOKUP(EQ$10,'VK-Elekter'!$C:$X,2+$D77,0))+IF(EQ$9="X",VLOOKUP(EQ$10,'VK-Biokütused'!$C:$U,2+$E77,0))+IF(EQ$5="X",VLOOKUP(EQ$10,'VK-Põlevkivi'!$C:$X,2+$G77,0))+IF(EQ$4="X",VLOOKUP(EQ$10,'VK-Võrgud'!$C:$X,2+$F77,0)))/1000</f>
        <v>0.21099999999999999</v>
      </c>
      <c r="ER77" s="209">
        <f>(IF(ER$7="X",VLOOKUP(ER$10,'VK-Hooned-Soojus'!$C:$X,2+$C77,FALSE),0)+IF(ER$6="X",VLOOKUP(ER$10,'VK-Transport'!$C:$X,2+$B77,0))+IF(ER$8="X",VLOOKUP(ER$10,'VK-Elekter'!$C:$X,2+$D77,0))+IF(ER$9="X",VLOOKUP(ER$10,'VK-Biokütused'!$C:$U,2+$E77,0))+IF(ER$5="X",VLOOKUP(ER$10,'VK-Põlevkivi'!$C:$X,2+$G77,0))+IF(ER$4="X",VLOOKUP(ER$10,'VK-Võrgud'!$C:$X,2+$F77,0)))</f>
        <v>0.76300000000000001</v>
      </c>
      <c r="ES77" s="209">
        <f>(IF(ES$7="X",VLOOKUP(ES$10,'VK-Hooned-Soojus'!$C:$X,2+$C77,FALSE),0)+IF(ES$6="X",VLOOKUP(ES$10,'VK-Transport'!$C:$X,2+$B77,0))+IF(ES$8="X",VLOOKUP(ES$10,'VK-Elekter'!$C:$X,2+$D77,0))+IF(ES$9="X",VLOOKUP(ES$10,'VK-Biokütused'!$C:$U,2+$E77,0))+IF(ES$5="X",VLOOKUP(ES$10,'VK-Põlevkivi'!$C:$X,2+$G77,0))+IF(ES$4="X",VLOOKUP(ES$10,'VK-Võrgud'!$C:$X,2+$F77,0)))</f>
        <v>6.28</v>
      </c>
      <c r="ET77" s="209"/>
      <c r="EU77" s="209"/>
      <c r="EV77" s="87">
        <f>'KSH järjestus'!AS70</f>
        <v>1375</v>
      </c>
      <c r="EX77" s="236"/>
      <c r="EY77" s="236"/>
      <c r="EZ77" s="237">
        <f t="shared" si="56"/>
        <v>6.6265060240963902E-2</v>
      </c>
      <c r="FA77" s="209">
        <f>IF(FA$7="X",VLOOKUP(FA$10,'VK-Hooned-Soojus'!$C:$X,2+$C77,FALSE),0)+IF(FA$6="X",VLOOKUP(FA$10,'VK-Transport'!$C:$X,2+$B77,0))+IF(FA$8="X",VLOOKUP(FA$10,'VK-Elekter'!$C:$X,2+$D77,0))+IF(FA$9="X",VLOOKUP(FA$10,'VK-Biokütused'!$C:$U,2+$E77,0))+IF(FA$5="X",VLOOKUP(FA$10,'VK-Põlevkivi'!$C:$X,2+$G77,0))+IF(FA$4="X",VLOOKUP(FA$10,'VK-Võrgud'!$C:$X,2+$F77,0))</f>
        <v>3011.346</v>
      </c>
      <c r="FB77" s="279">
        <f>(IF(FB$7="X",VLOOKUP(FB$10,'VK-Hooned-Soojus'!$C:$X,2+$C77,FALSE),0)+IF(FB$6="X",VLOOKUP(FB$10,'VK-Transport'!$C:$X,2+$B77,0))+IF(FB$8="X",VLOOKUP(FB$10,'VK-Elekter'!$C:$X,2+$D77,0))+IF(FB$9="X",VLOOKUP(FB$10,'VK-Biokütused'!$C:$U,2+$E77,0))+IF(FB$5="X",VLOOKUP(FB$10,'VK-Põlevkivi'!$C:$X,2+$G77,0))+IF(FB$4="X",VLOOKUP(FB$10,'VK-Võrgud'!$C:$X,2+$F77,0)))/16</f>
        <v>274.87068744796386</v>
      </c>
      <c r="FC77" s="209">
        <f>IF(FC$7="X",VLOOKUP(FC$10,'VK-Hooned-Soojus'!$C:$X,2+$C77,FALSE),0)+IF(FC$6="X",VLOOKUP(FC$10,'VK-Transport'!$C:$X,2+$B77,0))+IF(FC$8="X",VLOOKUP(FC$10,'VK-Elekter'!$C:$X,2+$D77,0))+IF(FC$9="X",VLOOKUP(FC$10,'VK-Biokütused'!$C:$U,2+$E77,0))+IF(FC$5="X",VLOOKUP(FC$10,'VK-Põlevkivi'!$C:$X,2+$G77,0))+IF(FC$4="X",VLOOKUP(FC$10,'VK-Võrgud'!$C:$X,2+$F77,0))</f>
        <v>306.45</v>
      </c>
      <c r="FD77" s="209">
        <f>(IF(FD$7="X",VLOOKUP(FD$10,'VK-Hooned-Soojus'!$C:$X,2+$C77,FALSE),0)+IF(FD$6="X",VLOOKUP(FD$10,'VK-Transport'!$C:$X,2+$B77,0))+IF(FD$8="X",VLOOKUP(FD$10,'VK-Elekter'!$C:$X,2+$D77,0))+IF(FD$9="X",VLOOKUP(FD$10,'VK-Biokütused'!$C:$U,2+$E77,0))+IF(FD$5="X",VLOOKUP(FD$10,'VK-Põlevkivi'!$C:$X,2+$G77,0))+IF(FD$4="X",VLOOKUP(FD$10,'VK-Võrgud'!$C:$X,2+$F77,0)))/16</f>
        <v>274.87068744796386</v>
      </c>
      <c r="FE77" s="209">
        <f>(IF(FE$7="X",VLOOKUP(FE$10,'VK-Hooned-Soojus'!$C:$X,2+$C77,FALSE),0)+IF(FE$6="X",VLOOKUP(FE$10,'VK-Transport'!$C:$X,2+$B77,0))+IF(FE$8="X",VLOOKUP(FE$10,'VK-Elekter'!$C:$X,2+$D77,0))+IF(FE$9="X",VLOOKUP(FE$10,'VK-Biokütused'!$C:$U,2+$E77,0))+IF(FE$5="X",VLOOKUP(FE$10,'VK-Põlevkivi'!$C:$X,2+$G77,0))+IF(FE$4="X",VLOOKUP(FE$10,'VK-Võrgud'!$C:$X,2+$F77,0)))/16</f>
        <v>-61.841250000000002</v>
      </c>
      <c r="FF77" s="209">
        <f>(IF(FF$7="X",VLOOKUP(FF$10,'VK-Hooned-Soojus'!$C:$X,2+$C77,FALSE),0)+IF(FF$6="X",VLOOKUP(FF$10,'VK-Transport'!$C:$X,2+$B77,0))+IF(FF$8="X",VLOOKUP(FF$10,'VK-Elekter'!$C:$X,2+$D77,0))+IF(FF$9="X",VLOOKUP(FF$10,'VK-Biokütused'!$C:$U,2+$E77,0))+IF(FF$5="X",VLOOKUP(FF$10,'VK-Põlevkivi'!$C:$X,2+$G77,0))+IF(FF$4="X",VLOOKUP(FF$10,'VK-Võrgud'!$C:$X,2+$F77,0)))/16</f>
        <v>118.44554188161644</v>
      </c>
      <c r="FG77" s="88">
        <f t="shared" ca="1" si="78"/>
        <v>56.604291881616433</v>
      </c>
      <c r="FH77" s="88"/>
      <c r="FI77" s="88"/>
      <c r="FJ77" s="88">
        <f>VLOOKUP(Tulemused!$BN$12,data!M$7:N$12,2,FALSE)-SUM(L77,M77)</f>
        <v>-1.2238666666666731</v>
      </c>
      <c r="FK77" s="209" t="str">
        <f>IF(AZ77&lt;=VLOOKUP(Tulemused!$BN$15,data!$E$36:$F$39,2,FALSE),"JAH","EI")</f>
        <v>JAH</v>
      </c>
      <c r="FL77" s="235">
        <f ca="1">IF(ISNA(MATCH($A77,INDIRECT(VLOOKUP(Tulemused!$BF$11,data!$J$57:$M$71,4,FALSE)))),0,MATCH($A77,INDIRECT(VLOOKUP(Tulemused!$BF$11,data!$J$57:$M$71,4,FALSE))))</f>
        <v>0</v>
      </c>
      <c r="FM77" s="235" t="str">
        <f t="shared" ca="1" si="57"/>
        <v>JAH</v>
      </c>
      <c r="FN77" s="209">
        <f>VLOOKUP(Tulemused!$BN$13,data!$C$132:$D$137,2,FALSE)-KOMBI!R77</f>
        <v>3.6875876728770303</v>
      </c>
      <c r="FO77" s="209"/>
      <c r="FP77" s="209">
        <f>VLOOKUP(Tulemused!$BN$17,NO_x,2,FALSE)-CJ77</f>
        <v>11.253138900569414</v>
      </c>
      <c r="FQ77" s="209">
        <f>VLOOKUP(Tulemused!$BN$18,SO_2,2,FALSE)-CK77</f>
        <v>40.011675362099993</v>
      </c>
      <c r="FR77" s="209">
        <f>VLOOKUP(Tulemused!$BN$19,LOU,2,FALSE)-CN77</f>
        <v>34.087000000000003</v>
      </c>
      <c r="FS77" s="209">
        <f>VLOOKUP(Tulemused!$BN$20,PM_2.5,2,FALSE)-CM77</f>
        <v>9.128684320552896</v>
      </c>
      <c r="FT77" s="209">
        <f>VLOOKUP(Tulemused!$BN$13,data!$C$132:$D$137,2,FALSE)-FA77/1000</f>
        <v>3.2346240000000006</v>
      </c>
      <c r="FU77" s="209">
        <f>VLOOKUP(Tulemused!$BN$17,NO_x,2,FALSE)-CO77</f>
        <v>5.4204247892027198</v>
      </c>
      <c r="FV77" s="209">
        <f>VLOOKUP(Tulemused!$BN$18,SO_2,2,FALSE)-CP77</f>
        <v>38.442005169650173</v>
      </c>
      <c r="FW77" s="209">
        <f>VLOOKUP(Tulemused!$BN$19,LOU,2,FALSE)-CS77</f>
        <v>33.235665509940176</v>
      </c>
      <c r="FX77" s="209">
        <f>VLOOKUP(Tulemused!$BN$20,PM_2.5,2,FALSE)-CR77</f>
        <v>9.0389127215424239</v>
      </c>
      <c r="FY77" s="209">
        <f>VLOOKUP(Tulemused!$BN$14,KHG_2050,2,FALSE)-EF77</f>
        <v>95.633617672877023</v>
      </c>
      <c r="FZ77" s="231" t="str">
        <f t="shared" ca="1" si="79"/>
        <v>EI</v>
      </c>
      <c r="GA77" s="209"/>
      <c r="GB77" s="209"/>
      <c r="GC77" s="209"/>
      <c r="GD77" s="231"/>
      <c r="GE77" s="87">
        <f t="shared" si="58"/>
        <v>1375</v>
      </c>
      <c r="GF77" s="232" t="str">
        <f t="shared" ca="1" si="80"/>
        <v/>
      </c>
      <c r="GH77" s="238" t="e">
        <f t="shared" ca="1" si="59"/>
        <v>#NUM!</v>
      </c>
      <c r="GI77" s="87" t="e">
        <f t="array" aca="1" ref="GI77" ca="1">INDEX($A$11:$A$145, SMALL(IF(GH77=$GF$11:$GF$145, MATCH(ROW($GF$11:$GF$145), ROW($GF$11:$GF$145))), SUM(--(GH77=$GH$11:GH77))))</f>
        <v>#NUM!</v>
      </c>
      <c r="GM77" s="209">
        <f>IF(GM$7="X",VLOOKUP(GM$10,'VK-Hooned-Soojus'!$C:$X,2+$C77,FALSE),0)+IF(GM$6="X",VLOOKUP(GM$10,'VK-Transport'!$C:$X,2+$B77,0))+IF(GM$8="X",VLOOKUP(GM$10,'VK-Elekter'!$C:$X,2+$D77,0))+IF(GM$9="X",VLOOKUP(GM$10,'VK-Biokütused'!$C:$U,2+$E77,0))+IF(GM$5="X",VLOOKUP(GM$10,'VK-Põlevkivi'!$C:$X,2+$G77,0))+IF(GM$4="X",VLOOKUP(GM$10,'VK-Võrgud'!$C:$X,2+$F77,0))</f>
        <v>6.011750640646909</v>
      </c>
      <c r="GN77" s="209">
        <f>IF(GN$7="X",VLOOKUP(GN$10,'VK-Hooned-Soojus'!$C:$X,2+$C77,FALSE),0)+IF(GN$6="X",VLOOKUP(GN$10,'VK-Transport'!$C:$X,2+$B77,0))+IF(GN$8="X",VLOOKUP(GN$10,'VK-Elekter'!$C:$X,2+$D77,0))+IF(GN$9="X",VLOOKUP(GN$10,'VK-Biokütused'!$C:$U,2+$E77,0))+IF(GN$5="X",VLOOKUP(GN$10,'VK-Põlevkivi'!$C:$X,2+$G77,0))+IF(GN$4="X",VLOOKUP(GN$10,'VK-Võrgud'!$C:$X,2+$F77,0))</f>
        <v>3.4528686473995491</v>
      </c>
      <c r="GO77" s="209">
        <f>IF(GO$7="X",VLOOKUP(GO$10,'VK-Hooned-Soojus'!$C:$X,2+$C77,FALSE),0)+IF(GO$6="X",VLOOKUP(GO$10,'VK-Transport'!$C:$X,2+$B77,0))+IF(GO$8="X",VLOOKUP(GO$10,'VK-Elekter'!$C:$X,2+$D77,0))+IF(GO$9="X",VLOOKUP(GO$10,'VK-Biokütused'!$C:$U,2+$E77,0))+IF(GO$5="X",VLOOKUP(GO$10,'VK-Põlevkivi'!$C:$X,2+$G77,0))+IF(GO$4="X",VLOOKUP(GO$10,'VK-Võrgud'!$C:$X,2+$F77,0))</f>
        <v>7.936370010272257</v>
      </c>
      <c r="GP77" s="209">
        <f>IF(GP$7="X",VLOOKUP(GP$10,'VK-Hooned-Soojus'!$C:$X,2+$C77,FALSE),0)+IF(GP$6="X",VLOOKUP(GP$10,'VK-Transport'!$C:$X,2+$B77,0))+IF(GP$8="X",VLOOKUP(GP$10,'VK-Elekter'!$C:$X,2+$D77,0))+IF(GP$9="X",VLOOKUP(GP$10,'VK-Biokütused'!$C:$U,2+$E77,0))+IF(GP$5="X",VLOOKUP(GP$10,'VK-Põlevkivi'!$C:$X,2+$G77,0))+IF(GP$4="X",VLOOKUP(GP$10,'VK-Võrgud'!$C:$X,2+$F77,0))</f>
        <v>9.1527946929596489</v>
      </c>
      <c r="GQ77" s="88">
        <f>IF(GQ$7="X",VLOOKUP(GQ$10,'VK-Hooned-Soojus'!$C:$X,2+$C77,FALSE),0)+IF(GQ$6="X",VLOOKUP(GQ$10,'VK-Transport'!$C:$X,2+$B77,0))+IF(GQ$8="X",VLOOKUP(GQ$10,'VK-Elekter'!$C:$X,2+$D77,0))+IF(GQ$9="X",VLOOKUP(GQ$10,'VK-Biokütused'!$C:$U,2+$E77,0))+IF(GQ$5="X",VLOOKUP(GQ$10,'VK-Põlevkivi'!$C:$X,2+$G77,0))+IF(GQ$4="X",VLOOKUP(GQ$10,'VK-Võrgud'!$C:$X,2+$F77,0))</f>
        <v>0.90618397335647782</v>
      </c>
      <c r="GR77" s="186">
        <f t="shared" si="81"/>
        <v>0.39674603054856644</v>
      </c>
    </row>
    <row r="78" spans="1:200" x14ac:dyDescent="0.2">
      <c r="A78" s="184">
        <v>68</v>
      </c>
      <c r="B78" s="87">
        <v>2</v>
      </c>
      <c r="C78" s="87">
        <v>2</v>
      </c>
      <c r="D78" s="87">
        <v>3</v>
      </c>
      <c r="E78" s="87">
        <v>2</v>
      </c>
      <c r="F78" s="87">
        <f>VLOOKUP(Tulemused!$BF$7,data!$J$6:$K$8,2,FALSE)</f>
        <v>2</v>
      </c>
      <c r="G78" s="87">
        <f>VLOOKUP(data!$H$2,data!$J$12:$K$14,2,FALSE)</f>
        <v>2</v>
      </c>
      <c r="I78" s="209">
        <f>IF(I$7="X",VLOOKUP(I$10,'VK-Hooned-Soojus'!$C:$X,2+$C78,FALSE),0)+IF(I$6="X",VLOOKUP(I$10,'VK-Transport'!$C:$X,2+$B78,0))+IF(I$8="X",VLOOKUP(I$10,'VK-Elekter'!$C:$X,2+$D78,0))+IF(I$9="X",VLOOKUP(I$10,'VK-Biokütused'!$C:$U,2+$E78,0))+IF(I$5="X",VLOOKUP(I$10,'VK-Põlevkivi'!$C:$X,2+$G78,0))+IF(I$4="X",VLOOKUP(I$10,'VK-Võrgud'!$C:$X,2+$F78,0))</f>
        <v>24.79</v>
      </c>
      <c r="J78" s="209">
        <f>IF(J$7="X",VLOOKUP(J$10,'VK-Hooned-Soojus'!$C:$X,2+$C78,FALSE),0)+IF(J$6="X",VLOOKUP(J$10,'VK-Transport'!$C:$X,2+$B78,0))+IF(J$8="X",VLOOKUP(J$10,'VK-Elekter'!$C:$X,2+$D78,0))+IF(J$9="X",VLOOKUP(J$10,'VK-Biokütused'!$C:$U,2+$E78,0))+IF(J$5="X",VLOOKUP(J$10,'VK-Põlevkivi'!$C:$X,2+$G78,0))+IF(J$4="X",VLOOKUP(J$10,'VK-Võrgud'!$C:$X,2+$F78,0))</f>
        <v>11.138055555555555</v>
      </c>
      <c r="K78" s="209">
        <f>IF(K$7="X",VLOOKUP(K$10,'VK-Hooned-Soojus'!$C:$X,2+$C78,FALSE),0)+IF(K$6="X",VLOOKUP(K$10,'VK-Transport'!$C:$X,2+$B78,0))+IF(K$8="X",VLOOKUP(K$10,'VK-Elekter'!$C:$X,2+$D78,0))+IF(K$9="X",VLOOKUP(K$10,'VK-Biokütused'!$C:$U,2+$E78,0))+IF(K$5="X",VLOOKUP(K$10,'VK-Põlevkivi'!$C:$X,2+$G78,0))+IF(K$4="X",VLOOKUP(K$10,'VK-Võrgud'!$C:$X,2+$F78,0))</f>
        <v>15.27</v>
      </c>
      <c r="L78" s="209">
        <f>IF(L$7="X",VLOOKUP(L$10,'VK-Hooned-Soojus'!$C:$X,2+$C78,FALSE),0)+IF(L$6="X",VLOOKUP(L$10,'VK-Transport'!$C:$X,2+$B78,0))+IF(L$8="X",VLOOKUP(L$10,'VK-Elekter'!$C:$X,2+$D78,0))+IF(L$9="X",VLOOKUP(L$10,'VK-Biokütused'!$C:$U,2+$E78,0))+IF(L$5="X",VLOOKUP(L$10,'VK-Põlevkivi'!$C:$X,2+$G78,0))+IF(L$4="X",VLOOKUP(L$10,'VK-Võrgud'!$C:$X,2+$F78,0))</f>
        <v>24.2</v>
      </c>
      <c r="M78" s="209">
        <f>IF(M$7="X",VLOOKUP(M$10,'VK-Hooned-Soojus'!$C:$X,2+$C78,FALSE),0)+IF(M$6="X",VLOOKUP(M$10,'VK-Transport'!$C:$X,2+$B78,0))+IF(M$8="X",VLOOKUP(M$10,'VK-Elekter'!$C:$X,2+$D78,0))+IF(M$9="X",VLOOKUP(M$10,'VK-Biokütused'!$C:$U,2+$E78,0))+IF(M$5="X",VLOOKUP(M$10,'VK-Põlevkivi'!$C:$X,2+$G78,0))+IF(M$4="X",VLOOKUP(M$10,'VK-Võrgud'!$C:$X,2+$F78,0))</f>
        <v>9.8566666666666674</v>
      </c>
      <c r="N78" s="209">
        <f>IF(N$7="X",VLOOKUP(N$10,'VK-Hooned-Soojus'!$C:$X,2+$C78,FALSE),0)+IF(N$6="X",VLOOKUP(N$10,'VK-Transport'!$C:$X,2+$B78,0))+IF(N$8="X",VLOOKUP(N$10,'VK-Elekter'!$C:$X,2+$D78,0))+IF(N$9="X",VLOOKUP(N$10,'VK-Biokütused'!$C:$U,2+$E78,0))+IF(N$5="X",VLOOKUP(N$10,'VK-Põlevkivi'!$C:$X,2+$G78,0))+IF(N$4="X",VLOOKUP(N$10,'VK-Võrgud'!$C:$X,2+$F78,0))</f>
        <v>16.09</v>
      </c>
      <c r="O78" s="209">
        <f t="shared" si="60"/>
        <v>35.928055555555552</v>
      </c>
      <c r="P78" s="209"/>
      <c r="Q78" s="209">
        <f>(IF(Q$7="X",VLOOKUP(Q$10,'VK-Hooned-Soojus'!$C:$X,2+$C78,FALSE),0)+IF(Q$6="X",VLOOKUP(Q$10,'VK-Transport'!$C:$X,2+$B78,0))+IF(Q$8="X",VLOOKUP(Q$10,'VK-Elekter'!$C:$X,2+$D78,0))+IF(Q$9="X",VLOOKUP(Q$10,'VK-Biokütused'!$C:$U,2+$E78,0))+IF(Q$5="X",VLOOKUP(Q$10,'VK-Põlevkivi'!$C:$X,2+$G78,0))+IF(Q$4="X",VLOOKUP(Q$10,'VK-Võrgud'!$C:$X,2+$F78,0)))/1000</f>
        <v>5.0650000000000004</v>
      </c>
      <c r="R78" s="209">
        <f>(IF(R$7="X",VLOOKUP(R$10,'VK-Hooned-Soojus'!$C:$X,2+$C78,FALSE),0)+IF(R$6="X",VLOOKUP(R$10,'VK-Transport'!$C:$X,2+$B78,0))+IF(R$8="X",VLOOKUP(R$10,'VK-Elekter'!$C:$X,2+$D78,0))+IF(R$9="X",VLOOKUP(R$10,'VK-Biokütused'!$C:$U,2+$E78,0))+IF(R$5="X",VLOOKUP(R$10,'VK-Põlevkivi'!$C:$X,2+$G78,0))+IF(R$4="X",VLOOKUP(R$10,'VK-Võrgud'!$C:$X,2+$F78,0)))/1000</f>
        <v>2.9358823271229704</v>
      </c>
      <c r="S78" s="226">
        <f>VLOOKUP(S$10,'VK-Hooned-Soojus'!$C:$I,2+$C78,FALSE) + VLOOKUP(S$10,'VK-Transport'!$C:$I,2+$B78,FALSE)+ VLOOKUP(S$10,'VK-Biokütused'!$C:$G,2+$E78,FALSE)+ VLOOKUP(S$10,'VK-Elekter'!$C:$I,2+$D78,FALSE)+ VLOOKUP(S$10,'VK-Põlevkivi'!$C:$I,2+$G78,FALSE)+ VLOOKUP(S$10,'VK-Võrgud'!$C:$I,2+$F78,FALSE)</f>
        <v>1.7334403611861948E-2</v>
      </c>
      <c r="T78" s="226">
        <f>VLOOKUP(T$10,'VK-Hooned-Soojus'!$C:$I,2+$C78,FALSE) + VLOOKUP(T$10,'VK-Transport'!$C:$I,2+$B78,FALSE)+ VLOOKUP(T$10,'VK-Biokütused'!$C:$G,2+$E78,FALSE)+ VLOOKUP(T$10,'VK-Elekter'!$C:$I,2+$D78,FALSE)+ VLOOKUP(T$10,'VK-Põlevkivi'!$C:$I,2+$G78,FALSE)+ VLOOKUP(T$10,'VK-Võrgud'!$C:$I,2+$F78,FALSE)</f>
        <v>-1.423314868181251E-3</v>
      </c>
      <c r="U78" s="226">
        <f>VLOOKUP(U$10,'VK-Hooned-Soojus'!$C:$I,2+$C78,FALSE) + VLOOKUP(U$10,'VK-Transport'!$C:$I,2+$B78,FALSE)+ VLOOKUP(U$10,'VK-Biokütused'!$C:$G,2+$E78,FALSE)+ VLOOKUP(U$10,'VK-Elekter'!$C:$I,2+$D78,FALSE)+ VLOOKUP(U$10,'VK-Põlevkivi'!$C:$I,2+$G78,FALSE)+ VLOOKUP(U$10,'VK-Võrgud'!$C:$I,2+$F78,FALSE)</f>
        <v>5.2300374126382221E-3</v>
      </c>
      <c r="V78" s="226">
        <f>VLOOKUP(V$10,'VK-Hooned-Soojus'!$C:$I,2+$C78,FALSE) + VLOOKUP(V$10,'VK-Transport'!$C:$I,2+$B78,FALSE)+ VLOOKUP(V$10,'VK-Biokütused'!$C:$G,2+$E78,FALSE)+ VLOOKUP(V$10,'VK-Elekter'!$C:$I,2+$D78,FALSE)+ VLOOKUP(V$10,'VK-Põlevkivi'!$C:$I,2+$G78,FALSE)+ VLOOKUP(V$10,'VK-Võrgud'!$C:$I,2+$F78,FALSE)</f>
        <v>1.2191902146931924E-2</v>
      </c>
      <c r="W78" s="226">
        <f>VLOOKUP(W$10,'VK-Hooned-Soojus'!$C:$I,2+$C78,FALSE) + VLOOKUP(W$10,'VK-Transport'!$C:$I,2+$B78,FALSE)+ VLOOKUP(W$10,'VK-Biokütused'!$C:$G,2+$E78,FALSE)+ VLOOKUP(W$10,'VK-Elekter'!$C:$I,2+$D78,FALSE)+ VLOOKUP(W$10,'VK-Põlevkivi'!$C:$I,2+$G78,FALSE)+ VLOOKUP(W$10,'VK-Võrgud'!$C:$I,2+$F78,FALSE)</f>
        <v>-2.433616136310356E-2</v>
      </c>
      <c r="X78" s="226">
        <f>VLOOKUP(X$10,'VK-Hooned-Soojus'!$C:$I,2+$C78,FALSE) + VLOOKUP(X$10,'VK-Transport'!$C:$I,2+$B78,FALSE)+ VLOOKUP(X$10,'VK-Biokütused'!$C:$G,2+$E78,FALSE)+ VLOOKUP(X$10,'VK-Elekter'!$C:$I,2+$D78,FALSE)+ VLOOKUP(X$10,'VK-Põlevkivi'!$C:$I,2+$G78,FALSE)+ VLOOKUP(X$10,'VK-Võrgud'!$C:$I,2+$F78,FALSE)</f>
        <v>-3.0746609006432116E-2</v>
      </c>
      <c r="Y78" s="226">
        <f>VLOOKUP(Y$10,'VK-Hooned-Soojus'!$C:$I,2+$C78,FALSE) + VLOOKUP(Y$10,'VK-Transport'!$C:$I,2+$B78,FALSE)+ VLOOKUP(Y$10,'VK-Biokütused'!$C:$G,2+$E78,FALSE)+ VLOOKUP(Y$10,'VK-Elekter'!$C:$I,2+$D78,FALSE)+ VLOOKUP(Y$10,'VK-Põlevkivi'!$C:$I,2+$G78,FALSE)+ VLOOKUP(Y$10,'VK-Võrgud'!$C:$I,2+$F78,FALSE)</f>
        <v>-4.2163974435355994E-2</v>
      </c>
      <c r="Z78" s="227">
        <f>(S78*Tulemused!$Q$9*10+T78*Tulemused!$Q$10*10+KOMBI!U78*Tulemused!$Q$11*10+KOMBI!V78*Tulemused!$Q$12*10)*Tulemused!$Q$8+-(W78*Tulemused!$Q$14*10+KOMBI!X78*Tulemused!$Q$15*10+KOMBI!Y78*Tulemused!$Q$16*10)*Tulemused!$Q$13</f>
        <v>4.6404390149957502</v>
      </c>
      <c r="AA78" s="228">
        <f>(IF(AA$7="X",VLOOKUP(AA$10,'VK-Hooned-Soojus'!$C:$X,2+$C78,FALSE),0)+IF(AA$6="X",VLOOKUP(AA$10,'VK-Transport'!$C:$X,2+$B78,0))+IF(AA$8="X",VLOOKUP(AA$10,'VK-Elekter'!$C:$X,2+$D78,0))+IF(AA$9="X",VLOOKUP(AA$10,'VK-Biokütused'!$C:$U,2+$E78,0))+IF(AA$5="X",VLOOKUP(AA$10,'VK-Põlevkivi'!$C:$X,2+$G78,0))+IF(AA$4="X",VLOOKUP(AA$10,'VK-Võrgud'!$C:$X,2+$F78,0)))</f>
        <v>3728</v>
      </c>
      <c r="AB78" s="228">
        <f>(IF(AB$7="X",VLOOKUP(AB$10,'VK-Hooned-Soojus'!$C:$X,2+$C78,FALSE),0)+IF(AB$6="X",VLOOKUP(AB$10,'VK-Transport'!$C:$X,2+$B78,0))+IF(AB$8="X",VLOOKUP(AB$10,'VK-Elekter'!$C:$X,2+$D78,0))+IF(AB$9="X",VLOOKUP(AB$10,'VK-Biokütused'!$C:$U,2+$E78,0))+IF(AB$5="X",VLOOKUP(AB$10,'VK-Põlevkivi'!$C:$X,2+$G78,0))+IF(AB$4="X",VLOOKUP(AB$10,'VK-Võrgud'!$C:$X,2+$F78,0)))</f>
        <v>1337</v>
      </c>
      <c r="AC78" s="228">
        <f>(IF(AC$7="X",VLOOKUP(AC$10,'VK-Hooned-Soojus'!$C:$X,2+$C78,FALSE),0)+IF(AC$6="X",VLOOKUP(AC$10,'VK-Transport'!$C:$X,2+$B78,0))+IF(AC$8="X",VLOOKUP(AC$10,'VK-Elekter'!$C:$X,2+$D78,0))+IF(AC$9="X",VLOOKUP(AC$10,'VK-Biokütused'!$C:$U,2+$E78,0))+IF(AC$5="X",VLOOKUP(AC$10,'VK-Põlevkivi'!$C:$X,2+$G78,0))+IF(AC$4="X",VLOOKUP(AC$10,'VK-Võrgud'!$C:$X,2+$F78,0)))</f>
        <v>2346</v>
      </c>
      <c r="AD78" s="228">
        <f>(IF(AD$7="X",VLOOKUP(AD$10,'VK-Hooned-Soojus'!$C:$X,2+$C78,FALSE),0)+IF(AD$6="X",VLOOKUP(AD$10,'VK-Transport'!$C:$X,2+$B78,0))+IF(AD$8="X",VLOOKUP(AD$10,'VK-Elekter'!$C:$X,2+$D78,0))+IF(AD$9="X",VLOOKUP(AD$10,'VK-Biokütused'!$C:$U,2+$E78,0))+IF(AD$5="X",VLOOKUP(AD$10,'VK-Põlevkivi'!$C:$X,2+$G78,0))+IF(AD$4="X",VLOOKUP(AD$10,'VK-Võrgud'!$C:$X,2+$F78,0)))</f>
        <v>377.5</v>
      </c>
      <c r="AE78" s="228">
        <f>(IF(AE$7="X",VLOOKUP(AE$10,'VK-Hooned-Soojus'!$C:$X,2+$C78,FALSE),0)+IF(AE$6="X",VLOOKUP(AE$10,'VK-Transport'!$C:$X,2+$B78,0))+IF(AE$8="X",VLOOKUP(AE$10,'VK-Elekter'!$C:$X,2+$D78,0))+IF(AE$9="X",VLOOKUP(AE$10,'VK-Biokütused'!$C:$U,2+$E78,0))+IF(AE$5="X",VLOOKUP(AE$10,'VK-Põlevkivi'!$C:$X,2+$G78,0))+IF(AE$4="X",VLOOKUP(AE$10,'VK-Võrgud'!$C:$X,2+$F78,0)))</f>
        <v>666</v>
      </c>
      <c r="AF78" s="228">
        <f>(IF(AF$7="X",VLOOKUP(AF$10,'VK-Hooned-Soojus'!$C:$X,2+$C78,FALSE),0)+IF(AF$6="X",VLOOKUP(AF$10,'VK-Transport'!$C:$X,2+$B78,0))+IF(AF$8="X",VLOOKUP(AF$10,'VK-Elekter'!$C:$X,2+$D78,0))+IF(AF$9="X",VLOOKUP(AF$10,'VK-Biokütused'!$C:$U,2+$E78,0))+IF(AF$5="X",VLOOKUP(AF$10,'VK-Põlevkivi'!$C:$X,2+$G78,0))+IF(AF$4="X",VLOOKUP(AF$10,'VK-Võrgud'!$C:$X,2+$F78,0)))</f>
        <v>1892.3823271229701</v>
      </c>
      <c r="AG78" s="209"/>
      <c r="AH78" s="209">
        <f>IF(AH$7="X",VLOOKUP(AH$10,'VK-Hooned-Soojus'!$C:$X,2+$C78,FALSE),0)+IF(AH$6="X",VLOOKUP(AH$10,'VK-Transport'!$C:$X,2+$B78,0))+IF(AH$8="X",VLOOKUP(AH$10,'VK-Elekter'!$C:$X,2+$D78,0))+IF(AH$9="X",VLOOKUP(AH$10,'VK-Biokütused'!$C:$U,2+$E78,0))+IF(AH$5="X",VLOOKUP(AH$10,'VK-Põlevkivi'!$C:$X,2+$G78,0))+IF(AH$4="X",VLOOKUP(AH$10,'VK-Võrgud'!$C:$X,2+$F78,0))</f>
        <v>11.579999999999998</v>
      </c>
      <c r="AI78" s="209">
        <f>IF(AI$7="X",VLOOKUP(AI$10,'VK-Hooned-Soojus'!$C:$X,2+$C78,FALSE),0)+IF(AI$6="X",VLOOKUP(AI$10,'VK-Transport'!$C:$X,2+$B78,0))+IF(AI$8="X",VLOOKUP(AI$10,'VK-Elekter'!$C:$X,2+$D78,0))+IF(AI$9="X",VLOOKUP(AI$10,'VK-Biokütused'!$C:$U,2+$E78,0))+IF(AI$5="X",VLOOKUP(AI$10,'VK-Põlevkivi'!$C:$X,2+$G78,0))+IF(AI$4="X",VLOOKUP(AI$10,'VK-Võrgud'!$C:$X,2+$F78,0))</f>
        <v>4.45</v>
      </c>
      <c r="AJ78" s="209">
        <f>IF(AJ$7="X",VLOOKUP(AJ$10,'VK-Hooned-Soojus'!$C:$X,2+$C78,FALSE),0)+IF(AJ$6="X",VLOOKUP(AJ$10,'VK-Transport'!$C:$X,2+$B78,0))+IF(AJ$8="X",VLOOKUP(AJ$10,'VK-Elekter'!$C:$X,2+$D78,0))+IF(AJ$9="X",VLOOKUP(AJ$10,'VK-Biokütused'!$C:$U,2+$E78,0))+IF(AJ$5="X",VLOOKUP(AJ$10,'VK-Põlevkivi'!$C:$X,2+$G78,0))+IF(AJ$4="X",VLOOKUP(AJ$10,'VK-Võrgud'!$C:$X,2+$F78,0))</f>
        <v>9.19</v>
      </c>
      <c r="AK78" s="209">
        <f>IF(AK$7="X",VLOOKUP(AK$10,'VK-Hooned-Soojus'!$C:$X,2+$C78,FALSE),0)+IF(AK$6="X",VLOOKUP(AK$10,'VK-Transport'!$C:$X,2+$B78,0))+IF(AK$8="X",VLOOKUP(AK$10,'VK-Elekter'!$C:$X,2+$D78,0))+IF(AK$9="X",VLOOKUP(AK$10,'VK-Biokütused'!$C:$U,2+$E78,0))+IF(AK$5="X",VLOOKUP(AK$10,'VK-Põlevkivi'!$C:$X,2+$G78,0))+IF(AK$4="X",VLOOKUP(AK$10,'VK-Võrgud'!$C:$X,2+$F78,0))</f>
        <v>0.66</v>
      </c>
      <c r="AL78" s="209">
        <f>IF(AL$7="X",VLOOKUP(AL$10,'VK-Hooned-Soojus'!$C:$X,2+$C78,FALSE),0)+IF(AL$6="X",VLOOKUP(AL$10,'VK-Transport'!$C:$X,2+$B78,0))+IF(AL$8="X",VLOOKUP(AL$10,'VK-Elekter'!$C:$X,2+$D78,0))+IF(AL$9="X",VLOOKUP(AL$10,'VK-Biokütused'!$C:$U,2+$E78,0))+IF(AL$5="X",VLOOKUP(AL$10,'VK-Põlevkivi'!$C:$X,2+$G78,0))+IF(AL$4="X",VLOOKUP(AL$10,'VK-Võrgud'!$C:$X,2+$F78,0))</f>
        <v>7.1999999999999993</v>
      </c>
      <c r="AM78" s="209">
        <f>IF(AM$7="X",VLOOKUP(AM$10,'VK-Hooned-Soojus'!$C:$X,2+$C78,FALSE),0)+IF(AM$6="X",VLOOKUP(AM$10,'VK-Transport'!$C:$X,2+$B78,0))+IF(AM$8="X",VLOOKUP(AM$10,'VK-Elekter'!$C:$X,2+$D78,0))+IF(AM$9="X",VLOOKUP(AM$10,'VK-Biokütused'!$C:$U,2+$E78,0))+IF(AM$5="X",VLOOKUP(AM$10,'VK-Põlevkivi'!$C:$X,2+$G78,0))+IF(AM$4="X",VLOOKUP(AM$10,'VK-Võrgud'!$C:$X,2+$F78,0))</f>
        <v>11.9</v>
      </c>
      <c r="AN78" s="209">
        <f>IF(AN$7="X",VLOOKUP(AN$10,'VK-Hooned-Soojus'!$C:$X,2+$C78,FALSE),0)+IF(AN$6="X",VLOOKUP(AN$10,'VK-Transport'!$C:$X,2+$B78,0))+IF(AN$8="X",VLOOKUP(AN$10,'VK-Elekter'!$C:$X,2+$D78,0))+IF(AN$9="X",VLOOKUP(AN$10,'VK-Biokütused'!$C:$U,2+$E78,0))+IF(AN$5="X",VLOOKUP(AN$10,'VK-Põlevkivi'!$C:$X,2+$G78,0))+IF(AN$4="X",VLOOKUP(AN$10,'VK-Võrgud'!$C:$X,2+$F78,0))</f>
        <v>4.8999999999999995</v>
      </c>
      <c r="AO78" s="209">
        <f>IF(AO$7="X",VLOOKUP(AO$10,'VK-Hooned-Soojus'!$C:$X,2+$C78,FALSE),0)+IF(AO$6="X",VLOOKUP(AO$10,'VK-Transport'!$C:$X,2+$B78,0))+IF(AO$8="X",VLOOKUP(AO$10,'VK-Elekter'!$C:$X,2+$D78,0))+IF(AO$9="X",VLOOKUP(AO$10,'VK-Biokütused'!$C:$U,2+$E78,0))+IF(AO$5="X",VLOOKUP(AO$10,'VK-Põlevkivi'!$C:$X,2+$G78,0))+IF(AO$4="X",VLOOKUP(AO$10,'VK-Võrgud'!$C:$X,2+$F78,0))</f>
        <v>12.56</v>
      </c>
      <c r="AP78" s="209">
        <f>IF(AP$7="X",VLOOKUP(AP$10,'VK-Hooned-Soojus'!$C:$X,2+$C78,FALSE),0)+IF(AP$6="X",VLOOKUP(AP$10,'VK-Transport'!$C:$X,2+$B78,0))+IF(AP$8="X",VLOOKUP(AP$10,'VK-Elekter'!$C:$X,2+$D78,0))+IF(AP$9="X",VLOOKUP(AP$10,'VK-Biokütused'!$C:$U,2+$E78,0))+IF(AP$5="X",VLOOKUP(AP$10,'VK-Põlevkivi'!$C:$X,2+$G78,0))+IF(AP$4="X",VLOOKUP(AP$10,'VK-Võrgud'!$C:$X,2+$F78,0))</f>
        <v>6.28</v>
      </c>
      <c r="AQ78" s="320">
        <f t="shared" si="61"/>
        <v>0.25999999999999979</v>
      </c>
      <c r="AR78" s="209">
        <f>IF(AR$7="X",VLOOKUP(AR$10,'VK-Hooned-Soojus'!$C:$X,2+$C78,FALSE),0)+IF(AR$6="X",VLOOKUP(AR$10,'VK-Transport'!$C:$X,2+$B78,0))+IF(AR$8="X",VLOOKUP(AR$10,'VK-Elekter'!$C:$X,2+$D78,0))+IF(AR$9="X",VLOOKUP(AR$10,'VK-Biokütused'!$C:$U,2+$E78,0))+IF(AR$5="X",VLOOKUP(AR$10,'VK-Põlevkivi'!$C:$X,2+$G78,0))+IF(AR$4="X",VLOOKUP(AR$10,'VK-Võrgud'!$C:$X,2+$F78,0))</f>
        <v>2.8899999999999997</v>
      </c>
      <c r="AS78" s="320">
        <f>VLOOKUP("Kütuste tarbimine @ 2030 - UTTEGAAS",'VK-Hooned-Soojus'!$C:$X,2+$C78,FALSE)/0.172+VLOOKUP("Kütuste tarbimine @ 2030 - UTTEGAAS",'VK-Elekter'!$C:$X,2+$D78,FALSE)/0.172-AR78-AU78</f>
        <v>2.8565116279069773</v>
      </c>
      <c r="AT78" s="209">
        <f>IF(AT$7="X",VLOOKUP(AT$10,'VK-Hooned-Soojus'!$C:$X,2+$C78,FALSE),0)+IF(AT$6="X",VLOOKUP(AT$10,'VK-Transport'!$C:$X,2+$B78,0))+IF(AT$8="X",VLOOKUP(AT$10,'VK-Elekter'!$C:$X,2+$D78,0))+IF(AT$9="X",VLOOKUP(AT$10,'VK-Biokütused'!$C:$U,2+$E78,0))+IF(AT$5="X",VLOOKUP(AT$10,'VK-Põlevkivi'!$C:$X,2+$G78,0))+IF(AT$4="X",VLOOKUP(AT$10,'VK-Võrgud'!$C:$X,2+$F78,0))</f>
        <v>9.2784458909544707</v>
      </c>
      <c r="AU78" s="229">
        <f>MAX(0,(VLOOKUP("Kütuste tarbimine @ 2030 - UTTEGAAS",'VK-Hooned-Soojus'!$C:$X,2+$C78,FALSE)/0.172+VLOOKUP("Kütuste tarbimine @ 2030 - UTTEGAAS",'VK-Elekter'!$C:$X,2+$D78,FALSE)/0.172)*0.52-VLOOKUP("Kütuste tarbimine @ 2030 - PÕLEVKIVIÕLI",'VK-Hooned-Soojus'!$C:$X,2+$C78,FALSE))</f>
        <v>5.1837209302325586</v>
      </c>
      <c r="AV78" s="209">
        <f>IF(AV$7="X",VLOOKUP(AV$10,'VK-Hooned-Soojus'!$C:$X,2+$C78,FALSE),0)+IF(AV$6="X",VLOOKUP(AV$10,'VK-Transport'!$C:$X,2+$B78,0))+IF(AV$8="X",VLOOKUP(AV$10,'VK-Elekter'!$C:$X,2+$D78,0))+IF(AV$9="X",VLOOKUP(AV$10,'VK-Biokütused'!$C:$U,2+$E78,0))+IF(AV$5="X",VLOOKUP(AV$10,'VK-Põlevkivi'!$C:$X,2+$G78,0))+IF(AV$4="X",VLOOKUP(AV$10,'VK-Võrgud'!$C:$X,2+$F78,0))</f>
        <v>1.7257321590343366</v>
      </c>
      <c r="AW78" s="209">
        <f>IF(AW$7="X",VLOOKUP(AW$10,'VK-Hooned-Soojus'!$C:$X,2+$C78,FALSE),0)+IF(AW$6="X",VLOOKUP(AW$10,'VK-Transport'!$C:$X,2+$B78,0))+IF(AW$8="X",VLOOKUP(AW$10,'VK-Elekter'!$C:$X,2+$D78,0))+IF(AW$9="X",VLOOKUP(AW$10,'VK-Biokütused'!$C:$U,2+$E78,0))+IF(AW$5="X",VLOOKUP(AW$10,'VK-Põlevkivi'!$C:$X,2+$G78,0))+IF(AW$4="X",VLOOKUP(AW$10,'VK-Võrgud'!$C:$X,2+$F78,0))</f>
        <v>2.141</v>
      </c>
      <c r="AX78" s="229">
        <f t="shared" si="62"/>
        <v>0.41526784096566338</v>
      </c>
      <c r="AY78" s="229">
        <f t="shared" si="63"/>
        <v>0</v>
      </c>
      <c r="AZ78" s="230">
        <f t="shared" si="48"/>
        <v>0.50338040312452959</v>
      </c>
      <c r="BA78" s="209">
        <f>IF(BA$7="X",VLOOKUP(BA$10,'VK-Hooned-Soojus'!$C:$X,2+$C78,FALSE),0)+IF(BA$6="X",VLOOKUP(BA$10,'VK-Transport'!$C:$X,2+$B78,0))+IF(BA$8="X",VLOOKUP(BA$10,'VK-Elekter'!$C:$X,2+$D78,0))+IF(BA$9="X",VLOOKUP(BA$10,'VK-Biokütused'!$C:$U,2+$E78,0))+IF(BA$5="X",VLOOKUP(BA$10,'VK-Põlevkivi'!$C:$X,2+$G78,0))+IF(BA$4="X",VLOOKUP(BA$10,'VK-Võrgud'!$C:$X,2+$F78,0))</f>
        <v>4.2</v>
      </c>
      <c r="BB78" s="209">
        <f>IF(BB$7="X",VLOOKUP(BB$10,'VK-Hooned-Soojus'!$C:$X,2+$C78,FALSE),0)+IF(BB$6="X",VLOOKUP(BB$10,'VK-Transport'!$C:$X,2+$B78,0))+IF(BB$8="X",VLOOKUP(BB$10,'VK-Elekter'!$C:$X,2+$D78,0))+IF(BB$9="X",VLOOKUP(BB$10,'VK-Biokütused'!$C:$U,2+$E78,0))+IF(BB$5="X",VLOOKUP(BB$10,'VK-Põlevkivi'!$C:$X,2+$G78,0))+IF(BB$4="X",VLOOKUP(BB$10,'VK-Võrgud'!$C:$X,2+$F78,0))</f>
        <v>5.1000000000000005</v>
      </c>
      <c r="BC78" s="209">
        <f>IF(BC$7="X",VLOOKUP(BC$10,'VK-Hooned-Soojus'!$C:$X,2+$C78,FALSE),0)+IF(BC$6="X",VLOOKUP(BC$10,'VK-Transport'!$C:$X,2+$B78,0))+IF(BC$8="X",VLOOKUP(BC$10,'VK-Elekter'!$C:$X,2+$D78,0))+IF(BC$9="X",VLOOKUP(BC$10,'VK-Biokütused'!$C:$U,2+$E78,0))+IF(BC$5="X",VLOOKUP(BC$10,'VK-Põlevkivi'!$C:$X,2+$G78,0))+IF(BC$4="X",VLOOKUP(BC$10,'VK-Võrgud'!$C:$X,2+$F78,0))</f>
        <v>6.5993333333333322</v>
      </c>
      <c r="BD78" s="209">
        <f>IF(BD$7="X",VLOOKUP(BD$10,'VK-Hooned-Soojus'!$C:$X,2+$C78,FALSE),0)+IF(BD$6="X",VLOOKUP(BD$10,'VK-Transport'!$C:$X,2+$B78,0))+IF(BD$8="X",VLOOKUP(BD$10,'VK-Elekter'!$C:$X,2+$D78,0))+IF(BD$9="X",VLOOKUP(BD$10,'VK-Biokütused'!$C:$U,2+$E78,0))+IF(BD$5="X",VLOOKUP(BD$10,'VK-Põlevkivi'!$C:$X,2+$G78,0))+IF(BD$4="X",VLOOKUP(BD$10,'VK-Võrgud'!$C:$X,2+$F78,0))</f>
        <v>9.425416666666667</v>
      </c>
      <c r="BE78" s="230"/>
      <c r="BF78" s="229">
        <f t="shared" si="64"/>
        <v>0.37462130684838824</v>
      </c>
      <c r="BG78" s="209" t="e">
        <f>(IF(BG$7="X",VLOOKUP(BG$10,'VK-Hooned-Soojus'!$C:$X,2+$C78,FALSE),0)+IF(BG$6="X",VLOOKUP(BG$10,'VK-Transport'!$C:$X,2+$B78,0))+IF(BG$8="X",VLOOKUP(BG$10,'VK-Elekter'!$C:$X,2+$D78,0))+IF(BG$9="X",VLOOKUP(BG$10,'VK-Biokütused'!$C:$U,2+$E78,0))+IF(BG$5="X",VLOOKUP(BG$10,'VK-Põlevkivi'!$C:$X,2+$G78,0))+IF(BG$4="X",VLOOKUP(BG$10,'VK-Võrgud'!$C:$X,2+$F78,0)))/20</f>
        <v>#N/A</v>
      </c>
      <c r="BH78" s="209">
        <f>(IF(BH$7="X",VLOOKUP(BH$10,'VK-Hooned-Soojus'!$C:$X,2+$C78,FALSE),0)+IF(BH$6="X",VLOOKUP(BH$10,'VK-Transport'!$C:$X,2+$B78,0))+IF(BH$8="X",VLOOKUP(BH$10,'VK-Elekter'!$C:$X,2+$D78,0))+IF(BH$9="X",VLOOKUP(BH$10,'VK-Biokütused'!$C:$U,2+$E78,0))+IF(BH$5="X",VLOOKUP(BH$10,'VK-Põlevkivi'!$C:$X,2+$G78,0))+IF(BH$4="X",VLOOKUP(BH$10,'VK-Võrgud'!$C:$X,2+$F78,0)))/20</f>
        <v>45.08</v>
      </c>
      <c r="BI78" s="209">
        <f>(IF(BI$7="X",VLOOKUP(BI$10,'VK-Hooned-Soojus'!$C:$X,2+$C78,FALSE),0)+IF(BI$6="X",VLOOKUP(BI$10,'VK-Transport'!$C:$X,2+$B78,0))+IF(BI$8="X",VLOOKUP(BI$10,'VK-Elekter'!$C:$X,2+$D78,0))+IF(BI$9="X",VLOOKUP(BI$10,'VK-Biokütused'!$C:$U,2+$E78,0))+IF(BI$5="X",VLOOKUP(BI$10,'VK-Põlevkivi'!$C:$X,2+$G78,0))+IF(BI$4="X",VLOOKUP(BI$10,'VK-Võrgud'!$C:$X,2+$F78,0)))/16</f>
        <v>14.1875</v>
      </c>
      <c r="BJ78" s="209">
        <f>(IF(BJ$7="X",VLOOKUP(BJ$10,'VK-Hooned-Soojus'!$C:$X,2+$C78,FALSE),0)+IF(BJ$6="X",VLOOKUP(BJ$10,'VK-Transport'!$C:$X,2+$B78,0))+IF(BJ$8="X",VLOOKUP(BJ$10,'VK-Elekter'!$C:$X,2+$D78,0))+IF(BJ$9="X",VLOOKUP(BJ$10,'VK-Biokütused'!$C:$U,2+$E78,0))+IF(BJ$5="X",VLOOKUP(BJ$10,'VK-Põlevkivi'!$C:$X,2+$G78,0))+IF(BJ$4="X",VLOOKUP(BJ$10,'VK-Võrgud'!$C:$X,2+$F78,0)))/20</f>
        <v>3.91</v>
      </c>
      <c r="BK78" s="209"/>
      <c r="BL78" s="209"/>
      <c r="BM78" s="209"/>
      <c r="BN78" s="209" t="e">
        <f>(IF(BN$7="X",VLOOKUP(BN$10,'VK-Hooned-Soojus'!$C:$X,2+$C78,FALSE),0)+IF(BN$6="X",VLOOKUP(BN$10,'VK-Transport'!$C:$X,2+$B78,0))+IF(BN$8="X",VLOOKUP(BN$10,'VK-Elekter'!$C:$X,2+$D78,0))+IF(BN$9="X",VLOOKUP(BN$10,'VK-Biokütused'!$C:$U,2+$E78,0))+IF(BN$5="X",VLOOKUP(BN$10,'VK-Põlevkivi'!$C:$X,2+$G78,0))+IF(BN$4="X",VLOOKUP(BN$10,'VK-Võrgud'!$C:$X,2+$F78,0)))/16</f>
        <v>#N/A</v>
      </c>
      <c r="BO78" s="209">
        <f>(IF(BO$7="X",VLOOKUP(BO$10,'VK-Hooned-Soojus'!$C:$X,2+$C78,FALSE),0)+IF(BO$6="X",VLOOKUP(BO$10,'VK-Transport'!$C:$X,2+$B78,0))+IF(BO$8="X",VLOOKUP(BO$10,'VK-Elekter'!$C:$X,2+$D78,0))+IF(BO$9="X",VLOOKUP(BO$10,'VK-Biokütused'!$C:$U,2+$E78,0))+IF(BO$5="X",VLOOKUP(BO$10,'VK-Põlevkivi'!$C:$X,2+$G78,0))+IF(BO$4="X",VLOOKUP(BO$10,'VK-Võrgud'!$C:$X,2+$F78,0)))/16</f>
        <v>405.45</v>
      </c>
      <c r="BP78" s="209"/>
      <c r="BQ78" s="209">
        <f>(IF(BQ$7="X",VLOOKUP(BQ$10,'VK-Hooned-Soojus'!$C:$X,2+$C78,FALSE),0)+IF(BQ$6="X",VLOOKUP(BQ$10,'VK-Transport'!$C:$X,2+$B78,0))+IF(BQ$8="X",VLOOKUP(BQ$10,'VK-Elekter'!$C:$X,2+$D78,0))+IF(BQ$9="X",VLOOKUP(BQ$10,'VK-Biokütused'!$C:$U,2+$E78,0))+IF(BQ$5="X",VLOOKUP(BQ$10,'VK-Põlevkivi'!$C:$X,2+$G78,0))+IF(BQ$4="X",VLOOKUP(BQ$10,'VK-Võrgud'!$C:$X,2+$F78,0)))/16</f>
        <v>127.6</v>
      </c>
      <c r="BR78" s="209">
        <f>(IF(BR$7="X",VLOOKUP(BR$10,'VK-Hooned-Soojus'!$C:$X,2+$C78,FALSE),0)+IF(BR$6="X",VLOOKUP(BR$10,'VK-Transport'!$C:$X,2+$B78,0))+IF(BR$8="X",VLOOKUP(BR$10,'VK-Elekter'!$C:$X,2+$D78,0))+IF(BR$9="X",VLOOKUP(BR$10,'VK-Biokütused'!$C:$U,2+$E78,0))+IF(BR$5="X",VLOOKUP(BR$10,'VK-Põlevkivi'!$C:$X,2+$G78,0))+IF(BR$4="X",VLOOKUP(BR$10,'VK-Võrgud'!$C:$X,2+$F78,0)))/16</f>
        <v>27.475000000000001</v>
      </c>
      <c r="BS78" s="209">
        <f>(IF(BS$7="X",VLOOKUP(BS$10,'VK-Hooned-Soojus'!$C:$X,2+$C78,FALSE),0)+IF(BS$6="X",VLOOKUP(BS$10,'VK-Transport'!$C:$X,2+$B78,0))+IF(BS$8="X",VLOOKUP(BS$10,'VK-Elekter'!$C:$X,2+$D78,0))+IF(BS$9="X",VLOOKUP(BS$10,'VK-Biokütused'!$C:$U,2+$E78,0))+IF(BS$5="X",VLOOKUP(BS$10,'VK-Põlevkivi'!$C:$X,2+$G78,0))+IF(BS$4="X",VLOOKUP(BS$10,'VK-Võrgud'!$C:$X,2+$F78,0)))/16</f>
        <v>-23.293749999999999</v>
      </c>
      <c r="BT78" s="209"/>
      <c r="BU78" s="209"/>
      <c r="BV78" s="209">
        <f>(IF(BV$7="X",VLOOKUP(BV$10,'VK-Hooned-Soojus'!$C:$X,2+$C78,FALSE),0)+IF(BV$6="X",VLOOKUP(BV$10,'VK-Transport'!$C:$X,2+$B78,0))+IF(BV$8="X",VLOOKUP(BV$10,'VK-Elekter'!$C:$X,2+$D78,0))+IF(BV$9="X",VLOOKUP(BV$10,'VK-Biokütused'!$C:$U,2+$E78,0))+IF(BV$5="X",VLOOKUP(BV$10,'VK-Põlevkivi'!$C:$X,2+$G78,0))+IF(BV$4="X",VLOOKUP(BV$10,'VK-Võrgud'!$C:$X,2+$F78,0)))/16</f>
        <v>0</v>
      </c>
      <c r="BW78" s="209"/>
      <c r="BX78" s="209">
        <f>(IF(BX$7="X",VLOOKUP(BX$10,'VK-Hooned-Soojus'!$C:$X,2+$C78,FALSE),0)+IF(BX$6="X",VLOOKUP(BX$10,'VK-Transport'!$C:$X,2+$B78,0))+IF(BX$8="X",VLOOKUP(BX$10,'VK-Elekter'!$C:$X,2+$D78,0))+IF(BX$9="X",VLOOKUP(BX$10,'VK-Biokütused'!$C:$U,2+$E78,0))+IF(BX$5="X",VLOOKUP(BX$10,'VK-Põlevkivi'!$C:$X,2+$G78,0))+IF(BX$4="X",VLOOKUP(BX$10,'VK-Võrgud'!$C:$X,2+$F78,0)))/16</f>
        <v>-99.4375</v>
      </c>
      <c r="BY78" s="209"/>
      <c r="BZ78" s="209"/>
      <c r="CA78" s="209" t="e">
        <f>(IF(CA$7="X",VLOOKUP(CA$10,'VK-Hooned-Soojus'!$C:$X,2+$C78,FALSE),0)+IF(CA$6="X",VLOOKUP(CA$10,'VK-Transport'!$C:$X,2+$B78,0))+IF(CA$8="X",VLOOKUP(CA$10,'VK-Elekter'!$C:$X,2+$D78,0))+IF(CA$9="X",VLOOKUP(CA$10,'VK-Biokütused'!$C:$U,2+$E78,0))+IF(CA$5="X",VLOOKUP(CA$10,'VK-Põlevkivi'!$C:$X,2+$G78,0))+IF(CA$4="X",VLOOKUP(CA$10,'VK-Võrgud'!$C:$X,2+$F78,0)))/16</f>
        <v>#N/A</v>
      </c>
      <c r="CB78" s="209">
        <f>(IF(CB$7="X",VLOOKUP(CB$10,'VK-Hooned-Soojus'!$C:$X,2+$C78,FALSE),0)+IF(CB$6="X",VLOOKUP(CB$10,'VK-Transport'!$C:$X,2+$B78,0))+IF(CB$8="X",VLOOKUP(CB$10,'VK-Elekter'!$C:$X,2+$D78,0))+IF(CB$9="X",VLOOKUP(CB$10,'VK-Biokütused'!$C:$U,2+$E78,0))+IF(CB$5="X",VLOOKUP(CB$10,'VK-Põlevkivi'!$C:$X,2+$G78,0))+IF(CB$4="X",VLOOKUP(CB$10,'VK-Võrgud'!$C:$X,2+$F78,0)))/16</f>
        <v>0</v>
      </c>
      <c r="CC78" s="209">
        <f>(IF(CC$7="X",VLOOKUP(CC$10,'VK-Hooned-Soojus'!$C:$X,2+$C78,FALSE),0)+IF(CC$6="X",VLOOKUP(CC$10,'VK-Transport'!$C:$X,2+$B78,0))+IF(CC$8="X",VLOOKUP(CC$10,'VK-Elekter'!$C:$X,2+$D78,0))+IF(CC$9="X",VLOOKUP(CC$10,'VK-Biokütused'!$C:$U,2+$E78,0))+IF(CC$5="X",VLOOKUP(CC$10,'VK-Põlevkivi'!$C:$X,2+$G78,0))+IF(CC$4="X",VLOOKUP(CC$10,'VK-Võrgud'!$C:$X,2+$F78,0)))/16</f>
        <v>0</v>
      </c>
      <c r="CD78" s="209"/>
      <c r="CE78" s="209">
        <f>(IF(CE$7="X",VLOOKUP(CE$10,'VK-Hooned-Soojus'!$C:$X,2+$C78,FALSE),0)+IF(CE$6="X",VLOOKUP(CE$10,'VK-Transport'!$C:$X,2+$B78,0))+IF(CE$8="X",VLOOKUP(CE$10,'VK-Elekter'!$C:$X,2+$D78,0))+IF(CE$9="X",VLOOKUP(CE$10,'VK-Biokütused'!$C:$U,2+$E78,0))+IF(CE$5="X",VLOOKUP(CE$10,'VK-Põlevkivi'!$C:$X,2+$G78,0))+IF(CE$4="X",VLOOKUP(CE$10,'VK-Võrgud'!$C:$X,2+$F78,0)))/16</f>
        <v>24.15625</v>
      </c>
      <c r="CF78" s="209"/>
      <c r="CG78" s="209">
        <f>(IF(CG$7="X",VLOOKUP(CG$10,'VK-Hooned-Soojus'!$C:$X,2+$C78,FALSE),0)+IF(CG$6="X",VLOOKUP(CG$10,'VK-Transport'!$C:$X,2+$B78,0))+IF(CG$8="X",VLOOKUP(CG$10,'VK-Elekter'!$C:$X,2+$D78,0))+IF(CG$9="X",VLOOKUP(CG$10,'VK-Biokütused'!$C:$U,2+$E78,0))+IF(CG$5="X",VLOOKUP(CG$10,'VK-Põlevkivi'!$C:$X,2+$G78,0))+IF(CG$4="X",VLOOKUP(CG$10,'VK-Võrgud'!$C:$X,2+$F78,0)))/16</f>
        <v>0</v>
      </c>
      <c r="CH78" s="209">
        <f>(IF(CH$7="X",VLOOKUP(CH$10,'VK-Hooned-Soojus'!$C:$X,2+$C78,FALSE),0)+IF(CH$6="X",VLOOKUP(CH$10,'VK-Transport'!$C:$X,2+$B78,0))+IF(CH$8="X",VLOOKUP(CH$10,'VK-Elekter'!$C:$X,2+$D78,0))+IF(CH$9="X",VLOOKUP(CH$10,'VK-Biokütused'!$C:$U,2+$E78,0))+IF(CH$5="X",VLOOKUP(CH$10,'VK-Põlevkivi'!$C:$X,2+$G78,0))+IF(CH$4="X",VLOOKUP(CH$10,'VK-Võrgud'!$C:$X,2+$F78,0)))/20*0.21</f>
        <v>11.225549999999998</v>
      </c>
      <c r="CI78" s="209"/>
      <c r="CJ78" s="209">
        <f>(IF(CJ$7="X",VLOOKUP(CJ$10,'VK-Hooned-Soojus'!$C:$X,2+$C78,FALSE),0)+IF(CJ$6="X",VLOOKUP(CJ$10,'VK-Transport'!$C:$X,2+$B78,0))+IF(CJ$8="X",VLOOKUP(CJ$10,'VK-Elekter'!$C:$X,2+$D78,0))+IF(CJ$9="X",VLOOKUP(CJ$10,'VK-Biokütused'!$C:$U,2+$E78,0))+IF(CJ$5="X",VLOOKUP(CJ$10,'VK-Põlevkivi'!$C:$X,2+$G78,0))+IF(CJ$4="X",VLOOKUP(CJ$10,'VK-Võrgud'!$C:$X,2+$F78,0)))/1000</f>
        <v>18.184861099430584</v>
      </c>
      <c r="CK78" s="209">
        <f>(IF(CK$7="X",VLOOKUP(CK$10,'VK-Hooned-Soojus'!$C:$X,2+$C78,FALSE),0)+IF(CK$6="X",VLOOKUP(CK$10,'VK-Transport'!$C:$X,2+$B78,0))+IF(CK$8="X",VLOOKUP(CK$10,'VK-Elekter'!$C:$X,2+$D78,0))+IF(CK$9="X",VLOOKUP(CK$10,'VK-Biokütused'!$C:$U,2+$E78,0))+IF(CK$5="X",VLOOKUP(CK$10,'VK-Põlevkivi'!$C:$X,2+$G78,0))+IF(CK$4="X",VLOOKUP(CK$10,'VK-Võrgud'!$C:$X,2+$F78,0)))/1000</f>
        <v>11.872324637900011</v>
      </c>
      <c r="CL78" s="235">
        <f>(IF(CL$7="X",VLOOKUP(CL$10,'VK-Hooned-Soojus'!$C:$X,2+$C78,FALSE),0)+IF(CL$6="X",VLOOKUP(CL$10,'VK-Transport'!$C:$X,2+$B78,0))+IF(CL$8="X",VLOOKUP(CL$10,'VK-Elekter'!$C:$X,2+$D78,0))+IF(CL$9="X",VLOOKUP(CL$10,'VK-Biokütused'!$C:$U,2+$E78,0)))/1000</f>
        <v>8.4199419404241382</v>
      </c>
      <c r="CM78" s="209">
        <f>(IF(CM$7="X",VLOOKUP(CM$10,'VK-Hooned-Soojus'!$C:$X,2+$C78,FALSE),0)+IF(CM$6="X",VLOOKUP(CM$10,'VK-Transport'!$C:$X,2+$B78,0))+IF(CM$8="X",VLOOKUP(CM$10,'VK-Elekter'!$C:$X,2+$D78,0))+IF(CM$9="X",VLOOKUP(CM$10,'VK-Biokütused'!$C:$U,2+$E78,0))+IF(CM$5="X",VLOOKUP(CM$10,'VK-Põlevkivi'!$C:$X,2+$G78,0))+IF(CM$4="X",VLOOKUP(CM$10,'VK-Võrgud'!$C:$X,2+$F78,0)))/1000</f>
        <v>7.7863156794471022</v>
      </c>
      <c r="CN78" s="209">
        <f>(IF(CN$7="X",VLOOKUP(CN$10,'VK-Hooned-Soojus'!$C:$X,2+$C78,FALSE),0)+IF(CN$6="X",VLOOKUP(CN$10,'VK-Transport'!$C:$X,2+$B78,0))+IF(CN$8="X",VLOOKUP(CN$10,'VK-Elekter'!$C:$X,2+$D78,0))+IF(CN$9="X",VLOOKUP(CN$10,'VK-Biokütused'!$C:$U,2+$E78,0))+IF(CN$5="X",VLOOKUP(CN$10,'VK-Põlevkivi'!$C:$X,2+$G78,0))+IF(CN$4="X",VLOOKUP(CN$10,'VK-Võrgud'!$C:$X,2+$F78,0)))/1000</f>
        <v>2.9929999999999999</v>
      </c>
      <c r="CO78" s="209">
        <f>(IF(CO$7="X",VLOOKUP(CO$10,'VK-Hooned-Soojus'!$C:$X,2+$C78,FALSE),0)+IF(CO$6="X",VLOOKUP(CO$10,'VK-Transport'!$C:$X,2+$B78,0))+IF(CO$8="X",VLOOKUP(CO$10,'VK-Elekter'!$C:$X,2+$D78,0))+IF(CO$9="X",VLOOKUP(CO$10,'VK-Biokütused'!$C:$U,2+$E78,0))+IF(CO$5="X",VLOOKUP(CO$10,'VK-Põlevkivi'!$C:$X,2+$G78,0))+IF(CO$4="X",VLOOKUP(CO$10,'VK-Võrgud'!$C:$X,2+$F78,0)))/1000</f>
        <v>24.017575210797279</v>
      </c>
      <c r="CP78" s="209">
        <f>(IF(CP$7="X",VLOOKUP(CP$10,'VK-Hooned-Soojus'!$C:$X,2+$C78,FALSE),0)+IF(CP$6="X",VLOOKUP(CP$10,'VK-Transport'!$C:$X,2+$B78,0))+IF(CP$8="X",VLOOKUP(CP$10,'VK-Elekter'!$C:$X,2+$D78,0))+IF(CP$9="X",VLOOKUP(CP$10,'VK-Biokütused'!$C:$U,2+$E78,0))+IF(CP$5="X",VLOOKUP(CP$10,'VK-Põlevkivi'!$C:$X,2+$G78,0))+IF(CP$4="X",VLOOKUP(CP$10,'VK-Võrgud'!$C:$X,2+$F78,0)))/1000</f>
        <v>13.441994830349824</v>
      </c>
      <c r="CQ78" s="235">
        <f>(IF(CQ$7="X",VLOOKUP(CQ$10,'VK-Hooned-Soojus'!$C:$X,2+$C78,FALSE),0)+IF(CQ$6="X",VLOOKUP(CQ$10,'VK-Transport'!$C:$X,2+$B78,0))+IF(CQ$8="X",VLOOKUP(CQ$10,'VK-Elekter'!$C:$X,2+$D78,0))+IF(CQ$9="X",VLOOKUP(CQ$10,'VK-Biokütused'!$C:$U,2+$E78,0)))/1000</f>
        <v>10.636346</v>
      </c>
      <c r="CR78" s="209">
        <f>(IF(CR$7="X",VLOOKUP(CR$10,'VK-Hooned-Soojus'!$C:$X,2+$C78,FALSE),0)+IF(CR$6="X",VLOOKUP(CR$10,'VK-Transport'!$C:$X,2+$B78,0))+IF(CR$8="X",VLOOKUP(CR$10,'VK-Elekter'!$C:$X,2+$D78,0))+IF(CR$9="X",VLOOKUP(CR$10,'VK-Biokütused'!$C:$U,2+$E78,0))+IF(CR$5="X",VLOOKUP(CR$10,'VK-Põlevkivi'!$C:$X,2+$G78,0))+IF(CR$4="X",VLOOKUP(CR$10,'VK-Võrgud'!$C:$X,2+$F78,0)))/1000</f>
        <v>7.8760872784575753</v>
      </c>
      <c r="CS78" s="209">
        <f>(IF(CS$7="X",VLOOKUP(CS$10,'VK-Hooned-Soojus'!$C:$X,2+$C78,FALSE),0)+IF(CS$6="X",VLOOKUP(CS$10,'VK-Transport'!$C:$X,2+$B78,0))+IF(CS$8="X",VLOOKUP(CS$10,'VK-Elekter'!$C:$X,2+$D78,0))+IF(CS$9="X",VLOOKUP(CS$10,'VK-Biokütused'!$C:$U,2+$E78,0))+IF(CS$5="X",VLOOKUP(CS$10,'VK-Põlevkivi'!$C:$X,2+$G78,0))+IF(CS$4="X",VLOOKUP(CS$10,'VK-Võrgud'!$C:$X,2+$F78,0)))/1000</f>
        <v>3.8443344900598322</v>
      </c>
      <c r="CT78" s="209">
        <f>IF(CT$7="X",VLOOKUP(CT$10,'VK-Hooned-Soojus'!$C:$X,2+$C78,FALSE),0)+IF(CT$6="X",VLOOKUP(CT$10,'VK-Transport'!$C:$X,2+$B78,0))+IF(CT$8="X",VLOOKUP(CT$10,'VK-Elekter'!$C:$X,2+$D78,0))+IF(CT$9="X",VLOOKUP(CT$10,'VK-Biokütused'!$C:$U,2+$E78,0))+IF(CT$5="X",VLOOKUP(CT$10,'VK-Põlevkivi'!$C:$X,2+$G78,0))+IF(CT$4="X",VLOOKUP(CT$10,'VK-Võrgud'!$C:$X,2+$F78,0))</f>
        <v>90</v>
      </c>
      <c r="CU78" s="209">
        <f>IF(CU$7="X",VLOOKUP(CU$10,'VK-Hooned-Soojus'!$C:$X,2+$C78,FALSE),0)+IF(CU$6="X",VLOOKUP(CU$10,'VK-Transport'!$C:$X,2+$B78,0))+IF(CU$8="X",VLOOKUP(CU$10,'VK-Elekter'!$C:$X,2+$D78,0))+IF(CU$9="X",VLOOKUP(CU$10,'VK-Biokütused'!$C:$U,2+$E78,0))+IF(CU$5="X",VLOOKUP(CU$10,'VK-Põlevkivi'!$C:$X,2+$G78,0))+IF(CU$4="X",VLOOKUP(CU$10,'VK-Võrgud'!$C:$X,2+$F78,0))</f>
        <v>0.9337349397590361</v>
      </c>
      <c r="CV78" s="209">
        <f t="shared" si="49"/>
        <v>0.84317482403548605</v>
      </c>
      <c r="CW78" s="209">
        <f>(IF(CW$7="X",VLOOKUP(CW$10,'VK-Hooned-Soojus'!$C:$X,2+$C78,FALSE),0)+IF(CW$6="X",VLOOKUP(CW$10,'VK-Transport'!$C:$X,2+$B78,0))+IF(CW$8="X",VLOOKUP(CW$10,'VK-Elekter'!$C:$X,2+$D78,0))+IF(CW$9="X",VLOOKUP(CW$10,'VK-Biokütused'!$C:$U,2+$E78,0))+IF(CW$5="X",VLOOKUP(CW$10,'VK-Põlevkivi'!$C:$X,2+$G78,0))+IF(CW$4="X",VLOOKUP(CW$10,'VK-Võrgud'!$C:$X,2+$F78,0)))/16</f>
        <v>59.743749999999999</v>
      </c>
      <c r="CY78" s="209">
        <f>(IF(CY$7="X",VLOOKUP(CY$10,'VK-Hooned-Soojus'!$C:$X,2+$C78,FALSE),0)+IF(CY$6="X",VLOOKUP(CY$10,'VK-Transport'!$C:$X,2+$B78,0))+IF(CY$8="X",VLOOKUP(CY$10,'VK-Elekter'!$C:$X,2+$D78,0))+IF(CY$9="X",VLOOKUP(CY$10,'VK-Biokütused'!$C:$U,2+$E78,0))+IF(CY$5="X",VLOOKUP(CY$10,'VK-Põlevkivi'!$C:$X,2+$G78,0))+IF(CY$4="X",VLOOKUP(CY$10,'VK-Võrgud'!$C:$X,2+$F78,0)))/1000</f>
        <v>10.516</v>
      </c>
      <c r="CZ78" s="209">
        <f>(IF(CZ$7="X",VLOOKUP(CZ$10,'VK-Hooned-Soojus'!$C:$X,2+$C78,FALSE),0)+IF(CZ$6="X",VLOOKUP(CZ$10,'VK-Transport'!$C:$X,2+$B78,0))+IF(CZ$8="X",VLOOKUP(CZ$10,'VK-Elekter'!$C:$X,2+$D78,0))+IF(CZ$9="X",VLOOKUP(CZ$10,'VK-Biokütused'!$C:$U,2+$E78,0))+IF(CZ$5="X",VLOOKUP(CZ$10,'VK-Põlevkivi'!$C:$X,2+$G78,0))+IF(CZ$4="X",VLOOKUP(CZ$10,'VK-Võrgud'!$C:$X,2+$F78,0)))</f>
        <v>69.400000000000006</v>
      </c>
      <c r="DA78" s="209">
        <f>(IF(DA$7="X",VLOOKUP(DA$10,'VK-Hooned-Soojus'!$C:$X,2+$C78,FALSE),0)+IF(DA$6="X",VLOOKUP(DA$10,'VK-Transport'!$C:$X,2+$B78,0))+IF(DA$8="X",VLOOKUP(DA$10,'VK-Elekter'!$C:$X,2+$D78,0))+IF(DA$9="X",VLOOKUP(DA$10,'VK-Biokütused'!$C:$U,2+$E78,0))+IF(DA$5="X",VLOOKUP(DA$10,'VK-Põlevkivi'!$C:$X,2+$G78,0))+IF(DA$4="X",VLOOKUP(DA$10,'VK-Võrgud'!$C:$X,2+$F78,0)))/1000</f>
        <v>14.125999999999999</v>
      </c>
      <c r="DB78" s="209">
        <f>(IF(DB$7="X",VLOOKUP(DB$10,'VK-Hooned-Soojus'!$C:$X,2+$C78,FALSE),0)+IF(DB$6="X",VLOOKUP(DB$10,'VK-Transport'!$C:$X,2+$B78,0))+IF(DB$8="X",VLOOKUP(DB$10,'VK-Elekter'!$C:$X,2+$D78,0))+IF(DB$9="X",VLOOKUP(DB$10,'VK-Biokütused'!$C:$U,2+$E78,0))+IF(DB$5="X",VLOOKUP(DB$10,'VK-Põlevkivi'!$C:$X,2+$G78,0))+IF(DB$4="X",VLOOKUP(DB$10,'VK-Võrgud'!$C:$X,2+$F78,0)))/1000/3.6</f>
        <v>62.820555555555551</v>
      </c>
      <c r="DC78" s="209">
        <f>(IF(DC$7="X",VLOOKUP(DC$10,'VK-Hooned-Soojus'!$C:$X,2+$C78,FALSE),0)+IF(DC$6="X",VLOOKUP(DC$10,'VK-Transport'!$C:$X,2+$B78,0))+IF(DC$8="X",VLOOKUP(DC$10,'VK-Elekter'!$C:$X,2+$D78,0))+IF(DC$9="X",VLOOKUP(DC$10,'VK-Biokütused'!$C:$U,2+$E78,0))+IF(DC$5="X",VLOOKUP(DC$10,'VK-Põlevkivi'!$C:$X,2+$G78,0))+IF(DC$4="X",VLOOKUP(DC$10,'VK-Võrgud'!$C:$X,2+$F78,0)))/1000000</f>
        <v>5.0270400000000004</v>
      </c>
      <c r="DD78" s="209"/>
      <c r="DE78" s="88">
        <f>VLOOKUP(Tulemused!$BN$12,data!M$7:N$12,2,FALSE)-SUM(L78,M78)</f>
        <v>-1.2238666666666731</v>
      </c>
      <c r="DF78" s="209" t="str">
        <f>IF(AZ78&lt;=VLOOKUP(Tulemused!$BN$15,data!$E$36:$F$39,2,FALSE),"JAH","EI")</f>
        <v>JAH</v>
      </c>
      <c r="DG78" s="209"/>
      <c r="DH78" s="209">
        <f t="shared" si="50"/>
        <v>6.28</v>
      </c>
      <c r="DI78" s="231" t="str">
        <f t="shared" si="65"/>
        <v>EI</v>
      </c>
      <c r="DK78" s="232">
        <f t="shared" si="51"/>
        <v>-995.35956098500424</v>
      </c>
      <c r="DM78" s="233">
        <f t="shared" si="52"/>
        <v>-994.83875277701179</v>
      </c>
      <c r="DN78" s="87">
        <f t="array" ref="DN78">INDEX($A$11:$A$145, SMALL(IF(DM78=$DK$11:$DK$145, MATCH(ROW($DK$11:$DK$145), ROW($DK$11:$DK$145))), SUM(--(DM78=$DM$11:DM78))))</f>
        <v>78</v>
      </c>
      <c r="DP78" s="87" t="e">
        <f t="shared" ca="1" si="66"/>
        <v>#N/A</v>
      </c>
      <c r="DQ78" s="87" t="e">
        <f t="shared" ca="1" si="67"/>
        <v>#N/A</v>
      </c>
      <c r="DR78" s="87">
        <f t="shared" ca="1" si="68"/>
        <v>0</v>
      </c>
      <c r="DS78" s="87" t="e">
        <f t="shared" ca="1" si="69"/>
        <v>#N/A</v>
      </c>
      <c r="DT78" s="87">
        <f t="shared" ca="1" si="70"/>
        <v>0</v>
      </c>
      <c r="DU78" s="87" t="e">
        <f t="shared" ca="1" si="71"/>
        <v>#N/A</v>
      </c>
      <c r="DV78" s="87" t="e">
        <f t="shared" ca="1" si="72"/>
        <v>#N/A</v>
      </c>
      <c r="DW78" s="87">
        <f t="shared" ca="1" si="73"/>
        <v>0</v>
      </c>
      <c r="DX78" s="87">
        <f t="shared" ca="1" si="74"/>
        <v>0</v>
      </c>
      <c r="DZ78" s="87">
        <f t="shared" ca="1" si="35"/>
        <v>0</v>
      </c>
      <c r="EB78" s="87">
        <f t="shared" ca="1" si="75"/>
        <v>0</v>
      </c>
      <c r="EC78" s="87" t="e">
        <f t="shared" ca="1" si="76"/>
        <v>#N/A</v>
      </c>
      <c r="EE78" s="228">
        <f>(IF(EE$7="X",VLOOKUP(EE$10,'VK-Hooned-Soojus'!$C:$X,2+$C78,FALSE),0)+IF(EE$6="X",VLOOKUP(EE$10,'VK-Transport'!$C:$X,2+$B78,0))+IF(EE$8="X",VLOOKUP(EE$10,'VK-Elekter'!$C:$X,2+$D78,0))+IF(EE$9="X",VLOOKUP(EE$10,'VK-Biokütused'!$C:$U,2+$E78,0))+IF(EE$5="X",VLOOKUP(EE$10,'VK-Põlevkivi'!$C:$X,2+$G78,0))+IF(EE$4="X",VLOOKUP(EE$10,'VK-Võrgud'!$C:$X,2+$F78,0)))</f>
        <v>9966.6891739564217</v>
      </c>
      <c r="EF78" s="235">
        <f>(IF(EF$7="X",VLOOKUP(EF$10,'VK-Hooned-Soojus'!$C:$X,2+$C78,FALSE),0)+IF(EF$6="X",VLOOKUP(EF$10,'VK-Transport'!$C:$X,2+$B78,0))+IF(EF$8="X",VLOOKUP(EF$10,'VK-Elekter'!$C:$X,2+$D78,0))+IF(EF$9="X",VLOOKUP(EF$10,'VK-Biokütused'!$C:$U,2+$E78,0)))/1000</f>
        <v>4.3663823271229703</v>
      </c>
      <c r="EG78" s="209">
        <f>(IF(EG$7="X",VLOOKUP(EG$10,'VK-Hooned-Soojus'!$C:$X,2+$C78,FALSE),0)+IF(EG$6="X",VLOOKUP(EG$10,'VK-Transport'!$C:$X,2+$B78,0))+IF(EG$8="X",VLOOKUP(EG$10,'VK-Elekter'!$C:$X,2+$D78,0))+IF(EG$9="X",VLOOKUP(EG$10,'VK-Biokütused'!$C:$U,2+$E78,0))+IF(EG$5="X",VLOOKUP(EG$10,'VK-Põlevkivi'!$C:$X,2+$G78,0))+IF(EG$4="X",VLOOKUP(EG$10,'VK-Võrgud'!$C:$X,2+$F78,0)))</f>
        <v>2.95</v>
      </c>
      <c r="EH78" s="209">
        <f>(IF(EH$7="X",VLOOKUP(EH$10,'VK-Hooned-Soojus'!$C:$X,2+$C78,FALSE),0)+IF(EH$6="X",VLOOKUP(EH$10,'VK-Transport'!$C:$X,2+$B78,0))+IF(EH$8="X",VLOOKUP(EH$10,'VK-Elekter'!$C:$X,2+$D78,0))+IF(EH$9="X",VLOOKUP(EH$10,'VK-Biokütused'!$C:$U,2+$E78,0)))+AR78+AS78+AU78+AX78</f>
        <v>53.849667065771861</v>
      </c>
      <c r="EI78" s="320">
        <f t="shared" si="53"/>
        <v>48.250678294573639</v>
      </c>
      <c r="EJ78" s="322">
        <f t="shared" si="54"/>
        <v>8.2108534803349301E-2</v>
      </c>
      <c r="EK78" s="323">
        <f t="shared" si="77"/>
        <v>0.45232475218626439</v>
      </c>
      <c r="EM78" s="209"/>
      <c r="EN78" s="209">
        <f t="shared" ca="1" si="55"/>
        <v>0</v>
      </c>
      <c r="EO78" s="209"/>
      <c r="EP78" s="234"/>
      <c r="EQ78" s="209">
        <f>(IF(EQ$7="X",VLOOKUP(EQ$10,'VK-Hooned-Soojus'!$C:$X,2+$C78,FALSE),0)+IF(EQ$6="X",VLOOKUP(EQ$10,'VK-Transport'!$C:$X,2+$B78,0))+IF(EQ$8="X",VLOOKUP(EQ$10,'VK-Elekter'!$C:$X,2+$D78,0))+IF(EQ$9="X",VLOOKUP(EQ$10,'VK-Biokütused'!$C:$U,2+$E78,0))+IF(EQ$5="X",VLOOKUP(EQ$10,'VK-Põlevkivi'!$C:$X,2+$G78,0))+IF(EQ$4="X",VLOOKUP(EQ$10,'VK-Võrgud'!$C:$X,2+$F78,0)))/1000</f>
        <v>0.21099999999999999</v>
      </c>
      <c r="ER78" s="209">
        <f>(IF(ER$7="X",VLOOKUP(ER$10,'VK-Hooned-Soojus'!$C:$X,2+$C78,FALSE),0)+IF(ER$6="X",VLOOKUP(ER$10,'VK-Transport'!$C:$X,2+$B78,0))+IF(ER$8="X",VLOOKUP(ER$10,'VK-Elekter'!$C:$X,2+$D78,0))+IF(ER$9="X",VLOOKUP(ER$10,'VK-Biokütused'!$C:$U,2+$E78,0))+IF(ER$5="X",VLOOKUP(ER$10,'VK-Põlevkivi'!$C:$X,2+$G78,0))+IF(ER$4="X",VLOOKUP(ER$10,'VK-Võrgud'!$C:$X,2+$F78,0)))</f>
        <v>0.76300000000000001</v>
      </c>
      <c r="ES78" s="209">
        <f>(IF(ES$7="X",VLOOKUP(ES$10,'VK-Hooned-Soojus'!$C:$X,2+$C78,FALSE),0)+IF(ES$6="X",VLOOKUP(ES$10,'VK-Transport'!$C:$X,2+$B78,0))+IF(ES$8="X",VLOOKUP(ES$10,'VK-Elekter'!$C:$X,2+$D78,0))+IF(ES$9="X",VLOOKUP(ES$10,'VK-Biokütused'!$C:$U,2+$E78,0))+IF(ES$5="X",VLOOKUP(ES$10,'VK-Põlevkivi'!$C:$X,2+$G78,0))+IF(ES$4="X",VLOOKUP(ES$10,'VK-Võrgud'!$C:$X,2+$F78,0)))</f>
        <v>6.28</v>
      </c>
      <c r="ET78" s="209"/>
      <c r="EU78" s="209"/>
      <c r="EV78" s="87">
        <f>'KSH järjestus'!AS71</f>
        <v>1253</v>
      </c>
      <c r="EX78" s="236"/>
      <c r="EY78" s="236"/>
      <c r="EZ78" s="237">
        <f t="shared" si="56"/>
        <v>6.6265060240963902E-2</v>
      </c>
      <c r="FA78" s="209">
        <f>IF(FA$7="X",VLOOKUP(FA$10,'VK-Hooned-Soojus'!$C:$X,2+$C78,FALSE),0)+IF(FA$6="X",VLOOKUP(FA$10,'VK-Transport'!$C:$X,2+$B78,0))+IF(FA$8="X",VLOOKUP(FA$10,'VK-Elekter'!$C:$X,2+$D78,0))+IF(FA$9="X",VLOOKUP(FA$10,'VK-Biokütused'!$C:$U,2+$E78,0))+IF(FA$5="X",VLOOKUP(FA$10,'VK-Põlevkivi'!$C:$X,2+$G78,0))+IF(FA$4="X",VLOOKUP(FA$10,'VK-Võrgud'!$C:$X,2+$F78,0))</f>
        <v>3223.346</v>
      </c>
      <c r="FB78" s="279">
        <f>(IF(FB$7="X",VLOOKUP(FB$10,'VK-Hooned-Soojus'!$C:$X,2+$C78,FALSE),0)+IF(FB$6="X",VLOOKUP(FB$10,'VK-Transport'!$C:$X,2+$B78,0))+IF(FB$8="X",VLOOKUP(FB$10,'VK-Elekter'!$C:$X,2+$D78,0))+IF(FB$9="X",VLOOKUP(FB$10,'VK-Biokütused'!$C:$U,2+$E78,0))+IF(FB$5="X",VLOOKUP(FB$10,'VK-Põlevkivi'!$C:$X,2+$G78,0))+IF(FB$4="X",VLOOKUP(FB$10,'VK-Võrgud'!$C:$X,2+$F78,0)))/16</f>
        <v>435.35071971722709</v>
      </c>
      <c r="FC78" s="209">
        <f>IF(FC$7="X",VLOOKUP(FC$10,'VK-Hooned-Soojus'!$C:$X,2+$C78,FALSE),0)+IF(FC$6="X",VLOOKUP(FC$10,'VK-Transport'!$C:$X,2+$B78,0))+IF(FC$8="X",VLOOKUP(FC$10,'VK-Elekter'!$C:$X,2+$D78,0))+IF(FC$9="X",VLOOKUP(FC$10,'VK-Biokütused'!$C:$U,2+$E78,0))+IF(FC$5="X",VLOOKUP(FC$10,'VK-Põlevkivi'!$C:$X,2+$G78,0))+IF(FC$4="X",VLOOKUP(FC$10,'VK-Võrgud'!$C:$X,2+$F78,0))</f>
        <v>306.45</v>
      </c>
      <c r="FD78" s="209">
        <f>(IF(FD$7="X",VLOOKUP(FD$10,'VK-Hooned-Soojus'!$C:$X,2+$C78,FALSE),0)+IF(FD$6="X",VLOOKUP(FD$10,'VK-Transport'!$C:$X,2+$B78,0))+IF(FD$8="X",VLOOKUP(FD$10,'VK-Elekter'!$C:$X,2+$D78,0))+IF(FD$9="X",VLOOKUP(FD$10,'VK-Biokütused'!$C:$U,2+$E78,0))+IF(FD$5="X",VLOOKUP(FD$10,'VK-Põlevkivi'!$C:$X,2+$G78,0))+IF(FD$4="X",VLOOKUP(FD$10,'VK-Võrgud'!$C:$X,2+$F78,0)))/16</f>
        <v>435.35071971722709</v>
      </c>
      <c r="FE78" s="209">
        <f>(IF(FE$7="X",VLOOKUP(FE$10,'VK-Hooned-Soojus'!$C:$X,2+$C78,FALSE),0)+IF(FE$6="X",VLOOKUP(FE$10,'VK-Transport'!$C:$X,2+$B78,0))+IF(FE$8="X",VLOOKUP(FE$10,'VK-Elekter'!$C:$X,2+$D78,0))+IF(FE$9="X",VLOOKUP(FE$10,'VK-Biokütused'!$C:$U,2+$E78,0))+IF(FE$5="X",VLOOKUP(FE$10,'VK-Põlevkivi'!$C:$X,2+$G78,0))+IF(FE$4="X",VLOOKUP(FE$10,'VK-Võrgud'!$C:$X,2+$F78,0)))/16</f>
        <v>-77.074469880632108</v>
      </c>
      <c r="FF78" s="209">
        <f>(IF(FF$7="X",VLOOKUP(FF$10,'VK-Hooned-Soojus'!$C:$X,2+$C78,FALSE),0)+IF(FF$6="X",VLOOKUP(FF$10,'VK-Transport'!$C:$X,2+$B78,0))+IF(FF$8="X",VLOOKUP(FF$10,'VK-Elekter'!$C:$X,2+$D78,0))+IF(FF$9="X",VLOOKUP(FF$10,'VK-Biokütused'!$C:$U,2+$E78,0))+IF(FF$5="X",VLOOKUP(FF$10,'VK-Põlevkivi'!$C:$X,2+$G78,0))+IF(FF$4="X",VLOOKUP(FF$10,'VK-Võrgud'!$C:$X,2+$F78,0)))/16</f>
        <v>162.84408379078363</v>
      </c>
      <c r="FG78" s="88">
        <f t="shared" ca="1" si="78"/>
        <v>85.76961391015152</v>
      </c>
      <c r="FH78" s="88"/>
      <c r="FI78" s="88"/>
      <c r="FJ78" s="88">
        <f>VLOOKUP(Tulemused!$BN$12,data!M$7:N$12,2,FALSE)-SUM(L78,M78)</f>
        <v>-1.2238666666666731</v>
      </c>
      <c r="FK78" s="209" t="str">
        <f>IF(AZ78&lt;=VLOOKUP(Tulemused!$BN$15,data!$E$36:$F$39,2,FALSE),"JAH","EI")</f>
        <v>JAH</v>
      </c>
      <c r="FL78" s="235">
        <f ca="1">IF(ISNA(MATCH($A78,INDIRECT(VLOOKUP(Tulemused!$BF$11,data!$J$57:$M$71,4,FALSE)))),0,MATCH($A78,INDIRECT(VLOOKUP(Tulemused!$BF$11,data!$J$57:$M$71,4,FALSE))))</f>
        <v>0</v>
      </c>
      <c r="FM78" s="235" t="str">
        <f t="shared" ca="1" si="57"/>
        <v>JAH</v>
      </c>
      <c r="FN78" s="209">
        <f>VLOOKUP(Tulemused!$BN$13,data!$C$132:$D$137,2,FALSE)-KOMBI!R78</f>
        <v>3.3100876728770303</v>
      </c>
      <c r="FO78" s="209"/>
      <c r="FP78" s="209">
        <f>VLOOKUP(Tulemused!$BN$17,NO_x,2,FALSE)-CJ78</f>
        <v>11.253138900569414</v>
      </c>
      <c r="FQ78" s="209">
        <f>VLOOKUP(Tulemused!$BN$18,SO_2,2,FALSE)-CK78</f>
        <v>40.011675362099993</v>
      </c>
      <c r="FR78" s="209">
        <f>VLOOKUP(Tulemused!$BN$19,LOU,2,FALSE)-CN78</f>
        <v>34.087000000000003</v>
      </c>
      <c r="FS78" s="209">
        <f>VLOOKUP(Tulemused!$BN$20,PM_2.5,2,FALSE)-CM78</f>
        <v>9.128684320552896</v>
      </c>
      <c r="FT78" s="209">
        <f>VLOOKUP(Tulemused!$BN$13,data!$C$132:$D$137,2,FALSE)-FA78/1000</f>
        <v>3.0226240000000009</v>
      </c>
      <c r="FU78" s="209">
        <f>VLOOKUP(Tulemused!$BN$17,NO_x,2,FALSE)-CO78</f>
        <v>5.4204247892027198</v>
      </c>
      <c r="FV78" s="209">
        <f>VLOOKUP(Tulemused!$BN$18,SO_2,2,FALSE)-CP78</f>
        <v>38.442005169650173</v>
      </c>
      <c r="FW78" s="209">
        <f>VLOOKUP(Tulemused!$BN$19,LOU,2,FALSE)-CS78</f>
        <v>33.235665509940176</v>
      </c>
      <c r="FX78" s="209">
        <f>VLOOKUP(Tulemused!$BN$20,PM_2.5,2,FALSE)-CR78</f>
        <v>9.0389127215424239</v>
      </c>
      <c r="FY78" s="209">
        <f>VLOOKUP(Tulemused!$BN$14,KHG_2050,2,FALSE)-EF78</f>
        <v>95.633617672877023</v>
      </c>
      <c r="FZ78" s="231" t="str">
        <f t="shared" ca="1" si="79"/>
        <v>EI</v>
      </c>
      <c r="GA78" s="209"/>
      <c r="GB78" s="209"/>
      <c r="GC78" s="209"/>
      <c r="GD78" s="231"/>
      <c r="GE78" s="87">
        <f t="shared" si="58"/>
        <v>1253</v>
      </c>
      <c r="GF78" s="232" t="str">
        <f t="shared" ca="1" si="80"/>
        <v/>
      </c>
      <c r="GH78" s="238" t="e">
        <f t="shared" ca="1" si="59"/>
        <v>#NUM!</v>
      </c>
      <c r="GI78" s="87" t="e">
        <f t="array" aca="1" ref="GI78" ca="1">INDEX($A$11:$A$145, SMALL(IF(GH78=$GF$11:$GF$145, MATCH(ROW($GF$11:$GF$145), ROW($GF$11:$GF$145))), SUM(--(GH78=$GH$11:GH78))))</f>
        <v>#NUM!</v>
      </c>
      <c r="GM78" s="209">
        <f>IF(GM$7="X",VLOOKUP(GM$10,'VK-Hooned-Soojus'!$C:$X,2+$C78,FALSE),0)+IF(GM$6="X",VLOOKUP(GM$10,'VK-Transport'!$C:$X,2+$B78,0))+IF(GM$8="X",VLOOKUP(GM$10,'VK-Elekter'!$C:$X,2+$D78,0))+IF(GM$9="X",VLOOKUP(GM$10,'VK-Biokütused'!$C:$U,2+$E78,0))+IF(GM$5="X",VLOOKUP(GM$10,'VK-Põlevkivi'!$C:$X,2+$G78,0))+IF(GM$4="X",VLOOKUP(GM$10,'VK-Võrgud'!$C:$X,2+$F78,0))</f>
        <v>6.011750640646909</v>
      </c>
      <c r="GN78" s="209">
        <f>IF(GN$7="X",VLOOKUP(GN$10,'VK-Hooned-Soojus'!$C:$X,2+$C78,FALSE),0)+IF(GN$6="X",VLOOKUP(GN$10,'VK-Transport'!$C:$X,2+$B78,0))+IF(GN$8="X",VLOOKUP(GN$10,'VK-Elekter'!$C:$X,2+$D78,0))+IF(GN$9="X",VLOOKUP(GN$10,'VK-Biokütused'!$C:$U,2+$E78,0))+IF(GN$5="X",VLOOKUP(GN$10,'VK-Põlevkivi'!$C:$X,2+$G78,0))+IF(GN$4="X",VLOOKUP(GN$10,'VK-Võrgud'!$C:$X,2+$F78,0))</f>
        <v>3.4528686473995491</v>
      </c>
      <c r="GO78" s="209">
        <f>IF(GO$7="X",VLOOKUP(GO$10,'VK-Hooned-Soojus'!$C:$X,2+$C78,FALSE),0)+IF(GO$6="X",VLOOKUP(GO$10,'VK-Transport'!$C:$X,2+$B78,0))+IF(GO$8="X",VLOOKUP(GO$10,'VK-Elekter'!$C:$X,2+$D78,0))+IF(GO$9="X",VLOOKUP(GO$10,'VK-Biokütused'!$C:$U,2+$E78,0))+IF(GO$5="X",VLOOKUP(GO$10,'VK-Põlevkivi'!$C:$X,2+$G78,0))+IF(GO$4="X",VLOOKUP(GO$10,'VK-Võrgud'!$C:$X,2+$F78,0))</f>
        <v>7.936370010272257</v>
      </c>
      <c r="GP78" s="209">
        <f>IF(GP$7="X",VLOOKUP(GP$10,'VK-Hooned-Soojus'!$C:$X,2+$C78,FALSE),0)+IF(GP$6="X",VLOOKUP(GP$10,'VK-Transport'!$C:$X,2+$B78,0))+IF(GP$8="X",VLOOKUP(GP$10,'VK-Elekter'!$C:$X,2+$D78,0))+IF(GP$9="X",VLOOKUP(GP$10,'VK-Biokütused'!$C:$U,2+$E78,0))+IF(GP$5="X",VLOOKUP(GP$10,'VK-Põlevkivi'!$C:$X,2+$G78,0))+IF(GP$4="X",VLOOKUP(GP$10,'VK-Võrgud'!$C:$X,2+$F78,0))</f>
        <v>9.1527946929596489</v>
      </c>
      <c r="GQ78" s="88">
        <f>IF(GQ$7="X",VLOOKUP(GQ$10,'VK-Hooned-Soojus'!$C:$X,2+$C78,FALSE),0)+IF(GQ$6="X",VLOOKUP(GQ$10,'VK-Transport'!$C:$X,2+$B78,0))+IF(GQ$8="X",VLOOKUP(GQ$10,'VK-Elekter'!$C:$X,2+$D78,0))+IF(GQ$9="X",VLOOKUP(GQ$10,'VK-Biokütused'!$C:$U,2+$E78,0))+IF(GQ$5="X",VLOOKUP(GQ$10,'VK-Põlevkivi'!$C:$X,2+$G78,0))+IF(GQ$4="X",VLOOKUP(GQ$10,'VK-Võrgud'!$C:$X,2+$F78,0))</f>
        <v>0.90618397335647782</v>
      </c>
      <c r="GR78" s="186">
        <f t="shared" si="81"/>
        <v>0.39674603054856644</v>
      </c>
    </row>
    <row r="79" spans="1:200" x14ac:dyDescent="0.2">
      <c r="A79" s="184">
        <v>69</v>
      </c>
      <c r="B79" s="87">
        <v>2</v>
      </c>
      <c r="C79" s="87">
        <v>2</v>
      </c>
      <c r="D79" s="87">
        <v>3</v>
      </c>
      <c r="E79" s="87">
        <v>3</v>
      </c>
      <c r="F79" s="87">
        <f>VLOOKUP(Tulemused!$BF$7,data!$J$6:$K$8,2,FALSE)</f>
        <v>2</v>
      </c>
      <c r="G79" s="87">
        <f>VLOOKUP(data!$H$2,data!$J$12:$K$14,2,FALSE)</f>
        <v>2</v>
      </c>
      <c r="I79" s="209">
        <f>IF(I$7="X",VLOOKUP(I$10,'VK-Hooned-Soojus'!$C:$X,2+$C79,FALSE),0)+IF(I$6="X",VLOOKUP(I$10,'VK-Transport'!$C:$X,2+$B79,0))+IF(I$8="X",VLOOKUP(I$10,'VK-Elekter'!$C:$X,2+$D79,0))+IF(I$9="X",VLOOKUP(I$10,'VK-Biokütused'!$C:$U,2+$E79,0))+IF(I$5="X",VLOOKUP(I$10,'VK-Põlevkivi'!$C:$X,2+$G79,0))+IF(I$4="X",VLOOKUP(I$10,'VK-Võrgud'!$C:$X,2+$F79,0))</f>
        <v>24.79</v>
      </c>
      <c r="J79" s="209">
        <f>IF(J$7="X",VLOOKUP(J$10,'VK-Hooned-Soojus'!$C:$X,2+$C79,FALSE),0)+IF(J$6="X",VLOOKUP(J$10,'VK-Transport'!$C:$X,2+$B79,0))+IF(J$8="X",VLOOKUP(J$10,'VK-Elekter'!$C:$X,2+$D79,0))+IF(J$9="X",VLOOKUP(J$10,'VK-Biokütused'!$C:$U,2+$E79,0))+IF(J$5="X",VLOOKUP(J$10,'VK-Põlevkivi'!$C:$X,2+$G79,0))+IF(J$4="X",VLOOKUP(J$10,'VK-Võrgud'!$C:$X,2+$F79,0))</f>
        <v>11.138055555555555</v>
      </c>
      <c r="K79" s="209">
        <f>IF(K$7="X",VLOOKUP(K$10,'VK-Hooned-Soojus'!$C:$X,2+$C79,FALSE),0)+IF(K$6="X",VLOOKUP(K$10,'VK-Transport'!$C:$X,2+$B79,0))+IF(K$8="X",VLOOKUP(K$10,'VK-Elekter'!$C:$X,2+$D79,0))+IF(K$9="X",VLOOKUP(K$10,'VK-Biokütused'!$C:$U,2+$E79,0))+IF(K$5="X",VLOOKUP(K$10,'VK-Põlevkivi'!$C:$X,2+$G79,0))+IF(K$4="X",VLOOKUP(K$10,'VK-Võrgud'!$C:$X,2+$F79,0))</f>
        <v>15.27</v>
      </c>
      <c r="L79" s="209">
        <f>IF(L$7="X",VLOOKUP(L$10,'VK-Hooned-Soojus'!$C:$X,2+$C79,FALSE),0)+IF(L$6="X",VLOOKUP(L$10,'VK-Transport'!$C:$X,2+$B79,0))+IF(L$8="X",VLOOKUP(L$10,'VK-Elekter'!$C:$X,2+$D79,0))+IF(L$9="X",VLOOKUP(L$10,'VK-Biokütused'!$C:$U,2+$E79,0))+IF(L$5="X",VLOOKUP(L$10,'VK-Põlevkivi'!$C:$X,2+$G79,0))+IF(L$4="X",VLOOKUP(L$10,'VK-Võrgud'!$C:$X,2+$F79,0))</f>
        <v>24.2</v>
      </c>
      <c r="M79" s="209">
        <f>IF(M$7="X",VLOOKUP(M$10,'VK-Hooned-Soojus'!$C:$X,2+$C79,FALSE),0)+IF(M$6="X",VLOOKUP(M$10,'VK-Transport'!$C:$X,2+$B79,0))+IF(M$8="X",VLOOKUP(M$10,'VK-Elekter'!$C:$X,2+$D79,0))+IF(M$9="X",VLOOKUP(M$10,'VK-Biokütused'!$C:$U,2+$E79,0))+IF(M$5="X",VLOOKUP(M$10,'VK-Põlevkivi'!$C:$X,2+$G79,0))+IF(M$4="X",VLOOKUP(M$10,'VK-Võrgud'!$C:$X,2+$F79,0))</f>
        <v>9.8566666666666674</v>
      </c>
      <c r="N79" s="209">
        <f>IF(N$7="X",VLOOKUP(N$10,'VK-Hooned-Soojus'!$C:$X,2+$C79,FALSE),0)+IF(N$6="X",VLOOKUP(N$10,'VK-Transport'!$C:$X,2+$B79,0))+IF(N$8="X",VLOOKUP(N$10,'VK-Elekter'!$C:$X,2+$D79,0))+IF(N$9="X",VLOOKUP(N$10,'VK-Biokütused'!$C:$U,2+$E79,0))+IF(N$5="X",VLOOKUP(N$10,'VK-Põlevkivi'!$C:$X,2+$G79,0))+IF(N$4="X",VLOOKUP(N$10,'VK-Võrgud'!$C:$X,2+$F79,0))</f>
        <v>16.09</v>
      </c>
      <c r="O79" s="209">
        <f t="shared" si="60"/>
        <v>35.928055555555552</v>
      </c>
      <c r="P79" s="209"/>
      <c r="Q79" s="209">
        <f>(IF(Q$7="X",VLOOKUP(Q$10,'VK-Hooned-Soojus'!$C:$X,2+$C79,FALSE),0)+IF(Q$6="X",VLOOKUP(Q$10,'VK-Transport'!$C:$X,2+$B79,0))+IF(Q$8="X",VLOOKUP(Q$10,'VK-Elekter'!$C:$X,2+$D79,0))+IF(Q$9="X",VLOOKUP(Q$10,'VK-Biokütused'!$C:$U,2+$E79,0))+IF(Q$5="X",VLOOKUP(Q$10,'VK-Põlevkivi'!$C:$X,2+$G79,0))+IF(Q$4="X",VLOOKUP(Q$10,'VK-Võrgud'!$C:$X,2+$F79,0)))/1000</f>
        <v>5.0650000000000004</v>
      </c>
      <c r="R79" s="209">
        <f>(IF(R$7="X",VLOOKUP(R$10,'VK-Hooned-Soojus'!$C:$X,2+$C79,FALSE),0)+IF(R$6="X",VLOOKUP(R$10,'VK-Transport'!$C:$X,2+$B79,0))+IF(R$8="X",VLOOKUP(R$10,'VK-Elekter'!$C:$X,2+$D79,0))+IF(R$9="X",VLOOKUP(R$10,'VK-Biokütused'!$C:$U,2+$E79,0))+IF(R$5="X",VLOOKUP(R$10,'VK-Põlevkivi'!$C:$X,2+$G79,0))+IF(R$4="X",VLOOKUP(R$10,'VK-Võrgud'!$C:$X,2+$F79,0)))/1000</f>
        <v>3.1445823271229703</v>
      </c>
      <c r="S79" s="226">
        <f>VLOOKUP(S$10,'VK-Hooned-Soojus'!$C:$I,2+$C79,FALSE) + VLOOKUP(S$10,'VK-Transport'!$C:$I,2+$B79,FALSE)+ VLOOKUP(S$10,'VK-Biokütused'!$C:$G,2+$E79,FALSE)+ VLOOKUP(S$10,'VK-Elekter'!$C:$I,2+$D79,FALSE)+ VLOOKUP(S$10,'VK-Põlevkivi'!$C:$I,2+$G79,FALSE)+ VLOOKUP(S$10,'VK-Võrgud'!$C:$I,2+$F79,FALSE)</f>
        <v>2.1985458990108467E-2</v>
      </c>
      <c r="T79" s="226">
        <f>VLOOKUP(T$10,'VK-Hooned-Soojus'!$C:$I,2+$C79,FALSE) + VLOOKUP(T$10,'VK-Transport'!$C:$I,2+$B79,FALSE)+ VLOOKUP(T$10,'VK-Biokütused'!$C:$G,2+$E79,FALSE)+ VLOOKUP(T$10,'VK-Elekter'!$C:$I,2+$D79,FALSE)+ VLOOKUP(T$10,'VK-Põlevkivi'!$C:$I,2+$G79,FALSE)+ VLOOKUP(T$10,'VK-Võrgud'!$C:$I,2+$F79,FALSE)</f>
        <v>-1.4105491411398646E-3</v>
      </c>
      <c r="U79" s="226">
        <f>VLOOKUP(U$10,'VK-Hooned-Soojus'!$C:$I,2+$C79,FALSE) + VLOOKUP(U$10,'VK-Transport'!$C:$I,2+$B79,FALSE)+ VLOOKUP(U$10,'VK-Biokütused'!$C:$G,2+$E79,FALSE)+ VLOOKUP(U$10,'VK-Elekter'!$C:$I,2+$D79,FALSE)+ VLOOKUP(U$10,'VK-Põlevkivi'!$C:$I,2+$G79,FALSE)+ VLOOKUP(U$10,'VK-Võrgud'!$C:$I,2+$F79,FALSE)</f>
        <v>6.5608272486849528E-3</v>
      </c>
      <c r="V79" s="226">
        <f>VLOOKUP(V$10,'VK-Hooned-Soojus'!$C:$I,2+$C79,FALSE) + VLOOKUP(V$10,'VK-Transport'!$C:$I,2+$B79,FALSE)+ VLOOKUP(V$10,'VK-Biokütused'!$C:$G,2+$E79,FALSE)+ VLOOKUP(V$10,'VK-Elekter'!$C:$I,2+$D79,FALSE)+ VLOOKUP(V$10,'VK-Põlevkivi'!$C:$I,2+$G79,FALSE)+ VLOOKUP(V$10,'VK-Võrgud'!$C:$I,2+$F79,FALSE)</f>
        <v>1.5585765595096779E-2</v>
      </c>
      <c r="W79" s="226">
        <f>VLOOKUP(W$10,'VK-Hooned-Soojus'!$C:$I,2+$C79,FALSE) + VLOOKUP(W$10,'VK-Transport'!$C:$I,2+$B79,FALSE)+ VLOOKUP(W$10,'VK-Biokütused'!$C:$G,2+$E79,FALSE)+ VLOOKUP(W$10,'VK-Elekter'!$C:$I,2+$D79,FALSE)+ VLOOKUP(W$10,'VK-Põlevkivi'!$C:$I,2+$G79,FALSE)+ VLOOKUP(W$10,'VK-Võrgud'!$C:$I,2+$F79,FALSE)</f>
        <v>-2.0356674232657662E-2</v>
      </c>
      <c r="X79" s="226">
        <f>VLOOKUP(X$10,'VK-Hooned-Soojus'!$C:$I,2+$C79,FALSE) + VLOOKUP(X$10,'VK-Transport'!$C:$I,2+$B79,FALSE)+ VLOOKUP(X$10,'VK-Biokütused'!$C:$G,2+$E79,FALSE)+ VLOOKUP(X$10,'VK-Elekter'!$C:$I,2+$D79,FALSE)+ VLOOKUP(X$10,'VK-Põlevkivi'!$C:$I,2+$G79,FALSE)+ VLOOKUP(X$10,'VK-Võrgud'!$C:$I,2+$F79,FALSE)</f>
        <v>-2.9487449090143669E-2</v>
      </c>
      <c r="Y79" s="226">
        <f>VLOOKUP(Y$10,'VK-Hooned-Soojus'!$C:$I,2+$C79,FALSE) + VLOOKUP(Y$10,'VK-Transport'!$C:$I,2+$B79,FALSE)+ VLOOKUP(Y$10,'VK-Biokütused'!$C:$G,2+$E79,FALSE)+ VLOOKUP(Y$10,'VK-Elekter'!$C:$I,2+$D79,FALSE)+ VLOOKUP(Y$10,'VK-Põlevkivi'!$C:$I,2+$G79,FALSE)+ VLOOKUP(Y$10,'VK-Võrgud'!$C:$I,2+$F79,FALSE)</f>
        <v>-4.0703255462129738E-2</v>
      </c>
      <c r="Z79" s="227">
        <f>(S79*Tulemused!$Q$9*10+T79*Tulemused!$Q$10*10+KOMBI!U79*Tulemused!$Q$11*10+KOMBI!V79*Tulemused!$Q$12*10)*Tulemused!$Q$8+-(W79*Tulemused!$Q$14*10+KOMBI!X79*Tulemused!$Q$15*10+KOMBI!Y79*Tulemused!$Q$16*10)*Tulemused!$Q$13</f>
        <v>5.5455387372372762</v>
      </c>
      <c r="AA79" s="228">
        <f>(IF(AA$7="X",VLOOKUP(AA$10,'VK-Hooned-Soojus'!$C:$X,2+$C79,FALSE),0)+IF(AA$6="X",VLOOKUP(AA$10,'VK-Transport'!$C:$X,2+$B79,0))+IF(AA$8="X",VLOOKUP(AA$10,'VK-Elekter'!$C:$X,2+$D79,0))+IF(AA$9="X",VLOOKUP(AA$10,'VK-Biokütused'!$C:$U,2+$E79,0))+IF(AA$5="X",VLOOKUP(AA$10,'VK-Põlevkivi'!$C:$X,2+$G79,0))+IF(AA$4="X",VLOOKUP(AA$10,'VK-Võrgud'!$C:$X,2+$F79,0)))</f>
        <v>3728</v>
      </c>
      <c r="AB79" s="228">
        <f>(IF(AB$7="X",VLOOKUP(AB$10,'VK-Hooned-Soojus'!$C:$X,2+$C79,FALSE),0)+IF(AB$6="X",VLOOKUP(AB$10,'VK-Transport'!$C:$X,2+$B79,0))+IF(AB$8="X",VLOOKUP(AB$10,'VK-Elekter'!$C:$X,2+$D79,0))+IF(AB$9="X",VLOOKUP(AB$10,'VK-Biokütused'!$C:$U,2+$E79,0))+IF(AB$5="X",VLOOKUP(AB$10,'VK-Põlevkivi'!$C:$X,2+$G79,0))+IF(AB$4="X",VLOOKUP(AB$10,'VK-Võrgud'!$C:$X,2+$F79,0)))</f>
        <v>1337</v>
      </c>
      <c r="AC79" s="228">
        <f>(IF(AC$7="X",VLOOKUP(AC$10,'VK-Hooned-Soojus'!$C:$X,2+$C79,FALSE),0)+IF(AC$6="X",VLOOKUP(AC$10,'VK-Transport'!$C:$X,2+$B79,0))+IF(AC$8="X",VLOOKUP(AC$10,'VK-Elekter'!$C:$X,2+$D79,0))+IF(AC$9="X",VLOOKUP(AC$10,'VK-Biokütused'!$C:$U,2+$E79,0))+IF(AC$5="X",VLOOKUP(AC$10,'VK-Põlevkivi'!$C:$X,2+$G79,0))+IF(AC$4="X",VLOOKUP(AC$10,'VK-Võrgud'!$C:$X,2+$F79,0)))</f>
        <v>2346</v>
      </c>
      <c r="AD79" s="228">
        <f>(IF(AD$7="X",VLOOKUP(AD$10,'VK-Hooned-Soojus'!$C:$X,2+$C79,FALSE),0)+IF(AD$6="X",VLOOKUP(AD$10,'VK-Transport'!$C:$X,2+$B79,0))+IF(AD$8="X",VLOOKUP(AD$10,'VK-Elekter'!$C:$X,2+$D79,0))+IF(AD$9="X",VLOOKUP(AD$10,'VK-Biokütused'!$C:$U,2+$E79,0))+IF(AD$5="X",VLOOKUP(AD$10,'VK-Põlevkivi'!$C:$X,2+$G79,0))+IF(AD$4="X",VLOOKUP(AD$10,'VK-Võrgud'!$C:$X,2+$F79,0)))</f>
        <v>586.20000000000005</v>
      </c>
      <c r="AE79" s="228">
        <f>(IF(AE$7="X",VLOOKUP(AE$10,'VK-Hooned-Soojus'!$C:$X,2+$C79,FALSE),0)+IF(AE$6="X",VLOOKUP(AE$10,'VK-Transport'!$C:$X,2+$B79,0))+IF(AE$8="X",VLOOKUP(AE$10,'VK-Elekter'!$C:$X,2+$D79,0))+IF(AE$9="X",VLOOKUP(AE$10,'VK-Biokütused'!$C:$U,2+$E79,0))+IF(AE$5="X",VLOOKUP(AE$10,'VK-Põlevkivi'!$C:$X,2+$G79,0))+IF(AE$4="X",VLOOKUP(AE$10,'VK-Võrgud'!$C:$X,2+$F79,0)))</f>
        <v>666</v>
      </c>
      <c r="AF79" s="228">
        <f>(IF(AF$7="X",VLOOKUP(AF$10,'VK-Hooned-Soojus'!$C:$X,2+$C79,FALSE),0)+IF(AF$6="X",VLOOKUP(AF$10,'VK-Transport'!$C:$X,2+$B79,0))+IF(AF$8="X",VLOOKUP(AF$10,'VK-Elekter'!$C:$X,2+$D79,0))+IF(AF$9="X",VLOOKUP(AF$10,'VK-Biokütused'!$C:$U,2+$E79,0))+IF(AF$5="X",VLOOKUP(AF$10,'VK-Põlevkivi'!$C:$X,2+$G79,0))+IF(AF$4="X",VLOOKUP(AF$10,'VK-Võrgud'!$C:$X,2+$F79,0)))</f>
        <v>1892.3823271229701</v>
      </c>
      <c r="AG79" s="209"/>
      <c r="AH79" s="209">
        <f>IF(AH$7="X",VLOOKUP(AH$10,'VK-Hooned-Soojus'!$C:$X,2+$C79,FALSE),0)+IF(AH$6="X",VLOOKUP(AH$10,'VK-Transport'!$C:$X,2+$B79,0))+IF(AH$8="X",VLOOKUP(AH$10,'VK-Elekter'!$C:$X,2+$D79,0))+IF(AH$9="X",VLOOKUP(AH$10,'VK-Biokütused'!$C:$U,2+$E79,0))+IF(AH$5="X",VLOOKUP(AH$10,'VK-Põlevkivi'!$C:$X,2+$G79,0))+IF(AH$4="X",VLOOKUP(AH$10,'VK-Võrgud'!$C:$X,2+$F79,0))</f>
        <v>11.579999999999998</v>
      </c>
      <c r="AI79" s="209">
        <f>IF(AI$7="X",VLOOKUP(AI$10,'VK-Hooned-Soojus'!$C:$X,2+$C79,FALSE),0)+IF(AI$6="X",VLOOKUP(AI$10,'VK-Transport'!$C:$X,2+$B79,0))+IF(AI$8="X",VLOOKUP(AI$10,'VK-Elekter'!$C:$X,2+$D79,0))+IF(AI$9="X",VLOOKUP(AI$10,'VK-Biokütused'!$C:$U,2+$E79,0))+IF(AI$5="X",VLOOKUP(AI$10,'VK-Põlevkivi'!$C:$X,2+$G79,0))+IF(AI$4="X",VLOOKUP(AI$10,'VK-Võrgud'!$C:$X,2+$F79,0))</f>
        <v>4.45</v>
      </c>
      <c r="AJ79" s="209">
        <f>IF(AJ$7="X",VLOOKUP(AJ$10,'VK-Hooned-Soojus'!$C:$X,2+$C79,FALSE),0)+IF(AJ$6="X",VLOOKUP(AJ$10,'VK-Transport'!$C:$X,2+$B79,0))+IF(AJ$8="X",VLOOKUP(AJ$10,'VK-Elekter'!$C:$X,2+$D79,0))+IF(AJ$9="X",VLOOKUP(AJ$10,'VK-Biokütused'!$C:$U,2+$E79,0))+IF(AJ$5="X",VLOOKUP(AJ$10,'VK-Põlevkivi'!$C:$X,2+$G79,0))+IF(AJ$4="X",VLOOKUP(AJ$10,'VK-Võrgud'!$C:$X,2+$F79,0))</f>
        <v>9.19</v>
      </c>
      <c r="AK79" s="209">
        <f>IF(AK$7="X",VLOOKUP(AK$10,'VK-Hooned-Soojus'!$C:$X,2+$C79,FALSE),0)+IF(AK$6="X",VLOOKUP(AK$10,'VK-Transport'!$C:$X,2+$B79,0))+IF(AK$8="X",VLOOKUP(AK$10,'VK-Elekter'!$C:$X,2+$D79,0))+IF(AK$9="X",VLOOKUP(AK$10,'VK-Biokütused'!$C:$U,2+$E79,0))+IF(AK$5="X",VLOOKUP(AK$10,'VK-Põlevkivi'!$C:$X,2+$G79,0))+IF(AK$4="X",VLOOKUP(AK$10,'VK-Võrgud'!$C:$X,2+$F79,0))</f>
        <v>0.66</v>
      </c>
      <c r="AL79" s="209">
        <f>IF(AL$7="X",VLOOKUP(AL$10,'VK-Hooned-Soojus'!$C:$X,2+$C79,FALSE),0)+IF(AL$6="X",VLOOKUP(AL$10,'VK-Transport'!$C:$X,2+$B79,0))+IF(AL$8="X",VLOOKUP(AL$10,'VK-Elekter'!$C:$X,2+$D79,0))+IF(AL$9="X",VLOOKUP(AL$10,'VK-Biokütused'!$C:$U,2+$E79,0))+IF(AL$5="X",VLOOKUP(AL$10,'VK-Põlevkivi'!$C:$X,2+$G79,0))+IF(AL$4="X",VLOOKUP(AL$10,'VK-Võrgud'!$C:$X,2+$F79,0))</f>
        <v>7.1999999999999993</v>
      </c>
      <c r="AM79" s="209">
        <f>IF(AM$7="X",VLOOKUP(AM$10,'VK-Hooned-Soojus'!$C:$X,2+$C79,FALSE),0)+IF(AM$6="X",VLOOKUP(AM$10,'VK-Transport'!$C:$X,2+$B79,0))+IF(AM$8="X",VLOOKUP(AM$10,'VK-Elekter'!$C:$X,2+$D79,0))+IF(AM$9="X",VLOOKUP(AM$10,'VK-Biokütused'!$C:$U,2+$E79,0))+IF(AM$5="X",VLOOKUP(AM$10,'VK-Põlevkivi'!$C:$X,2+$G79,0))+IF(AM$4="X",VLOOKUP(AM$10,'VK-Võrgud'!$C:$X,2+$F79,0))</f>
        <v>11.9</v>
      </c>
      <c r="AN79" s="209">
        <f>IF(AN$7="X",VLOOKUP(AN$10,'VK-Hooned-Soojus'!$C:$X,2+$C79,FALSE),0)+IF(AN$6="X",VLOOKUP(AN$10,'VK-Transport'!$C:$X,2+$B79,0))+IF(AN$8="X",VLOOKUP(AN$10,'VK-Elekter'!$C:$X,2+$D79,0))+IF(AN$9="X",VLOOKUP(AN$10,'VK-Biokütused'!$C:$U,2+$E79,0))+IF(AN$5="X",VLOOKUP(AN$10,'VK-Põlevkivi'!$C:$X,2+$G79,0))+IF(AN$4="X",VLOOKUP(AN$10,'VK-Võrgud'!$C:$X,2+$F79,0))</f>
        <v>4.8999999999999995</v>
      </c>
      <c r="AO79" s="209">
        <f>IF(AO$7="X",VLOOKUP(AO$10,'VK-Hooned-Soojus'!$C:$X,2+$C79,FALSE),0)+IF(AO$6="X",VLOOKUP(AO$10,'VK-Transport'!$C:$X,2+$B79,0))+IF(AO$8="X",VLOOKUP(AO$10,'VK-Elekter'!$C:$X,2+$D79,0))+IF(AO$9="X",VLOOKUP(AO$10,'VK-Biokütused'!$C:$U,2+$E79,0))+IF(AO$5="X",VLOOKUP(AO$10,'VK-Põlevkivi'!$C:$X,2+$G79,0))+IF(AO$4="X",VLOOKUP(AO$10,'VK-Võrgud'!$C:$X,2+$F79,0))</f>
        <v>12.56</v>
      </c>
      <c r="AP79" s="209">
        <f>IF(AP$7="X",VLOOKUP(AP$10,'VK-Hooned-Soojus'!$C:$X,2+$C79,FALSE),0)+IF(AP$6="X",VLOOKUP(AP$10,'VK-Transport'!$C:$X,2+$B79,0))+IF(AP$8="X",VLOOKUP(AP$10,'VK-Elekter'!$C:$X,2+$D79,0))+IF(AP$9="X",VLOOKUP(AP$10,'VK-Biokütused'!$C:$U,2+$E79,0))+IF(AP$5="X",VLOOKUP(AP$10,'VK-Põlevkivi'!$C:$X,2+$G79,0))+IF(AP$4="X",VLOOKUP(AP$10,'VK-Võrgud'!$C:$X,2+$F79,0))</f>
        <v>6.28</v>
      </c>
      <c r="AQ79" s="320">
        <f t="shared" si="61"/>
        <v>0.25999999999999979</v>
      </c>
      <c r="AR79" s="209">
        <f>IF(AR$7="X",VLOOKUP(AR$10,'VK-Hooned-Soojus'!$C:$X,2+$C79,FALSE),0)+IF(AR$6="X",VLOOKUP(AR$10,'VK-Transport'!$C:$X,2+$B79,0))+IF(AR$8="X",VLOOKUP(AR$10,'VK-Elekter'!$C:$X,2+$D79,0))+IF(AR$9="X",VLOOKUP(AR$10,'VK-Biokütused'!$C:$U,2+$E79,0))+IF(AR$5="X",VLOOKUP(AR$10,'VK-Põlevkivi'!$C:$X,2+$G79,0))+IF(AR$4="X",VLOOKUP(AR$10,'VK-Võrgud'!$C:$X,2+$F79,0))</f>
        <v>2.8899999999999997</v>
      </c>
      <c r="AS79" s="320">
        <f>VLOOKUP("Kütuste tarbimine @ 2030 - UTTEGAAS",'VK-Hooned-Soojus'!$C:$X,2+$C79,FALSE)/0.172+VLOOKUP("Kütuste tarbimine @ 2030 - UTTEGAAS",'VK-Elekter'!$C:$X,2+$D79,FALSE)/0.172-AR79-AU79</f>
        <v>2.8565116279069773</v>
      </c>
      <c r="AT79" s="209">
        <f>IF(AT$7="X",VLOOKUP(AT$10,'VK-Hooned-Soojus'!$C:$X,2+$C79,FALSE),0)+IF(AT$6="X",VLOOKUP(AT$10,'VK-Transport'!$C:$X,2+$B79,0))+IF(AT$8="X",VLOOKUP(AT$10,'VK-Elekter'!$C:$X,2+$D79,0))+IF(AT$9="X",VLOOKUP(AT$10,'VK-Biokütused'!$C:$U,2+$E79,0))+IF(AT$5="X",VLOOKUP(AT$10,'VK-Põlevkivi'!$C:$X,2+$G79,0))+IF(AT$4="X",VLOOKUP(AT$10,'VK-Võrgud'!$C:$X,2+$F79,0))</f>
        <v>9.2784458909544707</v>
      </c>
      <c r="AU79" s="229">
        <f>MAX(0,(VLOOKUP("Kütuste tarbimine @ 2030 - UTTEGAAS",'VK-Hooned-Soojus'!$C:$X,2+$C79,FALSE)/0.172+VLOOKUP("Kütuste tarbimine @ 2030 - UTTEGAAS",'VK-Elekter'!$C:$X,2+$D79,FALSE)/0.172)*0.52-VLOOKUP("Kütuste tarbimine @ 2030 - PÕLEVKIVIÕLI",'VK-Hooned-Soojus'!$C:$X,2+$C79,FALSE))</f>
        <v>5.1837209302325586</v>
      </c>
      <c r="AV79" s="209">
        <f>IF(AV$7="X",VLOOKUP(AV$10,'VK-Hooned-Soojus'!$C:$X,2+$C79,FALSE),0)+IF(AV$6="X",VLOOKUP(AV$10,'VK-Transport'!$C:$X,2+$B79,0))+IF(AV$8="X",VLOOKUP(AV$10,'VK-Elekter'!$C:$X,2+$D79,0))+IF(AV$9="X",VLOOKUP(AV$10,'VK-Biokütused'!$C:$U,2+$E79,0))+IF(AV$5="X",VLOOKUP(AV$10,'VK-Põlevkivi'!$C:$X,2+$G79,0))+IF(AV$4="X",VLOOKUP(AV$10,'VK-Võrgud'!$C:$X,2+$F79,0))</f>
        <v>1.7257321590343366</v>
      </c>
      <c r="AW79" s="209">
        <f>IF(AW$7="X",VLOOKUP(AW$10,'VK-Hooned-Soojus'!$C:$X,2+$C79,FALSE),0)+IF(AW$6="X",VLOOKUP(AW$10,'VK-Transport'!$C:$X,2+$B79,0))+IF(AW$8="X",VLOOKUP(AW$10,'VK-Elekter'!$C:$X,2+$D79,0))+IF(AW$9="X",VLOOKUP(AW$10,'VK-Biokütused'!$C:$U,2+$E79,0))+IF(AW$5="X",VLOOKUP(AW$10,'VK-Põlevkivi'!$C:$X,2+$G79,0))+IF(AW$4="X",VLOOKUP(AW$10,'VK-Võrgud'!$C:$X,2+$F79,0))</f>
        <v>4.2799999999999994</v>
      </c>
      <c r="AX79" s="229">
        <f t="shared" si="62"/>
        <v>2.5542678409656627</v>
      </c>
      <c r="AY79" s="229">
        <f t="shared" si="63"/>
        <v>0</v>
      </c>
      <c r="AZ79" s="230">
        <f t="shared" si="48"/>
        <v>0.50338040312452959</v>
      </c>
      <c r="BA79" s="209">
        <f>IF(BA$7="X",VLOOKUP(BA$10,'VK-Hooned-Soojus'!$C:$X,2+$C79,FALSE),0)+IF(BA$6="X",VLOOKUP(BA$10,'VK-Transport'!$C:$X,2+$B79,0))+IF(BA$8="X",VLOOKUP(BA$10,'VK-Elekter'!$C:$X,2+$D79,0))+IF(BA$9="X",VLOOKUP(BA$10,'VK-Biokütused'!$C:$U,2+$E79,0))+IF(BA$5="X",VLOOKUP(BA$10,'VK-Põlevkivi'!$C:$X,2+$G79,0))+IF(BA$4="X",VLOOKUP(BA$10,'VK-Võrgud'!$C:$X,2+$F79,0))</f>
        <v>4.2</v>
      </c>
      <c r="BB79" s="209">
        <f>IF(BB$7="X",VLOOKUP(BB$10,'VK-Hooned-Soojus'!$C:$X,2+$C79,FALSE),0)+IF(BB$6="X",VLOOKUP(BB$10,'VK-Transport'!$C:$X,2+$B79,0))+IF(BB$8="X",VLOOKUP(BB$10,'VK-Elekter'!$C:$X,2+$D79,0))+IF(BB$9="X",VLOOKUP(BB$10,'VK-Biokütused'!$C:$U,2+$E79,0))+IF(BB$5="X",VLOOKUP(BB$10,'VK-Põlevkivi'!$C:$X,2+$G79,0))+IF(BB$4="X",VLOOKUP(BB$10,'VK-Võrgud'!$C:$X,2+$F79,0))</f>
        <v>5.1000000000000005</v>
      </c>
      <c r="BC79" s="209">
        <f>IF(BC$7="X",VLOOKUP(BC$10,'VK-Hooned-Soojus'!$C:$X,2+$C79,FALSE),0)+IF(BC$6="X",VLOOKUP(BC$10,'VK-Transport'!$C:$X,2+$B79,0))+IF(BC$8="X",VLOOKUP(BC$10,'VK-Elekter'!$C:$X,2+$D79,0))+IF(BC$9="X",VLOOKUP(BC$10,'VK-Biokütused'!$C:$U,2+$E79,0))+IF(BC$5="X",VLOOKUP(BC$10,'VK-Põlevkivi'!$C:$X,2+$G79,0))+IF(BC$4="X",VLOOKUP(BC$10,'VK-Võrgud'!$C:$X,2+$F79,0))</f>
        <v>6.5993333333333322</v>
      </c>
      <c r="BD79" s="209">
        <f>IF(BD$7="X",VLOOKUP(BD$10,'VK-Hooned-Soojus'!$C:$X,2+$C79,FALSE),0)+IF(BD$6="X",VLOOKUP(BD$10,'VK-Transport'!$C:$X,2+$B79,0))+IF(BD$8="X",VLOOKUP(BD$10,'VK-Elekter'!$C:$X,2+$D79,0))+IF(BD$9="X",VLOOKUP(BD$10,'VK-Biokütused'!$C:$U,2+$E79,0))+IF(BD$5="X",VLOOKUP(BD$10,'VK-Põlevkivi'!$C:$X,2+$G79,0))+IF(BD$4="X",VLOOKUP(BD$10,'VK-Võrgud'!$C:$X,2+$F79,0))</f>
        <v>9.425416666666667</v>
      </c>
      <c r="BE79" s="230"/>
      <c r="BF79" s="229">
        <f t="shared" si="64"/>
        <v>0.37462130684838824</v>
      </c>
      <c r="BG79" s="209" t="e">
        <f>(IF(BG$7="X",VLOOKUP(BG$10,'VK-Hooned-Soojus'!$C:$X,2+$C79,FALSE),0)+IF(BG$6="X",VLOOKUP(BG$10,'VK-Transport'!$C:$X,2+$B79,0))+IF(BG$8="X",VLOOKUP(BG$10,'VK-Elekter'!$C:$X,2+$D79,0))+IF(BG$9="X",VLOOKUP(BG$10,'VK-Biokütused'!$C:$U,2+$E79,0))+IF(BG$5="X",VLOOKUP(BG$10,'VK-Põlevkivi'!$C:$X,2+$G79,0))+IF(BG$4="X",VLOOKUP(BG$10,'VK-Võrgud'!$C:$X,2+$F79,0)))/20</f>
        <v>#N/A</v>
      </c>
      <c r="BH79" s="209">
        <f>(IF(BH$7="X",VLOOKUP(BH$10,'VK-Hooned-Soojus'!$C:$X,2+$C79,FALSE),0)+IF(BH$6="X",VLOOKUP(BH$10,'VK-Transport'!$C:$X,2+$B79,0))+IF(BH$8="X",VLOOKUP(BH$10,'VK-Elekter'!$C:$X,2+$D79,0))+IF(BH$9="X",VLOOKUP(BH$10,'VK-Biokütused'!$C:$U,2+$E79,0))+IF(BH$5="X",VLOOKUP(BH$10,'VK-Põlevkivi'!$C:$X,2+$G79,0))+IF(BH$4="X",VLOOKUP(BH$10,'VK-Võrgud'!$C:$X,2+$F79,0)))/20</f>
        <v>45.08</v>
      </c>
      <c r="BI79" s="209">
        <f>(IF(BI$7="X",VLOOKUP(BI$10,'VK-Hooned-Soojus'!$C:$X,2+$C79,FALSE),0)+IF(BI$6="X",VLOOKUP(BI$10,'VK-Transport'!$C:$X,2+$B79,0))+IF(BI$8="X",VLOOKUP(BI$10,'VK-Elekter'!$C:$X,2+$D79,0))+IF(BI$9="X",VLOOKUP(BI$10,'VK-Biokütused'!$C:$U,2+$E79,0))+IF(BI$5="X",VLOOKUP(BI$10,'VK-Põlevkivi'!$C:$X,2+$G79,0))+IF(BI$4="X",VLOOKUP(BI$10,'VK-Võrgud'!$C:$X,2+$F79,0)))/16</f>
        <v>14.1875</v>
      </c>
      <c r="BJ79" s="209">
        <f>(IF(BJ$7="X",VLOOKUP(BJ$10,'VK-Hooned-Soojus'!$C:$X,2+$C79,FALSE),0)+IF(BJ$6="X",VLOOKUP(BJ$10,'VK-Transport'!$C:$X,2+$B79,0))+IF(BJ$8="X",VLOOKUP(BJ$10,'VK-Elekter'!$C:$X,2+$D79,0))+IF(BJ$9="X",VLOOKUP(BJ$10,'VK-Biokütused'!$C:$U,2+$E79,0))+IF(BJ$5="X",VLOOKUP(BJ$10,'VK-Põlevkivi'!$C:$X,2+$G79,0))+IF(BJ$4="X",VLOOKUP(BJ$10,'VK-Võrgud'!$C:$X,2+$F79,0)))/20</f>
        <v>3.91</v>
      </c>
      <c r="BK79" s="209"/>
      <c r="BL79" s="209"/>
      <c r="BM79" s="209"/>
      <c r="BN79" s="209" t="e">
        <f>(IF(BN$7="X",VLOOKUP(BN$10,'VK-Hooned-Soojus'!$C:$X,2+$C79,FALSE),0)+IF(BN$6="X",VLOOKUP(BN$10,'VK-Transport'!$C:$X,2+$B79,0))+IF(BN$8="X",VLOOKUP(BN$10,'VK-Elekter'!$C:$X,2+$D79,0))+IF(BN$9="X",VLOOKUP(BN$10,'VK-Biokütused'!$C:$U,2+$E79,0))+IF(BN$5="X",VLOOKUP(BN$10,'VK-Põlevkivi'!$C:$X,2+$G79,0))+IF(BN$4="X",VLOOKUP(BN$10,'VK-Võrgud'!$C:$X,2+$F79,0)))/16</f>
        <v>#N/A</v>
      </c>
      <c r="BO79" s="209">
        <f>(IF(BO$7="X",VLOOKUP(BO$10,'VK-Hooned-Soojus'!$C:$X,2+$C79,FALSE),0)+IF(BO$6="X",VLOOKUP(BO$10,'VK-Transport'!$C:$X,2+$B79,0))+IF(BO$8="X",VLOOKUP(BO$10,'VK-Elekter'!$C:$X,2+$D79,0))+IF(BO$9="X",VLOOKUP(BO$10,'VK-Biokütused'!$C:$U,2+$E79,0))+IF(BO$5="X",VLOOKUP(BO$10,'VK-Põlevkivi'!$C:$X,2+$G79,0))+IF(BO$4="X",VLOOKUP(BO$10,'VK-Võrgud'!$C:$X,2+$F79,0)))/16</f>
        <v>405.45</v>
      </c>
      <c r="BP79" s="209"/>
      <c r="BQ79" s="209">
        <f>(IF(BQ$7="X",VLOOKUP(BQ$10,'VK-Hooned-Soojus'!$C:$X,2+$C79,FALSE),0)+IF(BQ$6="X",VLOOKUP(BQ$10,'VK-Transport'!$C:$X,2+$B79,0))+IF(BQ$8="X",VLOOKUP(BQ$10,'VK-Elekter'!$C:$X,2+$D79,0))+IF(BQ$9="X",VLOOKUP(BQ$10,'VK-Biokütused'!$C:$U,2+$E79,0))+IF(BQ$5="X",VLOOKUP(BQ$10,'VK-Põlevkivi'!$C:$X,2+$G79,0))+IF(BQ$4="X",VLOOKUP(BQ$10,'VK-Võrgud'!$C:$X,2+$F79,0)))/16</f>
        <v>127.6</v>
      </c>
      <c r="BR79" s="209">
        <f>(IF(BR$7="X",VLOOKUP(BR$10,'VK-Hooned-Soojus'!$C:$X,2+$C79,FALSE),0)+IF(BR$6="X",VLOOKUP(BR$10,'VK-Transport'!$C:$X,2+$B79,0))+IF(BR$8="X",VLOOKUP(BR$10,'VK-Elekter'!$C:$X,2+$D79,0))+IF(BR$9="X",VLOOKUP(BR$10,'VK-Biokütused'!$C:$U,2+$E79,0))+IF(BR$5="X",VLOOKUP(BR$10,'VK-Põlevkivi'!$C:$X,2+$G79,0))+IF(BR$4="X",VLOOKUP(BR$10,'VK-Võrgud'!$C:$X,2+$F79,0)))/16</f>
        <v>27.475000000000001</v>
      </c>
      <c r="BS79" s="209">
        <f>(IF(BS$7="X",VLOOKUP(BS$10,'VK-Hooned-Soojus'!$C:$X,2+$C79,FALSE),0)+IF(BS$6="X",VLOOKUP(BS$10,'VK-Transport'!$C:$X,2+$B79,0))+IF(BS$8="X",VLOOKUP(BS$10,'VK-Elekter'!$C:$X,2+$D79,0))+IF(BS$9="X",VLOOKUP(BS$10,'VK-Biokütused'!$C:$U,2+$E79,0))+IF(BS$5="X",VLOOKUP(BS$10,'VK-Põlevkivi'!$C:$X,2+$G79,0))+IF(BS$4="X",VLOOKUP(BS$10,'VK-Võrgud'!$C:$X,2+$F79,0)))/16</f>
        <v>-23.293749999999999</v>
      </c>
      <c r="BT79" s="209"/>
      <c r="BU79" s="209"/>
      <c r="BV79" s="209">
        <f>(IF(BV$7="X",VLOOKUP(BV$10,'VK-Hooned-Soojus'!$C:$X,2+$C79,FALSE),0)+IF(BV$6="X",VLOOKUP(BV$10,'VK-Transport'!$C:$X,2+$B79,0))+IF(BV$8="X",VLOOKUP(BV$10,'VK-Elekter'!$C:$X,2+$D79,0))+IF(BV$9="X",VLOOKUP(BV$10,'VK-Biokütused'!$C:$U,2+$E79,0))+IF(BV$5="X",VLOOKUP(BV$10,'VK-Põlevkivi'!$C:$X,2+$G79,0))+IF(BV$4="X",VLOOKUP(BV$10,'VK-Võrgud'!$C:$X,2+$F79,0)))/16</f>
        <v>0</v>
      </c>
      <c r="BW79" s="209"/>
      <c r="BX79" s="209">
        <f>(IF(BX$7="X",VLOOKUP(BX$10,'VK-Hooned-Soojus'!$C:$X,2+$C79,FALSE),0)+IF(BX$6="X",VLOOKUP(BX$10,'VK-Transport'!$C:$X,2+$B79,0))+IF(BX$8="X",VLOOKUP(BX$10,'VK-Elekter'!$C:$X,2+$D79,0))+IF(BX$9="X",VLOOKUP(BX$10,'VK-Biokütused'!$C:$U,2+$E79,0))+IF(BX$5="X",VLOOKUP(BX$10,'VK-Põlevkivi'!$C:$X,2+$G79,0))+IF(BX$4="X",VLOOKUP(BX$10,'VK-Võrgud'!$C:$X,2+$F79,0)))/16</f>
        <v>-99.4375</v>
      </c>
      <c r="BY79" s="209"/>
      <c r="BZ79" s="209"/>
      <c r="CA79" s="209" t="e">
        <f>(IF(CA$7="X",VLOOKUP(CA$10,'VK-Hooned-Soojus'!$C:$X,2+$C79,FALSE),0)+IF(CA$6="X",VLOOKUP(CA$10,'VK-Transport'!$C:$X,2+$B79,0))+IF(CA$8="X",VLOOKUP(CA$10,'VK-Elekter'!$C:$X,2+$D79,0))+IF(CA$9="X",VLOOKUP(CA$10,'VK-Biokütused'!$C:$U,2+$E79,0))+IF(CA$5="X",VLOOKUP(CA$10,'VK-Põlevkivi'!$C:$X,2+$G79,0))+IF(CA$4="X",VLOOKUP(CA$10,'VK-Võrgud'!$C:$X,2+$F79,0)))/16</f>
        <v>#N/A</v>
      </c>
      <c r="CB79" s="209">
        <f>(IF(CB$7="X",VLOOKUP(CB$10,'VK-Hooned-Soojus'!$C:$X,2+$C79,FALSE),0)+IF(CB$6="X",VLOOKUP(CB$10,'VK-Transport'!$C:$X,2+$B79,0))+IF(CB$8="X",VLOOKUP(CB$10,'VK-Elekter'!$C:$X,2+$D79,0))+IF(CB$9="X",VLOOKUP(CB$10,'VK-Biokütused'!$C:$U,2+$E79,0))+IF(CB$5="X",VLOOKUP(CB$10,'VK-Põlevkivi'!$C:$X,2+$G79,0))+IF(CB$4="X",VLOOKUP(CB$10,'VK-Võrgud'!$C:$X,2+$F79,0)))/16</f>
        <v>0</v>
      </c>
      <c r="CC79" s="209">
        <f>(IF(CC$7="X",VLOOKUP(CC$10,'VK-Hooned-Soojus'!$C:$X,2+$C79,FALSE),0)+IF(CC$6="X",VLOOKUP(CC$10,'VK-Transport'!$C:$X,2+$B79,0))+IF(CC$8="X",VLOOKUP(CC$10,'VK-Elekter'!$C:$X,2+$D79,0))+IF(CC$9="X",VLOOKUP(CC$10,'VK-Biokütused'!$C:$U,2+$E79,0))+IF(CC$5="X",VLOOKUP(CC$10,'VK-Põlevkivi'!$C:$X,2+$G79,0))+IF(CC$4="X",VLOOKUP(CC$10,'VK-Võrgud'!$C:$X,2+$F79,0)))/16</f>
        <v>0</v>
      </c>
      <c r="CD79" s="209"/>
      <c r="CE79" s="209">
        <f>(IF(CE$7="X",VLOOKUP(CE$10,'VK-Hooned-Soojus'!$C:$X,2+$C79,FALSE),0)+IF(CE$6="X",VLOOKUP(CE$10,'VK-Transport'!$C:$X,2+$B79,0))+IF(CE$8="X",VLOOKUP(CE$10,'VK-Elekter'!$C:$X,2+$D79,0))+IF(CE$9="X",VLOOKUP(CE$10,'VK-Biokütused'!$C:$U,2+$E79,0))+IF(CE$5="X",VLOOKUP(CE$10,'VK-Põlevkivi'!$C:$X,2+$G79,0))+IF(CE$4="X",VLOOKUP(CE$10,'VK-Võrgud'!$C:$X,2+$F79,0)))/16</f>
        <v>24.15625</v>
      </c>
      <c r="CF79" s="209"/>
      <c r="CG79" s="209">
        <f>(IF(CG$7="X",VLOOKUP(CG$10,'VK-Hooned-Soojus'!$C:$X,2+$C79,FALSE),0)+IF(CG$6="X",VLOOKUP(CG$10,'VK-Transport'!$C:$X,2+$B79,0))+IF(CG$8="X",VLOOKUP(CG$10,'VK-Elekter'!$C:$X,2+$D79,0))+IF(CG$9="X",VLOOKUP(CG$10,'VK-Biokütused'!$C:$U,2+$E79,0))+IF(CG$5="X",VLOOKUP(CG$10,'VK-Põlevkivi'!$C:$X,2+$G79,0))+IF(CG$4="X",VLOOKUP(CG$10,'VK-Võrgud'!$C:$X,2+$F79,0)))/16</f>
        <v>0</v>
      </c>
      <c r="CH79" s="209">
        <f>(IF(CH$7="X",VLOOKUP(CH$10,'VK-Hooned-Soojus'!$C:$X,2+$C79,FALSE),0)+IF(CH$6="X",VLOOKUP(CH$10,'VK-Transport'!$C:$X,2+$B79,0))+IF(CH$8="X",VLOOKUP(CH$10,'VK-Elekter'!$C:$X,2+$D79,0))+IF(CH$9="X",VLOOKUP(CH$10,'VK-Biokütused'!$C:$U,2+$E79,0))+IF(CH$5="X",VLOOKUP(CH$10,'VK-Põlevkivi'!$C:$X,2+$G79,0))+IF(CH$4="X",VLOOKUP(CH$10,'VK-Võrgud'!$C:$X,2+$F79,0)))/20*0.21</f>
        <v>11.225549999999998</v>
      </c>
      <c r="CI79" s="209"/>
      <c r="CJ79" s="209">
        <f>(IF(CJ$7="X",VLOOKUP(CJ$10,'VK-Hooned-Soojus'!$C:$X,2+$C79,FALSE),0)+IF(CJ$6="X",VLOOKUP(CJ$10,'VK-Transport'!$C:$X,2+$B79,0))+IF(CJ$8="X",VLOOKUP(CJ$10,'VK-Elekter'!$C:$X,2+$D79,0))+IF(CJ$9="X",VLOOKUP(CJ$10,'VK-Biokütused'!$C:$U,2+$E79,0))+IF(CJ$5="X",VLOOKUP(CJ$10,'VK-Põlevkivi'!$C:$X,2+$G79,0))+IF(CJ$4="X",VLOOKUP(CJ$10,'VK-Võrgud'!$C:$X,2+$F79,0)))/1000</f>
        <v>18.184861099430584</v>
      </c>
      <c r="CK79" s="209">
        <f>(IF(CK$7="X",VLOOKUP(CK$10,'VK-Hooned-Soojus'!$C:$X,2+$C79,FALSE),0)+IF(CK$6="X",VLOOKUP(CK$10,'VK-Transport'!$C:$X,2+$B79,0))+IF(CK$8="X",VLOOKUP(CK$10,'VK-Elekter'!$C:$X,2+$D79,0))+IF(CK$9="X",VLOOKUP(CK$10,'VK-Biokütused'!$C:$U,2+$E79,0))+IF(CK$5="X",VLOOKUP(CK$10,'VK-Põlevkivi'!$C:$X,2+$G79,0))+IF(CK$4="X",VLOOKUP(CK$10,'VK-Võrgud'!$C:$X,2+$F79,0)))/1000</f>
        <v>11.872324637900011</v>
      </c>
      <c r="CL79" s="235">
        <f>(IF(CL$7="X",VLOOKUP(CL$10,'VK-Hooned-Soojus'!$C:$X,2+$C79,FALSE),0)+IF(CL$6="X",VLOOKUP(CL$10,'VK-Transport'!$C:$X,2+$B79,0))+IF(CL$8="X",VLOOKUP(CL$10,'VK-Elekter'!$C:$X,2+$D79,0))+IF(CL$9="X",VLOOKUP(CL$10,'VK-Biokütused'!$C:$U,2+$E79,0)))/1000</f>
        <v>8.4199419404241382</v>
      </c>
      <c r="CM79" s="209">
        <f>(IF(CM$7="X",VLOOKUP(CM$10,'VK-Hooned-Soojus'!$C:$X,2+$C79,FALSE),0)+IF(CM$6="X",VLOOKUP(CM$10,'VK-Transport'!$C:$X,2+$B79,0))+IF(CM$8="X",VLOOKUP(CM$10,'VK-Elekter'!$C:$X,2+$D79,0))+IF(CM$9="X",VLOOKUP(CM$10,'VK-Biokütused'!$C:$U,2+$E79,0))+IF(CM$5="X",VLOOKUP(CM$10,'VK-Põlevkivi'!$C:$X,2+$G79,0))+IF(CM$4="X",VLOOKUP(CM$10,'VK-Võrgud'!$C:$X,2+$F79,0)))/1000</f>
        <v>7.7863156794471022</v>
      </c>
      <c r="CN79" s="209">
        <f>(IF(CN$7="X",VLOOKUP(CN$10,'VK-Hooned-Soojus'!$C:$X,2+$C79,FALSE),0)+IF(CN$6="X",VLOOKUP(CN$10,'VK-Transport'!$C:$X,2+$B79,0))+IF(CN$8="X",VLOOKUP(CN$10,'VK-Elekter'!$C:$X,2+$D79,0))+IF(CN$9="X",VLOOKUP(CN$10,'VK-Biokütused'!$C:$U,2+$E79,0))+IF(CN$5="X",VLOOKUP(CN$10,'VK-Põlevkivi'!$C:$X,2+$G79,0))+IF(CN$4="X",VLOOKUP(CN$10,'VK-Võrgud'!$C:$X,2+$F79,0)))/1000</f>
        <v>2.9929999999999999</v>
      </c>
      <c r="CO79" s="209">
        <f>(IF(CO$7="X",VLOOKUP(CO$10,'VK-Hooned-Soojus'!$C:$X,2+$C79,FALSE),0)+IF(CO$6="X",VLOOKUP(CO$10,'VK-Transport'!$C:$X,2+$B79,0))+IF(CO$8="X",VLOOKUP(CO$10,'VK-Elekter'!$C:$X,2+$D79,0))+IF(CO$9="X",VLOOKUP(CO$10,'VK-Biokütused'!$C:$U,2+$E79,0))+IF(CO$5="X",VLOOKUP(CO$10,'VK-Põlevkivi'!$C:$X,2+$G79,0))+IF(CO$4="X",VLOOKUP(CO$10,'VK-Võrgud'!$C:$X,2+$F79,0)))/1000</f>
        <v>24.017575210797279</v>
      </c>
      <c r="CP79" s="209">
        <f>(IF(CP$7="X",VLOOKUP(CP$10,'VK-Hooned-Soojus'!$C:$X,2+$C79,FALSE),0)+IF(CP$6="X",VLOOKUP(CP$10,'VK-Transport'!$C:$X,2+$B79,0))+IF(CP$8="X",VLOOKUP(CP$10,'VK-Elekter'!$C:$X,2+$D79,0))+IF(CP$9="X",VLOOKUP(CP$10,'VK-Biokütused'!$C:$U,2+$E79,0))+IF(CP$5="X",VLOOKUP(CP$10,'VK-Põlevkivi'!$C:$X,2+$G79,0))+IF(CP$4="X",VLOOKUP(CP$10,'VK-Võrgud'!$C:$X,2+$F79,0)))/1000</f>
        <v>13.441994830349824</v>
      </c>
      <c r="CQ79" s="235">
        <f>(IF(CQ$7="X",VLOOKUP(CQ$10,'VK-Hooned-Soojus'!$C:$X,2+$C79,FALSE),0)+IF(CQ$6="X",VLOOKUP(CQ$10,'VK-Transport'!$C:$X,2+$B79,0))+IF(CQ$8="X",VLOOKUP(CQ$10,'VK-Elekter'!$C:$X,2+$D79,0))+IF(CQ$9="X",VLOOKUP(CQ$10,'VK-Biokütused'!$C:$U,2+$E79,0)))/1000</f>
        <v>10.636346</v>
      </c>
      <c r="CR79" s="209">
        <f>(IF(CR$7="X",VLOOKUP(CR$10,'VK-Hooned-Soojus'!$C:$X,2+$C79,FALSE),0)+IF(CR$6="X",VLOOKUP(CR$10,'VK-Transport'!$C:$X,2+$B79,0))+IF(CR$8="X",VLOOKUP(CR$10,'VK-Elekter'!$C:$X,2+$D79,0))+IF(CR$9="X",VLOOKUP(CR$10,'VK-Biokütused'!$C:$U,2+$E79,0))+IF(CR$5="X",VLOOKUP(CR$10,'VK-Põlevkivi'!$C:$X,2+$G79,0))+IF(CR$4="X",VLOOKUP(CR$10,'VK-Võrgud'!$C:$X,2+$F79,0)))/1000</f>
        <v>7.8760872784575753</v>
      </c>
      <c r="CS79" s="209">
        <f>(IF(CS$7="X",VLOOKUP(CS$10,'VK-Hooned-Soojus'!$C:$X,2+$C79,FALSE),0)+IF(CS$6="X",VLOOKUP(CS$10,'VK-Transport'!$C:$X,2+$B79,0))+IF(CS$8="X",VLOOKUP(CS$10,'VK-Elekter'!$C:$X,2+$D79,0))+IF(CS$9="X",VLOOKUP(CS$10,'VK-Biokütused'!$C:$U,2+$E79,0))+IF(CS$5="X",VLOOKUP(CS$10,'VK-Põlevkivi'!$C:$X,2+$G79,0))+IF(CS$4="X",VLOOKUP(CS$10,'VK-Võrgud'!$C:$X,2+$F79,0)))/1000</f>
        <v>3.8443344900598322</v>
      </c>
      <c r="CT79" s="209">
        <f>IF(CT$7="X",VLOOKUP(CT$10,'VK-Hooned-Soojus'!$C:$X,2+$C79,FALSE),0)+IF(CT$6="X",VLOOKUP(CT$10,'VK-Transport'!$C:$X,2+$B79,0))+IF(CT$8="X",VLOOKUP(CT$10,'VK-Elekter'!$C:$X,2+$D79,0))+IF(CT$9="X",VLOOKUP(CT$10,'VK-Biokütused'!$C:$U,2+$E79,0))+IF(CT$5="X",VLOOKUP(CT$10,'VK-Põlevkivi'!$C:$X,2+$G79,0))+IF(CT$4="X",VLOOKUP(CT$10,'VK-Võrgud'!$C:$X,2+$F79,0))</f>
        <v>90</v>
      </c>
      <c r="CU79" s="209">
        <f>IF(CU$7="X",VLOOKUP(CU$10,'VK-Hooned-Soojus'!$C:$X,2+$C79,FALSE),0)+IF(CU$6="X",VLOOKUP(CU$10,'VK-Transport'!$C:$X,2+$B79,0))+IF(CU$8="X",VLOOKUP(CU$10,'VK-Elekter'!$C:$X,2+$D79,0))+IF(CU$9="X",VLOOKUP(CU$10,'VK-Biokütused'!$C:$U,2+$E79,0))+IF(CU$5="X",VLOOKUP(CU$10,'VK-Põlevkivi'!$C:$X,2+$G79,0))+IF(CU$4="X",VLOOKUP(CU$10,'VK-Võrgud'!$C:$X,2+$F79,0))</f>
        <v>0.9337349397590361</v>
      </c>
      <c r="CV79" s="209">
        <f t="shared" si="49"/>
        <v>0.84317482403548605</v>
      </c>
      <c r="CW79" s="209">
        <f>(IF(CW$7="X",VLOOKUP(CW$10,'VK-Hooned-Soojus'!$C:$X,2+$C79,FALSE),0)+IF(CW$6="X",VLOOKUP(CW$10,'VK-Transport'!$C:$X,2+$B79,0))+IF(CW$8="X",VLOOKUP(CW$10,'VK-Elekter'!$C:$X,2+$D79,0))+IF(CW$9="X",VLOOKUP(CW$10,'VK-Biokütused'!$C:$U,2+$E79,0))+IF(CW$5="X",VLOOKUP(CW$10,'VK-Põlevkivi'!$C:$X,2+$G79,0))+IF(CW$4="X",VLOOKUP(CW$10,'VK-Võrgud'!$C:$X,2+$F79,0)))/16</f>
        <v>126.01875</v>
      </c>
      <c r="CY79" s="209">
        <f>(IF(CY$7="X",VLOOKUP(CY$10,'VK-Hooned-Soojus'!$C:$X,2+$C79,FALSE),0)+IF(CY$6="X",VLOOKUP(CY$10,'VK-Transport'!$C:$X,2+$B79,0))+IF(CY$8="X",VLOOKUP(CY$10,'VK-Elekter'!$C:$X,2+$D79,0))+IF(CY$9="X",VLOOKUP(CY$10,'VK-Biokütused'!$C:$U,2+$E79,0))+IF(CY$5="X",VLOOKUP(CY$10,'VK-Põlevkivi'!$C:$X,2+$G79,0))+IF(CY$4="X",VLOOKUP(CY$10,'VK-Võrgud'!$C:$X,2+$F79,0)))/1000</f>
        <v>10.74</v>
      </c>
      <c r="CZ79" s="209">
        <f>(IF(CZ$7="X",VLOOKUP(CZ$10,'VK-Hooned-Soojus'!$C:$X,2+$C79,FALSE),0)+IF(CZ$6="X",VLOOKUP(CZ$10,'VK-Transport'!$C:$X,2+$B79,0))+IF(CZ$8="X",VLOOKUP(CZ$10,'VK-Elekter'!$C:$X,2+$D79,0))+IF(CZ$9="X",VLOOKUP(CZ$10,'VK-Biokütused'!$C:$U,2+$E79,0))+IF(CZ$5="X",VLOOKUP(CZ$10,'VK-Põlevkivi'!$C:$X,2+$G79,0))+IF(CZ$4="X",VLOOKUP(CZ$10,'VK-Võrgud'!$C:$X,2+$F79,0)))</f>
        <v>71</v>
      </c>
      <c r="DA79" s="209">
        <f>(IF(DA$7="X",VLOOKUP(DA$10,'VK-Hooned-Soojus'!$C:$X,2+$C79,FALSE),0)+IF(DA$6="X",VLOOKUP(DA$10,'VK-Transport'!$C:$X,2+$B79,0))+IF(DA$8="X",VLOOKUP(DA$10,'VK-Elekter'!$C:$X,2+$D79,0))+IF(DA$9="X",VLOOKUP(DA$10,'VK-Biokütused'!$C:$U,2+$E79,0))+IF(DA$5="X",VLOOKUP(DA$10,'VK-Põlevkivi'!$C:$X,2+$G79,0))+IF(DA$4="X",VLOOKUP(DA$10,'VK-Võrgud'!$C:$X,2+$F79,0)))/1000</f>
        <v>14.378</v>
      </c>
      <c r="DB79" s="209">
        <f>(IF(DB$7="X",VLOOKUP(DB$10,'VK-Hooned-Soojus'!$C:$X,2+$C79,FALSE),0)+IF(DB$6="X",VLOOKUP(DB$10,'VK-Transport'!$C:$X,2+$B79,0))+IF(DB$8="X",VLOOKUP(DB$10,'VK-Elekter'!$C:$X,2+$D79,0))+IF(DB$9="X",VLOOKUP(DB$10,'VK-Biokütused'!$C:$U,2+$E79,0))+IF(DB$5="X",VLOOKUP(DB$10,'VK-Põlevkivi'!$C:$X,2+$G79,0))+IF(DB$4="X",VLOOKUP(DB$10,'VK-Võrgud'!$C:$X,2+$F79,0)))/1000/3.6</f>
        <v>63.728611111111107</v>
      </c>
      <c r="DC79" s="209">
        <f>(IF(DC$7="X",VLOOKUP(DC$10,'VK-Hooned-Soojus'!$C:$X,2+$C79,FALSE),0)+IF(DC$6="X",VLOOKUP(DC$10,'VK-Transport'!$C:$X,2+$B79,0))+IF(DC$8="X",VLOOKUP(DC$10,'VK-Elekter'!$C:$X,2+$D79,0))+IF(DC$9="X",VLOOKUP(DC$10,'VK-Biokütused'!$C:$U,2+$E79,0))+IF(DC$5="X",VLOOKUP(DC$10,'VK-Põlevkivi'!$C:$X,2+$G79,0))+IF(DC$4="X",VLOOKUP(DC$10,'VK-Võrgud'!$C:$X,2+$F79,0)))/1000000</f>
        <v>5.1203849999999997</v>
      </c>
      <c r="DD79" s="209"/>
      <c r="DE79" s="88">
        <f>VLOOKUP(Tulemused!$BN$12,data!M$7:N$12,2,FALSE)-SUM(L79,M79)</f>
        <v>-1.2238666666666731</v>
      </c>
      <c r="DF79" s="209" t="str">
        <f>IF(AZ79&lt;=VLOOKUP(Tulemused!$BN$15,data!$E$36:$F$39,2,FALSE),"JAH","EI")</f>
        <v>JAH</v>
      </c>
      <c r="DG79" s="209"/>
      <c r="DH79" s="209">
        <f t="shared" si="50"/>
        <v>6.28</v>
      </c>
      <c r="DI79" s="231" t="str">
        <f t="shared" si="65"/>
        <v>EI</v>
      </c>
      <c r="DK79" s="232">
        <f t="shared" si="51"/>
        <v>-994.45446126276272</v>
      </c>
      <c r="DM79" s="233">
        <f t="shared" si="52"/>
        <v>-994.87863510516922</v>
      </c>
      <c r="DN79" s="87">
        <f t="array" ref="DN79">INDEX($A$11:$A$145, SMALL(IF(DM79=$DK$11:$DK$145, MATCH(ROW($DK$11:$DK$145), ROW($DK$11:$DK$145))), SUM(--(DM79=$DM$11:DM79))))</f>
        <v>97</v>
      </c>
      <c r="DP79" s="87" t="e">
        <f t="shared" ca="1" si="66"/>
        <v>#N/A</v>
      </c>
      <c r="DQ79" s="87" t="e">
        <f t="shared" ca="1" si="67"/>
        <v>#N/A</v>
      </c>
      <c r="DR79" s="87">
        <f t="shared" ca="1" si="68"/>
        <v>0</v>
      </c>
      <c r="DS79" s="87" t="e">
        <f t="shared" ca="1" si="69"/>
        <v>#N/A</v>
      </c>
      <c r="DT79" s="87">
        <f t="shared" ca="1" si="70"/>
        <v>0</v>
      </c>
      <c r="DU79" s="87" t="e">
        <f t="shared" ca="1" si="71"/>
        <v>#N/A</v>
      </c>
      <c r="DV79" s="87" t="e">
        <f t="shared" ca="1" si="72"/>
        <v>#N/A</v>
      </c>
      <c r="DW79" s="87">
        <f t="shared" ca="1" si="73"/>
        <v>0</v>
      </c>
      <c r="DX79" s="87">
        <f t="shared" ca="1" si="74"/>
        <v>0</v>
      </c>
      <c r="DZ79" s="87">
        <f t="shared" ca="1" si="35"/>
        <v>0</v>
      </c>
      <c r="EB79" s="87">
        <f t="shared" ca="1" si="75"/>
        <v>0</v>
      </c>
      <c r="EC79" s="87" t="e">
        <f t="shared" ca="1" si="76"/>
        <v>#N/A</v>
      </c>
      <c r="EE79" s="228">
        <f>(IF(EE$7="X",VLOOKUP(EE$10,'VK-Hooned-Soojus'!$C:$X,2+$C79,FALSE),0)+IF(EE$6="X",VLOOKUP(EE$10,'VK-Transport'!$C:$X,2+$B79,0))+IF(EE$8="X",VLOOKUP(EE$10,'VK-Elekter'!$C:$X,2+$D79,0))+IF(EE$9="X",VLOOKUP(EE$10,'VK-Biokütused'!$C:$U,2+$E79,0))+IF(EE$5="X",VLOOKUP(EE$10,'VK-Põlevkivi'!$C:$X,2+$G79,0))+IF(EE$4="X",VLOOKUP(EE$10,'VK-Võrgud'!$C:$X,2+$F79,0)))</f>
        <v>13038.279115155272</v>
      </c>
      <c r="EF79" s="235">
        <f>(IF(EF$7="X",VLOOKUP(EF$10,'VK-Hooned-Soojus'!$C:$X,2+$C79,FALSE),0)+IF(EF$6="X",VLOOKUP(EF$10,'VK-Transport'!$C:$X,2+$B79,0))+IF(EF$8="X",VLOOKUP(EF$10,'VK-Elekter'!$C:$X,2+$D79,0))+IF(EF$9="X",VLOOKUP(EF$10,'VK-Biokütused'!$C:$U,2+$E79,0)))/1000</f>
        <v>4.3663823271229703</v>
      </c>
      <c r="EG79" s="209">
        <f>(IF(EG$7="X",VLOOKUP(EG$10,'VK-Hooned-Soojus'!$C:$X,2+$C79,FALSE),0)+IF(EG$6="X",VLOOKUP(EG$10,'VK-Transport'!$C:$X,2+$B79,0))+IF(EG$8="X",VLOOKUP(EG$10,'VK-Elekter'!$C:$X,2+$D79,0))+IF(EG$9="X",VLOOKUP(EG$10,'VK-Biokütused'!$C:$U,2+$E79,0))+IF(EG$5="X",VLOOKUP(EG$10,'VK-Põlevkivi'!$C:$X,2+$G79,0))+IF(EG$4="X",VLOOKUP(EG$10,'VK-Võrgud'!$C:$X,2+$F79,0)))</f>
        <v>2.95</v>
      </c>
      <c r="EH79" s="209">
        <f>(IF(EH$7="X",VLOOKUP(EH$10,'VK-Hooned-Soojus'!$C:$X,2+$C79,FALSE),0)+IF(EH$6="X",VLOOKUP(EH$10,'VK-Transport'!$C:$X,2+$B79,0))+IF(EH$8="X",VLOOKUP(EH$10,'VK-Elekter'!$C:$X,2+$D79,0))+IF(EH$9="X",VLOOKUP(EH$10,'VK-Biokütused'!$C:$U,2+$E79,0)))+AR79+AS79+AU79+AX79</f>
        <v>55.988667065771864</v>
      </c>
      <c r="EI79" s="320">
        <f t="shared" si="53"/>
        <v>48.250678294573639</v>
      </c>
      <c r="EJ79" s="322">
        <f t="shared" si="54"/>
        <v>8.2108534803349301E-2</v>
      </c>
      <c r="EK79" s="323">
        <f t="shared" si="77"/>
        <v>0.45232475218626439</v>
      </c>
      <c r="EM79" s="209"/>
      <c r="EN79" s="209">
        <f t="shared" ca="1" si="55"/>
        <v>0</v>
      </c>
      <c r="EO79" s="209"/>
      <c r="EP79" s="234"/>
      <c r="EQ79" s="209">
        <f>(IF(EQ$7="X",VLOOKUP(EQ$10,'VK-Hooned-Soojus'!$C:$X,2+$C79,FALSE),0)+IF(EQ$6="X",VLOOKUP(EQ$10,'VK-Transport'!$C:$X,2+$B79,0))+IF(EQ$8="X",VLOOKUP(EQ$10,'VK-Elekter'!$C:$X,2+$D79,0))+IF(EQ$9="X",VLOOKUP(EQ$10,'VK-Biokütused'!$C:$U,2+$E79,0))+IF(EQ$5="X",VLOOKUP(EQ$10,'VK-Põlevkivi'!$C:$X,2+$G79,0))+IF(EQ$4="X",VLOOKUP(EQ$10,'VK-Võrgud'!$C:$X,2+$F79,0)))/1000</f>
        <v>0.21099999999999999</v>
      </c>
      <c r="ER79" s="209">
        <f>(IF(ER$7="X",VLOOKUP(ER$10,'VK-Hooned-Soojus'!$C:$X,2+$C79,FALSE),0)+IF(ER$6="X",VLOOKUP(ER$10,'VK-Transport'!$C:$X,2+$B79,0))+IF(ER$8="X",VLOOKUP(ER$10,'VK-Elekter'!$C:$X,2+$D79,0))+IF(ER$9="X",VLOOKUP(ER$10,'VK-Biokütused'!$C:$U,2+$E79,0))+IF(ER$5="X",VLOOKUP(ER$10,'VK-Põlevkivi'!$C:$X,2+$G79,0))+IF(ER$4="X",VLOOKUP(ER$10,'VK-Võrgud'!$C:$X,2+$F79,0)))</f>
        <v>0.76300000000000001</v>
      </c>
      <c r="ES79" s="209">
        <f>(IF(ES$7="X",VLOOKUP(ES$10,'VK-Hooned-Soojus'!$C:$X,2+$C79,FALSE),0)+IF(ES$6="X",VLOOKUP(ES$10,'VK-Transport'!$C:$X,2+$B79,0))+IF(ES$8="X",VLOOKUP(ES$10,'VK-Elekter'!$C:$X,2+$D79,0))+IF(ES$9="X",VLOOKUP(ES$10,'VK-Biokütused'!$C:$U,2+$E79,0))+IF(ES$5="X",VLOOKUP(ES$10,'VK-Põlevkivi'!$C:$X,2+$G79,0))+IF(ES$4="X",VLOOKUP(ES$10,'VK-Võrgud'!$C:$X,2+$F79,0)))</f>
        <v>6.28</v>
      </c>
      <c r="ET79" s="209"/>
      <c r="EU79" s="209"/>
      <c r="EV79" s="87">
        <f>'KSH järjestus'!AS72</f>
        <v>1190</v>
      </c>
      <c r="EX79" s="236"/>
      <c r="EY79" s="236"/>
      <c r="EZ79" s="237">
        <f t="shared" si="56"/>
        <v>6.6265060240963902E-2</v>
      </c>
      <c r="FA79" s="209">
        <f>IF(FA$7="X",VLOOKUP(FA$10,'VK-Hooned-Soojus'!$C:$X,2+$C79,FALSE),0)+IF(FA$6="X",VLOOKUP(FA$10,'VK-Transport'!$C:$X,2+$B79,0))+IF(FA$8="X",VLOOKUP(FA$10,'VK-Elekter'!$C:$X,2+$D79,0))+IF(FA$9="X",VLOOKUP(FA$10,'VK-Biokütused'!$C:$U,2+$E79,0))+IF(FA$5="X",VLOOKUP(FA$10,'VK-Põlevkivi'!$C:$X,2+$G79,0))+IF(FA$4="X",VLOOKUP(FA$10,'VK-Võrgud'!$C:$X,2+$F79,0))</f>
        <v>3300.346</v>
      </c>
      <c r="FB79" s="279">
        <f>(IF(FB$7="X",VLOOKUP(FB$10,'VK-Hooned-Soojus'!$C:$X,2+$C79,FALSE),0)+IF(FB$6="X",VLOOKUP(FB$10,'VK-Transport'!$C:$X,2+$B79,0))+IF(FB$8="X",VLOOKUP(FB$10,'VK-Elekter'!$C:$X,2+$D79,0))+IF(FB$9="X",VLOOKUP(FB$10,'VK-Biokütused'!$C:$U,2+$E79,0))+IF(FB$5="X",VLOOKUP(FB$10,'VK-Põlevkivi'!$C:$X,2+$G79,0))+IF(FB$4="X",VLOOKUP(FB$10,'VK-Võrgud'!$C:$X,2+$F79,0)))/16</f>
        <v>551.96151073470639</v>
      </c>
      <c r="FC79" s="209">
        <f>IF(FC$7="X",VLOOKUP(FC$10,'VK-Hooned-Soojus'!$C:$X,2+$C79,FALSE),0)+IF(FC$6="X",VLOOKUP(FC$10,'VK-Transport'!$C:$X,2+$B79,0))+IF(FC$8="X",VLOOKUP(FC$10,'VK-Elekter'!$C:$X,2+$D79,0))+IF(FC$9="X",VLOOKUP(FC$10,'VK-Biokütused'!$C:$U,2+$E79,0))+IF(FC$5="X",VLOOKUP(FC$10,'VK-Põlevkivi'!$C:$X,2+$G79,0))+IF(FC$4="X",VLOOKUP(FC$10,'VK-Võrgud'!$C:$X,2+$F79,0))</f>
        <v>306.45</v>
      </c>
      <c r="FD79" s="209">
        <f>(IF(FD$7="X",VLOOKUP(FD$10,'VK-Hooned-Soojus'!$C:$X,2+$C79,FALSE),0)+IF(FD$6="X",VLOOKUP(FD$10,'VK-Transport'!$C:$X,2+$B79,0))+IF(FD$8="X",VLOOKUP(FD$10,'VK-Elekter'!$C:$X,2+$D79,0))+IF(FD$9="X",VLOOKUP(FD$10,'VK-Biokütused'!$C:$U,2+$E79,0))+IF(FD$5="X",VLOOKUP(FD$10,'VK-Põlevkivi'!$C:$X,2+$G79,0))+IF(FD$4="X",VLOOKUP(FD$10,'VK-Võrgud'!$C:$X,2+$F79,0)))/16</f>
        <v>551.96151073470639</v>
      </c>
      <c r="FE79" s="209">
        <f>(IF(FE$7="X",VLOOKUP(FE$10,'VK-Hooned-Soojus'!$C:$X,2+$C79,FALSE),0)+IF(FE$6="X",VLOOKUP(FE$10,'VK-Transport'!$C:$X,2+$B79,0))+IF(FE$8="X",VLOOKUP(FE$10,'VK-Elekter'!$C:$X,2+$D79,0))+IF(FE$9="X",VLOOKUP(FE$10,'VK-Biokütused'!$C:$U,2+$E79,0))+IF(FE$5="X",VLOOKUP(FE$10,'VK-Põlevkivi'!$C:$X,2+$G79,0))+IF(FE$4="X",VLOOKUP(FE$10,'VK-Võrgud'!$C:$X,2+$F79,0)))/16</f>
        <v>-96.182063699091032</v>
      </c>
      <c r="FF79" s="209">
        <f>(IF(FF$7="X",VLOOKUP(FF$10,'VK-Hooned-Soojus'!$C:$X,2+$C79,FALSE),0)+IF(FF$6="X",VLOOKUP(FF$10,'VK-Transport'!$C:$X,2+$B79,0))+IF(FF$8="X",VLOOKUP(FF$10,'VK-Elekter'!$C:$X,2+$D79,0))+IF(FF$9="X",VLOOKUP(FF$10,'VK-Biokütused'!$C:$U,2+$E79,0))+IF(FF$5="X",VLOOKUP(FF$10,'VK-Põlevkivi'!$C:$X,2+$G79,0))+IF(FF$4="X",VLOOKUP(FF$10,'VK-Võrgud'!$C:$X,2+$F79,0)))/16</f>
        <v>198.50609196832752</v>
      </c>
      <c r="FG79" s="88">
        <f t="shared" ca="1" si="78"/>
        <v>102.32402826923649</v>
      </c>
      <c r="FH79" s="88"/>
      <c r="FI79" s="88"/>
      <c r="FJ79" s="88">
        <f>VLOOKUP(Tulemused!$BN$12,data!M$7:N$12,2,FALSE)-SUM(L79,M79)</f>
        <v>-1.2238666666666731</v>
      </c>
      <c r="FK79" s="209" t="str">
        <f>IF(AZ79&lt;=VLOOKUP(Tulemused!$BN$15,data!$E$36:$F$39,2,FALSE),"JAH","EI")</f>
        <v>JAH</v>
      </c>
      <c r="FL79" s="235">
        <f ca="1">IF(ISNA(MATCH($A79,INDIRECT(VLOOKUP(Tulemused!$BF$11,data!$J$57:$M$71,4,FALSE)))),0,MATCH($A79,INDIRECT(VLOOKUP(Tulemused!$BF$11,data!$J$57:$M$71,4,FALSE))))</f>
        <v>0</v>
      </c>
      <c r="FM79" s="235" t="str">
        <f t="shared" ca="1" si="57"/>
        <v>JAH</v>
      </c>
      <c r="FN79" s="209">
        <f>VLOOKUP(Tulemused!$BN$13,data!$C$132:$D$137,2,FALSE)-KOMBI!R79</f>
        <v>3.1013876728770304</v>
      </c>
      <c r="FO79" s="209"/>
      <c r="FP79" s="209">
        <f>VLOOKUP(Tulemused!$BN$17,NO_x,2,FALSE)-CJ79</f>
        <v>11.253138900569414</v>
      </c>
      <c r="FQ79" s="209">
        <f>VLOOKUP(Tulemused!$BN$18,SO_2,2,FALSE)-CK79</f>
        <v>40.011675362099993</v>
      </c>
      <c r="FR79" s="209">
        <f>VLOOKUP(Tulemused!$BN$19,LOU,2,FALSE)-CN79</f>
        <v>34.087000000000003</v>
      </c>
      <c r="FS79" s="209">
        <f>VLOOKUP(Tulemused!$BN$20,PM_2.5,2,FALSE)-CM79</f>
        <v>9.128684320552896</v>
      </c>
      <c r="FT79" s="209">
        <f>VLOOKUP(Tulemused!$BN$13,data!$C$132:$D$137,2,FALSE)-FA79/1000</f>
        <v>2.9456240000000005</v>
      </c>
      <c r="FU79" s="209">
        <f>VLOOKUP(Tulemused!$BN$17,NO_x,2,FALSE)-CO79</f>
        <v>5.4204247892027198</v>
      </c>
      <c r="FV79" s="209">
        <f>VLOOKUP(Tulemused!$BN$18,SO_2,2,FALSE)-CP79</f>
        <v>38.442005169650173</v>
      </c>
      <c r="FW79" s="209">
        <f>VLOOKUP(Tulemused!$BN$19,LOU,2,FALSE)-CS79</f>
        <v>33.235665509940176</v>
      </c>
      <c r="FX79" s="209">
        <f>VLOOKUP(Tulemused!$BN$20,PM_2.5,2,FALSE)-CR79</f>
        <v>9.0389127215424239</v>
      </c>
      <c r="FY79" s="209">
        <f>VLOOKUP(Tulemused!$BN$14,KHG_2050,2,FALSE)-EF79</f>
        <v>95.633617672877023</v>
      </c>
      <c r="FZ79" s="231" t="str">
        <f t="shared" ca="1" si="79"/>
        <v>EI</v>
      </c>
      <c r="GA79" s="209"/>
      <c r="GB79" s="209"/>
      <c r="GC79" s="209"/>
      <c r="GD79" s="231"/>
      <c r="GE79" s="87">
        <f t="shared" si="58"/>
        <v>1190</v>
      </c>
      <c r="GF79" s="232" t="str">
        <f t="shared" ca="1" si="80"/>
        <v/>
      </c>
      <c r="GH79" s="238" t="e">
        <f t="shared" ca="1" si="59"/>
        <v>#NUM!</v>
      </c>
      <c r="GI79" s="87" t="e">
        <f t="array" aca="1" ref="GI79" ca="1">INDEX($A$11:$A$145, SMALL(IF(GH79=$GF$11:$GF$145, MATCH(ROW($GF$11:$GF$145), ROW($GF$11:$GF$145))), SUM(--(GH79=$GH$11:GH79))))</f>
        <v>#NUM!</v>
      </c>
      <c r="GM79" s="209">
        <f>IF(GM$7="X",VLOOKUP(GM$10,'VK-Hooned-Soojus'!$C:$X,2+$C79,FALSE),0)+IF(GM$6="X",VLOOKUP(GM$10,'VK-Transport'!$C:$X,2+$B79,0))+IF(GM$8="X",VLOOKUP(GM$10,'VK-Elekter'!$C:$X,2+$D79,0))+IF(GM$9="X",VLOOKUP(GM$10,'VK-Biokütused'!$C:$U,2+$E79,0))+IF(GM$5="X",VLOOKUP(GM$10,'VK-Põlevkivi'!$C:$X,2+$G79,0))+IF(GM$4="X",VLOOKUP(GM$10,'VK-Võrgud'!$C:$X,2+$F79,0))</f>
        <v>6.011750640646909</v>
      </c>
      <c r="GN79" s="209">
        <f>IF(GN$7="X",VLOOKUP(GN$10,'VK-Hooned-Soojus'!$C:$X,2+$C79,FALSE),0)+IF(GN$6="X",VLOOKUP(GN$10,'VK-Transport'!$C:$X,2+$B79,0))+IF(GN$8="X",VLOOKUP(GN$10,'VK-Elekter'!$C:$X,2+$D79,0))+IF(GN$9="X",VLOOKUP(GN$10,'VK-Biokütused'!$C:$U,2+$E79,0))+IF(GN$5="X",VLOOKUP(GN$10,'VK-Põlevkivi'!$C:$X,2+$G79,0))+IF(GN$4="X",VLOOKUP(GN$10,'VK-Võrgud'!$C:$X,2+$F79,0))</f>
        <v>3.4528686473995491</v>
      </c>
      <c r="GO79" s="209">
        <f>IF(GO$7="X",VLOOKUP(GO$10,'VK-Hooned-Soojus'!$C:$X,2+$C79,FALSE),0)+IF(GO$6="X",VLOOKUP(GO$10,'VK-Transport'!$C:$X,2+$B79,0))+IF(GO$8="X",VLOOKUP(GO$10,'VK-Elekter'!$C:$X,2+$D79,0))+IF(GO$9="X",VLOOKUP(GO$10,'VK-Biokütused'!$C:$U,2+$E79,0))+IF(GO$5="X",VLOOKUP(GO$10,'VK-Põlevkivi'!$C:$X,2+$G79,0))+IF(GO$4="X",VLOOKUP(GO$10,'VK-Võrgud'!$C:$X,2+$F79,0))</f>
        <v>7.936370010272257</v>
      </c>
      <c r="GP79" s="209">
        <f>IF(GP$7="X",VLOOKUP(GP$10,'VK-Hooned-Soojus'!$C:$X,2+$C79,FALSE),0)+IF(GP$6="X",VLOOKUP(GP$10,'VK-Transport'!$C:$X,2+$B79,0))+IF(GP$8="X",VLOOKUP(GP$10,'VK-Elekter'!$C:$X,2+$D79,0))+IF(GP$9="X",VLOOKUP(GP$10,'VK-Biokütused'!$C:$U,2+$E79,0))+IF(GP$5="X",VLOOKUP(GP$10,'VK-Põlevkivi'!$C:$X,2+$G79,0))+IF(GP$4="X",VLOOKUP(GP$10,'VK-Võrgud'!$C:$X,2+$F79,0))</f>
        <v>9.1527946929596489</v>
      </c>
      <c r="GQ79" s="88">
        <f>IF(GQ$7="X",VLOOKUP(GQ$10,'VK-Hooned-Soojus'!$C:$X,2+$C79,FALSE),0)+IF(GQ$6="X",VLOOKUP(GQ$10,'VK-Transport'!$C:$X,2+$B79,0))+IF(GQ$8="X",VLOOKUP(GQ$10,'VK-Elekter'!$C:$X,2+$D79,0))+IF(GQ$9="X",VLOOKUP(GQ$10,'VK-Biokütused'!$C:$U,2+$E79,0))+IF(GQ$5="X",VLOOKUP(GQ$10,'VK-Põlevkivi'!$C:$X,2+$G79,0))+IF(GQ$4="X",VLOOKUP(GQ$10,'VK-Võrgud'!$C:$X,2+$F79,0))</f>
        <v>0.90618397335647782</v>
      </c>
      <c r="GR79" s="186">
        <f t="shared" si="81"/>
        <v>0.39674603054856644</v>
      </c>
    </row>
    <row r="80" spans="1:200" x14ac:dyDescent="0.2">
      <c r="A80" s="184">
        <v>70</v>
      </c>
      <c r="B80" s="87">
        <v>2</v>
      </c>
      <c r="C80" s="87">
        <v>2</v>
      </c>
      <c r="D80" s="87">
        <v>4</v>
      </c>
      <c r="E80" s="87">
        <v>1</v>
      </c>
      <c r="F80" s="87">
        <f>VLOOKUP(Tulemused!$BF$7,data!$J$6:$K$8,2,FALSE)</f>
        <v>2</v>
      </c>
      <c r="G80" s="87">
        <f>VLOOKUP(data!$H$2,data!$J$12:$K$14,2,FALSE)</f>
        <v>2</v>
      </c>
      <c r="I80" s="209">
        <f>IF(I$7="X",VLOOKUP(I$10,'VK-Hooned-Soojus'!$C:$X,2+$C80,FALSE),0)+IF(I$6="X",VLOOKUP(I$10,'VK-Transport'!$C:$X,2+$B80,0))+IF(I$8="X",VLOOKUP(I$10,'VK-Elekter'!$C:$X,2+$D80,0))+IF(I$9="X",VLOOKUP(I$10,'VK-Biokütused'!$C:$U,2+$E80,0))+IF(I$5="X",VLOOKUP(I$10,'VK-Põlevkivi'!$C:$X,2+$G80,0))+IF(I$4="X",VLOOKUP(I$10,'VK-Võrgud'!$C:$X,2+$F80,0))</f>
        <v>24.79</v>
      </c>
      <c r="J80" s="209">
        <f>IF(J$7="X",VLOOKUP(J$10,'VK-Hooned-Soojus'!$C:$X,2+$C80,FALSE),0)+IF(J$6="X",VLOOKUP(J$10,'VK-Transport'!$C:$X,2+$B80,0))+IF(J$8="X",VLOOKUP(J$10,'VK-Elekter'!$C:$X,2+$D80,0))+IF(J$9="X",VLOOKUP(J$10,'VK-Biokütused'!$C:$U,2+$E80,0))+IF(J$5="X",VLOOKUP(J$10,'VK-Põlevkivi'!$C:$X,2+$G80,0))+IF(J$4="X",VLOOKUP(J$10,'VK-Võrgud'!$C:$X,2+$F80,0))</f>
        <v>11.138055555555555</v>
      </c>
      <c r="K80" s="209">
        <f>IF(K$7="X",VLOOKUP(K$10,'VK-Hooned-Soojus'!$C:$X,2+$C80,FALSE),0)+IF(K$6="X",VLOOKUP(K$10,'VK-Transport'!$C:$X,2+$B80,0))+IF(K$8="X",VLOOKUP(K$10,'VK-Elekter'!$C:$X,2+$D80,0))+IF(K$9="X",VLOOKUP(K$10,'VK-Biokütused'!$C:$U,2+$E80,0))+IF(K$5="X",VLOOKUP(K$10,'VK-Põlevkivi'!$C:$X,2+$G80,0))+IF(K$4="X",VLOOKUP(K$10,'VK-Võrgud'!$C:$X,2+$F80,0))</f>
        <v>15.27</v>
      </c>
      <c r="L80" s="209">
        <f>IF(L$7="X",VLOOKUP(L$10,'VK-Hooned-Soojus'!$C:$X,2+$C80,FALSE),0)+IF(L$6="X",VLOOKUP(L$10,'VK-Transport'!$C:$X,2+$B80,0))+IF(L$8="X",VLOOKUP(L$10,'VK-Elekter'!$C:$X,2+$D80,0))+IF(L$9="X",VLOOKUP(L$10,'VK-Biokütused'!$C:$U,2+$E80,0))+IF(L$5="X",VLOOKUP(L$10,'VK-Põlevkivi'!$C:$X,2+$G80,0))+IF(L$4="X",VLOOKUP(L$10,'VK-Võrgud'!$C:$X,2+$F80,0))</f>
        <v>24.2</v>
      </c>
      <c r="M80" s="209">
        <f>IF(M$7="X",VLOOKUP(M$10,'VK-Hooned-Soojus'!$C:$X,2+$C80,FALSE),0)+IF(M$6="X",VLOOKUP(M$10,'VK-Transport'!$C:$X,2+$B80,0))+IF(M$8="X",VLOOKUP(M$10,'VK-Elekter'!$C:$X,2+$D80,0))+IF(M$9="X",VLOOKUP(M$10,'VK-Biokütused'!$C:$U,2+$E80,0))+IF(M$5="X",VLOOKUP(M$10,'VK-Põlevkivi'!$C:$X,2+$G80,0))+IF(M$4="X",VLOOKUP(M$10,'VK-Võrgud'!$C:$X,2+$F80,0))</f>
        <v>9.8566666666666674</v>
      </c>
      <c r="N80" s="209">
        <f>IF(N$7="X",VLOOKUP(N$10,'VK-Hooned-Soojus'!$C:$X,2+$C80,FALSE),0)+IF(N$6="X",VLOOKUP(N$10,'VK-Transport'!$C:$X,2+$B80,0))+IF(N$8="X",VLOOKUP(N$10,'VK-Elekter'!$C:$X,2+$D80,0))+IF(N$9="X",VLOOKUP(N$10,'VK-Biokütused'!$C:$U,2+$E80,0))+IF(N$5="X",VLOOKUP(N$10,'VK-Põlevkivi'!$C:$X,2+$G80,0))+IF(N$4="X",VLOOKUP(N$10,'VK-Võrgud'!$C:$X,2+$F80,0))</f>
        <v>16.09</v>
      </c>
      <c r="O80" s="209">
        <f t="shared" si="60"/>
        <v>35.928055555555552</v>
      </c>
      <c r="P80" s="209"/>
      <c r="Q80" s="209">
        <f>(IF(Q$7="X",VLOOKUP(Q$10,'VK-Hooned-Soojus'!$C:$X,2+$C80,FALSE),0)+IF(Q$6="X",VLOOKUP(Q$10,'VK-Transport'!$C:$X,2+$B80,0))+IF(Q$8="X",VLOOKUP(Q$10,'VK-Elekter'!$C:$X,2+$D80,0))+IF(Q$9="X",VLOOKUP(Q$10,'VK-Biokütused'!$C:$U,2+$E80,0))+IF(Q$5="X",VLOOKUP(Q$10,'VK-Põlevkivi'!$C:$X,2+$G80,0))+IF(Q$4="X",VLOOKUP(Q$10,'VK-Võrgud'!$C:$X,2+$F80,0)))/1000</f>
        <v>1.337</v>
      </c>
      <c r="R80" s="209">
        <f>(IF(R$7="X",VLOOKUP(R$10,'VK-Hooned-Soojus'!$C:$X,2+$C80,FALSE),0)+IF(R$6="X",VLOOKUP(R$10,'VK-Transport'!$C:$X,2+$B80,0))+IF(R$8="X",VLOOKUP(R$10,'VK-Elekter'!$C:$X,2+$D80,0))+IF(R$9="X",VLOOKUP(R$10,'VK-Biokütused'!$C:$U,2+$E80,0))+IF(R$5="X",VLOOKUP(R$10,'VK-Põlevkivi'!$C:$X,2+$G80,0))+IF(R$4="X",VLOOKUP(R$10,'VK-Võrgud'!$C:$X,2+$F80,0)))/1000</f>
        <v>2.5583823271229704</v>
      </c>
      <c r="S80" s="226">
        <f>VLOOKUP(S$10,'VK-Hooned-Soojus'!$C:$I,2+$C80,FALSE) + VLOOKUP(S$10,'VK-Transport'!$C:$I,2+$B80,FALSE)+ VLOOKUP(S$10,'VK-Biokütused'!$C:$G,2+$E80,FALSE)+ VLOOKUP(S$10,'VK-Elekter'!$C:$I,2+$D80,FALSE)+ VLOOKUP(S$10,'VK-Põlevkivi'!$C:$I,2+$G80,FALSE)+ VLOOKUP(S$10,'VK-Võrgud'!$C:$I,2+$F80,FALSE)</f>
        <v>8.5884740687231474E-3</v>
      </c>
      <c r="T80" s="226">
        <f>VLOOKUP(T$10,'VK-Hooned-Soojus'!$C:$I,2+$C80,FALSE) + VLOOKUP(T$10,'VK-Transport'!$C:$I,2+$B80,FALSE)+ VLOOKUP(T$10,'VK-Biokütused'!$C:$G,2+$E80,FALSE)+ VLOOKUP(T$10,'VK-Elekter'!$C:$I,2+$D80,FALSE)+ VLOOKUP(T$10,'VK-Põlevkivi'!$C:$I,2+$G80,FALSE)+ VLOOKUP(T$10,'VK-Võrgud'!$C:$I,2+$F80,FALSE)</f>
        <v>1.3735050370971562E-3</v>
      </c>
      <c r="U80" s="226">
        <f>VLOOKUP(U$10,'VK-Hooned-Soojus'!$C:$I,2+$C80,FALSE) + VLOOKUP(U$10,'VK-Transport'!$C:$I,2+$B80,FALSE)+ VLOOKUP(U$10,'VK-Biokütused'!$C:$G,2+$E80,FALSE)+ VLOOKUP(U$10,'VK-Elekter'!$C:$I,2+$D80,FALSE)+ VLOOKUP(U$10,'VK-Põlevkivi'!$C:$I,2+$G80,FALSE)+ VLOOKUP(U$10,'VK-Võrgud'!$C:$I,2+$F80,FALSE)</f>
        <v>7.9742280149114331E-4</v>
      </c>
      <c r="V80" s="226">
        <f>VLOOKUP(V$10,'VK-Hooned-Soojus'!$C:$I,2+$C80,FALSE) + VLOOKUP(V$10,'VK-Transport'!$C:$I,2+$B80,FALSE)+ VLOOKUP(V$10,'VK-Biokütused'!$C:$G,2+$E80,FALSE)+ VLOOKUP(V$10,'VK-Elekter'!$C:$I,2+$D80,FALSE)+ VLOOKUP(V$10,'VK-Põlevkivi'!$C:$I,2+$G80,FALSE)+ VLOOKUP(V$10,'VK-Võrgud'!$C:$I,2+$F80,FALSE)</f>
        <v>7.8191505335664328E-3</v>
      </c>
      <c r="W80" s="226">
        <f>VLOOKUP(W$10,'VK-Hooned-Soojus'!$C:$I,2+$C80,FALSE) + VLOOKUP(W$10,'VK-Transport'!$C:$I,2+$B80,FALSE)+ VLOOKUP(W$10,'VK-Biokütused'!$C:$G,2+$E80,FALSE)+ VLOOKUP(W$10,'VK-Elekter'!$C:$I,2+$D80,FALSE)+ VLOOKUP(W$10,'VK-Põlevkivi'!$C:$I,2+$G80,FALSE)+ VLOOKUP(W$10,'VK-Võrgud'!$C:$I,2+$F80,FALSE)</f>
        <v>-4.9049831344661468E-2</v>
      </c>
      <c r="X80" s="226">
        <f>VLOOKUP(X$10,'VK-Hooned-Soojus'!$C:$I,2+$C80,FALSE) + VLOOKUP(X$10,'VK-Transport'!$C:$I,2+$B80,FALSE)+ VLOOKUP(X$10,'VK-Biokütused'!$C:$G,2+$E80,FALSE)+ VLOOKUP(X$10,'VK-Elekter'!$C:$I,2+$D80,FALSE)+ VLOOKUP(X$10,'VK-Põlevkivi'!$C:$I,2+$G80,FALSE)+ VLOOKUP(X$10,'VK-Võrgud'!$C:$I,2+$F80,FALSE)</f>
        <v>-0.17195480623253859</v>
      </c>
      <c r="Y80" s="226">
        <f>VLOOKUP(Y$10,'VK-Hooned-Soojus'!$C:$I,2+$C80,FALSE) + VLOOKUP(Y$10,'VK-Transport'!$C:$I,2+$B80,FALSE)+ VLOOKUP(Y$10,'VK-Biokütused'!$C:$G,2+$E80,FALSE)+ VLOOKUP(Y$10,'VK-Elekter'!$C:$I,2+$D80,FALSE)+ VLOOKUP(Y$10,'VK-Põlevkivi'!$C:$I,2+$G80,FALSE)+ VLOOKUP(Y$10,'VK-Võrgud'!$C:$I,2+$F80,FALSE)</f>
        <v>-9.25577614184874E-2</v>
      </c>
      <c r="Z80" s="227">
        <f>(S80*Tulemused!$Q$9*10+T80*Tulemused!$Q$10*10+KOMBI!U80*Tulemused!$Q$11*10+KOMBI!V80*Tulemused!$Q$12*10)*Tulemused!$Q$8+-(W80*Tulemused!$Q$14*10+KOMBI!X80*Tulemused!$Q$15*10+KOMBI!Y80*Tulemused!$Q$16*10)*Tulemused!$Q$13</f>
        <v>7.6192286152863584</v>
      </c>
      <c r="AA80" s="228">
        <f>(IF(AA$7="X",VLOOKUP(AA$10,'VK-Hooned-Soojus'!$C:$X,2+$C80,FALSE),0)+IF(AA$6="X",VLOOKUP(AA$10,'VK-Transport'!$C:$X,2+$B80,0))+IF(AA$8="X",VLOOKUP(AA$10,'VK-Elekter'!$C:$X,2+$D80,0))+IF(AA$9="X",VLOOKUP(AA$10,'VK-Biokütused'!$C:$U,2+$E80,0))+IF(AA$5="X",VLOOKUP(AA$10,'VK-Põlevkivi'!$C:$X,2+$G80,0))+IF(AA$4="X",VLOOKUP(AA$10,'VK-Võrgud'!$C:$X,2+$F80,0)))</f>
        <v>0</v>
      </c>
      <c r="AB80" s="228">
        <f>(IF(AB$7="X",VLOOKUP(AB$10,'VK-Hooned-Soojus'!$C:$X,2+$C80,FALSE),0)+IF(AB$6="X",VLOOKUP(AB$10,'VK-Transport'!$C:$X,2+$B80,0))+IF(AB$8="X",VLOOKUP(AB$10,'VK-Elekter'!$C:$X,2+$D80,0))+IF(AB$9="X",VLOOKUP(AB$10,'VK-Biokütused'!$C:$U,2+$E80,0))+IF(AB$5="X",VLOOKUP(AB$10,'VK-Põlevkivi'!$C:$X,2+$G80,0))+IF(AB$4="X",VLOOKUP(AB$10,'VK-Võrgud'!$C:$X,2+$F80,0)))</f>
        <v>1337</v>
      </c>
      <c r="AC80" s="228">
        <f>(IF(AC$7="X",VLOOKUP(AC$10,'VK-Hooned-Soojus'!$C:$X,2+$C80,FALSE),0)+IF(AC$6="X",VLOOKUP(AC$10,'VK-Transport'!$C:$X,2+$B80,0))+IF(AC$8="X",VLOOKUP(AC$10,'VK-Elekter'!$C:$X,2+$D80,0))+IF(AC$9="X",VLOOKUP(AC$10,'VK-Biokütused'!$C:$U,2+$E80,0))+IF(AC$5="X",VLOOKUP(AC$10,'VK-Põlevkivi'!$C:$X,2+$G80,0))+IF(AC$4="X",VLOOKUP(AC$10,'VK-Võrgud'!$C:$X,2+$F80,0)))</f>
        <v>2346</v>
      </c>
      <c r="AD80" s="228">
        <f>(IF(AD$7="X",VLOOKUP(AD$10,'VK-Hooned-Soojus'!$C:$X,2+$C80,FALSE),0)+IF(AD$6="X",VLOOKUP(AD$10,'VK-Transport'!$C:$X,2+$B80,0))+IF(AD$8="X",VLOOKUP(AD$10,'VK-Elekter'!$C:$X,2+$D80,0))+IF(AD$9="X",VLOOKUP(AD$10,'VK-Biokütused'!$C:$U,2+$E80,0))+IF(AD$5="X",VLOOKUP(AD$10,'VK-Põlevkivi'!$C:$X,2+$G80,0))+IF(AD$4="X",VLOOKUP(AD$10,'VK-Võrgud'!$C:$X,2+$F80,0)))</f>
        <v>0</v>
      </c>
      <c r="AE80" s="228">
        <f>(IF(AE$7="X",VLOOKUP(AE$10,'VK-Hooned-Soojus'!$C:$X,2+$C80,FALSE),0)+IF(AE$6="X",VLOOKUP(AE$10,'VK-Transport'!$C:$X,2+$B80,0))+IF(AE$8="X",VLOOKUP(AE$10,'VK-Elekter'!$C:$X,2+$D80,0))+IF(AE$9="X",VLOOKUP(AE$10,'VK-Biokütused'!$C:$U,2+$E80,0))+IF(AE$5="X",VLOOKUP(AE$10,'VK-Põlevkivi'!$C:$X,2+$G80,0))+IF(AE$4="X",VLOOKUP(AE$10,'VK-Võrgud'!$C:$X,2+$F80,0)))</f>
        <v>666</v>
      </c>
      <c r="AF80" s="228">
        <f>(IF(AF$7="X",VLOOKUP(AF$10,'VK-Hooned-Soojus'!$C:$X,2+$C80,FALSE),0)+IF(AF$6="X",VLOOKUP(AF$10,'VK-Transport'!$C:$X,2+$B80,0))+IF(AF$8="X",VLOOKUP(AF$10,'VK-Elekter'!$C:$X,2+$D80,0))+IF(AF$9="X",VLOOKUP(AF$10,'VK-Biokütused'!$C:$U,2+$E80,0))+IF(AF$5="X",VLOOKUP(AF$10,'VK-Põlevkivi'!$C:$X,2+$G80,0))+IF(AF$4="X",VLOOKUP(AF$10,'VK-Võrgud'!$C:$X,2+$F80,0)))</f>
        <v>1892.3823271229701</v>
      </c>
      <c r="AG80" s="209"/>
      <c r="AH80" s="209">
        <f>IF(AH$7="X",VLOOKUP(AH$10,'VK-Hooned-Soojus'!$C:$X,2+$C80,FALSE),0)+IF(AH$6="X",VLOOKUP(AH$10,'VK-Transport'!$C:$X,2+$B80,0))+IF(AH$8="X",VLOOKUP(AH$10,'VK-Elekter'!$C:$X,2+$D80,0))+IF(AH$9="X",VLOOKUP(AH$10,'VK-Biokütused'!$C:$U,2+$E80,0))+IF(AH$5="X",VLOOKUP(AH$10,'VK-Põlevkivi'!$C:$X,2+$G80,0))+IF(AH$4="X",VLOOKUP(AH$10,'VK-Võrgud'!$C:$X,2+$F80,0))</f>
        <v>0</v>
      </c>
      <c r="AI80" s="209">
        <f>IF(AI$7="X",VLOOKUP(AI$10,'VK-Hooned-Soojus'!$C:$X,2+$C80,FALSE),0)+IF(AI$6="X",VLOOKUP(AI$10,'VK-Transport'!$C:$X,2+$B80,0))+IF(AI$8="X",VLOOKUP(AI$10,'VK-Elekter'!$C:$X,2+$D80,0))+IF(AI$9="X",VLOOKUP(AI$10,'VK-Biokütused'!$C:$U,2+$E80,0))+IF(AI$5="X",VLOOKUP(AI$10,'VK-Põlevkivi'!$C:$X,2+$G80,0))+IF(AI$4="X",VLOOKUP(AI$10,'VK-Võrgud'!$C:$X,2+$F80,0))</f>
        <v>11.489999999999998</v>
      </c>
      <c r="AJ80" s="209">
        <f>IF(AJ$7="X",VLOOKUP(AJ$10,'VK-Hooned-Soojus'!$C:$X,2+$C80,FALSE),0)+IF(AJ$6="X",VLOOKUP(AJ$10,'VK-Transport'!$C:$X,2+$B80,0))+IF(AJ$8="X",VLOOKUP(AJ$10,'VK-Elekter'!$C:$X,2+$D80,0))+IF(AJ$9="X",VLOOKUP(AJ$10,'VK-Biokütused'!$C:$U,2+$E80,0))+IF(AJ$5="X",VLOOKUP(AJ$10,'VK-Põlevkivi'!$C:$X,2+$G80,0))+IF(AJ$4="X",VLOOKUP(AJ$10,'VK-Võrgud'!$C:$X,2+$F80,0))</f>
        <v>0</v>
      </c>
      <c r="AK80" s="209">
        <f>IF(AK$7="X",VLOOKUP(AK$10,'VK-Hooned-Soojus'!$C:$X,2+$C80,FALSE),0)+IF(AK$6="X",VLOOKUP(AK$10,'VK-Transport'!$C:$X,2+$B80,0))+IF(AK$8="X",VLOOKUP(AK$10,'VK-Elekter'!$C:$X,2+$D80,0))+IF(AK$9="X",VLOOKUP(AK$10,'VK-Biokütused'!$C:$U,2+$E80,0))+IF(AK$5="X",VLOOKUP(AK$10,'VK-Põlevkivi'!$C:$X,2+$G80,0))+IF(AK$4="X",VLOOKUP(AK$10,'VK-Võrgud'!$C:$X,2+$F80,0))</f>
        <v>3.65</v>
      </c>
      <c r="AL80" s="209">
        <f>IF(AL$7="X",VLOOKUP(AL$10,'VK-Hooned-Soojus'!$C:$X,2+$C80,FALSE),0)+IF(AL$6="X",VLOOKUP(AL$10,'VK-Transport'!$C:$X,2+$B80,0))+IF(AL$8="X",VLOOKUP(AL$10,'VK-Elekter'!$C:$X,2+$D80,0))+IF(AL$9="X",VLOOKUP(AL$10,'VK-Biokütused'!$C:$U,2+$E80,0))+IF(AL$5="X",VLOOKUP(AL$10,'VK-Põlevkivi'!$C:$X,2+$G80,0))+IF(AL$4="X",VLOOKUP(AL$10,'VK-Võrgud'!$C:$X,2+$F80,0))</f>
        <v>7.1999999999999993</v>
      </c>
      <c r="AM80" s="209">
        <f>IF(AM$7="X",VLOOKUP(AM$10,'VK-Hooned-Soojus'!$C:$X,2+$C80,FALSE),0)+IF(AM$6="X",VLOOKUP(AM$10,'VK-Transport'!$C:$X,2+$B80,0))+IF(AM$8="X",VLOOKUP(AM$10,'VK-Elekter'!$C:$X,2+$D80,0))+IF(AM$9="X",VLOOKUP(AM$10,'VK-Biokütused'!$C:$U,2+$E80,0))+IF(AM$5="X",VLOOKUP(AM$10,'VK-Põlevkivi'!$C:$X,2+$G80,0))+IF(AM$4="X",VLOOKUP(AM$10,'VK-Võrgud'!$C:$X,2+$F80,0))</f>
        <v>11.9</v>
      </c>
      <c r="AN80" s="209">
        <f>IF(AN$7="X",VLOOKUP(AN$10,'VK-Hooned-Soojus'!$C:$X,2+$C80,FALSE),0)+IF(AN$6="X",VLOOKUP(AN$10,'VK-Transport'!$C:$X,2+$B80,0))+IF(AN$8="X",VLOOKUP(AN$10,'VK-Elekter'!$C:$X,2+$D80,0))+IF(AN$9="X",VLOOKUP(AN$10,'VK-Biokütused'!$C:$U,2+$E80,0))+IF(AN$5="X",VLOOKUP(AN$10,'VK-Põlevkivi'!$C:$X,2+$G80,0))+IF(AN$4="X",VLOOKUP(AN$10,'VK-Võrgud'!$C:$X,2+$F80,0))</f>
        <v>4.8999999999999995</v>
      </c>
      <c r="AO80" s="209">
        <f>IF(AO$7="X",VLOOKUP(AO$10,'VK-Hooned-Soojus'!$C:$X,2+$C80,FALSE),0)+IF(AO$6="X",VLOOKUP(AO$10,'VK-Transport'!$C:$X,2+$B80,0))+IF(AO$8="X",VLOOKUP(AO$10,'VK-Elekter'!$C:$X,2+$D80,0))+IF(AO$9="X",VLOOKUP(AO$10,'VK-Biokütused'!$C:$U,2+$E80,0))+IF(AO$5="X",VLOOKUP(AO$10,'VK-Põlevkivi'!$C:$X,2+$G80,0))+IF(AO$4="X",VLOOKUP(AO$10,'VK-Võrgud'!$C:$X,2+$F80,0))</f>
        <v>21.740000000000002</v>
      </c>
      <c r="AP80" s="209">
        <f>IF(AP$7="X",VLOOKUP(AP$10,'VK-Hooned-Soojus'!$C:$X,2+$C80,FALSE),0)+IF(AP$6="X",VLOOKUP(AP$10,'VK-Transport'!$C:$X,2+$B80,0))+IF(AP$8="X",VLOOKUP(AP$10,'VK-Elekter'!$C:$X,2+$D80,0))+IF(AP$9="X",VLOOKUP(AP$10,'VK-Biokütused'!$C:$U,2+$E80,0))+IF(AP$5="X",VLOOKUP(AP$10,'VK-Põlevkivi'!$C:$X,2+$G80,0))+IF(AP$4="X",VLOOKUP(AP$10,'VK-Võrgud'!$C:$X,2+$F80,0))</f>
        <v>10.870000000000001</v>
      </c>
      <c r="AQ80" s="320">
        <f t="shared" si="61"/>
        <v>9.4400000000000013</v>
      </c>
      <c r="AR80" s="209">
        <f>IF(AR$7="X",VLOOKUP(AR$10,'VK-Hooned-Soojus'!$C:$X,2+$C80,FALSE),0)+IF(AR$6="X",VLOOKUP(AR$10,'VK-Transport'!$C:$X,2+$B80,0))+IF(AR$8="X",VLOOKUP(AR$10,'VK-Elekter'!$C:$X,2+$D80,0))+IF(AR$9="X",VLOOKUP(AR$10,'VK-Biokütused'!$C:$U,2+$E80,0))+IF(AR$5="X",VLOOKUP(AR$10,'VK-Põlevkivi'!$C:$X,2+$G80,0))+IF(AR$4="X",VLOOKUP(AR$10,'VK-Võrgud'!$C:$X,2+$F80,0))</f>
        <v>0.5</v>
      </c>
      <c r="AS80" s="320">
        <f>VLOOKUP("Kütuste tarbimine @ 2030 - UTTEGAAS",'VK-Hooned-Soojus'!$C:$X,2+$C80,FALSE)/0.172+VLOOKUP("Kütuste tarbimine @ 2030 - UTTEGAAS",'VK-Elekter'!$C:$X,2+$D80,FALSE)/0.172-AR80-AU80</f>
        <v>-0.5</v>
      </c>
      <c r="AT80" s="209">
        <f>IF(AT$7="X",VLOOKUP(AT$10,'VK-Hooned-Soojus'!$C:$X,2+$C80,FALSE),0)+IF(AT$6="X",VLOOKUP(AT$10,'VK-Transport'!$C:$X,2+$B80,0))+IF(AT$8="X",VLOOKUP(AT$10,'VK-Elekter'!$C:$X,2+$D80,0))+IF(AT$9="X",VLOOKUP(AT$10,'VK-Biokütused'!$C:$U,2+$E80,0))+IF(AT$5="X",VLOOKUP(AT$10,'VK-Põlevkivi'!$C:$X,2+$G80,0))+IF(AT$4="X",VLOOKUP(AT$10,'VK-Võrgud'!$C:$X,2+$F80,0))</f>
        <v>9.2784458909544707</v>
      </c>
      <c r="AU80" s="229">
        <f>MAX(0,(VLOOKUP("Kütuste tarbimine @ 2030 - UTTEGAAS",'VK-Hooned-Soojus'!$C:$X,2+$C80,FALSE)/0.172+VLOOKUP("Kütuste tarbimine @ 2030 - UTTEGAAS",'VK-Elekter'!$C:$X,2+$D80,FALSE)/0.172)*0.52-VLOOKUP("Kütuste tarbimine @ 2030 - PÕLEVKIVIÕLI",'VK-Hooned-Soojus'!$C:$X,2+$C80,FALSE))</f>
        <v>0</v>
      </c>
      <c r="AV80" s="209">
        <f>IF(AV$7="X",VLOOKUP(AV$10,'VK-Hooned-Soojus'!$C:$X,2+$C80,FALSE),0)+IF(AV$6="X",VLOOKUP(AV$10,'VK-Transport'!$C:$X,2+$B80,0))+IF(AV$8="X",VLOOKUP(AV$10,'VK-Elekter'!$C:$X,2+$D80,0))+IF(AV$9="X",VLOOKUP(AV$10,'VK-Biokütused'!$C:$U,2+$E80,0))+IF(AV$5="X",VLOOKUP(AV$10,'VK-Põlevkivi'!$C:$X,2+$G80,0))+IF(AV$4="X",VLOOKUP(AV$10,'VK-Võrgud'!$C:$X,2+$F80,0))</f>
        <v>1.7257321590343366</v>
      </c>
      <c r="AW80" s="209">
        <f>IF(AW$7="X",VLOOKUP(AW$10,'VK-Hooned-Soojus'!$C:$X,2+$C80,FALSE),0)+IF(AW$6="X",VLOOKUP(AW$10,'VK-Transport'!$C:$X,2+$B80,0))+IF(AW$8="X",VLOOKUP(AW$10,'VK-Elekter'!$C:$X,2+$D80,0))+IF(AW$9="X",VLOOKUP(AW$10,'VK-Biokütused'!$C:$U,2+$E80,0))+IF(AW$5="X",VLOOKUP(AW$10,'VK-Põlevkivi'!$C:$X,2+$G80,0))+IF(AW$4="X",VLOOKUP(AW$10,'VK-Võrgud'!$C:$X,2+$F80,0))</f>
        <v>0</v>
      </c>
      <c r="AX80" s="229">
        <f t="shared" si="62"/>
        <v>0</v>
      </c>
      <c r="AY80" s="229">
        <f t="shared" si="63"/>
        <v>1.7257321590343366</v>
      </c>
      <c r="AZ80" s="230">
        <f t="shared" si="48"/>
        <v>0.66892918424214276</v>
      </c>
      <c r="BA80" s="209">
        <f>IF(BA$7="X",VLOOKUP(BA$10,'VK-Hooned-Soojus'!$C:$X,2+$C80,FALSE),0)+IF(BA$6="X",VLOOKUP(BA$10,'VK-Transport'!$C:$X,2+$B80,0))+IF(BA$8="X",VLOOKUP(BA$10,'VK-Elekter'!$C:$X,2+$D80,0))+IF(BA$9="X",VLOOKUP(BA$10,'VK-Biokütused'!$C:$U,2+$E80,0))+IF(BA$5="X",VLOOKUP(BA$10,'VK-Põlevkivi'!$C:$X,2+$G80,0))+IF(BA$4="X",VLOOKUP(BA$10,'VK-Võrgud'!$C:$X,2+$F80,0))</f>
        <v>0</v>
      </c>
      <c r="BB80" s="209">
        <f>IF(BB$7="X",VLOOKUP(BB$10,'VK-Hooned-Soojus'!$C:$X,2+$C80,FALSE),0)+IF(BB$6="X",VLOOKUP(BB$10,'VK-Transport'!$C:$X,2+$B80,0))+IF(BB$8="X",VLOOKUP(BB$10,'VK-Elekter'!$C:$X,2+$D80,0))+IF(BB$9="X",VLOOKUP(BB$10,'VK-Biokütused'!$C:$U,2+$E80,0))+IF(BB$5="X",VLOOKUP(BB$10,'VK-Põlevkivi'!$C:$X,2+$G80,0))+IF(BB$4="X",VLOOKUP(BB$10,'VK-Võrgud'!$C:$X,2+$F80,0))</f>
        <v>6.32</v>
      </c>
      <c r="BC80" s="209">
        <f>IF(BC$7="X",VLOOKUP(BC$10,'VK-Hooned-Soojus'!$C:$X,2+$C80,FALSE),0)+IF(BC$6="X",VLOOKUP(BC$10,'VK-Transport'!$C:$X,2+$B80,0))+IF(BC$8="X",VLOOKUP(BC$10,'VK-Elekter'!$C:$X,2+$D80,0))+IF(BC$9="X",VLOOKUP(BC$10,'VK-Biokütused'!$C:$U,2+$E80,0))+IF(BC$5="X",VLOOKUP(BC$10,'VK-Põlevkivi'!$C:$X,2+$G80,0))+IF(BC$4="X",VLOOKUP(BC$10,'VK-Võrgud'!$C:$X,2+$F80,0))</f>
        <v>6.5993333333333322</v>
      </c>
      <c r="BD80" s="209">
        <f>IF(BD$7="X",VLOOKUP(BD$10,'VK-Hooned-Soojus'!$C:$X,2+$C80,FALSE),0)+IF(BD$6="X",VLOOKUP(BD$10,'VK-Transport'!$C:$X,2+$B80,0))+IF(BD$8="X",VLOOKUP(BD$10,'VK-Elekter'!$C:$X,2+$D80,0))+IF(BD$9="X",VLOOKUP(BD$10,'VK-Biokütused'!$C:$U,2+$E80,0))+IF(BD$5="X",VLOOKUP(BD$10,'VK-Põlevkivi'!$C:$X,2+$G80,0))+IF(BD$4="X",VLOOKUP(BD$10,'VK-Võrgud'!$C:$X,2+$F80,0))</f>
        <v>9.425416666666667</v>
      </c>
      <c r="BE80" s="230"/>
      <c r="BF80" s="229">
        <f t="shared" si="64"/>
        <v>0.57944895681543473</v>
      </c>
      <c r="BG80" s="209" t="e">
        <f>(IF(BG$7="X",VLOOKUP(BG$10,'VK-Hooned-Soojus'!$C:$X,2+$C80,FALSE),0)+IF(BG$6="X",VLOOKUP(BG$10,'VK-Transport'!$C:$X,2+$B80,0))+IF(BG$8="X",VLOOKUP(BG$10,'VK-Elekter'!$C:$X,2+$D80,0))+IF(BG$9="X",VLOOKUP(BG$10,'VK-Biokütused'!$C:$U,2+$E80,0))+IF(BG$5="X",VLOOKUP(BG$10,'VK-Põlevkivi'!$C:$X,2+$G80,0))+IF(BG$4="X",VLOOKUP(BG$10,'VK-Võrgud'!$C:$X,2+$F80,0)))/20</f>
        <v>#N/A</v>
      </c>
      <c r="BH80" s="209">
        <f>(IF(BH$7="X",VLOOKUP(BH$10,'VK-Hooned-Soojus'!$C:$X,2+$C80,FALSE),0)+IF(BH$6="X",VLOOKUP(BH$10,'VK-Transport'!$C:$X,2+$B80,0))+IF(BH$8="X",VLOOKUP(BH$10,'VK-Elekter'!$C:$X,2+$D80,0))+IF(BH$9="X",VLOOKUP(BH$10,'VK-Biokütused'!$C:$U,2+$E80,0))+IF(BH$5="X",VLOOKUP(BH$10,'VK-Põlevkivi'!$C:$X,2+$G80,0))+IF(BH$4="X",VLOOKUP(BH$10,'VK-Võrgud'!$C:$X,2+$F80,0)))/20</f>
        <v>45.08</v>
      </c>
      <c r="BI80" s="209">
        <f>(IF(BI$7="X",VLOOKUP(BI$10,'VK-Hooned-Soojus'!$C:$X,2+$C80,FALSE),0)+IF(BI$6="X",VLOOKUP(BI$10,'VK-Transport'!$C:$X,2+$B80,0))+IF(BI$8="X",VLOOKUP(BI$10,'VK-Elekter'!$C:$X,2+$D80,0))+IF(BI$9="X",VLOOKUP(BI$10,'VK-Biokütused'!$C:$U,2+$E80,0))+IF(BI$5="X",VLOOKUP(BI$10,'VK-Põlevkivi'!$C:$X,2+$G80,0))+IF(BI$4="X",VLOOKUP(BI$10,'VK-Võrgud'!$C:$X,2+$F80,0)))/16</f>
        <v>14.1875</v>
      </c>
      <c r="BJ80" s="209">
        <f>(IF(BJ$7="X",VLOOKUP(BJ$10,'VK-Hooned-Soojus'!$C:$X,2+$C80,FALSE),0)+IF(BJ$6="X",VLOOKUP(BJ$10,'VK-Transport'!$C:$X,2+$B80,0))+IF(BJ$8="X",VLOOKUP(BJ$10,'VK-Elekter'!$C:$X,2+$D80,0))+IF(BJ$9="X",VLOOKUP(BJ$10,'VK-Biokütused'!$C:$U,2+$E80,0))+IF(BJ$5="X",VLOOKUP(BJ$10,'VK-Põlevkivi'!$C:$X,2+$G80,0))+IF(BJ$4="X",VLOOKUP(BJ$10,'VK-Võrgud'!$C:$X,2+$F80,0)))/20</f>
        <v>3.91</v>
      </c>
      <c r="BK80" s="209"/>
      <c r="BL80" s="209"/>
      <c r="BM80" s="209"/>
      <c r="BN80" s="209" t="e">
        <f>(IF(BN$7="X",VLOOKUP(BN$10,'VK-Hooned-Soojus'!$C:$X,2+$C80,FALSE),0)+IF(BN$6="X",VLOOKUP(BN$10,'VK-Transport'!$C:$X,2+$B80,0))+IF(BN$8="X",VLOOKUP(BN$10,'VK-Elekter'!$C:$X,2+$D80,0))+IF(BN$9="X",VLOOKUP(BN$10,'VK-Biokütused'!$C:$U,2+$E80,0))+IF(BN$5="X",VLOOKUP(BN$10,'VK-Põlevkivi'!$C:$X,2+$G80,0))+IF(BN$4="X",VLOOKUP(BN$10,'VK-Võrgud'!$C:$X,2+$F80,0)))/16</f>
        <v>#N/A</v>
      </c>
      <c r="BO80" s="209">
        <f>(IF(BO$7="X",VLOOKUP(BO$10,'VK-Hooned-Soojus'!$C:$X,2+$C80,FALSE),0)+IF(BO$6="X",VLOOKUP(BO$10,'VK-Transport'!$C:$X,2+$B80,0))+IF(BO$8="X",VLOOKUP(BO$10,'VK-Elekter'!$C:$X,2+$D80,0))+IF(BO$9="X",VLOOKUP(BO$10,'VK-Biokütused'!$C:$U,2+$E80,0))+IF(BO$5="X",VLOOKUP(BO$10,'VK-Põlevkivi'!$C:$X,2+$G80,0))+IF(BO$4="X",VLOOKUP(BO$10,'VK-Võrgud'!$C:$X,2+$F80,0)))/16</f>
        <v>405.45</v>
      </c>
      <c r="BP80" s="209"/>
      <c r="BQ80" s="209">
        <f>(IF(BQ$7="X",VLOOKUP(BQ$10,'VK-Hooned-Soojus'!$C:$X,2+$C80,FALSE),0)+IF(BQ$6="X",VLOOKUP(BQ$10,'VK-Transport'!$C:$X,2+$B80,0))+IF(BQ$8="X",VLOOKUP(BQ$10,'VK-Elekter'!$C:$X,2+$D80,0))+IF(BQ$9="X",VLOOKUP(BQ$10,'VK-Biokütused'!$C:$U,2+$E80,0))+IF(BQ$5="X",VLOOKUP(BQ$10,'VK-Põlevkivi'!$C:$X,2+$G80,0))+IF(BQ$4="X",VLOOKUP(BQ$10,'VK-Võrgud'!$C:$X,2+$F80,0)))/16</f>
        <v>127.6</v>
      </c>
      <c r="BR80" s="209">
        <f>(IF(BR$7="X",VLOOKUP(BR$10,'VK-Hooned-Soojus'!$C:$X,2+$C80,FALSE),0)+IF(BR$6="X",VLOOKUP(BR$10,'VK-Transport'!$C:$X,2+$B80,0))+IF(BR$8="X",VLOOKUP(BR$10,'VK-Elekter'!$C:$X,2+$D80,0))+IF(BR$9="X",VLOOKUP(BR$10,'VK-Biokütused'!$C:$U,2+$E80,0))+IF(BR$5="X",VLOOKUP(BR$10,'VK-Põlevkivi'!$C:$X,2+$G80,0))+IF(BR$4="X",VLOOKUP(BR$10,'VK-Võrgud'!$C:$X,2+$F80,0)))/16</f>
        <v>27.475000000000001</v>
      </c>
      <c r="BS80" s="209">
        <f>(IF(BS$7="X",VLOOKUP(BS$10,'VK-Hooned-Soojus'!$C:$X,2+$C80,FALSE),0)+IF(BS$6="X",VLOOKUP(BS$10,'VK-Transport'!$C:$X,2+$B80,0))+IF(BS$8="X",VLOOKUP(BS$10,'VK-Elekter'!$C:$X,2+$D80,0))+IF(BS$9="X",VLOOKUP(BS$10,'VK-Biokütused'!$C:$U,2+$E80,0))+IF(BS$5="X",VLOOKUP(BS$10,'VK-Põlevkivi'!$C:$X,2+$G80,0))+IF(BS$4="X",VLOOKUP(BS$10,'VK-Võrgud'!$C:$X,2+$F80,0)))/16</f>
        <v>-23.293749999999999</v>
      </c>
      <c r="BT80" s="209"/>
      <c r="BU80" s="209"/>
      <c r="BV80" s="209">
        <f>(IF(BV$7="X",VLOOKUP(BV$10,'VK-Hooned-Soojus'!$C:$X,2+$C80,FALSE),0)+IF(BV$6="X",VLOOKUP(BV$10,'VK-Transport'!$C:$X,2+$B80,0))+IF(BV$8="X",VLOOKUP(BV$10,'VK-Elekter'!$C:$X,2+$D80,0))+IF(BV$9="X",VLOOKUP(BV$10,'VK-Biokütused'!$C:$U,2+$E80,0))+IF(BV$5="X",VLOOKUP(BV$10,'VK-Põlevkivi'!$C:$X,2+$G80,0))+IF(BV$4="X",VLOOKUP(BV$10,'VK-Võrgud'!$C:$X,2+$F80,0)))/16</f>
        <v>0</v>
      </c>
      <c r="BW80" s="209"/>
      <c r="BX80" s="209">
        <f>(IF(BX$7="X",VLOOKUP(BX$10,'VK-Hooned-Soojus'!$C:$X,2+$C80,FALSE),0)+IF(BX$6="X",VLOOKUP(BX$10,'VK-Transport'!$C:$X,2+$B80,0))+IF(BX$8="X",VLOOKUP(BX$10,'VK-Elekter'!$C:$X,2+$D80,0))+IF(BX$9="X",VLOOKUP(BX$10,'VK-Biokütused'!$C:$U,2+$E80,0))+IF(BX$5="X",VLOOKUP(BX$10,'VK-Põlevkivi'!$C:$X,2+$G80,0))+IF(BX$4="X",VLOOKUP(BX$10,'VK-Võrgud'!$C:$X,2+$F80,0)))/16</f>
        <v>-19.25</v>
      </c>
      <c r="BY80" s="209"/>
      <c r="BZ80" s="209"/>
      <c r="CA80" s="209" t="e">
        <f>(IF(CA$7="X",VLOOKUP(CA$10,'VK-Hooned-Soojus'!$C:$X,2+$C80,FALSE),0)+IF(CA$6="X",VLOOKUP(CA$10,'VK-Transport'!$C:$X,2+$B80,0))+IF(CA$8="X",VLOOKUP(CA$10,'VK-Elekter'!$C:$X,2+$D80,0))+IF(CA$9="X",VLOOKUP(CA$10,'VK-Biokütused'!$C:$U,2+$E80,0))+IF(CA$5="X",VLOOKUP(CA$10,'VK-Põlevkivi'!$C:$X,2+$G80,0))+IF(CA$4="X",VLOOKUP(CA$10,'VK-Võrgud'!$C:$X,2+$F80,0)))/16</f>
        <v>#N/A</v>
      </c>
      <c r="CB80" s="209">
        <f>(IF(CB$7="X",VLOOKUP(CB$10,'VK-Hooned-Soojus'!$C:$X,2+$C80,FALSE),0)+IF(CB$6="X",VLOOKUP(CB$10,'VK-Transport'!$C:$X,2+$B80,0))+IF(CB$8="X",VLOOKUP(CB$10,'VK-Elekter'!$C:$X,2+$D80,0))+IF(CB$9="X",VLOOKUP(CB$10,'VK-Biokütused'!$C:$U,2+$E80,0))+IF(CB$5="X",VLOOKUP(CB$10,'VK-Põlevkivi'!$C:$X,2+$G80,0))+IF(CB$4="X",VLOOKUP(CB$10,'VK-Võrgud'!$C:$X,2+$F80,0)))/16</f>
        <v>0</v>
      </c>
      <c r="CC80" s="209">
        <f>(IF(CC$7="X",VLOOKUP(CC$10,'VK-Hooned-Soojus'!$C:$X,2+$C80,FALSE),0)+IF(CC$6="X",VLOOKUP(CC$10,'VK-Transport'!$C:$X,2+$B80,0))+IF(CC$8="X",VLOOKUP(CC$10,'VK-Elekter'!$C:$X,2+$D80,0))+IF(CC$9="X",VLOOKUP(CC$10,'VK-Biokütused'!$C:$U,2+$E80,0))+IF(CC$5="X",VLOOKUP(CC$10,'VK-Põlevkivi'!$C:$X,2+$G80,0))+IF(CC$4="X",VLOOKUP(CC$10,'VK-Võrgud'!$C:$X,2+$F80,0)))/16</f>
        <v>0</v>
      </c>
      <c r="CD80" s="209"/>
      <c r="CE80" s="209">
        <f>(IF(CE$7="X",VLOOKUP(CE$10,'VK-Hooned-Soojus'!$C:$X,2+$C80,FALSE),0)+IF(CE$6="X",VLOOKUP(CE$10,'VK-Transport'!$C:$X,2+$B80,0))+IF(CE$8="X",VLOOKUP(CE$10,'VK-Elekter'!$C:$X,2+$D80,0))+IF(CE$9="X",VLOOKUP(CE$10,'VK-Biokütused'!$C:$U,2+$E80,0))+IF(CE$5="X",VLOOKUP(CE$10,'VK-Põlevkivi'!$C:$X,2+$G80,0))+IF(CE$4="X",VLOOKUP(CE$10,'VK-Võrgud'!$C:$X,2+$F80,0)))/16</f>
        <v>24.15625</v>
      </c>
      <c r="CF80" s="209"/>
      <c r="CG80" s="209">
        <f>(IF(CG$7="X",VLOOKUP(CG$10,'VK-Hooned-Soojus'!$C:$X,2+$C80,FALSE),0)+IF(CG$6="X",VLOOKUP(CG$10,'VK-Transport'!$C:$X,2+$B80,0))+IF(CG$8="X",VLOOKUP(CG$10,'VK-Elekter'!$C:$X,2+$D80,0))+IF(CG$9="X",VLOOKUP(CG$10,'VK-Biokütused'!$C:$U,2+$E80,0))+IF(CG$5="X",VLOOKUP(CG$10,'VK-Põlevkivi'!$C:$X,2+$G80,0))+IF(CG$4="X",VLOOKUP(CG$10,'VK-Võrgud'!$C:$X,2+$F80,0)))/16</f>
        <v>0</v>
      </c>
      <c r="CH80" s="209">
        <f>(IF(CH$7="X",VLOOKUP(CH$10,'VK-Hooned-Soojus'!$C:$X,2+$C80,FALSE),0)+IF(CH$6="X",VLOOKUP(CH$10,'VK-Transport'!$C:$X,2+$B80,0))+IF(CH$8="X",VLOOKUP(CH$10,'VK-Elekter'!$C:$X,2+$D80,0))+IF(CH$9="X",VLOOKUP(CH$10,'VK-Biokütused'!$C:$U,2+$E80,0))+IF(CH$5="X",VLOOKUP(CH$10,'VK-Põlevkivi'!$C:$X,2+$G80,0))+IF(CH$4="X",VLOOKUP(CH$10,'VK-Võrgud'!$C:$X,2+$F80,0)))/20*0.21</f>
        <v>11.225549999999998</v>
      </c>
      <c r="CI80" s="209"/>
      <c r="CJ80" s="209">
        <f>(IF(CJ$7="X",VLOOKUP(CJ$10,'VK-Hooned-Soojus'!$C:$X,2+$C80,FALSE),0)+IF(CJ$6="X",VLOOKUP(CJ$10,'VK-Transport'!$C:$X,2+$B80,0))+IF(CJ$8="X",VLOOKUP(CJ$10,'VK-Elekter'!$C:$X,2+$D80,0))+IF(CJ$9="X",VLOOKUP(CJ$10,'VK-Biokütused'!$C:$U,2+$E80,0))+IF(CJ$5="X",VLOOKUP(CJ$10,'VK-Põlevkivi'!$C:$X,2+$G80,0))+IF(CJ$4="X",VLOOKUP(CJ$10,'VK-Võrgud'!$C:$X,2+$F80,0)))/1000</f>
        <v>17.748721793242819</v>
      </c>
      <c r="CK80" s="209">
        <f>(IF(CK$7="X",VLOOKUP(CK$10,'VK-Hooned-Soojus'!$C:$X,2+$C80,FALSE),0)+IF(CK$6="X",VLOOKUP(CK$10,'VK-Transport'!$C:$X,2+$B80,0))+IF(CK$8="X",VLOOKUP(CK$10,'VK-Elekter'!$C:$X,2+$D80,0))+IF(CK$9="X",VLOOKUP(CK$10,'VK-Biokütused'!$C:$U,2+$E80,0))+IF(CK$5="X",VLOOKUP(CK$10,'VK-Põlevkivi'!$C:$X,2+$G80,0))+IF(CK$4="X",VLOOKUP(CK$10,'VK-Võrgud'!$C:$X,2+$F80,0)))/1000</f>
        <v>6.6589454627726345</v>
      </c>
      <c r="CL80" s="235">
        <f>(IF(CL$7="X",VLOOKUP(CL$10,'VK-Hooned-Soojus'!$C:$X,2+$C80,FALSE),0)+IF(CL$6="X",VLOOKUP(CL$10,'VK-Transport'!$C:$X,2+$B80,0))+IF(CL$8="X",VLOOKUP(CL$10,'VK-Elekter'!$C:$X,2+$D80,0))+IF(CL$9="X",VLOOKUP(CL$10,'VK-Biokütused'!$C:$U,2+$E80,0)))/1000</f>
        <v>4.7490567987315107</v>
      </c>
      <c r="CM80" s="209">
        <f>(IF(CM$7="X",VLOOKUP(CM$10,'VK-Hooned-Soojus'!$C:$X,2+$C80,FALSE),0)+IF(CM$6="X",VLOOKUP(CM$10,'VK-Transport'!$C:$X,2+$B80,0))+IF(CM$8="X",VLOOKUP(CM$10,'VK-Elekter'!$C:$X,2+$D80,0))+IF(CM$9="X",VLOOKUP(CM$10,'VK-Biokütused'!$C:$U,2+$E80,0))+IF(CM$5="X",VLOOKUP(CM$10,'VK-Põlevkivi'!$C:$X,2+$G80,0))+IF(CM$4="X",VLOOKUP(CM$10,'VK-Võrgud'!$C:$X,2+$F80,0)))/1000</f>
        <v>7.8158313570900955</v>
      </c>
      <c r="CN80" s="209">
        <f>(IF(CN$7="X",VLOOKUP(CN$10,'VK-Hooned-Soojus'!$C:$X,2+$C80,FALSE),0)+IF(CN$6="X",VLOOKUP(CN$10,'VK-Transport'!$C:$X,2+$B80,0))+IF(CN$8="X",VLOOKUP(CN$10,'VK-Elekter'!$C:$X,2+$D80,0))+IF(CN$9="X",VLOOKUP(CN$10,'VK-Biokütused'!$C:$U,2+$E80,0))+IF(CN$5="X",VLOOKUP(CN$10,'VK-Põlevkivi'!$C:$X,2+$G80,0))+IF(CN$4="X",VLOOKUP(CN$10,'VK-Võrgud'!$C:$X,2+$F80,0)))/1000</f>
        <v>2.9929999999999999</v>
      </c>
      <c r="CO80" s="209">
        <f>(IF(CO$7="X",VLOOKUP(CO$10,'VK-Hooned-Soojus'!$C:$X,2+$C80,FALSE),0)+IF(CO$6="X",VLOOKUP(CO$10,'VK-Transport'!$C:$X,2+$B80,0))+IF(CO$8="X",VLOOKUP(CO$10,'VK-Elekter'!$C:$X,2+$D80,0))+IF(CO$9="X",VLOOKUP(CO$10,'VK-Biokütused'!$C:$U,2+$E80,0))+IF(CO$5="X",VLOOKUP(CO$10,'VK-Põlevkivi'!$C:$X,2+$G80,0))+IF(CO$4="X",VLOOKUP(CO$10,'VK-Võrgud'!$C:$X,2+$F80,0)))/1000</f>
        <v>22.787575210797279</v>
      </c>
      <c r="CP80" s="209">
        <f>(IF(CP$7="X",VLOOKUP(CP$10,'VK-Hooned-Soojus'!$C:$X,2+$C80,FALSE),0)+IF(CP$6="X",VLOOKUP(CP$10,'VK-Transport'!$C:$X,2+$B80,0))+IF(CP$8="X",VLOOKUP(CP$10,'VK-Elekter'!$C:$X,2+$D80,0))+IF(CP$9="X",VLOOKUP(CP$10,'VK-Biokütused'!$C:$U,2+$E80,0))+IF(CP$5="X",VLOOKUP(CP$10,'VK-Põlevkivi'!$C:$X,2+$G80,0))+IF(CP$4="X",VLOOKUP(CP$10,'VK-Võrgud'!$C:$X,2+$F80,0)))/1000</f>
        <v>6.657994830349824</v>
      </c>
      <c r="CQ80" s="235">
        <f>(IF(CQ$7="X",VLOOKUP(CQ$10,'VK-Hooned-Soojus'!$C:$X,2+$C80,FALSE),0)+IF(CQ$6="X",VLOOKUP(CQ$10,'VK-Transport'!$C:$X,2+$B80,0))+IF(CQ$8="X",VLOOKUP(CQ$10,'VK-Elekter'!$C:$X,2+$D80,0))+IF(CQ$9="X",VLOOKUP(CQ$10,'VK-Biokütused'!$C:$U,2+$E80,0)))/1000</f>
        <v>5.0343459999999993</v>
      </c>
      <c r="CR80" s="209">
        <f>(IF(CR$7="X",VLOOKUP(CR$10,'VK-Hooned-Soojus'!$C:$X,2+$C80,FALSE),0)+IF(CR$6="X",VLOOKUP(CR$10,'VK-Transport'!$C:$X,2+$B80,0))+IF(CR$8="X",VLOOKUP(CR$10,'VK-Elekter'!$C:$X,2+$D80,0))+IF(CR$9="X",VLOOKUP(CR$10,'VK-Biokütused'!$C:$U,2+$E80,0))+IF(CR$5="X",VLOOKUP(CR$10,'VK-Põlevkivi'!$C:$X,2+$G80,0))+IF(CR$4="X",VLOOKUP(CR$10,'VK-Võrgud'!$C:$X,2+$F80,0)))/1000</f>
        <v>7.8590872784575749</v>
      </c>
      <c r="CS80" s="209">
        <f>(IF(CS$7="X",VLOOKUP(CS$10,'VK-Hooned-Soojus'!$C:$X,2+$C80,FALSE),0)+IF(CS$6="X",VLOOKUP(CS$10,'VK-Transport'!$C:$X,2+$B80,0))+IF(CS$8="X",VLOOKUP(CS$10,'VK-Elekter'!$C:$X,2+$D80,0))+IF(CS$9="X",VLOOKUP(CS$10,'VK-Biokütused'!$C:$U,2+$E80,0))+IF(CS$5="X",VLOOKUP(CS$10,'VK-Põlevkivi'!$C:$X,2+$G80,0))+IF(CS$4="X",VLOOKUP(CS$10,'VK-Võrgud'!$C:$X,2+$F80,0)))/1000</f>
        <v>3.8443344900598322</v>
      </c>
      <c r="CT80" s="209">
        <f>IF(CT$7="X",VLOOKUP(CT$10,'VK-Hooned-Soojus'!$C:$X,2+$C80,FALSE),0)+IF(CT$6="X",VLOOKUP(CT$10,'VK-Transport'!$C:$X,2+$B80,0))+IF(CT$8="X",VLOOKUP(CT$10,'VK-Elekter'!$C:$X,2+$D80,0))+IF(CT$9="X",VLOOKUP(CT$10,'VK-Biokütused'!$C:$U,2+$E80,0))+IF(CT$5="X",VLOOKUP(CT$10,'VK-Põlevkivi'!$C:$X,2+$G80,0))+IF(CT$4="X",VLOOKUP(CT$10,'VK-Võrgud'!$C:$X,2+$F80,0))</f>
        <v>90</v>
      </c>
      <c r="CU80" s="209">
        <f>IF(CU$7="X",VLOOKUP(CU$10,'VK-Hooned-Soojus'!$C:$X,2+$C80,FALSE),0)+IF(CU$6="X",VLOOKUP(CU$10,'VK-Transport'!$C:$X,2+$B80,0))+IF(CU$8="X",VLOOKUP(CU$10,'VK-Elekter'!$C:$X,2+$D80,0))+IF(CU$9="X",VLOOKUP(CU$10,'VK-Biokütused'!$C:$U,2+$E80,0))+IF(CU$5="X",VLOOKUP(CU$10,'VK-Põlevkivi'!$C:$X,2+$G80,0))+IF(CU$4="X",VLOOKUP(CU$10,'VK-Võrgud'!$C:$X,2+$F80,0))</f>
        <v>0.63390170511534605</v>
      </c>
      <c r="CV80" s="209">
        <f t="shared" si="49"/>
        <v>1</v>
      </c>
      <c r="CW80" s="209">
        <f>(IF(CW$7="X",VLOOKUP(CW$10,'VK-Hooned-Soojus'!$C:$X,2+$C80,FALSE),0)+IF(CW$6="X",VLOOKUP(CW$10,'VK-Transport'!$C:$X,2+$B80,0))+IF(CW$8="X",VLOOKUP(CW$10,'VK-Elekter'!$C:$X,2+$D80,0))+IF(CW$9="X",VLOOKUP(CW$10,'VK-Biokütused'!$C:$U,2+$E80,0))+IF(CW$5="X",VLOOKUP(CW$10,'VK-Põlevkivi'!$C:$X,2+$G80,0))+IF(CW$4="X",VLOOKUP(CW$10,'VK-Võrgud'!$C:$X,2+$F80,0)))/16</f>
        <v>0</v>
      </c>
      <c r="CY80" s="209">
        <f>(IF(CY$7="X",VLOOKUP(CY$10,'VK-Hooned-Soojus'!$C:$X,2+$C80,FALSE),0)+IF(CY$6="X",VLOOKUP(CY$10,'VK-Transport'!$C:$X,2+$B80,0))+IF(CY$8="X",VLOOKUP(CY$10,'VK-Elekter'!$C:$X,2+$D80,0))+IF(CY$9="X",VLOOKUP(CY$10,'VK-Biokütused'!$C:$U,2+$E80,0))+IF(CY$5="X",VLOOKUP(CY$10,'VK-Põlevkivi'!$C:$X,2+$G80,0))+IF(CY$4="X",VLOOKUP(CY$10,'VK-Võrgud'!$C:$X,2+$F80,0)))/1000</f>
        <v>9.8789999999999996</v>
      </c>
      <c r="CZ80" s="209">
        <f>(IF(CZ$7="X",VLOOKUP(CZ$10,'VK-Hooned-Soojus'!$C:$X,2+$C80,FALSE),0)+IF(CZ$6="X",VLOOKUP(CZ$10,'VK-Transport'!$C:$X,2+$B80,0))+IF(CZ$8="X",VLOOKUP(CZ$10,'VK-Elekter'!$C:$X,2+$D80,0))+IF(CZ$9="X",VLOOKUP(CZ$10,'VK-Biokütused'!$C:$U,2+$E80,0))+IF(CZ$5="X",VLOOKUP(CZ$10,'VK-Põlevkivi'!$C:$X,2+$G80,0))+IF(CZ$4="X",VLOOKUP(CZ$10,'VK-Võrgud'!$C:$X,2+$F80,0)))</f>
        <v>76</v>
      </c>
      <c r="DA80" s="209">
        <f>(IF(DA$7="X",VLOOKUP(DA$10,'VK-Hooned-Soojus'!$C:$X,2+$C80,FALSE),0)+IF(DA$6="X",VLOOKUP(DA$10,'VK-Transport'!$C:$X,2+$B80,0))+IF(DA$8="X",VLOOKUP(DA$10,'VK-Elekter'!$C:$X,2+$D80,0))+IF(DA$9="X",VLOOKUP(DA$10,'VK-Biokütused'!$C:$U,2+$E80,0))+IF(DA$5="X",VLOOKUP(DA$10,'VK-Põlevkivi'!$C:$X,2+$G80,0))+IF(DA$4="X",VLOOKUP(DA$10,'VK-Võrgud'!$C:$X,2+$F80,0)))/1000</f>
        <v>9.9169999999999998</v>
      </c>
      <c r="DB80" s="209">
        <f>(IF(DB$7="X",VLOOKUP(DB$10,'VK-Hooned-Soojus'!$C:$X,2+$C80,FALSE),0)+IF(DB$6="X",VLOOKUP(DB$10,'VK-Transport'!$C:$X,2+$B80,0))+IF(DB$8="X",VLOOKUP(DB$10,'VK-Elekter'!$C:$X,2+$D80,0))+IF(DB$9="X",VLOOKUP(DB$10,'VK-Biokütused'!$C:$U,2+$E80,0))+IF(DB$5="X",VLOOKUP(DB$10,'VK-Põlevkivi'!$C:$X,2+$G80,0))+IF(DB$4="X",VLOOKUP(DB$10,'VK-Võrgud'!$C:$X,2+$F80,0)))/1000/3.6</f>
        <v>39.44166666666667</v>
      </c>
      <c r="DC80" s="209">
        <f>(IF(DC$7="X",VLOOKUP(DC$10,'VK-Hooned-Soojus'!$C:$X,2+$C80,FALSE),0)+IF(DC$6="X",VLOOKUP(DC$10,'VK-Transport'!$C:$X,2+$B80,0))+IF(DC$8="X",VLOOKUP(DC$10,'VK-Elekter'!$C:$X,2+$D80,0))+IF(DC$9="X",VLOOKUP(DC$10,'VK-Biokütused'!$C:$U,2+$E80,0))+IF(DC$5="X",VLOOKUP(DC$10,'VK-Põlevkivi'!$C:$X,2+$G80,0))+IF(DC$4="X",VLOOKUP(DC$10,'VK-Võrgud'!$C:$X,2+$F80,0)))/1000000</f>
        <v>4.0237220000000002</v>
      </c>
      <c r="DD80" s="209"/>
      <c r="DE80" s="88">
        <f>VLOOKUP(Tulemused!$BN$12,data!M$7:N$12,2,FALSE)-SUM(L80,M80)</f>
        <v>-1.2238666666666731</v>
      </c>
      <c r="DF80" s="209" t="str">
        <f>IF(AZ80&lt;=VLOOKUP(Tulemused!$BN$15,data!$E$36:$F$39,2,FALSE),"JAH","EI")</f>
        <v>JAH</v>
      </c>
      <c r="DG80" s="209"/>
      <c r="DH80" s="209">
        <f t="shared" si="50"/>
        <v>10.870000000000001</v>
      </c>
      <c r="DI80" s="231" t="str">
        <f t="shared" si="65"/>
        <v>EI</v>
      </c>
      <c r="DK80" s="232">
        <f t="shared" si="51"/>
        <v>-992.38077138471363</v>
      </c>
      <c r="DM80" s="233">
        <f t="shared" si="52"/>
        <v>-995.06545327008473</v>
      </c>
      <c r="DN80" s="87">
        <f t="array" ref="DN80">INDEX($A$11:$A$145, SMALL(IF(DM80=$DK$11:$DK$145, MATCH(ROW($DK$11:$DK$145), ROW($DK$11:$DK$145))), SUM(--(DM80=$DM$11:DM80))))</f>
        <v>83</v>
      </c>
      <c r="DP80" s="87" t="e">
        <f t="shared" ca="1" si="66"/>
        <v>#N/A</v>
      </c>
      <c r="DQ80" s="87" t="e">
        <f t="shared" ca="1" si="67"/>
        <v>#N/A</v>
      </c>
      <c r="DR80" s="87">
        <f t="shared" ca="1" si="68"/>
        <v>0</v>
      </c>
      <c r="DS80" s="87" t="e">
        <f t="shared" ca="1" si="69"/>
        <v>#N/A</v>
      </c>
      <c r="DT80" s="87">
        <f t="shared" ca="1" si="70"/>
        <v>0</v>
      </c>
      <c r="DU80" s="87" t="e">
        <f t="shared" ca="1" si="71"/>
        <v>#N/A</v>
      </c>
      <c r="DV80" s="87" t="e">
        <f t="shared" ca="1" si="72"/>
        <v>#N/A</v>
      </c>
      <c r="DW80" s="87">
        <f t="shared" ca="1" si="73"/>
        <v>0</v>
      </c>
      <c r="DX80" s="87">
        <f t="shared" ca="1" si="74"/>
        <v>0</v>
      </c>
      <c r="DZ80" s="87">
        <f t="shared" ca="1" si="35"/>
        <v>0</v>
      </c>
      <c r="EB80" s="87">
        <f t="shared" ca="1" si="75"/>
        <v>0</v>
      </c>
      <c r="EC80" s="87" t="e">
        <f t="shared" ca="1" si="76"/>
        <v>#N/A</v>
      </c>
      <c r="EE80" s="228">
        <f>(IF(EE$7="X",VLOOKUP(EE$10,'VK-Hooned-Soojus'!$C:$X,2+$C80,FALSE),0)+IF(EE$6="X",VLOOKUP(EE$10,'VK-Transport'!$C:$X,2+$B80,0))+IF(EE$8="X",VLOOKUP(EE$10,'VK-Elekter'!$C:$X,2+$D80,0))+IF(EE$9="X",VLOOKUP(EE$10,'VK-Biokütused'!$C:$U,2+$E80,0))+IF(EE$5="X",VLOOKUP(EE$10,'VK-Põlevkivi'!$C:$X,2+$G80,0))+IF(EE$4="X",VLOOKUP(EE$10,'VK-Võrgud'!$C:$X,2+$F80,0)))</f>
        <v>3887.949011303202</v>
      </c>
      <c r="EF80" s="235">
        <f>(IF(EF$7="X",VLOOKUP(EF$10,'VK-Hooned-Soojus'!$C:$X,2+$C80,FALSE),0)+IF(EF$6="X",VLOOKUP(EF$10,'VK-Transport'!$C:$X,2+$B80,0))+IF(EF$8="X",VLOOKUP(EF$10,'VK-Elekter'!$C:$X,2+$D80,0))+IF(EF$9="X",VLOOKUP(EF$10,'VK-Biokütused'!$C:$U,2+$E80,0)))/1000</f>
        <v>3.3383823271229702</v>
      </c>
      <c r="EG80" s="209">
        <f>(IF(EG$7="X",VLOOKUP(EG$10,'VK-Hooned-Soojus'!$C:$X,2+$C80,FALSE),0)+IF(EG$6="X",VLOOKUP(EG$10,'VK-Transport'!$C:$X,2+$B80,0))+IF(EG$8="X",VLOOKUP(EG$10,'VK-Elekter'!$C:$X,2+$D80,0))+IF(EG$9="X",VLOOKUP(EG$10,'VK-Biokütused'!$C:$U,2+$E80,0))+IF(EG$5="X",VLOOKUP(EG$10,'VK-Põlevkivi'!$C:$X,2+$G80,0))+IF(EG$4="X",VLOOKUP(EG$10,'VK-Võrgud'!$C:$X,2+$F80,0)))</f>
        <v>0.81</v>
      </c>
      <c r="EH80" s="209">
        <f>(IF(EH$7="X",VLOOKUP(EH$10,'VK-Hooned-Soojus'!$C:$X,2+$C80,FALSE),0)+IF(EH$6="X",VLOOKUP(EH$10,'VK-Transport'!$C:$X,2+$B80,0))+IF(EH$8="X",VLOOKUP(EH$10,'VK-Elekter'!$C:$X,2+$D80,0))+IF(EH$9="X",VLOOKUP(EH$10,'VK-Biokütused'!$C:$U,2+$E80,0)))+AR80+AS80+AU80+AX80</f>
        <v>43.344166666666666</v>
      </c>
      <c r="EI80" s="320">
        <f t="shared" si="53"/>
        <v>43.344166666666666</v>
      </c>
      <c r="EJ80" s="322">
        <f t="shared" si="54"/>
        <v>2.2545055318885739E-2</v>
      </c>
      <c r="EK80" s="323">
        <f t="shared" si="77"/>
        <v>0.48628150217273425</v>
      </c>
      <c r="EM80" s="209"/>
      <c r="EN80" s="209">
        <f t="shared" ca="1" si="55"/>
        <v>0</v>
      </c>
      <c r="EO80" s="209"/>
      <c r="EP80" s="234"/>
      <c r="EQ80" s="209">
        <f>(IF(EQ$7="X",VLOOKUP(EQ$10,'VK-Hooned-Soojus'!$C:$X,2+$C80,FALSE),0)+IF(EQ$6="X",VLOOKUP(EQ$10,'VK-Transport'!$C:$X,2+$B80,0))+IF(EQ$8="X",VLOOKUP(EQ$10,'VK-Elekter'!$C:$X,2+$D80,0))+IF(EQ$9="X",VLOOKUP(EQ$10,'VK-Biokütused'!$C:$U,2+$E80,0))+IF(EQ$5="X",VLOOKUP(EQ$10,'VK-Põlevkivi'!$C:$X,2+$G80,0))+IF(EQ$4="X",VLOOKUP(EQ$10,'VK-Võrgud'!$C:$X,2+$F80,0)))/1000</f>
        <v>0.21099999999999999</v>
      </c>
      <c r="ER80" s="209">
        <f>(IF(ER$7="X",VLOOKUP(ER$10,'VK-Hooned-Soojus'!$C:$X,2+$C80,FALSE),0)+IF(ER$6="X",VLOOKUP(ER$10,'VK-Transport'!$C:$X,2+$B80,0))+IF(ER$8="X",VLOOKUP(ER$10,'VK-Elekter'!$C:$X,2+$D80,0))+IF(ER$9="X",VLOOKUP(ER$10,'VK-Biokütused'!$C:$U,2+$E80,0))+IF(ER$5="X",VLOOKUP(ER$10,'VK-Põlevkivi'!$C:$X,2+$G80,0))+IF(ER$4="X",VLOOKUP(ER$10,'VK-Võrgud'!$C:$X,2+$F80,0)))</f>
        <v>0.76300000000000001</v>
      </c>
      <c r="ES80" s="209">
        <f>(IF(ES$7="X",VLOOKUP(ES$10,'VK-Hooned-Soojus'!$C:$X,2+$C80,FALSE),0)+IF(ES$6="X",VLOOKUP(ES$10,'VK-Transport'!$C:$X,2+$B80,0))+IF(ES$8="X",VLOOKUP(ES$10,'VK-Elekter'!$C:$X,2+$D80,0))+IF(ES$9="X",VLOOKUP(ES$10,'VK-Biokütused'!$C:$U,2+$E80,0))+IF(ES$5="X",VLOOKUP(ES$10,'VK-Põlevkivi'!$C:$X,2+$G80,0))+IF(ES$4="X",VLOOKUP(ES$10,'VK-Võrgud'!$C:$X,2+$F80,0)))</f>
        <v>10.870000000000001</v>
      </c>
      <c r="ET80" s="209"/>
      <c r="EU80" s="209"/>
      <c r="EV80" s="87">
        <f>'KSH järjestus'!AS73</f>
        <v>1363</v>
      </c>
      <c r="EX80" s="236"/>
      <c r="EY80" s="236"/>
      <c r="EZ80" s="237">
        <f t="shared" si="56"/>
        <v>0.36609829488465395</v>
      </c>
      <c r="FA80" s="209">
        <f>IF(FA$7="X",VLOOKUP(FA$10,'VK-Hooned-Soojus'!$C:$X,2+$C80,FALSE),0)+IF(FA$6="X",VLOOKUP(FA$10,'VK-Transport'!$C:$X,2+$B80,0))+IF(FA$8="X",VLOOKUP(FA$10,'VK-Elekter'!$C:$X,2+$D80,0))+IF(FA$9="X",VLOOKUP(FA$10,'VK-Biokütused'!$C:$U,2+$E80,0))+IF(FA$5="X",VLOOKUP(FA$10,'VK-Põlevkivi'!$C:$X,2+$G80,0))+IF(FA$4="X",VLOOKUP(FA$10,'VK-Võrgud'!$C:$X,2+$F80,0))</f>
        <v>3011.346</v>
      </c>
      <c r="FB80" s="279">
        <f>(IF(FB$7="X",VLOOKUP(FB$10,'VK-Hooned-Soojus'!$C:$X,2+$C80,FALSE),0)+IF(FB$6="X",VLOOKUP(FB$10,'VK-Transport'!$C:$X,2+$B80,0))+IF(FB$8="X",VLOOKUP(FB$10,'VK-Elekter'!$C:$X,2+$D80,0))+IF(FB$9="X",VLOOKUP(FB$10,'VK-Biokütused'!$C:$U,2+$E80,0))+IF(FB$5="X",VLOOKUP(FB$10,'VK-Põlevkivi'!$C:$X,2+$G80,0))+IF(FB$4="X",VLOOKUP(FB$10,'VK-Võrgud'!$C:$X,2+$F80,0)))/16</f>
        <v>217.46032460662639</v>
      </c>
      <c r="FC80" s="209">
        <f>IF(FC$7="X",VLOOKUP(FC$10,'VK-Hooned-Soojus'!$C:$X,2+$C80,FALSE),0)+IF(FC$6="X",VLOOKUP(FC$10,'VK-Transport'!$C:$X,2+$B80,0))+IF(FC$8="X",VLOOKUP(FC$10,'VK-Elekter'!$C:$X,2+$D80,0))+IF(FC$9="X",VLOOKUP(FC$10,'VK-Biokütused'!$C:$U,2+$E80,0))+IF(FC$5="X",VLOOKUP(FC$10,'VK-Põlevkivi'!$C:$X,2+$G80,0))+IF(FC$4="X",VLOOKUP(FC$10,'VK-Võrgud'!$C:$X,2+$F80,0))</f>
        <v>306.55</v>
      </c>
      <c r="FD80" s="209">
        <f>(IF(FD$7="X",VLOOKUP(FD$10,'VK-Hooned-Soojus'!$C:$X,2+$C80,FALSE),0)+IF(FD$6="X",VLOOKUP(FD$10,'VK-Transport'!$C:$X,2+$B80,0))+IF(FD$8="X",VLOOKUP(FD$10,'VK-Elekter'!$C:$X,2+$D80,0))+IF(FD$9="X",VLOOKUP(FD$10,'VK-Biokütused'!$C:$U,2+$E80,0))+IF(FD$5="X",VLOOKUP(FD$10,'VK-Põlevkivi'!$C:$X,2+$G80,0))+IF(FD$4="X",VLOOKUP(FD$10,'VK-Võrgud'!$C:$X,2+$F80,0)))/16</f>
        <v>217.46032460662639</v>
      </c>
      <c r="FE80" s="209">
        <f>(IF(FE$7="X",VLOOKUP(FE$10,'VK-Hooned-Soojus'!$C:$X,2+$C80,FALSE),0)+IF(FE$6="X",VLOOKUP(FE$10,'VK-Transport'!$C:$X,2+$B80,0))+IF(FE$8="X",VLOOKUP(FE$10,'VK-Elekter'!$C:$X,2+$D80,0))+IF(FE$9="X",VLOOKUP(FE$10,'VK-Biokütused'!$C:$U,2+$E80,0))+IF(FE$5="X",VLOOKUP(FE$10,'VK-Põlevkivi'!$C:$X,2+$G80,0))+IF(FE$4="X",VLOOKUP(FE$10,'VK-Võrgud'!$C:$X,2+$F80,0)))/16</f>
        <v>-61.841250000000002</v>
      </c>
      <c r="FF80" s="209">
        <f>(IF(FF$7="X",VLOOKUP(FF$10,'VK-Hooned-Soojus'!$C:$X,2+$C80,FALSE),0)+IF(FF$6="X",VLOOKUP(FF$10,'VK-Transport'!$C:$X,2+$B80,0))+IF(FF$8="X",VLOOKUP(FF$10,'VK-Elekter'!$C:$X,2+$D80,0))+IF(FF$9="X",VLOOKUP(FF$10,'VK-Biokütused'!$C:$U,2+$E80,0))+IF(FF$5="X",VLOOKUP(FF$10,'VK-Põlevkivi'!$C:$X,2+$G80,0))+IF(FF$4="X",VLOOKUP(FF$10,'VK-Võrgud'!$C:$X,2+$F80,0)))/16</f>
        <v>108.8187420443171</v>
      </c>
      <c r="FG80" s="88">
        <f t="shared" ca="1" si="78"/>
        <v>46.977492044317103</v>
      </c>
      <c r="FH80" s="88"/>
      <c r="FI80" s="88"/>
      <c r="FJ80" s="88">
        <f>VLOOKUP(Tulemused!$BN$12,data!M$7:N$12,2,FALSE)-SUM(L80,M80)</f>
        <v>-1.2238666666666731</v>
      </c>
      <c r="FK80" s="209" t="str">
        <f>IF(AZ80&lt;=VLOOKUP(Tulemused!$BN$15,data!$E$36:$F$39,2,FALSE),"JAH","EI")</f>
        <v>JAH</v>
      </c>
      <c r="FL80" s="235">
        <f ca="1">IF(ISNA(MATCH($A80,INDIRECT(VLOOKUP(Tulemused!$BF$11,data!$J$57:$M$71,4,FALSE)))),0,MATCH($A80,INDIRECT(VLOOKUP(Tulemused!$BF$11,data!$J$57:$M$71,4,FALSE))))</f>
        <v>0</v>
      </c>
      <c r="FM80" s="235" t="str">
        <f t="shared" ca="1" si="57"/>
        <v>JAH</v>
      </c>
      <c r="FN80" s="209">
        <f>VLOOKUP(Tulemused!$BN$13,data!$C$132:$D$137,2,FALSE)-KOMBI!R80</f>
        <v>3.6875876728770303</v>
      </c>
      <c r="FO80" s="209"/>
      <c r="FP80" s="209">
        <f>VLOOKUP(Tulemused!$BN$17,NO_x,2,FALSE)-CJ80</f>
        <v>11.68927820675718</v>
      </c>
      <c r="FQ80" s="209">
        <f>VLOOKUP(Tulemused!$BN$18,SO_2,2,FALSE)-CK80</f>
        <v>45.225054537227365</v>
      </c>
      <c r="FR80" s="209">
        <f>VLOOKUP(Tulemused!$BN$19,LOU,2,FALSE)-CN80</f>
        <v>34.087000000000003</v>
      </c>
      <c r="FS80" s="209">
        <f>VLOOKUP(Tulemused!$BN$20,PM_2.5,2,FALSE)-CM80</f>
        <v>9.0991686429099037</v>
      </c>
      <c r="FT80" s="209">
        <f>VLOOKUP(Tulemused!$BN$13,data!$C$132:$D$137,2,FALSE)-FA80/1000</f>
        <v>3.2346240000000006</v>
      </c>
      <c r="FU80" s="209">
        <f>VLOOKUP(Tulemused!$BN$17,NO_x,2,FALSE)-CO80</f>
        <v>6.6504247892027202</v>
      </c>
      <c r="FV80" s="209">
        <f>VLOOKUP(Tulemused!$BN$18,SO_2,2,FALSE)-CP80</f>
        <v>45.226005169650179</v>
      </c>
      <c r="FW80" s="209">
        <f>VLOOKUP(Tulemused!$BN$19,LOU,2,FALSE)-CS80</f>
        <v>33.235665509940176</v>
      </c>
      <c r="FX80" s="209">
        <f>VLOOKUP(Tulemused!$BN$20,PM_2.5,2,FALSE)-CR80</f>
        <v>9.0559127215424233</v>
      </c>
      <c r="FY80" s="209">
        <f>VLOOKUP(Tulemused!$BN$14,KHG_2050,2,FALSE)-EF80</f>
        <v>96.661617672877028</v>
      </c>
      <c r="FZ80" s="231" t="str">
        <f t="shared" ca="1" si="79"/>
        <v>EI</v>
      </c>
      <c r="GA80" s="209"/>
      <c r="GB80" s="209"/>
      <c r="GC80" s="209"/>
      <c r="GD80" s="231"/>
      <c r="GE80" s="87">
        <f t="shared" si="58"/>
        <v>1363</v>
      </c>
      <c r="GF80" s="232" t="str">
        <f t="shared" ca="1" si="80"/>
        <v/>
      </c>
      <c r="GH80" s="238" t="e">
        <f t="shared" ca="1" si="59"/>
        <v>#NUM!</v>
      </c>
      <c r="GI80" s="87" t="e">
        <f t="array" aca="1" ref="GI80" ca="1">INDEX($A$11:$A$145, SMALL(IF(GH80=$GF$11:$GF$145, MATCH(ROW($GF$11:$GF$145), ROW($GF$11:$GF$145))), SUM(--(GH80=$GH$11:GH80))))</f>
        <v>#NUM!</v>
      </c>
      <c r="GM80" s="209">
        <f>IF(GM$7="X",VLOOKUP(GM$10,'VK-Hooned-Soojus'!$C:$X,2+$C80,FALSE),0)+IF(GM$6="X",VLOOKUP(GM$10,'VK-Transport'!$C:$X,2+$B80,0))+IF(GM$8="X",VLOOKUP(GM$10,'VK-Elekter'!$C:$X,2+$D80,0))+IF(GM$9="X",VLOOKUP(GM$10,'VK-Biokütused'!$C:$U,2+$E80,0))+IF(GM$5="X",VLOOKUP(GM$10,'VK-Põlevkivi'!$C:$X,2+$G80,0))+IF(GM$4="X",VLOOKUP(GM$10,'VK-Võrgud'!$C:$X,2+$F80,0))</f>
        <v>0</v>
      </c>
      <c r="GN80" s="209">
        <f>IF(GN$7="X",VLOOKUP(GN$10,'VK-Hooned-Soojus'!$C:$X,2+$C80,FALSE),0)+IF(GN$6="X",VLOOKUP(GN$10,'VK-Transport'!$C:$X,2+$B80,0))+IF(GN$8="X",VLOOKUP(GN$10,'VK-Elekter'!$C:$X,2+$D80,0))+IF(GN$9="X",VLOOKUP(GN$10,'VK-Biokütused'!$C:$U,2+$E80,0))+IF(GN$5="X",VLOOKUP(GN$10,'VK-Põlevkivi'!$C:$X,2+$G80,0))+IF(GN$4="X",VLOOKUP(GN$10,'VK-Võrgud'!$C:$X,2+$F80,0))</f>
        <v>7.5434676424145266</v>
      </c>
      <c r="GO80" s="209">
        <f>IF(GO$7="X",VLOOKUP(GO$10,'VK-Hooned-Soojus'!$C:$X,2+$C80,FALSE),0)+IF(GO$6="X",VLOOKUP(GO$10,'VK-Transport'!$C:$X,2+$B80,0))+IF(GO$8="X",VLOOKUP(GO$10,'VK-Elekter'!$C:$X,2+$D80,0))+IF(GO$9="X",VLOOKUP(GO$10,'VK-Biokütused'!$C:$U,2+$E80,0))+IF(GO$5="X",VLOOKUP(GO$10,'VK-Põlevkivi'!$C:$X,2+$G80,0))+IF(GO$4="X",VLOOKUP(GO$10,'VK-Võrgud'!$C:$X,2+$F80,0))</f>
        <v>7.936370010272257</v>
      </c>
      <c r="GP80" s="209">
        <f>IF(GP$7="X",VLOOKUP(GP$10,'VK-Hooned-Soojus'!$C:$X,2+$C80,FALSE),0)+IF(GP$6="X",VLOOKUP(GP$10,'VK-Transport'!$C:$X,2+$B80,0))+IF(GP$8="X",VLOOKUP(GP$10,'VK-Elekter'!$C:$X,2+$D80,0))+IF(GP$9="X",VLOOKUP(GP$10,'VK-Biokütused'!$C:$U,2+$E80,0))+IF(GP$5="X",VLOOKUP(GP$10,'VK-Põlevkivi'!$C:$X,2+$G80,0))+IF(GP$4="X",VLOOKUP(GP$10,'VK-Võrgud'!$C:$X,2+$F80,0))</f>
        <v>9.1527946929596489</v>
      </c>
      <c r="GQ80" s="88">
        <f>IF(GQ$7="X",VLOOKUP(GQ$10,'VK-Hooned-Soojus'!$C:$X,2+$C80,FALSE),0)+IF(GQ$6="X",VLOOKUP(GQ$10,'VK-Transport'!$C:$X,2+$B80,0))+IF(GQ$8="X",VLOOKUP(GQ$10,'VK-Elekter'!$C:$X,2+$D80,0))+IF(GQ$9="X",VLOOKUP(GQ$10,'VK-Biokütused'!$C:$U,2+$E80,0))+IF(GQ$5="X",VLOOKUP(GQ$10,'VK-Põlevkivi'!$C:$X,2+$G80,0))+IF(GQ$4="X",VLOOKUP(GQ$10,'VK-Võrgud'!$C:$X,2+$F80,0))</f>
        <v>0.90618397335647782</v>
      </c>
      <c r="GR80" s="186">
        <f t="shared" si="81"/>
        <v>0.51685757978067881</v>
      </c>
    </row>
    <row r="81" spans="1:200" x14ac:dyDescent="0.2">
      <c r="A81" s="184">
        <v>71</v>
      </c>
      <c r="B81" s="87">
        <v>2</v>
      </c>
      <c r="C81" s="87">
        <v>2</v>
      </c>
      <c r="D81" s="87">
        <v>4</v>
      </c>
      <c r="E81" s="87">
        <v>2</v>
      </c>
      <c r="F81" s="87">
        <f>VLOOKUP(Tulemused!$BF$7,data!$J$6:$K$8,2,FALSE)</f>
        <v>2</v>
      </c>
      <c r="G81" s="87">
        <f>VLOOKUP(data!$H$2,data!$J$12:$K$14,2,FALSE)</f>
        <v>2</v>
      </c>
      <c r="I81" s="209">
        <f>IF(I$7="X",VLOOKUP(I$10,'VK-Hooned-Soojus'!$C:$X,2+$C81,FALSE),0)+IF(I$6="X",VLOOKUP(I$10,'VK-Transport'!$C:$X,2+$B81,0))+IF(I$8="X",VLOOKUP(I$10,'VK-Elekter'!$C:$X,2+$D81,0))+IF(I$9="X",VLOOKUP(I$10,'VK-Biokütused'!$C:$U,2+$E81,0))+IF(I$5="X",VLOOKUP(I$10,'VK-Põlevkivi'!$C:$X,2+$G81,0))+IF(I$4="X",VLOOKUP(I$10,'VK-Võrgud'!$C:$X,2+$F81,0))</f>
        <v>24.79</v>
      </c>
      <c r="J81" s="209">
        <f>IF(J$7="X",VLOOKUP(J$10,'VK-Hooned-Soojus'!$C:$X,2+$C81,FALSE),0)+IF(J$6="X",VLOOKUP(J$10,'VK-Transport'!$C:$X,2+$B81,0))+IF(J$8="X",VLOOKUP(J$10,'VK-Elekter'!$C:$X,2+$D81,0))+IF(J$9="X",VLOOKUP(J$10,'VK-Biokütused'!$C:$U,2+$E81,0))+IF(J$5="X",VLOOKUP(J$10,'VK-Põlevkivi'!$C:$X,2+$G81,0))+IF(J$4="X",VLOOKUP(J$10,'VK-Võrgud'!$C:$X,2+$F81,0))</f>
        <v>11.138055555555555</v>
      </c>
      <c r="K81" s="209">
        <f>IF(K$7="X",VLOOKUP(K$10,'VK-Hooned-Soojus'!$C:$X,2+$C81,FALSE),0)+IF(K$6="X",VLOOKUP(K$10,'VK-Transport'!$C:$X,2+$B81,0))+IF(K$8="X",VLOOKUP(K$10,'VK-Elekter'!$C:$X,2+$D81,0))+IF(K$9="X",VLOOKUP(K$10,'VK-Biokütused'!$C:$U,2+$E81,0))+IF(K$5="X",VLOOKUP(K$10,'VK-Põlevkivi'!$C:$X,2+$G81,0))+IF(K$4="X",VLOOKUP(K$10,'VK-Võrgud'!$C:$X,2+$F81,0))</f>
        <v>15.27</v>
      </c>
      <c r="L81" s="209">
        <f>IF(L$7="X",VLOOKUP(L$10,'VK-Hooned-Soojus'!$C:$X,2+$C81,FALSE),0)+IF(L$6="X",VLOOKUP(L$10,'VK-Transport'!$C:$X,2+$B81,0))+IF(L$8="X",VLOOKUP(L$10,'VK-Elekter'!$C:$X,2+$D81,0))+IF(L$9="X",VLOOKUP(L$10,'VK-Biokütused'!$C:$U,2+$E81,0))+IF(L$5="X",VLOOKUP(L$10,'VK-Põlevkivi'!$C:$X,2+$G81,0))+IF(L$4="X",VLOOKUP(L$10,'VK-Võrgud'!$C:$X,2+$F81,0))</f>
        <v>24.2</v>
      </c>
      <c r="M81" s="209">
        <f>IF(M$7="X",VLOOKUP(M$10,'VK-Hooned-Soojus'!$C:$X,2+$C81,FALSE),0)+IF(M$6="X",VLOOKUP(M$10,'VK-Transport'!$C:$X,2+$B81,0))+IF(M$8="X",VLOOKUP(M$10,'VK-Elekter'!$C:$X,2+$D81,0))+IF(M$9="X",VLOOKUP(M$10,'VK-Biokütused'!$C:$U,2+$E81,0))+IF(M$5="X",VLOOKUP(M$10,'VK-Põlevkivi'!$C:$X,2+$G81,0))+IF(M$4="X",VLOOKUP(M$10,'VK-Võrgud'!$C:$X,2+$F81,0))</f>
        <v>9.8566666666666674</v>
      </c>
      <c r="N81" s="209">
        <f>IF(N$7="X",VLOOKUP(N$10,'VK-Hooned-Soojus'!$C:$X,2+$C81,FALSE),0)+IF(N$6="X",VLOOKUP(N$10,'VK-Transport'!$C:$X,2+$B81,0))+IF(N$8="X",VLOOKUP(N$10,'VK-Elekter'!$C:$X,2+$D81,0))+IF(N$9="X",VLOOKUP(N$10,'VK-Biokütused'!$C:$U,2+$E81,0))+IF(N$5="X",VLOOKUP(N$10,'VK-Põlevkivi'!$C:$X,2+$G81,0))+IF(N$4="X",VLOOKUP(N$10,'VK-Võrgud'!$C:$X,2+$F81,0))</f>
        <v>16.09</v>
      </c>
      <c r="O81" s="209">
        <f t="shared" si="60"/>
        <v>35.928055555555552</v>
      </c>
      <c r="P81" s="209"/>
      <c r="Q81" s="209">
        <f>(IF(Q$7="X",VLOOKUP(Q$10,'VK-Hooned-Soojus'!$C:$X,2+$C81,FALSE),0)+IF(Q$6="X",VLOOKUP(Q$10,'VK-Transport'!$C:$X,2+$B81,0))+IF(Q$8="X",VLOOKUP(Q$10,'VK-Elekter'!$C:$X,2+$D81,0))+IF(Q$9="X",VLOOKUP(Q$10,'VK-Biokütused'!$C:$U,2+$E81,0))+IF(Q$5="X",VLOOKUP(Q$10,'VK-Põlevkivi'!$C:$X,2+$G81,0))+IF(Q$4="X",VLOOKUP(Q$10,'VK-Võrgud'!$C:$X,2+$F81,0)))/1000</f>
        <v>1.337</v>
      </c>
      <c r="R81" s="209">
        <f>(IF(R$7="X",VLOOKUP(R$10,'VK-Hooned-Soojus'!$C:$X,2+$C81,FALSE),0)+IF(R$6="X",VLOOKUP(R$10,'VK-Transport'!$C:$X,2+$B81,0))+IF(R$8="X",VLOOKUP(R$10,'VK-Elekter'!$C:$X,2+$D81,0))+IF(R$9="X",VLOOKUP(R$10,'VK-Biokütused'!$C:$U,2+$E81,0))+IF(R$5="X",VLOOKUP(R$10,'VK-Põlevkivi'!$C:$X,2+$G81,0))+IF(R$4="X",VLOOKUP(R$10,'VK-Võrgud'!$C:$X,2+$F81,0)))/1000</f>
        <v>2.9358823271229704</v>
      </c>
      <c r="S81" s="226">
        <f>VLOOKUP(S$10,'VK-Hooned-Soojus'!$C:$I,2+$C81,FALSE) + VLOOKUP(S$10,'VK-Transport'!$C:$I,2+$B81,FALSE)+ VLOOKUP(S$10,'VK-Biokütused'!$C:$G,2+$E81,FALSE)+ VLOOKUP(S$10,'VK-Elekter'!$C:$I,2+$D81,FALSE)+ VLOOKUP(S$10,'VK-Põlevkivi'!$C:$I,2+$G81,FALSE)+ VLOOKUP(S$10,'VK-Võrgud'!$C:$I,2+$F81,FALSE)</f>
        <v>1.4870867155145472E-2</v>
      </c>
      <c r="T81" s="226">
        <f>VLOOKUP(T$10,'VK-Hooned-Soojus'!$C:$I,2+$C81,FALSE) + VLOOKUP(T$10,'VK-Transport'!$C:$I,2+$B81,FALSE)+ VLOOKUP(T$10,'VK-Biokütused'!$C:$G,2+$E81,FALSE)+ VLOOKUP(T$10,'VK-Elekter'!$C:$I,2+$D81,FALSE)+ VLOOKUP(T$10,'VK-Põlevkivi'!$C:$I,2+$G81,FALSE)+ VLOOKUP(T$10,'VK-Võrgud'!$C:$I,2+$F81,FALSE)</f>
        <v>-1.3195478123184572E-3</v>
      </c>
      <c r="U81" s="226">
        <f>VLOOKUP(U$10,'VK-Hooned-Soojus'!$C:$I,2+$C81,FALSE) + VLOOKUP(U$10,'VK-Transport'!$C:$I,2+$B81,FALSE)+ VLOOKUP(U$10,'VK-Biokütused'!$C:$G,2+$E81,FALSE)+ VLOOKUP(U$10,'VK-Elekter'!$C:$I,2+$D81,FALSE)+ VLOOKUP(U$10,'VK-Põlevkivi'!$C:$I,2+$G81,FALSE)+ VLOOKUP(U$10,'VK-Võrgud'!$C:$I,2+$F81,FALSE)</f>
        <v>3.2902926628489704E-3</v>
      </c>
      <c r="V81" s="226">
        <f>VLOOKUP(V$10,'VK-Hooned-Soojus'!$C:$I,2+$C81,FALSE) + VLOOKUP(V$10,'VK-Transport'!$C:$I,2+$B81,FALSE)+ VLOOKUP(V$10,'VK-Biokütused'!$C:$G,2+$E81,FALSE)+ VLOOKUP(V$10,'VK-Elekter'!$C:$I,2+$D81,FALSE)+ VLOOKUP(V$10,'VK-Põlevkivi'!$C:$I,2+$G81,FALSE)+ VLOOKUP(V$10,'VK-Võrgud'!$C:$I,2+$F81,FALSE)</f>
        <v>1.164403707744326E-2</v>
      </c>
      <c r="W81" s="226">
        <f>VLOOKUP(W$10,'VK-Hooned-Soojus'!$C:$I,2+$C81,FALSE) + VLOOKUP(W$10,'VK-Transport'!$C:$I,2+$B81,FALSE)+ VLOOKUP(W$10,'VK-Biokütused'!$C:$G,2+$E81,FALSE)+ VLOOKUP(W$10,'VK-Elekter'!$C:$I,2+$D81,FALSE)+ VLOOKUP(W$10,'VK-Põlevkivi'!$C:$I,2+$G81,FALSE)+ VLOOKUP(W$10,'VK-Võrgud'!$C:$I,2+$F81,FALSE)</f>
        <v>-4.4816032333396746E-2</v>
      </c>
      <c r="X81" s="226">
        <f>VLOOKUP(X$10,'VK-Hooned-Soojus'!$C:$I,2+$C81,FALSE) + VLOOKUP(X$10,'VK-Transport'!$C:$I,2+$B81,FALSE)+ VLOOKUP(X$10,'VK-Biokütused'!$C:$G,2+$E81,FALSE)+ VLOOKUP(X$10,'VK-Elekter'!$C:$I,2+$D81,FALSE)+ VLOOKUP(X$10,'VK-Põlevkivi'!$C:$I,2+$G81,FALSE)+ VLOOKUP(X$10,'VK-Võrgud'!$C:$I,2+$F81,FALSE)</f>
        <v>-0.17062119401290302</v>
      </c>
      <c r="Y81" s="226">
        <f>VLOOKUP(Y$10,'VK-Hooned-Soojus'!$C:$I,2+$C81,FALSE) + VLOOKUP(Y$10,'VK-Transport'!$C:$I,2+$B81,FALSE)+ VLOOKUP(Y$10,'VK-Biokütused'!$C:$G,2+$E81,FALSE)+ VLOOKUP(Y$10,'VK-Elekter'!$C:$I,2+$D81,FALSE)+ VLOOKUP(Y$10,'VK-Põlevkivi'!$C:$I,2+$G81,FALSE)+ VLOOKUP(Y$10,'VK-Võrgud'!$C:$I,2+$F81,FALSE)</f>
        <v>-9.1458798619093451E-2</v>
      </c>
      <c r="Z81" s="227">
        <f>(S81*Tulemused!$Q$9*10+T81*Tulemused!$Q$10*10+KOMBI!U81*Tulemused!$Q$11*10+KOMBI!V81*Tulemused!$Q$12*10)*Tulemused!$Q$8+-(W81*Tulemused!$Q$14*10+KOMBI!X81*Tulemused!$Q$15*10+KOMBI!Y81*Tulemused!$Q$16*10)*Tulemused!$Q$13</f>
        <v>8.5351402639321989</v>
      </c>
      <c r="AA81" s="228">
        <f>(IF(AA$7="X",VLOOKUP(AA$10,'VK-Hooned-Soojus'!$C:$X,2+$C81,FALSE),0)+IF(AA$6="X",VLOOKUP(AA$10,'VK-Transport'!$C:$X,2+$B81,0))+IF(AA$8="X",VLOOKUP(AA$10,'VK-Elekter'!$C:$X,2+$D81,0))+IF(AA$9="X",VLOOKUP(AA$10,'VK-Biokütused'!$C:$U,2+$E81,0))+IF(AA$5="X",VLOOKUP(AA$10,'VK-Põlevkivi'!$C:$X,2+$G81,0))+IF(AA$4="X",VLOOKUP(AA$10,'VK-Võrgud'!$C:$X,2+$F81,0)))</f>
        <v>0</v>
      </c>
      <c r="AB81" s="228">
        <f>(IF(AB$7="X",VLOOKUP(AB$10,'VK-Hooned-Soojus'!$C:$X,2+$C81,FALSE),0)+IF(AB$6="X",VLOOKUP(AB$10,'VK-Transport'!$C:$X,2+$B81,0))+IF(AB$8="X",VLOOKUP(AB$10,'VK-Elekter'!$C:$X,2+$D81,0))+IF(AB$9="X",VLOOKUP(AB$10,'VK-Biokütused'!$C:$U,2+$E81,0))+IF(AB$5="X",VLOOKUP(AB$10,'VK-Põlevkivi'!$C:$X,2+$G81,0))+IF(AB$4="X",VLOOKUP(AB$10,'VK-Võrgud'!$C:$X,2+$F81,0)))</f>
        <v>1337</v>
      </c>
      <c r="AC81" s="228">
        <f>(IF(AC$7="X",VLOOKUP(AC$10,'VK-Hooned-Soojus'!$C:$X,2+$C81,FALSE),0)+IF(AC$6="X",VLOOKUP(AC$10,'VK-Transport'!$C:$X,2+$B81,0))+IF(AC$8="X",VLOOKUP(AC$10,'VK-Elekter'!$C:$X,2+$D81,0))+IF(AC$9="X",VLOOKUP(AC$10,'VK-Biokütused'!$C:$U,2+$E81,0))+IF(AC$5="X",VLOOKUP(AC$10,'VK-Põlevkivi'!$C:$X,2+$G81,0))+IF(AC$4="X",VLOOKUP(AC$10,'VK-Võrgud'!$C:$X,2+$F81,0)))</f>
        <v>2346</v>
      </c>
      <c r="AD81" s="228">
        <f>(IF(AD$7="X",VLOOKUP(AD$10,'VK-Hooned-Soojus'!$C:$X,2+$C81,FALSE),0)+IF(AD$6="X",VLOOKUP(AD$10,'VK-Transport'!$C:$X,2+$B81,0))+IF(AD$8="X",VLOOKUP(AD$10,'VK-Elekter'!$C:$X,2+$D81,0))+IF(AD$9="X",VLOOKUP(AD$10,'VK-Biokütused'!$C:$U,2+$E81,0))+IF(AD$5="X",VLOOKUP(AD$10,'VK-Põlevkivi'!$C:$X,2+$G81,0))+IF(AD$4="X",VLOOKUP(AD$10,'VK-Võrgud'!$C:$X,2+$F81,0)))</f>
        <v>377.5</v>
      </c>
      <c r="AE81" s="228">
        <f>(IF(AE$7="X",VLOOKUP(AE$10,'VK-Hooned-Soojus'!$C:$X,2+$C81,FALSE),0)+IF(AE$6="X",VLOOKUP(AE$10,'VK-Transport'!$C:$X,2+$B81,0))+IF(AE$8="X",VLOOKUP(AE$10,'VK-Elekter'!$C:$X,2+$D81,0))+IF(AE$9="X",VLOOKUP(AE$10,'VK-Biokütused'!$C:$U,2+$E81,0))+IF(AE$5="X",VLOOKUP(AE$10,'VK-Põlevkivi'!$C:$X,2+$G81,0))+IF(AE$4="X",VLOOKUP(AE$10,'VK-Võrgud'!$C:$X,2+$F81,0)))</f>
        <v>666</v>
      </c>
      <c r="AF81" s="228">
        <f>(IF(AF$7="X",VLOOKUP(AF$10,'VK-Hooned-Soojus'!$C:$X,2+$C81,FALSE),0)+IF(AF$6="X",VLOOKUP(AF$10,'VK-Transport'!$C:$X,2+$B81,0))+IF(AF$8="X",VLOOKUP(AF$10,'VK-Elekter'!$C:$X,2+$D81,0))+IF(AF$9="X",VLOOKUP(AF$10,'VK-Biokütused'!$C:$U,2+$E81,0))+IF(AF$5="X",VLOOKUP(AF$10,'VK-Põlevkivi'!$C:$X,2+$G81,0))+IF(AF$4="X",VLOOKUP(AF$10,'VK-Võrgud'!$C:$X,2+$F81,0)))</f>
        <v>1892.3823271229701</v>
      </c>
      <c r="AG81" s="209"/>
      <c r="AH81" s="209">
        <f>IF(AH$7="X",VLOOKUP(AH$10,'VK-Hooned-Soojus'!$C:$X,2+$C81,FALSE),0)+IF(AH$6="X",VLOOKUP(AH$10,'VK-Transport'!$C:$X,2+$B81,0))+IF(AH$8="X",VLOOKUP(AH$10,'VK-Elekter'!$C:$X,2+$D81,0))+IF(AH$9="X",VLOOKUP(AH$10,'VK-Biokütused'!$C:$U,2+$E81,0))+IF(AH$5="X",VLOOKUP(AH$10,'VK-Põlevkivi'!$C:$X,2+$G81,0))+IF(AH$4="X",VLOOKUP(AH$10,'VK-Võrgud'!$C:$X,2+$F81,0))</f>
        <v>0</v>
      </c>
      <c r="AI81" s="209">
        <f>IF(AI$7="X",VLOOKUP(AI$10,'VK-Hooned-Soojus'!$C:$X,2+$C81,FALSE),0)+IF(AI$6="X",VLOOKUP(AI$10,'VK-Transport'!$C:$X,2+$B81,0))+IF(AI$8="X",VLOOKUP(AI$10,'VK-Elekter'!$C:$X,2+$D81,0))+IF(AI$9="X",VLOOKUP(AI$10,'VK-Biokütused'!$C:$U,2+$E81,0))+IF(AI$5="X",VLOOKUP(AI$10,'VK-Põlevkivi'!$C:$X,2+$G81,0))+IF(AI$4="X",VLOOKUP(AI$10,'VK-Võrgud'!$C:$X,2+$F81,0))</f>
        <v>11.489999999999998</v>
      </c>
      <c r="AJ81" s="209">
        <f>IF(AJ$7="X",VLOOKUP(AJ$10,'VK-Hooned-Soojus'!$C:$X,2+$C81,FALSE),0)+IF(AJ$6="X",VLOOKUP(AJ$10,'VK-Transport'!$C:$X,2+$B81,0))+IF(AJ$8="X",VLOOKUP(AJ$10,'VK-Elekter'!$C:$X,2+$D81,0))+IF(AJ$9="X",VLOOKUP(AJ$10,'VK-Biokütused'!$C:$U,2+$E81,0))+IF(AJ$5="X",VLOOKUP(AJ$10,'VK-Põlevkivi'!$C:$X,2+$G81,0))+IF(AJ$4="X",VLOOKUP(AJ$10,'VK-Võrgud'!$C:$X,2+$F81,0))</f>
        <v>0</v>
      </c>
      <c r="AK81" s="209">
        <f>IF(AK$7="X",VLOOKUP(AK$10,'VK-Hooned-Soojus'!$C:$X,2+$C81,FALSE),0)+IF(AK$6="X",VLOOKUP(AK$10,'VK-Transport'!$C:$X,2+$B81,0))+IF(AK$8="X",VLOOKUP(AK$10,'VK-Elekter'!$C:$X,2+$D81,0))+IF(AK$9="X",VLOOKUP(AK$10,'VK-Biokütused'!$C:$U,2+$E81,0))+IF(AK$5="X",VLOOKUP(AK$10,'VK-Põlevkivi'!$C:$X,2+$G81,0))+IF(AK$4="X",VLOOKUP(AK$10,'VK-Võrgud'!$C:$X,2+$F81,0))</f>
        <v>3.65</v>
      </c>
      <c r="AL81" s="209">
        <f>IF(AL$7="X",VLOOKUP(AL$10,'VK-Hooned-Soojus'!$C:$X,2+$C81,FALSE),0)+IF(AL$6="X",VLOOKUP(AL$10,'VK-Transport'!$C:$X,2+$B81,0))+IF(AL$8="X",VLOOKUP(AL$10,'VK-Elekter'!$C:$X,2+$D81,0))+IF(AL$9="X",VLOOKUP(AL$10,'VK-Biokütused'!$C:$U,2+$E81,0))+IF(AL$5="X",VLOOKUP(AL$10,'VK-Põlevkivi'!$C:$X,2+$G81,0))+IF(AL$4="X",VLOOKUP(AL$10,'VK-Võrgud'!$C:$X,2+$F81,0))</f>
        <v>7.1999999999999993</v>
      </c>
      <c r="AM81" s="209">
        <f>IF(AM$7="X",VLOOKUP(AM$10,'VK-Hooned-Soojus'!$C:$X,2+$C81,FALSE),0)+IF(AM$6="X",VLOOKUP(AM$10,'VK-Transport'!$C:$X,2+$B81,0))+IF(AM$8="X",VLOOKUP(AM$10,'VK-Elekter'!$C:$X,2+$D81,0))+IF(AM$9="X",VLOOKUP(AM$10,'VK-Biokütused'!$C:$U,2+$E81,0))+IF(AM$5="X",VLOOKUP(AM$10,'VK-Põlevkivi'!$C:$X,2+$G81,0))+IF(AM$4="X",VLOOKUP(AM$10,'VK-Võrgud'!$C:$X,2+$F81,0))</f>
        <v>11.9</v>
      </c>
      <c r="AN81" s="209">
        <f>IF(AN$7="X",VLOOKUP(AN$10,'VK-Hooned-Soojus'!$C:$X,2+$C81,FALSE),0)+IF(AN$6="X",VLOOKUP(AN$10,'VK-Transport'!$C:$X,2+$B81,0))+IF(AN$8="X",VLOOKUP(AN$10,'VK-Elekter'!$C:$X,2+$D81,0))+IF(AN$9="X",VLOOKUP(AN$10,'VK-Biokütused'!$C:$U,2+$E81,0))+IF(AN$5="X",VLOOKUP(AN$10,'VK-Põlevkivi'!$C:$X,2+$G81,0))+IF(AN$4="X",VLOOKUP(AN$10,'VK-Võrgud'!$C:$X,2+$F81,0))</f>
        <v>4.8999999999999995</v>
      </c>
      <c r="AO81" s="209">
        <f>IF(AO$7="X",VLOOKUP(AO$10,'VK-Hooned-Soojus'!$C:$X,2+$C81,FALSE),0)+IF(AO$6="X",VLOOKUP(AO$10,'VK-Transport'!$C:$X,2+$B81,0))+IF(AO$8="X",VLOOKUP(AO$10,'VK-Elekter'!$C:$X,2+$D81,0))+IF(AO$9="X",VLOOKUP(AO$10,'VK-Biokütused'!$C:$U,2+$E81,0))+IF(AO$5="X",VLOOKUP(AO$10,'VK-Põlevkivi'!$C:$X,2+$G81,0))+IF(AO$4="X",VLOOKUP(AO$10,'VK-Võrgud'!$C:$X,2+$F81,0))</f>
        <v>21.740000000000002</v>
      </c>
      <c r="AP81" s="209">
        <f>IF(AP$7="X",VLOOKUP(AP$10,'VK-Hooned-Soojus'!$C:$X,2+$C81,FALSE),0)+IF(AP$6="X",VLOOKUP(AP$10,'VK-Transport'!$C:$X,2+$B81,0))+IF(AP$8="X",VLOOKUP(AP$10,'VK-Elekter'!$C:$X,2+$D81,0))+IF(AP$9="X",VLOOKUP(AP$10,'VK-Biokütused'!$C:$U,2+$E81,0))+IF(AP$5="X",VLOOKUP(AP$10,'VK-Põlevkivi'!$C:$X,2+$G81,0))+IF(AP$4="X",VLOOKUP(AP$10,'VK-Võrgud'!$C:$X,2+$F81,0))</f>
        <v>10.870000000000001</v>
      </c>
      <c r="AQ81" s="320">
        <f t="shared" si="61"/>
        <v>9.4400000000000013</v>
      </c>
      <c r="AR81" s="209">
        <f>IF(AR$7="X",VLOOKUP(AR$10,'VK-Hooned-Soojus'!$C:$X,2+$C81,FALSE),0)+IF(AR$6="X",VLOOKUP(AR$10,'VK-Transport'!$C:$X,2+$B81,0))+IF(AR$8="X",VLOOKUP(AR$10,'VK-Elekter'!$C:$X,2+$D81,0))+IF(AR$9="X",VLOOKUP(AR$10,'VK-Biokütused'!$C:$U,2+$E81,0))+IF(AR$5="X",VLOOKUP(AR$10,'VK-Põlevkivi'!$C:$X,2+$G81,0))+IF(AR$4="X",VLOOKUP(AR$10,'VK-Võrgud'!$C:$X,2+$F81,0))</f>
        <v>0.5</v>
      </c>
      <c r="AS81" s="320">
        <f>VLOOKUP("Kütuste tarbimine @ 2030 - UTTEGAAS",'VK-Hooned-Soojus'!$C:$X,2+$C81,FALSE)/0.172+VLOOKUP("Kütuste tarbimine @ 2030 - UTTEGAAS",'VK-Elekter'!$C:$X,2+$D81,FALSE)/0.172-AR81-AU81</f>
        <v>-0.5</v>
      </c>
      <c r="AT81" s="209">
        <f>IF(AT$7="X",VLOOKUP(AT$10,'VK-Hooned-Soojus'!$C:$X,2+$C81,FALSE),0)+IF(AT$6="X",VLOOKUP(AT$10,'VK-Transport'!$C:$X,2+$B81,0))+IF(AT$8="X",VLOOKUP(AT$10,'VK-Elekter'!$C:$X,2+$D81,0))+IF(AT$9="X",VLOOKUP(AT$10,'VK-Biokütused'!$C:$U,2+$E81,0))+IF(AT$5="X",VLOOKUP(AT$10,'VK-Põlevkivi'!$C:$X,2+$G81,0))+IF(AT$4="X",VLOOKUP(AT$10,'VK-Võrgud'!$C:$X,2+$F81,0))</f>
        <v>9.2784458909544707</v>
      </c>
      <c r="AU81" s="229">
        <f>MAX(0,(VLOOKUP("Kütuste tarbimine @ 2030 - UTTEGAAS",'VK-Hooned-Soojus'!$C:$X,2+$C81,FALSE)/0.172+VLOOKUP("Kütuste tarbimine @ 2030 - UTTEGAAS",'VK-Elekter'!$C:$X,2+$D81,FALSE)/0.172)*0.52-VLOOKUP("Kütuste tarbimine @ 2030 - PÕLEVKIVIÕLI",'VK-Hooned-Soojus'!$C:$X,2+$C81,FALSE))</f>
        <v>0</v>
      </c>
      <c r="AV81" s="209">
        <f>IF(AV$7="X",VLOOKUP(AV$10,'VK-Hooned-Soojus'!$C:$X,2+$C81,FALSE),0)+IF(AV$6="X",VLOOKUP(AV$10,'VK-Transport'!$C:$X,2+$B81,0))+IF(AV$8="X",VLOOKUP(AV$10,'VK-Elekter'!$C:$X,2+$D81,0))+IF(AV$9="X",VLOOKUP(AV$10,'VK-Biokütused'!$C:$U,2+$E81,0))+IF(AV$5="X",VLOOKUP(AV$10,'VK-Põlevkivi'!$C:$X,2+$G81,0))+IF(AV$4="X",VLOOKUP(AV$10,'VK-Võrgud'!$C:$X,2+$F81,0))</f>
        <v>1.7257321590343366</v>
      </c>
      <c r="AW81" s="209">
        <f>IF(AW$7="X",VLOOKUP(AW$10,'VK-Hooned-Soojus'!$C:$X,2+$C81,FALSE),0)+IF(AW$6="X",VLOOKUP(AW$10,'VK-Transport'!$C:$X,2+$B81,0))+IF(AW$8="X",VLOOKUP(AW$10,'VK-Elekter'!$C:$X,2+$D81,0))+IF(AW$9="X",VLOOKUP(AW$10,'VK-Biokütused'!$C:$U,2+$E81,0))+IF(AW$5="X",VLOOKUP(AW$10,'VK-Põlevkivi'!$C:$X,2+$G81,0))+IF(AW$4="X",VLOOKUP(AW$10,'VK-Võrgud'!$C:$X,2+$F81,0))</f>
        <v>2.141</v>
      </c>
      <c r="AX81" s="229">
        <f t="shared" si="62"/>
        <v>0.41526784096566338</v>
      </c>
      <c r="AY81" s="229">
        <f t="shared" si="63"/>
        <v>0</v>
      </c>
      <c r="AZ81" s="230">
        <f t="shared" si="48"/>
        <v>0.6291145496153917</v>
      </c>
      <c r="BA81" s="209">
        <f>IF(BA$7="X",VLOOKUP(BA$10,'VK-Hooned-Soojus'!$C:$X,2+$C81,FALSE),0)+IF(BA$6="X",VLOOKUP(BA$10,'VK-Transport'!$C:$X,2+$B81,0))+IF(BA$8="X",VLOOKUP(BA$10,'VK-Elekter'!$C:$X,2+$D81,0))+IF(BA$9="X",VLOOKUP(BA$10,'VK-Biokütused'!$C:$U,2+$E81,0))+IF(BA$5="X",VLOOKUP(BA$10,'VK-Põlevkivi'!$C:$X,2+$G81,0))+IF(BA$4="X",VLOOKUP(BA$10,'VK-Võrgud'!$C:$X,2+$F81,0))</f>
        <v>0</v>
      </c>
      <c r="BB81" s="209">
        <f>IF(BB$7="X",VLOOKUP(BB$10,'VK-Hooned-Soojus'!$C:$X,2+$C81,FALSE),0)+IF(BB$6="X",VLOOKUP(BB$10,'VK-Transport'!$C:$X,2+$B81,0))+IF(BB$8="X",VLOOKUP(BB$10,'VK-Elekter'!$C:$X,2+$D81,0))+IF(BB$9="X",VLOOKUP(BB$10,'VK-Biokütused'!$C:$U,2+$E81,0))+IF(BB$5="X",VLOOKUP(BB$10,'VK-Põlevkivi'!$C:$X,2+$G81,0))+IF(BB$4="X",VLOOKUP(BB$10,'VK-Võrgud'!$C:$X,2+$F81,0))</f>
        <v>6.32</v>
      </c>
      <c r="BC81" s="209">
        <f>IF(BC$7="X",VLOOKUP(BC$10,'VK-Hooned-Soojus'!$C:$X,2+$C81,FALSE),0)+IF(BC$6="X",VLOOKUP(BC$10,'VK-Transport'!$C:$X,2+$B81,0))+IF(BC$8="X",VLOOKUP(BC$10,'VK-Elekter'!$C:$X,2+$D81,0))+IF(BC$9="X",VLOOKUP(BC$10,'VK-Biokütused'!$C:$U,2+$E81,0))+IF(BC$5="X",VLOOKUP(BC$10,'VK-Põlevkivi'!$C:$X,2+$G81,0))+IF(BC$4="X",VLOOKUP(BC$10,'VK-Võrgud'!$C:$X,2+$F81,0))</f>
        <v>6.5993333333333322</v>
      </c>
      <c r="BD81" s="209">
        <f>IF(BD$7="X",VLOOKUP(BD$10,'VK-Hooned-Soojus'!$C:$X,2+$C81,FALSE),0)+IF(BD$6="X",VLOOKUP(BD$10,'VK-Transport'!$C:$X,2+$B81,0))+IF(BD$8="X",VLOOKUP(BD$10,'VK-Elekter'!$C:$X,2+$D81,0))+IF(BD$9="X",VLOOKUP(BD$10,'VK-Biokütused'!$C:$U,2+$E81,0))+IF(BD$5="X",VLOOKUP(BD$10,'VK-Põlevkivi'!$C:$X,2+$G81,0))+IF(BD$4="X",VLOOKUP(BD$10,'VK-Võrgud'!$C:$X,2+$F81,0))</f>
        <v>9.425416666666667</v>
      </c>
      <c r="BE81" s="230"/>
      <c r="BF81" s="229">
        <f t="shared" si="64"/>
        <v>0.57944895681543473</v>
      </c>
      <c r="BG81" s="209" t="e">
        <f>(IF(BG$7="X",VLOOKUP(BG$10,'VK-Hooned-Soojus'!$C:$X,2+$C81,FALSE),0)+IF(BG$6="X",VLOOKUP(BG$10,'VK-Transport'!$C:$X,2+$B81,0))+IF(BG$8="X",VLOOKUP(BG$10,'VK-Elekter'!$C:$X,2+$D81,0))+IF(BG$9="X",VLOOKUP(BG$10,'VK-Biokütused'!$C:$U,2+$E81,0))+IF(BG$5="X",VLOOKUP(BG$10,'VK-Põlevkivi'!$C:$X,2+$G81,0))+IF(BG$4="X",VLOOKUP(BG$10,'VK-Võrgud'!$C:$X,2+$F81,0)))/20</f>
        <v>#N/A</v>
      </c>
      <c r="BH81" s="209">
        <f>(IF(BH$7="X",VLOOKUP(BH$10,'VK-Hooned-Soojus'!$C:$X,2+$C81,FALSE),0)+IF(BH$6="X",VLOOKUP(BH$10,'VK-Transport'!$C:$X,2+$B81,0))+IF(BH$8="X",VLOOKUP(BH$10,'VK-Elekter'!$C:$X,2+$D81,0))+IF(BH$9="X",VLOOKUP(BH$10,'VK-Biokütused'!$C:$U,2+$E81,0))+IF(BH$5="X",VLOOKUP(BH$10,'VK-Põlevkivi'!$C:$X,2+$G81,0))+IF(BH$4="X",VLOOKUP(BH$10,'VK-Võrgud'!$C:$X,2+$F81,0)))/20</f>
        <v>45.08</v>
      </c>
      <c r="BI81" s="209">
        <f>(IF(BI$7="X",VLOOKUP(BI$10,'VK-Hooned-Soojus'!$C:$X,2+$C81,FALSE),0)+IF(BI$6="X",VLOOKUP(BI$10,'VK-Transport'!$C:$X,2+$B81,0))+IF(BI$8="X",VLOOKUP(BI$10,'VK-Elekter'!$C:$X,2+$D81,0))+IF(BI$9="X",VLOOKUP(BI$10,'VK-Biokütused'!$C:$U,2+$E81,0))+IF(BI$5="X",VLOOKUP(BI$10,'VK-Põlevkivi'!$C:$X,2+$G81,0))+IF(BI$4="X",VLOOKUP(BI$10,'VK-Võrgud'!$C:$X,2+$F81,0)))/16</f>
        <v>14.1875</v>
      </c>
      <c r="BJ81" s="209">
        <f>(IF(BJ$7="X",VLOOKUP(BJ$10,'VK-Hooned-Soojus'!$C:$X,2+$C81,FALSE),0)+IF(BJ$6="X",VLOOKUP(BJ$10,'VK-Transport'!$C:$X,2+$B81,0))+IF(BJ$8="X",VLOOKUP(BJ$10,'VK-Elekter'!$C:$X,2+$D81,0))+IF(BJ$9="X",VLOOKUP(BJ$10,'VK-Biokütused'!$C:$U,2+$E81,0))+IF(BJ$5="X",VLOOKUP(BJ$10,'VK-Põlevkivi'!$C:$X,2+$G81,0))+IF(BJ$4="X",VLOOKUP(BJ$10,'VK-Võrgud'!$C:$X,2+$F81,0)))/20</f>
        <v>3.91</v>
      </c>
      <c r="BK81" s="209"/>
      <c r="BL81" s="209"/>
      <c r="BM81" s="209"/>
      <c r="BN81" s="209" t="e">
        <f>(IF(BN$7="X",VLOOKUP(BN$10,'VK-Hooned-Soojus'!$C:$X,2+$C81,FALSE),0)+IF(BN$6="X",VLOOKUP(BN$10,'VK-Transport'!$C:$X,2+$B81,0))+IF(BN$8="X",VLOOKUP(BN$10,'VK-Elekter'!$C:$X,2+$D81,0))+IF(BN$9="X",VLOOKUP(BN$10,'VK-Biokütused'!$C:$U,2+$E81,0))+IF(BN$5="X",VLOOKUP(BN$10,'VK-Põlevkivi'!$C:$X,2+$G81,0))+IF(BN$4="X",VLOOKUP(BN$10,'VK-Võrgud'!$C:$X,2+$F81,0)))/16</f>
        <v>#N/A</v>
      </c>
      <c r="BO81" s="209">
        <f>(IF(BO$7="X",VLOOKUP(BO$10,'VK-Hooned-Soojus'!$C:$X,2+$C81,FALSE),0)+IF(BO$6="X",VLOOKUP(BO$10,'VK-Transport'!$C:$X,2+$B81,0))+IF(BO$8="X",VLOOKUP(BO$10,'VK-Elekter'!$C:$X,2+$D81,0))+IF(BO$9="X",VLOOKUP(BO$10,'VK-Biokütused'!$C:$U,2+$E81,0))+IF(BO$5="X",VLOOKUP(BO$10,'VK-Põlevkivi'!$C:$X,2+$G81,0))+IF(BO$4="X",VLOOKUP(BO$10,'VK-Võrgud'!$C:$X,2+$F81,0)))/16</f>
        <v>405.45</v>
      </c>
      <c r="BP81" s="209"/>
      <c r="BQ81" s="209">
        <f>(IF(BQ$7="X",VLOOKUP(BQ$10,'VK-Hooned-Soojus'!$C:$X,2+$C81,FALSE),0)+IF(BQ$6="X",VLOOKUP(BQ$10,'VK-Transport'!$C:$X,2+$B81,0))+IF(BQ$8="X",VLOOKUP(BQ$10,'VK-Elekter'!$C:$X,2+$D81,0))+IF(BQ$9="X",VLOOKUP(BQ$10,'VK-Biokütused'!$C:$U,2+$E81,0))+IF(BQ$5="X",VLOOKUP(BQ$10,'VK-Põlevkivi'!$C:$X,2+$G81,0))+IF(BQ$4="X",VLOOKUP(BQ$10,'VK-Võrgud'!$C:$X,2+$F81,0)))/16</f>
        <v>127.6</v>
      </c>
      <c r="BR81" s="209">
        <f>(IF(BR$7="X",VLOOKUP(BR$10,'VK-Hooned-Soojus'!$C:$X,2+$C81,FALSE),0)+IF(BR$6="X",VLOOKUP(BR$10,'VK-Transport'!$C:$X,2+$B81,0))+IF(BR$8="X",VLOOKUP(BR$10,'VK-Elekter'!$C:$X,2+$D81,0))+IF(BR$9="X",VLOOKUP(BR$10,'VK-Biokütused'!$C:$U,2+$E81,0))+IF(BR$5="X",VLOOKUP(BR$10,'VK-Põlevkivi'!$C:$X,2+$G81,0))+IF(BR$4="X",VLOOKUP(BR$10,'VK-Võrgud'!$C:$X,2+$F81,0)))/16</f>
        <v>27.475000000000001</v>
      </c>
      <c r="BS81" s="209">
        <f>(IF(BS$7="X",VLOOKUP(BS$10,'VK-Hooned-Soojus'!$C:$X,2+$C81,FALSE),0)+IF(BS$6="X",VLOOKUP(BS$10,'VK-Transport'!$C:$X,2+$B81,0))+IF(BS$8="X",VLOOKUP(BS$10,'VK-Elekter'!$C:$X,2+$D81,0))+IF(BS$9="X",VLOOKUP(BS$10,'VK-Biokütused'!$C:$U,2+$E81,0))+IF(BS$5="X",VLOOKUP(BS$10,'VK-Põlevkivi'!$C:$X,2+$G81,0))+IF(BS$4="X",VLOOKUP(BS$10,'VK-Võrgud'!$C:$X,2+$F81,0)))/16</f>
        <v>-23.293749999999999</v>
      </c>
      <c r="BT81" s="209"/>
      <c r="BU81" s="209"/>
      <c r="BV81" s="209">
        <f>(IF(BV$7="X",VLOOKUP(BV$10,'VK-Hooned-Soojus'!$C:$X,2+$C81,FALSE),0)+IF(BV$6="X",VLOOKUP(BV$10,'VK-Transport'!$C:$X,2+$B81,0))+IF(BV$8="X",VLOOKUP(BV$10,'VK-Elekter'!$C:$X,2+$D81,0))+IF(BV$9="X",VLOOKUP(BV$10,'VK-Biokütused'!$C:$U,2+$E81,0))+IF(BV$5="X",VLOOKUP(BV$10,'VK-Põlevkivi'!$C:$X,2+$G81,0))+IF(BV$4="X",VLOOKUP(BV$10,'VK-Võrgud'!$C:$X,2+$F81,0)))/16</f>
        <v>0</v>
      </c>
      <c r="BW81" s="209"/>
      <c r="BX81" s="209">
        <f>(IF(BX$7="X",VLOOKUP(BX$10,'VK-Hooned-Soojus'!$C:$X,2+$C81,FALSE),0)+IF(BX$6="X",VLOOKUP(BX$10,'VK-Transport'!$C:$X,2+$B81,0))+IF(BX$8="X",VLOOKUP(BX$10,'VK-Elekter'!$C:$X,2+$D81,0))+IF(BX$9="X",VLOOKUP(BX$10,'VK-Biokütused'!$C:$U,2+$E81,0))+IF(BX$5="X",VLOOKUP(BX$10,'VK-Põlevkivi'!$C:$X,2+$G81,0))+IF(BX$4="X",VLOOKUP(BX$10,'VK-Võrgud'!$C:$X,2+$F81,0)))/16</f>
        <v>-19.25</v>
      </c>
      <c r="BY81" s="209"/>
      <c r="BZ81" s="209"/>
      <c r="CA81" s="209" t="e">
        <f>(IF(CA$7="X",VLOOKUP(CA$10,'VK-Hooned-Soojus'!$C:$X,2+$C81,FALSE),0)+IF(CA$6="X",VLOOKUP(CA$10,'VK-Transport'!$C:$X,2+$B81,0))+IF(CA$8="X",VLOOKUP(CA$10,'VK-Elekter'!$C:$X,2+$D81,0))+IF(CA$9="X",VLOOKUP(CA$10,'VK-Biokütused'!$C:$U,2+$E81,0))+IF(CA$5="X",VLOOKUP(CA$10,'VK-Põlevkivi'!$C:$X,2+$G81,0))+IF(CA$4="X",VLOOKUP(CA$10,'VK-Võrgud'!$C:$X,2+$F81,0)))/16</f>
        <v>#N/A</v>
      </c>
      <c r="CB81" s="209">
        <f>(IF(CB$7="X",VLOOKUP(CB$10,'VK-Hooned-Soojus'!$C:$X,2+$C81,FALSE),0)+IF(CB$6="X",VLOOKUP(CB$10,'VK-Transport'!$C:$X,2+$B81,0))+IF(CB$8="X",VLOOKUP(CB$10,'VK-Elekter'!$C:$X,2+$D81,0))+IF(CB$9="X",VLOOKUP(CB$10,'VK-Biokütused'!$C:$U,2+$E81,0))+IF(CB$5="X",VLOOKUP(CB$10,'VK-Põlevkivi'!$C:$X,2+$G81,0))+IF(CB$4="X",VLOOKUP(CB$10,'VK-Võrgud'!$C:$X,2+$F81,0)))/16</f>
        <v>0</v>
      </c>
      <c r="CC81" s="209">
        <f>(IF(CC$7="X",VLOOKUP(CC$10,'VK-Hooned-Soojus'!$C:$X,2+$C81,FALSE),0)+IF(CC$6="X",VLOOKUP(CC$10,'VK-Transport'!$C:$X,2+$B81,0))+IF(CC$8="X",VLOOKUP(CC$10,'VK-Elekter'!$C:$X,2+$D81,0))+IF(CC$9="X",VLOOKUP(CC$10,'VK-Biokütused'!$C:$U,2+$E81,0))+IF(CC$5="X",VLOOKUP(CC$10,'VK-Põlevkivi'!$C:$X,2+$G81,0))+IF(CC$4="X",VLOOKUP(CC$10,'VK-Võrgud'!$C:$X,2+$F81,0)))/16</f>
        <v>0</v>
      </c>
      <c r="CD81" s="209"/>
      <c r="CE81" s="209">
        <f>(IF(CE$7="X",VLOOKUP(CE$10,'VK-Hooned-Soojus'!$C:$X,2+$C81,FALSE),0)+IF(CE$6="X",VLOOKUP(CE$10,'VK-Transport'!$C:$X,2+$B81,0))+IF(CE$8="X",VLOOKUP(CE$10,'VK-Elekter'!$C:$X,2+$D81,0))+IF(CE$9="X",VLOOKUP(CE$10,'VK-Biokütused'!$C:$U,2+$E81,0))+IF(CE$5="X",VLOOKUP(CE$10,'VK-Põlevkivi'!$C:$X,2+$G81,0))+IF(CE$4="X",VLOOKUP(CE$10,'VK-Võrgud'!$C:$X,2+$F81,0)))/16</f>
        <v>24.15625</v>
      </c>
      <c r="CF81" s="209"/>
      <c r="CG81" s="209">
        <f>(IF(CG$7="X",VLOOKUP(CG$10,'VK-Hooned-Soojus'!$C:$X,2+$C81,FALSE),0)+IF(CG$6="X",VLOOKUP(CG$10,'VK-Transport'!$C:$X,2+$B81,0))+IF(CG$8="X",VLOOKUP(CG$10,'VK-Elekter'!$C:$X,2+$D81,0))+IF(CG$9="X",VLOOKUP(CG$10,'VK-Biokütused'!$C:$U,2+$E81,0))+IF(CG$5="X",VLOOKUP(CG$10,'VK-Põlevkivi'!$C:$X,2+$G81,0))+IF(CG$4="X",VLOOKUP(CG$10,'VK-Võrgud'!$C:$X,2+$F81,0)))/16</f>
        <v>0</v>
      </c>
      <c r="CH81" s="209">
        <f>(IF(CH$7="X",VLOOKUP(CH$10,'VK-Hooned-Soojus'!$C:$X,2+$C81,FALSE),0)+IF(CH$6="X",VLOOKUP(CH$10,'VK-Transport'!$C:$X,2+$B81,0))+IF(CH$8="X",VLOOKUP(CH$10,'VK-Elekter'!$C:$X,2+$D81,0))+IF(CH$9="X",VLOOKUP(CH$10,'VK-Biokütused'!$C:$U,2+$E81,0))+IF(CH$5="X",VLOOKUP(CH$10,'VK-Põlevkivi'!$C:$X,2+$G81,0))+IF(CH$4="X",VLOOKUP(CH$10,'VK-Võrgud'!$C:$X,2+$F81,0)))/20*0.21</f>
        <v>11.225549999999998</v>
      </c>
      <c r="CI81" s="209"/>
      <c r="CJ81" s="209">
        <f>(IF(CJ$7="X",VLOOKUP(CJ$10,'VK-Hooned-Soojus'!$C:$X,2+$C81,FALSE),0)+IF(CJ$6="X",VLOOKUP(CJ$10,'VK-Transport'!$C:$X,2+$B81,0))+IF(CJ$8="X",VLOOKUP(CJ$10,'VK-Elekter'!$C:$X,2+$D81,0))+IF(CJ$9="X",VLOOKUP(CJ$10,'VK-Biokütused'!$C:$U,2+$E81,0))+IF(CJ$5="X",VLOOKUP(CJ$10,'VK-Põlevkivi'!$C:$X,2+$G81,0))+IF(CJ$4="X",VLOOKUP(CJ$10,'VK-Võrgud'!$C:$X,2+$F81,0)))/1000</f>
        <v>17.748721793242819</v>
      </c>
      <c r="CK81" s="209">
        <f>(IF(CK$7="X",VLOOKUP(CK$10,'VK-Hooned-Soojus'!$C:$X,2+$C81,FALSE),0)+IF(CK$6="X",VLOOKUP(CK$10,'VK-Transport'!$C:$X,2+$B81,0))+IF(CK$8="X",VLOOKUP(CK$10,'VK-Elekter'!$C:$X,2+$D81,0))+IF(CK$9="X",VLOOKUP(CK$10,'VK-Biokütused'!$C:$U,2+$E81,0))+IF(CK$5="X",VLOOKUP(CK$10,'VK-Põlevkivi'!$C:$X,2+$G81,0))+IF(CK$4="X",VLOOKUP(CK$10,'VK-Võrgud'!$C:$X,2+$F81,0)))/1000</f>
        <v>6.6589454627726345</v>
      </c>
      <c r="CL81" s="235">
        <f>(IF(CL$7="X",VLOOKUP(CL$10,'VK-Hooned-Soojus'!$C:$X,2+$C81,FALSE),0)+IF(CL$6="X",VLOOKUP(CL$10,'VK-Transport'!$C:$X,2+$B81,0))+IF(CL$8="X",VLOOKUP(CL$10,'VK-Elekter'!$C:$X,2+$D81,0))+IF(CL$9="X",VLOOKUP(CL$10,'VK-Biokütused'!$C:$U,2+$E81,0)))/1000</f>
        <v>4.7490567987315107</v>
      </c>
      <c r="CM81" s="209">
        <f>(IF(CM$7="X",VLOOKUP(CM$10,'VK-Hooned-Soojus'!$C:$X,2+$C81,FALSE),0)+IF(CM$6="X",VLOOKUP(CM$10,'VK-Transport'!$C:$X,2+$B81,0))+IF(CM$8="X",VLOOKUP(CM$10,'VK-Elekter'!$C:$X,2+$D81,0))+IF(CM$9="X",VLOOKUP(CM$10,'VK-Biokütused'!$C:$U,2+$E81,0))+IF(CM$5="X",VLOOKUP(CM$10,'VK-Põlevkivi'!$C:$X,2+$G81,0))+IF(CM$4="X",VLOOKUP(CM$10,'VK-Võrgud'!$C:$X,2+$F81,0)))/1000</f>
        <v>7.8158313570900955</v>
      </c>
      <c r="CN81" s="209">
        <f>(IF(CN$7="X",VLOOKUP(CN$10,'VK-Hooned-Soojus'!$C:$X,2+$C81,FALSE),0)+IF(CN$6="X",VLOOKUP(CN$10,'VK-Transport'!$C:$X,2+$B81,0))+IF(CN$8="X",VLOOKUP(CN$10,'VK-Elekter'!$C:$X,2+$D81,0))+IF(CN$9="X",VLOOKUP(CN$10,'VK-Biokütused'!$C:$U,2+$E81,0))+IF(CN$5="X",VLOOKUP(CN$10,'VK-Põlevkivi'!$C:$X,2+$G81,0))+IF(CN$4="X",VLOOKUP(CN$10,'VK-Võrgud'!$C:$X,2+$F81,0)))/1000</f>
        <v>2.9929999999999999</v>
      </c>
      <c r="CO81" s="209">
        <f>(IF(CO$7="X",VLOOKUP(CO$10,'VK-Hooned-Soojus'!$C:$X,2+$C81,FALSE),0)+IF(CO$6="X",VLOOKUP(CO$10,'VK-Transport'!$C:$X,2+$B81,0))+IF(CO$8="X",VLOOKUP(CO$10,'VK-Elekter'!$C:$X,2+$D81,0))+IF(CO$9="X",VLOOKUP(CO$10,'VK-Biokütused'!$C:$U,2+$E81,0))+IF(CO$5="X",VLOOKUP(CO$10,'VK-Põlevkivi'!$C:$X,2+$G81,0))+IF(CO$4="X",VLOOKUP(CO$10,'VK-Võrgud'!$C:$X,2+$F81,0)))/1000</f>
        <v>22.787575210797279</v>
      </c>
      <c r="CP81" s="209">
        <f>(IF(CP$7="X",VLOOKUP(CP$10,'VK-Hooned-Soojus'!$C:$X,2+$C81,FALSE),0)+IF(CP$6="X",VLOOKUP(CP$10,'VK-Transport'!$C:$X,2+$B81,0))+IF(CP$8="X",VLOOKUP(CP$10,'VK-Elekter'!$C:$X,2+$D81,0))+IF(CP$9="X",VLOOKUP(CP$10,'VK-Biokütused'!$C:$U,2+$E81,0))+IF(CP$5="X",VLOOKUP(CP$10,'VK-Põlevkivi'!$C:$X,2+$G81,0))+IF(CP$4="X",VLOOKUP(CP$10,'VK-Võrgud'!$C:$X,2+$F81,0)))/1000</f>
        <v>6.657994830349824</v>
      </c>
      <c r="CQ81" s="235">
        <f>(IF(CQ$7="X",VLOOKUP(CQ$10,'VK-Hooned-Soojus'!$C:$X,2+$C81,FALSE),0)+IF(CQ$6="X",VLOOKUP(CQ$10,'VK-Transport'!$C:$X,2+$B81,0))+IF(CQ$8="X",VLOOKUP(CQ$10,'VK-Elekter'!$C:$X,2+$D81,0))+IF(CQ$9="X",VLOOKUP(CQ$10,'VK-Biokütused'!$C:$U,2+$E81,0)))/1000</f>
        <v>5.0343459999999993</v>
      </c>
      <c r="CR81" s="209">
        <f>(IF(CR$7="X",VLOOKUP(CR$10,'VK-Hooned-Soojus'!$C:$X,2+$C81,FALSE),0)+IF(CR$6="X",VLOOKUP(CR$10,'VK-Transport'!$C:$X,2+$B81,0))+IF(CR$8="X",VLOOKUP(CR$10,'VK-Elekter'!$C:$X,2+$D81,0))+IF(CR$9="X",VLOOKUP(CR$10,'VK-Biokütused'!$C:$U,2+$E81,0))+IF(CR$5="X",VLOOKUP(CR$10,'VK-Põlevkivi'!$C:$X,2+$G81,0))+IF(CR$4="X",VLOOKUP(CR$10,'VK-Võrgud'!$C:$X,2+$F81,0)))/1000</f>
        <v>7.8590872784575749</v>
      </c>
      <c r="CS81" s="209">
        <f>(IF(CS$7="X",VLOOKUP(CS$10,'VK-Hooned-Soojus'!$C:$X,2+$C81,FALSE),0)+IF(CS$6="X",VLOOKUP(CS$10,'VK-Transport'!$C:$X,2+$B81,0))+IF(CS$8="X",VLOOKUP(CS$10,'VK-Elekter'!$C:$X,2+$D81,0))+IF(CS$9="X",VLOOKUP(CS$10,'VK-Biokütused'!$C:$U,2+$E81,0))+IF(CS$5="X",VLOOKUP(CS$10,'VK-Põlevkivi'!$C:$X,2+$G81,0))+IF(CS$4="X",VLOOKUP(CS$10,'VK-Võrgud'!$C:$X,2+$F81,0)))/1000</f>
        <v>3.8443344900598322</v>
      </c>
      <c r="CT81" s="209">
        <f>IF(CT$7="X",VLOOKUP(CT$10,'VK-Hooned-Soojus'!$C:$X,2+$C81,FALSE),0)+IF(CT$6="X",VLOOKUP(CT$10,'VK-Transport'!$C:$X,2+$B81,0))+IF(CT$8="X",VLOOKUP(CT$10,'VK-Elekter'!$C:$X,2+$D81,0))+IF(CT$9="X",VLOOKUP(CT$10,'VK-Biokütused'!$C:$U,2+$E81,0))+IF(CT$5="X",VLOOKUP(CT$10,'VK-Põlevkivi'!$C:$X,2+$G81,0))+IF(CT$4="X",VLOOKUP(CT$10,'VK-Võrgud'!$C:$X,2+$F81,0))</f>
        <v>90</v>
      </c>
      <c r="CU81" s="209">
        <f>IF(CU$7="X",VLOOKUP(CU$10,'VK-Hooned-Soojus'!$C:$X,2+$C81,FALSE),0)+IF(CU$6="X",VLOOKUP(CU$10,'VK-Transport'!$C:$X,2+$B81,0))+IF(CU$8="X",VLOOKUP(CU$10,'VK-Elekter'!$C:$X,2+$D81,0))+IF(CU$9="X",VLOOKUP(CU$10,'VK-Biokütused'!$C:$U,2+$E81,0))+IF(CU$5="X",VLOOKUP(CU$10,'VK-Põlevkivi'!$C:$X,2+$G81,0))+IF(CU$4="X",VLOOKUP(CU$10,'VK-Võrgud'!$C:$X,2+$F81,0))</f>
        <v>0.63390170511534605</v>
      </c>
      <c r="CV81" s="209">
        <f t="shared" si="49"/>
        <v>0.84317482403548605</v>
      </c>
      <c r="CW81" s="209">
        <f>(IF(CW$7="X",VLOOKUP(CW$10,'VK-Hooned-Soojus'!$C:$X,2+$C81,FALSE),0)+IF(CW$6="X",VLOOKUP(CW$10,'VK-Transport'!$C:$X,2+$B81,0))+IF(CW$8="X",VLOOKUP(CW$10,'VK-Elekter'!$C:$X,2+$D81,0))+IF(CW$9="X",VLOOKUP(CW$10,'VK-Biokütused'!$C:$U,2+$E81,0))+IF(CW$5="X",VLOOKUP(CW$10,'VK-Põlevkivi'!$C:$X,2+$G81,0))+IF(CW$4="X",VLOOKUP(CW$10,'VK-Võrgud'!$C:$X,2+$F81,0)))/16</f>
        <v>59.743749999999999</v>
      </c>
      <c r="CY81" s="209">
        <f>(IF(CY$7="X",VLOOKUP(CY$10,'VK-Hooned-Soojus'!$C:$X,2+$C81,FALSE),0)+IF(CY$6="X",VLOOKUP(CY$10,'VK-Transport'!$C:$X,2+$B81,0))+IF(CY$8="X",VLOOKUP(CY$10,'VK-Elekter'!$C:$X,2+$D81,0))+IF(CY$9="X",VLOOKUP(CY$10,'VK-Biokütused'!$C:$U,2+$E81,0))+IF(CY$5="X",VLOOKUP(CY$10,'VK-Põlevkivi'!$C:$X,2+$G81,0))+IF(CY$4="X",VLOOKUP(CY$10,'VK-Võrgud'!$C:$X,2+$F81,0)))/1000</f>
        <v>9.9700000000000006</v>
      </c>
      <c r="CZ81" s="209">
        <f>(IF(CZ$7="X",VLOOKUP(CZ$10,'VK-Hooned-Soojus'!$C:$X,2+$C81,FALSE),0)+IF(CZ$6="X",VLOOKUP(CZ$10,'VK-Transport'!$C:$X,2+$B81,0))+IF(CZ$8="X",VLOOKUP(CZ$10,'VK-Elekter'!$C:$X,2+$D81,0))+IF(CZ$9="X",VLOOKUP(CZ$10,'VK-Biokütused'!$C:$U,2+$E81,0))+IF(CZ$5="X",VLOOKUP(CZ$10,'VK-Põlevkivi'!$C:$X,2+$G81,0))+IF(CZ$4="X",VLOOKUP(CZ$10,'VK-Võrgud'!$C:$X,2+$F81,0)))</f>
        <v>76.400000000000006</v>
      </c>
      <c r="DA81" s="209">
        <f>(IF(DA$7="X",VLOOKUP(DA$10,'VK-Hooned-Soojus'!$C:$X,2+$C81,FALSE),0)+IF(DA$6="X",VLOOKUP(DA$10,'VK-Transport'!$C:$X,2+$B81,0))+IF(DA$8="X",VLOOKUP(DA$10,'VK-Elekter'!$C:$X,2+$D81,0))+IF(DA$9="X",VLOOKUP(DA$10,'VK-Biokütused'!$C:$U,2+$E81,0))+IF(DA$5="X",VLOOKUP(DA$10,'VK-Põlevkivi'!$C:$X,2+$G81,0))+IF(DA$4="X",VLOOKUP(DA$10,'VK-Võrgud'!$C:$X,2+$F81,0)))/1000</f>
        <v>10.006</v>
      </c>
      <c r="DB81" s="209">
        <f>(IF(DB$7="X",VLOOKUP(DB$10,'VK-Hooned-Soojus'!$C:$X,2+$C81,FALSE),0)+IF(DB$6="X",VLOOKUP(DB$10,'VK-Transport'!$C:$X,2+$B81,0))+IF(DB$8="X",VLOOKUP(DB$10,'VK-Elekter'!$C:$X,2+$D81,0))+IF(DB$9="X",VLOOKUP(DB$10,'VK-Biokütused'!$C:$U,2+$E81,0))+IF(DB$5="X",VLOOKUP(DB$10,'VK-Põlevkivi'!$C:$X,2+$G81,0))+IF(DB$4="X",VLOOKUP(DB$10,'VK-Võrgud'!$C:$X,2+$F81,0)))/1000/3.6</f>
        <v>39.781944444444441</v>
      </c>
      <c r="DC81" s="209">
        <f>(IF(DC$7="X",VLOOKUP(DC$10,'VK-Hooned-Soojus'!$C:$X,2+$C81,FALSE),0)+IF(DC$6="X",VLOOKUP(DC$10,'VK-Transport'!$C:$X,2+$B81,0))+IF(DC$8="X",VLOOKUP(DC$10,'VK-Elekter'!$C:$X,2+$D81,0))+IF(DC$9="X",VLOOKUP(DC$10,'VK-Biokütused'!$C:$U,2+$E81,0))+IF(DC$5="X",VLOOKUP(DC$10,'VK-Põlevkivi'!$C:$X,2+$G81,0))+IF(DC$4="X",VLOOKUP(DC$10,'VK-Võrgud'!$C:$X,2+$F81,0)))/1000000</f>
        <v>4.0570139999999997</v>
      </c>
      <c r="DD81" s="209"/>
      <c r="DE81" s="88">
        <f>VLOOKUP(Tulemused!$BN$12,data!M$7:N$12,2,FALSE)-SUM(L81,M81)</f>
        <v>-1.2238666666666731</v>
      </c>
      <c r="DF81" s="209" t="str">
        <f>IF(AZ81&lt;=VLOOKUP(Tulemused!$BN$15,data!$E$36:$F$39,2,FALSE),"JAH","EI")</f>
        <v>JAH</v>
      </c>
      <c r="DG81" s="209"/>
      <c r="DH81" s="209">
        <f t="shared" si="50"/>
        <v>10.870000000000001</v>
      </c>
      <c r="DI81" s="231" t="str">
        <f t="shared" si="65"/>
        <v>EI</v>
      </c>
      <c r="DK81" s="232">
        <f t="shared" si="51"/>
        <v>-991.46485973606775</v>
      </c>
      <c r="DM81" s="233">
        <f t="shared" si="52"/>
        <v>-995.07798194950567</v>
      </c>
      <c r="DN81" s="87">
        <f t="array" ref="DN81">INDEX($A$11:$A$145, SMALL(IF(DM81=$DK$11:$DK$145, MATCH(ROW($DK$11:$DK$145), ROW($DK$11:$DK$145))), SUM(--(DM81=$DM$11:DM81))))</f>
        <v>88</v>
      </c>
      <c r="DP81" s="87" t="e">
        <f t="shared" ca="1" si="66"/>
        <v>#N/A</v>
      </c>
      <c r="DQ81" s="87" t="e">
        <f t="shared" ca="1" si="67"/>
        <v>#N/A</v>
      </c>
      <c r="DR81" s="87">
        <f t="shared" ca="1" si="68"/>
        <v>0</v>
      </c>
      <c r="DS81" s="87" t="e">
        <f t="shared" ca="1" si="69"/>
        <v>#N/A</v>
      </c>
      <c r="DT81" s="87">
        <f t="shared" ca="1" si="70"/>
        <v>0</v>
      </c>
      <c r="DU81" s="87" t="e">
        <f t="shared" ca="1" si="71"/>
        <v>#N/A</v>
      </c>
      <c r="DV81" s="87" t="e">
        <f t="shared" ca="1" si="72"/>
        <v>#N/A</v>
      </c>
      <c r="DW81" s="87">
        <f t="shared" ca="1" si="73"/>
        <v>0</v>
      </c>
      <c r="DX81" s="87">
        <f t="shared" ca="1" si="74"/>
        <v>0</v>
      </c>
      <c r="DZ81" s="87">
        <f t="shared" ca="1" si="35"/>
        <v>0</v>
      </c>
      <c r="EB81" s="87">
        <f t="shared" ca="1" si="75"/>
        <v>0</v>
      </c>
      <c r="EC81" s="87" t="e">
        <f t="shared" ca="1" si="76"/>
        <v>#N/A</v>
      </c>
      <c r="EE81" s="228">
        <f>(IF(EE$7="X",VLOOKUP(EE$10,'VK-Hooned-Soojus'!$C:$X,2+$C81,FALSE),0)+IF(EE$6="X",VLOOKUP(EE$10,'VK-Transport'!$C:$X,2+$B81,0))+IF(EE$8="X",VLOOKUP(EE$10,'VK-Elekter'!$C:$X,2+$D81,0))+IF(EE$9="X",VLOOKUP(EE$10,'VK-Biokütused'!$C:$U,2+$E81,0))+IF(EE$5="X",VLOOKUP(EE$10,'VK-Põlevkivi'!$C:$X,2+$G81,0))+IF(EE$4="X",VLOOKUP(EE$10,'VK-Võrgud'!$C:$X,2+$F81,0)))</f>
        <v>7001.4382571240712</v>
      </c>
      <c r="EF81" s="235">
        <f>(IF(EF$7="X",VLOOKUP(EF$10,'VK-Hooned-Soojus'!$C:$X,2+$C81,FALSE),0)+IF(EF$6="X",VLOOKUP(EF$10,'VK-Transport'!$C:$X,2+$B81,0))+IF(EF$8="X",VLOOKUP(EF$10,'VK-Elekter'!$C:$X,2+$D81,0))+IF(EF$9="X",VLOOKUP(EF$10,'VK-Biokütused'!$C:$U,2+$E81,0)))/1000</f>
        <v>3.3383823271229702</v>
      </c>
      <c r="EG81" s="209">
        <f>(IF(EG$7="X",VLOOKUP(EG$10,'VK-Hooned-Soojus'!$C:$X,2+$C81,FALSE),0)+IF(EG$6="X",VLOOKUP(EG$10,'VK-Transport'!$C:$X,2+$B81,0))+IF(EG$8="X",VLOOKUP(EG$10,'VK-Elekter'!$C:$X,2+$D81,0))+IF(EG$9="X",VLOOKUP(EG$10,'VK-Biokütused'!$C:$U,2+$E81,0))+IF(EG$5="X",VLOOKUP(EG$10,'VK-Põlevkivi'!$C:$X,2+$G81,0))+IF(EG$4="X",VLOOKUP(EG$10,'VK-Võrgud'!$C:$X,2+$F81,0)))</f>
        <v>0.81</v>
      </c>
      <c r="EH81" s="209">
        <f>(IF(EH$7="X",VLOOKUP(EH$10,'VK-Hooned-Soojus'!$C:$X,2+$C81,FALSE),0)+IF(EH$6="X",VLOOKUP(EH$10,'VK-Transport'!$C:$X,2+$B81,0))+IF(EH$8="X",VLOOKUP(EH$10,'VK-Elekter'!$C:$X,2+$D81,0))+IF(EH$9="X",VLOOKUP(EH$10,'VK-Biokütused'!$C:$U,2+$E81,0)))+AR81+AS81+AU81+AX81</f>
        <v>43.759434507632328</v>
      </c>
      <c r="EI81" s="320">
        <f t="shared" si="53"/>
        <v>43.344166666666666</v>
      </c>
      <c r="EJ81" s="322">
        <f t="shared" si="54"/>
        <v>2.2545055318885739E-2</v>
      </c>
      <c r="EK81" s="323">
        <f t="shared" si="77"/>
        <v>0.48628150217273425</v>
      </c>
      <c r="EM81" s="209"/>
      <c r="EN81" s="209">
        <f t="shared" ca="1" si="55"/>
        <v>0</v>
      </c>
      <c r="EO81" s="209"/>
      <c r="EP81" s="234"/>
      <c r="EQ81" s="209">
        <f>(IF(EQ$7="X",VLOOKUP(EQ$10,'VK-Hooned-Soojus'!$C:$X,2+$C81,FALSE),0)+IF(EQ$6="X",VLOOKUP(EQ$10,'VK-Transport'!$C:$X,2+$B81,0))+IF(EQ$8="X",VLOOKUP(EQ$10,'VK-Elekter'!$C:$X,2+$D81,0))+IF(EQ$9="X",VLOOKUP(EQ$10,'VK-Biokütused'!$C:$U,2+$E81,0))+IF(EQ$5="X",VLOOKUP(EQ$10,'VK-Põlevkivi'!$C:$X,2+$G81,0))+IF(EQ$4="X",VLOOKUP(EQ$10,'VK-Võrgud'!$C:$X,2+$F81,0)))/1000</f>
        <v>0.21099999999999999</v>
      </c>
      <c r="ER81" s="209">
        <f>(IF(ER$7="X",VLOOKUP(ER$10,'VK-Hooned-Soojus'!$C:$X,2+$C81,FALSE),0)+IF(ER$6="X",VLOOKUP(ER$10,'VK-Transport'!$C:$X,2+$B81,0))+IF(ER$8="X",VLOOKUP(ER$10,'VK-Elekter'!$C:$X,2+$D81,0))+IF(ER$9="X",VLOOKUP(ER$10,'VK-Biokütused'!$C:$U,2+$E81,0))+IF(ER$5="X",VLOOKUP(ER$10,'VK-Põlevkivi'!$C:$X,2+$G81,0))+IF(ER$4="X",VLOOKUP(ER$10,'VK-Võrgud'!$C:$X,2+$F81,0)))</f>
        <v>0.76300000000000001</v>
      </c>
      <c r="ES81" s="209">
        <f>(IF(ES$7="X",VLOOKUP(ES$10,'VK-Hooned-Soojus'!$C:$X,2+$C81,FALSE),0)+IF(ES$6="X",VLOOKUP(ES$10,'VK-Transport'!$C:$X,2+$B81,0))+IF(ES$8="X",VLOOKUP(ES$10,'VK-Elekter'!$C:$X,2+$D81,0))+IF(ES$9="X",VLOOKUP(ES$10,'VK-Biokütused'!$C:$U,2+$E81,0))+IF(ES$5="X",VLOOKUP(ES$10,'VK-Põlevkivi'!$C:$X,2+$G81,0))+IF(ES$4="X",VLOOKUP(ES$10,'VK-Võrgud'!$C:$X,2+$F81,0)))</f>
        <v>10.870000000000001</v>
      </c>
      <c r="ET81" s="209"/>
      <c r="EU81" s="209"/>
      <c r="EV81" s="87">
        <f>'KSH järjestus'!AS74</f>
        <v>1245</v>
      </c>
      <c r="EX81" s="236"/>
      <c r="EY81" s="236"/>
      <c r="EZ81" s="237">
        <f t="shared" si="56"/>
        <v>0.36609829488465395</v>
      </c>
      <c r="FA81" s="209">
        <f>IF(FA$7="X",VLOOKUP(FA$10,'VK-Hooned-Soojus'!$C:$X,2+$C81,FALSE),0)+IF(FA$6="X",VLOOKUP(FA$10,'VK-Transport'!$C:$X,2+$B81,0))+IF(FA$8="X",VLOOKUP(FA$10,'VK-Elekter'!$C:$X,2+$D81,0))+IF(FA$9="X",VLOOKUP(FA$10,'VK-Biokütused'!$C:$U,2+$E81,0))+IF(FA$5="X",VLOOKUP(FA$10,'VK-Põlevkivi'!$C:$X,2+$G81,0))+IF(FA$4="X",VLOOKUP(FA$10,'VK-Võrgud'!$C:$X,2+$F81,0))</f>
        <v>3223.346</v>
      </c>
      <c r="FB81" s="279">
        <f>(IF(FB$7="X",VLOOKUP(FB$10,'VK-Hooned-Soojus'!$C:$X,2+$C81,FALSE),0)+IF(FB$6="X",VLOOKUP(FB$10,'VK-Transport'!$C:$X,2+$B81,0))+IF(FB$8="X",VLOOKUP(FB$10,'VK-Elekter'!$C:$X,2+$D81,0))+IF(FB$9="X",VLOOKUP(FB$10,'VK-Biokütused'!$C:$U,2+$E81,0))+IF(FB$5="X",VLOOKUP(FB$10,'VK-Põlevkivi'!$C:$X,2+$G81,0))+IF(FB$4="X",VLOOKUP(FB$10,'VK-Võrgud'!$C:$X,2+$F81,0)))/16</f>
        <v>377.94035687588962</v>
      </c>
      <c r="FC81" s="209">
        <f>IF(FC$7="X",VLOOKUP(FC$10,'VK-Hooned-Soojus'!$C:$X,2+$C81,FALSE),0)+IF(FC$6="X",VLOOKUP(FC$10,'VK-Transport'!$C:$X,2+$B81,0))+IF(FC$8="X",VLOOKUP(FC$10,'VK-Elekter'!$C:$X,2+$D81,0))+IF(FC$9="X",VLOOKUP(FC$10,'VK-Biokütused'!$C:$U,2+$E81,0))+IF(FC$5="X",VLOOKUP(FC$10,'VK-Põlevkivi'!$C:$X,2+$G81,0))+IF(FC$4="X",VLOOKUP(FC$10,'VK-Võrgud'!$C:$X,2+$F81,0))</f>
        <v>306.55</v>
      </c>
      <c r="FD81" s="209">
        <f>(IF(FD$7="X",VLOOKUP(FD$10,'VK-Hooned-Soojus'!$C:$X,2+$C81,FALSE),0)+IF(FD$6="X",VLOOKUP(FD$10,'VK-Transport'!$C:$X,2+$B81,0))+IF(FD$8="X",VLOOKUP(FD$10,'VK-Elekter'!$C:$X,2+$D81,0))+IF(FD$9="X",VLOOKUP(FD$10,'VK-Biokütused'!$C:$U,2+$E81,0))+IF(FD$5="X",VLOOKUP(FD$10,'VK-Põlevkivi'!$C:$X,2+$G81,0))+IF(FD$4="X",VLOOKUP(FD$10,'VK-Võrgud'!$C:$X,2+$F81,0)))/16</f>
        <v>377.94035687588962</v>
      </c>
      <c r="FE81" s="209">
        <f>(IF(FE$7="X",VLOOKUP(FE$10,'VK-Hooned-Soojus'!$C:$X,2+$C81,FALSE),0)+IF(FE$6="X",VLOOKUP(FE$10,'VK-Transport'!$C:$X,2+$B81,0))+IF(FE$8="X",VLOOKUP(FE$10,'VK-Elekter'!$C:$X,2+$D81,0))+IF(FE$9="X",VLOOKUP(FE$10,'VK-Biokütused'!$C:$U,2+$E81,0))+IF(FE$5="X",VLOOKUP(FE$10,'VK-Põlevkivi'!$C:$X,2+$G81,0))+IF(FE$4="X",VLOOKUP(FE$10,'VK-Võrgud'!$C:$X,2+$F81,0)))/16</f>
        <v>-77.074469880632108</v>
      </c>
      <c r="FF81" s="209">
        <f>(IF(FF$7="X",VLOOKUP(FF$10,'VK-Hooned-Soojus'!$C:$X,2+$C81,FALSE),0)+IF(FF$6="X",VLOOKUP(FF$10,'VK-Transport'!$C:$X,2+$B81,0))+IF(FF$8="X",VLOOKUP(FF$10,'VK-Elekter'!$C:$X,2+$D81,0))+IF(FF$9="X",VLOOKUP(FF$10,'VK-Biokütused'!$C:$U,2+$E81,0))+IF(FF$5="X",VLOOKUP(FF$10,'VK-Põlevkivi'!$C:$X,2+$G81,0))+IF(FF$4="X",VLOOKUP(FF$10,'VK-Võrgud'!$C:$X,2+$F81,0)))/16</f>
        <v>153.21728395348433</v>
      </c>
      <c r="FG81" s="88">
        <f t="shared" ca="1" si="78"/>
        <v>76.142814072852218</v>
      </c>
      <c r="FH81" s="88"/>
      <c r="FI81" s="88"/>
      <c r="FJ81" s="88">
        <f>VLOOKUP(Tulemused!$BN$12,data!M$7:N$12,2,FALSE)-SUM(L81,M81)</f>
        <v>-1.2238666666666731</v>
      </c>
      <c r="FK81" s="209" t="str">
        <f>IF(AZ81&lt;=VLOOKUP(Tulemused!$BN$15,data!$E$36:$F$39,2,FALSE),"JAH","EI")</f>
        <v>JAH</v>
      </c>
      <c r="FL81" s="235">
        <f ca="1">IF(ISNA(MATCH($A81,INDIRECT(VLOOKUP(Tulemused!$BF$11,data!$J$57:$M$71,4,FALSE)))),0,MATCH($A81,INDIRECT(VLOOKUP(Tulemused!$BF$11,data!$J$57:$M$71,4,FALSE))))</f>
        <v>0</v>
      </c>
      <c r="FM81" s="235" t="str">
        <f t="shared" ca="1" si="57"/>
        <v>JAH</v>
      </c>
      <c r="FN81" s="209">
        <f>VLOOKUP(Tulemused!$BN$13,data!$C$132:$D$137,2,FALSE)-KOMBI!R81</f>
        <v>3.3100876728770303</v>
      </c>
      <c r="FO81" s="209"/>
      <c r="FP81" s="209">
        <f>VLOOKUP(Tulemused!$BN$17,NO_x,2,FALSE)-CJ81</f>
        <v>11.68927820675718</v>
      </c>
      <c r="FQ81" s="209">
        <f>VLOOKUP(Tulemused!$BN$18,SO_2,2,FALSE)-CK81</f>
        <v>45.225054537227365</v>
      </c>
      <c r="FR81" s="209">
        <f>VLOOKUP(Tulemused!$BN$19,LOU,2,FALSE)-CN81</f>
        <v>34.087000000000003</v>
      </c>
      <c r="FS81" s="209">
        <f>VLOOKUP(Tulemused!$BN$20,PM_2.5,2,FALSE)-CM81</f>
        <v>9.0991686429099037</v>
      </c>
      <c r="FT81" s="209">
        <f>VLOOKUP(Tulemused!$BN$13,data!$C$132:$D$137,2,FALSE)-FA81/1000</f>
        <v>3.0226240000000009</v>
      </c>
      <c r="FU81" s="209">
        <f>VLOOKUP(Tulemused!$BN$17,NO_x,2,FALSE)-CO81</f>
        <v>6.6504247892027202</v>
      </c>
      <c r="FV81" s="209">
        <f>VLOOKUP(Tulemused!$BN$18,SO_2,2,FALSE)-CP81</f>
        <v>45.226005169650179</v>
      </c>
      <c r="FW81" s="209">
        <f>VLOOKUP(Tulemused!$BN$19,LOU,2,FALSE)-CS81</f>
        <v>33.235665509940176</v>
      </c>
      <c r="FX81" s="209">
        <f>VLOOKUP(Tulemused!$BN$20,PM_2.5,2,FALSE)-CR81</f>
        <v>9.0559127215424233</v>
      </c>
      <c r="FY81" s="209">
        <f>VLOOKUP(Tulemused!$BN$14,KHG_2050,2,FALSE)-EF81</f>
        <v>96.661617672877028</v>
      </c>
      <c r="FZ81" s="231" t="str">
        <f t="shared" ca="1" si="79"/>
        <v>EI</v>
      </c>
      <c r="GA81" s="209"/>
      <c r="GB81" s="209"/>
      <c r="GC81" s="209"/>
      <c r="GD81" s="231"/>
      <c r="GE81" s="87">
        <f t="shared" si="58"/>
        <v>1245</v>
      </c>
      <c r="GF81" s="232" t="str">
        <f t="shared" ca="1" si="80"/>
        <v/>
      </c>
      <c r="GH81" s="238" t="e">
        <f t="shared" ca="1" si="59"/>
        <v>#NUM!</v>
      </c>
      <c r="GI81" s="87" t="e">
        <f t="array" aca="1" ref="GI81" ca="1">INDEX($A$11:$A$145, SMALL(IF(GH81=$GF$11:$GF$145, MATCH(ROW($GF$11:$GF$145), ROW($GF$11:$GF$145))), SUM(--(GH81=$GH$11:GH81))))</f>
        <v>#NUM!</v>
      </c>
      <c r="GM81" s="209">
        <f>IF(GM$7="X",VLOOKUP(GM$10,'VK-Hooned-Soojus'!$C:$X,2+$C81,FALSE),0)+IF(GM$6="X",VLOOKUP(GM$10,'VK-Transport'!$C:$X,2+$B81,0))+IF(GM$8="X",VLOOKUP(GM$10,'VK-Elekter'!$C:$X,2+$D81,0))+IF(GM$9="X",VLOOKUP(GM$10,'VK-Biokütused'!$C:$U,2+$E81,0))+IF(GM$5="X",VLOOKUP(GM$10,'VK-Põlevkivi'!$C:$X,2+$G81,0))+IF(GM$4="X",VLOOKUP(GM$10,'VK-Võrgud'!$C:$X,2+$F81,0))</f>
        <v>0</v>
      </c>
      <c r="GN81" s="209">
        <f>IF(GN$7="X",VLOOKUP(GN$10,'VK-Hooned-Soojus'!$C:$X,2+$C81,FALSE),0)+IF(GN$6="X",VLOOKUP(GN$10,'VK-Transport'!$C:$X,2+$B81,0))+IF(GN$8="X",VLOOKUP(GN$10,'VK-Elekter'!$C:$X,2+$D81,0))+IF(GN$9="X",VLOOKUP(GN$10,'VK-Biokütused'!$C:$U,2+$E81,0))+IF(GN$5="X",VLOOKUP(GN$10,'VK-Põlevkivi'!$C:$X,2+$G81,0))+IF(GN$4="X",VLOOKUP(GN$10,'VK-Võrgud'!$C:$X,2+$F81,0))</f>
        <v>7.5434676424145266</v>
      </c>
      <c r="GO81" s="209">
        <f>IF(GO$7="X",VLOOKUP(GO$10,'VK-Hooned-Soojus'!$C:$X,2+$C81,FALSE),0)+IF(GO$6="X",VLOOKUP(GO$10,'VK-Transport'!$C:$X,2+$B81,0))+IF(GO$8="X",VLOOKUP(GO$10,'VK-Elekter'!$C:$X,2+$D81,0))+IF(GO$9="X",VLOOKUP(GO$10,'VK-Biokütused'!$C:$U,2+$E81,0))+IF(GO$5="X",VLOOKUP(GO$10,'VK-Põlevkivi'!$C:$X,2+$G81,0))+IF(GO$4="X",VLOOKUP(GO$10,'VK-Võrgud'!$C:$X,2+$F81,0))</f>
        <v>7.936370010272257</v>
      </c>
      <c r="GP81" s="209">
        <f>IF(GP$7="X",VLOOKUP(GP$10,'VK-Hooned-Soojus'!$C:$X,2+$C81,FALSE),0)+IF(GP$6="X",VLOOKUP(GP$10,'VK-Transport'!$C:$X,2+$B81,0))+IF(GP$8="X",VLOOKUP(GP$10,'VK-Elekter'!$C:$X,2+$D81,0))+IF(GP$9="X",VLOOKUP(GP$10,'VK-Biokütused'!$C:$U,2+$E81,0))+IF(GP$5="X",VLOOKUP(GP$10,'VK-Põlevkivi'!$C:$X,2+$G81,0))+IF(GP$4="X",VLOOKUP(GP$10,'VK-Võrgud'!$C:$X,2+$F81,0))</f>
        <v>9.1527946929596489</v>
      </c>
      <c r="GQ81" s="88">
        <f>IF(GQ$7="X",VLOOKUP(GQ$10,'VK-Hooned-Soojus'!$C:$X,2+$C81,FALSE),0)+IF(GQ$6="X",VLOOKUP(GQ$10,'VK-Transport'!$C:$X,2+$B81,0))+IF(GQ$8="X",VLOOKUP(GQ$10,'VK-Elekter'!$C:$X,2+$D81,0))+IF(GQ$9="X",VLOOKUP(GQ$10,'VK-Biokütused'!$C:$U,2+$E81,0))+IF(GQ$5="X",VLOOKUP(GQ$10,'VK-Põlevkivi'!$C:$X,2+$G81,0))+IF(GQ$4="X",VLOOKUP(GQ$10,'VK-Võrgud'!$C:$X,2+$F81,0))</f>
        <v>0.90618397335647782</v>
      </c>
      <c r="GR81" s="186">
        <f t="shared" si="81"/>
        <v>0.51685757978067881</v>
      </c>
    </row>
    <row r="82" spans="1:200" x14ac:dyDescent="0.2">
      <c r="A82" s="184">
        <v>72</v>
      </c>
      <c r="B82" s="87">
        <v>2</v>
      </c>
      <c r="C82" s="87">
        <v>2</v>
      </c>
      <c r="D82" s="87">
        <v>4</v>
      </c>
      <c r="E82" s="87">
        <v>3</v>
      </c>
      <c r="F82" s="87">
        <f>VLOOKUP(Tulemused!$BF$7,data!$J$6:$K$8,2,FALSE)</f>
        <v>2</v>
      </c>
      <c r="G82" s="87">
        <f>VLOOKUP(data!$H$2,data!$J$12:$K$14,2,FALSE)</f>
        <v>2</v>
      </c>
      <c r="I82" s="209">
        <f>IF(I$7="X",VLOOKUP(I$10,'VK-Hooned-Soojus'!$C:$X,2+$C82,FALSE),0)+IF(I$6="X",VLOOKUP(I$10,'VK-Transport'!$C:$X,2+$B82,0))+IF(I$8="X",VLOOKUP(I$10,'VK-Elekter'!$C:$X,2+$D82,0))+IF(I$9="X",VLOOKUP(I$10,'VK-Biokütused'!$C:$U,2+$E82,0))+IF(I$5="X",VLOOKUP(I$10,'VK-Põlevkivi'!$C:$X,2+$G82,0))+IF(I$4="X",VLOOKUP(I$10,'VK-Võrgud'!$C:$X,2+$F82,0))</f>
        <v>24.79</v>
      </c>
      <c r="J82" s="209">
        <f>IF(J$7="X",VLOOKUP(J$10,'VK-Hooned-Soojus'!$C:$X,2+$C82,FALSE),0)+IF(J$6="X",VLOOKUP(J$10,'VK-Transport'!$C:$X,2+$B82,0))+IF(J$8="X",VLOOKUP(J$10,'VK-Elekter'!$C:$X,2+$D82,0))+IF(J$9="X",VLOOKUP(J$10,'VK-Biokütused'!$C:$U,2+$E82,0))+IF(J$5="X",VLOOKUP(J$10,'VK-Põlevkivi'!$C:$X,2+$G82,0))+IF(J$4="X",VLOOKUP(J$10,'VK-Võrgud'!$C:$X,2+$F82,0))</f>
        <v>11.138055555555555</v>
      </c>
      <c r="K82" s="209">
        <f>IF(K$7="X",VLOOKUP(K$10,'VK-Hooned-Soojus'!$C:$X,2+$C82,FALSE),0)+IF(K$6="X",VLOOKUP(K$10,'VK-Transport'!$C:$X,2+$B82,0))+IF(K$8="X",VLOOKUP(K$10,'VK-Elekter'!$C:$X,2+$D82,0))+IF(K$9="X",VLOOKUP(K$10,'VK-Biokütused'!$C:$U,2+$E82,0))+IF(K$5="X",VLOOKUP(K$10,'VK-Põlevkivi'!$C:$X,2+$G82,0))+IF(K$4="X",VLOOKUP(K$10,'VK-Võrgud'!$C:$X,2+$F82,0))</f>
        <v>15.27</v>
      </c>
      <c r="L82" s="209">
        <f>IF(L$7="X",VLOOKUP(L$10,'VK-Hooned-Soojus'!$C:$X,2+$C82,FALSE),0)+IF(L$6="X",VLOOKUP(L$10,'VK-Transport'!$C:$X,2+$B82,0))+IF(L$8="X",VLOOKUP(L$10,'VK-Elekter'!$C:$X,2+$D82,0))+IF(L$9="X",VLOOKUP(L$10,'VK-Biokütused'!$C:$U,2+$E82,0))+IF(L$5="X",VLOOKUP(L$10,'VK-Põlevkivi'!$C:$X,2+$G82,0))+IF(L$4="X",VLOOKUP(L$10,'VK-Võrgud'!$C:$X,2+$F82,0))</f>
        <v>24.2</v>
      </c>
      <c r="M82" s="209">
        <f>IF(M$7="X",VLOOKUP(M$10,'VK-Hooned-Soojus'!$C:$X,2+$C82,FALSE),0)+IF(M$6="X",VLOOKUP(M$10,'VK-Transport'!$C:$X,2+$B82,0))+IF(M$8="X",VLOOKUP(M$10,'VK-Elekter'!$C:$X,2+$D82,0))+IF(M$9="X",VLOOKUP(M$10,'VK-Biokütused'!$C:$U,2+$E82,0))+IF(M$5="X",VLOOKUP(M$10,'VK-Põlevkivi'!$C:$X,2+$G82,0))+IF(M$4="X",VLOOKUP(M$10,'VK-Võrgud'!$C:$X,2+$F82,0))</f>
        <v>9.8566666666666674</v>
      </c>
      <c r="N82" s="209">
        <f>IF(N$7="X",VLOOKUP(N$10,'VK-Hooned-Soojus'!$C:$X,2+$C82,FALSE),0)+IF(N$6="X",VLOOKUP(N$10,'VK-Transport'!$C:$X,2+$B82,0))+IF(N$8="X",VLOOKUP(N$10,'VK-Elekter'!$C:$X,2+$D82,0))+IF(N$9="X",VLOOKUP(N$10,'VK-Biokütused'!$C:$U,2+$E82,0))+IF(N$5="X",VLOOKUP(N$10,'VK-Põlevkivi'!$C:$X,2+$G82,0))+IF(N$4="X",VLOOKUP(N$10,'VK-Võrgud'!$C:$X,2+$F82,0))</f>
        <v>16.09</v>
      </c>
      <c r="O82" s="209">
        <f t="shared" si="60"/>
        <v>35.928055555555552</v>
      </c>
      <c r="P82" s="209"/>
      <c r="Q82" s="209">
        <f>(IF(Q$7="X",VLOOKUP(Q$10,'VK-Hooned-Soojus'!$C:$X,2+$C82,FALSE),0)+IF(Q$6="X",VLOOKUP(Q$10,'VK-Transport'!$C:$X,2+$B82,0))+IF(Q$8="X",VLOOKUP(Q$10,'VK-Elekter'!$C:$X,2+$D82,0))+IF(Q$9="X",VLOOKUP(Q$10,'VK-Biokütused'!$C:$U,2+$E82,0))+IF(Q$5="X",VLOOKUP(Q$10,'VK-Põlevkivi'!$C:$X,2+$G82,0))+IF(Q$4="X",VLOOKUP(Q$10,'VK-Võrgud'!$C:$X,2+$F82,0)))/1000</f>
        <v>1.337</v>
      </c>
      <c r="R82" s="209">
        <f>(IF(R$7="X",VLOOKUP(R$10,'VK-Hooned-Soojus'!$C:$X,2+$C82,FALSE),0)+IF(R$6="X",VLOOKUP(R$10,'VK-Transport'!$C:$X,2+$B82,0))+IF(R$8="X",VLOOKUP(R$10,'VK-Elekter'!$C:$X,2+$D82,0))+IF(R$9="X",VLOOKUP(R$10,'VK-Biokütused'!$C:$U,2+$E82,0))+IF(R$5="X",VLOOKUP(R$10,'VK-Põlevkivi'!$C:$X,2+$G82,0))+IF(R$4="X",VLOOKUP(R$10,'VK-Võrgud'!$C:$X,2+$F82,0)))/1000</f>
        <v>3.1445823271229703</v>
      </c>
      <c r="S82" s="226">
        <f>VLOOKUP(S$10,'VK-Hooned-Soojus'!$C:$I,2+$C82,FALSE) + VLOOKUP(S$10,'VK-Transport'!$C:$I,2+$B82,FALSE)+ VLOOKUP(S$10,'VK-Biokütused'!$C:$G,2+$E82,FALSE)+ VLOOKUP(S$10,'VK-Elekter'!$C:$I,2+$D82,FALSE)+ VLOOKUP(S$10,'VK-Põlevkivi'!$C:$I,2+$G82,FALSE)+ VLOOKUP(S$10,'VK-Võrgud'!$C:$I,2+$F82,FALSE)</f>
        <v>1.9521922533391994E-2</v>
      </c>
      <c r="T82" s="226">
        <f>VLOOKUP(T$10,'VK-Hooned-Soojus'!$C:$I,2+$C82,FALSE) + VLOOKUP(T$10,'VK-Transport'!$C:$I,2+$B82,FALSE)+ VLOOKUP(T$10,'VK-Biokütused'!$C:$G,2+$E82,FALSE)+ VLOOKUP(T$10,'VK-Elekter'!$C:$I,2+$D82,FALSE)+ VLOOKUP(T$10,'VK-Põlevkivi'!$C:$I,2+$G82,FALSE)+ VLOOKUP(T$10,'VK-Võrgud'!$C:$I,2+$F82,FALSE)</f>
        <v>-1.3067820852770708E-3</v>
      </c>
      <c r="U82" s="226">
        <f>VLOOKUP(U$10,'VK-Hooned-Soojus'!$C:$I,2+$C82,FALSE) + VLOOKUP(U$10,'VK-Transport'!$C:$I,2+$B82,FALSE)+ VLOOKUP(U$10,'VK-Biokütused'!$C:$G,2+$E82,FALSE)+ VLOOKUP(U$10,'VK-Elekter'!$C:$I,2+$D82,FALSE)+ VLOOKUP(U$10,'VK-Põlevkivi'!$C:$I,2+$G82,FALSE)+ VLOOKUP(U$10,'VK-Võrgud'!$C:$I,2+$F82,FALSE)</f>
        <v>4.6210824988957011E-3</v>
      </c>
      <c r="V82" s="226">
        <f>VLOOKUP(V$10,'VK-Hooned-Soojus'!$C:$I,2+$C82,FALSE) + VLOOKUP(V$10,'VK-Transport'!$C:$I,2+$B82,FALSE)+ VLOOKUP(V$10,'VK-Biokütused'!$C:$G,2+$E82,FALSE)+ VLOOKUP(V$10,'VK-Elekter'!$C:$I,2+$D82,FALSE)+ VLOOKUP(V$10,'VK-Põlevkivi'!$C:$I,2+$G82,FALSE)+ VLOOKUP(V$10,'VK-Võrgud'!$C:$I,2+$F82,FALSE)</f>
        <v>1.5037900525608114E-2</v>
      </c>
      <c r="W82" s="226">
        <f>VLOOKUP(W$10,'VK-Hooned-Soojus'!$C:$I,2+$C82,FALSE) + VLOOKUP(W$10,'VK-Transport'!$C:$I,2+$B82,FALSE)+ VLOOKUP(W$10,'VK-Biokütused'!$C:$G,2+$E82,FALSE)+ VLOOKUP(W$10,'VK-Elekter'!$C:$I,2+$D82,FALSE)+ VLOOKUP(W$10,'VK-Põlevkivi'!$C:$I,2+$G82,FALSE)+ VLOOKUP(W$10,'VK-Võrgud'!$C:$I,2+$F82,FALSE)</f>
        <v>-4.0836545202950852E-2</v>
      </c>
      <c r="X82" s="226">
        <f>VLOOKUP(X$10,'VK-Hooned-Soojus'!$C:$I,2+$C82,FALSE) + VLOOKUP(X$10,'VK-Transport'!$C:$I,2+$B82,FALSE)+ VLOOKUP(X$10,'VK-Biokütused'!$C:$G,2+$E82,FALSE)+ VLOOKUP(X$10,'VK-Elekter'!$C:$I,2+$D82,FALSE)+ VLOOKUP(X$10,'VK-Põlevkivi'!$C:$I,2+$G82,FALSE)+ VLOOKUP(X$10,'VK-Võrgud'!$C:$I,2+$F82,FALSE)</f>
        <v>-0.16936203409661457</v>
      </c>
      <c r="Y82" s="226">
        <f>VLOOKUP(Y$10,'VK-Hooned-Soojus'!$C:$I,2+$C82,FALSE) + VLOOKUP(Y$10,'VK-Transport'!$C:$I,2+$B82,FALSE)+ VLOOKUP(Y$10,'VK-Biokütused'!$C:$G,2+$E82,FALSE)+ VLOOKUP(Y$10,'VK-Elekter'!$C:$I,2+$D82,FALSE)+ VLOOKUP(Y$10,'VK-Põlevkivi'!$C:$I,2+$G82,FALSE)+ VLOOKUP(Y$10,'VK-Võrgud'!$C:$I,2+$F82,FALSE)</f>
        <v>-8.9998079645867188E-2</v>
      </c>
      <c r="Z82" s="227">
        <f>(S82*Tulemused!$Q$9*10+T82*Tulemused!$Q$10*10+KOMBI!U82*Tulemused!$Q$11*10+KOMBI!V82*Tulemused!$Q$12*10)*Tulemused!$Q$8+-(W82*Tulemused!$Q$14*10+KOMBI!X82*Tulemused!$Q$15*10+KOMBI!Y82*Tulemused!$Q$16*10)*Tulemused!$Q$13</f>
        <v>9.4402399861737258</v>
      </c>
      <c r="AA82" s="228">
        <f>(IF(AA$7="X",VLOOKUP(AA$10,'VK-Hooned-Soojus'!$C:$X,2+$C82,FALSE),0)+IF(AA$6="X",VLOOKUP(AA$10,'VK-Transport'!$C:$X,2+$B82,0))+IF(AA$8="X",VLOOKUP(AA$10,'VK-Elekter'!$C:$X,2+$D82,0))+IF(AA$9="X",VLOOKUP(AA$10,'VK-Biokütused'!$C:$U,2+$E82,0))+IF(AA$5="X",VLOOKUP(AA$10,'VK-Põlevkivi'!$C:$X,2+$G82,0))+IF(AA$4="X",VLOOKUP(AA$10,'VK-Võrgud'!$C:$X,2+$F82,0)))</f>
        <v>0</v>
      </c>
      <c r="AB82" s="228">
        <f>(IF(AB$7="X",VLOOKUP(AB$10,'VK-Hooned-Soojus'!$C:$X,2+$C82,FALSE),0)+IF(AB$6="X",VLOOKUP(AB$10,'VK-Transport'!$C:$X,2+$B82,0))+IF(AB$8="X",VLOOKUP(AB$10,'VK-Elekter'!$C:$X,2+$D82,0))+IF(AB$9="X",VLOOKUP(AB$10,'VK-Biokütused'!$C:$U,2+$E82,0))+IF(AB$5="X",VLOOKUP(AB$10,'VK-Põlevkivi'!$C:$X,2+$G82,0))+IF(AB$4="X",VLOOKUP(AB$10,'VK-Võrgud'!$C:$X,2+$F82,0)))</f>
        <v>1337</v>
      </c>
      <c r="AC82" s="228">
        <f>(IF(AC$7="X",VLOOKUP(AC$10,'VK-Hooned-Soojus'!$C:$X,2+$C82,FALSE),0)+IF(AC$6="X",VLOOKUP(AC$10,'VK-Transport'!$C:$X,2+$B82,0))+IF(AC$8="X",VLOOKUP(AC$10,'VK-Elekter'!$C:$X,2+$D82,0))+IF(AC$9="X",VLOOKUP(AC$10,'VK-Biokütused'!$C:$U,2+$E82,0))+IF(AC$5="X",VLOOKUP(AC$10,'VK-Põlevkivi'!$C:$X,2+$G82,0))+IF(AC$4="X",VLOOKUP(AC$10,'VK-Võrgud'!$C:$X,2+$F82,0)))</f>
        <v>2346</v>
      </c>
      <c r="AD82" s="228">
        <f>(IF(AD$7="X",VLOOKUP(AD$10,'VK-Hooned-Soojus'!$C:$X,2+$C82,FALSE),0)+IF(AD$6="X",VLOOKUP(AD$10,'VK-Transport'!$C:$X,2+$B82,0))+IF(AD$8="X",VLOOKUP(AD$10,'VK-Elekter'!$C:$X,2+$D82,0))+IF(AD$9="X",VLOOKUP(AD$10,'VK-Biokütused'!$C:$U,2+$E82,0))+IF(AD$5="X",VLOOKUP(AD$10,'VK-Põlevkivi'!$C:$X,2+$G82,0))+IF(AD$4="X",VLOOKUP(AD$10,'VK-Võrgud'!$C:$X,2+$F82,0)))</f>
        <v>586.20000000000005</v>
      </c>
      <c r="AE82" s="228">
        <f>(IF(AE$7="X",VLOOKUP(AE$10,'VK-Hooned-Soojus'!$C:$X,2+$C82,FALSE),0)+IF(AE$6="X",VLOOKUP(AE$10,'VK-Transport'!$C:$X,2+$B82,0))+IF(AE$8="X",VLOOKUP(AE$10,'VK-Elekter'!$C:$X,2+$D82,0))+IF(AE$9="X",VLOOKUP(AE$10,'VK-Biokütused'!$C:$U,2+$E82,0))+IF(AE$5="X",VLOOKUP(AE$10,'VK-Põlevkivi'!$C:$X,2+$G82,0))+IF(AE$4="X",VLOOKUP(AE$10,'VK-Võrgud'!$C:$X,2+$F82,0)))</f>
        <v>666</v>
      </c>
      <c r="AF82" s="228">
        <f>(IF(AF$7="X",VLOOKUP(AF$10,'VK-Hooned-Soojus'!$C:$X,2+$C82,FALSE),0)+IF(AF$6="X",VLOOKUP(AF$10,'VK-Transport'!$C:$X,2+$B82,0))+IF(AF$8="X",VLOOKUP(AF$10,'VK-Elekter'!$C:$X,2+$D82,0))+IF(AF$9="X",VLOOKUP(AF$10,'VK-Biokütused'!$C:$U,2+$E82,0))+IF(AF$5="X",VLOOKUP(AF$10,'VK-Põlevkivi'!$C:$X,2+$G82,0))+IF(AF$4="X",VLOOKUP(AF$10,'VK-Võrgud'!$C:$X,2+$F82,0)))</f>
        <v>1892.3823271229701</v>
      </c>
      <c r="AG82" s="209"/>
      <c r="AH82" s="209">
        <f>IF(AH$7="X",VLOOKUP(AH$10,'VK-Hooned-Soojus'!$C:$X,2+$C82,FALSE),0)+IF(AH$6="X",VLOOKUP(AH$10,'VK-Transport'!$C:$X,2+$B82,0))+IF(AH$8="X",VLOOKUP(AH$10,'VK-Elekter'!$C:$X,2+$D82,0))+IF(AH$9="X",VLOOKUP(AH$10,'VK-Biokütused'!$C:$U,2+$E82,0))+IF(AH$5="X",VLOOKUP(AH$10,'VK-Põlevkivi'!$C:$X,2+$G82,0))+IF(AH$4="X",VLOOKUP(AH$10,'VK-Võrgud'!$C:$X,2+$F82,0))</f>
        <v>0</v>
      </c>
      <c r="AI82" s="209">
        <f>IF(AI$7="X",VLOOKUP(AI$10,'VK-Hooned-Soojus'!$C:$X,2+$C82,FALSE),0)+IF(AI$6="X",VLOOKUP(AI$10,'VK-Transport'!$C:$X,2+$B82,0))+IF(AI$8="X",VLOOKUP(AI$10,'VK-Elekter'!$C:$X,2+$D82,0))+IF(AI$9="X",VLOOKUP(AI$10,'VK-Biokütused'!$C:$U,2+$E82,0))+IF(AI$5="X",VLOOKUP(AI$10,'VK-Põlevkivi'!$C:$X,2+$G82,0))+IF(AI$4="X",VLOOKUP(AI$10,'VK-Võrgud'!$C:$X,2+$F82,0))</f>
        <v>11.489999999999998</v>
      </c>
      <c r="AJ82" s="209">
        <f>IF(AJ$7="X",VLOOKUP(AJ$10,'VK-Hooned-Soojus'!$C:$X,2+$C82,FALSE),0)+IF(AJ$6="X",VLOOKUP(AJ$10,'VK-Transport'!$C:$X,2+$B82,0))+IF(AJ$8="X",VLOOKUP(AJ$10,'VK-Elekter'!$C:$X,2+$D82,0))+IF(AJ$9="X",VLOOKUP(AJ$10,'VK-Biokütused'!$C:$U,2+$E82,0))+IF(AJ$5="X",VLOOKUP(AJ$10,'VK-Põlevkivi'!$C:$X,2+$G82,0))+IF(AJ$4="X",VLOOKUP(AJ$10,'VK-Võrgud'!$C:$X,2+$F82,0))</f>
        <v>0</v>
      </c>
      <c r="AK82" s="209">
        <f>IF(AK$7="X",VLOOKUP(AK$10,'VK-Hooned-Soojus'!$C:$X,2+$C82,FALSE),0)+IF(AK$6="X",VLOOKUP(AK$10,'VK-Transport'!$C:$X,2+$B82,0))+IF(AK$8="X",VLOOKUP(AK$10,'VK-Elekter'!$C:$X,2+$D82,0))+IF(AK$9="X",VLOOKUP(AK$10,'VK-Biokütused'!$C:$U,2+$E82,0))+IF(AK$5="X",VLOOKUP(AK$10,'VK-Põlevkivi'!$C:$X,2+$G82,0))+IF(AK$4="X",VLOOKUP(AK$10,'VK-Võrgud'!$C:$X,2+$F82,0))</f>
        <v>3.65</v>
      </c>
      <c r="AL82" s="209">
        <f>IF(AL$7="X",VLOOKUP(AL$10,'VK-Hooned-Soojus'!$C:$X,2+$C82,FALSE),0)+IF(AL$6="X",VLOOKUP(AL$10,'VK-Transport'!$C:$X,2+$B82,0))+IF(AL$8="X",VLOOKUP(AL$10,'VK-Elekter'!$C:$X,2+$D82,0))+IF(AL$9="X",VLOOKUP(AL$10,'VK-Biokütused'!$C:$U,2+$E82,0))+IF(AL$5="X",VLOOKUP(AL$10,'VK-Põlevkivi'!$C:$X,2+$G82,0))+IF(AL$4="X",VLOOKUP(AL$10,'VK-Võrgud'!$C:$X,2+$F82,0))</f>
        <v>7.1999999999999993</v>
      </c>
      <c r="AM82" s="209">
        <f>IF(AM$7="X",VLOOKUP(AM$10,'VK-Hooned-Soojus'!$C:$X,2+$C82,FALSE),0)+IF(AM$6="X",VLOOKUP(AM$10,'VK-Transport'!$C:$X,2+$B82,0))+IF(AM$8="X",VLOOKUP(AM$10,'VK-Elekter'!$C:$X,2+$D82,0))+IF(AM$9="X",VLOOKUP(AM$10,'VK-Biokütused'!$C:$U,2+$E82,0))+IF(AM$5="X",VLOOKUP(AM$10,'VK-Põlevkivi'!$C:$X,2+$G82,0))+IF(AM$4="X",VLOOKUP(AM$10,'VK-Võrgud'!$C:$X,2+$F82,0))</f>
        <v>11.9</v>
      </c>
      <c r="AN82" s="209">
        <f>IF(AN$7="X",VLOOKUP(AN$10,'VK-Hooned-Soojus'!$C:$X,2+$C82,FALSE),0)+IF(AN$6="X",VLOOKUP(AN$10,'VK-Transport'!$C:$X,2+$B82,0))+IF(AN$8="X",VLOOKUP(AN$10,'VK-Elekter'!$C:$X,2+$D82,0))+IF(AN$9="X",VLOOKUP(AN$10,'VK-Biokütused'!$C:$U,2+$E82,0))+IF(AN$5="X",VLOOKUP(AN$10,'VK-Põlevkivi'!$C:$X,2+$G82,0))+IF(AN$4="X",VLOOKUP(AN$10,'VK-Võrgud'!$C:$X,2+$F82,0))</f>
        <v>4.8999999999999995</v>
      </c>
      <c r="AO82" s="209">
        <f>IF(AO$7="X",VLOOKUP(AO$10,'VK-Hooned-Soojus'!$C:$X,2+$C82,FALSE),0)+IF(AO$6="X",VLOOKUP(AO$10,'VK-Transport'!$C:$X,2+$B82,0))+IF(AO$8="X",VLOOKUP(AO$10,'VK-Elekter'!$C:$X,2+$D82,0))+IF(AO$9="X",VLOOKUP(AO$10,'VK-Biokütused'!$C:$U,2+$E82,0))+IF(AO$5="X",VLOOKUP(AO$10,'VK-Põlevkivi'!$C:$X,2+$G82,0))+IF(AO$4="X",VLOOKUP(AO$10,'VK-Võrgud'!$C:$X,2+$F82,0))</f>
        <v>21.740000000000002</v>
      </c>
      <c r="AP82" s="209">
        <f>IF(AP$7="X",VLOOKUP(AP$10,'VK-Hooned-Soojus'!$C:$X,2+$C82,FALSE),0)+IF(AP$6="X",VLOOKUP(AP$10,'VK-Transport'!$C:$X,2+$B82,0))+IF(AP$8="X",VLOOKUP(AP$10,'VK-Elekter'!$C:$X,2+$D82,0))+IF(AP$9="X",VLOOKUP(AP$10,'VK-Biokütused'!$C:$U,2+$E82,0))+IF(AP$5="X",VLOOKUP(AP$10,'VK-Põlevkivi'!$C:$X,2+$G82,0))+IF(AP$4="X",VLOOKUP(AP$10,'VK-Võrgud'!$C:$X,2+$F82,0))</f>
        <v>10.870000000000001</v>
      </c>
      <c r="AQ82" s="320">
        <f t="shared" si="61"/>
        <v>9.4400000000000013</v>
      </c>
      <c r="AR82" s="209">
        <f>IF(AR$7="X",VLOOKUP(AR$10,'VK-Hooned-Soojus'!$C:$X,2+$C82,FALSE),0)+IF(AR$6="X",VLOOKUP(AR$10,'VK-Transport'!$C:$X,2+$B82,0))+IF(AR$8="X",VLOOKUP(AR$10,'VK-Elekter'!$C:$X,2+$D82,0))+IF(AR$9="X",VLOOKUP(AR$10,'VK-Biokütused'!$C:$U,2+$E82,0))+IF(AR$5="X",VLOOKUP(AR$10,'VK-Põlevkivi'!$C:$X,2+$G82,0))+IF(AR$4="X",VLOOKUP(AR$10,'VK-Võrgud'!$C:$X,2+$F82,0))</f>
        <v>0.5</v>
      </c>
      <c r="AS82" s="320">
        <f>VLOOKUP("Kütuste tarbimine @ 2030 - UTTEGAAS",'VK-Hooned-Soojus'!$C:$X,2+$C82,FALSE)/0.172+VLOOKUP("Kütuste tarbimine @ 2030 - UTTEGAAS",'VK-Elekter'!$C:$X,2+$D82,FALSE)/0.172-AR82-AU82</f>
        <v>-0.5</v>
      </c>
      <c r="AT82" s="209">
        <f>IF(AT$7="X",VLOOKUP(AT$10,'VK-Hooned-Soojus'!$C:$X,2+$C82,FALSE),0)+IF(AT$6="X",VLOOKUP(AT$10,'VK-Transport'!$C:$X,2+$B82,0))+IF(AT$8="X",VLOOKUP(AT$10,'VK-Elekter'!$C:$X,2+$D82,0))+IF(AT$9="X",VLOOKUP(AT$10,'VK-Biokütused'!$C:$U,2+$E82,0))+IF(AT$5="X",VLOOKUP(AT$10,'VK-Põlevkivi'!$C:$X,2+$G82,0))+IF(AT$4="X",VLOOKUP(AT$10,'VK-Võrgud'!$C:$X,2+$F82,0))</f>
        <v>9.2784458909544707</v>
      </c>
      <c r="AU82" s="229">
        <f>MAX(0,(VLOOKUP("Kütuste tarbimine @ 2030 - UTTEGAAS",'VK-Hooned-Soojus'!$C:$X,2+$C82,FALSE)/0.172+VLOOKUP("Kütuste tarbimine @ 2030 - UTTEGAAS",'VK-Elekter'!$C:$X,2+$D82,FALSE)/0.172)*0.52-VLOOKUP("Kütuste tarbimine @ 2030 - PÕLEVKIVIÕLI",'VK-Hooned-Soojus'!$C:$X,2+$C82,FALSE))</f>
        <v>0</v>
      </c>
      <c r="AV82" s="209">
        <f>IF(AV$7="X",VLOOKUP(AV$10,'VK-Hooned-Soojus'!$C:$X,2+$C82,FALSE),0)+IF(AV$6="X",VLOOKUP(AV$10,'VK-Transport'!$C:$X,2+$B82,0))+IF(AV$8="X",VLOOKUP(AV$10,'VK-Elekter'!$C:$X,2+$D82,0))+IF(AV$9="X",VLOOKUP(AV$10,'VK-Biokütused'!$C:$U,2+$E82,0))+IF(AV$5="X",VLOOKUP(AV$10,'VK-Põlevkivi'!$C:$X,2+$G82,0))+IF(AV$4="X",VLOOKUP(AV$10,'VK-Võrgud'!$C:$X,2+$F82,0))</f>
        <v>1.7257321590343366</v>
      </c>
      <c r="AW82" s="209">
        <f>IF(AW$7="X",VLOOKUP(AW$10,'VK-Hooned-Soojus'!$C:$X,2+$C82,FALSE),0)+IF(AW$6="X",VLOOKUP(AW$10,'VK-Transport'!$C:$X,2+$B82,0))+IF(AW$8="X",VLOOKUP(AW$10,'VK-Elekter'!$C:$X,2+$D82,0))+IF(AW$9="X",VLOOKUP(AW$10,'VK-Biokütused'!$C:$U,2+$E82,0))+IF(AW$5="X",VLOOKUP(AW$10,'VK-Põlevkivi'!$C:$X,2+$G82,0))+IF(AW$4="X",VLOOKUP(AW$10,'VK-Võrgud'!$C:$X,2+$F82,0))</f>
        <v>4.2799999999999994</v>
      </c>
      <c r="AX82" s="229">
        <f t="shared" si="62"/>
        <v>2.5542678409656627</v>
      </c>
      <c r="AY82" s="229">
        <f t="shared" si="63"/>
        <v>0</v>
      </c>
      <c r="AZ82" s="230">
        <f t="shared" si="48"/>
        <v>0.6291145496153917</v>
      </c>
      <c r="BA82" s="209">
        <f>IF(BA$7="X",VLOOKUP(BA$10,'VK-Hooned-Soojus'!$C:$X,2+$C82,FALSE),0)+IF(BA$6="X",VLOOKUP(BA$10,'VK-Transport'!$C:$X,2+$B82,0))+IF(BA$8="X",VLOOKUP(BA$10,'VK-Elekter'!$C:$X,2+$D82,0))+IF(BA$9="X",VLOOKUP(BA$10,'VK-Biokütused'!$C:$U,2+$E82,0))+IF(BA$5="X",VLOOKUP(BA$10,'VK-Põlevkivi'!$C:$X,2+$G82,0))+IF(BA$4="X",VLOOKUP(BA$10,'VK-Võrgud'!$C:$X,2+$F82,0))</f>
        <v>0</v>
      </c>
      <c r="BB82" s="209">
        <f>IF(BB$7="X",VLOOKUP(BB$10,'VK-Hooned-Soojus'!$C:$X,2+$C82,FALSE),0)+IF(BB$6="X",VLOOKUP(BB$10,'VK-Transport'!$C:$X,2+$B82,0))+IF(BB$8="X",VLOOKUP(BB$10,'VK-Elekter'!$C:$X,2+$D82,0))+IF(BB$9="X",VLOOKUP(BB$10,'VK-Biokütused'!$C:$U,2+$E82,0))+IF(BB$5="X",VLOOKUP(BB$10,'VK-Põlevkivi'!$C:$X,2+$G82,0))+IF(BB$4="X",VLOOKUP(BB$10,'VK-Võrgud'!$C:$X,2+$F82,0))</f>
        <v>6.32</v>
      </c>
      <c r="BC82" s="209">
        <f>IF(BC$7="X",VLOOKUP(BC$10,'VK-Hooned-Soojus'!$C:$X,2+$C82,FALSE),0)+IF(BC$6="X",VLOOKUP(BC$10,'VK-Transport'!$C:$X,2+$B82,0))+IF(BC$8="X",VLOOKUP(BC$10,'VK-Elekter'!$C:$X,2+$D82,0))+IF(BC$9="X",VLOOKUP(BC$10,'VK-Biokütused'!$C:$U,2+$E82,0))+IF(BC$5="X",VLOOKUP(BC$10,'VK-Põlevkivi'!$C:$X,2+$G82,0))+IF(BC$4="X",VLOOKUP(BC$10,'VK-Võrgud'!$C:$X,2+$F82,0))</f>
        <v>6.5993333333333322</v>
      </c>
      <c r="BD82" s="209">
        <f>IF(BD$7="X",VLOOKUP(BD$10,'VK-Hooned-Soojus'!$C:$X,2+$C82,FALSE),0)+IF(BD$6="X",VLOOKUP(BD$10,'VK-Transport'!$C:$X,2+$B82,0))+IF(BD$8="X",VLOOKUP(BD$10,'VK-Elekter'!$C:$X,2+$D82,0))+IF(BD$9="X",VLOOKUP(BD$10,'VK-Biokütused'!$C:$U,2+$E82,0))+IF(BD$5="X",VLOOKUP(BD$10,'VK-Põlevkivi'!$C:$X,2+$G82,0))+IF(BD$4="X",VLOOKUP(BD$10,'VK-Võrgud'!$C:$X,2+$F82,0))</f>
        <v>9.425416666666667</v>
      </c>
      <c r="BE82" s="230"/>
      <c r="BF82" s="229">
        <f t="shared" si="64"/>
        <v>0.57944895681543473</v>
      </c>
      <c r="BG82" s="209" t="e">
        <f>(IF(BG$7="X",VLOOKUP(BG$10,'VK-Hooned-Soojus'!$C:$X,2+$C82,FALSE),0)+IF(BG$6="X",VLOOKUP(BG$10,'VK-Transport'!$C:$X,2+$B82,0))+IF(BG$8="X",VLOOKUP(BG$10,'VK-Elekter'!$C:$X,2+$D82,0))+IF(BG$9="X",VLOOKUP(BG$10,'VK-Biokütused'!$C:$U,2+$E82,0))+IF(BG$5="X",VLOOKUP(BG$10,'VK-Põlevkivi'!$C:$X,2+$G82,0))+IF(BG$4="X",VLOOKUP(BG$10,'VK-Võrgud'!$C:$X,2+$F82,0)))/20</f>
        <v>#N/A</v>
      </c>
      <c r="BH82" s="209">
        <f>(IF(BH$7="X",VLOOKUP(BH$10,'VK-Hooned-Soojus'!$C:$X,2+$C82,FALSE),0)+IF(BH$6="X",VLOOKUP(BH$10,'VK-Transport'!$C:$X,2+$B82,0))+IF(BH$8="X",VLOOKUP(BH$10,'VK-Elekter'!$C:$X,2+$D82,0))+IF(BH$9="X",VLOOKUP(BH$10,'VK-Biokütused'!$C:$U,2+$E82,0))+IF(BH$5="X",VLOOKUP(BH$10,'VK-Põlevkivi'!$C:$X,2+$G82,0))+IF(BH$4="X",VLOOKUP(BH$10,'VK-Võrgud'!$C:$X,2+$F82,0)))/20</f>
        <v>45.08</v>
      </c>
      <c r="BI82" s="209">
        <f>(IF(BI$7="X",VLOOKUP(BI$10,'VK-Hooned-Soojus'!$C:$X,2+$C82,FALSE),0)+IF(BI$6="X",VLOOKUP(BI$10,'VK-Transport'!$C:$X,2+$B82,0))+IF(BI$8="X",VLOOKUP(BI$10,'VK-Elekter'!$C:$X,2+$D82,0))+IF(BI$9="X",VLOOKUP(BI$10,'VK-Biokütused'!$C:$U,2+$E82,0))+IF(BI$5="X",VLOOKUP(BI$10,'VK-Põlevkivi'!$C:$X,2+$G82,0))+IF(BI$4="X",VLOOKUP(BI$10,'VK-Võrgud'!$C:$X,2+$F82,0)))/16</f>
        <v>14.1875</v>
      </c>
      <c r="BJ82" s="209">
        <f>(IF(BJ$7="X",VLOOKUP(BJ$10,'VK-Hooned-Soojus'!$C:$X,2+$C82,FALSE),0)+IF(BJ$6="X",VLOOKUP(BJ$10,'VK-Transport'!$C:$X,2+$B82,0))+IF(BJ$8="X",VLOOKUP(BJ$10,'VK-Elekter'!$C:$X,2+$D82,0))+IF(BJ$9="X",VLOOKUP(BJ$10,'VK-Biokütused'!$C:$U,2+$E82,0))+IF(BJ$5="X",VLOOKUP(BJ$10,'VK-Põlevkivi'!$C:$X,2+$G82,0))+IF(BJ$4="X",VLOOKUP(BJ$10,'VK-Võrgud'!$C:$X,2+$F82,0)))/20</f>
        <v>3.91</v>
      </c>
      <c r="BK82" s="209"/>
      <c r="BL82" s="209"/>
      <c r="BM82" s="209"/>
      <c r="BN82" s="209" t="e">
        <f>(IF(BN$7="X",VLOOKUP(BN$10,'VK-Hooned-Soojus'!$C:$X,2+$C82,FALSE),0)+IF(BN$6="X",VLOOKUP(BN$10,'VK-Transport'!$C:$X,2+$B82,0))+IF(BN$8="X",VLOOKUP(BN$10,'VK-Elekter'!$C:$X,2+$D82,0))+IF(BN$9="X",VLOOKUP(BN$10,'VK-Biokütused'!$C:$U,2+$E82,0))+IF(BN$5="X",VLOOKUP(BN$10,'VK-Põlevkivi'!$C:$X,2+$G82,0))+IF(BN$4="X",VLOOKUP(BN$10,'VK-Võrgud'!$C:$X,2+$F82,0)))/16</f>
        <v>#N/A</v>
      </c>
      <c r="BO82" s="209">
        <f>(IF(BO$7="X",VLOOKUP(BO$10,'VK-Hooned-Soojus'!$C:$X,2+$C82,FALSE),0)+IF(BO$6="X",VLOOKUP(BO$10,'VK-Transport'!$C:$X,2+$B82,0))+IF(BO$8="X",VLOOKUP(BO$10,'VK-Elekter'!$C:$X,2+$D82,0))+IF(BO$9="X",VLOOKUP(BO$10,'VK-Biokütused'!$C:$U,2+$E82,0))+IF(BO$5="X",VLOOKUP(BO$10,'VK-Põlevkivi'!$C:$X,2+$G82,0))+IF(BO$4="X",VLOOKUP(BO$10,'VK-Võrgud'!$C:$X,2+$F82,0)))/16</f>
        <v>405.45</v>
      </c>
      <c r="BP82" s="209"/>
      <c r="BQ82" s="209">
        <f>(IF(BQ$7="X",VLOOKUP(BQ$10,'VK-Hooned-Soojus'!$C:$X,2+$C82,FALSE),0)+IF(BQ$6="X",VLOOKUP(BQ$10,'VK-Transport'!$C:$X,2+$B82,0))+IF(BQ$8="X",VLOOKUP(BQ$10,'VK-Elekter'!$C:$X,2+$D82,0))+IF(BQ$9="X",VLOOKUP(BQ$10,'VK-Biokütused'!$C:$U,2+$E82,0))+IF(BQ$5="X",VLOOKUP(BQ$10,'VK-Põlevkivi'!$C:$X,2+$G82,0))+IF(BQ$4="X",VLOOKUP(BQ$10,'VK-Võrgud'!$C:$X,2+$F82,0)))/16</f>
        <v>127.6</v>
      </c>
      <c r="BR82" s="209">
        <f>(IF(BR$7="X",VLOOKUP(BR$10,'VK-Hooned-Soojus'!$C:$X,2+$C82,FALSE),0)+IF(BR$6="X",VLOOKUP(BR$10,'VK-Transport'!$C:$X,2+$B82,0))+IF(BR$8="X",VLOOKUP(BR$10,'VK-Elekter'!$C:$X,2+$D82,0))+IF(BR$9="X",VLOOKUP(BR$10,'VK-Biokütused'!$C:$U,2+$E82,0))+IF(BR$5="X",VLOOKUP(BR$10,'VK-Põlevkivi'!$C:$X,2+$G82,0))+IF(BR$4="X",VLOOKUP(BR$10,'VK-Võrgud'!$C:$X,2+$F82,0)))/16</f>
        <v>27.475000000000001</v>
      </c>
      <c r="BS82" s="209">
        <f>(IF(BS$7="X",VLOOKUP(BS$10,'VK-Hooned-Soojus'!$C:$X,2+$C82,FALSE),0)+IF(BS$6="X",VLOOKUP(BS$10,'VK-Transport'!$C:$X,2+$B82,0))+IF(BS$8="X",VLOOKUP(BS$10,'VK-Elekter'!$C:$X,2+$D82,0))+IF(BS$9="X",VLOOKUP(BS$10,'VK-Biokütused'!$C:$U,2+$E82,0))+IF(BS$5="X",VLOOKUP(BS$10,'VK-Põlevkivi'!$C:$X,2+$G82,0))+IF(BS$4="X",VLOOKUP(BS$10,'VK-Võrgud'!$C:$X,2+$F82,0)))/16</f>
        <v>-23.293749999999999</v>
      </c>
      <c r="BT82" s="209"/>
      <c r="BU82" s="209"/>
      <c r="BV82" s="209">
        <f>(IF(BV$7="X",VLOOKUP(BV$10,'VK-Hooned-Soojus'!$C:$X,2+$C82,FALSE),0)+IF(BV$6="X",VLOOKUP(BV$10,'VK-Transport'!$C:$X,2+$B82,0))+IF(BV$8="X",VLOOKUP(BV$10,'VK-Elekter'!$C:$X,2+$D82,0))+IF(BV$9="X",VLOOKUP(BV$10,'VK-Biokütused'!$C:$U,2+$E82,0))+IF(BV$5="X",VLOOKUP(BV$10,'VK-Põlevkivi'!$C:$X,2+$G82,0))+IF(BV$4="X",VLOOKUP(BV$10,'VK-Võrgud'!$C:$X,2+$F82,0)))/16</f>
        <v>0</v>
      </c>
      <c r="BW82" s="209"/>
      <c r="BX82" s="209">
        <f>(IF(BX$7="X",VLOOKUP(BX$10,'VK-Hooned-Soojus'!$C:$X,2+$C82,FALSE),0)+IF(BX$6="X",VLOOKUP(BX$10,'VK-Transport'!$C:$X,2+$B82,0))+IF(BX$8="X",VLOOKUP(BX$10,'VK-Elekter'!$C:$X,2+$D82,0))+IF(BX$9="X",VLOOKUP(BX$10,'VK-Biokütused'!$C:$U,2+$E82,0))+IF(BX$5="X",VLOOKUP(BX$10,'VK-Põlevkivi'!$C:$X,2+$G82,0))+IF(BX$4="X",VLOOKUP(BX$10,'VK-Võrgud'!$C:$X,2+$F82,0)))/16</f>
        <v>-19.25</v>
      </c>
      <c r="BY82" s="209"/>
      <c r="BZ82" s="209"/>
      <c r="CA82" s="209" t="e">
        <f>(IF(CA$7="X",VLOOKUP(CA$10,'VK-Hooned-Soojus'!$C:$X,2+$C82,FALSE),0)+IF(CA$6="X",VLOOKUP(CA$10,'VK-Transport'!$C:$X,2+$B82,0))+IF(CA$8="X",VLOOKUP(CA$10,'VK-Elekter'!$C:$X,2+$D82,0))+IF(CA$9="X",VLOOKUP(CA$10,'VK-Biokütused'!$C:$U,2+$E82,0))+IF(CA$5="X",VLOOKUP(CA$10,'VK-Põlevkivi'!$C:$X,2+$G82,0))+IF(CA$4="X",VLOOKUP(CA$10,'VK-Võrgud'!$C:$X,2+$F82,0)))/16</f>
        <v>#N/A</v>
      </c>
      <c r="CB82" s="209">
        <f>(IF(CB$7="X",VLOOKUP(CB$10,'VK-Hooned-Soojus'!$C:$X,2+$C82,FALSE),0)+IF(CB$6="X",VLOOKUP(CB$10,'VK-Transport'!$C:$X,2+$B82,0))+IF(CB$8="X",VLOOKUP(CB$10,'VK-Elekter'!$C:$X,2+$D82,0))+IF(CB$9="X",VLOOKUP(CB$10,'VK-Biokütused'!$C:$U,2+$E82,0))+IF(CB$5="X",VLOOKUP(CB$10,'VK-Põlevkivi'!$C:$X,2+$G82,0))+IF(CB$4="X",VLOOKUP(CB$10,'VK-Võrgud'!$C:$X,2+$F82,0)))/16</f>
        <v>0</v>
      </c>
      <c r="CC82" s="209">
        <f>(IF(CC$7="X",VLOOKUP(CC$10,'VK-Hooned-Soojus'!$C:$X,2+$C82,FALSE),0)+IF(CC$6="X",VLOOKUP(CC$10,'VK-Transport'!$C:$X,2+$B82,0))+IF(CC$8="X",VLOOKUP(CC$10,'VK-Elekter'!$C:$X,2+$D82,0))+IF(CC$9="X",VLOOKUP(CC$10,'VK-Biokütused'!$C:$U,2+$E82,0))+IF(CC$5="X",VLOOKUP(CC$10,'VK-Põlevkivi'!$C:$X,2+$G82,0))+IF(CC$4="X",VLOOKUP(CC$10,'VK-Võrgud'!$C:$X,2+$F82,0)))/16</f>
        <v>0</v>
      </c>
      <c r="CD82" s="209"/>
      <c r="CE82" s="209">
        <f>(IF(CE$7="X",VLOOKUP(CE$10,'VK-Hooned-Soojus'!$C:$X,2+$C82,FALSE),0)+IF(CE$6="X",VLOOKUP(CE$10,'VK-Transport'!$C:$X,2+$B82,0))+IF(CE$8="X",VLOOKUP(CE$10,'VK-Elekter'!$C:$X,2+$D82,0))+IF(CE$9="X",VLOOKUP(CE$10,'VK-Biokütused'!$C:$U,2+$E82,0))+IF(CE$5="X",VLOOKUP(CE$10,'VK-Põlevkivi'!$C:$X,2+$G82,0))+IF(CE$4="X",VLOOKUP(CE$10,'VK-Võrgud'!$C:$X,2+$F82,0)))/16</f>
        <v>24.15625</v>
      </c>
      <c r="CF82" s="209"/>
      <c r="CG82" s="209">
        <f>(IF(CG$7="X",VLOOKUP(CG$10,'VK-Hooned-Soojus'!$C:$X,2+$C82,FALSE),0)+IF(CG$6="X",VLOOKUP(CG$10,'VK-Transport'!$C:$X,2+$B82,0))+IF(CG$8="X",VLOOKUP(CG$10,'VK-Elekter'!$C:$X,2+$D82,0))+IF(CG$9="X",VLOOKUP(CG$10,'VK-Biokütused'!$C:$U,2+$E82,0))+IF(CG$5="X",VLOOKUP(CG$10,'VK-Põlevkivi'!$C:$X,2+$G82,0))+IF(CG$4="X",VLOOKUP(CG$10,'VK-Võrgud'!$C:$X,2+$F82,0)))/16</f>
        <v>0</v>
      </c>
      <c r="CH82" s="209">
        <f>(IF(CH$7="X",VLOOKUP(CH$10,'VK-Hooned-Soojus'!$C:$X,2+$C82,FALSE),0)+IF(CH$6="X",VLOOKUP(CH$10,'VK-Transport'!$C:$X,2+$B82,0))+IF(CH$8="X",VLOOKUP(CH$10,'VK-Elekter'!$C:$X,2+$D82,0))+IF(CH$9="X",VLOOKUP(CH$10,'VK-Biokütused'!$C:$U,2+$E82,0))+IF(CH$5="X",VLOOKUP(CH$10,'VK-Põlevkivi'!$C:$X,2+$G82,0))+IF(CH$4="X",VLOOKUP(CH$10,'VK-Võrgud'!$C:$X,2+$F82,0)))/20*0.21</f>
        <v>11.225549999999998</v>
      </c>
      <c r="CI82" s="209"/>
      <c r="CJ82" s="209">
        <f>(IF(CJ$7="X",VLOOKUP(CJ$10,'VK-Hooned-Soojus'!$C:$X,2+$C82,FALSE),0)+IF(CJ$6="X",VLOOKUP(CJ$10,'VK-Transport'!$C:$X,2+$B82,0))+IF(CJ$8="X",VLOOKUP(CJ$10,'VK-Elekter'!$C:$X,2+$D82,0))+IF(CJ$9="X",VLOOKUP(CJ$10,'VK-Biokütused'!$C:$U,2+$E82,0))+IF(CJ$5="X",VLOOKUP(CJ$10,'VK-Põlevkivi'!$C:$X,2+$G82,0))+IF(CJ$4="X",VLOOKUP(CJ$10,'VK-Võrgud'!$C:$X,2+$F82,0)))/1000</f>
        <v>17.748721793242819</v>
      </c>
      <c r="CK82" s="209">
        <f>(IF(CK$7="X",VLOOKUP(CK$10,'VK-Hooned-Soojus'!$C:$X,2+$C82,FALSE),0)+IF(CK$6="X",VLOOKUP(CK$10,'VK-Transport'!$C:$X,2+$B82,0))+IF(CK$8="X",VLOOKUP(CK$10,'VK-Elekter'!$C:$X,2+$D82,0))+IF(CK$9="X",VLOOKUP(CK$10,'VK-Biokütused'!$C:$U,2+$E82,0))+IF(CK$5="X",VLOOKUP(CK$10,'VK-Põlevkivi'!$C:$X,2+$G82,0))+IF(CK$4="X",VLOOKUP(CK$10,'VK-Võrgud'!$C:$X,2+$F82,0)))/1000</f>
        <v>6.6589454627726345</v>
      </c>
      <c r="CL82" s="235">
        <f>(IF(CL$7="X",VLOOKUP(CL$10,'VK-Hooned-Soojus'!$C:$X,2+$C82,FALSE),0)+IF(CL$6="X",VLOOKUP(CL$10,'VK-Transport'!$C:$X,2+$B82,0))+IF(CL$8="X",VLOOKUP(CL$10,'VK-Elekter'!$C:$X,2+$D82,0))+IF(CL$9="X",VLOOKUP(CL$10,'VK-Biokütused'!$C:$U,2+$E82,0)))/1000</f>
        <v>4.7490567987315107</v>
      </c>
      <c r="CM82" s="209">
        <f>(IF(CM$7="X",VLOOKUP(CM$10,'VK-Hooned-Soojus'!$C:$X,2+$C82,FALSE),0)+IF(CM$6="X",VLOOKUP(CM$10,'VK-Transport'!$C:$X,2+$B82,0))+IF(CM$8="X",VLOOKUP(CM$10,'VK-Elekter'!$C:$X,2+$D82,0))+IF(CM$9="X",VLOOKUP(CM$10,'VK-Biokütused'!$C:$U,2+$E82,0))+IF(CM$5="X",VLOOKUP(CM$10,'VK-Põlevkivi'!$C:$X,2+$G82,0))+IF(CM$4="X",VLOOKUP(CM$10,'VK-Võrgud'!$C:$X,2+$F82,0)))/1000</f>
        <v>7.8158313570900955</v>
      </c>
      <c r="CN82" s="209">
        <f>(IF(CN$7="X",VLOOKUP(CN$10,'VK-Hooned-Soojus'!$C:$X,2+$C82,FALSE),0)+IF(CN$6="X",VLOOKUP(CN$10,'VK-Transport'!$C:$X,2+$B82,0))+IF(CN$8="X",VLOOKUP(CN$10,'VK-Elekter'!$C:$X,2+$D82,0))+IF(CN$9="X",VLOOKUP(CN$10,'VK-Biokütused'!$C:$U,2+$E82,0))+IF(CN$5="X",VLOOKUP(CN$10,'VK-Põlevkivi'!$C:$X,2+$G82,0))+IF(CN$4="X",VLOOKUP(CN$10,'VK-Võrgud'!$C:$X,2+$F82,0)))/1000</f>
        <v>2.9929999999999999</v>
      </c>
      <c r="CO82" s="209">
        <f>(IF(CO$7="X",VLOOKUP(CO$10,'VK-Hooned-Soojus'!$C:$X,2+$C82,FALSE),0)+IF(CO$6="X",VLOOKUP(CO$10,'VK-Transport'!$C:$X,2+$B82,0))+IF(CO$8="X",VLOOKUP(CO$10,'VK-Elekter'!$C:$X,2+$D82,0))+IF(CO$9="X",VLOOKUP(CO$10,'VK-Biokütused'!$C:$U,2+$E82,0))+IF(CO$5="X",VLOOKUP(CO$10,'VK-Põlevkivi'!$C:$X,2+$G82,0))+IF(CO$4="X",VLOOKUP(CO$10,'VK-Võrgud'!$C:$X,2+$F82,0)))/1000</f>
        <v>22.787575210797279</v>
      </c>
      <c r="CP82" s="209">
        <f>(IF(CP$7="X",VLOOKUP(CP$10,'VK-Hooned-Soojus'!$C:$X,2+$C82,FALSE),0)+IF(CP$6="X",VLOOKUP(CP$10,'VK-Transport'!$C:$X,2+$B82,0))+IF(CP$8="X",VLOOKUP(CP$10,'VK-Elekter'!$C:$X,2+$D82,0))+IF(CP$9="X",VLOOKUP(CP$10,'VK-Biokütused'!$C:$U,2+$E82,0))+IF(CP$5="X",VLOOKUP(CP$10,'VK-Põlevkivi'!$C:$X,2+$G82,0))+IF(CP$4="X",VLOOKUP(CP$10,'VK-Võrgud'!$C:$X,2+$F82,0)))/1000</f>
        <v>6.657994830349824</v>
      </c>
      <c r="CQ82" s="235">
        <f>(IF(CQ$7="X",VLOOKUP(CQ$10,'VK-Hooned-Soojus'!$C:$X,2+$C82,FALSE),0)+IF(CQ$6="X",VLOOKUP(CQ$10,'VK-Transport'!$C:$X,2+$B82,0))+IF(CQ$8="X",VLOOKUP(CQ$10,'VK-Elekter'!$C:$X,2+$D82,0))+IF(CQ$9="X",VLOOKUP(CQ$10,'VK-Biokütused'!$C:$U,2+$E82,0)))/1000</f>
        <v>5.0343459999999993</v>
      </c>
      <c r="CR82" s="209">
        <f>(IF(CR$7="X",VLOOKUP(CR$10,'VK-Hooned-Soojus'!$C:$X,2+$C82,FALSE),0)+IF(CR$6="X",VLOOKUP(CR$10,'VK-Transport'!$C:$X,2+$B82,0))+IF(CR$8="X",VLOOKUP(CR$10,'VK-Elekter'!$C:$X,2+$D82,0))+IF(CR$9="X",VLOOKUP(CR$10,'VK-Biokütused'!$C:$U,2+$E82,0))+IF(CR$5="X",VLOOKUP(CR$10,'VK-Põlevkivi'!$C:$X,2+$G82,0))+IF(CR$4="X",VLOOKUP(CR$10,'VK-Võrgud'!$C:$X,2+$F82,0)))/1000</f>
        <v>7.8590872784575749</v>
      </c>
      <c r="CS82" s="209">
        <f>(IF(CS$7="X",VLOOKUP(CS$10,'VK-Hooned-Soojus'!$C:$X,2+$C82,FALSE),0)+IF(CS$6="X",VLOOKUP(CS$10,'VK-Transport'!$C:$X,2+$B82,0))+IF(CS$8="X",VLOOKUP(CS$10,'VK-Elekter'!$C:$X,2+$D82,0))+IF(CS$9="X",VLOOKUP(CS$10,'VK-Biokütused'!$C:$U,2+$E82,0))+IF(CS$5="X",VLOOKUP(CS$10,'VK-Põlevkivi'!$C:$X,2+$G82,0))+IF(CS$4="X",VLOOKUP(CS$10,'VK-Võrgud'!$C:$X,2+$F82,0)))/1000</f>
        <v>3.8443344900598322</v>
      </c>
      <c r="CT82" s="209">
        <f>IF(CT$7="X",VLOOKUP(CT$10,'VK-Hooned-Soojus'!$C:$X,2+$C82,FALSE),0)+IF(CT$6="X",VLOOKUP(CT$10,'VK-Transport'!$C:$X,2+$B82,0))+IF(CT$8="X",VLOOKUP(CT$10,'VK-Elekter'!$C:$X,2+$D82,0))+IF(CT$9="X",VLOOKUP(CT$10,'VK-Biokütused'!$C:$U,2+$E82,0))+IF(CT$5="X",VLOOKUP(CT$10,'VK-Põlevkivi'!$C:$X,2+$G82,0))+IF(CT$4="X",VLOOKUP(CT$10,'VK-Võrgud'!$C:$X,2+$F82,0))</f>
        <v>90</v>
      </c>
      <c r="CU82" s="209">
        <f>IF(CU$7="X",VLOOKUP(CU$10,'VK-Hooned-Soojus'!$C:$X,2+$C82,FALSE),0)+IF(CU$6="X",VLOOKUP(CU$10,'VK-Transport'!$C:$X,2+$B82,0))+IF(CU$8="X",VLOOKUP(CU$10,'VK-Elekter'!$C:$X,2+$D82,0))+IF(CU$9="X",VLOOKUP(CU$10,'VK-Biokütused'!$C:$U,2+$E82,0))+IF(CU$5="X",VLOOKUP(CU$10,'VK-Põlevkivi'!$C:$X,2+$G82,0))+IF(CU$4="X",VLOOKUP(CU$10,'VK-Võrgud'!$C:$X,2+$F82,0))</f>
        <v>0.63390170511534605</v>
      </c>
      <c r="CV82" s="209">
        <f t="shared" si="49"/>
        <v>0.84317482403548605</v>
      </c>
      <c r="CW82" s="209">
        <f>(IF(CW$7="X",VLOOKUP(CW$10,'VK-Hooned-Soojus'!$C:$X,2+$C82,FALSE),0)+IF(CW$6="X",VLOOKUP(CW$10,'VK-Transport'!$C:$X,2+$B82,0))+IF(CW$8="X",VLOOKUP(CW$10,'VK-Elekter'!$C:$X,2+$D82,0))+IF(CW$9="X",VLOOKUP(CW$10,'VK-Biokütused'!$C:$U,2+$E82,0))+IF(CW$5="X",VLOOKUP(CW$10,'VK-Põlevkivi'!$C:$X,2+$G82,0))+IF(CW$4="X",VLOOKUP(CW$10,'VK-Võrgud'!$C:$X,2+$F82,0)))/16</f>
        <v>126.01875</v>
      </c>
      <c r="CY82" s="209">
        <f>(IF(CY$7="X",VLOOKUP(CY$10,'VK-Hooned-Soojus'!$C:$X,2+$C82,FALSE),0)+IF(CY$6="X",VLOOKUP(CY$10,'VK-Transport'!$C:$X,2+$B82,0))+IF(CY$8="X",VLOOKUP(CY$10,'VK-Elekter'!$C:$X,2+$D82,0))+IF(CY$9="X",VLOOKUP(CY$10,'VK-Biokütused'!$C:$U,2+$E82,0))+IF(CY$5="X",VLOOKUP(CY$10,'VK-Põlevkivi'!$C:$X,2+$G82,0))+IF(CY$4="X",VLOOKUP(CY$10,'VK-Võrgud'!$C:$X,2+$F82,0)))/1000</f>
        <v>10.194000000000001</v>
      </c>
      <c r="CZ82" s="209">
        <f>(IF(CZ$7="X",VLOOKUP(CZ$10,'VK-Hooned-Soojus'!$C:$X,2+$C82,FALSE),0)+IF(CZ$6="X",VLOOKUP(CZ$10,'VK-Transport'!$C:$X,2+$B82,0))+IF(CZ$8="X",VLOOKUP(CZ$10,'VK-Elekter'!$C:$X,2+$D82,0))+IF(CZ$9="X",VLOOKUP(CZ$10,'VK-Biokütused'!$C:$U,2+$E82,0))+IF(CZ$5="X",VLOOKUP(CZ$10,'VK-Põlevkivi'!$C:$X,2+$G82,0))+IF(CZ$4="X",VLOOKUP(CZ$10,'VK-Võrgud'!$C:$X,2+$F82,0)))</f>
        <v>78</v>
      </c>
      <c r="DA82" s="209">
        <f>(IF(DA$7="X",VLOOKUP(DA$10,'VK-Hooned-Soojus'!$C:$X,2+$C82,FALSE),0)+IF(DA$6="X",VLOOKUP(DA$10,'VK-Transport'!$C:$X,2+$B82,0))+IF(DA$8="X",VLOOKUP(DA$10,'VK-Elekter'!$C:$X,2+$D82,0))+IF(DA$9="X",VLOOKUP(DA$10,'VK-Biokütused'!$C:$U,2+$E82,0))+IF(DA$5="X",VLOOKUP(DA$10,'VK-Põlevkivi'!$C:$X,2+$G82,0))+IF(DA$4="X",VLOOKUP(DA$10,'VK-Võrgud'!$C:$X,2+$F82,0)))/1000</f>
        <v>10.257999999999999</v>
      </c>
      <c r="DB82" s="209">
        <f>(IF(DB$7="X",VLOOKUP(DB$10,'VK-Hooned-Soojus'!$C:$X,2+$C82,FALSE),0)+IF(DB$6="X",VLOOKUP(DB$10,'VK-Transport'!$C:$X,2+$B82,0))+IF(DB$8="X",VLOOKUP(DB$10,'VK-Elekter'!$C:$X,2+$D82,0))+IF(DB$9="X",VLOOKUP(DB$10,'VK-Biokütused'!$C:$U,2+$E82,0))+IF(DB$5="X",VLOOKUP(DB$10,'VK-Põlevkivi'!$C:$X,2+$G82,0))+IF(DB$4="X",VLOOKUP(DB$10,'VK-Võrgud'!$C:$X,2+$F82,0)))/1000/3.6</f>
        <v>40.690000000000005</v>
      </c>
      <c r="DC82" s="209">
        <f>(IF(DC$7="X",VLOOKUP(DC$10,'VK-Hooned-Soojus'!$C:$X,2+$C82,FALSE),0)+IF(DC$6="X",VLOOKUP(DC$10,'VK-Transport'!$C:$X,2+$B82,0))+IF(DC$8="X",VLOOKUP(DC$10,'VK-Elekter'!$C:$X,2+$D82,0))+IF(DC$9="X",VLOOKUP(DC$10,'VK-Biokütused'!$C:$U,2+$E82,0))+IF(DC$5="X",VLOOKUP(DC$10,'VK-Põlevkivi'!$C:$X,2+$G82,0))+IF(DC$4="X",VLOOKUP(DC$10,'VK-Võrgud'!$C:$X,2+$F82,0)))/1000000</f>
        <v>4.1503589999999999</v>
      </c>
      <c r="DD82" s="209"/>
      <c r="DE82" s="88">
        <f>VLOOKUP(Tulemused!$BN$12,data!M$7:N$12,2,FALSE)-SUM(L82,M82)</f>
        <v>-1.2238666666666731</v>
      </c>
      <c r="DF82" s="209" t="str">
        <f>IF(AZ82&lt;=VLOOKUP(Tulemused!$BN$15,data!$E$36:$F$39,2,FALSE),"JAH","EI")</f>
        <v>JAH</v>
      </c>
      <c r="DG82" s="209"/>
      <c r="DH82" s="209">
        <f t="shared" si="50"/>
        <v>10.870000000000001</v>
      </c>
      <c r="DI82" s="231" t="str">
        <f t="shared" si="65"/>
        <v>EI</v>
      </c>
      <c r="DK82" s="232">
        <f t="shared" si="51"/>
        <v>-990.55976001382624</v>
      </c>
      <c r="DM82" s="233">
        <f t="shared" si="52"/>
        <v>-995.12944065931185</v>
      </c>
      <c r="DN82" s="87">
        <f t="array" ref="DN82">INDEX($A$11:$A$145, SMALL(IF(DM82=$DK$11:$DK$145, MATCH(ROW($DK$11:$DK$145), ROW($DK$11:$DK$145))), SUM(--(DM82=$DM$11:DM82))))</f>
        <v>66</v>
      </c>
      <c r="DP82" s="87" t="e">
        <f t="shared" ca="1" si="66"/>
        <v>#N/A</v>
      </c>
      <c r="DQ82" s="87" t="e">
        <f t="shared" ca="1" si="67"/>
        <v>#N/A</v>
      </c>
      <c r="DR82" s="87">
        <f t="shared" ca="1" si="68"/>
        <v>0</v>
      </c>
      <c r="DS82" s="87" t="e">
        <f t="shared" ca="1" si="69"/>
        <v>#N/A</v>
      </c>
      <c r="DT82" s="87">
        <f t="shared" ca="1" si="70"/>
        <v>0</v>
      </c>
      <c r="DU82" s="87" t="e">
        <f t="shared" ca="1" si="71"/>
        <v>#N/A</v>
      </c>
      <c r="DV82" s="87" t="e">
        <f t="shared" ca="1" si="72"/>
        <v>#N/A</v>
      </c>
      <c r="DW82" s="87">
        <f t="shared" ca="1" si="73"/>
        <v>0</v>
      </c>
      <c r="DX82" s="87">
        <f t="shared" ca="1" si="74"/>
        <v>0</v>
      </c>
      <c r="DZ82" s="87">
        <f t="shared" ca="1" si="35"/>
        <v>0</v>
      </c>
      <c r="EB82" s="87">
        <f t="shared" ca="1" si="75"/>
        <v>0</v>
      </c>
      <c r="EC82" s="87" t="e">
        <f t="shared" ca="1" si="76"/>
        <v>#N/A</v>
      </c>
      <c r="EE82" s="228">
        <f>(IF(EE$7="X",VLOOKUP(EE$10,'VK-Hooned-Soojus'!$C:$X,2+$C82,FALSE),0)+IF(EE$6="X",VLOOKUP(EE$10,'VK-Transport'!$C:$X,2+$B82,0))+IF(EE$8="X",VLOOKUP(EE$10,'VK-Elekter'!$C:$X,2+$D82,0))+IF(EE$9="X",VLOOKUP(EE$10,'VK-Biokütused'!$C:$U,2+$E82,0))+IF(EE$5="X",VLOOKUP(EE$10,'VK-Põlevkivi'!$C:$X,2+$G82,0))+IF(EE$4="X",VLOOKUP(EE$10,'VK-Võrgud'!$C:$X,2+$F82,0)))</f>
        <v>10073.028198322922</v>
      </c>
      <c r="EF82" s="235">
        <f>(IF(EF$7="X",VLOOKUP(EF$10,'VK-Hooned-Soojus'!$C:$X,2+$C82,FALSE),0)+IF(EF$6="X",VLOOKUP(EF$10,'VK-Transport'!$C:$X,2+$B82,0))+IF(EF$8="X",VLOOKUP(EF$10,'VK-Elekter'!$C:$X,2+$D82,0))+IF(EF$9="X",VLOOKUP(EF$10,'VK-Biokütused'!$C:$U,2+$E82,0)))/1000</f>
        <v>3.3383823271229702</v>
      </c>
      <c r="EG82" s="209">
        <f>(IF(EG$7="X",VLOOKUP(EG$10,'VK-Hooned-Soojus'!$C:$X,2+$C82,FALSE),0)+IF(EG$6="X",VLOOKUP(EG$10,'VK-Transport'!$C:$X,2+$B82,0))+IF(EG$8="X",VLOOKUP(EG$10,'VK-Elekter'!$C:$X,2+$D82,0))+IF(EG$9="X",VLOOKUP(EG$10,'VK-Biokütused'!$C:$U,2+$E82,0))+IF(EG$5="X",VLOOKUP(EG$10,'VK-Põlevkivi'!$C:$X,2+$G82,0))+IF(EG$4="X",VLOOKUP(EG$10,'VK-Võrgud'!$C:$X,2+$F82,0)))</f>
        <v>0.81</v>
      </c>
      <c r="EH82" s="209">
        <f>(IF(EH$7="X",VLOOKUP(EH$10,'VK-Hooned-Soojus'!$C:$X,2+$C82,FALSE),0)+IF(EH$6="X",VLOOKUP(EH$10,'VK-Transport'!$C:$X,2+$B82,0))+IF(EH$8="X",VLOOKUP(EH$10,'VK-Elekter'!$C:$X,2+$D82,0))+IF(EH$9="X",VLOOKUP(EH$10,'VK-Biokütused'!$C:$U,2+$E82,0)))+AR82+AS82+AU82+AX82</f>
        <v>45.898434507632331</v>
      </c>
      <c r="EI82" s="320">
        <f t="shared" si="53"/>
        <v>43.344166666666666</v>
      </c>
      <c r="EJ82" s="322">
        <f t="shared" si="54"/>
        <v>2.2545055318885739E-2</v>
      </c>
      <c r="EK82" s="323">
        <f t="shared" si="77"/>
        <v>0.48628150217273425</v>
      </c>
      <c r="EM82" s="209"/>
      <c r="EN82" s="209">
        <f t="shared" ca="1" si="55"/>
        <v>0</v>
      </c>
      <c r="EO82" s="209"/>
      <c r="EP82" s="234"/>
      <c r="EQ82" s="209">
        <f>(IF(EQ$7="X",VLOOKUP(EQ$10,'VK-Hooned-Soojus'!$C:$X,2+$C82,FALSE),0)+IF(EQ$6="X",VLOOKUP(EQ$10,'VK-Transport'!$C:$X,2+$B82,0))+IF(EQ$8="X",VLOOKUP(EQ$10,'VK-Elekter'!$C:$X,2+$D82,0))+IF(EQ$9="X",VLOOKUP(EQ$10,'VK-Biokütused'!$C:$U,2+$E82,0))+IF(EQ$5="X",VLOOKUP(EQ$10,'VK-Põlevkivi'!$C:$X,2+$G82,0))+IF(EQ$4="X",VLOOKUP(EQ$10,'VK-Võrgud'!$C:$X,2+$F82,0)))/1000</f>
        <v>0.21099999999999999</v>
      </c>
      <c r="ER82" s="209">
        <f>(IF(ER$7="X",VLOOKUP(ER$10,'VK-Hooned-Soojus'!$C:$X,2+$C82,FALSE),0)+IF(ER$6="X",VLOOKUP(ER$10,'VK-Transport'!$C:$X,2+$B82,0))+IF(ER$8="X",VLOOKUP(ER$10,'VK-Elekter'!$C:$X,2+$D82,0))+IF(ER$9="X",VLOOKUP(ER$10,'VK-Biokütused'!$C:$U,2+$E82,0))+IF(ER$5="X",VLOOKUP(ER$10,'VK-Põlevkivi'!$C:$X,2+$G82,0))+IF(ER$4="X",VLOOKUP(ER$10,'VK-Võrgud'!$C:$X,2+$F82,0)))</f>
        <v>0.76300000000000001</v>
      </c>
      <c r="ES82" s="209">
        <f>(IF(ES$7="X",VLOOKUP(ES$10,'VK-Hooned-Soojus'!$C:$X,2+$C82,FALSE),0)+IF(ES$6="X",VLOOKUP(ES$10,'VK-Transport'!$C:$X,2+$B82,0))+IF(ES$8="X",VLOOKUP(ES$10,'VK-Elekter'!$C:$X,2+$D82,0))+IF(ES$9="X",VLOOKUP(ES$10,'VK-Biokütused'!$C:$U,2+$E82,0))+IF(ES$5="X",VLOOKUP(ES$10,'VK-Põlevkivi'!$C:$X,2+$G82,0))+IF(ES$4="X",VLOOKUP(ES$10,'VK-Võrgud'!$C:$X,2+$F82,0)))</f>
        <v>10.870000000000001</v>
      </c>
      <c r="ET82" s="209"/>
      <c r="EU82" s="209"/>
      <c r="EV82" s="87">
        <f>'KSH järjestus'!AS75</f>
        <v>1149</v>
      </c>
      <c r="EX82" s="236"/>
      <c r="EY82" s="236"/>
      <c r="EZ82" s="237">
        <f t="shared" si="56"/>
        <v>0.36609829488465395</v>
      </c>
      <c r="FA82" s="209">
        <f>IF(FA$7="X",VLOOKUP(FA$10,'VK-Hooned-Soojus'!$C:$X,2+$C82,FALSE),0)+IF(FA$6="X",VLOOKUP(FA$10,'VK-Transport'!$C:$X,2+$B82,0))+IF(FA$8="X",VLOOKUP(FA$10,'VK-Elekter'!$C:$X,2+$D82,0))+IF(FA$9="X",VLOOKUP(FA$10,'VK-Biokütused'!$C:$U,2+$E82,0))+IF(FA$5="X",VLOOKUP(FA$10,'VK-Põlevkivi'!$C:$X,2+$G82,0))+IF(FA$4="X",VLOOKUP(FA$10,'VK-Võrgud'!$C:$X,2+$F82,0))</f>
        <v>3300.346</v>
      </c>
      <c r="FB82" s="279">
        <f>(IF(FB$7="X",VLOOKUP(FB$10,'VK-Hooned-Soojus'!$C:$X,2+$C82,FALSE),0)+IF(FB$6="X",VLOOKUP(FB$10,'VK-Transport'!$C:$X,2+$B82,0))+IF(FB$8="X",VLOOKUP(FB$10,'VK-Elekter'!$C:$X,2+$D82,0))+IF(FB$9="X",VLOOKUP(FB$10,'VK-Biokütused'!$C:$U,2+$E82,0))+IF(FB$5="X",VLOOKUP(FB$10,'VK-Põlevkivi'!$C:$X,2+$G82,0))+IF(FB$4="X",VLOOKUP(FB$10,'VK-Võrgud'!$C:$X,2+$F82,0)))/16</f>
        <v>494.55114789336892</v>
      </c>
      <c r="FC82" s="209">
        <f>IF(FC$7="X",VLOOKUP(FC$10,'VK-Hooned-Soojus'!$C:$X,2+$C82,FALSE),0)+IF(FC$6="X",VLOOKUP(FC$10,'VK-Transport'!$C:$X,2+$B82,0))+IF(FC$8="X",VLOOKUP(FC$10,'VK-Elekter'!$C:$X,2+$D82,0))+IF(FC$9="X",VLOOKUP(FC$10,'VK-Biokütused'!$C:$U,2+$E82,0))+IF(FC$5="X",VLOOKUP(FC$10,'VK-Põlevkivi'!$C:$X,2+$G82,0))+IF(FC$4="X",VLOOKUP(FC$10,'VK-Võrgud'!$C:$X,2+$F82,0))</f>
        <v>306.55</v>
      </c>
      <c r="FD82" s="209">
        <f>(IF(FD$7="X",VLOOKUP(FD$10,'VK-Hooned-Soojus'!$C:$X,2+$C82,FALSE),0)+IF(FD$6="X",VLOOKUP(FD$10,'VK-Transport'!$C:$X,2+$B82,0))+IF(FD$8="X",VLOOKUP(FD$10,'VK-Elekter'!$C:$X,2+$D82,0))+IF(FD$9="X",VLOOKUP(FD$10,'VK-Biokütused'!$C:$U,2+$E82,0))+IF(FD$5="X",VLOOKUP(FD$10,'VK-Põlevkivi'!$C:$X,2+$G82,0))+IF(FD$4="X",VLOOKUP(FD$10,'VK-Võrgud'!$C:$X,2+$F82,0)))/16</f>
        <v>494.55114789336892</v>
      </c>
      <c r="FE82" s="209">
        <f>(IF(FE$7="X",VLOOKUP(FE$10,'VK-Hooned-Soojus'!$C:$X,2+$C82,FALSE),0)+IF(FE$6="X",VLOOKUP(FE$10,'VK-Transport'!$C:$X,2+$B82,0))+IF(FE$8="X",VLOOKUP(FE$10,'VK-Elekter'!$C:$X,2+$D82,0))+IF(FE$9="X",VLOOKUP(FE$10,'VK-Biokütused'!$C:$U,2+$E82,0))+IF(FE$5="X",VLOOKUP(FE$10,'VK-Põlevkivi'!$C:$X,2+$G82,0))+IF(FE$4="X",VLOOKUP(FE$10,'VK-Võrgud'!$C:$X,2+$F82,0)))/16</f>
        <v>-96.182063699091032</v>
      </c>
      <c r="FF82" s="209">
        <f>(IF(FF$7="X",VLOOKUP(FF$10,'VK-Hooned-Soojus'!$C:$X,2+$C82,FALSE),0)+IF(FF$6="X",VLOOKUP(FF$10,'VK-Transport'!$C:$X,2+$B82,0))+IF(FF$8="X",VLOOKUP(FF$10,'VK-Elekter'!$C:$X,2+$D82,0))+IF(FF$9="X",VLOOKUP(FF$10,'VK-Biokütused'!$C:$U,2+$E82,0))+IF(FF$5="X",VLOOKUP(FF$10,'VK-Põlevkivi'!$C:$X,2+$G82,0))+IF(FF$4="X",VLOOKUP(FF$10,'VK-Võrgud'!$C:$X,2+$F82,0)))/16</f>
        <v>188.87929213102817</v>
      </c>
      <c r="FG82" s="88">
        <f t="shared" ca="1" si="78"/>
        <v>92.697228431937134</v>
      </c>
      <c r="FH82" s="88"/>
      <c r="FI82" s="88"/>
      <c r="FJ82" s="88">
        <f>VLOOKUP(Tulemused!$BN$12,data!M$7:N$12,2,FALSE)-SUM(L82,M82)</f>
        <v>-1.2238666666666731</v>
      </c>
      <c r="FK82" s="209" t="str">
        <f>IF(AZ82&lt;=VLOOKUP(Tulemused!$BN$15,data!$E$36:$F$39,2,FALSE),"JAH","EI")</f>
        <v>JAH</v>
      </c>
      <c r="FL82" s="235">
        <f ca="1">IF(ISNA(MATCH($A82,INDIRECT(VLOOKUP(Tulemused!$BF$11,data!$J$57:$M$71,4,FALSE)))),0,MATCH($A82,INDIRECT(VLOOKUP(Tulemused!$BF$11,data!$J$57:$M$71,4,FALSE))))</f>
        <v>0</v>
      </c>
      <c r="FM82" s="235" t="str">
        <f t="shared" ca="1" si="57"/>
        <v>JAH</v>
      </c>
      <c r="FN82" s="209">
        <f>VLOOKUP(Tulemused!$BN$13,data!$C$132:$D$137,2,FALSE)-KOMBI!R82</f>
        <v>3.1013876728770304</v>
      </c>
      <c r="FO82" s="209"/>
      <c r="FP82" s="209">
        <f>VLOOKUP(Tulemused!$BN$17,NO_x,2,FALSE)-CJ82</f>
        <v>11.68927820675718</v>
      </c>
      <c r="FQ82" s="209">
        <f>VLOOKUP(Tulemused!$BN$18,SO_2,2,FALSE)-CK82</f>
        <v>45.225054537227365</v>
      </c>
      <c r="FR82" s="209">
        <f>VLOOKUP(Tulemused!$BN$19,LOU,2,FALSE)-CN82</f>
        <v>34.087000000000003</v>
      </c>
      <c r="FS82" s="209">
        <f>VLOOKUP(Tulemused!$BN$20,PM_2.5,2,FALSE)-CM82</f>
        <v>9.0991686429099037</v>
      </c>
      <c r="FT82" s="209">
        <f>VLOOKUP(Tulemused!$BN$13,data!$C$132:$D$137,2,FALSE)-FA82/1000</f>
        <v>2.9456240000000005</v>
      </c>
      <c r="FU82" s="209">
        <f>VLOOKUP(Tulemused!$BN$17,NO_x,2,FALSE)-CO82</f>
        <v>6.6504247892027202</v>
      </c>
      <c r="FV82" s="209">
        <f>VLOOKUP(Tulemused!$BN$18,SO_2,2,FALSE)-CP82</f>
        <v>45.226005169650179</v>
      </c>
      <c r="FW82" s="209">
        <f>VLOOKUP(Tulemused!$BN$19,LOU,2,FALSE)-CS82</f>
        <v>33.235665509940176</v>
      </c>
      <c r="FX82" s="209">
        <f>VLOOKUP(Tulemused!$BN$20,PM_2.5,2,FALSE)-CR82</f>
        <v>9.0559127215424233</v>
      </c>
      <c r="FY82" s="209">
        <f>VLOOKUP(Tulemused!$BN$14,KHG_2050,2,FALSE)-EF82</f>
        <v>96.661617672877028</v>
      </c>
      <c r="FZ82" s="231" t="str">
        <f t="shared" ca="1" si="79"/>
        <v>EI</v>
      </c>
      <c r="GA82" s="209"/>
      <c r="GB82" s="209"/>
      <c r="GC82" s="209"/>
      <c r="GD82" s="231"/>
      <c r="GE82" s="87">
        <f t="shared" si="58"/>
        <v>1149</v>
      </c>
      <c r="GF82" s="232" t="str">
        <f t="shared" ca="1" si="80"/>
        <v/>
      </c>
      <c r="GH82" s="238" t="e">
        <f t="shared" ca="1" si="59"/>
        <v>#NUM!</v>
      </c>
      <c r="GI82" s="87" t="e">
        <f t="array" aca="1" ref="GI82" ca="1">INDEX($A$11:$A$145, SMALL(IF(GH82=$GF$11:$GF$145, MATCH(ROW($GF$11:$GF$145), ROW($GF$11:$GF$145))), SUM(--(GH82=$GH$11:GH82))))</f>
        <v>#NUM!</v>
      </c>
      <c r="GM82" s="209">
        <f>IF(GM$7="X",VLOOKUP(GM$10,'VK-Hooned-Soojus'!$C:$X,2+$C82,FALSE),0)+IF(GM$6="X",VLOOKUP(GM$10,'VK-Transport'!$C:$X,2+$B82,0))+IF(GM$8="X",VLOOKUP(GM$10,'VK-Elekter'!$C:$X,2+$D82,0))+IF(GM$9="X",VLOOKUP(GM$10,'VK-Biokütused'!$C:$U,2+$E82,0))+IF(GM$5="X",VLOOKUP(GM$10,'VK-Põlevkivi'!$C:$X,2+$G82,0))+IF(GM$4="X",VLOOKUP(GM$10,'VK-Võrgud'!$C:$X,2+$F82,0))</f>
        <v>0</v>
      </c>
      <c r="GN82" s="209">
        <f>IF(GN$7="X",VLOOKUP(GN$10,'VK-Hooned-Soojus'!$C:$X,2+$C82,FALSE),0)+IF(GN$6="X",VLOOKUP(GN$10,'VK-Transport'!$C:$X,2+$B82,0))+IF(GN$8="X",VLOOKUP(GN$10,'VK-Elekter'!$C:$X,2+$D82,0))+IF(GN$9="X",VLOOKUP(GN$10,'VK-Biokütused'!$C:$U,2+$E82,0))+IF(GN$5="X",VLOOKUP(GN$10,'VK-Põlevkivi'!$C:$X,2+$G82,0))+IF(GN$4="X",VLOOKUP(GN$10,'VK-Võrgud'!$C:$X,2+$F82,0))</f>
        <v>7.5434676424145266</v>
      </c>
      <c r="GO82" s="209">
        <f>IF(GO$7="X",VLOOKUP(GO$10,'VK-Hooned-Soojus'!$C:$X,2+$C82,FALSE),0)+IF(GO$6="X",VLOOKUP(GO$10,'VK-Transport'!$C:$X,2+$B82,0))+IF(GO$8="X",VLOOKUP(GO$10,'VK-Elekter'!$C:$X,2+$D82,0))+IF(GO$9="X",VLOOKUP(GO$10,'VK-Biokütused'!$C:$U,2+$E82,0))+IF(GO$5="X",VLOOKUP(GO$10,'VK-Põlevkivi'!$C:$X,2+$G82,0))+IF(GO$4="X",VLOOKUP(GO$10,'VK-Võrgud'!$C:$X,2+$F82,0))</f>
        <v>7.936370010272257</v>
      </c>
      <c r="GP82" s="209">
        <f>IF(GP$7="X",VLOOKUP(GP$10,'VK-Hooned-Soojus'!$C:$X,2+$C82,FALSE),0)+IF(GP$6="X",VLOOKUP(GP$10,'VK-Transport'!$C:$X,2+$B82,0))+IF(GP$8="X",VLOOKUP(GP$10,'VK-Elekter'!$C:$X,2+$D82,0))+IF(GP$9="X",VLOOKUP(GP$10,'VK-Biokütused'!$C:$U,2+$E82,0))+IF(GP$5="X",VLOOKUP(GP$10,'VK-Põlevkivi'!$C:$X,2+$G82,0))+IF(GP$4="X",VLOOKUP(GP$10,'VK-Võrgud'!$C:$X,2+$F82,0))</f>
        <v>9.1527946929596489</v>
      </c>
      <c r="GQ82" s="88">
        <f>IF(GQ$7="X",VLOOKUP(GQ$10,'VK-Hooned-Soojus'!$C:$X,2+$C82,FALSE),0)+IF(GQ$6="X",VLOOKUP(GQ$10,'VK-Transport'!$C:$X,2+$B82,0))+IF(GQ$8="X",VLOOKUP(GQ$10,'VK-Elekter'!$C:$X,2+$D82,0))+IF(GQ$9="X",VLOOKUP(GQ$10,'VK-Biokütused'!$C:$U,2+$E82,0))+IF(GQ$5="X",VLOOKUP(GQ$10,'VK-Põlevkivi'!$C:$X,2+$G82,0))+IF(GQ$4="X",VLOOKUP(GQ$10,'VK-Võrgud'!$C:$X,2+$F82,0))</f>
        <v>0.90618397335647782</v>
      </c>
      <c r="GR82" s="186">
        <f t="shared" si="81"/>
        <v>0.51685757978067881</v>
      </c>
    </row>
    <row r="83" spans="1:200" x14ac:dyDescent="0.2">
      <c r="A83" s="184">
        <v>73</v>
      </c>
      <c r="B83" s="87">
        <v>2</v>
      </c>
      <c r="C83" s="87">
        <v>2</v>
      </c>
      <c r="D83" s="87">
        <v>5</v>
      </c>
      <c r="E83" s="87">
        <v>1</v>
      </c>
      <c r="F83" s="87">
        <f>VLOOKUP(Tulemused!$BF$7,data!$J$6:$K$8,2,FALSE)</f>
        <v>2</v>
      </c>
      <c r="G83" s="87">
        <f>VLOOKUP(data!$H$2,data!$J$12:$K$14,2,FALSE)</f>
        <v>2</v>
      </c>
      <c r="I83" s="209">
        <f>IF(I$7="X",VLOOKUP(I$10,'VK-Hooned-Soojus'!$C:$X,2+$C83,FALSE),0)+IF(I$6="X",VLOOKUP(I$10,'VK-Transport'!$C:$X,2+$B83,0))+IF(I$8="X",VLOOKUP(I$10,'VK-Elekter'!$C:$X,2+$D83,0))+IF(I$9="X",VLOOKUP(I$10,'VK-Biokütused'!$C:$U,2+$E83,0))+IF(I$5="X",VLOOKUP(I$10,'VK-Põlevkivi'!$C:$X,2+$G83,0))+IF(I$4="X",VLOOKUP(I$10,'VK-Võrgud'!$C:$X,2+$F83,0))</f>
        <v>24.79</v>
      </c>
      <c r="J83" s="209">
        <f>IF(J$7="X",VLOOKUP(J$10,'VK-Hooned-Soojus'!$C:$X,2+$C83,FALSE),0)+IF(J$6="X",VLOOKUP(J$10,'VK-Transport'!$C:$X,2+$B83,0))+IF(J$8="X",VLOOKUP(J$10,'VK-Elekter'!$C:$X,2+$D83,0))+IF(J$9="X",VLOOKUP(J$10,'VK-Biokütused'!$C:$U,2+$E83,0))+IF(J$5="X",VLOOKUP(J$10,'VK-Põlevkivi'!$C:$X,2+$G83,0))+IF(J$4="X",VLOOKUP(J$10,'VK-Võrgud'!$C:$X,2+$F83,0))</f>
        <v>11.138055555555555</v>
      </c>
      <c r="K83" s="209">
        <f>IF(K$7="X",VLOOKUP(K$10,'VK-Hooned-Soojus'!$C:$X,2+$C83,FALSE),0)+IF(K$6="X",VLOOKUP(K$10,'VK-Transport'!$C:$X,2+$B83,0))+IF(K$8="X",VLOOKUP(K$10,'VK-Elekter'!$C:$X,2+$D83,0))+IF(K$9="X",VLOOKUP(K$10,'VK-Biokütused'!$C:$U,2+$E83,0))+IF(K$5="X",VLOOKUP(K$10,'VK-Põlevkivi'!$C:$X,2+$G83,0))+IF(K$4="X",VLOOKUP(K$10,'VK-Võrgud'!$C:$X,2+$F83,0))</f>
        <v>15.27</v>
      </c>
      <c r="L83" s="209">
        <f>IF(L$7="X",VLOOKUP(L$10,'VK-Hooned-Soojus'!$C:$X,2+$C83,FALSE),0)+IF(L$6="X",VLOOKUP(L$10,'VK-Transport'!$C:$X,2+$B83,0))+IF(L$8="X",VLOOKUP(L$10,'VK-Elekter'!$C:$X,2+$D83,0))+IF(L$9="X",VLOOKUP(L$10,'VK-Biokütused'!$C:$U,2+$E83,0))+IF(L$5="X",VLOOKUP(L$10,'VK-Põlevkivi'!$C:$X,2+$G83,0))+IF(L$4="X",VLOOKUP(L$10,'VK-Võrgud'!$C:$X,2+$F83,0))</f>
        <v>24.2</v>
      </c>
      <c r="M83" s="209">
        <f>IF(M$7="X",VLOOKUP(M$10,'VK-Hooned-Soojus'!$C:$X,2+$C83,FALSE),0)+IF(M$6="X",VLOOKUP(M$10,'VK-Transport'!$C:$X,2+$B83,0))+IF(M$8="X",VLOOKUP(M$10,'VK-Elekter'!$C:$X,2+$D83,0))+IF(M$9="X",VLOOKUP(M$10,'VK-Biokütused'!$C:$U,2+$E83,0))+IF(M$5="X",VLOOKUP(M$10,'VK-Põlevkivi'!$C:$X,2+$G83,0))+IF(M$4="X",VLOOKUP(M$10,'VK-Võrgud'!$C:$X,2+$F83,0))</f>
        <v>9.8566666666666674</v>
      </c>
      <c r="N83" s="209">
        <f>IF(N$7="X",VLOOKUP(N$10,'VK-Hooned-Soojus'!$C:$X,2+$C83,FALSE),0)+IF(N$6="X",VLOOKUP(N$10,'VK-Transport'!$C:$X,2+$B83,0))+IF(N$8="X",VLOOKUP(N$10,'VK-Elekter'!$C:$X,2+$D83,0))+IF(N$9="X",VLOOKUP(N$10,'VK-Biokütused'!$C:$U,2+$E83,0))+IF(N$5="X",VLOOKUP(N$10,'VK-Põlevkivi'!$C:$X,2+$G83,0))+IF(N$4="X",VLOOKUP(N$10,'VK-Võrgud'!$C:$X,2+$F83,0))</f>
        <v>16.09</v>
      </c>
      <c r="O83" s="209">
        <f t="shared" si="60"/>
        <v>35.928055555555552</v>
      </c>
      <c r="P83" s="209"/>
      <c r="Q83" s="209">
        <f>(IF(Q$7="X",VLOOKUP(Q$10,'VK-Hooned-Soojus'!$C:$X,2+$C83,FALSE),0)+IF(Q$6="X",VLOOKUP(Q$10,'VK-Transport'!$C:$X,2+$B83,0))+IF(Q$8="X",VLOOKUP(Q$10,'VK-Elekter'!$C:$X,2+$D83,0))+IF(Q$9="X",VLOOKUP(Q$10,'VK-Biokütused'!$C:$U,2+$E83,0))+IF(Q$5="X",VLOOKUP(Q$10,'VK-Põlevkivi'!$C:$X,2+$G83,0))+IF(Q$4="X",VLOOKUP(Q$10,'VK-Võrgud'!$C:$X,2+$F83,0)))/1000</f>
        <v>6.0640000000000001</v>
      </c>
      <c r="R83" s="209">
        <f>(IF(R$7="X",VLOOKUP(R$10,'VK-Hooned-Soojus'!$C:$X,2+$C83,FALSE),0)+IF(R$6="X",VLOOKUP(R$10,'VK-Transport'!$C:$X,2+$B83,0))+IF(R$8="X",VLOOKUP(R$10,'VK-Elekter'!$C:$X,2+$D83,0))+IF(R$9="X",VLOOKUP(R$10,'VK-Biokütused'!$C:$U,2+$E83,0))+IF(R$5="X",VLOOKUP(R$10,'VK-Põlevkivi'!$C:$X,2+$G83,0))+IF(R$4="X",VLOOKUP(R$10,'VK-Võrgud'!$C:$X,2+$F83,0)))/1000</f>
        <v>2.5583823271229704</v>
      </c>
      <c r="S83" s="226">
        <f>VLOOKUP(S$10,'VK-Hooned-Soojus'!$C:$I,2+$C83,FALSE) + VLOOKUP(S$10,'VK-Transport'!$C:$I,2+$B83,FALSE)+ VLOOKUP(S$10,'VK-Biokütused'!$C:$G,2+$E83,FALSE)+ VLOOKUP(S$10,'VK-Elekter'!$C:$I,2+$D83,FALSE)+ VLOOKUP(S$10,'VK-Põlevkivi'!$C:$I,2+$G83,FALSE)+ VLOOKUP(S$10,'VK-Võrgud'!$C:$I,2+$F83,FALSE)</f>
        <v>2.3573154326693522E-2</v>
      </c>
      <c r="T83" s="226">
        <f>VLOOKUP(T$10,'VK-Hooned-Soojus'!$C:$I,2+$C83,FALSE) + VLOOKUP(T$10,'VK-Transport'!$C:$I,2+$B83,FALSE)+ VLOOKUP(T$10,'VK-Biokütused'!$C:$G,2+$E83,FALSE)+ VLOOKUP(T$10,'VK-Elekter'!$C:$I,2+$D83,FALSE)+ VLOOKUP(T$10,'VK-Põlevkivi'!$C:$I,2+$G83,FALSE)+ VLOOKUP(T$10,'VK-Võrgud'!$C:$I,2+$F83,FALSE)</f>
        <v>9.7028585134621061E-3</v>
      </c>
      <c r="U83" s="226">
        <f>VLOOKUP(U$10,'VK-Hooned-Soojus'!$C:$I,2+$C83,FALSE) + VLOOKUP(U$10,'VK-Transport'!$C:$I,2+$B83,FALSE)+ VLOOKUP(U$10,'VK-Biokütused'!$C:$G,2+$E83,FALSE)+ VLOOKUP(U$10,'VK-Elekter'!$C:$I,2+$D83,FALSE)+ VLOOKUP(U$10,'VK-Põlevkivi'!$C:$I,2+$G83,FALSE)+ VLOOKUP(U$10,'VK-Võrgud'!$C:$I,2+$F83,FALSE)</f>
        <v>1.0536076733891064E-2</v>
      </c>
      <c r="V83" s="226">
        <f>VLOOKUP(V$10,'VK-Hooned-Soojus'!$C:$I,2+$C83,FALSE) + VLOOKUP(V$10,'VK-Transport'!$C:$I,2+$B83,FALSE)+ VLOOKUP(V$10,'VK-Biokütused'!$C:$G,2+$E83,FALSE)+ VLOOKUP(V$10,'VK-Elekter'!$C:$I,2+$D83,FALSE)+ VLOOKUP(V$10,'VK-Põlevkivi'!$C:$I,2+$G83,FALSE)+ VLOOKUP(V$10,'VK-Võrgud'!$C:$I,2+$F83,FALSE)</f>
        <v>1.334216190586565E-2</v>
      </c>
      <c r="W83" s="226">
        <f>VLOOKUP(W$10,'VK-Hooned-Soojus'!$C:$I,2+$C83,FALSE) + VLOOKUP(W$10,'VK-Transport'!$C:$I,2+$B83,FALSE)+ VLOOKUP(W$10,'VK-Biokütused'!$C:$G,2+$E83,FALSE)+ VLOOKUP(W$10,'VK-Elekter'!$C:$I,2+$D83,FALSE)+ VLOOKUP(W$10,'VK-Põlevkivi'!$C:$I,2+$G83,FALSE)+ VLOOKUP(W$10,'VK-Võrgud'!$C:$I,2+$F83,FALSE)</f>
        <v>-1.8795015923382709E-2</v>
      </c>
      <c r="X83" s="226">
        <f>VLOOKUP(X$10,'VK-Hooned-Soojus'!$C:$I,2+$C83,FALSE) + VLOOKUP(X$10,'VK-Transport'!$C:$I,2+$B83,FALSE)+ VLOOKUP(X$10,'VK-Biokütused'!$C:$G,2+$E83,FALSE)+ VLOOKUP(X$10,'VK-Elekter'!$C:$I,2+$D83,FALSE)+ VLOOKUP(X$10,'VK-Põlevkivi'!$C:$I,2+$G83,FALSE)+ VLOOKUP(X$10,'VK-Võrgud'!$C:$I,2+$F83,FALSE)</f>
        <v>5.6435010422128798E-2</v>
      </c>
      <c r="Y83" s="226">
        <f>VLOOKUP(Y$10,'VK-Hooned-Soojus'!$C:$I,2+$C83,FALSE) + VLOOKUP(Y$10,'VK-Transport'!$C:$I,2+$B83,FALSE)+ VLOOKUP(Y$10,'VK-Biokütused'!$C:$G,2+$E83,FALSE)+ VLOOKUP(Y$10,'VK-Elekter'!$C:$I,2+$D83,FALSE)+ VLOOKUP(Y$10,'VK-Põlevkivi'!$C:$I,2+$G83,FALSE)+ VLOOKUP(Y$10,'VK-Võrgud'!$C:$I,2+$F83,FALSE)</f>
        <v>5.1337441103031907E-2</v>
      </c>
      <c r="Z83" s="227">
        <f>(S83*Tulemused!$Q$9*10+T83*Tulemused!$Q$10*10+KOMBI!U83*Tulemused!$Q$11*10+KOMBI!V83*Tulemused!$Q$12*10)*Tulemused!$Q$8+-(W83*Tulemused!$Q$14*10+KOMBI!X83*Tulemused!$Q$15*10+KOMBI!Y83*Tulemused!$Q$16*10)*Tulemused!$Q$13</f>
        <v>4.6279103355748461</v>
      </c>
      <c r="AA83" s="228">
        <f>(IF(AA$7="X",VLOOKUP(AA$10,'VK-Hooned-Soojus'!$C:$X,2+$C83,FALSE),0)+IF(AA$6="X",VLOOKUP(AA$10,'VK-Transport'!$C:$X,2+$B83,0))+IF(AA$8="X",VLOOKUP(AA$10,'VK-Elekter'!$C:$X,2+$D83,0))+IF(AA$9="X",VLOOKUP(AA$10,'VK-Biokütused'!$C:$U,2+$E83,0))+IF(AA$5="X",VLOOKUP(AA$10,'VK-Põlevkivi'!$C:$X,2+$G83,0))+IF(AA$4="X",VLOOKUP(AA$10,'VK-Võrgud'!$C:$X,2+$F83,0)))</f>
        <v>4727</v>
      </c>
      <c r="AB83" s="228">
        <f>(IF(AB$7="X",VLOOKUP(AB$10,'VK-Hooned-Soojus'!$C:$X,2+$C83,FALSE),0)+IF(AB$6="X",VLOOKUP(AB$10,'VK-Transport'!$C:$X,2+$B83,0))+IF(AB$8="X",VLOOKUP(AB$10,'VK-Elekter'!$C:$X,2+$D83,0))+IF(AB$9="X",VLOOKUP(AB$10,'VK-Biokütused'!$C:$U,2+$E83,0))+IF(AB$5="X",VLOOKUP(AB$10,'VK-Põlevkivi'!$C:$X,2+$G83,0))+IF(AB$4="X",VLOOKUP(AB$10,'VK-Võrgud'!$C:$X,2+$F83,0)))</f>
        <v>1337</v>
      </c>
      <c r="AC83" s="228">
        <f>(IF(AC$7="X",VLOOKUP(AC$10,'VK-Hooned-Soojus'!$C:$X,2+$C83,FALSE),0)+IF(AC$6="X",VLOOKUP(AC$10,'VK-Transport'!$C:$X,2+$B83,0))+IF(AC$8="X",VLOOKUP(AC$10,'VK-Elekter'!$C:$X,2+$D83,0))+IF(AC$9="X",VLOOKUP(AC$10,'VK-Biokütused'!$C:$U,2+$E83,0))+IF(AC$5="X",VLOOKUP(AC$10,'VK-Põlevkivi'!$C:$X,2+$G83,0))+IF(AC$4="X",VLOOKUP(AC$10,'VK-Võrgud'!$C:$X,2+$F83,0)))</f>
        <v>2346</v>
      </c>
      <c r="AD83" s="228">
        <f>(IF(AD$7="X",VLOOKUP(AD$10,'VK-Hooned-Soojus'!$C:$X,2+$C83,FALSE),0)+IF(AD$6="X",VLOOKUP(AD$10,'VK-Transport'!$C:$X,2+$B83,0))+IF(AD$8="X",VLOOKUP(AD$10,'VK-Elekter'!$C:$X,2+$D83,0))+IF(AD$9="X",VLOOKUP(AD$10,'VK-Biokütused'!$C:$U,2+$E83,0))+IF(AD$5="X",VLOOKUP(AD$10,'VK-Põlevkivi'!$C:$X,2+$G83,0))+IF(AD$4="X",VLOOKUP(AD$10,'VK-Võrgud'!$C:$X,2+$F83,0)))</f>
        <v>0</v>
      </c>
      <c r="AE83" s="228">
        <f>(IF(AE$7="X",VLOOKUP(AE$10,'VK-Hooned-Soojus'!$C:$X,2+$C83,FALSE),0)+IF(AE$6="X",VLOOKUP(AE$10,'VK-Transport'!$C:$X,2+$B83,0))+IF(AE$8="X",VLOOKUP(AE$10,'VK-Elekter'!$C:$X,2+$D83,0))+IF(AE$9="X",VLOOKUP(AE$10,'VK-Biokütused'!$C:$U,2+$E83,0))+IF(AE$5="X",VLOOKUP(AE$10,'VK-Põlevkivi'!$C:$X,2+$G83,0))+IF(AE$4="X",VLOOKUP(AE$10,'VK-Võrgud'!$C:$X,2+$F83,0)))</f>
        <v>666</v>
      </c>
      <c r="AF83" s="228">
        <f>(IF(AF$7="X",VLOOKUP(AF$10,'VK-Hooned-Soojus'!$C:$X,2+$C83,FALSE),0)+IF(AF$6="X",VLOOKUP(AF$10,'VK-Transport'!$C:$X,2+$B83,0))+IF(AF$8="X",VLOOKUP(AF$10,'VK-Elekter'!$C:$X,2+$D83,0))+IF(AF$9="X",VLOOKUP(AF$10,'VK-Biokütused'!$C:$U,2+$E83,0))+IF(AF$5="X",VLOOKUP(AF$10,'VK-Põlevkivi'!$C:$X,2+$G83,0))+IF(AF$4="X",VLOOKUP(AF$10,'VK-Võrgud'!$C:$X,2+$F83,0)))</f>
        <v>1892.3823271229701</v>
      </c>
      <c r="AG83" s="209"/>
      <c r="AH83" s="209">
        <f>IF(AH$7="X",VLOOKUP(AH$10,'VK-Hooned-Soojus'!$C:$X,2+$C83,FALSE),0)+IF(AH$6="X",VLOOKUP(AH$10,'VK-Transport'!$C:$X,2+$B83,0))+IF(AH$8="X",VLOOKUP(AH$10,'VK-Elekter'!$C:$X,2+$D83,0))+IF(AH$9="X",VLOOKUP(AH$10,'VK-Biokütused'!$C:$U,2+$E83,0))+IF(AH$5="X",VLOOKUP(AH$10,'VK-Põlevkivi'!$C:$X,2+$G83,0))+IF(AH$4="X",VLOOKUP(AH$10,'VK-Võrgud'!$C:$X,2+$F83,0))</f>
        <v>17.400000000000002</v>
      </c>
      <c r="AI83" s="209">
        <f>IF(AI$7="X",VLOOKUP(AI$10,'VK-Hooned-Soojus'!$C:$X,2+$C83,FALSE),0)+IF(AI$6="X",VLOOKUP(AI$10,'VK-Transport'!$C:$X,2+$B83,0))+IF(AI$8="X",VLOOKUP(AI$10,'VK-Elekter'!$C:$X,2+$D83,0))+IF(AI$9="X",VLOOKUP(AI$10,'VK-Biokütused'!$C:$U,2+$E83,0))+IF(AI$5="X",VLOOKUP(AI$10,'VK-Põlevkivi'!$C:$X,2+$G83,0))+IF(AI$4="X",VLOOKUP(AI$10,'VK-Võrgud'!$C:$X,2+$F83,0))</f>
        <v>2.3100000000000005</v>
      </c>
      <c r="AJ83" s="209">
        <f>IF(AJ$7="X",VLOOKUP(AJ$10,'VK-Hooned-Soojus'!$C:$X,2+$C83,FALSE),0)+IF(AJ$6="X",VLOOKUP(AJ$10,'VK-Transport'!$C:$X,2+$B83,0))+IF(AJ$8="X",VLOOKUP(AJ$10,'VK-Elekter'!$C:$X,2+$D83,0))+IF(AJ$9="X",VLOOKUP(AJ$10,'VK-Biokütused'!$C:$U,2+$E83,0))+IF(AJ$5="X",VLOOKUP(AJ$10,'VK-Põlevkivi'!$C:$X,2+$G83,0))+IF(AJ$4="X",VLOOKUP(AJ$10,'VK-Võrgud'!$C:$X,2+$F83,0))</f>
        <v>4.59</v>
      </c>
      <c r="AK83" s="209">
        <f>IF(AK$7="X",VLOOKUP(AK$10,'VK-Hooned-Soojus'!$C:$X,2+$C83,FALSE),0)+IF(AK$6="X",VLOOKUP(AK$10,'VK-Transport'!$C:$X,2+$B83,0))+IF(AK$8="X",VLOOKUP(AK$10,'VK-Elekter'!$C:$X,2+$D83,0))+IF(AK$9="X",VLOOKUP(AK$10,'VK-Biokütused'!$C:$U,2+$E83,0))+IF(AK$5="X",VLOOKUP(AK$10,'VK-Põlevkivi'!$C:$X,2+$G83,0))+IF(AK$4="X",VLOOKUP(AK$10,'VK-Võrgud'!$C:$X,2+$F83,0))</f>
        <v>-0.41</v>
      </c>
      <c r="AL83" s="209">
        <f>IF(AL$7="X",VLOOKUP(AL$10,'VK-Hooned-Soojus'!$C:$X,2+$C83,FALSE),0)+IF(AL$6="X",VLOOKUP(AL$10,'VK-Transport'!$C:$X,2+$B83,0))+IF(AL$8="X",VLOOKUP(AL$10,'VK-Elekter'!$C:$X,2+$D83,0))+IF(AL$9="X",VLOOKUP(AL$10,'VK-Biokütused'!$C:$U,2+$E83,0))+IF(AL$5="X",VLOOKUP(AL$10,'VK-Põlevkivi'!$C:$X,2+$G83,0))+IF(AL$4="X",VLOOKUP(AL$10,'VK-Võrgud'!$C:$X,2+$F83,0))</f>
        <v>7.1999999999999993</v>
      </c>
      <c r="AM83" s="209">
        <f>IF(AM$7="X",VLOOKUP(AM$10,'VK-Hooned-Soojus'!$C:$X,2+$C83,FALSE),0)+IF(AM$6="X",VLOOKUP(AM$10,'VK-Transport'!$C:$X,2+$B83,0))+IF(AM$8="X",VLOOKUP(AM$10,'VK-Elekter'!$C:$X,2+$D83,0))+IF(AM$9="X",VLOOKUP(AM$10,'VK-Biokütused'!$C:$U,2+$E83,0))+IF(AM$5="X",VLOOKUP(AM$10,'VK-Põlevkivi'!$C:$X,2+$G83,0))+IF(AM$4="X",VLOOKUP(AM$10,'VK-Võrgud'!$C:$X,2+$F83,0))</f>
        <v>11.9</v>
      </c>
      <c r="AN83" s="209">
        <f>IF(AN$7="X",VLOOKUP(AN$10,'VK-Hooned-Soojus'!$C:$X,2+$C83,FALSE),0)+IF(AN$6="X",VLOOKUP(AN$10,'VK-Transport'!$C:$X,2+$B83,0))+IF(AN$8="X",VLOOKUP(AN$10,'VK-Elekter'!$C:$X,2+$D83,0))+IF(AN$9="X",VLOOKUP(AN$10,'VK-Biokütused'!$C:$U,2+$E83,0))+IF(AN$5="X",VLOOKUP(AN$10,'VK-Põlevkivi'!$C:$X,2+$G83,0))+IF(AN$4="X",VLOOKUP(AN$10,'VK-Võrgud'!$C:$X,2+$F83,0))</f>
        <v>4.8999999999999995</v>
      </c>
      <c r="AO83" s="209">
        <f>IF(AO$7="X",VLOOKUP(AO$10,'VK-Hooned-Soojus'!$C:$X,2+$C83,FALSE),0)+IF(AO$6="X",VLOOKUP(AO$10,'VK-Transport'!$C:$X,2+$B83,0))+IF(AO$8="X",VLOOKUP(AO$10,'VK-Elekter'!$C:$X,2+$D83,0))+IF(AO$9="X",VLOOKUP(AO$10,'VK-Biokütused'!$C:$U,2+$E83,0))+IF(AO$5="X",VLOOKUP(AO$10,'VK-Põlevkivi'!$C:$X,2+$G83,0))+IF(AO$4="X",VLOOKUP(AO$10,'VK-Võrgud'!$C:$X,2+$F83,0))</f>
        <v>12.56</v>
      </c>
      <c r="AP83" s="209">
        <f>IF(AP$7="X",VLOOKUP(AP$10,'VK-Hooned-Soojus'!$C:$X,2+$C83,FALSE),0)+IF(AP$6="X",VLOOKUP(AP$10,'VK-Transport'!$C:$X,2+$B83,0))+IF(AP$8="X",VLOOKUP(AP$10,'VK-Elekter'!$C:$X,2+$D83,0))+IF(AP$9="X",VLOOKUP(AP$10,'VK-Biokütused'!$C:$U,2+$E83,0))+IF(AP$5="X",VLOOKUP(AP$10,'VK-Põlevkivi'!$C:$X,2+$G83,0))+IF(AP$4="X",VLOOKUP(AP$10,'VK-Võrgud'!$C:$X,2+$F83,0))</f>
        <v>6.28</v>
      </c>
      <c r="AQ83" s="320">
        <f t="shared" si="61"/>
        <v>0.25999999999999979</v>
      </c>
      <c r="AR83" s="209">
        <f>IF(AR$7="X",VLOOKUP(AR$10,'VK-Hooned-Soojus'!$C:$X,2+$C83,FALSE),0)+IF(AR$6="X",VLOOKUP(AR$10,'VK-Transport'!$C:$X,2+$B83,0))+IF(AR$8="X",VLOOKUP(AR$10,'VK-Elekter'!$C:$X,2+$D83,0))+IF(AR$9="X",VLOOKUP(AR$10,'VK-Biokütused'!$C:$U,2+$E83,0))+IF(AR$5="X",VLOOKUP(AR$10,'VK-Põlevkivi'!$C:$X,2+$G83,0))+IF(AR$4="X",VLOOKUP(AR$10,'VK-Võrgud'!$C:$X,2+$F83,0))</f>
        <v>13.309999999999999</v>
      </c>
      <c r="AS83" s="235">
        <f>'VK-Põlevkivi'!$F$8-AR83-AU83</f>
        <v>14.298622986547709</v>
      </c>
      <c r="AT83" s="209">
        <f>IF(AT$7="X",VLOOKUP(AT$10,'VK-Hooned-Soojus'!$C:$X,2+$C83,FALSE),0)+IF(AT$6="X",VLOOKUP(AT$10,'VK-Transport'!$C:$X,2+$B83,0))+IF(AT$8="X",VLOOKUP(AT$10,'VK-Elekter'!$C:$X,2+$D83,0))+IF(AT$9="X",VLOOKUP(AT$10,'VK-Biokütused'!$C:$U,2+$E83,0))+IF(AT$5="X",VLOOKUP(AT$10,'VK-Põlevkivi'!$C:$X,2+$G83,0))+IF(AT$4="X",VLOOKUP(AT$10,'VK-Võrgud'!$C:$X,2+$F83,0))</f>
        <v>9.2784458909544707</v>
      </c>
      <c r="AU83" s="235">
        <f>'VK-Põlevkivi'!$F$9-VLOOKUP("Kütuste tarbimine @ 2030 - PÕLEVKIVIÕLI",'VK-Hooned-Soojus'!$C:$X,2+$C83,FALSE)</f>
        <v>28.928043680118964</v>
      </c>
      <c r="AV83" s="209">
        <f>IF(AV$7="X",VLOOKUP(AV$10,'VK-Hooned-Soojus'!$C:$X,2+$C83,FALSE),0)+IF(AV$6="X",VLOOKUP(AV$10,'VK-Transport'!$C:$X,2+$B83,0))+IF(AV$8="X",VLOOKUP(AV$10,'VK-Elekter'!$C:$X,2+$D83,0))+IF(AV$9="X",VLOOKUP(AV$10,'VK-Biokütused'!$C:$U,2+$E83,0))+IF(AV$5="X",VLOOKUP(AV$10,'VK-Põlevkivi'!$C:$X,2+$G83,0))+IF(AV$4="X",VLOOKUP(AV$10,'VK-Võrgud'!$C:$X,2+$F83,0))</f>
        <v>1.7257321590343366</v>
      </c>
      <c r="AW83" s="209">
        <f>IF(AW$7="X",VLOOKUP(AW$10,'VK-Hooned-Soojus'!$C:$X,2+$C83,FALSE),0)+IF(AW$6="X",VLOOKUP(AW$10,'VK-Transport'!$C:$X,2+$B83,0))+IF(AW$8="X",VLOOKUP(AW$10,'VK-Elekter'!$C:$X,2+$D83,0))+IF(AW$9="X",VLOOKUP(AW$10,'VK-Biokütused'!$C:$U,2+$E83,0))+IF(AW$5="X",VLOOKUP(AW$10,'VK-Põlevkivi'!$C:$X,2+$G83,0))+IF(AW$4="X",VLOOKUP(AW$10,'VK-Võrgud'!$C:$X,2+$F83,0))</f>
        <v>0</v>
      </c>
      <c r="AX83" s="229">
        <f t="shared" si="62"/>
        <v>0</v>
      </c>
      <c r="AY83" s="229">
        <f t="shared" si="63"/>
        <v>1.7257321590343366</v>
      </c>
      <c r="AZ83" s="230">
        <f t="shared" si="48"/>
        <v>0.33094011867043521</v>
      </c>
      <c r="BA83" s="209">
        <f>IF(BA$7="X",VLOOKUP(BA$10,'VK-Hooned-Soojus'!$C:$X,2+$C83,FALSE),0)+IF(BA$6="X",VLOOKUP(BA$10,'VK-Transport'!$C:$X,2+$B83,0))+IF(BA$8="X",VLOOKUP(BA$10,'VK-Elekter'!$C:$X,2+$D83,0))+IF(BA$9="X",VLOOKUP(BA$10,'VK-Biokütused'!$C:$U,2+$E83,0))+IF(BA$5="X",VLOOKUP(BA$10,'VK-Põlevkivi'!$C:$X,2+$G83,0))+IF(BA$4="X",VLOOKUP(BA$10,'VK-Võrgud'!$C:$X,2+$F83,0))</f>
        <v>7.41</v>
      </c>
      <c r="BB83" s="209">
        <f>IF(BB$7="X",VLOOKUP(BB$10,'VK-Hooned-Soojus'!$C:$X,2+$C83,FALSE),0)+IF(BB$6="X",VLOOKUP(BB$10,'VK-Transport'!$C:$X,2+$B83,0))+IF(BB$8="X",VLOOKUP(BB$10,'VK-Elekter'!$C:$X,2+$D83,0))+IF(BB$9="X",VLOOKUP(BB$10,'VK-Biokütused'!$C:$U,2+$E83,0))+IF(BB$5="X",VLOOKUP(BB$10,'VK-Põlevkivi'!$C:$X,2+$G83,0))+IF(BB$4="X",VLOOKUP(BB$10,'VK-Võrgud'!$C:$X,2+$F83,0))</f>
        <v>2.96</v>
      </c>
      <c r="BC83" s="209">
        <f>IF(BC$7="X",VLOOKUP(BC$10,'VK-Hooned-Soojus'!$C:$X,2+$C83,FALSE),0)+IF(BC$6="X",VLOOKUP(BC$10,'VK-Transport'!$C:$X,2+$B83,0))+IF(BC$8="X",VLOOKUP(BC$10,'VK-Elekter'!$C:$X,2+$D83,0))+IF(BC$9="X",VLOOKUP(BC$10,'VK-Biokütused'!$C:$U,2+$E83,0))+IF(BC$5="X",VLOOKUP(BC$10,'VK-Põlevkivi'!$C:$X,2+$G83,0))+IF(BC$4="X",VLOOKUP(BC$10,'VK-Võrgud'!$C:$X,2+$F83,0))</f>
        <v>6.5993333333333322</v>
      </c>
      <c r="BD83" s="209">
        <f>IF(BD$7="X",VLOOKUP(BD$10,'VK-Hooned-Soojus'!$C:$X,2+$C83,FALSE),0)+IF(BD$6="X",VLOOKUP(BD$10,'VK-Transport'!$C:$X,2+$B83,0))+IF(BD$8="X",VLOOKUP(BD$10,'VK-Elekter'!$C:$X,2+$D83,0))+IF(BD$9="X",VLOOKUP(BD$10,'VK-Biokütused'!$C:$U,2+$E83,0))+IF(BD$5="X",VLOOKUP(BD$10,'VK-Põlevkivi'!$C:$X,2+$G83,0))+IF(BD$4="X",VLOOKUP(BD$10,'VK-Võrgud'!$C:$X,2+$F83,0))</f>
        <v>9.425416666666667</v>
      </c>
      <c r="BE83" s="230"/>
      <c r="BF83" s="229">
        <f t="shared" si="64"/>
        <v>0.25410657454651348</v>
      </c>
      <c r="BG83" s="209" t="e">
        <f>(IF(BG$7="X",VLOOKUP(BG$10,'VK-Hooned-Soojus'!$C:$X,2+$C83,FALSE),0)+IF(BG$6="X",VLOOKUP(BG$10,'VK-Transport'!$C:$X,2+$B83,0))+IF(BG$8="X",VLOOKUP(BG$10,'VK-Elekter'!$C:$X,2+$D83,0))+IF(BG$9="X",VLOOKUP(BG$10,'VK-Biokütused'!$C:$U,2+$E83,0))+IF(BG$5="X",VLOOKUP(BG$10,'VK-Põlevkivi'!$C:$X,2+$G83,0))+IF(BG$4="X",VLOOKUP(BG$10,'VK-Võrgud'!$C:$X,2+$F83,0)))/20</f>
        <v>#N/A</v>
      </c>
      <c r="BH83" s="209">
        <f>(IF(BH$7="X",VLOOKUP(BH$10,'VK-Hooned-Soojus'!$C:$X,2+$C83,FALSE),0)+IF(BH$6="X",VLOOKUP(BH$10,'VK-Transport'!$C:$X,2+$B83,0))+IF(BH$8="X",VLOOKUP(BH$10,'VK-Elekter'!$C:$X,2+$D83,0))+IF(BH$9="X",VLOOKUP(BH$10,'VK-Biokütused'!$C:$U,2+$E83,0))+IF(BH$5="X",VLOOKUP(BH$10,'VK-Põlevkivi'!$C:$X,2+$G83,0))+IF(BH$4="X",VLOOKUP(BH$10,'VK-Võrgud'!$C:$X,2+$F83,0)))/20</f>
        <v>45.08</v>
      </c>
      <c r="BI83" s="209">
        <f>(IF(BI$7="X",VLOOKUP(BI$10,'VK-Hooned-Soojus'!$C:$X,2+$C83,FALSE),0)+IF(BI$6="X",VLOOKUP(BI$10,'VK-Transport'!$C:$X,2+$B83,0))+IF(BI$8="X",VLOOKUP(BI$10,'VK-Elekter'!$C:$X,2+$D83,0))+IF(BI$9="X",VLOOKUP(BI$10,'VK-Biokütused'!$C:$U,2+$E83,0))+IF(BI$5="X",VLOOKUP(BI$10,'VK-Põlevkivi'!$C:$X,2+$G83,0))+IF(BI$4="X",VLOOKUP(BI$10,'VK-Võrgud'!$C:$X,2+$F83,0)))/16</f>
        <v>14.1875</v>
      </c>
      <c r="BJ83" s="209">
        <f>(IF(BJ$7="X",VLOOKUP(BJ$10,'VK-Hooned-Soojus'!$C:$X,2+$C83,FALSE),0)+IF(BJ$6="X",VLOOKUP(BJ$10,'VK-Transport'!$C:$X,2+$B83,0))+IF(BJ$8="X",VLOOKUP(BJ$10,'VK-Elekter'!$C:$X,2+$D83,0))+IF(BJ$9="X",VLOOKUP(BJ$10,'VK-Biokütused'!$C:$U,2+$E83,0))+IF(BJ$5="X",VLOOKUP(BJ$10,'VK-Põlevkivi'!$C:$X,2+$G83,0))+IF(BJ$4="X",VLOOKUP(BJ$10,'VK-Võrgud'!$C:$X,2+$F83,0)))/20</f>
        <v>3.91</v>
      </c>
      <c r="BK83" s="209"/>
      <c r="BL83" s="209"/>
      <c r="BM83" s="209"/>
      <c r="BN83" s="209" t="e">
        <f>(IF(BN$7="X",VLOOKUP(BN$10,'VK-Hooned-Soojus'!$C:$X,2+$C83,FALSE),0)+IF(BN$6="X",VLOOKUP(BN$10,'VK-Transport'!$C:$X,2+$B83,0))+IF(BN$8="X",VLOOKUP(BN$10,'VK-Elekter'!$C:$X,2+$D83,0))+IF(BN$9="X",VLOOKUP(BN$10,'VK-Biokütused'!$C:$U,2+$E83,0))+IF(BN$5="X",VLOOKUP(BN$10,'VK-Põlevkivi'!$C:$X,2+$G83,0))+IF(BN$4="X",VLOOKUP(BN$10,'VK-Võrgud'!$C:$X,2+$F83,0)))/16</f>
        <v>#N/A</v>
      </c>
      <c r="BO83" s="209">
        <f>(IF(BO$7="X",VLOOKUP(BO$10,'VK-Hooned-Soojus'!$C:$X,2+$C83,FALSE),0)+IF(BO$6="X",VLOOKUP(BO$10,'VK-Transport'!$C:$X,2+$B83,0))+IF(BO$8="X",VLOOKUP(BO$10,'VK-Elekter'!$C:$X,2+$D83,0))+IF(BO$9="X",VLOOKUP(BO$10,'VK-Biokütused'!$C:$U,2+$E83,0))+IF(BO$5="X",VLOOKUP(BO$10,'VK-Põlevkivi'!$C:$X,2+$G83,0))+IF(BO$4="X",VLOOKUP(BO$10,'VK-Võrgud'!$C:$X,2+$F83,0)))/16</f>
        <v>405.45</v>
      </c>
      <c r="BP83" s="209"/>
      <c r="BQ83" s="209">
        <f>(IF(BQ$7="X",VLOOKUP(BQ$10,'VK-Hooned-Soojus'!$C:$X,2+$C83,FALSE),0)+IF(BQ$6="X",VLOOKUP(BQ$10,'VK-Transport'!$C:$X,2+$B83,0))+IF(BQ$8="X",VLOOKUP(BQ$10,'VK-Elekter'!$C:$X,2+$D83,0))+IF(BQ$9="X",VLOOKUP(BQ$10,'VK-Biokütused'!$C:$U,2+$E83,0))+IF(BQ$5="X",VLOOKUP(BQ$10,'VK-Põlevkivi'!$C:$X,2+$G83,0))+IF(BQ$4="X",VLOOKUP(BQ$10,'VK-Võrgud'!$C:$X,2+$F83,0)))/16</f>
        <v>127.6</v>
      </c>
      <c r="BR83" s="209">
        <f>(IF(BR$7="X",VLOOKUP(BR$10,'VK-Hooned-Soojus'!$C:$X,2+$C83,FALSE),0)+IF(BR$6="X",VLOOKUP(BR$10,'VK-Transport'!$C:$X,2+$B83,0))+IF(BR$8="X",VLOOKUP(BR$10,'VK-Elekter'!$C:$X,2+$D83,0))+IF(BR$9="X",VLOOKUP(BR$10,'VK-Biokütused'!$C:$U,2+$E83,0))+IF(BR$5="X",VLOOKUP(BR$10,'VK-Põlevkivi'!$C:$X,2+$G83,0))+IF(BR$4="X",VLOOKUP(BR$10,'VK-Võrgud'!$C:$X,2+$F83,0)))/16</f>
        <v>27.475000000000001</v>
      </c>
      <c r="BS83" s="209">
        <f>(IF(BS$7="X",VLOOKUP(BS$10,'VK-Hooned-Soojus'!$C:$X,2+$C83,FALSE),0)+IF(BS$6="X",VLOOKUP(BS$10,'VK-Transport'!$C:$X,2+$B83,0))+IF(BS$8="X",VLOOKUP(BS$10,'VK-Elekter'!$C:$X,2+$D83,0))+IF(BS$9="X",VLOOKUP(BS$10,'VK-Biokütused'!$C:$U,2+$E83,0))+IF(BS$5="X",VLOOKUP(BS$10,'VK-Põlevkivi'!$C:$X,2+$G83,0))+IF(BS$4="X",VLOOKUP(BS$10,'VK-Võrgud'!$C:$X,2+$F83,0)))/16</f>
        <v>-23.293749999999999</v>
      </c>
      <c r="BT83" s="209"/>
      <c r="BU83" s="209"/>
      <c r="BV83" s="209">
        <f>(IF(BV$7="X",VLOOKUP(BV$10,'VK-Hooned-Soojus'!$C:$X,2+$C83,FALSE),0)+IF(BV$6="X",VLOOKUP(BV$10,'VK-Transport'!$C:$X,2+$B83,0))+IF(BV$8="X",VLOOKUP(BV$10,'VK-Elekter'!$C:$X,2+$D83,0))+IF(BV$9="X",VLOOKUP(BV$10,'VK-Biokütused'!$C:$U,2+$E83,0))+IF(BV$5="X",VLOOKUP(BV$10,'VK-Põlevkivi'!$C:$X,2+$G83,0))+IF(BV$4="X",VLOOKUP(BV$10,'VK-Võrgud'!$C:$X,2+$F83,0)))/16</f>
        <v>0</v>
      </c>
      <c r="BW83" s="209"/>
      <c r="BX83" s="209">
        <f>(IF(BX$7="X",VLOOKUP(BX$10,'VK-Hooned-Soojus'!$C:$X,2+$C83,FALSE),0)+IF(BX$6="X",VLOOKUP(BX$10,'VK-Transport'!$C:$X,2+$B83,0))+IF(BX$8="X",VLOOKUP(BX$10,'VK-Elekter'!$C:$X,2+$D83,0))+IF(BX$9="X",VLOOKUP(BX$10,'VK-Biokütused'!$C:$U,2+$E83,0))+IF(BX$5="X",VLOOKUP(BX$10,'VK-Põlevkivi'!$C:$X,2+$G83,0))+IF(BX$4="X",VLOOKUP(BX$10,'VK-Võrgud'!$C:$X,2+$F83,0)))/16</f>
        <v>-145.125</v>
      </c>
      <c r="BY83" s="209"/>
      <c r="BZ83" s="209"/>
      <c r="CA83" s="209" t="e">
        <f>(IF(CA$7="X",VLOOKUP(CA$10,'VK-Hooned-Soojus'!$C:$X,2+$C83,FALSE),0)+IF(CA$6="X",VLOOKUP(CA$10,'VK-Transport'!$C:$X,2+$B83,0))+IF(CA$8="X",VLOOKUP(CA$10,'VK-Elekter'!$C:$X,2+$D83,0))+IF(CA$9="X",VLOOKUP(CA$10,'VK-Biokütused'!$C:$U,2+$E83,0))+IF(CA$5="X",VLOOKUP(CA$10,'VK-Põlevkivi'!$C:$X,2+$G83,0))+IF(CA$4="X",VLOOKUP(CA$10,'VK-Võrgud'!$C:$X,2+$F83,0)))/16</f>
        <v>#N/A</v>
      </c>
      <c r="CB83" s="209">
        <f>(IF(CB$7="X",VLOOKUP(CB$10,'VK-Hooned-Soojus'!$C:$X,2+$C83,FALSE),0)+IF(CB$6="X",VLOOKUP(CB$10,'VK-Transport'!$C:$X,2+$B83,0))+IF(CB$8="X",VLOOKUP(CB$10,'VK-Elekter'!$C:$X,2+$D83,0))+IF(CB$9="X",VLOOKUP(CB$10,'VK-Biokütused'!$C:$U,2+$E83,0))+IF(CB$5="X",VLOOKUP(CB$10,'VK-Põlevkivi'!$C:$X,2+$G83,0))+IF(CB$4="X",VLOOKUP(CB$10,'VK-Võrgud'!$C:$X,2+$F83,0)))/16</f>
        <v>0</v>
      </c>
      <c r="CC83" s="209">
        <f>(IF(CC$7="X",VLOOKUP(CC$10,'VK-Hooned-Soojus'!$C:$X,2+$C83,FALSE),0)+IF(CC$6="X",VLOOKUP(CC$10,'VK-Transport'!$C:$X,2+$B83,0))+IF(CC$8="X",VLOOKUP(CC$10,'VK-Elekter'!$C:$X,2+$D83,0))+IF(CC$9="X",VLOOKUP(CC$10,'VK-Biokütused'!$C:$U,2+$E83,0))+IF(CC$5="X",VLOOKUP(CC$10,'VK-Põlevkivi'!$C:$X,2+$G83,0))+IF(CC$4="X",VLOOKUP(CC$10,'VK-Võrgud'!$C:$X,2+$F83,0)))/16</f>
        <v>0</v>
      </c>
      <c r="CD83" s="209"/>
      <c r="CE83" s="209">
        <f>(IF(CE$7="X",VLOOKUP(CE$10,'VK-Hooned-Soojus'!$C:$X,2+$C83,FALSE),0)+IF(CE$6="X",VLOOKUP(CE$10,'VK-Transport'!$C:$X,2+$B83,0))+IF(CE$8="X",VLOOKUP(CE$10,'VK-Elekter'!$C:$X,2+$D83,0))+IF(CE$9="X",VLOOKUP(CE$10,'VK-Biokütused'!$C:$U,2+$E83,0))+IF(CE$5="X",VLOOKUP(CE$10,'VK-Põlevkivi'!$C:$X,2+$G83,0))+IF(CE$4="X",VLOOKUP(CE$10,'VK-Võrgud'!$C:$X,2+$F83,0)))/16</f>
        <v>24.15625</v>
      </c>
      <c r="CF83" s="209"/>
      <c r="CG83" s="209">
        <f>(IF(CG$7="X",VLOOKUP(CG$10,'VK-Hooned-Soojus'!$C:$X,2+$C83,FALSE),0)+IF(CG$6="X",VLOOKUP(CG$10,'VK-Transport'!$C:$X,2+$B83,0))+IF(CG$8="X",VLOOKUP(CG$10,'VK-Elekter'!$C:$X,2+$D83,0))+IF(CG$9="X",VLOOKUP(CG$10,'VK-Biokütused'!$C:$U,2+$E83,0))+IF(CG$5="X",VLOOKUP(CG$10,'VK-Põlevkivi'!$C:$X,2+$G83,0))+IF(CG$4="X",VLOOKUP(CG$10,'VK-Võrgud'!$C:$X,2+$F83,0)))/16</f>
        <v>0</v>
      </c>
      <c r="CH83" s="209">
        <f>(IF(CH$7="X",VLOOKUP(CH$10,'VK-Hooned-Soojus'!$C:$X,2+$C83,FALSE),0)+IF(CH$6="X",VLOOKUP(CH$10,'VK-Transport'!$C:$X,2+$B83,0))+IF(CH$8="X",VLOOKUP(CH$10,'VK-Elekter'!$C:$X,2+$D83,0))+IF(CH$9="X",VLOOKUP(CH$10,'VK-Biokütused'!$C:$U,2+$E83,0))+IF(CH$5="X",VLOOKUP(CH$10,'VK-Põlevkivi'!$C:$X,2+$G83,0))+IF(CH$4="X",VLOOKUP(CH$10,'VK-Võrgud'!$C:$X,2+$F83,0)))/20*0.21</f>
        <v>11.225549999999998</v>
      </c>
      <c r="CI83" s="209"/>
      <c r="CJ83" s="209">
        <f>(IF(CJ$7="X",VLOOKUP(CJ$10,'VK-Hooned-Soojus'!$C:$X,2+$C83,FALSE),0)+IF(CJ$6="X",VLOOKUP(CJ$10,'VK-Transport'!$C:$X,2+$B83,0))+IF(CJ$8="X",VLOOKUP(CJ$10,'VK-Elekter'!$C:$X,2+$D83,0))+IF(CJ$9="X",VLOOKUP(CJ$10,'VK-Biokütused'!$C:$U,2+$E83,0))+IF(CJ$5="X",VLOOKUP(CJ$10,'VK-Põlevkivi'!$C:$X,2+$G83,0))+IF(CJ$4="X",VLOOKUP(CJ$10,'VK-Võrgud'!$C:$X,2+$F83,0)))/1000</f>
        <v>22.646999999999998</v>
      </c>
      <c r="CK83" s="209">
        <f>(IF(CK$7="X",VLOOKUP(CK$10,'VK-Hooned-Soojus'!$C:$X,2+$C83,FALSE),0)+IF(CK$6="X",VLOOKUP(CK$10,'VK-Transport'!$C:$X,2+$B83,0))+IF(CK$8="X",VLOOKUP(CK$10,'VK-Elekter'!$C:$X,2+$D83,0))+IF(CK$9="X",VLOOKUP(CK$10,'VK-Biokütused'!$C:$U,2+$E83,0))+IF(CK$5="X",VLOOKUP(CK$10,'VK-Põlevkivi'!$C:$X,2+$G83,0))+IF(CK$4="X",VLOOKUP(CK$10,'VK-Võrgud'!$C:$X,2+$F83,0)))/1000</f>
        <v>38.490916215793227</v>
      </c>
      <c r="CL83" s="209">
        <f>(IF(CL$7="X",VLOOKUP(CL$10,'VK-Hooned-Soojus'!$C:$X,2+$C83,FALSE),0)+IF(CL$6="X",VLOOKUP(CL$10,'VK-Transport'!$C:$X,2+$B83,0))+IF(CL$8="X",VLOOKUP(CL$10,'VK-Elekter'!$C:$X,2+$D83,0))+IF(CL$9="X",VLOOKUP(CL$10,'VK-Biokütused'!$C:$U,2+$E83,0))+IF(CL$5="X",VLOOKUP(CL$10,'VK-Põlevkivi'!$C:$X,2+$G83,0))+IF(CL$4="X",VLOOKUP(CL$10,'VK-Võrgud'!$C:$X,2+$F83,0)))/1000</f>
        <v>11.758289559723789</v>
      </c>
      <c r="CM83" s="209">
        <f>(IF(CM$7="X",VLOOKUP(CM$10,'VK-Hooned-Soojus'!$C:$X,2+$C83,FALSE),0)+IF(CM$6="X",VLOOKUP(CM$10,'VK-Transport'!$C:$X,2+$B83,0))+IF(CM$8="X",VLOOKUP(CM$10,'VK-Elekter'!$C:$X,2+$D83,0))+IF(CM$9="X",VLOOKUP(CM$10,'VK-Biokütused'!$C:$U,2+$E83,0))+IF(CM$5="X",VLOOKUP(CM$10,'VK-Põlevkivi'!$C:$X,2+$G83,0))+IF(CM$4="X",VLOOKUP(CM$10,'VK-Võrgud'!$C:$X,2+$F83,0)))/1000</f>
        <v>7.7319896156049159</v>
      </c>
      <c r="CN83" s="209">
        <f>(IF(CN$7="X",VLOOKUP(CN$10,'VK-Hooned-Soojus'!$C:$X,2+$C83,FALSE),0)+IF(CN$6="X",VLOOKUP(CN$10,'VK-Transport'!$C:$X,2+$B83,0))+IF(CN$8="X",VLOOKUP(CN$10,'VK-Elekter'!$C:$X,2+$D83,0))+IF(CN$9="X",VLOOKUP(CN$10,'VK-Biokütused'!$C:$U,2+$E83,0))+IF(CN$5="X",VLOOKUP(CN$10,'VK-Põlevkivi'!$C:$X,2+$G83,0))+IF(CN$4="X",VLOOKUP(CN$10,'VK-Võrgud'!$C:$X,2+$F83,0)))/1000</f>
        <v>2.9929999999999999</v>
      </c>
      <c r="CO83" s="209">
        <f>(IF(CO$7="X",VLOOKUP(CO$10,'VK-Hooned-Soojus'!$C:$X,2+$C83,FALSE),0)+IF(CO$6="X",VLOOKUP(CO$10,'VK-Transport'!$C:$X,2+$B83,0))+IF(CO$8="X",VLOOKUP(CO$10,'VK-Elekter'!$C:$X,2+$D83,0))+IF(CO$9="X",VLOOKUP(CO$10,'VK-Biokütused'!$C:$U,2+$E83,0))+IF(CO$5="X",VLOOKUP(CO$10,'VK-Põlevkivi'!$C:$X,2+$G83,0))+IF(CO$4="X",VLOOKUP(CO$10,'VK-Võrgud'!$C:$X,2+$F83,0)))/1000</f>
        <v>29.363575210797279</v>
      </c>
      <c r="CP83" s="209">
        <f>(IF(CP$7="X",VLOOKUP(CP$10,'VK-Hooned-Soojus'!$C:$X,2+$C83,FALSE),0)+IF(CP$6="X",VLOOKUP(CP$10,'VK-Transport'!$C:$X,2+$B83,0))+IF(CP$8="X",VLOOKUP(CP$10,'VK-Elekter'!$C:$X,2+$D83,0))+IF(CP$9="X",VLOOKUP(CP$10,'VK-Biokütused'!$C:$U,2+$E83,0))+IF(CP$5="X",VLOOKUP(CP$10,'VK-Põlevkivi'!$C:$X,2+$G83,0))+IF(CP$4="X",VLOOKUP(CP$10,'VK-Võrgud'!$C:$X,2+$F83,0)))/1000</f>
        <v>32.3384767246541</v>
      </c>
      <c r="CQ83" s="209">
        <f>(IF(CQ$7="X",VLOOKUP(CQ$10,'VK-Hooned-Soojus'!$C:$X,2+$C83,FALSE),0)+IF(CQ$6="X",VLOOKUP(CQ$10,'VK-Transport'!$C:$X,2+$B83,0))+IF(CQ$8="X",VLOOKUP(CQ$10,'VK-Elekter'!$C:$X,2+$D83,0))+IF(CQ$9="X",VLOOKUP(CQ$10,'VK-Biokütused'!$C:$U,2+$E83,0))+IF(CQ$5="X",VLOOKUP(CQ$10,'VK-Põlevkivi'!$C:$X,2+$G83,0))+IF(CQ$4="X",VLOOKUP(CQ$10,'VK-Võrgud'!$C:$X,2+$F83,0)))/1000</f>
        <v>17.009345999999997</v>
      </c>
      <c r="CR83" s="209">
        <f>(IF(CR$7="X",VLOOKUP(CR$10,'VK-Hooned-Soojus'!$C:$X,2+$C83,FALSE),0)+IF(CR$6="X",VLOOKUP(CR$10,'VK-Transport'!$C:$X,2+$B83,0))+IF(CR$8="X",VLOOKUP(CR$10,'VK-Elekter'!$C:$X,2+$D83,0))+IF(CR$9="X",VLOOKUP(CR$10,'VK-Biokütused'!$C:$U,2+$E83,0))+IF(CR$5="X",VLOOKUP(CR$10,'VK-Põlevkivi'!$C:$X,2+$G83,0))+IF(CR$4="X",VLOOKUP(CR$10,'VK-Võrgud'!$C:$X,2+$F83,0)))/1000</f>
        <v>8.1900872784575753</v>
      </c>
      <c r="CS83" s="209">
        <f>(IF(CS$7="X",VLOOKUP(CS$10,'VK-Hooned-Soojus'!$C:$X,2+$C83,FALSE),0)+IF(CS$6="X",VLOOKUP(CS$10,'VK-Transport'!$C:$X,2+$B83,0))+IF(CS$8="X",VLOOKUP(CS$10,'VK-Elekter'!$C:$X,2+$D83,0))+IF(CS$9="X",VLOOKUP(CS$10,'VK-Biokütused'!$C:$U,2+$E83,0))+IF(CS$5="X",VLOOKUP(CS$10,'VK-Põlevkivi'!$C:$X,2+$G83,0))+IF(CS$4="X",VLOOKUP(CS$10,'VK-Võrgud'!$C:$X,2+$F83,0)))/1000</f>
        <v>3.8443344900598322</v>
      </c>
      <c r="CT83" s="209">
        <f>IF(CT$7="X",VLOOKUP(CT$10,'VK-Hooned-Soojus'!$C:$X,2+$C83,FALSE),0)+IF(CT$6="X",VLOOKUP(CT$10,'VK-Transport'!$C:$X,2+$B83,0))+IF(CT$8="X",VLOOKUP(CT$10,'VK-Elekter'!$C:$X,2+$D83,0))+IF(CT$9="X",VLOOKUP(CT$10,'VK-Biokütused'!$C:$U,2+$E83,0))+IF(CT$5="X",VLOOKUP(CT$10,'VK-Põlevkivi'!$C:$X,2+$G83,0))+IF(CT$4="X",VLOOKUP(CT$10,'VK-Võrgud'!$C:$X,2+$F83,0))</f>
        <v>90</v>
      </c>
      <c r="CU83" s="209">
        <f>IF(CU$7="X",VLOOKUP(CU$10,'VK-Hooned-Soojus'!$C:$X,2+$C83,FALSE),0)+IF(CU$6="X",VLOOKUP(CU$10,'VK-Transport'!$C:$X,2+$B83,0))+IF(CU$8="X",VLOOKUP(CU$10,'VK-Elekter'!$C:$X,2+$D83,0))+IF(CU$9="X",VLOOKUP(CU$10,'VK-Biokütused'!$C:$U,2+$E83,0))+IF(CU$5="X",VLOOKUP(CU$10,'VK-Põlevkivi'!$C:$X,2+$G83,0))+IF(CU$4="X",VLOOKUP(CU$10,'VK-Võrgud'!$C:$X,2+$F83,0))</f>
        <v>1</v>
      </c>
      <c r="CV83" s="209">
        <f t="shared" si="49"/>
        <v>1</v>
      </c>
      <c r="CW83" s="209">
        <f>(IF(CW$7="X",VLOOKUP(CW$10,'VK-Hooned-Soojus'!$C:$X,2+$C83,FALSE),0)+IF(CW$6="X",VLOOKUP(CW$10,'VK-Transport'!$C:$X,2+$B83,0))+IF(CW$8="X",VLOOKUP(CW$10,'VK-Elekter'!$C:$X,2+$D83,0))+IF(CW$9="X",VLOOKUP(CW$10,'VK-Biokütused'!$C:$U,2+$E83,0))+IF(CW$5="X",VLOOKUP(CW$10,'VK-Põlevkivi'!$C:$X,2+$G83,0))+IF(CW$4="X",VLOOKUP(CW$10,'VK-Võrgud'!$C:$X,2+$F83,0)))/16</f>
        <v>0</v>
      </c>
      <c r="CY83" s="209">
        <f>(IF(CY$7="X",VLOOKUP(CY$10,'VK-Hooned-Soojus'!$C:$X,2+$C83,FALSE),0)+IF(CY$6="X",VLOOKUP(CY$10,'VK-Transport'!$C:$X,2+$B83,0))+IF(CY$8="X",VLOOKUP(CY$10,'VK-Elekter'!$C:$X,2+$D83,0))+IF(CY$9="X",VLOOKUP(CY$10,'VK-Biokütused'!$C:$U,2+$E83,0))+IF(CY$5="X",VLOOKUP(CY$10,'VK-Põlevkivi'!$C:$X,2+$G83,0))+IF(CY$4="X",VLOOKUP(CY$10,'VK-Võrgud'!$C:$X,2+$F83,0)))/1000</f>
        <v>11.377000000000001</v>
      </c>
      <c r="CZ83" s="209">
        <f>(IF(CZ$7="X",VLOOKUP(CZ$10,'VK-Hooned-Soojus'!$C:$X,2+$C83,FALSE),0)+IF(CZ$6="X",VLOOKUP(CZ$10,'VK-Transport'!$C:$X,2+$B83,0))+IF(CZ$8="X",VLOOKUP(CZ$10,'VK-Elekter'!$C:$X,2+$D83,0))+IF(CZ$9="X",VLOOKUP(CZ$10,'VK-Biokütused'!$C:$U,2+$E83,0))+IF(CZ$5="X",VLOOKUP(CZ$10,'VK-Põlevkivi'!$C:$X,2+$G83,0))+IF(CZ$4="X",VLOOKUP(CZ$10,'VK-Võrgud'!$C:$X,2+$F83,0)))</f>
        <v>92</v>
      </c>
      <c r="DA83" s="209">
        <f>(IF(DA$7="X",VLOOKUP(DA$10,'VK-Hooned-Soojus'!$C:$X,2+$C83,FALSE),0)+IF(DA$6="X",VLOOKUP(DA$10,'VK-Transport'!$C:$X,2+$B83,0))+IF(DA$8="X",VLOOKUP(DA$10,'VK-Elekter'!$C:$X,2+$D83,0))+IF(DA$9="X",VLOOKUP(DA$10,'VK-Biokütused'!$C:$U,2+$E83,0))+IF(DA$5="X",VLOOKUP(DA$10,'VK-Põlevkivi'!$C:$X,2+$G83,0))+IF(DA$4="X",VLOOKUP(DA$10,'VK-Võrgud'!$C:$X,2+$F83,0)))/1000</f>
        <v>16.577999999999999</v>
      </c>
      <c r="DB83" s="209">
        <f>(IF(DB$7="X",VLOOKUP(DB$10,'VK-Hooned-Soojus'!$C:$X,2+$C83,FALSE),0)+IF(DB$6="X",VLOOKUP(DB$10,'VK-Transport'!$C:$X,2+$B83,0))+IF(DB$8="X",VLOOKUP(DB$10,'VK-Elekter'!$C:$X,2+$D83,0))+IF(DB$9="X",VLOOKUP(DB$10,'VK-Biokütused'!$C:$U,2+$E83,0))+IF(DB$5="X",VLOOKUP(DB$10,'VK-Põlevkivi'!$C:$X,2+$G83,0))+IF(DB$4="X",VLOOKUP(DB$10,'VK-Võrgud'!$C:$X,2+$F83,0)))/1000/3.6</f>
        <v>136.20138888888889</v>
      </c>
      <c r="DC83" s="209">
        <f>(IF(DC$7="X",VLOOKUP(DC$10,'VK-Hooned-Soojus'!$C:$X,2+$C83,FALSE),0)+IF(DC$6="X",VLOOKUP(DC$10,'VK-Transport'!$C:$X,2+$B83,0))+IF(DC$8="X",VLOOKUP(DC$10,'VK-Elekter'!$C:$X,2+$D83,0))+IF(DC$9="X",VLOOKUP(DC$10,'VK-Biokütused'!$C:$U,2+$E83,0))+IF(DC$5="X",VLOOKUP(DC$10,'VK-Põlevkivi'!$C:$X,2+$G83,0))+IF(DC$4="X",VLOOKUP(DC$10,'VK-Võrgud'!$C:$X,2+$F83,0)))/1000000</f>
        <v>7.3365539999999996</v>
      </c>
      <c r="DD83" s="209"/>
      <c r="DE83" s="88">
        <f>VLOOKUP(Tulemused!$BN$12,data!M$7:N$12,2,FALSE)-SUM(L83,M83)</f>
        <v>-1.2238666666666731</v>
      </c>
      <c r="DF83" s="209" t="str">
        <f>IF(AZ83&lt;=VLOOKUP(Tulemused!$BN$15,data!$E$36:$F$39,2,FALSE),"JAH","EI")</f>
        <v>JAH</v>
      </c>
      <c r="DG83" s="209"/>
      <c r="DH83" s="209">
        <f t="shared" si="50"/>
        <v>6.28</v>
      </c>
      <c r="DI83" s="231" t="str">
        <f t="shared" si="65"/>
        <v>EI</v>
      </c>
      <c r="DK83" s="232">
        <f t="shared" si="51"/>
        <v>-995.37208966442518</v>
      </c>
      <c r="DM83" s="233">
        <f t="shared" si="52"/>
        <v>-995.1328604919313</v>
      </c>
      <c r="DN83" s="87">
        <f t="array" ref="DN83">INDEX($A$11:$A$145, SMALL(IF(DM83=$DK$11:$DK$145, MATCH(ROW($DK$11:$DK$145), ROW($DK$11:$DK$145))), SUM(--(DM83=$DM$11:DM83))))</f>
        <v>63</v>
      </c>
      <c r="DP83" s="87" t="e">
        <f t="shared" ca="1" si="66"/>
        <v>#N/A</v>
      </c>
      <c r="DQ83" s="87" t="e">
        <f t="shared" ca="1" si="67"/>
        <v>#N/A</v>
      </c>
      <c r="DR83" s="87">
        <f t="shared" ca="1" si="68"/>
        <v>0</v>
      </c>
      <c r="DS83" s="87" t="e">
        <f t="shared" ca="1" si="69"/>
        <v>#N/A</v>
      </c>
      <c r="DT83" s="87">
        <f t="shared" ca="1" si="70"/>
        <v>0</v>
      </c>
      <c r="DU83" s="87" t="e">
        <f t="shared" ca="1" si="71"/>
        <v>#N/A</v>
      </c>
      <c r="DV83" s="87" t="e">
        <f t="shared" ca="1" si="72"/>
        <v>#N/A</v>
      </c>
      <c r="DW83" s="87">
        <f t="shared" ca="1" si="73"/>
        <v>0</v>
      </c>
      <c r="DX83" s="87">
        <f t="shared" ca="1" si="74"/>
        <v>0</v>
      </c>
      <c r="DZ83" s="87">
        <f t="shared" ca="1" si="35"/>
        <v>0</v>
      </c>
      <c r="EB83" s="87">
        <f t="shared" ca="1" si="75"/>
        <v>0</v>
      </c>
      <c r="EC83" s="87" t="e">
        <f t="shared" ca="1" si="76"/>
        <v>#N/A</v>
      </c>
      <c r="EE83" s="228">
        <f>(IF(EE$7="X",VLOOKUP(EE$10,'VK-Hooned-Soojus'!$C:$X,2+$C83,FALSE),0)+IF(EE$6="X",VLOOKUP(EE$10,'VK-Transport'!$C:$X,2+$B83,0))+IF(EE$8="X",VLOOKUP(EE$10,'VK-Elekter'!$C:$X,2+$D83,0))+IF(EE$9="X",VLOOKUP(EE$10,'VK-Biokütused'!$C:$U,2+$E83,0))+IF(EE$5="X",VLOOKUP(EE$10,'VK-Põlevkivi'!$C:$X,2+$G83,0))+IF(EE$4="X",VLOOKUP(EE$10,'VK-Võrgud'!$C:$X,2+$F83,0)))</f>
        <v>6661.9470705392205</v>
      </c>
      <c r="EF83" s="209">
        <f>(IF(EF$7="X",VLOOKUP(EF$10,'VK-Hooned-Soojus'!$C:$X,2+$C83,FALSE),0)+IF(EF$6="X",VLOOKUP(EF$10,'VK-Transport'!$C:$X,2+$B83,0))+IF(EF$8="X",VLOOKUP(EF$10,'VK-Elekter'!$C:$X,2+$D83,0))+IF(EF$9="X",VLOOKUP(EF$10,'VK-Biokütused'!$C:$U,2+$E83,0))+IF(EF$5="X",VLOOKUP(EF$10,'VK-Põlevkivi'!$C:$X,2+$G83,0))+IF(EF$4="X",VLOOKUP(EF$10,'VK-Võrgud'!$C:$X,2+$F83,0)))/1000</f>
        <v>8.8423823271229711</v>
      </c>
      <c r="EG83" s="209">
        <f>(IF(EG$7="X",VLOOKUP(EG$10,'VK-Hooned-Soojus'!$C:$X,2+$C83,FALSE),0)+IF(EG$6="X",VLOOKUP(EG$10,'VK-Transport'!$C:$X,2+$B83,0))+IF(EG$8="X",VLOOKUP(EG$10,'VK-Elekter'!$C:$X,2+$D83,0))+IF(EG$9="X",VLOOKUP(EG$10,'VK-Biokütused'!$C:$U,2+$E83,0))+IF(EG$5="X",VLOOKUP(EG$10,'VK-Põlevkivi'!$C:$X,2+$G83,0))+IF(EG$4="X",VLOOKUP(EG$10,'VK-Võrgud'!$C:$X,2+$F83,0)))</f>
        <v>0.81</v>
      </c>
      <c r="EH83" s="209">
        <f>(IF(EH$7="X",VLOOKUP(EH$10,'VK-Hooned-Soojus'!$C:$X,2+$C83,FALSE),0)+IF(EH$6="X",VLOOKUP(EH$10,'VK-Transport'!$C:$X,2+$B83,0))+IF(EH$8="X",VLOOKUP(EH$10,'VK-Elekter'!$C:$X,2+$D83,0))+IF(EH$9="X",VLOOKUP(EH$10,'VK-Biokütused'!$C:$U,2+$E83,0)))+AR83+AS83+AU83+AX83</f>
        <v>91.640833333333333</v>
      </c>
      <c r="EI83" s="320">
        <f t="shared" si="53"/>
        <v>62.712789653214372</v>
      </c>
      <c r="EJ83" s="322">
        <f t="shared" si="54"/>
        <v>2.2545055318885739E-2</v>
      </c>
      <c r="EK83" s="323">
        <f t="shared" si="77"/>
        <v>0.39276127270180083</v>
      </c>
      <c r="EM83" s="209"/>
      <c r="EN83" s="209">
        <f t="shared" ca="1" si="55"/>
        <v>0</v>
      </c>
      <c r="EO83" s="209"/>
      <c r="EP83" s="234"/>
      <c r="EQ83" s="209">
        <f>(IF(EQ$7="X",VLOOKUP(EQ$10,'VK-Hooned-Soojus'!$C:$X,2+$C83,FALSE),0)+IF(EQ$6="X",VLOOKUP(EQ$10,'VK-Transport'!$C:$X,2+$B83,0))+IF(EQ$8="X",VLOOKUP(EQ$10,'VK-Elekter'!$C:$X,2+$D83,0))+IF(EQ$9="X",VLOOKUP(EQ$10,'VK-Biokütused'!$C:$U,2+$E83,0))+IF(EQ$5="X",VLOOKUP(EQ$10,'VK-Põlevkivi'!$C:$X,2+$G83,0))+IF(EQ$4="X",VLOOKUP(EQ$10,'VK-Võrgud'!$C:$X,2+$F83,0)))/1000</f>
        <v>0.21099999999999999</v>
      </c>
      <c r="ER83" s="209">
        <f>(IF(ER$7="X",VLOOKUP(ER$10,'VK-Hooned-Soojus'!$C:$X,2+$C83,FALSE),0)+IF(ER$6="X",VLOOKUP(ER$10,'VK-Transport'!$C:$X,2+$B83,0))+IF(ER$8="X",VLOOKUP(ER$10,'VK-Elekter'!$C:$X,2+$D83,0))+IF(ER$9="X",VLOOKUP(ER$10,'VK-Biokütused'!$C:$U,2+$E83,0))+IF(ER$5="X",VLOOKUP(ER$10,'VK-Põlevkivi'!$C:$X,2+$G83,0))+IF(ER$4="X",VLOOKUP(ER$10,'VK-Võrgud'!$C:$X,2+$F83,0)))</f>
        <v>0.76300000000000001</v>
      </c>
      <c r="ES83" s="209">
        <f>(IF(ES$7="X",VLOOKUP(ES$10,'VK-Hooned-Soojus'!$C:$X,2+$C83,FALSE),0)+IF(ES$6="X",VLOOKUP(ES$10,'VK-Transport'!$C:$X,2+$B83,0))+IF(ES$8="X",VLOOKUP(ES$10,'VK-Elekter'!$C:$X,2+$D83,0))+IF(ES$9="X",VLOOKUP(ES$10,'VK-Biokütused'!$C:$U,2+$E83,0))+IF(ES$5="X",VLOOKUP(ES$10,'VK-Põlevkivi'!$C:$X,2+$G83,0))+IF(ES$4="X",VLOOKUP(ES$10,'VK-Võrgud'!$C:$X,2+$F83,0)))</f>
        <v>6.28</v>
      </c>
      <c r="ET83" s="209"/>
      <c r="EU83" s="209"/>
      <c r="EV83" s="87">
        <f>'KSH järjestus'!AS76</f>
        <v>1675</v>
      </c>
      <c r="EX83" s="236"/>
      <c r="EY83" s="236"/>
      <c r="EZ83" s="237">
        <f t="shared" si="56"/>
        <v>0</v>
      </c>
      <c r="FA83" s="209">
        <f>IF(FA$7="X",VLOOKUP(FA$10,'VK-Hooned-Soojus'!$C:$X,2+$C83,FALSE),0)+IF(FA$6="X",VLOOKUP(FA$10,'VK-Transport'!$C:$X,2+$B83,0))+IF(FA$8="X",VLOOKUP(FA$10,'VK-Elekter'!$C:$X,2+$D83,0))+IF(FA$9="X",VLOOKUP(FA$10,'VK-Biokütused'!$C:$U,2+$E83,0))+IF(FA$5="X",VLOOKUP(FA$10,'VK-Põlevkivi'!$C:$X,2+$G83,0))+IF(FA$4="X",VLOOKUP(FA$10,'VK-Võrgud'!$C:$X,2+$F83,0))</f>
        <v>3011.346</v>
      </c>
      <c r="FB83" s="279">
        <f>(IF(FB$7="X",VLOOKUP(FB$10,'VK-Hooned-Soojus'!$C:$X,2+$C83,FALSE),0)+IF(FB$6="X",VLOOKUP(FB$10,'VK-Transport'!$C:$X,2+$B83,0))+IF(FB$8="X",VLOOKUP(FB$10,'VK-Elekter'!$C:$X,2+$D83,0))+IF(FB$9="X",VLOOKUP(FB$10,'VK-Biokütused'!$C:$U,2+$E83,0))+IF(FB$5="X",VLOOKUP(FB$10,'VK-Põlevkivi'!$C:$X,2+$G83,0))+IF(FB$4="X",VLOOKUP(FB$10,'VK-Võrgud'!$C:$X,2+$F83,0)))/16</f>
        <v>637.67379930042853</v>
      </c>
      <c r="FC83" s="209">
        <f>IF(FC$7="X",VLOOKUP(FC$10,'VK-Hooned-Soojus'!$C:$X,2+$C83,FALSE),0)+IF(FC$6="X",VLOOKUP(FC$10,'VK-Transport'!$C:$X,2+$B83,0))+IF(FC$8="X",VLOOKUP(FC$10,'VK-Elekter'!$C:$X,2+$D83,0))+IF(FC$9="X",VLOOKUP(FC$10,'VK-Biokütused'!$C:$U,2+$E83,0))+IF(FC$5="X",VLOOKUP(FC$10,'VK-Põlevkivi'!$C:$X,2+$G83,0))+IF(FC$4="X",VLOOKUP(FC$10,'VK-Võrgud'!$C:$X,2+$F83,0))</f>
        <v>306.35000000000002</v>
      </c>
      <c r="FD83" s="209">
        <f>(IF(FD$7="X",VLOOKUP(FD$10,'VK-Hooned-Soojus'!$C:$X,2+$C83,FALSE),0)+IF(FD$6="X",VLOOKUP(FD$10,'VK-Transport'!$C:$X,2+$B83,0))+IF(FD$8="X",VLOOKUP(FD$10,'VK-Elekter'!$C:$X,2+$D83,0))+IF(FD$9="X",VLOOKUP(FD$10,'VK-Biokütused'!$C:$U,2+$E83,0))+IF(FD$5="X",VLOOKUP(FD$10,'VK-Põlevkivi'!$C:$X,2+$G83,0))+IF(FD$4="X",VLOOKUP(FD$10,'VK-Võrgud'!$C:$X,2+$F83,0)))/16</f>
        <v>637.67379930042853</v>
      </c>
      <c r="FE83" s="209">
        <f>(IF(FE$7="X",VLOOKUP(FE$10,'VK-Hooned-Soojus'!$C:$X,2+$C83,FALSE),0)+IF(FE$6="X",VLOOKUP(FE$10,'VK-Transport'!$C:$X,2+$B83,0))+IF(FE$8="X",VLOOKUP(FE$10,'VK-Elekter'!$C:$X,2+$D83,0))+IF(FE$9="X",VLOOKUP(FE$10,'VK-Biokütused'!$C:$U,2+$E83,0))+IF(FE$5="X",VLOOKUP(FE$10,'VK-Põlevkivi'!$C:$X,2+$G83,0))+IF(FE$4="X",VLOOKUP(FE$10,'VK-Võrgud'!$C:$X,2+$F83,0)))/16</f>
        <v>-61.841250000000002</v>
      </c>
      <c r="FF83" s="209">
        <f>(IF(FF$7="X",VLOOKUP(FF$10,'VK-Hooned-Soojus'!$C:$X,2+$C83,FALSE),0)+IF(FF$6="X",VLOOKUP(FF$10,'VK-Transport'!$C:$X,2+$B83,0))+IF(FF$8="X",VLOOKUP(FF$10,'VK-Elekter'!$C:$X,2+$D83,0))+IF(FF$9="X",VLOOKUP(FF$10,'VK-Biokütused'!$C:$U,2+$E83,0))+IF(FF$5="X",VLOOKUP(FF$10,'VK-Põlevkivi'!$C:$X,2+$G83,0))+IF(FF$4="X",VLOOKUP(FF$10,'VK-Võrgud'!$C:$X,2+$F83,0)))/16</f>
        <v>201.65656284003862</v>
      </c>
      <c r="FG83" s="88">
        <f t="shared" ca="1" si="78"/>
        <v>139.81531284003862</v>
      </c>
      <c r="FH83" s="88"/>
      <c r="FI83" s="88"/>
      <c r="FJ83" s="88">
        <f>VLOOKUP(Tulemused!$BN$12,data!M$7:N$12,2,FALSE)-SUM(L83,M83)</f>
        <v>-1.2238666666666731</v>
      </c>
      <c r="FK83" s="209" t="str">
        <f>IF(AZ83&lt;=VLOOKUP(Tulemused!$BN$15,data!$E$36:$F$39,2,FALSE),"JAH","EI")</f>
        <v>JAH</v>
      </c>
      <c r="FL83" s="235">
        <f ca="1">IF(ISNA(MATCH($A83,INDIRECT(VLOOKUP(Tulemused!$BF$11,data!$J$57:$M$71,4,FALSE)))),0,MATCH($A83,INDIRECT(VLOOKUP(Tulemused!$BF$11,data!$J$57:$M$71,4,FALSE))))</f>
        <v>0</v>
      </c>
      <c r="FM83" s="235" t="str">
        <f t="shared" ca="1" si="57"/>
        <v>JAH</v>
      </c>
      <c r="FN83" s="209">
        <f>VLOOKUP(Tulemused!$BN$13,data!$C$132:$D$137,2,FALSE)-KOMBI!R83</f>
        <v>3.6875876728770303</v>
      </c>
      <c r="FO83" s="209"/>
      <c r="FP83" s="209">
        <f>VLOOKUP(Tulemused!$BN$17,NO_x,2,FALSE)-CJ83</f>
        <v>6.7910000000000004</v>
      </c>
      <c r="FQ83" s="209">
        <f>VLOOKUP(Tulemused!$BN$18,SO_2,2,FALSE)-CK83</f>
        <v>13.393083784206773</v>
      </c>
      <c r="FR83" s="209">
        <f>VLOOKUP(Tulemused!$BN$19,LOU,2,FALSE)-CN83</f>
        <v>34.087000000000003</v>
      </c>
      <c r="FS83" s="209">
        <f>VLOOKUP(Tulemused!$BN$20,PM_2.5,2,FALSE)-CM83</f>
        <v>9.1830103843950823</v>
      </c>
      <c r="FT83" s="209">
        <f>VLOOKUP(Tulemused!$BN$13,data!$C$132:$D$137,2,FALSE)-FA83/1000</f>
        <v>3.2346240000000006</v>
      </c>
      <c r="FU83" s="209">
        <f>VLOOKUP(Tulemused!$BN$17,NO_x,2,FALSE)-CO83</f>
        <v>7.4424789202719666E-2</v>
      </c>
      <c r="FV83" s="209">
        <f>VLOOKUP(Tulemused!$BN$18,SO_2,2,FALSE)-CP83</f>
        <v>19.5455232753459</v>
      </c>
      <c r="FW83" s="209">
        <f>VLOOKUP(Tulemused!$BN$19,LOU,2,FALSE)-CS83</f>
        <v>33.235665509940176</v>
      </c>
      <c r="FX83" s="209">
        <f>VLOOKUP(Tulemused!$BN$20,PM_2.5,2,FALSE)-CR83</f>
        <v>8.7249127215424238</v>
      </c>
      <c r="FY83" s="209">
        <f>VLOOKUP(Tulemused!$BN$14,KHG_2050,2,FALSE)-EF83</f>
        <v>91.157617672877024</v>
      </c>
      <c r="FZ83" s="231" t="str">
        <f t="shared" ca="1" si="79"/>
        <v>EI</v>
      </c>
      <c r="GA83" s="209"/>
      <c r="GB83" s="209"/>
      <c r="GC83" s="209"/>
      <c r="GD83" s="231"/>
      <c r="GE83" s="87">
        <f t="shared" si="58"/>
        <v>1675</v>
      </c>
      <c r="GF83" s="232" t="str">
        <f t="shared" ca="1" si="80"/>
        <v/>
      </c>
      <c r="GH83" s="238" t="e">
        <f t="shared" ca="1" si="59"/>
        <v>#NUM!</v>
      </c>
      <c r="GI83" s="87" t="e">
        <f t="array" aca="1" ref="GI83" ca="1">INDEX($A$11:$A$145, SMALL(IF(GH83=$GF$11:$GF$145, MATCH(ROW($GF$11:$GF$145), ROW($GF$11:$GF$145))), SUM(--(GH83=$GH$11:GH83))))</f>
        <v>#NUM!</v>
      </c>
      <c r="GM83" s="209">
        <f>IF(GM$7="X",VLOOKUP(GM$10,'VK-Hooned-Soojus'!$C:$X,2+$C83,FALSE),0)+IF(GM$6="X",VLOOKUP(GM$10,'VK-Transport'!$C:$X,2+$B83,0))+IF(GM$8="X",VLOOKUP(GM$10,'VK-Elekter'!$C:$X,2+$D83,0))+IF(GM$9="X",VLOOKUP(GM$10,'VK-Biokütused'!$C:$U,2+$E83,0))+IF(GM$5="X",VLOOKUP(GM$10,'VK-Põlevkivi'!$C:$X,2+$G83,0))+IF(GM$4="X",VLOOKUP(GM$10,'VK-Võrgud'!$C:$X,2+$F83,0))</f>
        <v>11.189888530766083</v>
      </c>
      <c r="GN83" s="209">
        <f>IF(GN$7="X",VLOOKUP(GN$10,'VK-Hooned-Soojus'!$C:$X,2+$C83,FALSE),0)+IF(GN$6="X",VLOOKUP(GN$10,'VK-Transport'!$C:$X,2+$B83,0))+IF(GN$8="X",VLOOKUP(GN$10,'VK-Elekter'!$C:$X,2+$D83,0))+IF(GN$9="X",VLOOKUP(GN$10,'VK-Biokütused'!$C:$U,2+$E83,0))+IF(GN$5="X",VLOOKUP(GN$10,'VK-Põlevkivi'!$C:$X,2+$G83,0))+IF(GN$4="X",VLOOKUP(GN$10,'VK-Võrgud'!$C:$X,2+$F83,0))</f>
        <v>2.9930837725682502</v>
      </c>
      <c r="GO83" s="209">
        <f>IF(GO$7="X",VLOOKUP(GO$10,'VK-Hooned-Soojus'!$C:$X,2+$C83,FALSE),0)+IF(GO$6="X",VLOOKUP(GO$10,'VK-Transport'!$C:$X,2+$B83,0))+IF(GO$8="X",VLOOKUP(GO$10,'VK-Elekter'!$C:$X,2+$D83,0))+IF(GO$9="X",VLOOKUP(GO$10,'VK-Biokütused'!$C:$U,2+$E83,0))+IF(GO$5="X",VLOOKUP(GO$10,'VK-Põlevkivi'!$C:$X,2+$G83,0))+IF(GO$4="X",VLOOKUP(GO$10,'VK-Võrgud'!$C:$X,2+$F83,0))</f>
        <v>7.936370010272257</v>
      </c>
      <c r="GP83" s="209">
        <f>IF(GP$7="X",VLOOKUP(GP$10,'VK-Hooned-Soojus'!$C:$X,2+$C83,FALSE),0)+IF(GP$6="X",VLOOKUP(GP$10,'VK-Transport'!$C:$X,2+$B83,0))+IF(GP$8="X",VLOOKUP(GP$10,'VK-Elekter'!$C:$X,2+$D83,0))+IF(GP$9="X",VLOOKUP(GP$10,'VK-Biokütused'!$C:$U,2+$E83,0))+IF(GP$5="X",VLOOKUP(GP$10,'VK-Põlevkivi'!$C:$X,2+$G83,0))+IF(GP$4="X",VLOOKUP(GP$10,'VK-Võrgud'!$C:$X,2+$F83,0))</f>
        <v>9.1527946929596489</v>
      </c>
      <c r="GQ83" s="88">
        <f>IF(GQ$7="X",VLOOKUP(GQ$10,'VK-Hooned-Soojus'!$C:$X,2+$C83,FALSE),0)+IF(GQ$6="X",VLOOKUP(GQ$10,'VK-Transport'!$C:$X,2+$B83,0))+IF(GQ$8="X",VLOOKUP(GQ$10,'VK-Elekter'!$C:$X,2+$D83,0))+IF(GQ$9="X",VLOOKUP(GQ$10,'VK-Biokütused'!$C:$U,2+$E83,0))+IF(GQ$5="X",VLOOKUP(GQ$10,'VK-Põlevkivi'!$C:$X,2+$G83,0))+IF(GQ$4="X",VLOOKUP(GQ$10,'VK-Võrgud'!$C:$X,2+$F83,0))</f>
        <v>0.90618397335647782</v>
      </c>
      <c r="GR83" s="186">
        <f t="shared" si="81"/>
        <v>0.38324544696734003</v>
      </c>
    </row>
    <row r="84" spans="1:200" x14ac:dyDescent="0.2">
      <c r="A84" s="184">
        <v>74</v>
      </c>
      <c r="B84" s="87">
        <v>2</v>
      </c>
      <c r="C84" s="87">
        <v>2</v>
      </c>
      <c r="D84" s="87">
        <v>5</v>
      </c>
      <c r="E84" s="87">
        <v>2</v>
      </c>
      <c r="F84" s="87">
        <f>VLOOKUP(Tulemused!$BF$7,data!$J$6:$K$8,2,FALSE)</f>
        <v>2</v>
      </c>
      <c r="G84" s="87">
        <f>VLOOKUP(data!$H$2,data!$J$12:$K$14,2,FALSE)</f>
        <v>2</v>
      </c>
      <c r="I84" s="209">
        <f>IF(I$7="X",VLOOKUP(I$10,'VK-Hooned-Soojus'!$C:$X,2+$C84,FALSE),0)+IF(I$6="X",VLOOKUP(I$10,'VK-Transport'!$C:$X,2+$B84,0))+IF(I$8="X",VLOOKUP(I$10,'VK-Elekter'!$C:$X,2+$D84,0))+IF(I$9="X",VLOOKUP(I$10,'VK-Biokütused'!$C:$U,2+$E84,0))+IF(I$5="X",VLOOKUP(I$10,'VK-Põlevkivi'!$C:$X,2+$G84,0))+IF(I$4="X",VLOOKUP(I$10,'VK-Võrgud'!$C:$X,2+$F84,0))</f>
        <v>24.79</v>
      </c>
      <c r="J84" s="209">
        <f>IF(J$7="X",VLOOKUP(J$10,'VK-Hooned-Soojus'!$C:$X,2+$C84,FALSE),0)+IF(J$6="X",VLOOKUP(J$10,'VK-Transport'!$C:$X,2+$B84,0))+IF(J$8="X",VLOOKUP(J$10,'VK-Elekter'!$C:$X,2+$D84,0))+IF(J$9="X",VLOOKUP(J$10,'VK-Biokütused'!$C:$U,2+$E84,0))+IF(J$5="X",VLOOKUP(J$10,'VK-Põlevkivi'!$C:$X,2+$G84,0))+IF(J$4="X",VLOOKUP(J$10,'VK-Võrgud'!$C:$X,2+$F84,0))</f>
        <v>11.138055555555555</v>
      </c>
      <c r="K84" s="209">
        <f>IF(K$7="X",VLOOKUP(K$10,'VK-Hooned-Soojus'!$C:$X,2+$C84,FALSE),0)+IF(K$6="X",VLOOKUP(K$10,'VK-Transport'!$C:$X,2+$B84,0))+IF(K$8="X",VLOOKUP(K$10,'VK-Elekter'!$C:$X,2+$D84,0))+IF(K$9="X",VLOOKUP(K$10,'VK-Biokütused'!$C:$U,2+$E84,0))+IF(K$5="X",VLOOKUP(K$10,'VK-Põlevkivi'!$C:$X,2+$G84,0))+IF(K$4="X",VLOOKUP(K$10,'VK-Võrgud'!$C:$X,2+$F84,0))</f>
        <v>15.27</v>
      </c>
      <c r="L84" s="209">
        <f>IF(L$7="X",VLOOKUP(L$10,'VK-Hooned-Soojus'!$C:$X,2+$C84,FALSE),0)+IF(L$6="X",VLOOKUP(L$10,'VK-Transport'!$C:$X,2+$B84,0))+IF(L$8="X",VLOOKUP(L$10,'VK-Elekter'!$C:$X,2+$D84,0))+IF(L$9="X",VLOOKUP(L$10,'VK-Biokütused'!$C:$U,2+$E84,0))+IF(L$5="X",VLOOKUP(L$10,'VK-Põlevkivi'!$C:$X,2+$G84,0))+IF(L$4="X",VLOOKUP(L$10,'VK-Võrgud'!$C:$X,2+$F84,0))</f>
        <v>24.2</v>
      </c>
      <c r="M84" s="209">
        <f>IF(M$7="X",VLOOKUP(M$10,'VK-Hooned-Soojus'!$C:$X,2+$C84,FALSE),0)+IF(M$6="X",VLOOKUP(M$10,'VK-Transport'!$C:$X,2+$B84,0))+IF(M$8="X",VLOOKUP(M$10,'VK-Elekter'!$C:$X,2+$D84,0))+IF(M$9="X",VLOOKUP(M$10,'VK-Biokütused'!$C:$U,2+$E84,0))+IF(M$5="X",VLOOKUP(M$10,'VK-Põlevkivi'!$C:$X,2+$G84,0))+IF(M$4="X",VLOOKUP(M$10,'VK-Võrgud'!$C:$X,2+$F84,0))</f>
        <v>9.8566666666666674</v>
      </c>
      <c r="N84" s="209">
        <f>IF(N$7="X",VLOOKUP(N$10,'VK-Hooned-Soojus'!$C:$X,2+$C84,FALSE),0)+IF(N$6="X",VLOOKUP(N$10,'VK-Transport'!$C:$X,2+$B84,0))+IF(N$8="X",VLOOKUP(N$10,'VK-Elekter'!$C:$X,2+$D84,0))+IF(N$9="X",VLOOKUP(N$10,'VK-Biokütused'!$C:$U,2+$E84,0))+IF(N$5="X",VLOOKUP(N$10,'VK-Põlevkivi'!$C:$X,2+$G84,0))+IF(N$4="X",VLOOKUP(N$10,'VK-Võrgud'!$C:$X,2+$F84,0))</f>
        <v>16.09</v>
      </c>
      <c r="O84" s="209">
        <f t="shared" si="60"/>
        <v>35.928055555555552</v>
      </c>
      <c r="P84" s="209"/>
      <c r="Q84" s="209">
        <f>(IF(Q$7="X",VLOOKUP(Q$10,'VK-Hooned-Soojus'!$C:$X,2+$C84,FALSE),0)+IF(Q$6="X",VLOOKUP(Q$10,'VK-Transport'!$C:$X,2+$B84,0))+IF(Q$8="X",VLOOKUP(Q$10,'VK-Elekter'!$C:$X,2+$D84,0))+IF(Q$9="X",VLOOKUP(Q$10,'VK-Biokütused'!$C:$U,2+$E84,0))+IF(Q$5="X",VLOOKUP(Q$10,'VK-Põlevkivi'!$C:$X,2+$G84,0))+IF(Q$4="X",VLOOKUP(Q$10,'VK-Võrgud'!$C:$X,2+$F84,0)))/1000</f>
        <v>6.0640000000000001</v>
      </c>
      <c r="R84" s="209">
        <f>(IF(R$7="X",VLOOKUP(R$10,'VK-Hooned-Soojus'!$C:$X,2+$C84,FALSE),0)+IF(R$6="X",VLOOKUP(R$10,'VK-Transport'!$C:$X,2+$B84,0))+IF(R$8="X",VLOOKUP(R$10,'VK-Elekter'!$C:$X,2+$D84,0))+IF(R$9="X",VLOOKUP(R$10,'VK-Biokütused'!$C:$U,2+$E84,0))+IF(R$5="X",VLOOKUP(R$10,'VK-Põlevkivi'!$C:$X,2+$G84,0))+IF(R$4="X",VLOOKUP(R$10,'VK-Võrgud'!$C:$X,2+$F84,0)))/1000</f>
        <v>2.9358823271229704</v>
      </c>
      <c r="S84" s="226">
        <f>VLOOKUP(S$10,'VK-Hooned-Soojus'!$C:$I,2+$C84,FALSE) + VLOOKUP(S$10,'VK-Transport'!$C:$I,2+$B84,FALSE)+ VLOOKUP(S$10,'VK-Biokütused'!$C:$G,2+$E84,FALSE)+ VLOOKUP(S$10,'VK-Elekter'!$C:$I,2+$D84,FALSE)+ VLOOKUP(S$10,'VK-Põlevkivi'!$C:$I,2+$G84,FALSE)+ VLOOKUP(S$10,'VK-Võrgud'!$C:$I,2+$F84,FALSE)</f>
        <v>2.985554741311585E-2</v>
      </c>
      <c r="T84" s="226">
        <f>VLOOKUP(T$10,'VK-Hooned-Soojus'!$C:$I,2+$C84,FALSE) + VLOOKUP(T$10,'VK-Transport'!$C:$I,2+$B84,FALSE)+ VLOOKUP(T$10,'VK-Biokütused'!$C:$G,2+$E84,FALSE)+ VLOOKUP(T$10,'VK-Elekter'!$C:$I,2+$D84,FALSE)+ VLOOKUP(T$10,'VK-Põlevkivi'!$C:$I,2+$G84,FALSE)+ VLOOKUP(T$10,'VK-Võrgud'!$C:$I,2+$F84,FALSE)</f>
        <v>7.0098056640464923E-3</v>
      </c>
      <c r="U84" s="226">
        <f>VLOOKUP(U$10,'VK-Hooned-Soojus'!$C:$I,2+$C84,FALSE) + VLOOKUP(U$10,'VK-Transport'!$C:$I,2+$B84,FALSE)+ VLOOKUP(U$10,'VK-Biokütused'!$C:$G,2+$E84,FALSE)+ VLOOKUP(U$10,'VK-Elekter'!$C:$I,2+$D84,FALSE)+ VLOOKUP(U$10,'VK-Põlevkivi'!$C:$I,2+$G84,FALSE)+ VLOOKUP(U$10,'VK-Võrgud'!$C:$I,2+$F84,FALSE)</f>
        <v>1.3028946595248891E-2</v>
      </c>
      <c r="V84" s="226">
        <f>VLOOKUP(V$10,'VK-Hooned-Soojus'!$C:$I,2+$C84,FALSE) + VLOOKUP(V$10,'VK-Transport'!$C:$I,2+$B84,FALSE)+ VLOOKUP(V$10,'VK-Biokütused'!$C:$G,2+$E84,FALSE)+ VLOOKUP(V$10,'VK-Elekter'!$C:$I,2+$D84,FALSE)+ VLOOKUP(V$10,'VK-Põlevkivi'!$C:$I,2+$G84,FALSE)+ VLOOKUP(V$10,'VK-Võrgud'!$C:$I,2+$F84,FALSE)</f>
        <v>1.716704844974248E-2</v>
      </c>
      <c r="W84" s="226">
        <f>VLOOKUP(W$10,'VK-Hooned-Soojus'!$C:$I,2+$C84,FALSE) + VLOOKUP(W$10,'VK-Transport'!$C:$I,2+$B84,FALSE)+ VLOOKUP(W$10,'VK-Biokütused'!$C:$G,2+$E84,FALSE)+ VLOOKUP(W$10,'VK-Elekter'!$C:$I,2+$D84,FALSE)+ VLOOKUP(W$10,'VK-Põlevkivi'!$C:$I,2+$G84,FALSE)+ VLOOKUP(W$10,'VK-Võrgud'!$C:$I,2+$F84,FALSE)</f>
        <v>-1.4561216912117985E-2</v>
      </c>
      <c r="X84" s="226">
        <f>VLOOKUP(X$10,'VK-Hooned-Soojus'!$C:$I,2+$C84,FALSE) + VLOOKUP(X$10,'VK-Transport'!$C:$I,2+$B84,FALSE)+ VLOOKUP(X$10,'VK-Biokütused'!$C:$G,2+$E84,FALSE)+ VLOOKUP(X$10,'VK-Elekter'!$C:$I,2+$D84,FALSE)+ VLOOKUP(X$10,'VK-Põlevkivi'!$C:$I,2+$G84,FALSE)+ VLOOKUP(X$10,'VK-Võrgud'!$C:$I,2+$F84,FALSE)</f>
        <v>5.7768622641764356E-2</v>
      </c>
      <c r="Y84" s="226">
        <f>VLOOKUP(Y$10,'VK-Hooned-Soojus'!$C:$I,2+$C84,FALSE) + VLOOKUP(Y$10,'VK-Transport'!$C:$I,2+$B84,FALSE)+ VLOOKUP(Y$10,'VK-Biokütused'!$C:$G,2+$E84,FALSE)+ VLOOKUP(Y$10,'VK-Elekter'!$C:$I,2+$D84,FALSE)+ VLOOKUP(Y$10,'VK-Põlevkivi'!$C:$I,2+$G84,FALSE)+ VLOOKUP(Y$10,'VK-Võrgud'!$C:$I,2+$F84,FALSE)</f>
        <v>5.2436403902425863E-2</v>
      </c>
      <c r="Z84" s="227">
        <f>(S84*Tulemused!$Q$9*10+T84*Tulemused!$Q$10*10+KOMBI!U84*Tulemused!$Q$11*10+KOMBI!V84*Tulemused!$Q$12*10)*Tulemused!$Q$8+-(W84*Tulemused!$Q$14*10+KOMBI!X84*Tulemused!$Q$15*10+KOMBI!Y84*Tulemused!$Q$16*10)*Tulemused!$Q$13</f>
        <v>5.5438219842206893</v>
      </c>
      <c r="AA84" s="228">
        <f>(IF(AA$7="X",VLOOKUP(AA$10,'VK-Hooned-Soojus'!$C:$X,2+$C84,FALSE),0)+IF(AA$6="X",VLOOKUP(AA$10,'VK-Transport'!$C:$X,2+$B84,0))+IF(AA$8="X",VLOOKUP(AA$10,'VK-Elekter'!$C:$X,2+$D84,0))+IF(AA$9="X",VLOOKUP(AA$10,'VK-Biokütused'!$C:$U,2+$E84,0))+IF(AA$5="X",VLOOKUP(AA$10,'VK-Põlevkivi'!$C:$X,2+$G84,0))+IF(AA$4="X",VLOOKUP(AA$10,'VK-Võrgud'!$C:$X,2+$F84,0)))</f>
        <v>4727</v>
      </c>
      <c r="AB84" s="228">
        <f>(IF(AB$7="X",VLOOKUP(AB$10,'VK-Hooned-Soojus'!$C:$X,2+$C84,FALSE),0)+IF(AB$6="X",VLOOKUP(AB$10,'VK-Transport'!$C:$X,2+$B84,0))+IF(AB$8="X",VLOOKUP(AB$10,'VK-Elekter'!$C:$X,2+$D84,0))+IF(AB$9="X",VLOOKUP(AB$10,'VK-Biokütused'!$C:$U,2+$E84,0))+IF(AB$5="X",VLOOKUP(AB$10,'VK-Põlevkivi'!$C:$X,2+$G84,0))+IF(AB$4="X",VLOOKUP(AB$10,'VK-Võrgud'!$C:$X,2+$F84,0)))</f>
        <v>1337</v>
      </c>
      <c r="AC84" s="228">
        <f>(IF(AC$7="X",VLOOKUP(AC$10,'VK-Hooned-Soojus'!$C:$X,2+$C84,FALSE),0)+IF(AC$6="X",VLOOKUP(AC$10,'VK-Transport'!$C:$X,2+$B84,0))+IF(AC$8="X",VLOOKUP(AC$10,'VK-Elekter'!$C:$X,2+$D84,0))+IF(AC$9="X",VLOOKUP(AC$10,'VK-Biokütused'!$C:$U,2+$E84,0))+IF(AC$5="X",VLOOKUP(AC$10,'VK-Põlevkivi'!$C:$X,2+$G84,0))+IF(AC$4="X",VLOOKUP(AC$10,'VK-Võrgud'!$C:$X,2+$F84,0)))</f>
        <v>2346</v>
      </c>
      <c r="AD84" s="228">
        <f>(IF(AD$7="X",VLOOKUP(AD$10,'VK-Hooned-Soojus'!$C:$X,2+$C84,FALSE),0)+IF(AD$6="X",VLOOKUP(AD$10,'VK-Transport'!$C:$X,2+$B84,0))+IF(AD$8="X",VLOOKUP(AD$10,'VK-Elekter'!$C:$X,2+$D84,0))+IF(AD$9="X",VLOOKUP(AD$10,'VK-Biokütused'!$C:$U,2+$E84,0))+IF(AD$5="X",VLOOKUP(AD$10,'VK-Põlevkivi'!$C:$X,2+$G84,0))+IF(AD$4="X",VLOOKUP(AD$10,'VK-Võrgud'!$C:$X,2+$F84,0)))</f>
        <v>377.5</v>
      </c>
      <c r="AE84" s="228">
        <f>(IF(AE$7="X",VLOOKUP(AE$10,'VK-Hooned-Soojus'!$C:$X,2+$C84,FALSE),0)+IF(AE$6="X",VLOOKUP(AE$10,'VK-Transport'!$C:$X,2+$B84,0))+IF(AE$8="X",VLOOKUP(AE$10,'VK-Elekter'!$C:$X,2+$D84,0))+IF(AE$9="X",VLOOKUP(AE$10,'VK-Biokütused'!$C:$U,2+$E84,0))+IF(AE$5="X",VLOOKUP(AE$10,'VK-Põlevkivi'!$C:$X,2+$G84,0))+IF(AE$4="X",VLOOKUP(AE$10,'VK-Võrgud'!$C:$X,2+$F84,0)))</f>
        <v>666</v>
      </c>
      <c r="AF84" s="228">
        <f>(IF(AF$7="X",VLOOKUP(AF$10,'VK-Hooned-Soojus'!$C:$X,2+$C84,FALSE),0)+IF(AF$6="X",VLOOKUP(AF$10,'VK-Transport'!$C:$X,2+$B84,0))+IF(AF$8="X",VLOOKUP(AF$10,'VK-Elekter'!$C:$X,2+$D84,0))+IF(AF$9="X",VLOOKUP(AF$10,'VK-Biokütused'!$C:$U,2+$E84,0))+IF(AF$5="X",VLOOKUP(AF$10,'VK-Põlevkivi'!$C:$X,2+$G84,0))+IF(AF$4="X",VLOOKUP(AF$10,'VK-Võrgud'!$C:$X,2+$F84,0)))</f>
        <v>1892.3823271229701</v>
      </c>
      <c r="AG84" s="209"/>
      <c r="AH84" s="209">
        <f>IF(AH$7="X",VLOOKUP(AH$10,'VK-Hooned-Soojus'!$C:$X,2+$C84,FALSE),0)+IF(AH$6="X",VLOOKUP(AH$10,'VK-Transport'!$C:$X,2+$B84,0))+IF(AH$8="X",VLOOKUP(AH$10,'VK-Elekter'!$C:$X,2+$D84,0))+IF(AH$9="X",VLOOKUP(AH$10,'VK-Biokütused'!$C:$U,2+$E84,0))+IF(AH$5="X",VLOOKUP(AH$10,'VK-Põlevkivi'!$C:$X,2+$G84,0))+IF(AH$4="X",VLOOKUP(AH$10,'VK-Võrgud'!$C:$X,2+$F84,0))</f>
        <v>17.400000000000002</v>
      </c>
      <c r="AI84" s="209">
        <f>IF(AI$7="X",VLOOKUP(AI$10,'VK-Hooned-Soojus'!$C:$X,2+$C84,FALSE),0)+IF(AI$6="X",VLOOKUP(AI$10,'VK-Transport'!$C:$X,2+$B84,0))+IF(AI$8="X",VLOOKUP(AI$10,'VK-Elekter'!$C:$X,2+$D84,0))+IF(AI$9="X",VLOOKUP(AI$10,'VK-Biokütused'!$C:$U,2+$E84,0))+IF(AI$5="X",VLOOKUP(AI$10,'VK-Põlevkivi'!$C:$X,2+$G84,0))+IF(AI$4="X",VLOOKUP(AI$10,'VK-Võrgud'!$C:$X,2+$F84,0))</f>
        <v>2.3100000000000005</v>
      </c>
      <c r="AJ84" s="209">
        <f>IF(AJ$7="X",VLOOKUP(AJ$10,'VK-Hooned-Soojus'!$C:$X,2+$C84,FALSE),0)+IF(AJ$6="X",VLOOKUP(AJ$10,'VK-Transport'!$C:$X,2+$B84,0))+IF(AJ$8="X",VLOOKUP(AJ$10,'VK-Elekter'!$C:$X,2+$D84,0))+IF(AJ$9="X",VLOOKUP(AJ$10,'VK-Biokütused'!$C:$U,2+$E84,0))+IF(AJ$5="X",VLOOKUP(AJ$10,'VK-Põlevkivi'!$C:$X,2+$G84,0))+IF(AJ$4="X",VLOOKUP(AJ$10,'VK-Võrgud'!$C:$X,2+$F84,0))</f>
        <v>4.59</v>
      </c>
      <c r="AK84" s="209">
        <f>IF(AK$7="X",VLOOKUP(AK$10,'VK-Hooned-Soojus'!$C:$X,2+$C84,FALSE),0)+IF(AK$6="X",VLOOKUP(AK$10,'VK-Transport'!$C:$X,2+$B84,0))+IF(AK$8="X",VLOOKUP(AK$10,'VK-Elekter'!$C:$X,2+$D84,0))+IF(AK$9="X",VLOOKUP(AK$10,'VK-Biokütused'!$C:$U,2+$E84,0))+IF(AK$5="X",VLOOKUP(AK$10,'VK-Põlevkivi'!$C:$X,2+$G84,0))+IF(AK$4="X",VLOOKUP(AK$10,'VK-Võrgud'!$C:$X,2+$F84,0))</f>
        <v>-0.41</v>
      </c>
      <c r="AL84" s="209">
        <f>IF(AL$7="X",VLOOKUP(AL$10,'VK-Hooned-Soojus'!$C:$X,2+$C84,FALSE),0)+IF(AL$6="X",VLOOKUP(AL$10,'VK-Transport'!$C:$X,2+$B84,0))+IF(AL$8="X",VLOOKUP(AL$10,'VK-Elekter'!$C:$X,2+$D84,0))+IF(AL$9="X",VLOOKUP(AL$10,'VK-Biokütused'!$C:$U,2+$E84,0))+IF(AL$5="X",VLOOKUP(AL$10,'VK-Põlevkivi'!$C:$X,2+$G84,0))+IF(AL$4="X",VLOOKUP(AL$10,'VK-Võrgud'!$C:$X,2+$F84,0))</f>
        <v>7.1999999999999993</v>
      </c>
      <c r="AM84" s="209">
        <f>IF(AM$7="X",VLOOKUP(AM$10,'VK-Hooned-Soojus'!$C:$X,2+$C84,FALSE),0)+IF(AM$6="X",VLOOKUP(AM$10,'VK-Transport'!$C:$X,2+$B84,0))+IF(AM$8="X",VLOOKUP(AM$10,'VK-Elekter'!$C:$X,2+$D84,0))+IF(AM$9="X",VLOOKUP(AM$10,'VK-Biokütused'!$C:$U,2+$E84,0))+IF(AM$5="X",VLOOKUP(AM$10,'VK-Põlevkivi'!$C:$X,2+$G84,0))+IF(AM$4="X",VLOOKUP(AM$10,'VK-Võrgud'!$C:$X,2+$F84,0))</f>
        <v>11.9</v>
      </c>
      <c r="AN84" s="209">
        <f>IF(AN$7="X",VLOOKUP(AN$10,'VK-Hooned-Soojus'!$C:$X,2+$C84,FALSE),0)+IF(AN$6="X",VLOOKUP(AN$10,'VK-Transport'!$C:$X,2+$B84,0))+IF(AN$8="X",VLOOKUP(AN$10,'VK-Elekter'!$C:$X,2+$D84,0))+IF(AN$9="X",VLOOKUP(AN$10,'VK-Biokütused'!$C:$U,2+$E84,0))+IF(AN$5="X",VLOOKUP(AN$10,'VK-Põlevkivi'!$C:$X,2+$G84,0))+IF(AN$4="X",VLOOKUP(AN$10,'VK-Võrgud'!$C:$X,2+$F84,0))</f>
        <v>4.8999999999999995</v>
      </c>
      <c r="AO84" s="209">
        <f>IF(AO$7="X",VLOOKUP(AO$10,'VK-Hooned-Soojus'!$C:$X,2+$C84,FALSE),0)+IF(AO$6="X",VLOOKUP(AO$10,'VK-Transport'!$C:$X,2+$B84,0))+IF(AO$8="X",VLOOKUP(AO$10,'VK-Elekter'!$C:$X,2+$D84,0))+IF(AO$9="X",VLOOKUP(AO$10,'VK-Biokütused'!$C:$U,2+$E84,0))+IF(AO$5="X",VLOOKUP(AO$10,'VK-Põlevkivi'!$C:$X,2+$G84,0))+IF(AO$4="X",VLOOKUP(AO$10,'VK-Võrgud'!$C:$X,2+$F84,0))</f>
        <v>12.56</v>
      </c>
      <c r="AP84" s="209">
        <f>IF(AP$7="X",VLOOKUP(AP$10,'VK-Hooned-Soojus'!$C:$X,2+$C84,FALSE),0)+IF(AP$6="X",VLOOKUP(AP$10,'VK-Transport'!$C:$X,2+$B84,0))+IF(AP$8="X",VLOOKUP(AP$10,'VK-Elekter'!$C:$X,2+$D84,0))+IF(AP$9="X",VLOOKUP(AP$10,'VK-Biokütused'!$C:$U,2+$E84,0))+IF(AP$5="X",VLOOKUP(AP$10,'VK-Põlevkivi'!$C:$X,2+$G84,0))+IF(AP$4="X",VLOOKUP(AP$10,'VK-Võrgud'!$C:$X,2+$F84,0))</f>
        <v>6.28</v>
      </c>
      <c r="AQ84" s="320">
        <f t="shared" si="61"/>
        <v>0.25999999999999979</v>
      </c>
      <c r="AR84" s="209">
        <f>IF(AR$7="X",VLOOKUP(AR$10,'VK-Hooned-Soojus'!$C:$X,2+$C84,FALSE),0)+IF(AR$6="X",VLOOKUP(AR$10,'VK-Transport'!$C:$X,2+$B84,0))+IF(AR$8="X",VLOOKUP(AR$10,'VK-Elekter'!$C:$X,2+$D84,0))+IF(AR$9="X",VLOOKUP(AR$10,'VK-Biokütused'!$C:$U,2+$E84,0))+IF(AR$5="X",VLOOKUP(AR$10,'VK-Põlevkivi'!$C:$X,2+$G84,0))+IF(AR$4="X",VLOOKUP(AR$10,'VK-Võrgud'!$C:$X,2+$F84,0))</f>
        <v>13.309999999999999</v>
      </c>
      <c r="AS84" s="235">
        <f>'VK-Põlevkivi'!$F$8-AR84-AU84</f>
        <v>14.298622986547709</v>
      </c>
      <c r="AT84" s="209">
        <f>IF(AT$7="X",VLOOKUP(AT$10,'VK-Hooned-Soojus'!$C:$X,2+$C84,FALSE),0)+IF(AT$6="X",VLOOKUP(AT$10,'VK-Transport'!$C:$X,2+$B84,0))+IF(AT$8="X",VLOOKUP(AT$10,'VK-Elekter'!$C:$X,2+$D84,0))+IF(AT$9="X",VLOOKUP(AT$10,'VK-Biokütused'!$C:$U,2+$E84,0))+IF(AT$5="X",VLOOKUP(AT$10,'VK-Põlevkivi'!$C:$X,2+$G84,0))+IF(AT$4="X",VLOOKUP(AT$10,'VK-Võrgud'!$C:$X,2+$F84,0))</f>
        <v>9.2784458909544707</v>
      </c>
      <c r="AU84" s="235">
        <f>'VK-Põlevkivi'!$F$9-VLOOKUP("Kütuste tarbimine @ 2030 - PÕLEVKIVIÕLI",'VK-Hooned-Soojus'!$C:$X,2+$C84,FALSE)</f>
        <v>28.928043680118964</v>
      </c>
      <c r="AV84" s="209">
        <f>IF(AV$7="X",VLOOKUP(AV$10,'VK-Hooned-Soojus'!$C:$X,2+$C84,FALSE),0)+IF(AV$6="X",VLOOKUP(AV$10,'VK-Transport'!$C:$X,2+$B84,0))+IF(AV$8="X",VLOOKUP(AV$10,'VK-Elekter'!$C:$X,2+$D84,0))+IF(AV$9="X",VLOOKUP(AV$10,'VK-Biokütused'!$C:$U,2+$E84,0))+IF(AV$5="X",VLOOKUP(AV$10,'VK-Põlevkivi'!$C:$X,2+$G84,0))+IF(AV$4="X",VLOOKUP(AV$10,'VK-Võrgud'!$C:$X,2+$F84,0))</f>
        <v>1.7257321590343366</v>
      </c>
      <c r="AW84" s="209">
        <f>IF(AW$7="X",VLOOKUP(AW$10,'VK-Hooned-Soojus'!$C:$X,2+$C84,FALSE),0)+IF(AW$6="X",VLOOKUP(AW$10,'VK-Transport'!$C:$X,2+$B84,0))+IF(AW$8="X",VLOOKUP(AW$10,'VK-Elekter'!$C:$X,2+$D84,0))+IF(AW$9="X",VLOOKUP(AW$10,'VK-Biokütused'!$C:$U,2+$E84,0))+IF(AW$5="X",VLOOKUP(AW$10,'VK-Põlevkivi'!$C:$X,2+$G84,0))+IF(AW$4="X",VLOOKUP(AW$10,'VK-Võrgud'!$C:$X,2+$F84,0))</f>
        <v>2.141</v>
      </c>
      <c r="AX84" s="229">
        <f t="shared" si="62"/>
        <v>0.41526784096566338</v>
      </c>
      <c r="AY84" s="229">
        <f t="shared" si="63"/>
        <v>0</v>
      </c>
      <c r="AZ84" s="230">
        <f t="shared" si="48"/>
        <v>0.30342209294430827</v>
      </c>
      <c r="BA84" s="209">
        <f>IF(BA$7="X",VLOOKUP(BA$10,'VK-Hooned-Soojus'!$C:$X,2+$C84,FALSE),0)+IF(BA$6="X",VLOOKUP(BA$10,'VK-Transport'!$C:$X,2+$B84,0))+IF(BA$8="X",VLOOKUP(BA$10,'VK-Elekter'!$C:$X,2+$D84,0))+IF(BA$9="X",VLOOKUP(BA$10,'VK-Biokütused'!$C:$U,2+$E84,0))+IF(BA$5="X",VLOOKUP(BA$10,'VK-Põlevkivi'!$C:$X,2+$G84,0))+IF(BA$4="X",VLOOKUP(BA$10,'VK-Võrgud'!$C:$X,2+$F84,0))</f>
        <v>7.41</v>
      </c>
      <c r="BB84" s="209">
        <f>IF(BB$7="X",VLOOKUP(BB$10,'VK-Hooned-Soojus'!$C:$X,2+$C84,FALSE),0)+IF(BB$6="X",VLOOKUP(BB$10,'VK-Transport'!$C:$X,2+$B84,0))+IF(BB$8="X",VLOOKUP(BB$10,'VK-Elekter'!$C:$X,2+$D84,0))+IF(BB$9="X",VLOOKUP(BB$10,'VK-Biokütused'!$C:$U,2+$E84,0))+IF(BB$5="X",VLOOKUP(BB$10,'VK-Põlevkivi'!$C:$X,2+$G84,0))+IF(BB$4="X",VLOOKUP(BB$10,'VK-Võrgud'!$C:$X,2+$F84,0))</f>
        <v>2.96</v>
      </c>
      <c r="BC84" s="209">
        <f>IF(BC$7="X",VLOOKUP(BC$10,'VK-Hooned-Soojus'!$C:$X,2+$C84,FALSE),0)+IF(BC$6="X",VLOOKUP(BC$10,'VK-Transport'!$C:$X,2+$B84,0))+IF(BC$8="X",VLOOKUP(BC$10,'VK-Elekter'!$C:$X,2+$D84,0))+IF(BC$9="X",VLOOKUP(BC$10,'VK-Biokütused'!$C:$U,2+$E84,0))+IF(BC$5="X",VLOOKUP(BC$10,'VK-Põlevkivi'!$C:$X,2+$G84,0))+IF(BC$4="X",VLOOKUP(BC$10,'VK-Võrgud'!$C:$X,2+$F84,0))</f>
        <v>6.5993333333333322</v>
      </c>
      <c r="BD84" s="209">
        <f>IF(BD$7="X",VLOOKUP(BD$10,'VK-Hooned-Soojus'!$C:$X,2+$C84,FALSE),0)+IF(BD$6="X",VLOOKUP(BD$10,'VK-Transport'!$C:$X,2+$B84,0))+IF(BD$8="X",VLOOKUP(BD$10,'VK-Elekter'!$C:$X,2+$D84,0))+IF(BD$9="X",VLOOKUP(BD$10,'VK-Biokütused'!$C:$U,2+$E84,0))+IF(BD$5="X",VLOOKUP(BD$10,'VK-Põlevkivi'!$C:$X,2+$G84,0))+IF(BD$4="X",VLOOKUP(BD$10,'VK-Võrgud'!$C:$X,2+$F84,0))</f>
        <v>9.425416666666667</v>
      </c>
      <c r="BE84" s="230"/>
      <c r="BF84" s="229">
        <f t="shared" si="64"/>
        <v>0.25410657454651348</v>
      </c>
      <c r="BG84" s="209" t="e">
        <f>(IF(BG$7="X",VLOOKUP(BG$10,'VK-Hooned-Soojus'!$C:$X,2+$C84,FALSE),0)+IF(BG$6="X",VLOOKUP(BG$10,'VK-Transport'!$C:$X,2+$B84,0))+IF(BG$8="X",VLOOKUP(BG$10,'VK-Elekter'!$C:$X,2+$D84,0))+IF(BG$9="X",VLOOKUP(BG$10,'VK-Biokütused'!$C:$U,2+$E84,0))+IF(BG$5="X",VLOOKUP(BG$10,'VK-Põlevkivi'!$C:$X,2+$G84,0))+IF(BG$4="X",VLOOKUP(BG$10,'VK-Võrgud'!$C:$X,2+$F84,0)))/20</f>
        <v>#N/A</v>
      </c>
      <c r="BH84" s="209">
        <f>(IF(BH$7="X",VLOOKUP(BH$10,'VK-Hooned-Soojus'!$C:$X,2+$C84,FALSE),0)+IF(BH$6="X",VLOOKUP(BH$10,'VK-Transport'!$C:$X,2+$B84,0))+IF(BH$8="X",VLOOKUP(BH$10,'VK-Elekter'!$C:$X,2+$D84,0))+IF(BH$9="X",VLOOKUP(BH$10,'VK-Biokütused'!$C:$U,2+$E84,0))+IF(BH$5="X",VLOOKUP(BH$10,'VK-Põlevkivi'!$C:$X,2+$G84,0))+IF(BH$4="X",VLOOKUP(BH$10,'VK-Võrgud'!$C:$X,2+$F84,0)))/20</f>
        <v>45.08</v>
      </c>
      <c r="BI84" s="209">
        <f>(IF(BI$7="X",VLOOKUP(BI$10,'VK-Hooned-Soojus'!$C:$X,2+$C84,FALSE),0)+IF(BI$6="X",VLOOKUP(BI$10,'VK-Transport'!$C:$X,2+$B84,0))+IF(BI$8="X",VLOOKUP(BI$10,'VK-Elekter'!$C:$X,2+$D84,0))+IF(BI$9="X",VLOOKUP(BI$10,'VK-Biokütused'!$C:$U,2+$E84,0))+IF(BI$5="X",VLOOKUP(BI$10,'VK-Põlevkivi'!$C:$X,2+$G84,0))+IF(BI$4="X",VLOOKUP(BI$10,'VK-Võrgud'!$C:$X,2+$F84,0)))/16</f>
        <v>14.1875</v>
      </c>
      <c r="BJ84" s="209">
        <f>(IF(BJ$7="X",VLOOKUP(BJ$10,'VK-Hooned-Soojus'!$C:$X,2+$C84,FALSE),0)+IF(BJ$6="X",VLOOKUP(BJ$10,'VK-Transport'!$C:$X,2+$B84,0))+IF(BJ$8="X",VLOOKUP(BJ$10,'VK-Elekter'!$C:$X,2+$D84,0))+IF(BJ$9="X",VLOOKUP(BJ$10,'VK-Biokütused'!$C:$U,2+$E84,0))+IF(BJ$5="X",VLOOKUP(BJ$10,'VK-Põlevkivi'!$C:$X,2+$G84,0))+IF(BJ$4="X",VLOOKUP(BJ$10,'VK-Võrgud'!$C:$X,2+$F84,0)))/20</f>
        <v>3.91</v>
      </c>
      <c r="BK84" s="209"/>
      <c r="BL84" s="209"/>
      <c r="BM84" s="209"/>
      <c r="BN84" s="209" t="e">
        <f>(IF(BN$7="X",VLOOKUP(BN$10,'VK-Hooned-Soojus'!$C:$X,2+$C84,FALSE),0)+IF(BN$6="X",VLOOKUP(BN$10,'VK-Transport'!$C:$X,2+$B84,0))+IF(BN$8="X",VLOOKUP(BN$10,'VK-Elekter'!$C:$X,2+$D84,0))+IF(BN$9="X",VLOOKUP(BN$10,'VK-Biokütused'!$C:$U,2+$E84,0))+IF(BN$5="X",VLOOKUP(BN$10,'VK-Põlevkivi'!$C:$X,2+$G84,0))+IF(BN$4="X",VLOOKUP(BN$10,'VK-Võrgud'!$C:$X,2+$F84,0)))/16</f>
        <v>#N/A</v>
      </c>
      <c r="BO84" s="209">
        <f>(IF(BO$7="X",VLOOKUP(BO$10,'VK-Hooned-Soojus'!$C:$X,2+$C84,FALSE),0)+IF(BO$6="X",VLOOKUP(BO$10,'VK-Transport'!$C:$X,2+$B84,0))+IF(BO$8="X",VLOOKUP(BO$10,'VK-Elekter'!$C:$X,2+$D84,0))+IF(BO$9="X",VLOOKUP(BO$10,'VK-Biokütused'!$C:$U,2+$E84,0))+IF(BO$5="X",VLOOKUP(BO$10,'VK-Põlevkivi'!$C:$X,2+$G84,0))+IF(BO$4="X",VLOOKUP(BO$10,'VK-Võrgud'!$C:$X,2+$F84,0)))/16</f>
        <v>405.45</v>
      </c>
      <c r="BP84" s="209"/>
      <c r="BQ84" s="209">
        <f>(IF(BQ$7="X",VLOOKUP(BQ$10,'VK-Hooned-Soojus'!$C:$X,2+$C84,FALSE),0)+IF(BQ$6="X",VLOOKUP(BQ$10,'VK-Transport'!$C:$X,2+$B84,0))+IF(BQ$8="X",VLOOKUP(BQ$10,'VK-Elekter'!$C:$X,2+$D84,0))+IF(BQ$9="X",VLOOKUP(BQ$10,'VK-Biokütused'!$C:$U,2+$E84,0))+IF(BQ$5="X",VLOOKUP(BQ$10,'VK-Põlevkivi'!$C:$X,2+$G84,0))+IF(BQ$4="X",VLOOKUP(BQ$10,'VK-Võrgud'!$C:$X,2+$F84,0)))/16</f>
        <v>127.6</v>
      </c>
      <c r="BR84" s="209">
        <f>(IF(BR$7="X",VLOOKUP(BR$10,'VK-Hooned-Soojus'!$C:$X,2+$C84,FALSE),0)+IF(BR$6="X",VLOOKUP(BR$10,'VK-Transport'!$C:$X,2+$B84,0))+IF(BR$8="X",VLOOKUP(BR$10,'VK-Elekter'!$C:$X,2+$D84,0))+IF(BR$9="X",VLOOKUP(BR$10,'VK-Biokütused'!$C:$U,2+$E84,0))+IF(BR$5="X",VLOOKUP(BR$10,'VK-Põlevkivi'!$C:$X,2+$G84,0))+IF(BR$4="X",VLOOKUP(BR$10,'VK-Võrgud'!$C:$X,2+$F84,0)))/16</f>
        <v>27.475000000000001</v>
      </c>
      <c r="BS84" s="209">
        <f>(IF(BS$7="X",VLOOKUP(BS$10,'VK-Hooned-Soojus'!$C:$X,2+$C84,FALSE),0)+IF(BS$6="X",VLOOKUP(BS$10,'VK-Transport'!$C:$X,2+$B84,0))+IF(BS$8="X",VLOOKUP(BS$10,'VK-Elekter'!$C:$X,2+$D84,0))+IF(BS$9="X",VLOOKUP(BS$10,'VK-Biokütused'!$C:$U,2+$E84,0))+IF(BS$5="X",VLOOKUP(BS$10,'VK-Põlevkivi'!$C:$X,2+$G84,0))+IF(BS$4="X",VLOOKUP(BS$10,'VK-Võrgud'!$C:$X,2+$F84,0)))/16</f>
        <v>-23.293749999999999</v>
      </c>
      <c r="BT84" s="209"/>
      <c r="BU84" s="209"/>
      <c r="BV84" s="209">
        <f>(IF(BV$7="X",VLOOKUP(BV$10,'VK-Hooned-Soojus'!$C:$X,2+$C84,FALSE),0)+IF(BV$6="X",VLOOKUP(BV$10,'VK-Transport'!$C:$X,2+$B84,0))+IF(BV$8="X",VLOOKUP(BV$10,'VK-Elekter'!$C:$X,2+$D84,0))+IF(BV$9="X",VLOOKUP(BV$10,'VK-Biokütused'!$C:$U,2+$E84,0))+IF(BV$5="X",VLOOKUP(BV$10,'VK-Põlevkivi'!$C:$X,2+$G84,0))+IF(BV$4="X",VLOOKUP(BV$10,'VK-Võrgud'!$C:$X,2+$F84,0)))/16</f>
        <v>0</v>
      </c>
      <c r="BW84" s="209"/>
      <c r="BX84" s="209">
        <f>(IF(BX$7="X",VLOOKUP(BX$10,'VK-Hooned-Soojus'!$C:$X,2+$C84,FALSE),0)+IF(BX$6="X",VLOOKUP(BX$10,'VK-Transport'!$C:$X,2+$B84,0))+IF(BX$8="X",VLOOKUP(BX$10,'VK-Elekter'!$C:$X,2+$D84,0))+IF(BX$9="X",VLOOKUP(BX$10,'VK-Biokütused'!$C:$U,2+$E84,0))+IF(BX$5="X",VLOOKUP(BX$10,'VK-Põlevkivi'!$C:$X,2+$G84,0))+IF(BX$4="X",VLOOKUP(BX$10,'VK-Võrgud'!$C:$X,2+$F84,0)))/16</f>
        <v>-145.125</v>
      </c>
      <c r="BY84" s="209"/>
      <c r="BZ84" s="209"/>
      <c r="CA84" s="209" t="e">
        <f>(IF(CA$7="X",VLOOKUP(CA$10,'VK-Hooned-Soojus'!$C:$X,2+$C84,FALSE),0)+IF(CA$6="X",VLOOKUP(CA$10,'VK-Transport'!$C:$X,2+$B84,0))+IF(CA$8="X",VLOOKUP(CA$10,'VK-Elekter'!$C:$X,2+$D84,0))+IF(CA$9="X",VLOOKUP(CA$10,'VK-Biokütused'!$C:$U,2+$E84,0))+IF(CA$5="X",VLOOKUP(CA$10,'VK-Põlevkivi'!$C:$X,2+$G84,0))+IF(CA$4="X",VLOOKUP(CA$10,'VK-Võrgud'!$C:$X,2+$F84,0)))/16</f>
        <v>#N/A</v>
      </c>
      <c r="CB84" s="209">
        <f>(IF(CB$7="X",VLOOKUP(CB$10,'VK-Hooned-Soojus'!$C:$X,2+$C84,FALSE),0)+IF(CB$6="X",VLOOKUP(CB$10,'VK-Transport'!$C:$X,2+$B84,0))+IF(CB$8="X",VLOOKUP(CB$10,'VK-Elekter'!$C:$X,2+$D84,0))+IF(CB$9="X",VLOOKUP(CB$10,'VK-Biokütused'!$C:$U,2+$E84,0))+IF(CB$5="X",VLOOKUP(CB$10,'VK-Põlevkivi'!$C:$X,2+$G84,0))+IF(CB$4="X",VLOOKUP(CB$10,'VK-Võrgud'!$C:$X,2+$F84,0)))/16</f>
        <v>0</v>
      </c>
      <c r="CC84" s="209">
        <f>(IF(CC$7="X",VLOOKUP(CC$10,'VK-Hooned-Soojus'!$C:$X,2+$C84,FALSE),0)+IF(CC$6="X",VLOOKUP(CC$10,'VK-Transport'!$C:$X,2+$B84,0))+IF(CC$8="X",VLOOKUP(CC$10,'VK-Elekter'!$C:$X,2+$D84,0))+IF(CC$9="X",VLOOKUP(CC$10,'VK-Biokütused'!$C:$U,2+$E84,0))+IF(CC$5="X",VLOOKUP(CC$10,'VK-Põlevkivi'!$C:$X,2+$G84,0))+IF(CC$4="X",VLOOKUP(CC$10,'VK-Võrgud'!$C:$X,2+$F84,0)))/16</f>
        <v>0</v>
      </c>
      <c r="CD84" s="209"/>
      <c r="CE84" s="209">
        <f>(IF(CE$7="X",VLOOKUP(CE$10,'VK-Hooned-Soojus'!$C:$X,2+$C84,FALSE),0)+IF(CE$6="X",VLOOKUP(CE$10,'VK-Transport'!$C:$X,2+$B84,0))+IF(CE$8="X",VLOOKUP(CE$10,'VK-Elekter'!$C:$X,2+$D84,0))+IF(CE$9="X",VLOOKUP(CE$10,'VK-Biokütused'!$C:$U,2+$E84,0))+IF(CE$5="X",VLOOKUP(CE$10,'VK-Põlevkivi'!$C:$X,2+$G84,0))+IF(CE$4="X",VLOOKUP(CE$10,'VK-Võrgud'!$C:$X,2+$F84,0)))/16</f>
        <v>24.15625</v>
      </c>
      <c r="CF84" s="209"/>
      <c r="CG84" s="209">
        <f>(IF(CG$7="X",VLOOKUP(CG$10,'VK-Hooned-Soojus'!$C:$X,2+$C84,FALSE),0)+IF(CG$6="X",VLOOKUP(CG$10,'VK-Transport'!$C:$X,2+$B84,0))+IF(CG$8="X",VLOOKUP(CG$10,'VK-Elekter'!$C:$X,2+$D84,0))+IF(CG$9="X",VLOOKUP(CG$10,'VK-Biokütused'!$C:$U,2+$E84,0))+IF(CG$5="X",VLOOKUP(CG$10,'VK-Põlevkivi'!$C:$X,2+$G84,0))+IF(CG$4="X",VLOOKUP(CG$10,'VK-Võrgud'!$C:$X,2+$F84,0)))/16</f>
        <v>0</v>
      </c>
      <c r="CH84" s="209">
        <f>(IF(CH$7="X",VLOOKUP(CH$10,'VK-Hooned-Soojus'!$C:$X,2+$C84,FALSE),0)+IF(CH$6="X",VLOOKUP(CH$10,'VK-Transport'!$C:$X,2+$B84,0))+IF(CH$8="X",VLOOKUP(CH$10,'VK-Elekter'!$C:$X,2+$D84,0))+IF(CH$9="X",VLOOKUP(CH$10,'VK-Biokütused'!$C:$U,2+$E84,0))+IF(CH$5="X",VLOOKUP(CH$10,'VK-Põlevkivi'!$C:$X,2+$G84,0))+IF(CH$4="X",VLOOKUP(CH$10,'VK-Võrgud'!$C:$X,2+$F84,0)))/20*0.21</f>
        <v>11.225549999999998</v>
      </c>
      <c r="CI84" s="209"/>
      <c r="CJ84" s="209">
        <f>(IF(CJ$7="X",VLOOKUP(CJ$10,'VK-Hooned-Soojus'!$C:$X,2+$C84,FALSE),0)+IF(CJ$6="X",VLOOKUP(CJ$10,'VK-Transport'!$C:$X,2+$B84,0))+IF(CJ$8="X",VLOOKUP(CJ$10,'VK-Elekter'!$C:$X,2+$D84,0))+IF(CJ$9="X",VLOOKUP(CJ$10,'VK-Biokütused'!$C:$U,2+$E84,0))+IF(CJ$5="X",VLOOKUP(CJ$10,'VK-Põlevkivi'!$C:$X,2+$G84,0))+IF(CJ$4="X",VLOOKUP(CJ$10,'VK-Võrgud'!$C:$X,2+$F84,0)))/1000</f>
        <v>22.646999999999998</v>
      </c>
      <c r="CK84" s="209">
        <f>(IF(CK$7="X",VLOOKUP(CK$10,'VK-Hooned-Soojus'!$C:$X,2+$C84,FALSE),0)+IF(CK$6="X",VLOOKUP(CK$10,'VK-Transport'!$C:$X,2+$B84,0))+IF(CK$8="X",VLOOKUP(CK$10,'VK-Elekter'!$C:$X,2+$D84,0))+IF(CK$9="X",VLOOKUP(CK$10,'VK-Biokütused'!$C:$U,2+$E84,0))+IF(CK$5="X",VLOOKUP(CK$10,'VK-Põlevkivi'!$C:$X,2+$G84,0))+IF(CK$4="X",VLOOKUP(CK$10,'VK-Võrgud'!$C:$X,2+$F84,0)))/1000</f>
        <v>38.490916215793227</v>
      </c>
      <c r="CL84" s="209">
        <f>(IF(CL$7="X",VLOOKUP(CL$10,'VK-Hooned-Soojus'!$C:$X,2+$C84,FALSE),0)+IF(CL$6="X",VLOOKUP(CL$10,'VK-Transport'!$C:$X,2+$B84,0))+IF(CL$8="X",VLOOKUP(CL$10,'VK-Elekter'!$C:$X,2+$D84,0))+IF(CL$9="X",VLOOKUP(CL$10,'VK-Biokütused'!$C:$U,2+$E84,0))+IF(CL$5="X",VLOOKUP(CL$10,'VK-Põlevkivi'!$C:$X,2+$G84,0))+IF(CL$4="X",VLOOKUP(CL$10,'VK-Võrgud'!$C:$X,2+$F84,0)))/1000</f>
        <v>11.758289559723789</v>
      </c>
      <c r="CM84" s="209">
        <f>(IF(CM$7="X",VLOOKUP(CM$10,'VK-Hooned-Soojus'!$C:$X,2+$C84,FALSE),0)+IF(CM$6="X",VLOOKUP(CM$10,'VK-Transport'!$C:$X,2+$B84,0))+IF(CM$8="X",VLOOKUP(CM$10,'VK-Elekter'!$C:$X,2+$D84,0))+IF(CM$9="X",VLOOKUP(CM$10,'VK-Biokütused'!$C:$U,2+$E84,0))+IF(CM$5="X",VLOOKUP(CM$10,'VK-Põlevkivi'!$C:$X,2+$G84,0))+IF(CM$4="X",VLOOKUP(CM$10,'VK-Võrgud'!$C:$X,2+$F84,0)))/1000</f>
        <v>7.7319896156049159</v>
      </c>
      <c r="CN84" s="209">
        <f>(IF(CN$7="X",VLOOKUP(CN$10,'VK-Hooned-Soojus'!$C:$X,2+$C84,FALSE),0)+IF(CN$6="X",VLOOKUP(CN$10,'VK-Transport'!$C:$X,2+$B84,0))+IF(CN$8="X",VLOOKUP(CN$10,'VK-Elekter'!$C:$X,2+$D84,0))+IF(CN$9="X",VLOOKUP(CN$10,'VK-Biokütused'!$C:$U,2+$E84,0))+IF(CN$5="X",VLOOKUP(CN$10,'VK-Põlevkivi'!$C:$X,2+$G84,0))+IF(CN$4="X",VLOOKUP(CN$10,'VK-Võrgud'!$C:$X,2+$F84,0)))/1000</f>
        <v>2.9929999999999999</v>
      </c>
      <c r="CO84" s="209">
        <f>(IF(CO$7="X",VLOOKUP(CO$10,'VK-Hooned-Soojus'!$C:$X,2+$C84,FALSE),0)+IF(CO$6="X",VLOOKUP(CO$10,'VK-Transport'!$C:$X,2+$B84,0))+IF(CO$8="X",VLOOKUP(CO$10,'VK-Elekter'!$C:$X,2+$D84,0))+IF(CO$9="X",VLOOKUP(CO$10,'VK-Biokütused'!$C:$U,2+$E84,0))+IF(CO$5="X",VLOOKUP(CO$10,'VK-Põlevkivi'!$C:$X,2+$G84,0))+IF(CO$4="X",VLOOKUP(CO$10,'VK-Võrgud'!$C:$X,2+$F84,0)))/1000</f>
        <v>29.363575210797279</v>
      </c>
      <c r="CP84" s="209">
        <f>(IF(CP$7="X",VLOOKUP(CP$10,'VK-Hooned-Soojus'!$C:$X,2+$C84,FALSE),0)+IF(CP$6="X",VLOOKUP(CP$10,'VK-Transport'!$C:$X,2+$B84,0))+IF(CP$8="X",VLOOKUP(CP$10,'VK-Elekter'!$C:$X,2+$D84,0))+IF(CP$9="X",VLOOKUP(CP$10,'VK-Biokütused'!$C:$U,2+$E84,0))+IF(CP$5="X",VLOOKUP(CP$10,'VK-Põlevkivi'!$C:$X,2+$G84,0))+IF(CP$4="X",VLOOKUP(CP$10,'VK-Võrgud'!$C:$X,2+$F84,0)))/1000</f>
        <v>32.3384767246541</v>
      </c>
      <c r="CQ84" s="209">
        <f>(IF(CQ$7="X",VLOOKUP(CQ$10,'VK-Hooned-Soojus'!$C:$X,2+$C84,FALSE),0)+IF(CQ$6="X",VLOOKUP(CQ$10,'VK-Transport'!$C:$X,2+$B84,0))+IF(CQ$8="X",VLOOKUP(CQ$10,'VK-Elekter'!$C:$X,2+$D84,0))+IF(CQ$9="X",VLOOKUP(CQ$10,'VK-Biokütused'!$C:$U,2+$E84,0))+IF(CQ$5="X",VLOOKUP(CQ$10,'VK-Põlevkivi'!$C:$X,2+$G84,0))+IF(CQ$4="X",VLOOKUP(CQ$10,'VK-Võrgud'!$C:$X,2+$F84,0)))/1000</f>
        <v>17.009345999999997</v>
      </c>
      <c r="CR84" s="209">
        <f>(IF(CR$7="X",VLOOKUP(CR$10,'VK-Hooned-Soojus'!$C:$X,2+$C84,FALSE),0)+IF(CR$6="X",VLOOKUP(CR$10,'VK-Transport'!$C:$X,2+$B84,0))+IF(CR$8="X",VLOOKUP(CR$10,'VK-Elekter'!$C:$X,2+$D84,0))+IF(CR$9="X",VLOOKUP(CR$10,'VK-Biokütused'!$C:$U,2+$E84,0))+IF(CR$5="X",VLOOKUP(CR$10,'VK-Põlevkivi'!$C:$X,2+$G84,0))+IF(CR$4="X",VLOOKUP(CR$10,'VK-Võrgud'!$C:$X,2+$F84,0)))/1000</f>
        <v>8.1900872784575753</v>
      </c>
      <c r="CS84" s="209">
        <f>(IF(CS$7="X",VLOOKUP(CS$10,'VK-Hooned-Soojus'!$C:$X,2+$C84,FALSE),0)+IF(CS$6="X",VLOOKUP(CS$10,'VK-Transport'!$C:$X,2+$B84,0))+IF(CS$8="X",VLOOKUP(CS$10,'VK-Elekter'!$C:$X,2+$D84,0))+IF(CS$9="X",VLOOKUP(CS$10,'VK-Biokütused'!$C:$U,2+$E84,0))+IF(CS$5="X",VLOOKUP(CS$10,'VK-Põlevkivi'!$C:$X,2+$G84,0))+IF(CS$4="X",VLOOKUP(CS$10,'VK-Võrgud'!$C:$X,2+$F84,0)))/1000</f>
        <v>3.8443344900598322</v>
      </c>
      <c r="CT84" s="209">
        <f>IF(CT$7="X",VLOOKUP(CT$10,'VK-Hooned-Soojus'!$C:$X,2+$C84,FALSE),0)+IF(CT$6="X",VLOOKUP(CT$10,'VK-Transport'!$C:$X,2+$B84,0))+IF(CT$8="X",VLOOKUP(CT$10,'VK-Elekter'!$C:$X,2+$D84,0))+IF(CT$9="X",VLOOKUP(CT$10,'VK-Biokütused'!$C:$U,2+$E84,0))+IF(CT$5="X",VLOOKUP(CT$10,'VK-Põlevkivi'!$C:$X,2+$G84,0))+IF(CT$4="X",VLOOKUP(CT$10,'VK-Võrgud'!$C:$X,2+$F84,0))</f>
        <v>90</v>
      </c>
      <c r="CU84" s="209">
        <f>IF(CU$7="X",VLOOKUP(CU$10,'VK-Hooned-Soojus'!$C:$X,2+$C84,FALSE),0)+IF(CU$6="X",VLOOKUP(CU$10,'VK-Transport'!$C:$X,2+$B84,0))+IF(CU$8="X",VLOOKUP(CU$10,'VK-Elekter'!$C:$X,2+$D84,0))+IF(CU$9="X",VLOOKUP(CU$10,'VK-Biokütused'!$C:$U,2+$E84,0))+IF(CU$5="X",VLOOKUP(CU$10,'VK-Põlevkivi'!$C:$X,2+$G84,0))+IF(CU$4="X",VLOOKUP(CU$10,'VK-Võrgud'!$C:$X,2+$F84,0))</f>
        <v>1</v>
      </c>
      <c r="CV84" s="209">
        <f t="shared" si="49"/>
        <v>0.84317482403548605</v>
      </c>
      <c r="CW84" s="209">
        <f>(IF(CW$7="X",VLOOKUP(CW$10,'VK-Hooned-Soojus'!$C:$X,2+$C84,FALSE),0)+IF(CW$6="X",VLOOKUP(CW$10,'VK-Transport'!$C:$X,2+$B84,0))+IF(CW$8="X",VLOOKUP(CW$10,'VK-Elekter'!$C:$X,2+$D84,0))+IF(CW$9="X",VLOOKUP(CW$10,'VK-Biokütused'!$C:$U,2+$E84,0))+IF(CW$5="X",VLOOKUP(CW$10,'VK-Põlevkivi'!$C:$X,2+$G84,0))+IF(CW$4="X",VLOOKUP(CW$10,'VK-Võrgud'!$C:$X,2+$F84,0)))/16</f>
        <v>59.743749999999999</v>
      </c>
      <c r="CY84" s="209">
        <f>(IF(CY$7="X",VLOOKUP(CY$10,'VK-Hooned-Soojus'!$C:$X,2+$C84,FALSE),0)+IF(CY$6="X",VLOOKUP(CY$10,'VK-Transport'!$C:$X,2+$B84,0))+IF(CY$8="X",VLOOKUP(CY$10,'VK-Elekter'!$C:$X,2+$D84,0))+IF(CY$9="X",VLOOKUP(CY$10,'VK-Biokütused'!$C:$U,2+$E84,0))+IF(CY$5="X",VLOOKUP(CY$10,'VK-Põlevkivi'!$C:$X,2+$G84,0))+IF(CY$4="X",VLOOKUP(CY$10,'VK-Võrgud'!$C:$X,2+$F84,0)))/1000</f>
        <v>11.468</v>
      </c>
      <c r="CZ84" s="209">
        <f>(IF(CZ$7="X",VLOOKUP(CZ$10,'VK-Hooned-Soojus'!$C:$X,2+$C84,FALSE),0)+IF(CZ$6="X",VLOOKUP(CZ$10,'VK-Transport'!$C:$X,2+$B84,0))+IF(CZ$8="X",VLOOKUP(CZ$10,'VK-Elekter'!$C:$X,2+$D84,0))+IF(CZ$9="X",VLOOKUP(CZ$10,'VK-Biokütused'!$C:$U,2+$E84,0))+IF(CZ$5="X",VLOOKUP(CZ$10,'VK-Põlevkivi'!$C:$X,2+$G84,0))+IF(CZ$4="X",VLOOKUP(CZ$10,'VK-Võrgud'!$C:$X,2+$F84,0)))</f>
        <v>92.4</v>
      </c>
      <c r="DA84" s="209">
        <f>(IF(DA$7="X",VLOOKUP(DA$10,'VK-Hooned-Soojus'!$C:$X,2+$C84,FALSE),0)+IF(DA$6="X",VLOOKUP(DA$10,'VK-Transport'!$C:$X,2+$B84,0))+IF(DA$8="X",VLOOKUP(DA$10,'VK-Elekter'!$C:$X,2+$D84,0))+IF(DA$9="X",VLOOKUP(DA$10,'VK-Biokütused'!$C:$U,2+$E84,0))+IF(DA$5="X",VLOOKUP(DA$10,'VK-Põlevkivi'!$C:$X,2+$G84,0))+IF(DA$4="X",VLOOKUP(DA$10,'VK-Võrgud'!$C:$X,2+$F84,0)))/1000</f>
        <v>16.667000000000002</v>
      </c>
      <c r="DB84" s="209">
        <f>(IF(DB$7="X",VLOOKUP(DB$10,'VK-Hooned-Soojus'!$C:$X,2+$C84,FALSE),0)+IF(DB$6="X",VLOOKUP(DB$10,'VK-Transport'!$C:$X,2+$B84,0))+IF(DB$8="X",VLOOKUP(DB$10,'VK-Elekter'!$C:$X,2+$D84,0))+IF(DB$9="X",VLOOKUP(DB$10,'VK-Biokütused'!$C:$U,2+$E84,0))+IF(DB$5="X",VLOOKUP(DB$10,'VK-Põlevkivi'!$C:$X,2+$G84,0))+IF(DB$4="X",VLOOKUP(DB$10,'VK-Võrgud'!$C:$X,2+$F84,0)))/1000/3.6</f>
        <v>136.54166666666666</v>
      </c>
      <c r="DC84" s="209">
        <f>(IF(DC$7="X",VLOOKUP(DC$10,'VK-Hooned-Soojus'!$C:$X,2+$C84,FALSE),0)+IF(DC$6="X",VLOOKUP(DC$10,'VK-Transport'!$C:$X,2+$B84,0))+IF(DC$8="X",VLOOKUP(DC$10,'VK-Elekter'!$C:$X,2+$D84,0))+IF(DC$9="X",VLOOKUP(DC$10,'VK-Biokütused'!$C:$U,2+$E84,0))+IF(DC$5="X",VLOOKUP(DC$10,'VK-Põlevkivi'!$C:$X,2+$G84,0))+IF(DC$4="X",VLOOKUP(DC$10,'VK-Võrgud'!$C:$X,2+$F84,0)))/1000000</f>
        <v>7.3698459999999999</v>
      </c>
      <c r="DD84" s="209"/>
      <c r="DE84" s="88">
        <f>VLOOKUP(Tulemused!$BN$12,data!M$7:N$12,2,FALSE)-SUM(L84,M84)</f>
        <v>-1.2238666666666731</v>
      </c>
      <c r="DF84" s="209" t="str">
        <f>IF(AZ84&lt;=VLOOKUP(Tulemused!$BN$15,data!$E$36:$F$39,2,FALSE),"JAH","EI")</f>
        <v>JAH</v>
      </c>
      <c r="DG84" s="209"/>
      <c r="DH84" s="209">
        <f t="shared" si="50"/>
        <v>6.28</v>
      </c>
      <c r="DI84" s="231" t="str">
        <f t="shared" si="65"/>
        <v>EI</v>
      </c>
      <c r="DK84" s="232">
        <f t="shared" si="51"/>
        <v>-994.4561780157793</v>
      </c>
      <c r="DM84" s="233">
        <f t="shared" si="52"/>
        <v>-995.33825892630807</v>
      </c>
      <c r="DN84" s="87">
        <f t="array" ref="DN84">INDEX($A$11:$A$145, SMALL(IF(DM84=$DK$11:$DK$145, MATCH(ROW($DK$11:$DK$145), ROW($DK$11:$DK$145))), SUM(--(DM84=$DM$11:DM84))))</f>
        <v>45</v>
      </c>
      <c r="DP84" s="87" t="e">
        <f t="shared" ca="1" si="66"/>
        <v>#N/A</v>
      </c>
      <c r="DQ84" s="87" t="e">
        <f t="shared" ca="1" si="67"/>
        <v>#N/A</v>
      </c>
      <c r="DR84" s="87">
        <f t="shared" ca="1" si="68"/>
        <v>0</v>
      </c>
      <c r="DS84" s="87" t="e">
        <f t="shared" ca="1" si="69"/>
        <v>#N/A</v>
      </c>
      <c r="DT84" s="87">
        <f t="shared" ca="1" si="70"/>
        <v>0</v>
      </c>
      <c r="DU84" s="87" t="e">
        <f t="shared" ca="1" si="71"/>
        <v>#N/A</v>
      </c>
      <c r="DV84" s="87" t="e">
        <f t="shared" ca="1" si="72"/>
        <v>#N/A</v>
      </c>
      <c r="DW84" s="87">
        <f t="shared" ca="1" si="73"/>
        <v>0</v>
      </c>
      <c r="DX84" s="87">
        <f t="shared" ca="1" si="74"/>
        <v>0</v>
      </c>
      <c r="DZ84" s="87">
        <f t="shared" ca="1" si="35"/>
        <v>0</v>
      </c>
      <c r="EB84" s="87">
        <f t="shared" ca="1" si="75"/>
        <v>0</v>
      </c>
      <c r="EC84" s="87" t="e">
        <f t="shared" ca="1" si="76"/>
        <v>#N/A</v>
      </c>
      <c r="EE84" s="228">
        <f>(IF(EE$7="X",VLOOKUP(EE$10,'VK-Hooned-Soojus'!$C:$X,2+$C84,FALSE),0)+IF(EE$6="X",VLOOKUP(EE$10,'VK-Transport'!$C:$X,2+$B84,0))+IF(EE$8="X",VLOOKUP(EE$10,'VK-Elekter'!$C:$X,2+$D84,0))+IF(EE$9="X",VLOOKUP(EE$10,'VK-Biokütused'!$C:$U,2+$E84,0))+IF(EE$5="X",VLOOKUP(EE$10,'VK-Põlevkivi'!$C:$X,2+$G84,0))+IF(EE$4="X",VLOOKUP(EE$10,'VK-Võrgud'!$C:$X,2+$F84,0)))</f>
        <v>9775.4363163600901</v>
      </c>
      <c r="EF84" s="209">
        <f>(IF(EF$7="X",VLOOKUP(EF$10,'VK-Hooned-Soojus'!$C:$X,2+$C84,FALSE),0)+IF(EF$6="X",VLOOKUP(EF$10,'VK-Transport'!$C:$X,2+$B84,0))+IF(EF$8="X",VLOOKUP(EF$10,'VK-Elekter'!$C:$X,2+$D84,0))+IF(EF$9="X",VLOOKUP(EF$10,'VK-Biokütused'!$C:$U,2+$E84,0))+IF(EF$5="X",VLOOKUP(EF$10,'VK-Põlevkivi'!$C:$X,2+$G84,0))+IF(EF$4="X",VLOOKUP(EF$10,'VK-Võrgud'!$C:$X,2+$F84,0)))/1000</f>
        <v>8.8423823271229711</v>
      </c>
      <c r="EG84" s="209">
        <f>(IF(EG$7="X",VLOOKUP(EG$10,'VK-Hooned-Soojus'!$C:$X,2+$C84,FALSE),0)+IF(EG$6="X",VLOOKUP(EG$10,'VK-Transport'!$C:$X,2+$B84,0))+IF(EG$8="X",VLOOKUP(EG$10,'VK-Elekter'!$C:$X,2+$D84,0))+IF(EG$9="X",VLOOKUP(EG$10,'VK-Biokütused'!$C:$U,2+$E84,0))+IF(EG$5="X",VLOOKUP(EG$10,'VK-Põlevkivi'!$C:$X,2+$G84,0))+IF(EG$4="X",VLOOKUP(EG$10,'VK-Võrgud'!$C:$X,2+$F84,0)))</f>
        <v>0.81</v>
      </c>
      <c r="EH84" s="209">
        <f>(IF(EH$7="X",VLOOKUP(EH$10,'VK-Hooned-Soojus'!$C:$X,2+$C84,FALSE),0)+IF(EH$6="X",VLOOKUP(EH$10,'VK-Transport'!$C:$X,2+$B84,0))+IF(EH$8="X",VLOOKUP(EH$10,'VK-Elekter'!$C:$X,2+$D84,0))+IF(EH$9="X",VLOOKUP(EH$10,'VK-Biokütused'!$C:$U,2+$E84,0)))+AR84+AS84+AU84+AX84</f>
        <v>92.056101174299002</v>
      </c>
      <c r="EI84" s="320">
        <f t="shared" si="53"/>
        <v>62.712789653214379</v>
      </c>
      <c r="EJ84" s="322">
        <f t="shared" si="54"/>
        <v>2.2545055318885739E-2</v>
      </c>
      <c r="EK84" s="323">
        <f t="shared" si="77"/>
        <v>0.39276127270180083</v>
      </c>
      <c r="EM84" s="209"/>
      <c r="EN84" s="209">
        <f t="shared" ca="1" si="55"/>
        <v>0</v>
      </c>
      <c r="EO84" s="209"/>
      <c r="EP84" s="234"/>
      <c r="EQ84" s="209">
        <f>(IF(EQ$7="X",VLOOKUP(EQ$10,'VK-Hooned-Soojus'!$C:$X,2+$C84,FALSE),0)+IF(EQ$6="X",VLOOKUP(EQ$10,'VK-Transport'!$C:$X,2+$B84,0))+IF(EQ$8="X",VLOOKUP(EQ$10,'VK-Elekter'!$C:$X,2+$D84,0))+IF(EQ$9="X",VLOOKUP(EQ$10,'VK-Biokütused'!$C:$U,2+$E84,0))+IF(EQ$5="X",VLOOKUP(EQ$10,'VK-Põlevkivi'!$C:$X,2+$G84,0))+IF(EQ$4="X",VLOOKUP(EQ$10,'VK-Võrgud'!$C:$X,2+$F84,0)))/1000</f>
        <v>0.21099999999999999</v>
      </c>
      <c r="ER84" s="209">
        <f>(IF(ER$7="X",VLOOKUP(ER$10,'VK-Hooned-Soojus'!$C:$X,2+$C84,FALSE),0)+IF(ER$6="X",VLOOKUP(ER$10,'VK-Transport'!$C:$X,2+$B84,0))+IF(ER$8="X",VLOOKUP(ER$10,'VK-Elekter'!$C:$X,2+$D84,0))+IF(ER$9="X",VLOOKUP(ER$10,'VK-Biokütused'!$C:$U,2+$E84,0))+IF(ER$5="X",VLOOKUP(ER$10,'VK-Põlevkivi'!$C:$X,2+$G84,0))+IF(ER$4="X",VLOOKUP(ER$10,'VK-Võrgud'!$C:$X,2+$F84,0)))</f>
        <v>0.76300000000000001</v>
      </c>
      <c r="ES84" s="209">
        <f>(IF(ES$7="X",VLOOKUP(ES$10,'VK-Hooned-Soojus'!$C:$X,2+$C84,FALSE),0)+IF(ES$6="X",VLOOKUP(ES$10,'VK-Transport'!$C:$X,2+$B84,0))+IF(ES$8="X",VLOOKUP(ES$10,'VK-Elekter'!$C:$X,2+$D84,0))+IF(ES$9="X",VLOOKUP(ES$10,'VK-Biokütused'!$C:$U,2+$E84,0))+IF(ES$5="X",VLOOKUP(ES$10,'VK-Põlevkivi'!$C:$X,2+$G84,0))+IF(ES$4="X",VLOOKUP(ES$10,'VK-Võrgud'!$C:$X,2+$F84,0)))</f>
        <v>6.28</v>
      </c>
      <c r="ET84" s="209"/>
      <c r="EU84" s="209"/>
      <c r="EV84" s="87">
        <f>'KSH järjestus'!AS77</f>
        <v>1606</v>
      </c>
      <c r="EX84" s="236"/>
      <c r="EY84" s="236"/>
      <c r="EZ84" s="237">
        <f t="shared" si="56"/>
        <v>0</v>
      </c>
      <c r="FA84" s="209">
        <f>IF(FA$7="X",VLOOKUP(FA$10,'VK-Hooned-Soojus'!$C:$X,2+$C84,FALSE),0)+IF(FA$6="X",VLOOKUP(FA$10,'VK-Transport'!$C:$X,2+$B84,0))+IF(FA$8="X",VLOOKUP(FA$10,'VK-Elekter'!$C:$X,2+$D84,0))+IF(FA$9="X",VLOOKUP(FA$10,'VK-Biokütused'!$C:$U,2+$E84,0))+IF(FA$5="X",VLOOKUP(FA$10,'VK-Põlevkivi'!$C:$X,2+$G84,0))+IF(FA$4="X",VLOOKUP(FA$10,'VK-Võrgud'!$C:$X,2+$F84,0))</f>
        <v>3223.346</v>
      </c>
      <c r="FB84" s="279">
        <f>(IF(FB$7="X",VLOOKUP(FB$10,'VK-Hooned-Soojus'!$C:$X,2+$C84,FALSE),0)+IF(FB$6="X",VLOOKUP(FB$10,'VK-Transport'!$C:$X,2+$B84,0))+IF(FB$8="X",VLOOKUP(FB$10,'VK-Elekter'!$C:$X,2+$D84,0))+IF(FB$9="X",VLOOKUP(FB$10,'VK-Biokütused'!$C:$U,2+$E84,0))+IF(FB$5="X",VLOOKUP(FB$10,'VK-Põlevkivi'!$C:$X,2+$G84,0))+IF(FB$4="X",VLOOKUP(FB$10,'VK-Võrgud'!$C:$X,2+$F84,0)))/16</f>
        <v>798.15383156969176</v>
      </c>
      <c r="FC84" s="209">
        <f>IF(FC$7="X",VLOOKUP(FC$10,'VK-Hooned-Soojus'!$C:$X,2+$C84,FALSE),0)+IF(FC$6="X",VLOOKUP(FC$10,'VK-Transport'!$C:$X,2+$B84,0))+IF(FC$8="X",VLOOKUP(FC$10,'VK-Elekter'!$C:$X,2+$D84,0))+IF(FC$9="X",VLOOKUP(FC$10,'VK-Biokütused'!$C:$U,2+$E84,0))+IF(FC$5="X",VLOOKUP(FC$10,'VK-Põlevkivi'!$C:$X,2+$G84,0))+IF(FC$4="X",VLOOKUP(FC$10,'VK-Võrgud'!$C:$X,2+$F84,0))</f>
        <v>306.35000000000002</v>
      </c>
      <c r="FD84" s="209">
        <f>(IF(FD$7="X",VLOOKUP(FD$10,'VK-Hooned-Soojus'!$C:$X,2+$C84,FALSE),0)+IF(FD$6="X",VLOOKUP(FD$10,'VK-Transport'!$C:$X,2+$B84,0))+IF(FD$8="X",VLOOKUP(FD$10,'VK-Elekter'!$C:$X,2+$D84,0))+IF(FD$9="X",VLOOKUP(FD$10,'VK-Biokütused'!$C:$U,2+$E84,0))+IF(FD$5="X",VLOOKUP(FD$10,'VK-Põlevkivi'!$C:$X,2+$G84,0))+IF(FD$4="X",VLOOKUP(FD$10,'VK-Võrgud'!$C:$X,2+$F84,0)))/16</f>
        <v>798.15383156969176</v>
      </c>
      <c r="FE84" s="209">
        <f>(IF(FE$7="X",VLOOKUP(FE$10,'VK-Hooned-Soojus'!$C:$X,2+$C84,FALSE),0)+IF(FE$6="X",VLOOKUP(FE$10,'VK-Transport'!$C:$X,2+$B84,0))+IF(FE$8="X",VLOOKUP(FE$10,'VK-Elekter'!$C:$X,2+$D84,0))+IF(FE$9="X",VLOOKUP(FE$10,'VK-Biokütused'!$C:$U,2+$E84,0))+IF(FE$5="X",VLOOKUP(FE$10,'VK-Põlevkivi'!$C:$X,2+$G84,0))+IF(FE$4="X",VLOOKUP(FE$10,'VK-Võrgud'!$C:$X,2+$F84,0)))/16</f>
        <v>-77.074469880632108</v>
      </c>
      <c r="FF84" s="209">
        <f>(IF(FF$7="X",VLOOKUP(FF$10,'VK-Hooned-Soojus'!$C:$X,2+$C84,FALSE),0)+IF(FF$6="X",VLOOKUP(FF$10,'VK-Transport'!$C:$X,2+$B84,0))+IF(FF$8="X",VLOOKUP(FF$10,'VK-Elekter'!$C:$X,2+$D84,0))+IF(FF$9="X",VLOOKUP(FF$10,'VK-Biokütused'!$C:$U,2+$E84,0))+IF(FF$5="X",VLOOKUP(FF$10,'VK-Põlevkivi'!$C:$X,2+$G84,0))+IF(FF$4="X",VLOOKUP(FF$10,'VK-Võrgud'!$C:$X,2+$F84,0)))/16</f>
        <v>246.05510474920581</v>
      </c>
      <c r="FG84" s="88">
        <f t="shared" ca="1" si="78"/>
        <v>168.9806348685737</v>
      </c>
      <c r="FH84" s="88"/>
      <c r="FI84" s="88"/>
      <c r="FJ84" s="88">
        <f>VLOOKUP(Tulemused!$BN$12,data!M$7:N$12,2,FALSE)-SUM(L84,M84)</f>
        <v>-1.2238666666666731</v>
      </c>
      <c r="FK84" s="209" t="str">
        <f>IF(AZ84&lt;=VLOOKUP(Tulemused!$BN$15,data!$E$36:$F$39,2,FALSE),"JAH","EI")</f>
        <v>JAH</v>
      </c>
      <c r="FL84" s="235">
        <f ca="1">IF(ISNA(MATCH($A84,INDIRECT(VLOOKUP(Tulemused!$BF$11,data!$J$57:$M$71,4,FALSE)))),0,MATCH($A84,INDIRECT(VLOOKUP(Tulemused!$BF$11,data!$J$57:$M$71,4,FALSE))))</f>
        <v>0</v>
      </c>
      <c r="FM84" s="235" t="str">
        <f t="shared" ca="1" si="57"/>
        <v>JAH</v>
      </c>
      <c r="FN84" s="209">
        <f>VLOOKUP(Tulemused!$BN$13,data!$C$132:$D$137,2,FALSE)-KOMBI!R84</f>
        <v>3.3100876728770303</v>
      </c>
      <c r="FO84" s="209"/>
      <c r="FP84" s="209">
        <f>VLOOKUP(Tulemused!$BN$17,NO_x,2,FALSE)-CJ84</f>
        <v>6.7910000000000004</v>
      </c>
      <c r="FQ84" s="209">
        <f>VLOOKUP(Tulemused!$BN$18,SO_2,2,FALSE)-CK84</f>
        <v>13.393083784206773</v>
      </c>
      <c r="FR84" s="209">
        <f>VLOOKUP(Tulemused!$BN$19,LOU,2,FALSE)-CN84</f>
        <v>34.087000000000003</v>
      </c>
      <c r="FS84" s="209">
        <f>VLOOKUP(Tulemused!$BN$20,PM_2.5,2,FALSE)-CM84</f>
        <v>9.1830103843950823</v>
      </c>
      <c r="FT84" s="209">
        <f>VLOOKUP(Tulemused!$BN$13,data!$C$132:$D$137,2,FALSE)-FA84/1000</f>
        <v>3.0226240000000009</v>
      </c>
      <c r="FU84" s="209">
        <f>VLOOKUP(Tulemused!$BN$17,NO_x,2,FALSE)-CO84</f>
        <v>7.4424789202719666E-2</v>
      </c>
      <c r="FV84" s="209">
        <f>VLOOKUP(Tulemused!$BN$18,SO_2,2,FALSE)-CP84</f>
        <v>19.5455232753459</v>
      </c>
      <c r="FW84" s="209">
        <f>VLOOKUP(Tulemused!$BN$19,LOU,2,FALSE)-CS84</f>
        <v>33.235665509940176</v>
      </c>
      <c r="FX84" s="209">
        <f>VLOOKUP(Tulemused!$BN$20,PM_2.5,2,FALSE)-CR84</f>
        <v>8.7249127215424238</v>
      </c>
      <c r="FY84" s="209">
        <f>VLOOKUP(Tulemused!$BN$14,KHG_2050,2,FALSE)-EF84</f>
        <v>91.157617672877024</v>
      </c>
      <c r="FZ84" s="231" t="str">
        <f t="shared" ca="1" si="79"/>
        <v>EI</v>
      </c>
      <c r="GA84" s="209"/>
      <c r="GB84" s="209"/>
      <c r="GC84" s="209"/>
      <c r="GD84" s="231"/>
      <c r="GE84" s="87">
        <f t="shared" si="58"/>
        <v>1606</v>
      </c>
      <c r="GF84" s="232" t="str">
        <f t="shared" ca="1" si="80"/>
        <v/>
      </c>
      <c r="GH84" s="238" t="e">
        <f t="shared" ca="1" si="59"/>
        <v>#NUM!</v>
      </c>
      <c r="GI84" s="87" t="e">
        <f t="array" aca="1" ref="GI84" ca="1">INDEX($A$11:$A$145, SMALL(IF(GH84=$GF$11:$GF$145, MATCH(ROW($GF$11:$GF$145), ROW($GF$11:$GF$145))), SUM(--(GH84=$GH$11:GH84))))</f>
        <v>#NUM!</v>
      </c>
      <c r="GM84" s="209">
        <f>IF(GM$7="X",VLOOKUP(GM$10,'VK-Hooned-Soojus'!$C:$X,2+$C84,FALSE),0)+IF(GM$6="X",VLOOKUP(GM$10,'VK-Transport'!$C:$X,2+$B84,0))+IF(GM$8="X",VLOOKUP(GM$10,'VK-Elekter'!$C:$X,2+$D84,0))+IF(GM$9="X",VLOOKUP(GM$10,'VK-Biokütused'!$C:$U,2+$E84,0))+IF(GM$5="X",VLOOKUP(GM$10,'VK-Põlevkivi'!$C:$X,2+$G84,0))+IF(GM$4="X",VLOOKUP(GM$10,'VK-Võrgud'!$C:$X,2+$F84,0))</f>
        <v>11.189888530766083</v>
      </c>
      <c r="GN84" s="209">
        <f>IF(GN$7="X",VLOOKUP(GN$10,'VK-Hooned-Soojus'!$C:$X,2+$C84,FALSE),0)+IF(GN$6="X",VLOOKUP(GN$10,'VK-Transport'!$C:$X,2+$B84,0))+IF(GN$8="X",VLOOKUP(GN$10,'VK-Elekter'!$C:$X,2+$D84,0))+IF(GN$9="X",VLOOKUP(GN$10,'VK-Biokütused'!$C:$U,2+$E84,0))+IF(GN$5="X",VLOOKUP(GN$10,'VK-Põlevkivi'!$C:$X,2+$G84,0))+IF(GN$4="X",VLOOKUP(GN$10,'VK-Võrgud'!$C:$X,2+$F84,0))</f>
        <v>2.9930837725682502</v>
      </c>
      <c r="GO84" s="209">
        <f>IF(GO$7="X",VLOOKUP(GO$10,'VK-Hooned-Soojus'!$C:$X,2+$C84,FALSE),0)+IF(GO$6="X",VLOOKUP(GO$10,'VK-Transport'!$C:$X,2+$B84,0))+IF(GO$8="X",VLOOKUP(GO$10,'VK-Elekter'!$C:$X,2+$D84,0))+IF(GO$9="X",VLOOKUP(GO$10,'VK-Biokütused'!$C:$U,2+$E84,0))+IF(GO$5="X",VLOOKUP(GO$10,'VK-Põlevkivi'!$C:$X,2+$G84,0))+IF(GO$4="X",VLOOKUP(GO$10,'VK-Võrgud'!$C:$X,2+$F84,0))</f>
        <v>7.936370010272257</v>
      </c>
      <c r="GP84" s="209">
        <f>IF(GP$7="X",VLOOKUP(GP$10,'VK-Hooned-Soojus'!$C:$X,2+$C84,FALSE),0)+IF(GP$6="X",VLOOKUP(GP$10,'VK-Transport'!$C:$X,2+$B84,0))+IF(GP$8="X",VLOOKUP(GP$10,'VK-Elekter'!$C:$X,2+$D84,0))+IF(GP$9="X",VLOOKUP(GP$10,'VK-Biokütused'!$C:$U,2+$E84,0))+IF(GP$5="X",VLOOKUP(GP$10,'VK-Põlevkivi'!$C:$X,2+$G84,0))+IF(GP$4="X",VLOOKUP(GP$10,'VK-Võrgud'!$C:$X,2+$F84,0))</f>
        <v>9.1527946929596489</v>
      </c>
      <c r="GQ84" s="88">
        <f>IF(GQ$7="X",VLOOKUP(GQ$10,'VK-Hooned-Soojus'!$C:$X,2+$C84,FALSE),0)+IF(GQ$6="X",VLOOKUP(GQ$10,'VK-Transport'!$C:$X,2+$B84,0))+IF(GQ$8="X",VLOOKUP(GQ$10,'VK-Elekter'!$C:$X,2+$D84,0))+IF(GQ$9="X",VLOOKUP(GQ$10,'VK-Biokütused'!$C:$U,2+$E84,0))+IF(GQ$5="X",VLOOKUP(GQ$10,'VK-Põlevkivi'!$C:$X,2+$G84,0))+IF(GQ$4="X",VLOOKUP(GQ$10,'VK-Võrgud'!$C:$X,2+$F84,0))</f>
        <v>0.90618397335647782</v>
      </c>
      <c r="GR84" s="186">
        <f t="shared" si="81"/>
        <v>0.38324544696734003</v>
      </c>
    </row>
    <row r="85" spans="1:200" x14ac:dyDescent="0.2">
      <c r="A85" s="184">
        <v>75</v>
      </c>
      <c r="B85" s="87">
        <v>2</v>
      </c>
      <c r="C85" s="87">
        <v>2</v>
      </c>
      <c r="D85" s="87">
        <v>5</v>
      </c>
      <c r="E85" s="87">
        <v>3</v>
      </c>
      <c r="F85" s="87">
        <f>VLOOKUP(Tulemused!$BF$7,data!$J$6:$K$8,2,FALSE)</f>
        <v>2</v>
      </c>
      <c r="G85" s="87">
        <f>VLOOKUP(data!$H$2,data!$J$12:$K$14,2,FALSE)</f>
        <v>2</v>
      </c>
      <c r="I85" s="209">
        <f>IF(I$7="X",VLOOKUP(I$10,'VK-Hooned-Soojus'!$C:$X,2+$C85,FALSE),0)+IF(I$6="X",VLOOKUP(I$10,'VK-Transport'!$C:$X,2+$B85,0))+IF(I$8="X",VLOOKUP(I$10,'VK-Elekter'!$C:$X,2+$D85,0))+IF(I$9="X",VLOOKUP(I$10,'VK-Biokütused'!$C:$U,2+$E85,0))+IF(I$5="X",VLOOKUP(I$10,'VK-Põlevkivi'!$C:$X,2+$G85,0))+IF(I$4="X",VLOOKUP(I$10,'VK-Võrgud'!$C:$X,2+$F85,0))</f>
        <v>24.79</v>
      </c>
      <c r="J85" s="209">
        <f>IF(J$7="X",VLOOKUP(J$10,'VK-Hooned-Soojus'!$C:$X,2+$C85,FALSE),0)+IF(J$6="X",VLOOKUP(J$10,'VK-Transport'!$C:$X,2+$B85,0))+IF(J$8="X",VLOOKUP(J$10,'VK-Elekter'!$C:$X,2+$D85,0))+IF(J$9="X",VLOOKUP(J$10,'VK-Biokütused'!$C:$U,2+$E85,0))+IF(J$5="X",VLOOKUP(J$10,'VK-Põlevkivi'!$C:$X,2+$G85,0))+IF(J$4="X",VLOOKUP(J$10,'VK-Võrgud'!$C:$X,2+$F85,0))</f>
        <v>11.138055555555555</v>
      </c>
      <c r="K85" s="209">
        <f>IF(K$7="X",VLOOKUP(K$10,'VK-Hooned-Soojus'!$C:$X,2+$C85,FALSE),0)+IF(K$6="X",VLOOKUP(K$10,'VK-Transport'!$C:$X,2+$B85,0))+IF(K$8="X",VLOOKUP(K$10,'VK-Elekter'!$C:$X,2+$D85,0))+IF(K$9="X",VLOOKUP(K$10,'VK-Biokütused'!$C:$U,2+$E85,0))+IF(K$5="X",VLOOKUP(K$10,'VK-Põlevkivi'!$C:$X,2+$G85,0))+IF(K$4="X",VLOOKUP(K$10,'VK-Võrgud'!$C:$X,2+$F85,0))</f>
        <v>15.27</v>
      </c>
      <c r="L85" s="209">
        <f>IF(L$7="X",VLOOKUP(L$10,'VK-Hooned-Soojus'!$C:$X,2+$C85,FALSE),0)+IF(L$6="X",VLOOKUP(L$10,'VK-Transport'!$C:$X,2+$B85,0))+IF(L$8="X",VLOOKUP(L$10,'VK-Elekter'!$C:$X,2+$D85,0))+IF(L$9="X",VLOOKUP(L$10,'VK-Biokütused'!$C:$U,2+$E85,0))+IF(L$5="X",VLOOKUP(L$10,'VK-Põlevkivi'!$C:$X,2+$G85,0))+IF(L$4="X",VLOOKUP(L$10,'VK-Võrgud'!$C:$X,2+$F85,0))</f>
        <v>24.2</v>
      </c>
      <c r="M85" s="209">
        <f>IF(M$7="X",VLOOKUP(M$10,'VK-Hooned-Soojus'!$C:$X,2+$C85,FALSE),0)+IF(M$6="X",VLOOKUP(M$10,'VK-Transport'!$C:$X,2+$B85,0))+IF(M$8="X",VLOOKUP(M$10,'VK-Elekter'!$C:$X,2+$D85,0))+IF(M$9="X",VLOOKUP(M$10,'VK-Biokütused'!$C:$U,2+$E85,0))+IF(M$5="X",VLOOKUP(M$10,'VK-Põlevkivi'!$C:$X,2+$G85,0))+IF(M$4="X",VLOOKUP(M$10,'VK-Võrgud'!$C:$X,2+$F85,0))</f>
        <v>9.8566666666666674</v>
      </c>
      <c r="N85" s="209">
        <f>IF(N$7="X",VLOOKUP(N$10,'VK-Hooned-Soojus'!$C:$X,2+$C85,FALSE),0)+IF(N$6="X",VLOOKUP(N$10,'VK-Transport'!$C:$X,2+$B85,0))+IF(N$8="X",VLOOKUP(N$10,'VK-Elekter'!$C:$X,2+$D85,0))+IF(N$9="X",VLOOKUP(N$10,'VK-Biokütused'!$C:$U,2+$E85,0))+IF(N$5="X",VLOOKUP(N$10,'VK-Põlevkivi'!$C:$X,2+$G85,0))+IF(N$4="X",VLOOKUP(N$10,'VK-Võrgud'!$C:$X,2+$F85,0))</f>
        <v>16.09</v>
      </c>
      <c r="O85" s="209">
        <f t="shared" si="60"/>
        <v>35.928055555555552</v>
      </c>
      <c r="P85" s="209"/>
      <c r="Q85" s="209">
        <f>(IF(Q$7="X",VLOOKUP(Q$10,'VK-Hooned-Soojus'!$C:$X,2+$C85,FALSE),0)+IF(Q$6="X",VLOOKUP(Q$10,'VK-Transport'!$C:$X,2+$B85,0))+IF(Q$8="X",VLOOKUP(Q$10,'VK-Elekter'!$C:$X,2+$D85,0))+IF(Q$9="X",VLOOKUP(Q$10,'VK-Biokütused'!$C:$U,2+$E85,0))+IF(Q$5="X",VLOOKUP(Q$10,'VK-Põlevkivi'!$C:$X,2+$G85,0))+IF(Q$4="X",VLOOKUP(Q$10,'VK-Võrgud'!$C:$X,2+$F85,0)))/1000</f>
        <v>6.0640000000000001</v>
      </c>
      <c r="R85" s="209">
        <f>(IF(R$7="X",VLOOKUP(R$10,'VK-Hooned-Soojus'!$C:$X,2+$C85,FALSE),0)+IF(R$6="X",VLOOKUP(R$10,'VK-Transport'!$C:$X,2+$B85,0))+IF(R$8="X",VLOOKUP(R$10,'VK-Elekter'!$C:$X,2+$D85,0))+IF(R$9="X",VLOOKUP(R$10,'VK-Biokütused'!$C:$U,2+$E85,0))+IF(R$5="X",VLOOKUP(R$10,'VK-Põlevkivi'!$C:$X,2+$G85,0))+IF(R$4="X",VLOOKUP(R$10,'VK-Võrgud'!$C:$X,2+$F85,0)))/1000</f>
        <v>3.1445823271229703</v>
      </c>
      <c r="S85" s="226">
        <f>VLOOKUP(S$10,'VK-Hooned-Soojus'!$C:$I,2+$C85,FALSE) + VLOOKUP(S$10,'VK-Transport'!$C:$I,2+$B85,FALSE)+ VLOOKUP(S$10,'VK-Biokütused'!$C:$G,2+$E85,FALSE)+ VLOOKUP(S$10,'VK-Elekter'!$C:$I,2+$D85,FALSE)+ VLOOKUP(S$10,'VK-Põlevkivi'!$C:$I,2+$G85,FALSE)+ VLOOKUP(S$10,'VK-Võrgud'!$C:$I,2+$F85,FALSE)</f>
        <v>3.4506602791362369E-2</v>
      </c>
      <c r="T85" s="226">
        <f>VLOOKUP(T$10,'VK-Hooned-Soojus'!$C:$I,2+$C85,FALSE) + VLOOKUP(T$10,'VK-Transport'!$C:$I,2+$B85,FALSE)+ VLOOKUP(T$10,'VK-Biokütused'!$C:$G,2+$E85,FALSE)+ VLOOKUP(T$10,'VK-Elekter'!$C:$I,2+$D85,FALSE)+ VLOOKUP(T$10,'VK-Põlevkivi'!$C:$I,2+$G85,FALSE)+ VLOOKUP(T$10,'VK-Võrgud'!$C:$I,2+$F85,FALSE)</f>
        <v>7.0225713910878774E-3</v>
      </c>
      <c r="U85" s="226">
        <f>VLOOKUP(U$10,'VK-Hooned-Soojus'!$C:$I,2+$C85,FALSE) + VLOOKUP(U$10,'VK-Transport'!$C:$I,2+$B85,FALSE)+ VLOOKUP(U$10,'VK-Biokütused'!$C:$G,2+$E85,FALSE)+ VLOOKUP(U$10,'VK-Elekter'!$C:$I,2+$D85,FALSE)+ VLOOKUP(U$10,'VK-Põlevkivi'!$C:$I,2+$G85,FALSE)+ VLOOKUP(U$10,'VK-Võrgud'!$C:$I,2+$F85,FALSE)</f>
        <v>1.4359736431295622E-2</v>
      </c>
      <c r="V85" s="226">
        <f>VLOOKUP(V$10,'VK-Hooned-Soojus'!$C:$I,2+$C85,FALSE) + VLOOKUP(V$10,'VK-Transport'!$C:$I,2+$B85,FALSE)+ VLOOKUP(V$10,'VK-Biokütused'!$C:$G,2+$E85,FALSE)+ VLOOKUP(V$10,'VK-Elekter'!$C:$I,2+$D85,FALSE)+ VLOOKUP(V$10,'VK-Põlevkivi'!$C:$I,2+$G85,FALSE)+ VLOOKUP(V$10,'VK-Võrgud'!$C:$I,2+$F85,FALSE)</f>
        <v>2.0560911897907333E-2</v>
      </c>
      <c r="W85" s="226">
        <f>VLOOKUP(W$10,'VK-Hooned-Soojus'!$C:$I,2+$C85,FALSE) + VLOOKUP(W$10,'VK-Transport'!$C:$I,2+$B85,FALSE)+ VLOOKUP(W$10,'VK-Biokütused'!$C:$G,2+$E85,FALSE)+ VLOOKUP(W$10,'VK-Elekter'!$C:$I,2+$D85,FALSE)+ VLOOKUP(W$10,'VK-Põlevkivi'!$C:$I,2+$G85,FALSE)+ VLOOKUP(W$10,'VK-Võrgud'!$C:$I,2+$F85,FALSE)</f>
        <v>-1.0581729781672088E-2</v>
      </c>
      <c r="X85" s="226">
        <f>VLOOKUP(X$10,'VK-Hooned-Soojus'!$C:$I,2+$C85,FALSE) + VLOOKUP(X$10,'VK-Transport'!$C:$I,2+$B85,FALSE)+ VLOOKUP(X$10,'VK-Biokütused'!$C:$G,2+$E85,FALSE)+ VLOOKUP(X$10,'VK-Elekter'!$C:$I,2+$D85,FALSE)+ VLOOKUP(X$10,'VK-Põlevkivi'!$C:$I,2+$G85,FALSE)+ VLOOKUP(X$10,'VK-Võrgud'!$C:$I,2+$F85,FALSE)</f>
        <v>5.9027782558052806E-2</v>
      </c>
      <c r="Y85" s="226">
        <f>VLOOKUP(Y$10,'VK-Hooned-Soojus'!$C:$I,2+$C85,FALSE) + VLOOKUP(Y$10,'VK-Transport'!$C:$I,2+$B85,FALSE)+ VLOOKUP(Y$10,'VK-Biokütused'!$C:$G,2+$E85,FALSE)+ VLOOKUP(Y$10,'VK-Elekter'!$C:$I,2+$D85,FALSE)+ VLOOKUP(Y$10,'VK-Põlevkivi'!$C:$I,2+$G85,FALSE)+ VLOOKUP(Y$10,'VK-Võrgud'!$C:$I,2+$F85,FALSE)</f>
        <v>5.3897122875652119E-2</v>
      </c>
      <c r="Z85" s="227">
        <f>(S85*Tulemused!$Q$9*10+T85*Tulemused!$Q$10*10+KOMBI!U85*Tulemused!$Q$11*10+KOMBI!V85*Tulemused!$Q$12*10)*Tulemused!$Q$8+-(W85*Tulemused!$Q$14*10+KOMBI!X85*Tulemused!$Q$15*10+KOMBI!Y85*Tulemused!$Q$16*10)*Tulemused!$Q$13</f>
        <v>6.4489217064622135</v>
      </c>
      <c r="AA85" s="228">
        <f>(IF(AA$7="X",VLOOKUP(AA$10,'VK-Hooned-Soojus'!$C:$X,2+$C85,FALSE),0)+IF(AA$6="X",VLOOKUP(AA$10,'VK-Transport'!$C:$X,2+$B85,0))+IF(AA$8="X",VLOOKUP(AA$10,'VK-Elekter'!$C:$X,2+$D85,0))+IF(AA$9="X",VLOOKUP(AA$10,'VK-Biokütused'!$C:$U,2+$E85,0))+IF(AA$5="X",VLOOKUP(AA$10,'VK-Põlevkivi'!$C:$X,2+$G85,0))+IF(AA$4="X",VLOOKUP(AA$10,'VK-Võrgud'!$C:$X,2+$F85,0)))</f>
        <v>4727</v>
      </c>
      <c r="AB85" s="228">
        <f>(IF(AB$7="X",VLOOKUP(AB$10,'VK-Hooned-Soojus'!$C:$X,2+$C85,FALSE),0)+IF(AB$6="X",VLOOKUP(AB$10,'VK-Transport'!$C:$X,2+$B85,0))+IF(AB$8="X",VLOOKUP(AB$10,'VK-Elekter'!$C:$X,2+$D85,0))+IF(AB$9="X",VLOOKUP(AB$10,'VK-Biokütused'!$C:$U,2+$E85,0))+IF(AB$5="X",VLOOKUP(AB$10,'VK-Põlevkivi'!$C:$X,2+$G85,0))+IF(AB$4="X",VLOOKUP(AB$10,'VK-Võrgud'!$C:$X,2+$F85,0)))</f>
        <v>1337</v>
      </c>
      <c r="AC85" s="228">
        <f>(IF(AC$7="X",VLOOKUP(AC$10,'VK-Hooned-Soojus'!$C:$X,2+$C85,FALSE),0)+IF(AC$6="X",VLOOKUP(AC$10,'VK-Transport'!$C:$X,2+$B85,0))+IF(AC$8="X",VLOOKUP(AC$10,'VK-Elekter'!$C:$X,2+$D85,0))+IF(AC$9="X",VLOOKUP(AC$10,'VK-Biokütused'!$C:$U,2+$E85,0))+IF(AC$5="X",VLOOKUP(AC$10,'VK-Põlevkivi'!$C:$X,2+$G85,0))+IF(AC$4="X",VLOOKUP(AC$10,'VK-Võrgud'!$C:$X,2+$F85,0)))</f>
        <v>2346</v>
      </c>
      <c r="AD85" s="228">
        <f>(IF(AD$7="X",VLOOKUP(AD$10,'VK-Hooned-Soojus'!$C:$X,2+$C85,FALSE),0)+IF(AD$6="X",VLOOKUP(AD$10,'VK-Transport'!$C:$X,2+$B85,0))+IF(AD$8="X",VLOOKUP(AD$10,'VK-Elekter'!$C:$X,2+$D85,0))+IF(AD$9="X",VLOOKUP(AD$10,'VK-Biokütused'!$C:$U,2+$E85,0))+IF(AD$5="X",VLOOKUP(AD$10,'VK-Põlevkivi'!$C:$X,2+$G85,0))+IF(AD$4="X",VLOOKUP(AD$10,'VK-Võrgud'!$C:$X,2+$F85,0)))</f>
        <v>586.20000000000005</v>
      </c>
      <c r="AE85" s="228">
        <f>(IF(AE$7="X",VLOOKUP(AE$10,'VK-Hooned-Soojus'!$C:$X,2+$C85,FALSE),0)+IF(AE$6="X",VLOOKUP(AE$10,'VK-Transport'!$C:$X,2+$B85,0))+IF(AE$8="X",VLOOKUP(AE$10,'VK-Elekter'!$C:$X,2+$D85,0))+IF(AE$9="X",VLOOKUP(AE$10,'VK-Biokütused'!$C:$U,2+$E85,0))+IF(AE$5="X",VLOOKUP(AE$10,'VK-Põlevkivi'!$C:$X,2+$G85,0))+IF(AE$4="X",VLOOKUP(AE$10,'VK-Võrgud'!$C:$X,2+$F85,0)))</f>
        <v>666</v>
      </c>
      <c r="AF85" s="228">
        <f>(IF(AF$7="X",VLOOKUP(AF$10,'VK-Hooned-Soojus'!$C:$X,2+$C85,FALSE),0)+IF(AF$6="X",VLOOKUP(AF$10,'VK-Transport'!$C:$X,2+$B85,0))+IF(AF$8="X",VLOOKUP(AF$10,'VK-Elekter'!$C:$X,2+$D85,0))+IF(AF$9="X",VLOOKUP(AF$10,'VK-Biokütused'!$C:$U,2+$E85,0))+IF(AF$5="X",VLOOKUP(AF$10,'VK-Põlevkivi'!$C:$X,2+$G85,0))+IF(AF$4="X",VLOOKUP(AF$10,'VK-Võrgud'!$C:$X,2+$F85,0)))</f>
        <v>1892.3823271229701</v>
      </c>
      <c r="AG85" s="209"/>
      <c r="AH85" s="209">
        <f>IF(AH$7="X",VLOOKUP(AH$10,'VK-Hooned-Soojus'!$C:$X,2+$C85,FALSE),0)+IF(AH$6="X",VLOOKUP(AH$10,'VK-Transport'!$C:$X,2+$B85,0))+IF(AH$8="X",VLOOKUP(AH$10,'VK-Elekter'!$C:$X,2+$D85,0))+IF(AH$9="X",VLOOKUP(AH$10,'VK-Biokütused'!$C:$U,2+$E85,0))+IF(AH$5="X",VLOOKUP(AH$10,'VK-Põlevkivi'!$C:$X,2+$G85,0))+IF(AH$4="X",VLOOKUP(AH$10,'VK-Võrgud'!$C:$X,2+$F85,0))</f>
        <v>17.400000000000002</v>
      </c>
      <c r="AI85" s="209">
        <f>IF(AI$7="X",VLOOKUP(AI$10,'VK-Hooned-Soojus'!$C:$X,2+$C85,FALSE),0)+IF(AI$6="X",VLOOKUP(AI$10,'VK-Transport'!$C:$X,2+$B85,0))+IF(AI$8="X",VLOOKUP(AI$10,'VK-Elekter'!$C:$X,2+$D85,0))+IF(AI$9="X",VLOOKUP(AI$10,'VK-Biokütused'!$C:$U,2+$E85,0))+IF(AI$5="X",VLOOKUP(AI$10,'VK-Põlevkivi'!$C:$X,2+$G85,0))+IF(AI$4="X",VLOOKUP(AI$10,'VK-Võrgud'!$C:$X,2+$F85,0))</f>
        <v>2.3100000000000005</v>
      </c>
      <c r="AJ85" s="209">
        <f>IF(AJ$7="X",VLOOKUP(AJ$10,'VK-Hooned-Soojus'!$C:$X,2+$C85,FALSE),0)+IF(AJ$6="X",VLOOKUP(AJ$10,'VK-Transport'!$C:$X,2+$B85,0))+IF(AJ$8="X",VLOOKUP(AJ$10,'VK-Elekter'!$C:$X,2+$D85,0))+IF(AJ$9="X",VLOOKUP(AJ$10,'VK-Biokütused'!$C:$U,2+$E85,0))+IF(AJ$5="X",VLOOKUP(AJ$10,'VK-Põlevkivi'!$C:$X,2+$G85,0))+IF(AJ$4="X",VLOOKUP(AJ$10,'VK-Võrgud'!$C:$X,2+$F85,0))</f>
        <v>4.59</v>
      </c>
      <c r="AK85" s="209">
        <f>IF(AK$7="X",VLOOKUP(AK$10,'VK-Hooned-Soojus'!$C:$X,2+$C85,FALSE),0)+IF(AK$6="X",VLOOKUP(AK$10,'VK-Transport'!$C:$X,2+$B85,0))+IF(AK$8="X",VLOOKUP(AK$10,'VK-Elekter'!$C:$X,2+$D85,0))+IF(AK$9="X",VLOOKUP(AK$10,'VK-Biokütused'!$C:$U,2+$E85,0))+IF(AK$5="X",VLOOKUP(AK$10,'VK-Põlevkivi'!$C:$X,2+$G85,0))+IF(AK$4="X",VLOOKUP(AK$10,'VK-Võrgud'!$C:$X,2+$F85,0))</f>
        <v>-0.41</v>
      </c>
      <c r="AL85" s="209">
        <f>IF(AL$7="X",VLOOKUP(AL$10,'VK-Hooned-Soojus'!$C:$X,2+$C85,FALSE),0)+IF(AL$6="X",VLOOKUP(AL$10,'VK-Transport'!$C:$X,2+$B85,0))+IF(AL$8="X",VLOOKUP(AL$10,'VK-Elekter'!$C:$X,2+$D85,0))+IF(AL$9="X",VLOOKUP(AL$10,'VK-Biokütused'!$C:$U,2+$E85,0))+IF(AL$5="X",VLOOKUP(AL$10,'VK-Põlevkivi'!$C:$X,2+$G85,0))+IF(AL$4="X",VLOOKUP(AL$10,'VK-Võrgud'!$C:$X,2+$F85,0))</f>
        <v>7.1999999999999993</v>
      </c>
      <c r="AM85" s="209">
        <f>IF(AM$7="X",VLOOKUP(AM$10,'VK-Hooned-Soojus'!$C:$X,2+$C85,FALSE),0)+IF(AM$6="X",VLOOKUP(AM$10,'VK-Transport'!$C:$X,2+$B85,0))+IF(AM$8="X",VLOOKUP(AM$10,'VK-Elekter'!$C:$X,2+$D85,0))+IF(AM$9="X",VLOOKUP(AM$10,'VK-Biokütused'!$C:$U,2+$E85,0))+IF(AM$5="X",VLOOKUP(AM$10,'VK-Põlevkivi'!$C:$X,2+$G85,0))+IF(AM$4="X",VLOOKUP(AM$10,'VK-Võrgud'!$C:$X,2+$F85,0))</f>
        <v>11.9</v>
      </c>
      <c r="AN85" s="209">
        <f>IF(AN$7="X",VLOOKUP(AN$10,'VK-Hooned-Soojus'!$C:$X,2+$C85,FALSE),0)+IF(AN$6="X",VLOOKUP(AN$10,'VK-Transport'!$C:$X,2+$B85,0))+IF(AN$8="X",VLOOKUP(AN$10,'VK-Elekter'!$C:$X,2+$D85,0))+IF(AN$9="X",VLOOKUP(AN$10,'VK-Biokütused'!$C:$U,2+$E85,0))+IF(AN$5="X",VLOOKUP(AN$10,'VK-Põlevkivi'!$C:$X,2+$G85,0))+IF(AN$4="X",VLOOKUP(AN$10,'VK-Võrgud'!$C:$X,2+$F85,0))</f>
        <v>4.8999999999999995</v>
      </c>
      <c r="AO85" s="209">
        <f>IF(AO$7="X",VLOOKUP(AO$10,'VK-Hooned-Soojus'!$C:$X,2+$C85,FALSE),0)+IF(AO$6="X",VLOOKUP(AO$10,'VK-Transport'!$C:$X,2+$B85,0))+IF(AO$8="X",VLOOKUP(AO$10,'VK-Elekter'!$C:$X,2+$D85,0))+IF(AO$9="X",VLOOKUP(AO$10,'VK-Biokütused'!$C:$U,2+$E85,0))+IF(AO$5="X",VLOOKUP(AO$10,'VK-Põlevkivi'!$C:$X,2+$G85,0))+IF(AO$4="X",VLOOKUP(AO$10,'VK-Võrgud'!$C:$X,2+$F85,0))</f>
        <v>12.56</v>
      </c>
      <c r="AP85" s="209">
        <f>IF(AP$7="X",VLOOKUP(AP$10,'VK-Hooned-Soojus'!$C:$X,2+$C85,FALSE),0)+IF(AP$6="X",VLOOKUP(AP$10,'VK-Transport'!$C:$X,2+$B85,0))+IF(AP$8="X",VLOOKUP(AP$10,'VK-Elekter'!$C:$X,2+$D85,0))+IF(AP$9="X",VLOOKUP(AP$10,'VK-Biokütused'!$C:$U,2+$E85,0))+IF(AP$5="X",VLOOKUP(AP$10,'VK-Põlevkivi'!$C:$X,2+$G85,0))+IF(AP$4="X",VLOOKUP(AP$10,'VK-Võrgud'!$C:$X,2+$F85,0))</f>
        <v>6.28</v>
      </c>
      <c r="AQ85" s="320">
        <f t="shared" si="61"/>
        <v>0.25999999999999979</v>
      </c>
      <c r="AR85" s="209">
        <f>IF(AR$7="X",VLOOKUP(AR$10,'VK-Hooned-Soojus'!$C:$X,2+$C85,FALSE),0)+IF(AR$6="X",VLOOKUP(AR$10,'VK-Transport'!$C:$X,2+$B85,0))+IF(AR$8="X",VLOOKUP(AR$10,'VK-Elekter'!$C:$X,2+$D85,0))+IF(AR$9="X",VLOOKUP(AR$10,'VK-Biokütused'!$C:$U,2+$E85,0))+IF(AR$5="X",VLOOKUP(AR$10,'VK-Põlevkivi'!$C:$X,2+$G85,0))+IF(AR$4="X",VLOOKUP(AR$10,'VK-Võrgud'!$C:$X,2+$F85,0))</f>
        <v>13.309999999999999</v>
      </c>
      <c r="AS85" s="235">
        <f>'VK-Põlevkivi'!$F$8-AR85-AU85</f>
        <v>14.298622986547709</v>
      </c>
      <c r="AT85" s="209">
        <f>IF(AT$7="X",VLOOKUP(AT$10,'VK-Hooned-Soojus'!$C:$X,2+$C85,FALSE),0)+IF(AT$6="X",VLOOKUP(AT$10,'VK-Transport'!$C:$X,2+$B85,0))+IF(AT$8="X",VLOOKUP(AT$10,'VK-Elekter'!$C:$X,2+$D85,0))+IF(AT$9="X",VLOOKUP(AT$10,'VK-Biokütused'!$C:$U,2+$E85,0))+IF(AT$5="X",VLOOKUP(AT$10,'VK-Põlevkivi'!$C:$X,2+$G85,0))+IF(AT$4="X",VLOOKUP(AT$10,'VK-Võrgud'!$C:$X,2+$F85,0))</f>
        <v>9.2784458909544707</v>
      </c>
      <c r="AU85" s="235">
        <f>'VK-Põlevkivi'!$F$9-VLOOKUP("Kütuste tarbimine @ 2030 - PÕLEVKIVIÕLI",'VK-Hooned-Soojus'!$C:$X,2+$C85,FALSE)</f>
        <v>28.928043680118964</v>
      </c>
      <c r="AV85" s="209">
        <f>IF(AV$7="X",VLOOKUP(AV$10,'VK-Hooned-Soojus'!$C:$X,2+$C85,FALSE),0)+IF(AV$6="X",VLOOKUP(AV$10,'VK-Transport'!$C:$X,2+$B85,0))+IF(AV$8="X",VLOOKUP(AV$10,'VK-Elekter'!$C:$X,2+$D85,0))+IF(AV$9="X",VLOOKUP(AV$10,'VK-Biokütused'!$C:$U,2+$E85,0))+IF(AV$5="X",VLOOKUP(AV$10,'VK-Põlevkivi'!$C:$X,2+$G85,0))+IF(AV$4="X",VLOOKUP(AV$10,'VK-Võrgud'!$C:$X,2+$F85,0))</f>
        <v>1.7257321590343366</v>
      </c>
      <c r="AW85" s="209">
        <f>IF(AW$7="X",VLOOKUP(AW$10,'VK-Hooned-Soojus'!$C:$X,2+$C85,FALSE),0)+IF(AW$6="X",VLOOKUP(AW$10,'VK-Transport'!$C:$X,2+$B85,0))+IF(AW$8="X",VLOOKUP(AW$10,'VK-Elekter'!$C:$X,2+$D85,0))+IF(AW$9="X",VLOOKUP(AW$10,'VK-Biokütused'!$C:$U,2+$E85,0))+IF(AW$5="X",VLOOKUP(AW$10,'VK-Põlevkivi'!$C:$X,2+$G85,0))+IF(AW$4="X",VLOOKUP(AW$10,'VK-Võrgud'!$C:$X,2+$F85,0))</f>
        <v>4.2799999999999994</v>
      </c>
      <c r="AX85" s="229">
        <f t="shared" si="62"/>
        <v>2.5542678409656627</v>
      </c>
      <c r="AY85" s="229">
        <f t="shared" si="63"/>
        <v>0</v>
      </c>
      <c r="AZ85" s="230">
        <f t="shared" si="48"/>
        <v>0.30342209294430833</v>
      </c>
      <c r="BA85" s="209">
        <f>IF(BA$7="X",VLOOKUP(BA$10,'VK-Hooned-Soojus'!$C:$X,2+$C85,FALSE),0)+IF(BA$6="X",VLOOKUP(BA$10,'VK-Transport'!$C:$X,2+$B85,0))+IF(BA$8="X",VLOOKUP(BA$10,'VK-Elekter'!$C:$X,2+$D85,0))+IF(BA$9="X",VLOOKUP(BA$10,'VK-Biokütused'!$C:$U,2+$E85,0))+IF(BA$5="X",VLOOKUP(BA$10,'VK-Põlevkivi'!$C:$X,2+$G85,0))+IF(BA$4="X",VLOOKUP(BA$10,'VK-Võrgud'!$C:$X,2+$F85,0))</f>
        <v>7.41</v>
      </c>
      <c r="BB85" s="209">
        <f>IF(BB$7="X",VLOOKUP(BB$10,'VK-Hooned-Soojus'!$C:$X,2+$C85,FALSE),0)+IF(BB$6="X",VLOOKUP(BB$10,'VK-Transport'!$C:$X,2+$B85,0))+IF(BB$8="X",VLOOKUP(BB$10,'VK-Elekter'!$C:$X,2+$D85,0))+IF(BB$9="X",VLOOKUP(BB$10,'VK-Biokütused'!$C:$U,2+$E85,0))+IF(BB$5="X",VLOOKUP(BB$10,'VK-Põlevkivi'!$C:$X,2+$G85,0))+IF(BB$4="X",VLOOKUP(BB$10,'VK-Võrgud'!$C:$X,2+$F85,0))</f>
        <v>2.96</v>
      </c>
      <c r="BC85" s="209">
        <f>IF(BC$7="X",VLOOKUP(BC$10,'VK-Hooned-Soojus'!$C:$X,2+$C85,FALSE),0)+IF(BC$6="X",VLOOKUP(BC$10,'VK-Transport'!$C:$X,2+$B85,0))+IF(BC$8="X",VLOOKUP(BC$10,'VK-Elekter'!$C:$X,2+$D85,0))+IF(BC$9="X",VLOOKUP(BC$10,'VK-Biokütused'!$C:$U,2+$E85,0))+IF(BC$5="X",VLOOKUP(BC$10,'VK-Põlevkivi'!$C:$X,2+$G85,0))+IF(BC$4="X",VLOOKUP(BC$10,'VK-Võrgud'!$C:$X,2+$F85,0))</f>
        <v>6.5993333333333322</v>
      </c>
      <c r="BD85" s="209">
        <f>IF(BD$7="X",VLOOKUP(BD$10,'VK-Hooned-Soojus'!$C:$X,2+$C85,FALSE),0)+IF(BD$6="X",VLOOKUP(BD$10,'VK-Transport'!$C:$X,2+$B85,0))+IF(BD$8="X",VLOOKUP(BD$10,'VK-Elekter'!$C:$X,2+$D85,0))+IF(BD$9="X",VLOOKUP(BD$10,'VK-Biokütused'!$C:$U,2+$E85,0))+IF(BD$5="X",VLOOKUP(BD$10,'VK-Põlevkivi'!$C:$X,2+$G85,0))+IF(BD$4="X",VLOOKUP(BD$10,'VK-Võrgud'!$C:$X,2+$F85,0))</f>
        <v>9.425416666666667</v>
      </c>
      <c r="BE85" s="230"/>
      <c r="BF85" s="229">
        <f t="shared" si="64"/>
        <v>0.25410657454651348</v>
      </c>
      <c r="BG85" s="209" t="e">
        <f>(IF(BG$7="X",VLOOKUP(BG$10,'VK-Hooned-Soojus'!$C:$X,2+$C85,FALSE),0)+IF(BG$6="X",VLOOKUP(BG$10,'VK-Transport'!$C:$X,2+$B85,0))+IF(BG$8="X",VLOOKUP(BG$10,'VK-Elekter'!$C:$X,2+$D85,0))+IF(BG$9="X",VLOOKUP(BG$10,'VK-Biokütused'!$C:$U,2+$E85,0))+IF(BG$5="X",VLOOKUP(BG$10,'VK-Põlevkivi'!$C:$X,2+$G85,0))+IF(BG$4="X",VLOOKUP(BG$10,'VK-Võrgud'!$C:$X,2+$F85,0)))/20</f>
        <v>#N/A</v>
      </c>
      <c r="BH85" s="209">
        <f>(IF(BH$7="X",VLOOKUP(BH$10,'VK-Hooned-Soojus'!$C:$X,2+$C85,FALSE),0)+IF(BH$6="X",VLOOKUP(BH$10,'VK-Transport'!$C:$X,2+$B85,0))+IF(BH$8="X",VLOOKUP(BH$10,'VK-Elekter'!$C:$X,2+$D85,0))+IF(BH$9="X",VLOOKUP(BH$10,'VK-Biokütused'!$C:$U,2+$E85,0))+IF(BH$5="X",VLOOKUP(BH$10,'VK-Põlevkivi'!$C:$X,2+$G85,0))+IF(BH$4="X",VLOOKUP(BH$10,'VK-Võrgud'!$C:$X,2+$F85,0)))/20</f>
        <v>45.08</v>
      </c>
      <c r="BI85" s="209">
        <f>(IF(BI$7="X",VLOOKUP(BI$10,'VK-Hooned-Soojus'!$C:$X,2+$C85,FALSE),0)+IF(BI$6="X",VLOOKUP(BI$10,'VK-Transport'!$C:$X,2+$B85,0))+IF(BI$8="X",VLOOKUP(BI$10,'VK-Elekter'!$C:$X,2+$D85,0))+IF(BI$9="X",VLOOKUP(BI$10,'VK-Biokütused'!$C:$U,2+$E85,0))+IF(BI$5="X",VLOOKUP(BI$10,'VK-Põlevkivi'!$C:$X,2+$G85,0))+IF(BI$4="X",VLOOKUP(BI$10,'VK-Võrgud'!$C:$X,2+$F85,0)))/16</f>
        <v>14.1875</v>
      </c>
      <c r="BJ85" s="209">
        <f>(IF(BJ$7="X",VLOOKUP(BJ$10,'VK-Hooned-Soojus'!$C:$X,2+$C85,FALSE),0)+IF(BJ$6="X",VLOOKUP(BJ$10,'VK-Transport'!$C:$X,2+$B85,0))+IF(BJ$8="X",VLOOKUP(BJ$10,'VK-Elekter'!$C:$X,2+$D85,0))+IF(BJ$9="X",VLOOKUP(BJ$10,'VK-Biokütused'!$C:$U,2+$E85,0))+IF(BJ$5="X",VLOOKUP(BJ$10,'VK-Põlevkivi'!$C:$X,2+$G85,0))+IF(BJ$4="X",VLOOKUP(BJ$10,'VK-Võrgud'!$C:$X,2+$F85,0)))/20</f>
        <v>3.91</v>
      </c>
      <c r="BK85" s="209"/>
      <c r="BL85" s="209"/>
      <c r="BM85" s="209"/>
      <c r="BN85" s="209" t="e">
        <f>(IF(BN$7="X",VLOOKUP(BN$10,'VK-Hooned-Soojus'!$C:$X,2+$C85,FALSE),0)+IF(BN$6="X",VLOOKUP(BN$10,'VK-Transport'!$C:$X,2+$B85,0))+IF(BN$8="X",VLOOKUP(BN$10,'VK-Elekter'!$C:$X,2+$D85,0))+IF(BN$9="X",VLOOKUP(BN$10,'VK-Biokütused'!$C:$U,2+$E85,0))+IF(BN$5="X",VLOOKUP(BN$10,'VK-Põlevkivi'!$C:$X,2+$G85,0))+IF(BN$4="X",VLOOKUP(BN$10,'VK-Võrgud'!$C:$X,2+$F85,0)))/16</f>
        <v>#N/A</v>
      </c>
      <c r="BO85" s="209">
        <f>(IF(BO$7="X",VLOOKUP(BO$10,'VK-Hooned-Soojus'!$C:$X,2+$C85,FALSE),0)+IF(BO$6="X",VLOOKUP(BO$10,'VK-Transport'!$C:$X,2+$B85,0))+IF(BO$8="X",VLOOKUP(BO$10,'VK-Elekter'!$C:$X,2+$D85,0))+IF(BO$9="X",VLOOKUP(BO$10,'VK-Biokütused'!$C:$U,2+$E85,0))+IF(BO$5="X",VLOOKUP(BO$10,'VK-Põlevkivi'!$C:$X,2+$G85,0))+IF(BO$4="X",VLOOKUP(BO$10,'VK-Võrgud'!$C:$X,2+$F85,0)))/16</f>
        <v>405.45</v>
      </c>
      <c r="BP85" s="209"/>
      <c r="BQ85" s="209">
        <f>(IF(BQ$7="X",VLOOKUP(BQ$10,'VK-Hooned-Soojus'!$C:$X,2+$C85,FALSE),0)+IF(BQ$6="X",VLOOKUP(BQ$10,'VK-Transport'!$C:$X,2+$B85,0))+IF(BQ$8="X",VLOOKUP(BQ$10,'VK-Elekter'!$C:$X,2+$D85,0))+IF(BQ$9="X",VLOOKUP(BQ$10,'VK-Biokütused'!$C:$U,2+$E85,0))+IF(BQ$5="X",VLOOKUP(BQ$10,'VK-Põlevkivi'!$C:$X,2+$G85,0))+IF(BQ$4="X",VLOOKUP(BQ$10,'VK-Võrgud'!$C:$X,2+$F85,0)))/16</f>
        <v>127.6</v>
      </c>
      <c r="BR85" s="209">
        <f>(IF(BR$7="X",VLOOKUP(BR$10,'VK-Hooned-Soojus'!$C:$X,2+$C85,FALSE),0)+IF(BR$6="X",VLOOKUP(BR$10,'VK-Transport'!$C:$X,2+$B85,0))+IF(BR$8="X",VLOOKUP(BR$10,'VK-Elekter'!$C:$X,2+$D85,0))+IF(BR$9="X",VLOOKUP(BR$10,'VK-Biokütused'!$C:$U,2+$E85,0))+IF(BR$5="X",VLOOKUP(BR$10,'VK-Põlevkivi'!$C:$X,2+$G85,0))+IF(BR$4="X",VLOOKUP(BR$10,'VK-Võrgud'!$C:$X,2+$F85,0)))/16</f>
        <v>27.475000000000001</v>
      </c>
      <c r="BS85" s="209">
        <f>(IF(BS$7="X",VLOOKUP(BS$10,'VK-Hooned-Soojus'!$C:$X,2+$C85,FALSE),0)+IF(BS$6="X",VLOOKUP(BS$10,'VK-Transport'!$C:$X,2+$B85,0))+IF(BS$8="X",VLOOKUP(BS$10,'VK-Elekter'!$C:$X,2+$D85,0))+IF(BS$9="X",VLOOKUP(BS$10,'VK-Biokütused'!$C:$U,2+$E85,0))+IF(BS$5="X",VLOOKUP(BS$10,'VK-Põlevkivi'!$C:$X,2+$G85,0))+IF(BS$4="X",VLOOKUP(BS$10,'VK-Võrgud'!$C:$X,2+$F85,0)))/16</f>
        <v>-23.293749999999999</v>
      </c>
      <c r="BT85" s="209"/>
      <c r="BU85" s="209"/>
      <c r="BV85" s="209">
        <f>(IF(BV$7="X",VLOOKUP(BV$10,'VK-Hooned-Soojus'!$C:$X,2+$C85,FALSE),0)+IF(BV$6="X",VLOOKUP(BV$10,'VK-Transport'!$C:$X,2+$B85,0))+IF(BV$8="X",VLOOKUP(BV$10,'VK-Elekter'!$C:$X,2+$D85,0))+IF(BV$9="X",VLOOKUP(BV$10,'VK-Biokütused'!$C:$U,2+$E85,0))+IF(BV$5="X",VLOOKUP(BV$10,'VK-Põlevkivi'!$C:$X,2+$G85,0))+IF(BV$4="X",VLOOKUP(BV$10,'VK-Võrgud'!$C:$X,2+$F85,0)))/16</f>
        <v>0</v>
      </c>
      <c r="BW85" s="209"/>
      <c r="BX85" s="209">
        <f>(IF(BX$7="X",VLOOKUP(BX$10,'VK-Hooned-Soojus'!$C:$X,2+$C85,FALSE),0)+IF(BX$6="X",VLOOKUP(BX$10,'VK-Transport'!$C:$X,2+$B85,0))+IF(BX$8="X",VLOOKUP(BX$10,'VK-Elekter'!$C:$X,2+$D85,0))+IF(BX$9="X",VLOOKUP(BX$10,'VK-Biokütused'!$C:$U,2+$E85,0))+IF(BX$5="X",VLOOKUP(BX$10,'VK-Põlevkivi'!$C:$X,2+$G85,0))+IF(BX$4="X",VLOOKUP(BX$10,'VK-Võrgud'!$C:$X,2+$F85,0)))/16</f>
        <v>-145.125</v>
      </c>
      <c r="BY85" s="209"/>
      <c r="BZ85" s="209"/>
      <c r="CA85" s="209" t="e">
        <f>(IF(CA$7="X",VLOOKUP(CA$10,'VK-Hooned-Soojus'!$C:$X,2+$C85,FALSE),0)+IF(CA$6="X",VLOOKUP(CA$10,'VK-Transport'!$C:$X,2+$B85,0))+IF(CA$8="X",VLOOKUP(CA$10,'VK-Elekter'!$C:$X,2+$D85,0))+IF(CA$9="X",VLOOKUP(CA$10,'VK-Biokütused'!$C:$U,2+$E85,0))+IF(CA$5="X",VLOOKUP(CA$10,'VK-Põlevkivi'!$C:$X,2+$G85,0))+IF(CA$4="X",VLOOKUP(CA$10,'VK-Võrgud'!$C:$X,2+$F85,0)))/16</f>
        <v>#N/A</v>
      </c>
      <c r="CB85" s="209">
        <f>(IF(CB$7="X",VLOOKUP(CB$10,'VK-Hooned-Soojus'!$C:$X,2+$C85,FALSE),0)+IF(CB$6="X",VLOOKUP(CB$10,'VK-Transport'!$C:$X,2+$B85,0))+IF(CB$8="X",VLOOKUP(CB$10,'VK-Elekter'!$C:$X,2+$D85,0))+IF(CB$9="X",VLOOKUP(CB$10,'VK-Biokütused'!$C:$U,2+$E85,0))+IF(CB$5="X",VLOOKUP(CB$10,'VK-Põlevkivi'!$C:$X,2+$G85,0))+IF(CB$4="X",VLOOKUP(CB$10,'VK-Võrgud'!$C:$X,2+$F85,0)))/16</f>
        <v>0</v>
      </c>
      <c r="CC85" s="209">
        <f>(IF(CC$7="X",VLOOKUP(CC$10,'VK-Hooned-Soojus'!$C:$X,2+$C85,FALSE),0)+IF(CC$6="X",VLOOKUP(CC$10,'VK-Transport'!$C:$X,2+$B85,0))+IF(CC$8="X",VLOOKUP(CC$10,'VK-Elekter'!$C:$X,2+$D85,0))+IF(CC$9="X",VLOOKUP(CC$10,'VK-Biokütused'!$C:$U,2+$E85,0))+IF(CC$5="X",VLOOKUP(CC$10,'VK-Põlevkivi'!$C:$X,2+$G85,0))+IF(CC$4="X",VLOOKUP(CC$10,'VK-Võrgud'!$C:$X,2+$F85,0)))/16</f>
        <v>0</v>
      </c>
      <c r="CD85" s="209"/>
      <c r="CE85" s="209">
        <f>(IF(CE$7="X",VLOOKUP(CE$10,'VK-Hooned-Soojus'!$C:$X,2+$C85,FALSE),0)+IF(CE$6="X",VLOOKUP(CE$10,'VK-Transport'!$C:$X,2+$B85,0))+IF(CE$8="X",VLOOKUP(CE$10,'VK-Elekter'!$C:$X,2+$D85,0))+IF(CE$9="X",VLOOKUP(CE$10,'VK-Biokütused'!$C:$U,2+$E85,0))+IF(CE$5="X",VLOOKUP(CE$10,'VK-Põlevkivi'!$C:$X,2+$G85,0))+IF(CE$4="X",VLOOKUP(CE$10,'VK-Võrgud'!$C:$X,2+$F85,0)))/16</f>
        <v>24.15625</v>
      </c>
      <c r="CF85" s="209"/>
      <c r="CG85" s="209">
        <f>(IF(CG$7="X",VLOOKUP(CG$10,'VK-Hooned-Soojus'!$C:$X,2+$C85,FALSE),0)+IF(CG$6="X",VLOOKUP(CG$10,'VK-Transport'!$C:$X,2+$B85,0))+IF(CG$8="X",VLOOKUP(CG$10,'VK-Elekter'!$C:$X,2+$D85,0))+IF(CG$9="X",VLOOKUP(CG$10,'VK-Biokütused'!$C:$U,2+$E85,0))+IF(CG$5="X",VLOOKUP(CG$10,'VK-Põlevkivi'!$C:$X,2+$G85,0))+IF(CG$4="X",VLOOKUP(CG$10,'VK-Võrgud'!$C:$X,2+$F85,0)))/16</f>
        <v>0</v>
      </c>
      <c r="CH85" s="209">
        <f>(IF(CH$7="X",VLOOKUP(CH$10,'VK-Hooned-Soojus'!$C:$X,2+$C85,FALSE),0)+IF(CH$6="X",VLOOKUP(CH$10,'VK-Transport'!$C:$X,2+$B85,0))+IF(CH$8="X",VLOOKUP(CH$10,'VK-Elekter'!$C:$X,2+$D85,0))+IF(CH$9="X",VLOOKUP(CH$10,'VK-Biokütused'!$C:$U,2+$E85,0))+IF(CH$5="X",VLOOKUP(CH$10,'VK-Põlevkivi'!$C:$X,2+$G85,0))+IF(CH$4="X",VLOOKUP(CH$10,'VK-Võrgud'!$C:$X,2+$F85,0)))/20*0.21</f>
        <v>11.225549999999998</v>
      </c>
      <c r="CI85" s="209"/>
      <c r="CJ85" s="209">
        <f>(IF(CJ$7="X",VLOOKUP(CJ$10,'VK-Hooned-Soojus'!$C:$X,2+$C85,FALSE),0)+IF(CJ$6="X",VLOOKUP(CJ$10,'VK-Transport'!$C:$X,2+$B85,0))+IF(CJ$8="X",VLOOKUP(CJ$10,'VK-Elekter'!$C:$X,2+$D85,0))+IF(CJ$9="X",VLOOKUP(CJ$10,'VK-Biokütused'!$C:$U,2+$E85,0))+IF(CJ$5="X",VLOOKUP(CJ$10,'VK-Põlevkivi'!$C:$X,2+$G85,0))+IF(CJ$4="X",VLOOKUP(CJ$10,'VK-Võrgud'!$C:$X,2+$F85,0)))/1000</f>
        <v>22.646999999999998</v>
      </c>
      <c r="CK85" s="209">
        <f>(IF(CK$7="X",VLOOKUP(CK$10,'VK-Hooned-Soojus'!$C:$X,2+$C85,FALSE),0)+IF(CK$6="X",VLOOKUP(CK$10,'VK-Transport'!$C:$X,2+$B85,0))+IF(CK$8="X",VLOOKUP(CK$10,'VK-Elekter'!$C:$X,2+$D85,0))+IF(CK$9="X",VLOOKUP(CK$10,'VK-Biokütused'!$C:$U,2+$E85,0))+IF(CK$5="X",VLOOKUP(CK$10,'VK-Põlevkivi'!$C:$X,2+$G85,0))+IF(CK$4="X",VLOOKUP(CK$10,'VK-Võrgud'!$C:$X,2+$F85,0)))/1000</f>
        <v>38.490916215793227</v>
      </c>
      <c r="CL85" s="209">
        <f>(IF(CL$7="X",VLOOKUP(CL$10,'VK-Hooned-Soojus'!$C:$X,2+$C85,FALSE),0)+IF(CL$6="X",VLOOKUP(CL$10,'VK-Transport'!$C:$X,2+$B85,0))+IF(CL$8="X",VLOOKUP(CL$10,'VK-Elekter'!$C:$X,2+$D85,0))+IF(CL$9="X",VLOOKUP(CL$10,'VK-Biokütused'!$C:$U,2+$E85,0))+IF(CL$5="X",VLOOKUP(CL$10,'VK-Põlevkivi'!$C:$X,2+$G85,0))+IF(CL$4="X",VLOOKUP(CL$10,'VK-Võrgud'!$C:$X,2+$F85,0)))/1000</f>
        <v>11.758289559723789</v>
      </c>
      <c r="CM85" s="209">
        <f>(IF(CM$7="X",VLOOKUP(CM$10,'VK-Hooned-Soojus'!$C:$X,2+$C85,FALSE),0)+IF(CM$6="X",VLOOKUP(CM$10,'VK-Transport'!$C:$X,2+$B85,0))+IF(CM$8="X",VLOOKUP(CM$10,'VK-Elekter'!$C:$X,2+$D85,0))+IF(CM$9="X",VLOOKUP(CM$10,'VK-Biokütused'!$C:$U,2+$E85,0))+IF(CM$5="X",VLOOKUP(CM$10,'VK-Põlevkivi'!$C:$X,2+$G85,0))+IF(CM$4="X",VLOOKUP(CM$10,'VK-Võrgud'!$C:$X,2+$F85,0)))/1000</f>
        <v>7.7319896156049159</v>
      </c>
      <c r="CN85" s="209">
        <f>(IF(CN$7="X",VLOOKUP(CN$10,'VK-Hooned-Soojus'!$C:$X,2+$C85,FALSE),0)+IF(CN$6="X",VLOOKUP(CN$10,'VK-Transport'!$C:$X,2+$B85,0))+IF(CN$8="X",VLOOKUP(CN$10,'VK-Elekter'!$C:$X,2+$D85,0))+IF(CN$9="X",VLOOKUP(CN$10,'VK-Biokütused'!$C:$U,2+$E85,0))+IF(CN$5="X",VLOOKUP(CN$10,'VK-Põlevkivi'!$C:$X,2+$G85,0))+IF(CN$4="X",VLOOKUP(CN$10,'VK-Võrgud'!$C:$X,2+$F85,0)))/1000</f>
        <v>2.9929999999999999</v>
      </c>
      <c r="CO85" s="209">
        <f>(IF(CO$7="X",VLOOKUP(CO$10,'VK-Hooned-Soojus'!$C:$X,2+$C85,FALSE),0)+IF(CO$6="X",VLOOKUP(CO$10,'VK-Transport'!$C:$X,2+$B85,0))+IF(CO$8="X",VLOOKUP(CO$10,'VK-Elekter'!$C:$X,2+$D85,0))+IF(CO$9="X",VLOOKUP(CO$10,'VK-Biokütused'!$C:$U,2+$E85,0))+IF(CO$5="X",VLOOKUP(CO$10,'VK-Põlevkivi'!$C:$X,2+$G85,0))+IF(CO$4="X",VLOOKUP(CO$10,'VK-Võrgud'!$C:$X,2+$F85,0)))/1000</f>
        <v>29.363575210797279</v>
      </c>
      <c r="CP85" s="209">
        <f>(IF(CP$7="X",VLOOKUP(CP$10,'VK-Hooned-Soojus'!$C:$X,2+$C85,FALSE),0)+IF(CP$6="X",VLOOKUP(CP$10,'VK-Transport'!$C:$X,2+$B85,0))+IF(CP$8="X",VLOOKUP(CP$10,'VK-Elekter'!$C:$X,2+$D85,0))+IF(CP$9="X",VLOOKUP(CP$10,'VK-Biokütused'!$C:$U,2+$E85,0))+IF(CP$5="X",VLOOKUP(CP$10,'VK-Põlevkivi'!$C:$X,2+$G85,0))+IF(CP$4="X",VLOOKUP(CP$10,'VK-Võrgud'!$C:$X,2+$F85,0)))/1000</f>
        <v>32.3384767246541</v>
      </c>
      <c r="CQ85" s="209">
        <f>(IF(CQ$7="X",VLOOKUP(CQ$10,'VK-Hooned-Soojus'!$C:$X,2+$C85,FALSE),0)+IF(CQ$6="X",VLOOKUP(CQ$10,'VK-Transport'!$C:$X,2+$B85,0))+IF(CQ$8="X",VLOOKUP(CQ$10,'VK-Elekter'!$C:$X,2+$D85,0))+IF(CQ$9="X",VLOOKUP(CQ$10,'VK-Biokütused'!$C:$U,2+$E85,0))+IF(CQ$5="X",VLOOKUP(CQ$10,'VK-Põlevkivi'!$C:$X,2+$G85,0))+IF(CQ$4="X",VLOOKUP(CQ$10,'VK-Võrgud'!$C:$X,2+$F85,0)))/1000</f>
        <v>17.009345999999997</v>
      </c>
      <c r="CR85" s="209">
        <f>(IF(CR$7="X",VLOOKUP(CR$10,'VK-Hooned-Soojus'!$C:$X,2+$C85,FALSE),0)+IF(CR$6="X",VLOOKUP(CR$10,'VK-Transport'!$C:$X,2+$B85,0))+IF(CR$8="X",VLOOKUP(CR$10,'VK-Elekter'!$C:$X,2+$D85,0))+IF(CR$9="X",VLOOKUP(CR$10,'VK-Biokütused'!$C:$U,2+$E85,0))+IF(CR$5="X",VLOOKUP(CR$10,'VK-Põlevkivi'!$C:$X,2+$G85,0))+IF(CR$4="X",VLOOKUP(CR$10,'VK-Võrgud'!$C:$X,2+$F85,0)))/1000</f>
        <v>8.1900872784575753</v>
      </c>
      <c r="CS85" s="209">
        <f>(IF(CS$7="X",VLOOKUP(CS$10,'VK-Hooned-Soojus'!$C:$X,2+$C85,FALSE),0)+IF(CS$6="X",VLOOKUP(CS$10,'VK-Transport'!$C:$X,2+$B85,0))+IF(CS$8="X",VLOOKUP(CS$10,'VK-Elekter'!$C:$X,2+$D85,0))+IF(CS$9="X",VLOOKUP(CS$10,'VK-Biokütused'!$C:$U,2+$E85,0))+IF(CS$5="X",VLOOKUP(CS$10,'VK-Põlevkivi'!$C:$X,2+$G85,0))+IF(CS$4="X",VLOOKUP(CS$10,'VK-Võrgud'!$C:$X,2+$F85,0)))/1000</f>
        <v>3.8443344900598322</v>
      </c>
      <c r="CT85" s="209">
        <f>IF(CT$7="X",VLOOKUP(CT$10,'VK-Hooned-Soojus'!$C:$X,2+$C85,FALSE),0)+IF(CT$6="X",VLOOKUP(CT$10,'VK-Transport'!$C:$X,2+$B85,0))+IF(CT$8="X",VLOOKUP(CT$10,'VK-Elekter'!$C:$X,2+$D85,0))+IF(CT$9="X",VLOOKUP(CT$10,'VK-Biokütused'!$C:$U,2+$E85,0))+IF(CT$5="X",VLOOKUP(CT$10,'VK-Põlevkivi'!$C:$X,2+$G85,0))+IF(CT$4="X",VLOOKUP(CT$10,'VK-Võrgud'!$C:$X,2+$F85,0))</f>
        <v>90</v>
      </c>
      <c r="CU85" s="209">
        <f>IF(CU$7="X",VLOOKUP(CU$10,'VK-Hooned-Soojus'!$C:$X,2+$C85,FALSE),0)+IF(CU$6="X",VLOOKUP(CU$10,'VK-Transport'!$C:$X,2+$B85,0))+IF(CU$8="X",VLOOKUP(CU$10,'VK-Elekter'!$C:$X,2+$D85,0))+IF(CU$9="X",VLOOKUP(CU$10,'VK-Biokütused'!$C:$U,2+$E85,0))+IF(CU$5="X",VLOOKUP(CU$10,'VK-Põlevkivi'!$C:$X,2+$G85,0))+IF(CU$4="X",VLOOKUP(CU$10,'VK-Võrgud'!$C:$X,2+$F85,0))</f>
        <v>1</v>
      </c>
      <c r="CV85" s="209">
        <f t="shared" si="49"/>
        <v>0.84317482403548605</v>
      </c>
      <c r="CW85" s="209">
        <f>(IF(CW$7="X",VLOOKUP(CW$10,'VK-Hooned-Soojus'!$C:$X,2+$C85,FALSE),0)+IF(CW$6="X",VLOOKUP(CW$10,'VK-Transport'!$C:$X,2+$B85,0))+IF(CW$8="X",VLOOKUP(CW$10,'VK-Elekter'!$C:$X,2+$D85,0))+IF(CW$9="X",VLOOKUP(CW$10,'VK-Biokütused'!$C:$U,2+$E85,0))+IF(CW$5="X",VLOOKUP(CW$10,'VK-Põlevkivi'!$C:$X,2+$G85,0))+IF(CW$4="X",VLOOKUP(CW$10,'VK-Võrgud'!$C:$X,2+$F85,0)))/16</f>
        <v>126.01875</v>
      </c>
      <c r="CY85" s="209">
        <f>(IF(CY$7="X",VLOOKUP(CY$10,'VK-Hooned-Soojus'!$C:$X,2+$C85,FALSE),0)+IF(CY$6="X",VLOOKUP(CY$10,'VK-Transport'!$C:$X,2+$B85,0))+IF(CY$8="X",VLOOKUP(CY$10,'VK-Elekter'!$C:$X,2+$D85,0))+IF(CY$9="X",VLOOKUP(CY$10,'VK-Biokütused'!$C:$U,2+$E85,0))+IF(CY$5="X",VLOOKUP(CY$10,'VK-Põlevkivi'!$C:$X,2+$G85,0))+IF(CY$4="X",VLOOKUP(CY$10,'VK-Võrgud'!$C:$X,2+$F85,0)))/1000</f>
        <v>11.692</v>
      </c>
      <c r="CZ85" s="209">
        <f>(IF(CZ$7="X",VLOOKUP(CZ$10,'VK-Hooned-Soojus'!$C:$X,2+$C85,FALSE),0)+IF(CZ$6="X",VLOOKUP(CZ$10,'VK-Transport'!$C:$X,2+$B85,0))+IF(CZ$8="X",VLOOKUP(CZ$10,'VK-Elekter'!$C:$X,2+$D85,0))+IF(CZ$9="X",VLOOKUP(CZ$10,'VK-Biokütused'!$C:$U,2+$E85,0))+IF(CZ$5="X",VLOOKUP(CZ$10,'VK-Põlevkivi'!$C:$X,2+$G85,0))+IF(CZ$4="X",VLOOKUP(CZ$10,'VK-Võrgud'!$C:$X,2+$F85,0)))</f>
        <v>94</v>
      </c>
      <c r="DA85" s="209">
        <f>(IF(DA$7="X",VLOOKUP(DA$10,'VK-Hooned-Soojus'!$C:$X,2+$C85,FALSE),0)+IF(DA$6="X",VLOOKUP(DA$10,'VK-Transport'!$C:$X,2+$B85,0))+IF(DA$8="X",VLOOKUP(DA$10,'VK-Elekter'!$C:$X,2+$D85,0))+IF(DA$9="X",VLOOKUP(DA$10,'VK-Biokütused'!$C:$U,2+$E85,0))+IF(DA$5="X",VLOOKUP(DA$10,'VK-Põlevkivi'!$C:$X,2+$G85,0))+IF(DA$4="X",VLOOKUP(DA$10,'VK-Võrgud'!$C:$X,2+$F85,0)))/1000</f>
        <v>16.919</v>
      </c>
      <c r="DB85" s="209">
        <f>(IF(DB$7="X",VLOOKUP(DB$10,'VK-Hooned-Soojus'!$C:$X,2+$C85,FALSE),0)+IF(DB$6="X",VLOOKUP(DB$10,'VK-Transport'!$C:$X,2+$B85,0))+IF(DB$8="X",VLOOKUP(DB$10,'VK-Elekter'!$C:$X,2+$D85,0))+IF(DB$9="X",VLOOKUP(DB$10,'VK-Biokütused'!$C:$U,2+$E85,0))+IF(DB$5="X",VLOOKUP(DB$10,'VK-Põlevkivi'!$C:$X,2+$G85,0))+IF(DB$4="X",VLOOKUP(DB$10,'VK-Võrgud'!$C:$X,2+$F85,0)))/1000/3.6</f>
        <v>137.44972222222222</v>
      </c>
      <c r="DC85" s="209">
        <f>(IF(DC$7="X",VLOOKUP(DC$10,'VK-Hooned-Soojus'!$C:$X,2+$C85,FALSE),0)+IF(DC$6="X",VLOOKUP(DC$10,'VK-Transport'!$C:$X,2+$B85,0))+IF(DC$8="X",VLOOKUP(DC$10,'VK-Elekter'!$C:$X,2+$D85,0))+IF(DC$9="X",VLOOKUP(DC$10,'VK-Biokütused'!$C:$U,2+$E85,0))+IF(DC$5="X",VLOOKUP(DC$10,'VK-Põlevkivi'!$C:$X,2+$G85,0))+IF(DC$4="X",VLOOKUP(DC$10,'VK-Võrgud'!$C:$X,2+$F85,0)))/1000000</f>
        <v>7.4631910000000001</v>
      </c>
      <c r="DD85" s="209"/>
      <c r="DE85" s="88">
        <f>VLOOKUP(Tulemused!$BN$12,data!M$7:N$12,2,FALSE)-SUM(L85,M85)</f>
        <v>-1.2238666666666731</v>
      </c>
      <c r="DF85" s="209" t="str">
        <f>IF(AZ85&lt;=VLOOKUP(Tulemused!$BN$15,data!$E$36:$F$39,2,FALSE),"JAH","EI")</f>
        <v>JAH</v>
      </c>
      <c r="DG85" s="209"/>
      <c r="DH85" s="209">
        <f t="shared" si="50"/>
        <v>6.28</v>
      </c>
      <c r="DI85" s="231" t="str">
        <f t="shared" si="65"/>
        <v>EI</v>
      </c>
      <c r="DK85" s="232">
        <f t="shared" si="51"/>
        <v>-993.55107829353778</v>
      </c>
      <c r="DM85" s="233">
        <f t="shared" si="52"/>
        <v>-995.35956098500424</v>
      </c>
      <c r="DN85" s="87">
        <f t="array" ref="DN85">INDEX($A$11:$A$145, SMALL(IF(DM85=$DK$11:$DK$145, MATCH(ROW($DK$11:$DK$145), ROW($DK$11:$DK$145))), SUM(--(DM85=$DM$11:DM85))))</f>
        <v>68</v>
      </c>
      <c r="DP85" s="87" t="e">
        <f t="shared" ca="1" si="66"/>
        <v>#N/A</v>
      </c>
      <c r="DQ85" s="87" t="e">
        <f t="shared" ca="1" si="67"/>
        <v>#N/A</v>
      </c>
      <c r="DR85" s="87">
        <f t="shared" ca="1" si="68"/>
        <v>0</v>
      </c>
      <c r="DS85" s="87" t="e">
        <f t="shared" ca="1" si="69"/>
        <v>#N/A</v>
      </c>
      <c r="DT85" s="87">
        <f t="shared" ca="1" si="70"/>
        <v>0</v>
      </c>
      <c r="DU85" s="87" t="e">
        <f t="shared" ca="1" si="71"/>
        <v>#N/A</v>
      </c>
      <c r="DV85" s="87" t="e">
        <f t="shared" ca="1" si="72"/>
        <v>#N/A</v>
      </c>
      <c r="DW85" s="87">
        <f t="shared" ca="1" si="73"/>
        <v>0</v>
      </c>
      <c r="DX85" s="87">
        <f t="shared" ca="1" si="74"/>
        <v>0</v>
      </c>
      <c r="DZ85" s="87">
        <f t="shared" ca="1" si="35"/>
        <v>0</v>
      </c>
      <c r="EB85" s="87">
        <f t="shared" ca="1" si="75"/>
        <v>0</v>
      </c>
      <c r="EC85" s="87" t="e">
        <f t="shared" ca="1" si="76"/>
        <v>#N/A</v>
      </c>
      <c r="EE85" s="228">
        <f>(IF(EE$7="X",VLOOKUP(EE$10,'VK-Hooned-Soojus'!$C:$X,2+$C85,FALSE),0)+IF(EE$6="X",VLOOKUP(EE$10,'VK-Transport'!$C:$X,2+$B85,0))+IF(EE$8="X",VLOOKUP(EE$10,'VK-Elekter'!$C:$X,2+$D85,0))+IF(EE$9="X",VLOOKUP(EE$10,'VK-Biokütused'!$C:$U,2+$E85,0))+IF(EE$5="X",VLOOKUP(EE$10,'VK-Põlevkivi'!$C:$X,2+$G85,0))+IF(EE$4="X",VLOOKUP(EE$10,'VK-Võrgud'!$C:$X,2+$F85,0)))</f>
        <v>12847.026257558939</v>
      </c>
      <c r="EF85" s="209">
        <f>(IF(EF$7="X",VLOOKUP(EF$10,'VK-Hooned-Soojus'!$C:$X,2+$C85,FALSE),0)+IF(EF$6="X",VLOOKUP(EF$10,'VK-Transport'!$C:$X,2+$B85,0))+IF(EF$8="X",VLOOKUP(EF$10,'VK-Elekter'!$C:$X,2+$D85,0))+IF(EF$9="X",VLOOKUP(EF$10,'VK-Biokütused'!$C:$U,2+$E85,0))+IF(EF$5="X",VLOOKUP(EF$10,'VK-Põlevkivi'!$C:$X,2+$G85,0))+IF(EF$4="X",VLOOKUP(EF$10,'VK-Võrgud'!$C:$X,2+$F85,0)))/1000</f>
        <v>8.8423823271229711</v>
      </c>
      <c r="EG85" s="209">
        <f>(IF(EG$7="X",VLOOKUP(EG$10,'VK-Hooned-Soojus'!$C:$X,2+$C85,FALSE),0)+IF(EG$6="X",VLOOKUP(EG$10,'VK-Transport'!$C:$X,2+$B85,0))+IF(EG$8="X",VLOOKUP(EG$10,'VK-Elekter'!$C:$X,2+$D85,0))+IF(EG$9="X",VLOOKUP(EG$10,'VK-Biokütused'!$C:$U,2+$E85,0))+IF(EG$5="X",VLOOKUP(EG$10,'VK-Põlevkivi'!$C:$X,2+$G85,0))+IF(EG$4="X",VLOOKUP(EG$10,'VK-Võrgud'!$C:$X,2+$F85,0)))</f>
        <v>0.81</v>
      </c>
      <c r="EH85" s="209">
        <f>(IF(EH$7="X",VLOOKUP(EH$10,'VK-Hooned-Soojus'!$C:$X,2+$C85,FALSE),0)+IF(EH$6="X",VLOOKUP(EH$10,'VK-Transport'!$C:$X,2+$B85,0))+IF(EH$8="X",VLOOKUP(EH$10,'VK-Elekter'!$C:$X,2+$D85,0))+IF(EH$9="X",VLOOKUP(EH$10,'VK-Biokütused'!$C:$U,2+$E85,0)))+AR85+AS85+AU85+AX85</f>
        <v>94.195101174298998</v>
      </c>
      <c r="EI85" s="320">
        <f t="shared" si="53"/>
        <v>62.712789653214372</v>
      </c>
      <c r="EJ85" s="322">
        <f t="shared" si="54"/>
        <v>2.2545055318885739E-2</v>
      </c>
      <c r="EK85" s="323">
        <f t="shared" si="77"/>
        <v>0.39276127270180083</v>
      </c>
      <c r="EM85" s="209"/>
      <c r="EN85" s="209">
        <f t="shared" ca="1" si="55"/>
        <v>0</v>
      </c>
      <c r="EO85" s="209"/>
      <c r="EP85" s="234"/>
      <c r="EQ85" s="209">
        <f>(IF(EQ$7="X",VLOOKUP(EQ$10,'VK-Hooned-Soojus'!$C:$X,2+$C85,FALSE),0)+IF(EQ$6="X",VLOOKUP(EQ$10,'VK-Transport'!$C:$X,2+$B85,0))+IF(EQ$8="X",VLOOKUP(EQ$10,'VK-Elekter'!$C:$X,2+$D85,0))+IF(EQ$9="X",VLOOKUP(EQ$10,'VK-Biokütused'!$C:$U,2+$E85,0))+IF(EQ$5="X",VLOOKUP(EQ$10,'VK-Põlevkivi'!$C:$X,2+$G85,0))+IF(EQ$4="X",VLOOKUP(EQ$10,'VK-Võrgud'!$C:$X,2+$F85,0)))/1000</f>
        <v>0.21099999999999999</v>
      </c>
      <c r="ER85" s="209">
        <f>(IF(ER$7="X",VLOOKUP(ER$10,'VK-Hooned-Soojus'!$C:$X,2+$C85,FALSE),0)+IF(ER$6="X",VLOOKUP(ER$10,'VK-Transport'!$C:$X,2+$B85,0))+IF(ER$8="X",VLOOKUP(ER$10,'VK-Elekter'!$C:$X,2+$D85,0))+IF(ER$9="X",VLOOKUP(ER$10,'VK-Biokütused'!$C:$U,2+$E85,0))+IF(ER$5="X",VLOOKUP(ER$10,'VK-Põlevkivi'!$C:$X,2+$G85,0))+IF(ER$4="X",VLOOKUP(ER$10,'VK-Võrgud'!$C:$X,2+$F85,0)))</f>
        <v>0.76300000000000001</v>
      </c>
      <c r="ES85" s="209">
        <f>(IF(ES$7="X",VLOOKUP(ES$10,'VK-Hooned-Soojus'!$C:$X,2+$C85,FALSE),0)+IF(ES$6="X",VLOOKUP(ES$10,'VK-Transport'!$C:$X,2+$B85,0))+IF(ES$8="X",VLOOKUP(ES$10,'VK-Elekter'!$C:$X,2+$D85,0))+IF(ES$9="X",VLOOKUP(ES$10,'VK-Biokütused'!$C:$U,2+$E85,0))+IF(ES$5="X",VLOOKUP(ES$10,'VK-Põlevkivi'!$C:$X,2+$G85,0))+IF(ES$4="X",VLOOKUP(ES$10,'VK-Võrgud'!$C:$X,2+$F85,0)))</f>
        <v>6.28</v>
      </c>
      <c r="ET85" s="209"/>
      <c r="EU85" s="209"/>
      <c r="EV85" s="87">
        <f>'KSH järjestus'!AS78</f>
        <v>1578</v>
      </c>
      <c r="EX85" s="236"/>
      <c r="EY85" s="236"/>
      <c r="EZ85" s="237">
        <f t="shared" si="56"/>
        <v>0</v>
      </c>
      <c r="FA85" s="209">
        <f>IF(FA$7="X",VLOOKUP(FA$10,'VK-Hooned-Soojus'!$C:$X,2+$C85,FALSE),0)+IF(FA$6="X",VLOOKUP(FA$10,'VK-Transport'!$C:$X,2+$B85,0))+IF(FA$8="X",VLOOKUP(FA$10,'VK-Elekter'!$C:$X,2+$D85,0))+IF(FA$9="X",VLOOKUP(FA$10,'VK-Biokütused'!$C:$U,2+$E85,0))+IF(FA$5="X",VLOOKUP(FA$10,'VK-Põlevkivi'!$C:$X,2+$G85,0))+IF(FA$4="X",VLOOKUP(FA$10,'VK-Võrgud'!$C:$X,2+$F85,0))</f>
        <v>3300.346</v>
      </c>
      <c r="FB85" s="279">
        <f>(IF(FB$7="X",VLOOKUP(FB$10,'VK-Hooned-Soojus'!$C:$X,2+$C85,FALSE),0)+IF(FB$6="X",VLOOKUP(FB$10,'VK-Transport'!$C:$X,2+$B85,0))+IF(FB$8="X",VLOOKUP(FB$10,'VK-Elekter'!$C:$X,2+$D85,0))+IF(FB$9="X",VLOOKUP(FB$10,'VK-Biokütused'!$C:$U,2+$E85,0))+IF(FB$5="X",VLOOKUP(FB$10,'VK-Põlevkivi'!$C:$X,2+$G85,0))+IF(FB$4="X",VLOOKUP(FB$10,'VK-Võrgud'!$C:$X,2+$F85,0)))/16</f>
        <v>914.76462258717106</v>
      </c>
      <c r="FC85" s="209">
        <f>IF(FC$7="X",VLOOKUP(FC$10,'VK-Hooned-Soojus'!$C:$X,2+$C85,FALSE),0)+IF(FC$6="X",VLOOKUP(FC$10,'VK-Transport'!$C:$X,2+$B85,0))+IF(FC$8="X",VLOOKUP(FC$10,'VK-Elekter'!$C:$X,2+$D85,0))+IF(FC$9="X",VLOOKUP(FC$10,'VK-Biokütused'!$C:$U,2+$E85,0))+IF(FC$5="X",VLOOKUP(FC$10,'VK-Põlevkivi'!$C:$X,2+$G85,0))+IF(FC$4="X",VLOOKUP(FC$10,'VK-Võrgud'!$C:$X,2+$F85,0))</f>
        <v>306.35000000000002</v>
      </c>
      <c r="FD85" s="209">
        <f>(IF(FD$7="X",VLOOKUP(FD$10,'VK-Hooned-Soojus'!$C:$X,2+$C85,FALSE),0)+IF(FD$6="X",VLOOKUP(FD$10,'VK-Transport'!$C:$X,2+$B85,0))+IF(FD$8="X",VLOOKUP(FD$10,'VK-Elekter'!$C:$X,2+$D85,0))+IF(FD$9="X",VLOOKUP(FD$10,'VK-Biokütused'!$C:$U,2+$E85,0))+IF(FD$5="X",VLOOKUP(FD$10,'VK-Põlevkivi'!$C:$X,2+$G85,0))+IF(FD$4="X",VLOOKUP(FD$10,'VK-Võrgud'!$C:$X,2+$F85,0)))/16</f>
        <v>914.76462258717106</v>
      </c>
      <c r="FE85" s="209">
        <f>(IF(FE$7="X",VLOOKUP(FE$10,'VK-Hooned-Soojus'!$C:$X,2+$C85,FALSE),0)+IF(FE$6="X",VLOOKUP(FE$10,'VK-Transport'!$C:$X,2+$B85,0))+IF(FE$8="X",VLOOKUP(FE$10,'VK-Elekter'!$C:$X,2+$D85,0))+IF(FE$9="X",VLOOKUP(FE$10,'VK-Biokütused'!$C:$U,2+$E85,0))+IF(FE$5="X",VLOOKUP(FE$10,'VK-Põlevkivi'!$C:$X,2+$G85,0))+IF(FE$4="X",VLOOKUP(FE$10,'VK-Võrgud'!$C:$X,2+$F85,0)))/16</f>
        <v>-96.182063699091032</v>
      </c>
      <c r="FF85" s="209">
        <f>(IF(FF$7="X",VLOOKUP(FF$10,'VK-Hooned-Soojus'!$C:$X,2+$C85,FALSE),0)+IF(FF$6="X",VLOOKUP(FF$10,'VK-Transport'!$C:$X,2+$B85,0))+IF(FF$8="X",VLOOKUP(FF$10,'VK-Elekter'!$C:$X,2+$D85,0))+IF(FF$9="X",VLOOKUP(FF$10,'VK-Biokütused'!$C:$U,2+$E85,0))+IF(FF$5="X",VLOOKUP(FF$10,'VK-Põlevkivi'!$C:$X,2+$G85,0))+IF(FF$4="X",VLOOKUP(FF$10,'VK-Võrgud'!$C:$X,2+$F85,0)))/16</f>
        <v>281.71711292674962</v>
      </c>
      <c r="FG85" s="88">
        <f t="shared" ca="1" si="78"/>
        <v>185.53504922765859</v>
      </c>
      <c r="FH85" s="88"/>
      <c r="FI85" s="88"/>
      <c r="FJ85" s="88">
        <f>VLOOKUP(Tulemused!$BN$12,data!M$7:N$12,2,FALSE)-SUM(L85,M85)</f>
        <v>-1.2238666666666731</v>
      </c>
      <c r="FK85" s="209" t="str">
        <f>IF(AZ85&lt;=VLOOKUP(Tulemused!$BN$15,data!$E$36:$F$39,2,FALSE),"JAH","EI")</f>
        <v>JAH</v>
      </c>
      <c r="FL85" s="235">
        <f ca="1">IF(ISNA(MATCH($A85,INDIRECT(VLOOKUP(Tulemused!$BF$11,data!$J$57:$M$71,4,FALSE)))),0,MATCH($A85,INDIRECT(VLOOKUP(Tulemused!$BF$11,data!$J$57:$M$71,4,FALSE))))</f>
        <v>0</v>
      </c>
      <c r="FM85" s="235" t="str">
        <f t="shared" ca="1" si="57"/>
        <v>JAH</v>
      </c>
      <c r="FN85" s="209">
        <f>VLOOKUP(Tulemused!$BN$13,data!$C$132:$D$137,2,FALSE)-KOMBI!R85</f>
        <v>3.1013876728770304</v>
      </c>
      <c r="FO85" s="209"/>
      <c r="FP85" s="209">
        <f>VLOOKUP(Tulemused!$BN$17,NO_x,2,FALSE)-CJ85</f>
        <v>6.7910000000000004</v>
      </c>
      <c r="FQ85" s="209">
        <f>VLOOKUP(Tulemused!$BN$18,SO_2,2,FALSE)-CK85</f>
        <v>13.393083784206773</v>
      </c>
      <c r="FR85" s="209">
        <f>VLOOKUP(Tulemused!$BN$19,LOU,2,FALSE)-CN85</f>
        <v>34.087000000000003</v>
      </c>
      <c r="FS85" s="209">
        <f>VLOOKUP(Tulemused!$BN$20,PM_2.5,2,FALSE)-CM85</f>
        <v>9.1830103843950823</v>
      </c>
      <c r="FT85" s="209">
        <f>VLOOKUP(Tulemused!$BN$13,data!$C$132:$D$137,2,FALSE)-FA85/1000</f>
        <v>2.9456240000000005</v>
      </c>
      <c r="FU85" s="209">
        <f>VLOOKUP(Tulemused!$BN$17,NO_x,2,FALSE)-CO85</f>
        <v>7.4424789202719666E-2</v>
      </c>
      <c r="FV85" s="209">
        <f>VLOOKUP(Tulemused!$BN$18,SO_2,2,FALSE)-CP85</f>
        <v>19.5455232753459</v>
      </c>
      <c r="FW85" s="209">
        <f>VLOOKUP(Tulemused!$BN$19,LOU,2,FALSE)-CS85</f>
        <v>33.235665509940176</v>
      </c>
      <c r="FX85" s="209">
        <f>VLOOKUP(Tulemused!$BN$20,PM_2.5,2,FALSE)-CR85</f>
        <v>8.7249127215424238</v>
      </c>
      <c r="FY85" s="209">
        <f>VLOOKUP(Tulemused!$BN$14,KHG_2050,2,FALSE)-EF85</f>
        <v>91.157617672877024</v>
      </c>
      <c r="FZ85" s="231" t="str">
        <f t="shared" ca="1" si="79"/>
        <v>EI</v>
      </c>
      <c r="GA85" s="209"/>
      <c r="GB85" s="209"/>
      <c r="GC85" s="209"/>
      <c r="GD85" s="231"/>
      <c r="GE85" s="87">
        <f t="shared" si="58"/>
        <v>1578</v>
      </c>
      <c r="GF85" s="232" t="str">
        <f t="shared" ca="1" si="80"/>
        <v/>
      </c>
      <c r="GH85" s="238" t="e">
        <f t="shared" ca="1" si="59"/>
        <v>#NUM!</v>
      </c>
      <c r="GI85" s="87" t="e">
        <f t="array" aca="1" ref="GI85" ca="1">INDEX($A$11:$A$145, SMALL(IF(GH85=$GF$11:$GF$145, MATCH(ROW($GF$11:$GF$145), ROW($GF$11:$GF$145))), SUM(--(GH85=$GH$11:GH85))))</f>
        <v>#NUM!</v>
      </c>
      <c r="GM85" s="209">
        <f>IF(GM$7="X",VLOOKUP(GM$10,'VK-Hooned-Soojus'!$C:$X,2+$C85,FALSE),0)+IF(GM$6="X",VLOOKUP(GM$10,'VK-Transport'!$C:$X,2+$B85,0))+IF(GM$8="X",VLOOKUP(GM$10,'VK-Elekter'!$C:$X,2+$D85,0))+IF(GM$9="X",VLOOKUP(GM$10,'VK-Biokütused'!$C:$U,2+$E85,0))+IF(GM$5="X",VLOOKUP(GM$10,'VK-Põlevkivi'!$C:$X,2+$G85,0))+IF(GM$4="X",VLOOKUP(GM$10,'VK-Võrgud'!$C:$X,2+$F85,0))</f>
        <v>11.189888530766083</v>
      </c>
      <c r="GN85" s="209">
        <f>IF(GN$7="X",VLOOKUP(GN$10,'VK-Hooned-Soojus'!$C:$X,2+$C85,FALSE),0)+IF(GN$6="X",VLOOKUP(GN$10,'VK-Transport'!$C:$X,2+$B85,0))+IF(GN$8="X",VLOOKUP(GN$10,'VK-Elekter'!$C:$X,2+$D85,0))+IF(GN$9="X",VLOOKUP(GN$10,'VK-Biokütused'!$C:$U,2+$E85,0))+IF(GN$5="X",VLOOKUP(GN$10,'VK-Põlevkivi'!$C:$X,2+$G85,0))+IF(GN$4="X",VLOOKUP(GN$10,'VK-Võrgud'!$C:$X,2+$F85,0))</f>
        <v>2.9930837725682502</v>
      </c>
      <c r="GO85" s="209">
        <f>IF(GO$7="X",VLOOKUP(GO$10,'VK-Hooned-Soojus'!$C:$X,2+$C85,FALSE),0)+IF(GO$6="X",VLOOKUP(GO$10,'VK-Transport'!$C:$X,2+$B85,0))+IF(GO$8="X",VLOOKUP(GO$10,'VK-Elekter'!$C:$X,2+$D85,0))+IF(GO$9="X",VLOOKUP(GO$10,'VK-Biokütused'!$C:$U,2+$E85,0))+IF(GO$5="X",VLOOKUP(GO$10,'VK-Põlevkivi'!$C:$X,2+$G85,0))+IF(GO$4="X",VLOOKUP(GO$10,'VK-Võrgud'!$C:$X,2+$F85,0))</f>
        <v>7.936370010272257</v>
      </c>
      <c r="GP85" s="209">
        <f>IF(GP$7="X",VLOOKUP(GP$10,'VK-Hooned-Soojus'!$C:$X,2+$C85,FALSE),0)+IF(GP$6="X",VLOOKUP(GP$10,'VK-Transport'!$C:$X,2+$B85,0))+IF(GP$8="X",VLOOKUP(GP$10,'VK-Elekter'!$C:$X,2+$D85,0))+IF(GP$9="X",VLOOKUP(GP$10,'VK-Biokütused'!$C:$U,2+$E85,0))+IF(GP$5="X",VLOOKUP(GP$10,'VK-Põlevkivi'!$C:$X,2+$G85,0))+IF(GP$4="X",VLOOKUP(GP$10,'VK-Võrgud'!$C:$X,2+$F85,0))</f>
        <v>9.1527946929596489</v>
      </c>
      <c r="GQ85" s="88">
        <f>IF(GQ$7="X",VLOOKUP(GQ$10,'VK-Hooned-Soojus'!$C:$X,2+$C85,FALSE),0)+IF(GQ$6="X",VLOOKUP(GQ$10,'VK-Transport'!$C:$X,2+$B85,0))+IF(GQ$8="X",VLOOKUP(GQ$10,'VK-Elekter'!$C:$X,2+$D85,0))+IF(GQ$9="X",VLOOKUP(GQ$10,'VK-Biokütused'!$C:$U,2+$E85,0))+IF(GQ$5="X",VLOOKUP(GQ$10,'VK-Põlevkivi'!$C:$X,2+$G85,0))+IF(GQ$4="X",VLOOKUP(GQ$10,'VK-Võrgud'!$C:$X,2+$F85,0))</f>
        <v>0.90618397335647782</v>
      </c>
      <c r="GR85" s="186">
        <f t="shared" si="81"/>
        <v>0.38324544696734003</v>
      </c>
    </row>
    <row r="86" spans="1:200" x14ac:dyDescent="0.2">
      <c r="A86" s="184">
        <v>76</v>
      </c>
      <c r="B86" s="87">
        <v>2</v>
      </c>
      <c r="C86" s="87">
        <v>3</v>
      </c>
      <c r="D86" s="87">
        <v>1</v>
      </c>
      <c r="E86" s="87">
        <v>1</v>
      </c>
      <c r="F86" s="87">
        <f>VLOOKUP(Tulemused!$BF$7,data!$J$6:$K$8,2,FALSE)</f>
        <v>2</v>
      </c>
      <c r="G86" s="87">
        <f>VLOOKUP(data!$H$2,data!$J$12:$K$14,2,FALSE)</f>
        <v>2</v>
      </c>
      <c r="I86" s="209">
        <f>IF(I$7="X",VLOOKUP(I$10,'VK-Hooned-Soojus'!$C:$X,2+$C86,FALSE),0)+IF(I$6="X",VLOOKUP(I$10,'VK-Transport'!$C:$X,2+$B86,0))+IF(I$8="X",VLOOKUP(I$10,'VK-Elekter'!$C:$X,2+$D86,0))+IF(I$9="X",VLOOKUP(I$10,'VK-Biokütused'!$C:$U,2+$E86,0))+IF(I$5="X",VLOOKUP(I$10,'VK-Põlevkivi'!$C:$X,2+$G86,0))+IF(I$4="X",VLOOKUP(I$10,'VK-Võrgud'!$C:$X,2+$F86,0))</f>
        <v>23.490000000000002</v>
      </c>
      <c r="J86" s="209">
        <f>IF(J$7="X",VLOOKUP(J$10,'VK-Hooned-Soojus'!$C:$X,2+$C86,FALSE),0)+IF(J$6="X",VLOOKUP(J$10,'VK-Transport'!$C:$X,2+$B86,0))+IF(J$8="X",VLOOKUP(J$10,'VK-Elekter'!$C:$X,2+$D86,0))+IF(J$9="X",VLOOKUP(J$10,'VK-Biokütused'!$C:$U,2+$E86,0))+IF(J$5="X",VLOOKUP(J$10,'VK-Põlevkivi'!$C:$X,2+$G86,0))+IF(J$4="X",VLOOKUP(J$10,'VK-Võrgud'!$C:$X,2+$F86,0))</f>
        <v>11.138055555555555</v>
      </c>
      <c r="K86" s="209">
        <f>IF(K$7="X",VLOOKUP(K$10,'VK-Hooned-Soojus'!$C:$X,2+$C86,FALSE),0)+IF(K$6="X",VLOOKUP(K$10,'VK-Transport'!$C:$X,2+$B86,0))+IF(K$8="X",VLOOKUP(K$10,'VK-Elekter'!$C:$X,2+$D86,0))+IF(K$9="X",VLOOKUP(K$10,'VK-Biokütused'!$C:$U,2+$E86,0))+IF(K$5="X",VLOOKUP(K$10,'VK-Põlevkivi'!$C:$X,2+$G86,0))+IF(K$4="X",VLOOKUP(K$10,'VK-Võrgud'!$C:$X,2+$F86,0))</f>
        <v>13.780000000000001</v>
      </c>
      <c r="L86" s="209">
        <f>IF(L$7="X",VLOOKUP(L$10,'VK-Hooned-Soojus'!$C:$X,2+$C86,FALSE),0)+IF(L$6="X",VLOOKUP(L$10,'VK-Transport'!$C:$X,2+$B86,0))+IF(L$8="X",VLOOKUP(L$10,'VK-Elekter'!$C:$X,2+$D86,0))+IF(L$9="X",VLOOKUP(L$10,'VK-Biokütused'!$C:$U,2+$E86,0))+IF(L$5="X",VLOOKUP(L$10,'VK-Põlevkivi'!$C:$X,2+$G86,0))+IF(L$4="X",VLOOKUP(L$10,'VK-Võrgud'!$C:$X,2+$F86,0))</f>
        <v>23.75</v>
      </c>
      <c r="M86" s="209">
        <f>IF(M$7="X",VLOOKUP(M$10,'VK-Hooned-Soojus'!$C:$X,2+$C86,FALSE),0)+IF(M$6="X",VLOOKUP(M$10,'VK-Transport'!$C:$X,2+$B86,0))+IF(M$8="X",VLOOKUP(M$10,'VK-Elekter'!$C:$X,2+$D86,0))+IF(M$9="X",VLOOKUP(M$10,'VK-Biokütused'!$C:$U,2+$E86,0))+IF(M$5="X",VLOOKUP(M$10,'VK-Põlevkivi'!$C:$X,2+$G86,0))+IF(M$4="X",VLOOKUP(M$10,'VK-Võrgud'!$C:$X,2+$F86,0))</f>
        <v>9.8566666666666674</v>
      </c>
      <c r="N86" s="209">
        <f>IF(N$7="X",VLOOKUP(N$10,'VK-Hooned-Soojus'!$C:$X,2+$C86,FALSE),0)+IF(N$6="X",VLOOKUP(N$10,'VK-Transport'!$C:$X,2+$B86,0))+IF(N$8="X",VLOOKUP(N$10,'VK-Elekter'!$C:$X,2+$D86,0))+IF(N$9="X",VLOOKUP(N$10,'VK-Biokütused'!$C:$U,2+$E86,0))+IF(N$5="X",VLOOKUP(N$10,'VK-Põlevkivi'!$C:$X,2+$G86,0))+IF(N$4="X",VLOOKUP(N$10,'VK-Võrgud'!$C:$X,2+$F86,0))</f>
        <v>15.25</v>
      </c>
      <c r="O86" s="209">
        <f t="shared" si="60"/>
        <v>34.628055555555555</v>
      </c>
      <c r="P86" s="209"/>
      <c r="Q86" s="209">
        <f>(IF(Q$7="X",VLOOKUP(Q$10,'VK-Hooned-Soojus'!$C:$X,2+$C86,FALSE),0)+IF(Q$6="X",VLOOKUP(Q$10,'VK-Transport'!$C:$X,2+$B86,0))+IF(Q$8="X",VLOOKUP(Q$10,'VK-Elekter'!$C:$X,2+$D86,0))+IF(Q$9="X",VLOOKUP(Q$10,'VK-Biokütused'!$C:$U,2+$E86,0))+IF(Q$5="X",VLOOKUP(Q$10,'VK-Põlevkivi'!$C:$X,2+$G86,0))+IF(Q$4="X",VLOOKUP(Q$10,'VK-Võrgud'!$C:$X,2+$F86,0)))/1000</f>
        <v>4.9059999999999997</v>
      </c>
      <c r="R86" s="209">
        <f>(IF(R$7="X",VLOOKUP(R$10,'VK-Hooned-Soojus'!$C:$X,2+$C86,FALSE),0)+IF(R$6="X",VLOOKUP(R$10,'VK-Transport'!$C:$X,2+$B86,0))+IF(R$8="X",VLOOKUP(R$10,'VK-Elekter'!$C:$X,2+$D86,0))+IF(R$9="X",VLOOKUP(R$10,'VK-Biokütused'!$C:$U,2+$E86,0))+IF(R$5="X",VLOOKUP(R$10,'VK-Põlevkivi'!$C:$X,2+$G86,0))+IF(R$4="X",VLOOKUP(R$10,'VK-Võrgud'!$C:$X,2+$F86,0)))/1000</f>
        <v>2.3993823271229702</v>
      </c>
      <c r="S86" s="226">
        <f>VLOOKUP(S$10,'VK-Hooned-Soojus'!$C:$I,2+$C86,FALSE) + VLOOKUP(S$10,'VK-Transport'!$C:$I,2+$B86,FALSE)+ VLOOKUP(S$10,'VK-Biokütused'!$C:$G,2+$E86,FALSE)+ VLOOKUP(S$10,'VK-Elekter'!$C:$I,2+$D86,FALSE)+ VLOOKUP(S$10,'VK-Põlevkivi'!$C:$I,2+$G86,FALSE)+ VLOOKUP(S$10,'VK-Võrgud'!$C:$I,2+$F86,FALSE)</f>
        <v>7.7690474178552836E-3</v>
      </c>
      <c r="T86" s="226">
        <f>VLOOKUP(T$10,'VK-Hooned-Soojus'!$C:$I,2+$C86,FALSE) + VLOOKUP(T$10,'VK-Transport'!$C:$I,2+$B86,FALSE)+ VLOOKUP(T$10,'VK-Biokütused'!$C:$G,2+$E86,FALSE)+ VLOOKUP(T$10,'VK-Elekter'!$C:$I,2+$D86,FALSE)+ VLOOKUP(T$10,'VK-Põlevkivi'!$C:$I,2+$G86,FALSE)+ VLOOKUP(T$10,'VK-Võrgud'!$C:$I,2+$F86,FALSE)</f>
        <v>1.2362263497144761E-3</v>
      </c>
      <c r="U86" s="226">
        <f>VLOOKUP(U$10,'VK-Hooned-Soojus'!$C:$I,2+$C86,FALSE) + VLOOKUP(U$10,'VK-Transport'!$C:$I,2+$B86,FALSE)+ VLOOKUP(U$10,'VK-Biokütused'!$C:$G,2+$E86,FALSE)+ VLOOKUP(U$10,'VK-Elekter'!$C:$I,2+$D86,FALSE)+ VLOOKUP(U$10,'VK-Põlevkivi'!$C:$I,2+$G86,FALSE)+ VLOOKUP(U$10,'VK-Võrgud'!$C:$I,2+$F86,FALSE)</f>
        <v>-1.4062582995872375E-3</v>
      </c>
      <c r="V86" s="226">
        <f>VLOOKUP(V$10,'VK-Hooned-Soojus'!$C:$I,2+$C86,FALSE) + VLOOKUP(V$10,'VK-Transport'!$C:$I,2+$B86,FALSE)+ VLOOKUP(V$10,'VK-Biokütused'!$C:$G,2+$E86,FALSE)+ VLOOKUP(V$10,'VK-Elekter'!$C:$I,2+$D86,FALSE)+ VLOOKUP(V$10,'VK-Põlevkivi'!$C:$I,2+$G86,FALSE)+ VLOOKUP(V$10,'VK-Võrgud'!$C:$I,2+$F86,FALSE)</f>
        <v>9.2211187347744535E-3</v>
      </c>
      <c r="W86" s="226">
        <f>VLOOKUP(W$10,'VK-Hooned-Soojus'!$C:$I,2+$C86,FALSE) + VLOOKUP(W$10,'VK-Transport'!$C:$I,2+$B86,FALSE)+ VLOOKUP(W$10,'VK-Biokütused'!$C:$G,2+$E86,FALSE)+ VLOOKUP(W$10,'VK-Elekter'!$C:$I,2+$D86,FALSE)+ VLOOKUP(W$10,'VK-Põlevkivi'!$C:$I,2+$G86,FALSE)+ VLOOKUP(W$10,'VK-Võrgud'!$C:$I,2+$F86,FALSE)</f>
        <v>-3.7359382319828036E-2</v>
      </c>
      <c r="X86" s="226">
        <f>VLOOKUP(X$10,'VK-Hooned-Soojus'!$C:$I,2+$C86,FALSE) + VLOOKUP(X$10,'VK-Transport'!$C:$I,2+$B86,FALSE)+ VLOOKUP(X$10,'VK-Biokütused'!$C:$G,2+$E86,FALSE)+ VLOOKUP(X$10,'VK-Elekter'!$C:$I,2+$D86,FALSE)+ VLOOKUP(X$10,'VK-Põlevkivi'!$C:$I,2+$G86,FALSE)+ VLOOKUP(X$10,'VK-Võrgud'!$C:$I,2+$F86,FALSE)</f>
        <v>-3.9468204271577198E-2</v>
      </c>
      <c r="Y86" s="226">
        <f>VLOOKUP(Y$10,'VK-Hooned-Soojus'!$C:$I,2+$C86,FALSE) + VLOOKUP(Y$10,'VK-Transport'!$C:$I,2+$B86,FALSE)+ VLOOKUP(Y$10,'VK-Biokütused'!$C:$G,2+$E86,FALSE)+ VLOOKUP(Y$10,'VK-Elekter'!$C:$I,2+$D86,FALSE)+ VLOOKUP(Y$10,'VK-Põlevkivi'!$C:$I,2+$G86,FALSE)+ VLOOKUP(Y$10,'VK-Võrgud'!$C:$I,2+$F86,FALSE)</f>
        <v>-5.7309725960158923E-2</v>
      </c>
      <c r="Z86" s="227">
        <f>(S86*Tulemused!$Q$9*10+T86*Tulemused!$Q$10*10+KOMBI!U86*Tulemused!$Q$11*10+KOMBI!V86*Tulemused!$Q$12*10)*Tulemused!$Q$8+-(W86*Tulemused!$Q$14*10+KOMBI!X86*Tulemused!$Q$15*10+KOMBI!Y86*Tulemused!$Q$16*10)*Tulemused!$Q$13</f>
        <v>3.340235852100859</v>
      </c>
      <c r="AA86" s="228">
        <f>(IF(AA$7="X",VLOOKUP(AA$10,'VK-Hooned-Soojus'!$C:$X,2+$C86,FALSE),0)+IF(AA$6="X",VLOOKUP(AA$10,'VK-Transport'!$C:$X,2+$B86,0))+IF(AA$8="X",VLOOKUP(AA$10,'VK-Elekter'!$C:$X,2+$D86,0))+IF(AA$9="X",VLOOKUP(AA$10,'VK-Biokütused'!$C:$U,2+$E86,0))+IF(AA$5="X",VLOOKUP(AA$10,'VK-Põlevkivi'!$C:$X,2+$G86,0))+IF(AA$4="X",VLOOKUP(AA$10,'VK-Võrgud'!$C:$X,2+$F86,0)))</f>
        <v>3729</v>
      </c>
      <c r="AB86" s="228">
        <f>(IF(AB$7="X",VLOOKUP(AB$10,'VK-Hooned-Soojus'!$C:$X,2+$C86,FALSE),0)+IF(AB$6="X",VLOOKUP(AB$10,'VK-Transport'!$C:$X,2+$B86,0))+IF(AB$8="X",VLOOKUP(AB$10,'VK-Elekter'!$C:$X,2+$D86,0))+IF(AB$9="X",VLOOKUP(AB$10,'VK-Biokütused'!$C:$U,2+$E86,0))+IF(AB$5="X",VLOOKUP(AB$10,'VK-Põlevkivi'!$C:$X,2+$G86,0))+IF(AB$4="X",VLOOKUP(AB$10,'VK-Võrgud'!$C:$X,2+$F86,0)))</f>
        <v>1177</v>
      </c>
      <c r="AC86" s="228">
        <f>(IF(AC$7="X",VLOOKUP(AC$10,'VK-Hooned-Soojus'!$C:$X,2+$C86,FALSE),0)+IF(AC$6="X",VLOOKUP(AC$10,'VK-Transport'!$C:$X,2+$B86,0))+IF(AC$8="X",VLOOKUP(AC$10,'VK-Elekter'!$C:$X,2+$D86,0))+IF(AC$9="X",VLOOKUP(AC$10,'VK-Biokütused'!$C:$U,2+$E86,0))+IF(AC$5="X",VLOOKUP(AC$10,'VK-Põlevkivi'!$C:$X,2+$G86,0))+IF(AC$4="X",VLOOKUP(AC$10,'VK-Võrgud'!$C:$X,2+$F86,0)))</f>
        <v>2346</v>
      </c>
      <c r="AD86" s="228">
        <f>(IF(AD$7="X",VLOOKUP(AD$10,'VK-Hooned-Soojus'!$C:$X,2+$C86,FALSE),0)+IF(AD$6="X",VLOOKUP(AD$10,'VK-Transport'!$C:$X,2+$B86,0))+IF(AD$8="X",VLOOKUP(AD$10,'VK-Elekter'!$C:$X,2+$D86,0))+IF(AD$9="X",VLOOKUP(AD$10,'VK-Biokütused'!$C:$U,2+$E86,0))+IF(AD$5="X",VLOOKUP(AD$10,'VK-Põlevkivi'!$C:$X,2+$G86,0))+IF(AD$4="X",VLOOKUP(AD$10,'VK-Võrgud'!$C:$X,2+$F86,0)))</f>
        <v>0</v>
      </c>
      <c r="AE86" s="228">
        <f>(IF(AE$7="X",VLOOKUP(AE$10,'VK-Hooned-Soojus'!$C:$X,2+$C86,FALSE),0)+IF(AE$6="X",VLOOKUP(AE$10,'VK-Transport'!$C:$X,2+$B86,0))+IF(AE$8="X",VLOOKUP(AE$10,'VK-Elekter'!$C:$X,2+$D86,0))+IF(AE$9="X",VLOOKUP(AE$10,'VK-Biokütused'!$C:$U,2+$E86,0))+IF(AE$5="X",VLOOKUP(AE$10,'VK-Põlevkivi'!$C:$X,2+$G86,0))+IF(AE$4="X",VLOOKUP(AE$10,'VK-Võrgud'!$C:$X,2+$F86,0)))</f>
        <v>507</v>
      </c>
      <c r="AF86" s="228">
        <f>(IF(AF$7="X",VLOOKUP(AF$10,'VK-Hooned-Soojus'!$C:$X,2+$C86,FALSE),0)+IF(AF$6="X",VLOOKUP(AF$10,'VK-Transport'!$C:$X,2+$B86,0))+IF(AF$8="X",VLOOKUP(AF$10,'VK-Elekter'!$C:$X,2+$D86,0))+IF(AF$9="X",VLOOKUP(AF$10,'VK-Biokütused'!$C:$U,2+$E86,0))+IF(AF$5="X",VLOOKUP(AF$10,'VK-Põlevkivi'!$C:$X,2+$G86,0))+IF(AF$4="X",VLOOKUP(AF$10,'VK-Võrgud'!$C:$X,2+$F86,0)))</f>
        <v>1892.3823271229701</v>
      </c>
      <c r="AG86" s="209"/>
      <c r="AH86" s="209">
        <f>IF(AH$7="X",VLOOKUP(AH$10,'VK-Hooned-Soojus'!$C:$X,2+$C86,FALSE),0)+IF(AH$6="X",VLOOKUP(AH$10,'VK-Transport'!$C:$X,2+$B86,0))+IF(AH$8="X",VLOOKUP(AH$10,'VK-Elekter'!$C:$X,2+$D86,0))+IF(AH$9="X",VLOOKUP(AH$10,'VK-Biokütused'!$C:$U,2+$E86,0))+IF(AH$5="X",VLOOKUP(AH$10,'VK-Põlevkivi'!$C:$X,2+$G86,0))+IF(AH$4="X",VLOOKUP(AH$10,'VK-Võrgud'!$C:$X,2+$F86,0))</f>
        <v>11.629999999999999</v>
      </c>
      <c r="AI86" s="209">
        <f>IF(AI$7="X",VLOOKUP(AI$10,'VK-Hooned-Soojus'!$C:$X,2+$C86,FALSE),0)+IF(AI$6="X",VLOOKUP(AI$10,'VK-Transport'!$C:$X,2+$B86,0))+IF(AI$8="X",VLOOKUP(AI$10,'VK-Elekter'!$C:$X,2+$D86,0))+IF(AI$9="X",VLOOKUP(AI$10,'VK-Biokütused'!$C:$U,2+$E86,0))+IF(AI$5="X",VLOOKUP(AI$10,'VK-Põlevkivi'!$C:$X,2+$G86,0))+IF(AI$4="X",VLOOKUP(AI$10,'VK-Võrgud'!$C:$X,2+$F86,0))</f>
        <v>2.3100000000000005</v>
      </c>
      <c r="AJ86" s="209">
        <f>IF(AJ$7="X",VLOOKUP(AJ$10,'VK-Hooned-Soojus'!$C:$X,2+$C86,FALSE),0)+IF(AJ$6="X",VLOOKUP(AJ$10,'VK-Transport'!$C:$X,2+$B86,0))+IF(AJ$8="X",VLOOKUP(AJ$10,'VK-Elekter'!$C:$X,2+$D86,0))+IF(AJ$9="X",VLOOKUP(AJ$10,'VK-Biokütused'!$C:$U,2+$E86,0))+IF(AJ$5="X",VLOOKUP(AJ$10,'VK-Põlevkivi'!$C:$X,2+$G86,0))+IF(AJ$4="X",VLOOKUP(AJ$10,'VK-Võrgud'!$C:$X,2+$F86,0))</f>
        <v>9.24</v>
      </c>
      <c r="AK86" s="209">
        <f>IF(AK$7="X",VLOOKUP(AK$10,'VK-Hooned-Soojus'!$C:$X,2+$C86,FALSE),0)+IF(AK$6="X",VLOOKUP(AK$10,'VK-Transport'!$C:$X,2+$B86,0))+IF(AK$8="X",VLOOKUP(AK$10,'VK-Elekter'!$C:$X,2+$D86,0))+IF(AK$9="X",VLOOKUP(AK$10,'VK-Biokütused'!$C:$U,2+$E86,0))+IF(AK$5="X",VLOOKUP(AK$10,'VK-Põlevkivi'!$C:$X,2+$G86,0))+IF(AK$4="X",VLOOKUP(AK$10,'VK-Võrgud'!$C:$X,2+$F86,0))</f>
        <v>2.78</v>
      </c>
      <c r="AL86" s="209">
        <f>IF(AL$7="X",VLOOKUP(AL$10,'VK-Hooned-Soojus'!$C:$X,2+$C86,FALSE),0)+IF(AL$6="X",VLOOKUP(AL$10,'VK-Transport'!$C:$X,2+$B86,0))+IF(AL$8="X",VLOOKUP(AL$10,'VK-Elekter'!$C:$X,2+$D86,0))+IF(AL$9="X",VLOOKUP(AL$10,'VK-Biokütused'!$C:$U,2+$E86,0))+IF(AL$5="X",VLOOKUP(AL$10,'VK-Põlevkivi'!$C:$X,2+$G86,0))+IF(AL$4="X",VLOOKUP(AL$10,'VK-Võrgud'!$C:$X,2+$F86,0))</f>
        <v>7.1</v>
      </c>
      <c r="AM86" s="209">
        <f>IF(AM$7="X",VLOOKUP(AM$10,'VK-Hooned-Soojus'!$C:$X,2+$C86,FALSE),0)+IF(AM$6="X",VLOOKUP(AM$10,'VK-Transport'!$C:$X,2+$B86,0))+IF(AM$8="X",VLOOKUP(AM$10,'VK-Elekter'!$C:$X,2+$D86,0))+IF(AM$9="X",VLOOKUP(AM$10,'VK-Biokütused'!$C:$U,2+$E86,0))+IF(AM$5="X",VLOOKUP(AM$10,'VK-Põlevkivi'!$C:$X,2+$G86,0))+IF(AM$4="X",VLOOKUP(AM$10,'VK-Võrgud'!$C:$X,2+$F86,0))</f>
        <v>11.5</v>
      </c>
      <c r="AN86" s="209">
        <f>IF(AN$7="X",VLOOKUP(AN$10,'VK-Hooned-Soojus'!$C:$X,2+$C86,FALSE),0)+IF(AN$6="X",VLOOKUP(AN$10,'VK-Transport'!$C:$X,2+$B86,0))+IF(AN$8="X",VLOOKUP(AN$10,'VK-Elekter'!$C:$X,2+$D86,0))+IF(AN$9="X",VLOOKUP(AN$10,'VK-Biokütused'!$C:$U,2+$E86,0))+IF(AN$5="X",VLOOKUP(AN$10,'VK-Põlevkivi'!$C:$X,2+$G86,0))+IF(AN$4="X",VLOOKUP(AN$10,'VK-Võrgud'!$C:$X,2+$F86,0))</f>
        <v>4.0999999999999996</v>
      </c>
      <c r="AO86" s="209">
        <f>IF(AO$7="X",VLOOKUP(AO$10,'VK-Hooned-Soojus'!$C:$X,2+$C86,FALSE),0)+IF(AO$6="X",VLOOKUP(AO$10,'VK-Transport'!$C:$X,2+$B86,0))+IF(AO$8="X",VLOOKUP(AO$10,'VK-Elekter'!$C:$X,2+$D86,0))+IF(AO$9="X",VLOOKUP(AO$10,'VK-Biokütused'!$C:$U,2+$E86,0))+IF(AO$5="X",VLOOKUP(AO$10,'VK-Põlevkivi'!$C:$X,2+$G86,0))+IF(AO$4="X",VLOOKUP(AO$10,'VK-Võrgud'!$C:$X,2+$F86,0))</f>
        <v>12.16</v>
      </c>
      <c r="AP86" s="209">
        <f>IF(AP$7="X",VLOOKUP(AP$10,'VK-Hooned-Soojus'!$C:$X,2+$C86,FALSE),0)+IF(AP$6="X",VLOOKUP(AP$10,'VK-Transport'!$C:$X,2+$B86,0))+IF(AP$8="X",VLOOKUP(AP$10,'VK-Elekter'!$C:$X,2+$D86,0))+IF(AP$9="X",VLOOKUP(AP$10,'VK-Biokütused'!$C:$U,2+$E86,0))+IF(AP$5="X",VLOOKUP(AP$10,'VK-Põlevkivi'!$C:$X,2+$G86,0))+IF(AP$4="X",VLOOKUP(AP$10,'VK-Võrgud'!$C:$X,2+$F86,0))</f>
        <v>6.08</v>
      </c>
      <c r="AQ86" s="320">
        <f t="shared" si="61"/>
        <v>0</v>
      </c>
      <c r="AR86" s="209">
        <f>IF(AR$7="X",VLOOKUP(AR$10,'VK-Hooned-Soojus'!$C:$X,2+$C86,FALSE),0)+IF(AR$6="X",VLOOKUP(AR$10,'VK-Transport'!$C:$X,2+$B86,0))+IF(AR$8="X",VLOOKUP(AR$10,'VK-Elekter'!$C:$X,2+$D86,0))+IF(AR$9="X",VLOOKUP(AR$10,'VK-Biokütused'!$C:$U,2+$E86,0))+IF(AR$5="X",VLOOKUP(AR$10,'VK-Põlevkivi'!$C:$X,2+$G86,0))+IF(AR$4="X",VLOOKUP(AR$10,'VK-Võrgud'!$C:$X,2+$F86,0))</f>
        <v>2.3899999999999997</v>
      </c>
      <c r="AS86" s="320">
        <f>VLOOKUP("Kütuste tarbimine @ 2030 - UTTEGAAS",'VK-Hooned-Soojus'!$C:$X,2+$C86,FALSE)/0.172+VLOOKUP("Kütuste tarbimine @ 2030 - UTTEGAAS",'VK-Elekter'!$C:$X,2+$D86,FALSE)/0.172-AR86-AU86</f>
        <v>2.8565116279069773</v>
      </c>
      <c r="AT86" s="209">
        <f>IF(AT$7="X",VLOOKUP(AT$10,'VK-Hooned-Soojus'!$C:$X,2+$C86,FALSE),0)+IF(AT$6="X",VLOOKUP(AT$10,'VK-Transport'!$C:$X,2+$B86,0))+IF(AT$8="X",VLOOKUP(AT$10,'VK-Elekter'!$C:$X,2+$D86,0))+IF(AT$9="X",VLOOKUP(AT$10,'VK-Biokütused'!$C:$U,2+$E86,0))+IF(AT$5="X",VLOOKUP(AT$10,'VK-Põlevkivi'!$C:$X,2+$G86,0))+IF(AT$4="X",VLOOKUP(AT$10,'VK-Võrgud'!$C:$X,2+$F86,0))</f>
        <v>9.2784458909544707</v>
      </c>
      <c r="AU86" s="229">
        <f>MAX(0,(VLOOKUP("Kütuste tarbimine @ 2030 - UTTEGAAS",'VK-Hooned-Soojus'!$C:$X,2+$C86,FALSE)/0.172+VLOOKUP("Kütuste tarbimine @ 2030 - UTTEGAAS",'VK-Elekter'!$C:$X,2+$D86,FALSE)/0.172)*0.52-VLOOKUP("Kütuste tarbimine @ 2030 - PÕLEVKIVIÕLI",'VK-Hooned-Soojus'!$C:$X,2+$C86,FALSE))</f>
        <v>5.6837209302325586</v>
      </c>
      <c r="AV86" s="209">
        <f>IF(AV$7="X",VLOOKUP(AV$10,'VK-Hooned-Soojus'!$C:$X,2+$C86,FALSE),0)+IF(AV$6="X",VLOOKUP(AV$10,'VK-Transport'!$C:$X,2+$B86,0))+IF(AV$8="X",VLOOKUP(AV$10,'VK-Elekter'!$C:$X,2+$D86,0))+IF(AV$9="X",VLOOKUP(AV$10,'VK-Biokütused'!$C:$U,2+$E86,0))+IF(AV$5="X",VLOOKUP(AV$10,'VK-Põlevkivi'!$C:$X,2+$G86,0))+IF(AV$4="X",VLOOKUP(AV$10,'VK-Võrgud'!$C:$X,2+$F86,0))</f>
        <v>1.7257321590343366</v>
      </c>
      <c r="AW86" s="209">
        <f>IF(AW$7="X",VLOOKUP(AW$10,'VK-Hooned-Soojus'!$C:$X,2+$C86,FALSE),0)+IF(AW$6="X",VLOOKUP(AW$10,'VK-Transport'!$C:$X,2+$B86,0))+IF(AW$8="X",VLOOKUP(AW$10,'VK-Elekter'!$C:$X,2+$D86,0))+IF(AW$9="X",VLOOKUP(AW$10,'VK-Biokütused'!$C:$U,2+$E86,0))+IF(AW$5="X",VLOOKUP(AW$10,'VK-Põlevkivi'!$C:$X,2+$G86,0))+IF(AW$4="X",VLOOKUP(AW$10,'VK-Võrgud'!$C:$X,2+$F86,0))</f>
        <v>0</v>
      </c>
      <c r="AX86" s="229">
        <f t="shared" si="62"/>
        <v>0</v>
      </c>
      <c r="AY86" s="229">
        <f t="shared" si="63"/>
        <v>1.7257321590343366</v>
      </c>
      <c r="AZ86" s="230">
        <f t="shared" si="48"/>
        <v>0.58355813738534457</v>
      </c>
      <c r="BA86" s="209">
        <f>IF(BA$7="X",VLOOKUP(BA$10,'VK-Hooned-Soojus'!$C:$X,2+$C86,FALSE),0)+IF(BA$6="X",VLOOKUP(BA$10,'VK-Transport'!$C:$X,2+$B86,0))+IF(BA$8="X",VLOOKUP(BA$10,'VK-Elekter'!$C:$X,2+$D86,0))+IF(BA$9="X",VLOOKUP(BA$10,'VK-Biokütused'!$C:$U,2+$E86,0))+IF(BA$5="X",VLOOKUP(BA$10,'VK-Põlevkivi'!$C:$X,2+$G86,0))+IF(BA$4="X",VLOOKUP(BA$10,'VK-Võrgud'!$C:$X,2+$F86,0))</f>
        <v>4.25</v>
      </c>
      <c r="BB86" s="209">
        <f>IF(BB$7="X",VLOOKUP(BB$10,'VK-Hooned-Soojus'!$C:$X,2+$C86,FALSE),0)+IF(BB$6="X",VLOOKUP(BB$10,'VK-Transport'!$C:$X,2+$B86,0))+IF(BB$8="X",VLOOKUP(BB$10,'VK-Elekter'!$C:$X,2+$D86,0))+IF(BB$9="X",VLOOKUP(BB$10,'VK-Biokütused'!$C:$U,2+$E86,0))+IF(BB$5="X",VLOOKUP(BB$10,'VK-Põlevkivi'!$C:$X,2+$G86,0))+IF(BB$4="X",VLOOKUP(BB$10,'VK-Võrgud'!$C:$X,2+$F86,0))</f>
        <v>2.93</v>
      </c>
      <c r="BC86" s="209">
        <f>IF(BC$7="X",VLOOKUP(BC$10,'VK-Hooned-Soojus'!$C:$X,2+$C86,FALSE),0)+IF(BC$6="X",VLOOKUP(BC$10,'VK-Transport'!$C:$X,2+$B86,0))+IF(BC$8="X",VLOOKUP(BC$10,'VK-Elekter'!$C:$X,2+$D86,0))+IF(BC$9="X",VLOOKUP(BC$10,'VK-Biokütused'!$C:$U,2+$E86,0))+IF(BC$5="X",VLOOKUP(BC$10,'VK-Põlevkivi'!$C:$X,2+$G86,0))+IF(BC$4="X",VLOOKUP(BC$10,'VK-Võrgud'!$C:$X,2+$F86,0))</f>
        <v>5.2376666666666667</v>
      </c>
      <c r="BD86" s="209">
        <f>IF(BD$7="X",VLOOKUP(BD$10,'VK-Hooned-Soojus'!$C:$X,2+$C86,FALSE),0)+IF(BD$6="X",VLOOKUP(BD$10,'VK-Transport'!$C:$X,2+$B86,0))+IF(BD$8="X",VLOOKUP(BD$10,'VK-Elekter'!$C:$X,2+$D86,0))+IF(BD$9="X",VLOOKUP(BD$10,'VK-Biokütused'!$C:$U,2+$E86,0))+IF(BD$5="X",VLOOKUP(BD$10,'VK-Põlevkivi'!$C:$X,2+$G86,0))+IF(BD$4="X",VLOOKUP(BD$10,'VK-Võrgud'!$C:$X,2+$F86,0))</f>
        <v>9.1105555555555569</v>
      </c>
      <c r="BE86" s="230"/>
      <c r="BF86" s="229">
        <f t="shared" si="64"/>
        <v>0.33424065071890413</v>
      </c>
      <c r="BG86" s="209" t="e">
        <f>(IF(BG$7="X",VLOOKUP(BG$10,'VK-Hooned-Soojus'!$C:$X,2+$C86,FALSE),0)+IF(BG$6="X",VLOOKUP(BG$10,'VK-Transport'!$C:$X,2+$B86,0))+IF(BG$8="X",VLOOKUP(BG$10,'VK-Elekter'!$C:$X,2+$D86,0))+IF(BG$9="X",VLOOKUP(BG$10,'VK-Biokütused'!$C:$U,2+$E86,0))+IF(BG$5="X",VLOOKUP(BG$10,'VK-Põlevkivi'!$C:$X,2+$G86,0))+IF(BG$4="X",VLOOKUP(BG$10,'VK-Võrgud'!$C:$X,2+$F86,0)))/20</f>
        <v>#N/A</v>
      </c>
      <c r="BH86" s="209">
        <f>(IF(BH$7="X",VLOOKUP(BH$10,'VK-Hooned-Soojus'!$C:$X,2+$C86,FALSE),0)+IF(BH$6="X",VLOOKUP(BH$10,'VK-Transport'!$C:$X,2+$B86,0))+IF(BH$8="X",VLOOKUP(BH$10,'VK-Elekter'!$C:$X,2+$D86,0))+IF(BH$9="X",VLOOKUP(BH$10,'VK-Biokütused'!$C:$U,2+$E86,0))+IF(BH$5="X",VLOOKUP(BH$10,'VK-Põlevkivi'!$C:$X,2+$G86,0))+IF(BH$4="X",VLOOKUP(BH$10,'VK-Võrgud'!$C:$X,2+$F86,0)))/20</f>
        <v>84.204999999999998</v>
      </c>
      <c r="BI86" s="209">
        <f>(IF(BI$7="X",VLOOKUP(BI$10,'VK-Hooned-Soojus'!$C:$X,2+$C86,FALSE),0)+IF(BI$6="X",VLOOKUP(BI$10,'VK-Transport'!$C:$X,2+$B86,0))+IF(BI$8="X",VLOOKUP(BI$10,'VK-Elekter'!$C:$X,2+$D86,0))+IF(BI$9="X",VLOOKUP(BI$10,'VK-Biokütused'!$C:$U,2+$E86,0))+IF(BI$5="X",VLOOKUP(BI$10,'VK-Põlevkivi'!$C:$X,2+$G86,0))+IF(BI$4="X",VLOOKUP(BI$10,'VK-Võrgud'!$C:$X,2+$F86,0)))/16</f>
        <v>8.9375</v>
      </c>
      <c r="BJ86" s="209">
        <f>(IF(BJ$7="X",VLOOKUP(BJ$10,'VK-Hooned-Soojus'!$C:$X,2+$C86,FALSE),0)+IF(BJ$6="X",VLOOKUP(BJ$10,'VK-Transport'!$C:$X,2+$B86,0))+IF(BJ$8="X",VLOOKUP(BJ$10,'VK-Elekter'!$C:$X,2+$D86,0))+IF(BJ$9="X",VLOOKUP(BJ$10,'VK-Biokütused'!$C:$U,2+$E86,0))+IF(BJ$5="X",VLOOKUP(BJ$10,'VK-Põlevkivi'!$C:$X,2+$G86,0))+IF(BJ$4="X",VLOOKUP(BJ$10,'VK-Võrgud'!$C:$X,2+$F86,0)))/20</f>
        <v>5.33</v>
      </c>
      <c r="BK86" s="209"/>
      <c r="BL86" s="209"/>
      <c r="BM86" s="209"/>
      <c r="BN86" s="209" t="e">
        <f>(IF(BN$7="X",VLOOKUP(BN$10,'VK-Hooned-Soojus'!$C:$X,2+$C86,FALSE),0)+IF(BN$6="X",VLOOKUP(BN$10,'VK-Transport'!$C:$X,2+$B86,0))+IF(BN$8="X",VLOOKUP(BN$10,'VK-Elekter'!$C:$X,2+$D86,0))+IF(BN$9="X",VLOOKUP(BN$10,'VK-Biokütused'!$C:$U,2+$E86,0))+IF(BN$5="X",VLOOKUP(BN$10,'VK-Põlevkivi'!$C:$X,2+$G86,0))+IF(BN$4="X",VLOOKUP(BN$10,'VK-Võrgud'!$C:$X,2+$F86,0)))/16</f>
        <v>#N/A</v>
      </c>
      <c r="BO86" s="209">
        <f>(IF(BO$7="X",VLOOKUP(BO$10,'VK-Hooned-Soojus'!$C:$X,2+$C86,FALSE),0)+IF(BO$6="X",VLOOKUP(BO$10,'VK-Transport'!$C:$X,2+$B86,0))+IF(BO$8="X",VLOOKUP(BO$10,'VK-Elekter'!$C:$X,2+$D86,0))+IF(BO$9="X",VLOOKUP(BO$10,'VK-Biokütused'!$C:$U,2+$E86,0))+IF(BO$5="X",VLOOKUP(BO$10,'VK-Põlevkivi'!$C:$X,2+$G86,0))+IF(BO$4="X",VLOOKUP(BO$10,'VK-Võrgud'!$C:$X,2+$F86,0)))/16</f>
        <v>405.45</v>
      </c>
      <c r="BP86" s="209"/>
      <c r="BQ86" s="209">
        <f>(IF(BQ$7="X",VLOOKUP(BQ$10,'VK-Hooned-Soojus'!$C:$X,2+$C86,FALSE),0)+IF(BQ$6="X",VLOOKUP(BQ$10,'VK-Transport'!$C:$X,2+$B86,0))+IF(BQ$8="X",VLOOKUP(BQ$10,'VK-Elekter'!$C:$X,2+$D86,0))+IF(BQ$9="X",VLOOKUP(BQ$10,'VK-Biokütused'!$C:$U,2+$E86,0))+IF(BQ$5="X",VLOOKUP(BQ$10,'VK-Põlevkivi'!$C:$X,2+$G86,0))+IF(BQ$4="X",VLOOKUP(BQ$10,'VK-Võrgud'!$C:$X,2+$F86,0)))/16</f>
        <v>127.6</v>
      </c>
      <c r="BR86" s="209">
        <f>(IF(BR$7="X",VLOOKUP(BR$10,'VK-Hooned-Soojus'!$C:$X,2+$C86,FALSE),0)+IF(BR$6="X",VLOOKUP(BR$10,'VK-Transport'!$C:$X,2+$B86,0))+IF(BR$8="X",VLOOKUP(BR$10,'VK-Elekter'!$C:$X,2+$D86,0))+IF(BR$9="X",VLOOKUP(BR$10,'VK-Biokütused'!$C:$U,2+$E86,0))+IF(BR$5="X",VLOOKUP(BR$10,'VK-Põlevkivi'!$C:$X,2+$G86,0))+IF(BR$4="X",VLOOKUP(BR$10,'VK-Võrgud'!$C:$X,2+$F86,0)))/16</f>
        <v>27.475000000000001</v>
      </c>
      <c r="BS86" s="209">
        <f>(IF(BS$7="X",VLOOKUP(BS$10,'VK-Hooned-Soojus'!$C:$X,2+$C86,FALSE),0)+IF(BS$6="X",VLOOKUP(BS$10,'VK-Transport'!$C:$X,2+$B86,0))+IF(BS$8="X",VLOOKUP(BS$10,'VK-Elekter'!$C:$X,2+$D86,0))+IF(BS$9="X",VLOOKUP(BS$10,'VK-Biokütused'!$C:$U,2+$E86,0))+IF(BS$5="X",VLOOKUP(BS$10,'VK-Põlevkivi'!$C:$X,2+$G86,0))+IF(BS$4="X",VLOOKUP(BS$10,'VK-Võrgud'!$C:$X,2+$F86,0)))/16</f>
        <v>-23.293749999999999</v>
      </c>
      <c r="BT86" s="209"/>
      <c r="BU86" s="209"/>
      <c r="BV86" s="209">
        <f>(IF(BV$7="X",VLOOKUP(BV$10,'VK-Hooned-Soojus'!$C:$X,2+$C86,FALSE),0)+IF(BV$6="X",VLOOKUP(BV$10,'VK-Transport'!$C:$X,2+$B86,0))+IF(BV$8="X",VLOOKUP(BV$10,'VK-Elekter'!$C:$X,2+$D86,0))+IF(BV$9="X",VLOOKUP(BV$10,'VK-Biokütused'!$C:$U,2+$E86,0))+IF(BV$5="X",VLOOKUP(BV$10,'VK-Põlevkivi'!$C:$X,2+$G86,0))+IF(BV$4="X",VLOOKUP(BV$10,'VK-Võrgud'!$C:$X,2+$F86,0)))/16</f>
        <v>0</v>
      </c>
      <c r="BW86" s="209"/>
      <c r="BX86" s="209">
        <f>(IF(BX$7="X",VLOOKUP(BX$10,'VK-Hooned-Soojus'!$C:$X,2+$C86,FALSE),0)+IF(BX$6="X",VLOOKUP(BX$10,'VK-Transport'!$C:$X,2+$B86,0))+IF(BX$8="X",VLOOKUP(BX$10,'VK-Elekter'!$C:$X,2+$D86,0))+IF(BX$9="X",VLOOKUP(BX$10,'VK-Biokütused'!$C:$U,2+$E86,0))+IF(BX$5="X",VLOOKUP(BX$10,'VK-Põlevkivi'!$C:$X,2+$G86,0))+IF(BX$4="X",VLOOKUP(BX$10,'VK-Võrgud'!$C:$X,2+$F86,0)))/16</f>
        <v>-99.6875</v>
      </c>
      <c r="BY86" s="209"/>
      <c r="BZ86" s="209"/>
      <c r="CA86" s="209" t="e">
        <f>(IF(CA$7="X",VLOOKUP(CA$10,'VK-Hooned-Soojus'!$C:$X,2+$C86,FALSE),0)+IF(CA$6="X",VLOOKUP(CA$10,'VK-Transport'!$C:$X,2+$B86,0))+IF(CA$8="X",VLOOKUP(CA$10,'VK-Elekter'!$C:$X,2+$D86,0))+IF(CA$9="X",VLOOKUP(CA$10,'VK-Biokütused'!$C:$U,2+$E86,0))+IF(CA$5="X",VLOOKUP(CA$10,'VK-Põlevkivi'!$C:$X,2+$G86,0))+IF(CA$4="X",VLOOKUP(CA$10,'VK-Võrgud'!$C:$X,2+$F86,0)))/16</f>
        <v>#N/A</v>
      </c>
      <c r="CB86" s="209">
        <f>(IF(CB$7="X",VLOOKUP(CB$10,'VK-Hooned-Soojus'!$C:$X,2+$C86,FALSE),0)+IF(CB$6="X",VLOOKUP(CB$10,'VK-Transport'!$C:$X,2+$B86,0))+IF(CB$8="X",VLOOKUP(CB$10,'VK-Elekter'!$C:$X,2+$D86,0))+IF(CB$9="X",VLOOKUP(CB$10,'VK-Biokütused'!$C:$U,2+$E86,0))+IF(CB$5="X",VLOOKUP(CB$10,'VK-Põlevkivi'!$C:$X,2+$G86,0))+IF(CB$4="X",VLOOKUP(CB$10,'VK-Võrgud'!$C:$X,2+$F86,0)))/16</f>
        <v>0</v>
      </c>
      <c r="CC86" s="209">
        <f>(IF(CC$7="X",VLOOKUP(CC$10,'VK-Hooned-Soojus'!$C:$X,2+$C86,FALSE),0)+IF(CC$6="X",VLOOKUP(CC$10,'VK-Transport'!$C:$X,2+$B86,0))+IF(CC$8="X",VLOOKUP(CC$10,'VK-Elekter'!$C:$X,2+$D86,0))+IF(CC$9="X",VLOOKUP(CC$10,'VK-Biokütused'!$C:$U,2+$E86,0))+IF(CC$5="X",VLOOKUP(CC$10,'VK-Põlevkivi'!$C:$X,2+$G86,0))+IF(CC$4="X",VLOOKUP(CC$10,'VK-Võrgud'!$C:$X,2+$F86,0)))/16</f>
        <v>0</v>
      </c>
      <c r="CD86" s="209"/>
      <c r="CE86" s="209">
        <f>(IF(CE$7="X",VLOOKUP(CE$10,'VK-Hooned-Soojus'!$C:$X,2+$C86,FALSE),0)+IF(CE$6="X",VLOOKUP(CE$10,'VK-Transport'!$C:$X,2+$B86,0))+IF(CE$8="X",VLOOKUP(CE$10,'VK-Elekter'!$C:$X,2+$D86,0))+IF(CE$9="X",VLOOKUP(CE$10,'VK-Biokütused'!$C:$U,2+$E86,0))+IF(CE$5="X",VLOOKUP(CE$10,'VK-Põlevkivi'!$C:$X,2+$G86,0))+IF(CE$4="X",VLOOKUP(CE$10,'VK-Võrgud'!$C:$X,2+$F86,0)))/16</f>
        <v>24.15625</v>
      </c>
      <c r="CF86" s="209"/>
      <c r="CG86" s="209">
        <f>(IF(CG$7="X",VLOOKUP(CG$10,'VK-Hooned-Soojus'!$C:$X,2+$C86,FALSE),0)+IF(CG$6="X",VLOOKUP(CG$10,'VK-Transport'!$C:$X,2+$B86,0))+IF(CG$8="X",VLOOKUP(CG$10,'VK-Elekter'!$C:$X,2+$D86,0))+IF(CG$9="X",VLOOKUP(CG$10,'VK-Biokütused'!$C:$U,2+$E86,0))+IF(CG$5="X",VLOOKUP(CG$10,'VK-Põlevkivi'!$C:$X,2+$G86,0))+IF(CG$4="X",VLOOKUP(CG$10,'VK-Võrgud'!$C:$X,2+$F86,0)))/16</f>
        <v>0</v>
      </c>
      <c r="CH86" s="209">
        <f>(IF(CH$7="X",VLOOKUP(CH$10,'VK-Hooned-Soojus'!$C:$X,2+$C86,FALSE),0)+IF(CH$6="X",VLOOKUP(CH$10,'VK-Transport'!$C:$X,2+$B86,0))+IF(CH$8="X",VLOOKUP(CH$10,'VK-Elekter'!$C:$X,2+$D86,0))+IF(CH$9="X",VLOOKUP(CH$10,'VK-Biokütused'!$C:$U,2+$E86,0))+IF(CH$5="X",VLOOKUP(CH$10,'VK-Põlevkivi'!$C:$X,2+$G86,0))+IF(CH$4="X",VLOOKUP(CH$10,'VK-Võrgud'!$C:$X,2+$F86,0)))/20*0.21</f>
        <v>26.9178</v>
      </c>
      <c r="CI86" s="209"/>
      <c r="CJ86" s="209">
        <f>(IF(CJ$7="X",VLOOKUP(CJ$10,'VK-Hooned-Soojus'!$C:$X,2+$C86,FALSE),0)+IF(CJ$6="X",VLOOKUP(CJ$10,'VK-Transport'!$C:$X,2+$B86,0))+IF(CJ$8="X",VLOOKUP(CJ$10,'VK-Elekter'!$C:$X,2+$D86,0))+IF(CJ$9="X",VLOOKUP(CJ$10,'VK-Biokütused'!$C:$U,2+$E86,0))+IF(CJ$5="X",VLOOKUP(CJ$10,'VK-Põlevkivi'!$C:$X,2+$G86,0))+IF(CJ$4="X",VLOOKUP(CJ$10,'VK-Võrgud'!$C:$X,2+$F86,0)))/1000</f>
        <v>17.477</v>
      </c>
      <c r="CK86" s="209">
        <f>(IF(CK$7="X",VLOOKUP(CK$10,'VK-Hooned-Soojus'!$C:$X,2+$C86,FALSE),0)+IF(CK$6="X",VLOOKUP(CK$10,'VK-Transport'!$C:$X,2+$B86,0))+IF(CK$8="X",VLOOKUP(CK$10,'VK-Elekter'!$C:$X,2+$D86,0))+IF(CK$9="X",VLOOKUP(CK$10,'VK-Biokütused'!$C:$U,2+$E86,0))+IF(CK$5="X",VLOOKUP(CK$10,'VK-Põlevkivi'!$C:$X,2+$G86,0))+IF(CK$4="X",VLOOKUP(CK$10,'VK-Võrgud'!$C:$X,2+$F86,0)))/1000</f>
        <v>11.223743209992719</v>
      </c>
      <c r="CL86" s="235">
        <f>(IF(CL$7="X",VLOOKUP(CL$10,'VK-Hooned-Soojus'!$C:$X,2+$C86,FALSE),0)+IF(CL$6="X",VLOOKUP(CL$10,'VK-Transport'!$C:$X,2+$B86,0))+IF(CL$8="X",VLOOKUP(CL$10,'VK-Elekter'!$C:$X,2+$D86,0))+IF(CL$9="X",VLOOKUP(CL$10,'VK-Biokütused'!$C:$U,2+$E86,0)))/1000</f>
        <v>8.07628955972379</v>
      </c>
      <c r="CM86" s="209">
        <f>(IF(CM$7="X",VLOOKUP(CM$10,'VK-Hooned-Soojus'!$C:$X,2+$C86,FALSE),0)+IF(CM$6="X",VLOOKUP(CM$10,'VK-Transport'!$C:$X,2+$B86,0))+IF(CM$8="X",VLOOKUP(CM$10,'VK-Elekter'!$C:$X,2+$D86,0))+IF(CM$9="X",VLOOKUP(CM$10,'VK-Biokütused'!$C:$U,2+$E86,0))+IF(CM$5="X",VLOOKUP(CM$10,'VK-Põlevkivi'!$C:$X,2+$G86,0))+IF(CM$4="X",VLOOKUP(CM$10,'VK-Võrgud'!$C:$X,2+$F86,0)))/1000</f>
        <v>7.5869999999999997</v>
      </c>
      <c r="CN86" s="209">
        <f>(IF(CN$7="X",VLOOKUP(CN$10,'VK-Hooned-Soojus'!$C:$X,2+$C86,FALSE),0)+IF(CN$6="X",VLOOKUP(CN$10,'VK-Transport'!$C:$X,2+$B86,0))+IF(CN$8="X",VLOOKUP(CN$10,'VK-Elekter'!$C:$X,2+$D86,0))+IF(CN$9="X",VLOOKUP(CN$10,'VK-Biokütused'!$C:$U,2+$E86,0))+IF(CN$5="X",VLOOKUP(CN$10,'VK-Põlevkivi'!$C:$X,2+$G86,0))+IF(CN$4="X",VLOOKUP(CN$10,'VK-Võrgud'!$C:$X,2+$F86,0)))/1000</f>
        <v>2.8980000000000001</v>
      </c>
      <c r="CO86" s="209">
        <f>(IF(CO$7="X",VLOOKUP(CO$10,'VK-Hooned-Soojus'!$C:$X,2+$C86,FALSE),0)+IF(CO$6="X",VLOOKUP(CO$10,'VK-Transport'!$C:$X,2+$B86,0))+IF(CO$8="X",VLOOKUP(CO$10,'VK-Elekter'!$C:$X,2+$D86,0))+IF(CO$9="X",VLOOKUP(CO$10,'VK-Biokütused'!$C:$U,2+$E86,0))+IF(CO$5="X",VLOOKUP(CO$10,'VK-Põlevkivi'!$C:$X,2+$G86,0))+IF(CO$4="X",VLOOKUP(CO$10,'VK-Võrgud'!$C:$X,2+$F86,0)))/1000</f>
        <v>23.833575210797282</v>
      </c>
      <c r="CP86" s="209">
        <f>(IF(CP$7="X",VLOOKUP(CP$10,'VK-Hooned-Soojus'!$C:$X,2+$C86,FALSE),0)+IF(CP$6="X",VLOOKUP(CP$10,'VK-Transport'!$C:$X,2+$B86,0))+IF(CP$8="X",VLOOKUP(CP$10,'VK-Elekter'!$C:$X,2+$D86,0))+IF(CP$9="X",VLOOKUP(CP$10,'VK-Biokütused'!$C:$U,2+$E86,0))+IF(CP$5="X",VLOOKUP(CP$10,'VK-Põlevkivi'!$C:$X,2+$G86,0))+IF(CP$4="X",VLOOKUP(CP$10,'VK-Võrgud'!$C:$X,2+$F86,0)))/1000</f>
        <v>13.405994830349824</v>
      </c>
      <c r="CQ86" s="235">
        <f>(IF(CQ$7="X",VLOOKUP(CQ$10,'VK-Hooned-Soojus'!$C:$X,2+$C86,FALSE),0)+IF(CQ$6="X",VLOOKUP(CQ$10,'VK-Transport'!$C:$X,2+$B86,0))+IF(CQ$8="X",VLOOKUP(CQ$10,'VK-Elekter'!$C:$X,2+$D86,0))+IF(CQ$9="X",VLOOKUP(CQ$10,'VK-Biokütused'!$C:$U,2+$E86,0)))/1000</f>
        <v>10.527346</v>
      </c>
      <c r="CR86" s="209">
        <f>(IF(CR$7="X",VLOOKUP(CR$10,'VK-Hooned-Soojus'!$C:$X,2+$C86,FALSE),0)+IF(CR$6="X",VLOOKUP(CR$10,'VK-Transport'!$C:$X,2+$B86,0))+IF(CR$8="X",VLOOKUP(CR$10,'VK-Elekter'!$C:$X,2+$D86,0))+IF(CR$9="X",VLOOKUP(CR$10,'VK-Biokütused'!$C:$U,2+$E86,0))+IF(CR$5="X",VLOOKUP(CR$10,'VK-Põlevkivi'!$C:$X,2+$G86,0))+IF(CR$4="X",VLOOKUP(CR$10,'VK-Võrgud'!$C:$X,2+$F86,0)))/1000</f>
        <v>7.6910872784575748</v>
      </c>
      <c r="CS86" s="209">
        <f>(IF(CS$7="X",VLOOKUP(CS$10,'VK-Hooned-Soojus'!$C:$X,2+$C86,FALSE),0)+IF(CS$6="X",VLOOKUP(CS$10,'VK-Transport'!$C:$X,2+$B86,0))+IF(CS$8="X",VLOOKUP(CS$10,'VK-Elekter'!$C:$X,2+$D86,0))+IF(CS$9="X",VLOOKUP(CS$10,'VK-Biokütused'!$C:$U,2+$E86,0))+IF(CS$5="X",VLOOKUP(CS$10,'VK-Põlevkivi'!$C:$X,2+$G86,0))+IF(CS$4="X",VLOOKUP(CS$10,'VK-Võrgud'!$C:$X,2+$F86,0)))/1000</f>
        <v>3.7943344900598324</v>
      </c>
      <c r="CT86" s="209">
        <f>IF(CT$7="X",VLOOKUP(CT$10,'VK-Hooned-Soojus'!$C:$X,2+$C86,FALSE),0)+IF(CT$6="X",VLOOKUP(CT$10,'VK-Transport'!$C:$X,2+$B86,0))+IF(CT$8="X",VLOOKUP(CT$10,'VK-Elekter'!$C:$X,2+$D86,0))+IF(CT$9="X",VLOOKUP(CT$10,'VK-Biokütused'!$C:$U,2+$E86,0))+IF(CT$5="X",VLOOKUP(CT$10,'VK-Põlevkivi'!$C:$X,2+$G86,0))+IF(CT$4="X",VLOOKUP(CT$10,'VK-Võrgud'!$C:$X,2+$F86,0))</f>
        <v>90</v>
      </c>
      <c r="CU86" s="209">
        <f>IF(CU$7="X",VLOOKUP(CU$10,'VK-Hooned-Soojus'!$C:$X,2+$C86,FALSE),0)+IF(CU$6="X",VLOOKUP(CU$10,'VK-Transport'!$C:$X,2+$B86,0))+IF(CU$8="X",VLOOKUP(CU$10,'VK-Elekter'!$C:$X,2+$D86,0))+IF(CU$9="X",VLOOKUP(CU$10,'VK-Biokütused'!$C:$U,2+$E86,0))+IF(CU$5="X",VLOOKUP(CU$10,'VK-Põlevkivi'!$C:$X,2+$G86,0))+IF(CU$4="X",VLOOKUP(CU$10,'VK-Võrgud'!$C:$X,2+$F86,0))</f>
        <v>0.72088353413654627</v>
      </c>
      <c r="CV86" s="209">
        <f t="shared" si="49"/>
        <v>1</v>
      </c>
      <c r="CW86" s="209">
        <f>(IF(CW$7="X",VLOOKUP(CW$10,'VK-Hooned-Soojus'!$C:$X,2+$C86,FALSE),0)+IF(CW$6="X",VLOOKUP(CW$10,'VK-Transport'!$C:$X,2+$B86,0))+IF(CW$8="X",VLOOKUP(CW$10,'VK-Elekter'!$C:$X,2+$D86,0))+IF(CW$9="X",VLOOKUP(CW$10,'VK-Biokütused'!$C:$U,2+$E86,0))+IF(CW$5="X",VLOOKUP(CW$10,'VK-Põlevkivi'!$C:$X,2+$G86,0))+IF(CW$4="X",VLOOKUP(CW$10,'VK-Võrgud'!$C:$X,2+$F86,0)))/16</f>
        <v>0</v>
      </c>
      <c r="CY86" s="209">
        <f>(IF(CY$7="X",VLOOKUP(CY$10,'VK-Hooned-Soojus'!$C:$X,2+$C86,FALSE),0)+IF(CY$6="X",VLOOKUP(CY$10,'VK-Transport'!$C:$X,2+$B86,0))+IF(CY$8="X",VLOOKUP(CY$10,'VK-Elekter'!$C:$X,2+$D86,0))+IF(CY$9="X",VLOOKUP(CY$10,'VK-Biokütused'!$C:$U,2+$E86,0))+IF(CY$5="X",VLOOKUP(CY$10,'VK-Põlevkivi'!$C:$X,2+$G86,0))+IF(CY$4="X",VLOOKUP(CY$10,'VK-Võrgud'!$C:$X,2+$F86,0)))/1000</f>
        <v>10.212999999999999</v>
      </c>
      <c r="CZ86" s="209">
        <f>(IF(CZ$7="X",VLOOKUP(CZ$10,'VK-Hooned-Soojus'!$C:$X,2+$C86,FALSE),0)+IF(CZ$6="X",VLOOKUP(CZ$10,'VK-Transport'!$C:$X,2+$B86,0))+IF(CZ$8="X",VLOOKUP(CZ$10,'VK-Elekter'!$C:$X,2+$D86,0))+IF(CZ$9="X",VLOOKUP(CZ$10,'VK-Biokütused'!$C:$U,2+$E86,0))+IF(CZ$5="X",VLOOKUP(CZ$10,'VK-Põlevkivi'!$C:$X,2+$G86,0))+IF(CZ$4="X",VLOOKUP(CZ$10,'VK-Võrgud'!$C:$X,2+$F86,0)))</f>
        <v>69</v>
      </c>
      <c r="DA86" s="209">
        <f>(IF(DA$7="X",VLOOKUP(DA$10,'VK-Hooned-Soojus'!$C:$X,2+$C86,FALSE),0)+IF(DA$6="X",VLOOKUP(DA$10,'VK-Transport'!$C:$X,2+$B86,0))+IF(DA$8="X",VLOOKUP(DA$10,'VK-Elekter'!$C:$X,2+$D86,0))+IF(DA$9="X",VLOOKUP(DA$10,'VK-Biokütused'!$C:$U,2+$E86,0))+IF(DA$5="X",VLOOKUP(DA$10,'VK-Põlevkivi'!$C:$X,2+$G86,0))+IF(DA$4="X",VLOOKUP(DA$10,'VK-Võrgud'!$C:$X,2+$F86,0)))/1000</f>
        <v>13.78</v>
      </c>
      <c r="DB86" s="209">
        <f>(IF(DB$7="X",VLOOKUP(DB$10,'VK-Hooned-Soojus'!$C:$X,2+$C86,FALSE),0)+IF(DB$6="X",VLOOKUP(DB$10,'VK-Transport'!$C:$X,2+$B86,0))+IF(DB$8="X",VLOOKUP(DB$10,'VK-Elekter'!$C:$X,2+$D86,0))+IF(DB$9="X",VLOOKUP(DB$10,'VK-Biokütused'!$C:$U,2+$E86,0))+IF(DB$5="X",VLOOKUP(DB$10,'VK-Põlevkivi'!$C:$X,2+$G86,0))+IF(DB$4="X",VLOOKUP(DB$10,'VK-Võrgud'!$C:$X,2+$F86,0)))/1000/3.6</f>
        <v>61.248888888888892</v>
      </c>
      <c r="DC86" s="209">
        <f>(IF(DC$7="X",VLOOKUP(DC$10,'VK-Hooned-Soojus'!$C:$X,2+$C86,FALSE),0)+IF(DC$6="X",VLOOKUP(DC$10,'VK-Transport'!$C:$X,2+$B86,0))+IF(DC$8="X",VLOOKUP(DC$10,'VK-Elekter'!$C:$X,2+$D86,0))+IF(DC$9="X",VLOOKUP(DC$10,'VK-Biokütused'!$C:$U,2+$E86,0))+IF(DC$5="X",VLOOKUP(DC$10,'VK-Põlevkivi'!$C:$X,2+$G86,0))+IF(DC$4="X",VLOOKUP(DC$10,'VK-Võrgud'!$C:$X,2+$F86,0)))/1000000</f>
        <v>4.9062619999999999</v>
      </c>
      <c r="DD86" s="209"/>
      <c r="DE86" s="88">
        <f>VLOOKUP(Tulemused!$BN$12,data!M$7:N$12,2,FALSE)-SUM(L86,M86)</f>
        <v>-0.77386666666667736</v>
      </c>
      <c r="DF86" s="209" t="str">
        <f>IF(AZ86&lt;=VLOOKUP(Tulemused!$BN$15,data!$E$36:$F$39,2,FALSE),"JAH","EI")</f>
        <v>JAH</v>
      </c>
      <c r="DG86" s="209"/>
      <c r="DH86" s="209">
        <f t="shared" si="50"/>
        <v>6.08</v>
      </c>
      <c r="DI86" s="231" t="str">
        <f t="shared" si="65"/>
        <v>EI</v>
      </c>
      <c r="DK86" s="232">
        <f t="shared" si="51"/>
        <v>-996.65976414789918</v>
      </c>
      <c r="DM86" s="233">
        <f t="shared" si="52"/>
        <v>-995.3603558831478</v>
      </c>
      <c r="DN86" s="87">
        <f t="array" ref="DN86">INDEX($A$11:$A$145, SMALL(IF(DM86=$DK$11:$DK$145, MATCH(ROW($DK$11:$DK$145), ROW($DK$11:$DK$145))), SUM(--(DM86=$DM$11:DM86))))</f>
        <v>54</v>
      </c>
      <c r="DP86" s="87" t="e">
        <f t="shared" ca="1" si="66"/>
        <v>#N/A</v>
      </c>
      <c r="DQ86" s="87" t="e">
        <f t="shared" ca="1" si="67"/>
        <v>#N/A</v>
      </c>
      <c r="DR86" s="87">
        <f t="shared" ca="1" si="68"/>
        <v>0</v>
      </c>
      <c r="DS86" s="87" t="e">
        <f t="shared" ca="1" si="69"/>
        <v>#N/A</v>
      </c>
      <c r="DT86" s="87">
        <f t="shared" ca="1" si="70"/>
        <v>0</v>
      </c>
      <c r="DU86" s="87" t="e">
        <f t="shared" ca="1" si="71"/>
        <v>#N/A</v>
      </c>
      <c r="DV86" s="87" t="e">
        <f t="shared" ca="1" si="72"/>
        <v>#N/A</v>
      </c>
      <c r="DW86" s="87">
        <f t="shared" ca="1" si="73"/>
        <v>0</v>
      </c>
      <c r="DX86" s="87">
        <f t="shared" ca="1" si="74"/>
        <v>0</v>
      </c>
      <c r="DZ86" s="87">
        <f t="shared" ca="1" si="35"/>
        <v>0</v>
      </c>
      <c r="EB86" s="87">
        <f t="shared" ca="1" si="75"/>
        <v>0</v>
      </c>
      <c r="EC86" s="87" t="e">
        <f t="shared" ca="1" si="76"/>
        <v>#N/A</v>
      </c>
      <c r="EE86" s="228">
        <f>(IF(EE$7="X",VLOOKUP(EE$10,'VK-Hooned-Soojus'!$C:$X,2+$C86,FALSE),0)+IF(EE$6="X",VLOOKUP(EE$10,'VK-Transport'!$C:$X,2+$B86,0))+IF(EE$8="X",VLOOKUP(EE$10,'VK-Elekter'!$C:$X,2+$D86,0))+IF(EE$9="X",VLOOKUP(EE$10,'VK-Biokütused'!$C:$U,2+$E86,0))+IF(EE$5="X",VLOOKUP(EE$10,'VK-Põlevkivi'!$C:$X,2+$G86,0))+IF(EE$4="X",VLOOKUP(EE$10,'VK-Võrgud'!$C:$X,2+$F86,0)))</f>
        <v>3985.7959707784157</v>
      </c>
      <c r="EF86" s="235">
        <f>(IF(EF$7="X",VLOOKUP(EF$10,'VK-Hooned-Soojus'!$C:$X,2+$C86,FALSE),0)+IF(EF$6="X",VLOOKUP(EF$10,'VK-Transport'!$C:$X,2+$B86,0))+IF(EF$8="X",VLOOKUP(EF$10,'VK-Elekter'!$C:$X,2+$D86,0))+IF(EF$9="X",VLOOKUP(EF$10,'VK-Biokütused'!$C:$U,2+$E86,0)))/1000</f>
        <v>4.08638232712297</v>
      </c>
      <c r="EG86" s="209">
        <f>(IF(EG$7="X",VLOOKUP(EG$10,'VK-Hooned-Soojus'!$C:$X,2+$C86,FALSE),0)+IF(EG$6="X",VLOOKUP(EG$10,'VK-Transport'!$C:$X,2+$B86,0))+IF(EG$8="X",VLOOKUP(EG$10,'VK-Elekter'!$C:$X,2+$D86,0))+IF(EG$9="X",VLOOKUP(EG$10,'VK-Biokütused'!$C:$U,2+$E86,0))+IF(EG$5="X",VLOOKUP(EG$10,'VK-Põlevkivi'!$C:$X,2+$G86,0))+IF(EG$4="X",VLOOKUP(EG$10,'VK-Võrgud'!$C:$X,2+$F86,0)))</f>
        <v>0.81</v>
      </c>
      <c r="EH86" s="209">
        <f>(IF(EH$7="X",VLOOKUP(EH$10,'VK-Hooned-Soojus'!$C:$X,2+$C86,FALSE),0)+IF(EH$6="X",VLOOKUP(EH$10,'VK-Transport'!$C:$X,2+$B86,0))+IF(EH$8="X",VLOOKUP(EH$10,'VK-Elekter'!$C:$X,2+$D86,0))+IF(EH$9="X",VLOOKUP(EH$10,'VK-Biokütused'!$C:$U,2+$E86,0)))+AR86+AS86+AU86+AX86</f>
        <v>52.164399224806203</v>
      </c>
      <c r="EI86" s="320">
        <f t="shared" si="53"/>
        <v>46.480678294573643</v>
      </c>
      <c r="EJ86" s="322">
        <f t="shared" si="54"/>
        <v>2.3391437578713474E-2</v>
      </c>
      <c r="EK86" s="323">
        <f t="shared" si="77"/>
        <v>0.39754723427955507</v>
      </c>
      <c r="EM86" s="209"/>
      <c r="EN86" s="209">
        <f t="shared" ca="1" si="55"/>
        <v>0</v>
      </c>
      <c r="EO86" s="209"/>
      <c r="EP86" s="234"/>
      <c r="EQ86" s="209">
        <f>(IF(EQ$7="X",VLOOKUP(EQ$10,'VK-Hooned-Soojus'!$C:$X,2+$C86,FALSE),0)+IF(EQ$6="X",VLOOKUP(EQ$10,'VK-Transport'!$C:$X,2+$B86,0))+IF(EQ$8="X",VLOOKUP(EQ$10,'VK-Elekter'!$C:$X,2+$D86,0))+IF(EQ$9="X",VLOOKUP(EQ$10,'VK-Biokütused'!$C:$U,2+$E86,0))+IF(EQ$5="X",VLOOKUP(EQ$10,'VK-Põlevkivi'!$C:$X,2+$G86,0))+IF(EQ$4="X",VLOOKUP(EQ$10,'VK-Võrgud'!$C:$X,2+$F86,0)))/1000</f>
        <v>0.19900000000000001</v>
      </c>
      <c r="ER86" s="209">
        <f>(IF(ER$7="X",VLOOKUP(ER$10,'VK-Hooned-Soojus'!$C:$X,2+$C86,FALSE),0)+IF(ER$6="X",VLOOKUP(ER$10,'VK-Transport'!$C:$X,2+$B86,0))+IF(ER$8="X",VLOOKUP(ER$10,'VK-Elekter'!$C:$X,2+$D86,0))+IF(ER$9="X",VLOOKUP(ER$10,'VK-Biokütused'!$C:$U,2+$E86,0))+IF(ER$5="X",VLOOKUP(ER$10,'VK-Põlevkivi'!$C:$X,2+$G86,0))+IF(ER$4="X",VLOOKUP(ER$10,'VK-Võrgud'!$C:$X,2+$F86,0)))</f>
        <v>0.72299999999999998</v>
      </c>
      <c r="ES86" s="209">
        <f>(IF(ES$7="X",VLOOKUP(ES$10,'VK-Hooned-Soojus'!$C:$X,2+$C86,FALSE),0)+IF(ES$6="X",VLOOKUP(ES$10,'VK-Transport'!$C:$X,2+$B86,0))+IF(ES$8="X",VLOOKUP(ES$10,'VK-Elekter'!$C:$X,2+$D86,0))+IF(ES$9="X",VLOOKUP(ES$10,'VK-Biokütused'!$C:$U,2+$E86,0))+IF(ES$5="X",VLOOKUP(ES$10,'VK-Põlevkivi'!$C:$X,2+$G86,0))+IF(ES$4="X",VLOOKUP(ES$10,'VK-Võrgud'!$C:$X,2+$F86,0)))</f>
        <v>6.08</v>
      </c>
      <c r="ET86" s="209"/>
      <c r="EU86" s="209"/>
      <c r="EV86" s="87">
        <f>'KSH järjestus'!AS79</f>
        <v>1310</v>
      </c>
      <c r="EX86" s="236"/>
      <c r="EY86" s="236"/>
      <c r="EZ86" s="237">
        <f t="shared" si="56"/>
        <v>0.27911646586345373</v>
      </c>
      <c r="FA86" s="209">
        <f>IF(FA$7="X",VLOOKUP(FA$10,'VK-Hooned-Soojus'!$C:$X,2+$C86,FALSE),0)+IF(FA$6="X",VLOOKUP(FA$10,'VK-Transport'!$C:$X,2+$B86,0))+IF(FA$8="X",VLOOKUP(FA$10,'VK-Elekter'!$C:$X,2+$D86,0))+IF(FA$9="X",VLOOKUP(FA$10,'VK-Biokütused'!$C:$U,2+$E86,0))+IF(FA$5="X",VLOOKUP(FA$10,'VK-Põlevkivi'!$C:$X,2+$G86,0))+IF(FA$4="X",VLOOKUP(FA$10,'VK-Võrgud'!$C:$X,2+$F86,0))</f>
        <v>3009.346</v>
      </c>
      <c r="FB86" s="279">
        <f>(IF(FB$7="X",VLOOKUP(FB$10,'VK-Hooned-Soojus'!$C:$X,2+$C86,FALSE),0)+IF(FB$6="X",VLOOKUP(FB$10,'VK-Transport'!$C:$X,2+$B86,0))+IF(FB$8="X",VLOOKUP(FB$10,'VK-Elekter'!$C:$X,2+$D86,0))+IF(FB$9="X",VLOOKUP(FB$10,'VK-Biokütused'!$C:$U,2+$E86,0))+IF(FB$5="X",VLOOKUP(FB$10,'VK-Põlevkivi'!$C:$X,2+$G86,0))+IF(FB$4="X",VLOOKUP(FB$10,'VK-Võrgud'!$C:$X,2+$F86,0)))/16</f>
        <v>201.44919621214459</v>
      </c>
      <c r="FC86" s="209">
        <f>IF(FC$7="X",VLOOKUP(FC$10,'VK-Hooned-Soojus'!$C:$X,2+$C86,FALSE),0)+IF(FC$6="X",VLOOKUP(FC$10,'VK-Transport'!$C:$X,2+$B86,0))+IF(FC$8="X",VLOOKUP(FC$10,'VK-Elekter'!$C:$X,2+$D86,0))+IF(FC$9="X",VLOOKUP(FC$10,'VK-Biokütused'!$C:$U,2+$E86,0))+IF(FC$5="X",VLOOKUP(FC$10,'VK-Põlevkivi'!$C:$X,2+$G86,0))+IF(FC$4="X",VLOOKUP(FC$10,'VK-Võrgud'!$C:$X,2+$F86,0))</f>
        <v>297.04999999999995</v>
      </c>
      <c r="FD86" s="209">
        <f>(IF(FD$7="X",VLOOKUP(FD$10,'VK-Hooned-Soojus'!$C:$X,2+$C86,FALSE),0)+IF(FD$6="X",VLOOKUP(FD$10,'VK-Transport'!$C:$X,2+$B86,0))+IF(FD$8="X",VLOOKUP(FD$10,'VK-Elekter'!$C:$X,2+$D86,0))+IF(FD$9="X",VLOOKUP(FD$10,'VK-Biokütused'!$C:$U,2+$E86,0))+IF(FD$5="X",VLOOKUP(FD$10,'VK-Põlevkivi'!$C:$X,2+$G86,0))+IF(FD$4="X",VLOOKUP(FD$10,'VK-Võrgud'!$C:$X,2+$F86,0)))/16</f>
        <v>201.44919621214459</v>
      </c>
      <c r="FE86" s="209">
        <f>(IF(FE$7="X",VLOOKUP(FE$10,'VK-Hooned-Soojus'!$C:$X,2+$C86,FALSE),0)+IF(FE$6="X",VLOOKUP(FE$10,'VK-Transport'!$C:$X,2+$B86,0))+IF(FE$8="X",VLOOKUP(FE$10,'VK-Elekter'!$C:$X,2+$D86,0))+IF(FE$9="X",VLOOKUP(FE$10,'VK-Biokütused'!$C:$U,2+$E86,0))+IF(FE$5="X",VLOOKUP(FE$10,'VK-Põlevkivi'!$C:$X,2+$G86,0))+IF(FE$4="X",VLOOKUP(FE$10,'VK-Võrgud'!$C:$X,2+$F86,0)))/16</f>
        <v>-147.50125</v>
      </c>
      <c r="FF86" s="209">
        <f>(IF(FF$7="X",VLOOKUP(FF$10,'VK-Hooned-Soojus'!$C:$X,2+$C86,FALSE),0)+IF(FF$6="X",VLOOKUP(FF$10,'VK-Transport'!$C:$X,2+$B86,0))+IF(FF$8="X",VLOOKUP(FF$10,'VK-Elekter'!$C:$X,2+$D86,0))+IF(FF$9="X",VLOOKUP(FF$10,'VK-Biokütused'!$C:$U,2+$E86,0))+IF(FF$5="X",VLOOKUP(FF$10,'VK-Põlevkivi'!$C:$X,2+$G86,0))+IF(FF$4="X",VLOOKUP(FF$10,'VK-Võrgud'!$C:$X,2+$F86,0)))/16</f>
        <v>113.91087588500002</v>
      </c>
      <c r="FG86" s="88">
        <f t="shared" ca="1" si="78"/>
        <v>-33.590374114999975</v>
      </c>
      <c r="FH86" s="88"/>
      <c r="FI86" s="88"/>
      <c r="FJ86" s="88">
        <f>VLOOKUP(Tulemused!$BN$12,data!M$7:N$12,2,FALSE)-SUM(L86,M86)</f>
        <v>-0.77386666666667736</v>
      </c>
      <c r="FK86" s="209" t="str">
        <f>IF(AZ86&lt;=VLOOKUP(Tulemused!$BN$15,data!$E$36:$F$39,2,FALSE),"JAH","EI")</f>
        <v>JAH</v>
      </c>
      <c r="FL86" s="235">
        <f ca="1">IF(ISNA(MATCH($A86,INDIRECT(VLOOKUP(Tulemused!$BF$11,data!$J$57:$M$71,4,FALSE)))),0,MATCH($A86,INDIRECT(VLOOKUP(Tulemused!$BF$11,data!$J$57:$M$71,4,FALSE))))</f>
        <v>0</v>
      </c>
      <c r="FM86" s="235" t="str">
        <f t="shared" ca="1" si="57"/>
        <v>JAH</v>
      </c>
      <c r="FN86" s="209">
        <f>VLOOKUP(Tulemused!$BN$13,data!$C$132:$D$137,2,FALSE)-KOMBI!R86</f>
        <v>3.8465876728770305</v>
      </c>
      <c r="FO86" s="209"/>
      <c r="FP86" s="209">
        <f>VLOOKUP(Tulemused!$BN$17,NO_x,2,FALSE)-CJ86</f>
        <v>11.960999999999999</v>
      </c>
      <c r="FQ86" s="209">
        <f>VLOOKUP(Tulemused!$BN$18,SO_2,2,FALSE)-CK86</f>
        <v>40.660256790007281</v>
      </c>
      <c r="FR86" s="209">
        <f>VLOOKUP(Tulemused!$BN$19,LOU,2,FALSE)-CN86</f>
        <v>34.182000000000002</v>
      </c>
      <c r="FS86" s="209">
        <f>VLOOKUP(Tulemused!$BN$20,PM_2.5,2,FALSE)-CM86</f>
        <v>9.3279999999999994</v>
      </c>
      <c r="FT86" s="209">
        <f>VLOOKUP(Tulemused!$BN$13,data!$C$132:$D$137,2,FALSE)-FA86/1000</f>
        <v>3.2366240000000008</v>
      </c>
      <c r="FU86" s="209">
        <f>VLOOKUP(Tulemused!$BN$17,NO_x,2,FALSE)-CO86</f>
        <v>5.6044247892027172</v>
      </c>
      <c r="FV86" s="209">
        <f>VLOOKUP(Tulemused!$BN$18,SO_2,2,FALSE)-CP86</f>
        <v>38.478005169650174</v>
      </c>
      <c r="FW86" s="209">
        <f>VLOOKUP(Tulemused!$BN$19,LOU,2,FALSE)-CS86</f>
        <v>33.285665509940173</v>
      </c>
      <c r="FX86" s="209">
        <f>VLOOKUP(Tulemused!$BN$20,PM_2.5,2,FALSE)-CR86</f>
        <v>9.2239127215424244</v>
      </c>
      <c r="FY86" s="209">
        <f>VLOOKUP(Tulemused!$BN$14,KHG_2050,2,FALSE)-EF86</f>
        <v>95.913617672877024</v>
      </c>
      <c r="FZ86" s="231" t="str">
        <f t="shared" ca="1" si="79"/>
        <v>EI</v>
      </c>
      <c r="GA86" s="209"/>
      <c r="GB86" s="209"/>
      <c r="GC86" s="209"/>
      <c r="GD86" s="231"/>
      <c r="GE86" s="87">
        <f t="shared" si="58"/>
        <v>1310</v>
      </c>
      <c r="GF86" s="232" t="str">
        <f t="shared" ca="1" si="80"/>
        <v/>
      </c>
      <c r="GH86" s="238" t="e">
        <f t="shared" ca="1" si="59"/>
        <v>#NUM!</v>
      </c>
      <c r="GI86" s="87" t="e">
        <f t="array" aca="1" ref="GI86" ca="1">INDEX($A$11:$A$145, SMALL(IF(GH86=$GF$11:$GF$145, MATCH(ROW($GF$11:$GF$145), ROW($GF$11:$GF$145))), SUM(--(GH86=$GH$11:GH86))))</f>
        <v>#NUM!</v>
      </c>
      <c r="GM86" s="209">
        <f>IF(GM$7="X",VLOOKUP(GM$10,'VK-Hooned-Soojus'!$C:$X,2+$C86,FALSE),0)+IF(GM$6="X",VLOOKUP(GM$10,'VK-Transport'!$C:$X,2+$B86,0))+IF(GM$8="X",VLOOKUP(GM$10,'VK-Elekter'!$C:$X,2+$D86,0))+IF(GM$9="X",VLOOKUP(GM$10,'VK-Biokütused'!$C:$U,2+$E86,0))+IF(GM$5="X",VLOOKUP(GM$10,'VK-Põlevkivi'!$C:$X,2+$G86,0))+IF(GM$4="X",VLOOKUP(GM$10,'VK-Võrgud'!$C:$X,2+$F86,0))</f>
        <v>6.012827991027228</v>
      </c>
      <c r="GN86" s="209">
        <f>IF(GN$7="X",VLOOKUP(GN$10,'VK-Hooned-Soojus'!$C:$X,2+$C86,FALSE),0)+IF(GN$6="X",VLOOKUP(GN$10,'VK-Transport'!$C:$X,2+$B86,0))+IF(GN$8="X",VLOOKUP(GN$10,'VK-Elekter'!$C:$X,2+$D86,0))+IF(GN$9="X",VLOOKUP(GN$10,'VK-Biokütused'!$C:$U,2+$E86,0))+IF(GN$5="X",VLOOKUP(GN$10,'VK-Põlevkivi'!$C:$X,2+$G86,0))+IF(GN$4="X",VLOOKUP(GN$10,'VK-Võrgud'!$C:$X,2+$F86,0))</f>
        <v>3.4467619395011728</v>
      </c>
      <c r="GO86" s="209">
        <f>IF(GO$7="X",VLOOKUP(GO$10,'VK-Hooned-Soojus'!$C:$X,2+$C86,FALSE),0)+IF(GO$6="X",VLOOKUP(GO$10,'VK-Transport'!$C:$X,2+$B86,0))+IF(GO$8="X",VLOOKUP(GO$10,'VK-Elekter'!$C:$X,2+$D86,0))+IF(GO$9="X",VLOOKUP(GO$10,'VK-Biokütused'!$C:$U,2+$E86,0))+IF(GO$5="X",VLOOKUP(GO$10,'VK-Põlevkivi'!$C:$X,2+$G86,0))+IF(GO$4="X",VLOOKUP(GO$10,'VK-Võrgud'!$C:$X,2+$F86,0))</f>
        <v>7.5763700102722566</v>
      </c>
      <c r="GP86" s="209">
        <f>IF(GP$7="X",VLOOKUP(GP$10,'VK-Hooned-Soojus'!$C:$X,2+$C86,FALSE),0)+IF(GP$6="X",VLOOKUP(GP$10,'VK-Transport'!$C:$X,2+$B86,0))+IF(GP$8="X",VLOOKUP(GP$10,'VK-Elekter'!$C:$X,2+$D86,0))+IF(GP$9="X",VLOOKUP(GP$10,'VK-Biokütused'!$C:$U,2+$E86,0))+IF(GP$5="X",VLOOKUP(GP$10,'VK-Põlevkivi'!$C:$X,2+$G86,0))+IF(GP$4="X",VLOOKUP(GP$10,'VK-Võrgud'!$C:$X,2+$F86,0))</f>
        <v>8.9326558040707589</v>
      </c>
      <c r="GQ86" s="88">
        <f>IF(GQ$7="X",VLOOKUP(GQ$10,'VK-Hooned-Soojus'!$C:$X,2+$C86,FALSE),0)+IF(GQ$6="X",VLOOKUP(GQ$10,'VK-Transport'!$C:$X,2+$B86,0))+IF(GQ$8="X",VLOOKUP(GQ$10,'VK-Elekter'!$C:$X,2+$D86,0))+IF(GQ$9="X",VLOOKUP(GQ$10,'VK-Biokütused'!$C:$U,2+$E86,0))+IF(GQ$5="X",VLOOKUP(GQ$10,'VK-Põlevkivi'!$C:$X,2+$G86,0))+IF(GQ$4="X",VLOOKUP(GQ$10,'VK-Võrgud'!$C:$X,2+$F86,0))</f>
        <v>0.90618397335647782</v>
      </c>
      <c r="GR86" s="186">
        <f t="shared" si="81"/>
        <v>0.39532637523095843</v>
      </c>
    </row>
    <row r="87" spans="1:200" x14ac:dyDescent="0.2">
      <c r="A87" s="184">
        <v>77</v>
      </c>
      <c r="B87" s="87">
        <v>2</v>
      </c>
      <c r="C87" s="87">
        <v>3</v>
      </c>
      <c r="D87" s="87">
        <v>1</v>
      </c>
      <c r="E87" s="87">
        <v>2</v>
      </c>
      <c r="F87" s="87">
        <f>VLOOKUP(Tulemused!$BF$7,data!$J$6:$K$8,2,FALSE)</f>
        <v>2</v>
      </c>
      <c r="G87" s="87">
        <f>VLOOKUP(data!$H$2,data!$J$12:$K$14,2,FALSE)</f>
        <v>2</v>
      </c>
      <c r="I87" s="209">
        <f>IF(I$7="X",VLOOKUP(I$10,'VK-Hooned-Soojus'!$C:$X,2+$C87,FALSE),0)+IF(I$6="X",VLOOKUP(I$10,'VK-Transport'!$C:$X,2+$B87,0))+IF(I$8="X",VLOOKUP(I$10,'VK-Elekter'!$C:$X,2+$D87,0))+IF(I$9="X",VLOOKUP(I$10,'VK-Biokütused'!$C:$U,2+$E87,0))+IF(I$5="X",VLOOKUP(I$10,'VK-Põlevkivi'!$C:$X,2+$G87,0))+IF(I$4="X",VLOOKUP(I$10,'VK-Võrgud'!$C:$X,2+$F87,0))</f>
        <v>23.490000000000002</v>
      </c>
      <c r="J87" s="209">
        <f>IF(J$7="X",VLOOKUP(J$10,'VK-Hooned-Soojus'!$C:$X,2+$C87,FALSE),0)+IF(J$6="X",VLOOKUP(J$10,'VK-Transport'!$C:$X,2+$B87,0))+IF(J$8="X",VLOOKUP(J$10,'VK-Elekter'!$C:$X,2+$D87,0))+IF(J$9="X",VLOOKUP(J$10,'VK-Biokütused'!$C:$U,2+$E87,0))+IF(J$5="X",VLOOKUP(J$10,'VK-Põlevkivi'!$C:$X,2+$G87,0))+IF(J$4="X",VLOOKUP(J$10,'VK-Võrgud'!$C:$X,2+$F87,0))</f>
        <v>11.138055555555555</v>
      </c>
      <c r="K87" s="209">
        <f>IF(K$7="X",VLOOKUP(K$10,'VK-Hooned-Soojus'!$C:$X,2+$C87,FALSE),0)+IF(K$6="X",VLOOKUP(K$10,'VK-Transport'!$C:$X,2+$B87,0))+IF(K$8="X",VLOOKUP(K$10,'VK-Elekter'!$C:$X,2+$D87,0))+IF(K$9="X",VLOOKUP(K$10,'VK-Biokütused'!$C:$U,2+$E87,0))+IF(K$5="X",VLOOKUP(K$10,'VK-Põlevkivi'!$C:$X,2+$G87,0))+IF(K$4="X",VLOOKUP(K$10,'VK-Võrgud'!$C:$X,2+$F87,0))</f>
        <v>13.780000000000001</v>
      </c>
      <c r="L87" s="209">
        <f>IF(L$7="X",VLOOKUP(L$10,'VK-Hooned-Soojus'!$C:$X,2+$C87,FALSE),0)+IF(L$6="X",VLOOKUP(L$10,'VK-Transport'!$C:$X,2+$B87,0))+IF(L$8="X",VLOOKUP(L$10,'VK-Elekter'!$C:$X,2+$D87,0))+IF(L$9="X",VLOOKUP(L$10,'VK-Biokütused'!$C:$U,2+$E87,0))+IF(L$5="X",VLOOKUP(L$10,'VK-Põlevkivi'!$C:$X,2+$G87,0))+IF(L$4="X",VLOOKUP(L$10,'VK-Võrgud'!$C:$X,2+$F87,0))</f>
        <v>23.75</v>
      </c>
      <c r="M87" s="209">
        <f>IF(M$7="X",VLOOKUP(M$10,'VK-Hooned-Soojus'!$C:$X,2+$C87,FALSE),0)+IF(M$6="X",VLOOKUP(M$10,'VK-Transport'!$C:$X,2+$B87,0))+IF(M$8="X",VLOOKUP(M$10,'VK-Elekter'!$C:$X,2+$D87,0))+IF(M$9="X",VLOOKUP(M$10,'VK-Biokütused'!$C:$U,2+$E87,0))+IF(M$5="X",VLOOKUP(M$10,'VK-Põlevkivi'!$C:$X,2+$G87,0))+IF(M$4="X",VLOOKUP(M$10,'VK-Võrgud'!$C:$X,2+$F87,0))</f>
        <v>9.8566666666666674</v>
      </c>
      <c r="N87" s="209">
        <f>IF(N$7="X",VLOOKUP(N$10,'VK-Hooned-Soojus'!$C:$X,2+$C87,FALSE),0)+IF(N$6="X",VLOOKUP(N$10,'VK-Transport'!$C:$X,2+$B87,0))+IF(N$8="X",VLOOKUP(N$10,'VK-Elekter'!$C:$X,2+$D87,0))+IF(N$9="X",VLOOKUP(N$10,'VK-Biokütused'!$C:$U,2+$E87,0))+IF(N$5="X",VLOOKUP(N$10,'VK-Põlevkivi'!$C:$X,2+$G87,0))+IF(N$4="X",VLOOKUP(N$10,'VK-Võrgud'!$C:$X,2+$F87,0))</f>
        <v>15.25</v>
      </c>
      <c r="O87" s="209">
        <f t="shared" si="60"/>
        <v>34.628055555555555</v>
      </c>
      <c r="P87" s="209"/>
      <c r="Q87" s="209">
        <f>(IF(Q$7="X",VLOOKUP(Q$10,'VK-Hooned-Soojus'!$C:$X,2+$C87,FALSE),0)+IF(Q$6="X",VLOOKUP(Q$10,'VK-Transport'!$C:$X,2+$B87,0))+IF(Q$8="X",VLOOKUP(Q$10,'VK-Elekter'!$C:$X,2+$D87,0))+IF(Q$9="X",VLOOKUP(Q$10,'VK-Biokütused'!$C:$U,2+$E87,0))+IF(Q$5="X",VLOOKUP(Q$10,'VK-Põlevkivi'!$C:$X,2+$G87,0))+IF(Q$4="X",VLOOKUP(Q$10,'VK-Võrgud'!$C:$X,2+$F87,0)))/1000</f>
        <v>4.9059999999999997</v>
      </c>
      <c r="R87" s="209">
        <f>(IF(R$7="X",VLOOKUP(R$10,'VK-Hooned-Soojus'!$C:$X,2+$C87,FALSE),0)+IF(R$6="X",VLOOKUP(R$10,'VK-Transport'!$C:$X,2+$B87,0))+IF(R$8="X",VLOOKUP(R$10,'VK-Elekter'!$C:$X,2+$D87,0))+IF(R$9="X",VLOOKUP(R$10,'VK-Biokütused'!$C:$U,2+$E87,0))+IF(R$5="X",VLOOKUP(R$10,'VK-Põlevkivi'!$C:$X,2+$G87,0))+IF(R$4="X",VLOOKUP(R$10,'VK-Võrgud'!$C:$X,2+$F87,0)))/1000</f>
        <v>2.7768823271229701</v>
      </c>
      <c r="S87" s="226">
        <f>VLOOKUP(S$10,'VK-Hooned-Soojus'!$C:$I,2+$C87,FALSE) + VLOOKUP(S$10,'VK-Transport'!$C:$I,2+$B87,FALSE)+ VLOOKUP(S$10,'VK-Biokütused'!$C:$G,2+$E87,FALSE)+ VLOOKUP(S$10,'VK-Elekter'!$C:$I,2+$D87,FALSE)+ VLOOKUP(S$10,'VK-Põlevkivi'!$C:$I,2+$G87,FALSE)+ VLOOKUP(S$10,'VK-Võrgud'!$C:$I,2+$F87,FALSE)</f>
        <v>1.4051440504277611E-2</v>
      </c>
      <c r="T87" s="226">
        <f>VLOOKUP(T$10,'VK-Hooned-Soojus'!$C:$I,2+$C87,FALSE) + VLOOKUP(T$10,'VK-Transport'!$C:$I,2+$B87,FALSE)+ VLOOKUP(T$10,'VK-Biokütused'!$C:$G,2+$E87,FALSE)+ VLOOKUP(T$10,'VK-Elekter'!$C:$I,2+$D87,FALSE)+ VLOOKUP(T$10,'VK-Põlevkivi'!$C:$I,2+$G87,FALSE)+ VLOOKUP(T$10,'VK-Võrgud'!$C:$I,2+$F87,FALSE)</f>
        <v>-1.4568264997011373E-3</v>
      </c>
      <c r="U87" s="226">
        <f>VLOOKUP(U$10,'VK-Hooned-Soojus'!$C:$I,2+$C87,FALSE) + VLOOKUP(U$10,'VK-Transport'!$C:$I,2+$B87,FALSE)+ VLOOKUP(U$10,'VK-Biokütused'!$C:$G,2+$E87,FALSE)+ VLOOKUP(U$10,'VK-Elekter'!$C:$I,2+$D87,FALSE)+ VLOOKUP(U$10,'VK-Põlevkivi'!$C:$I,2+$G87,FALSE)+ VLOOKUP(U$10,'VK-Võrgud'!$C:$I,2+$F87,FALSE)</f>
        <v>1.0866115617705896E-3</v>
      </c>
      <c r="V87" s="226">
        <f>VLOOKUP(V$10,'VK-Hooned-Soojus'!$C:$I,2+$C87,FALSE) + VLOOKUP(V$10,'VK-Transport'!$C:$I,2+$B87,FALSE)+ VLOOKUP(V$10,'VK-Biokütused'!$C:$G,2+$E87,FALSE)+ VLOOKUP(V$10,'VK-Elekter'!$C:$I,2+$D87,FALSE)+ VLOOKUP(V$10,'VK-Põlevkivi'!$C:$I,2+$G87,FALSE)+ VLOOKUP(V$10,'VK-Võrgud'!$C:$I,2+$F87,FALSE)</f>
        <v>1.3046005278651282E-2</v>
      </c>
      <c r="W87" s="226">
        <f>VLOOKUP(W$10,'VK-Hooned-Soojus'!$C:$I,2+$C87,FALSE) + VLOOKUP(W$10,'VK-Transport'!$C:$I,2+$B87,FALSE)+ VLOOKUP(W$10,'VK-Biokütused'!$C:$G,2+$E87,FALSE)+ VLOOKUP(W$10,'VK-Elekter'!$C:$I,2+$D87,FALSE)+ VLOOKUP(W$10,'VK-Põlevkivi'!$C:$I,2+$G87,FALSE)+ VLOOKUP(W$10,'VK-Võrgud'!$C:$I,2+$F87,FALSE)</f>
        <v>-3.3125583308563314E-2</v>
      </c>
      <c r="X87" s="226">
        <f>VLOOKUP(X$10,'VK-Hooned-Soojus'!$C:$I,2+$C87,FALSE) + VLOOKUP(X$10,'VK-Transport'!$C:$I,2+$B87,FALSE)+ VLOOKUP(X$10,'VK-Biokütused'!$C:$G,2+$E87,FALSE)+ VLOOKUP(X$10,'VK-Elekter'!$C:$I,2+$D87,FALSE)+ VLOOKUP(X$10,'VK-Põlevkivi'!$C:$I,2+$G87,FALSE)+ VLOOKUP(X$10,'VK-Võrgud'!$C:$I,2+$F87,FALSE)</f>
        <v>-3.813459205194164E-2</v>
      </c>
      <c r="Y87" s="226">
        <f>VLOOKUP(Y$10,'VK-Hooned-Soojus'!$C:$I,2+$C87,FALSE) + VLOOKUP(Y$10,'VK-Transport'!$C:$I,2+$B87,FALSE)+ VLOOKUP(Y$10,'VK-Biokütused'!$C:$G,2+$E87,FALSE)+ VLOOKUP(Y$10,'VK-Elekter'!$C:$I,2+$D87,FALSE)+ VLOOKUP(Y$10,'VK-Põlevkivi'!$C:$I,2+$G87,FALSE)+ VLOOKUP(Y$10,'VK-Võrgud'!$C:$I,2+$F87,FALSE)</f>
        <v>-5.6210763160764968E-2</v>
      </c>
      <c r="Z87" s="227">
        <f>(S87*Tulemused!$Q$9*10+T87*Tulemused!$Q$10*10+KOMBI!U87*Tulemused!$Q$11*10+KOMBI!V87*Tulemused!$Q$12*10)*Tulemused!$Q$8+-(W87*Tulemused!$Q$14*10+KOMBI!X87*Tulemused!$Q$15*10+KOMBI!Y87*Tulemused!$Q$16*10)*Tulemused!$Q$13</f>
        <v>4.2561475007466996</v>
      </c>
      <c r="AA87" s="228">
        <f>(IF(AA$7="X",VLOOKUP(AA$10,'VK-Hooned-Soojus'!$C:$X,2+$C87,FALSE),0)+IF(AA$6="X",VLOOKUP(AA$10,'VK-Transport'!$C:$X,2+$B87,0))+IF(AA$8="X",VLOOKUP(AA$10,'VK-Elekter'!$C:$X,2+$D87,0))+IF(AA$9="X",VLOOKUP(AA$10,'VK-Biokütused'!$C:$U,2+$E87,0))+IF(AA$5="X",VLOOKUP(AA$10,'VK-Põlevkivi'!$C:$X,2+$G87,0))+IF(AA$4="X",VLOOKUP(AA$10,'VK-Võrgud'!$C:$X,2+$F87,0)))</f>
        <v>3729</v>
      </c>
      <c r="AB87" s="228">
        <f>(IF(AB$7="X",VLOOKUP(AB$10,'VK-Hooned-Soojus'!$C:$X,2+$C87,FALSE),0)+IF(AB$6="X",VLOOKUP(AB$10,'VK-Transport'!$C:$X,2+$B87,0))+IF(AB$8="X",VLOOKUP(AB$10,'VK-Elekter'!$C:$X,2+$D87,0))+IF(AB$9="X",VLOOKUP(AB$10,'VK-Biokütused'!$C:$U,2+$E87,0))+IF(AB$5="X",VLOOKUP(AB$10,'VK-Põlevkivi'!$C:$X,2+$G87,0))+IF(AB$4="X",VLOOKUP(AB$10,'VK-Võrgud'!$C:$X,2+$F87,0)))</f>
        <v>1177</v>
      </c>
      <c r="AC87" s="228">
        <f>(IF(AC$7="X",VLOOKUP(AC$10,'VK-Hooned-Soojus'!$C:$X,2+$C87,FALSE),0)+IF(AC$6="X",VLOOKUP(AC$10,'VK-Transport'!$C:$X,2+$B87,0))+IF(AC$8="X",VLOOKUP(AC$10,'VK-Elekter'!$C:$X,2+$D87,0))+IF(AC$9="X",VLOOKUP(AC$10,'VK-Biokütused'!$C:$U,2+$E87,0))+IF(AC$5="X",VLOOKUP(AC$10,'VK-Põlevkivi'!$C:$X,2+$G87,0))+IF(AC$4="X",VLOOKUP(AC$10,'VK-Võrgud'!$C:$X,2+$F87,0)))</f>
        <v>2346</v>
      </c>
      <c r="AD87" s="228">
        <f>(IF(AD$7="X",VLOOKUP(AD$10,'VK-Hooned-Soojus'!$C:$X,2+$C87,FALSE),0)+IF(AD$6="X",VLOOKUP(AD$10,'VK-Transport'!$C:$X,2+$B87,0))+IF(AD$8="X",VLOOKUP(AD$10,'VK-Elekter'!$C:$X,2+$D87,0))+IF(AD$9="X",VLOOKUP(AD$10,'VK-Biokütused'!$C:$U,2+$E87,0))+IF(AD$5="X",VLOOKUP(AD$10,'VK-Põlevkivi'!$C:$X,2+$G87,0))+IF(AD$4="X",VLOOKUP(AD$10,'VK-Võrgud'!$C:$X,2+$F87,0)))</f>
        <v>377.5</v>
      </c>
      <c r="AE87" s="228">
        <f>(IF(AE$7="X",VLOOKUP(AE$10,'VK-Hooned-Soojus'!$C:$X,2+$C87,FALSE),0)+IF(AE$6="X",VLOOKUP(AE$10,'VK-Transport'!$C:$X,2+$B87,0))+IF(AE$8="X",VLOOKUP(AE$10,'VK-Elekter'!$C:$X,2+$D87,0))+IF(AE$9="X",VLOOKUP(AE$10,'VK-Biokütused'!$C:$U,2+$E87,0))+IF(AE$5="X",VLOOKUP(AE$10,'VK-Põlevkivi'!$C:$X,2+$G87,0))+IF(AE$4="X",VLOOKUP(AE$10,'VK-Võrgud'!$C:$X,2+$F87,0)))</f>
        <v>507</v>
      </c>
      <c r="AF87" s="228">
        <f>(IF(AF$7="X",VLOOKUP(AF$10,'VK-Hooned-Soojus'!$C:$X,2+$C87,FALSE),0)+IF(AF$6="X",VLOOKUP(AF$10,'VK-Transport'!$C:$X,2+$B87,0))+IF(AF$8="X",VLOOKUP(AF$10,'VK-Elekter'!$C:$X,2+$D87,0))+IF(AF$9="X",VLOOKUP(AF$10,'VK-Biokütused'!$C:$U,2+$E87,0))+IF(AF$5="X",VLOOKUP(AF$10,'VK-Põlevkivi'!$C:$X,2+$G87,0))+IF(AF$4="X",VLOOKUP(AF$10,'VK-Võrgud'!$C:$X,2+$F87,0)))</f>
        <v>1892.3823271229701</v>
      </c>
      <c r="AG87" s="209"/>
      <c r="AH87" s="209">
        <f>IF(AH$7="X",VLOOKUP(AH$10,'VK-Hooned-Soojus'!$C:$X,2+$C87,FALSE),0)+IF(AH$6="X",VLOOKUP(AH$10,'VK-Transport'!$C:$X,2+$B87,0))+IF(AH$8="X",VLOOKUP(AH$10,'VK-Elekter'!$C:$X,2+$D87,0))+IF(AH$9="X",VLOOKUP(AH$10,'VK-Biokütused'!$C:$U,2+$E87,0))+IF(AH$5="X",VLOOKUP(AH$10,'VK-Põlevkivi'!$C:$X,2+$G87,0))+IF(AH$4="X",VLOOKUP(AH$10,'VK-Võrgud'!$C:$X,2+$F87,0))</f>
        <v>11.629999999999999</v>
      </c>
      <c r="AI87" s="209">
        <f>IF(AI$7="X",VLOOKUP(AI$10,'VK-Hooned-Soojus'!$C:$X,2+$C87,FALSE),0)+IF(AI$6="X",VLOOKUP(AI$10,'VK-Transport'!$C:$X,2+$B87,0))+IF(AI$8="X",VLOOKUP(AI$10,'VK-Elekter'!$C:$X,2+$D87,0))+IF(AI$9="X",VLOOKUP(AI$10,'VK-Biokütused'!$C:$U,2+$E87,0))+IF(AI$5="X",VLOOKUP(AI$10,'VK-Põlevkivi'!$C:$X,2+$G87,0))+IF(AI$4="X",VLOOKUP(AI$10,'VK-Võrgud'!$C:$X,2+$F87,0))</f>
        <v>2.3100000000000005</v>
      </c>
      <c r="AJ87" s="209">
        <f>IF(AJ$7="X",VLOOKUP(AJ$10,'VK-Hooned-Soojus'!$C:$X,2+$C87,FALSE),0)+IF(AJ$6="X",VLOOKUP(AJ$10,'VK-Transport'!$C:$X,2+$B87,0))+IF(AJ$8="X",VLOOKUP(AJ$10,'VK-Elekter'!$C:$X,2+$D87,0))+IF(AJ$9="X",VLOOKUP(AJ$10,'VK-Biokütused'!$C:$U,2+$E87,0))+IF(AJ$5="X",VLOOKUP(AJ$10,'VK-Põlevkivi'!$C:$X,2+$G87,0))+IF(AJ$4="X",VLOOKUP(AJ$10,'VK-Võrgud'!$C:$X,2+$F87,0))</f>
        <v>9.24</v>
      </c>
      <c r="AK87" s="209">
        <f>IF(AK$7="X",VLOOKUP(AK$10,'VK-Hooned-Soojus'!$C:$X,2+$C87,FALSE),0)+IF(AK$6="X",VLOOKUP(AK$10,'VK-Transport'!$C:$X,2+$B87,0))+IF(AK$8="X",VLOOKUP(AK$10,'VK-Elekter'!$C:$X,2+$D87,0))+IF(AK$9="X",VLOOKUP(AK$10,'VK-Biokütused'!$C:$U,2+$E87,0))+IF(AK$5="X",VLOOKUP(AK$10,'VK-Põlevkivi'!$C:$X,2+$G87,0))+IF(AK$4="X",VLOOKUP(AK$10,'VK-Võrgud'!$C:$X,2+$F87,0))</f>
        <v>2.78</v>
      </c>
      <c r="AL87" s="209">
        <f>IF(AL$7="X",VLOOKUP(AL$10,'VK-Hooned-Soojus'!$C:$X,2+$C87,FALSE),0)+IF(AL$6="X",VLOOKUP(AL$10,'VK-Transport'!$C:$X,2+$B87,0))+IF(AL$8="X",VLOOKUP(AL$10,'VK-Elekter'!$C:$X,2+$D87,0))+IF(AL$9="X",VLOOKUP(AL$10,'VK-Biokütused'!$C:$U,2+$E87,0))+IF(AL$5="X",VLOOKUP(AL$10,'VK-Põlevkivi'!$C:$X,2+$G87,0))+IF(AL$4="X",VLOOKUP(AL$10,'VK-Võrgud'!$C:$X,2+$F87,0))</f>
        <v>7.1</v>
      </c>
      <c r="AM87" s="209">
        <f>IF(AM$7="X",VLOOKUP(AM$10,'VK-Hooned-Soojus'!$C:$X,2+$C87,FALSE),0)+IF(AM$6="X",VLOOKUP(AM$10,'VK-Transport'!$C:$X,2+$B87,0))+IF(AM$8="X",VLOOKUP(AM$10,'VK-Elekter'!$C:$X,2+$D87,0))+IF(AM$9="X",VLOOKUP(AM$10,'VK-Biokütused'!$C:$U,2+$E87,0))+IF(AM$5="X",VLOOKUP(AM$10,'VK-Põlevkivi'!$C:$X,2+$G87,0))+IF(AM$4="X",VLOOKUP(AM$10,'VK-Võrgud'!$C:$X,2+$F87,0))</f>
        <v>11.5</v>
      </c>
      <c r="AN87" s="209">
        <f>IF(AN$7="X",VLOOKUP(AN$10,'VK-Hooned-Soojus'!$C:$X,2+$C87,FALSE),0)+IF(AN$6="X",VLOOKUP(AN$10,'VK-Transport'!$C:$X,2+$B87,0))+IF(AN$8="X",VLOOKUP(AN$10,'VK-Elekter'!$C:$X,2+$D87,0))+IF(AN$9="X",VLOOKUP(AN$10,'VK-Biokütused'!$C:$U,2+$E87,0))+IF(AN$5="X",VLOOKUP(AN$10,'VK-Põlevkivi'!$C:$X,2+$G87,0))+IF(AN$4="X",VLOOKUP(AN$10,'VK-Võrgud'!$C:$X,2+$F87,0))</f>
        <v>4.0999999999999996</v>
      </c>
      <c r="AO87" s="209">
        <f>IF(AO$7="X",VLOOKUP(AO$10,'VK-Hooned-Soojus'!$C:$X,2+$C87,FALSE),0)+IF(AO$6="X",VLOOKUP(AO$10,'VK-Transport'!$C:$X,2+$B87,0))+IF(AO$8="X",VLOOKUP(AO$10,'VK-Elekter'!$C:$X,2+$D87,0))+IF(AO$9="X",VLOOKUP(AO$10,'VK-Biokütused'!$C:$U,2+$E87,0))+IF(AO$5="X",VLOOKUP(AO$10,'VK-Põlevkivi'!$C:$X,2+$G87,0))+IF(AO$4="X",VLOOKUP(AO$10,'VK-Võrgud'!$C:$X,2+$F87,0))</f>
        <v>12.16</v>
      </c>
      <c r="AP87" s="209">
        <f>IF(AP$7="X",VLOOKUP(AP$10,'VK-Hooned-Soojus'!$C:$X,2+$C87,FALSE),0)+IF(AP$6="X",VLOOKUP(AP$10,'VK-Transport'!$C:$X,2+$B87,0))+IF(AP$8="X",VLOOKUP(AP$10,'VK-Elekter'!$C:$X,2+$D87,0))+IF(AP$9="X",VLOOKUP(AP$10,'VK-Biokütused'!$C:$U,2+$E87,0))+IF(AP$5="X",VLOOKUP(AP$10,'VK-Põlevkivi'!$C:$X,2+$G87,0))+IF(AP$4="X",VLOOKUP(AP$10,'VK-Võrgud'!$C:$X,2+$F87,0))</f>
        <v>6.08</v>
      </c>
      <c r="AQ87" s="320">
        <f t="shared" si="61"/>
        <v>0</v>
      </c>
      <c r="AR87" s="209">
        <f>IF(AR$7="X",VLOOKUP(AR$10,'VK-Hooned-Soojus'!$C:$X,2+$C87,FALSE),0)+IF(AR$6="X",VLOOKUP(AR$10,'VK-Transport'!$C:$X,2+$B87,0))+IF(AR$8="X",VLOOKUP(AR$10,'VK-Elekter'!$C:$X,2+$D87,0))+IF(AR$9="X",VLOOKUP(AR$10,'VK-Biokütused'!$C:$U,2+$E87,0))+IF(AR$5="X",VLOOKUP(AR$10,'VK-Põlevkivi'!$C:$X,2+$G87,0))+IF(AR$4="X",VLOOKUP(AR$10,'VK-Võrgud'!$C:$X,2+$F87,0))</f>
        <v>2.3899999999999997</v>
      </c>
      <c r="AS87" s="320">
        <f>VLOOKUP("Kütuste tarbimine @ 2030 - UTTEGAAS",'VK-Hooned-Soojus'!$C:$X,2+$C87,FALSE)/0.172+VLOOKUP("Kütuste tarbimine @ 2030 - UTTEGAAS",'VK-Elekter'!$C:$X,2+$D87,FALSE)/0.172-AR87-AU87</f>
        <v>2.8565116279069773</v>
      </c>
      <c r="AT87" s="209">
        <f>IF(AT$7="X",VLOOKUP(AT$10,'VK-Hooned-Soojus'!$C:$X,2+$C87,FALSE),0)+IF(AT$6="X",VLOOKUP(AT$10,'VK-Transport'!$C:$X,2+$B87,0))+IF(AT$8="X",VLOOKUP(AT$10,'VK-Elekter'!$C:$X,2+$D87,0))+IF(AT$9="X",VLOOKUP(AT$10,'VK-Biokütused'!$C:$U,2+$E87,0))+IF(AT$5="X",VLOOKUP(AT$10,'VK-Põlevkivi'!$C:$X,2+$G87,0))+IF(AT$4="X",VLOOKUP(AT$10,'VK-Võrgud'!$C:$X,2+$F87,0))</f>
        <v>9.2784458909544707</v>
      </c>
      <c r="AU87" s="229">
        <f>MAX(0,(VLOOKUP("Kütuste tarbimine @ 2030 - UTTEGAAS",'VK-Hooned-Soojus'!$C:$X,2+$C87,FALSE)/0.172+VLOOKUP("Kütuste tarbimine @ 2030 - UTTEGAAS",'VK-Elekter'!$C:$X,2+$D87,FALSE)/0.172)*0.52-VLOOKUP("Kütuste tarbimine @ 2030 - PÕLEVKIVIÕLI",'VK-Hooned-Soojus'!$C:$X,2+$C87,FALSE))</f>
        <v>5.6837209302325586</v>
      </c>
      <c r="AV87" s="209">
        <f>IF(AV$7="X",VLOOKUP(AV$10,'VK-Hooned-Soojus'!$C:$X,2+$C87,FALSE),0)+IF(AV$6="X",VLOOKUP(AV$10,'VK-Transport'!$C:$X,2+$B87,0))+IF(AV$8="X",VLOOKUP(AV$10,'VK-Elekter'!$C:$X,2+$D87,0))+IF(AV$9="X",VLOOKUP(AV$10,'VK-Biokütused'!$C:$U,2+$E87,0))+IF(AV$5="X",VLOOKUP(AV$10,'VK-Põlevkivi'!$C:$X,2+$G87,0))+IF(AV$4="X",VLOOKUP(AV$10,'VK-Võrgud'!$C:$X,2+$F87,0))</f>
        <v>1.7257321590343366</v>
      </c>
      <c r="AW87" s="209">
        <f>IF(AW$7="X",VLOOKUP(AW$10,'VK-Hooned-Soojus'!$C:$X,2+$C87,FALSE),0)+IF(AW$6="X",VLOOKUP(AW$10,'VK-Transport'!$C:$X,2+$B87,0))+IF(AW$8="X",VLOOKUP(AW$10,'VK-Elekter'!$C:$X,2+$D87,0))+IF(AW$9="X",VLOOKUP(AW$10,'VK-Biokütused'!$C:$U,2+$E87,0))+IF(AW$5="X",VLOOKUP(AW$10,'VK-Põlevkivi'!$C:$X,2+$G87,0))+IF(AW$4="X",VLOOKUP(AW$10,'VK-Võrgud'!$C:$X,2+$F87,0))</f>
        <v>2.141</v>
      </c>
      <c r="AX87" s="229">
        <f t="shared" si="62"/>
        <v>0.41526784096566338</v>
      </c>
      <c r="AY87" s="229">
        <f t="shared" si="63"/>
        <v>0</v>
      </c>
      <c r="AZ87" s="230">
        <f t="shared" si="48"/>
        <v>0.54643019041139074</v>
      </c>
      <c r="BA87" s="209">
        <f>IF(BA$7="X",VLOOKUP(BA$10,'VK-Hooned-Soojus'!$C:$X,2+$C87,FALSE),0)+IF(BA$6="X",VLOOKUP(BA$10,'VK-Transport'!$C:$X,2+$B87,0))+IF(BA$8="X",VLOOKUP(BA$10,'VK-Elekter'!$C:$X,2+$D87,0))+IF(BA$9="X",VLOOKUP(BA$10,'VK-Biokütused'!$C:$U,2+$E87,0))+IF(BA$5="X",VLOOKUP(BA$10,'VK-Põlevkivi'!$C:$X,2+$G87,0))+IF(BA$4="X",VLOOKUP(BA$10,'VK-Võrgud'!$C:$X,2+$F87,0))</f>
        <v>4.25</v>
      </c>
      <c r="BB87" s="209">
        <f>IF(BB$7="X",VLOOKUP(BB$10,'VK-Hooned-Soojus'!$C:$X,2+$C87,FALSE),0)+IF(BB$6="X",VLOOKUP(BB$10,'VK-Transport'!$C:$X,2+$B87,0))+IF(BB$8="X",VLOOKUP(BB$10,'VK-Elekter'!$C:$X,2+$D87,0))+IF(BB$9="X",VLOOKUP(BB$10,'VK-Biokütused'!$C:$U,2+$E87,0))+IF(BB$5="X",VLOOKUP(BB$10,'VK-Põlevkivi'!$C:$X,2+$G87,0))+IF(BB$4="X",VLOOKUP(BB$10,'VK-Võrgud'!$C:$X,2+$F87,0))</f>
        <v>2.93</v>
      </c>
      <c r="BC87" s="209">
        <f>IF(BC$7="X",VLOOKUP(BC$10,'VK-Hooned-Soojus'!$C:$X,2+$C87,FALSE),0)+IF(BC$6="X",VLOOKUP(BC$10,'VK-Transport'!$C:$X,2+$B87,0))+IF(BC$8="X",VLOOKUP(BC$10,'VK-Elekter'!$C:$X,2+$D87,0))+IF(BC$9="X",VLOOKUP(BC$10,'VK-Biokütused'!$C:$U,2+$E87,0))+IF(BC$5="X",VLOOKUP(BC$10,'VK-Põlevkivi'!$C:$X,2+$G87,0))+IF(BC$4="X",VLOOKUP(BC$10,'VK-Võrgud'!$C:$X,2+$F87,0))</f>
        <v>5.2376666666666667</v>
      </c>
      <c r="BD87" s="209">
        <f>IF(BD$7="X",VLOOKUP(BD$10,'VK-Hooned-Soojus'!$C:$X,2+$C87,FALSE),0)+IF(BD$6="X",VLOOKUP(BD$10,'VK-Transport'!$C:$X,2+$B87,0))+IF(BD$8="X",VLOOKUP(BD$10,'VK-Elekter'!$C:$X,2+$D87,0))+IF(BD$9="X",VLOOKUP(BD$10,'VK-Biokütused'!$C:$U,2+$E87,0))+IF(BD$5="X",VLOOKUP(BD$10,'VK-Põlevkivi'!$C:$X,2+$G87,0))+IF(BD$4="X",VLOOKUP(BD$10,'VK-Võrgud'!$C:$X,2+$F87,0))</f>
        <v>9.1105555555555569</v>
      </c>
      <c r="BE87" s="230"/>
      <c r="BF87" s="229">
        <f t="shared" si="64"/>
        <v>0.33424065071890413</v>
      </c>
      <c r="BG87" s="209" t="e">
        <f>(IF(BG$7="X",VLOOKUP(BG$10,'VK-Hooned-Soojus'!$C:$X,2+$C87,FALSE),0)+IF(BG$6="X",VLOOKUP(BG$10,'VK-Transport'!$C:$X,2+$B87,0))+IF(BG$8="X",VLOOKUP(BG$10,'VK-Elekter'!$C:$X,2+$D87,0))+IF(BG$9="X",VLOOKUP(BG$10,'VK-Biokütused'!$C:$U,2+$E87,0))+IF(BG$5="X",VLOOKUP(BG$10,'VK-Põlevkivi'!$C:$X,2+$G87,0))+IF(BG$4="X",VLOOKUP(BG$10,'VK-Võrgud'!$C:$X,2+$F87,0)))/20</f>
        <v>#N/A</v>
      </c>
      <c r="BH87" s="209">
        <f>(IF(BH$7="X",VLOOKUP(BH$10,'VK-Hooned-Soojus'!$C:$X,2+$C87,FALSE),0)+IF(BH$6="X",VLOOKUP(BH$10,'VK-Transport'!$C:$X,2+$B87,0))+IF(BH$8="X",VLOOKUP(BH$10,'VK-Elekter'!$C:$X,2+$D87,0))+IF(BH$9="X",VLOOKUP(BH$10,'VK-Biokütused'!$C:$U,2+$E87,0))+IF(BH$5="X",VLOOKUP(BH$10,'VK-Põlevkivi'!$C:$X,2+$G87,0))+IF(BH$4="X",VLOOKUP(BH$10,'VK-Võrgud'!$C:$X,2+$F87,0)))/20</f>
        <v>84.204999999999998</v>
      </c>
      <c r="BI87" s="209">
        <f>(IF(BI$7="X",VLOOKUP(BI$10,'VK-Hooned-Soojus'!$C:$X,2+$C87,FALSE),0)+IF(BI$6="X",VLOOKUP(BI$10,'VK-Transport'!$C:$X,2+$B87,0))+IF(BI$8="X",VLOOKUP(BI$10,'VK-Elekter'!$C:$X,2+$D87,0))+IF(BI$9="X",VLOOKUP(BI$10,'VK-Biokütused'!$C:$U,2+$E87,0))+IF(BI$5="X",VLOOKUP(BI$10,'VK-Põlevkivi'!$C:$X,2+$G87,0))+IF(BI$4="X",VLOOKUP(BI$10,'VK-Võrgud'!$C:$X,2+$F87,0)))/16</f>
        <v>8.9375</v>
      </c>
      <c r="BJ87" s="209">
        <f>(IF(BJ$7="X",VLOOKUP(BJ$10,'VK-Hooned-Soojus'!$C:$X,2+$C87,FALSE),0)+IF(BJ$6="X",VLOOKUP(BJ$10,'VK-Transport'!$C:$X,2+$B87,0))+IF(BJ$8="X",VLOOKUP(BJ$10,'VK-Elekter'!$C:$X,2+$D87,0))+IF(BJ$9="X",VLOOKUP(BJ$10,'VK-Biokütused'!$C:$U,2+$E87,0))+IF(BJ$5="X",VLOOKUP(BJ$10,'VK-Põlevkivi'!$C:$X,2+$G87,0))+IF(BJ$4="X",VLOOKUP(BJ$10,'VK-Võrgud'!$C:$X,2+$F87,0)))/20</f>
        <v>5.33</v>
      </c>
      <c r="BK87" s="209"/>
      <c r="BL87" s="209"/>
      <c r="BM87" s="209"/>
      <c r="BN87" s="209" t="e">
        <f>(IF(BN$7="X",VLOOKUP(BN$10,'VK-Hooned-Soojus'!$C:$X,2+$C87,FALSE),0)+IF(BN$6="X",VLOOKUP(BN$10,'VK-Transport'!$C:$X,2+$B87,0))+IF(BN$8="X",VLOOKUP(BN$10,'VK-Elekter'!$C:$X,2+$D87,0))+IF(BN$9="X",VLOOKUP(BN$10,'VK-Biokütused'!$C:$U,2+$E87,0))+IF(BN$5="X",VLOOKUP(BN$10,'VK-Põlevkivi'!$C:$X,2+$G87,0))+IF(BN$4="X",VLOOKUP(BN$10,'VK-Võrgud'!$C:$X,2+$F87,0)))/16</f>
        <v>#N/A</v>
      </c>
      <c r="BO87" s="209">
        <f>(IF(BO$7="X",VLOOKUP(BO$10,'VK-Hooned-Soojus'!$C:$X,2+$C87,FALSE),0)+IF(BO$6="X",VLOOKUP(BO$10,'VK-Transport'!$C:$X,2+$B87,0))+IF(BO$8="X",VLOOKUP(BO$10,'VK-Elekter'!$C:$X,2+$D87,0))+IF(BO$9="X",VLOOKUP(BO$10,'VK-Biokütused'!$C:$U,2+$E87,0))+IF(BO$5="X",VLOOKUP(BO$10,'VK-Põlevkivi'!$C:$X,2+$G87,0))+IF(BO$4="X",VLOOKUP(BO$10,'VK-Võrgud'!$C:$X,2+$F87,0)))/16</f>
        <v>405.45</v>
      </c>
      <c r="BP87" s="209"/>
      <c r="BQ87" s="209">
        <f>(IF(BQ$7="X",VLOOKUP(BQ$10,'VK-Hooned-Soojus'!$C:$X,2+$C87,FALSE),0)+IF(BQ$6="X",VLOOKUP(BQ$10,'VK-Transport'!$C:$X,2+$B87,0))+IF(BQ$8="X",VLOOKUP(BQ$10,'VK-Elekter'!$C:$X,2+$D87,0))+IF(BQ$9="X",VLOOKUP(BQ$10,'VK-Biokütused'!$C:$U,2+$E87,0))+IF(BQ$5="X",VLOOKUP(BQ$10,'VK-Põlevkivi'!$C:$X,2+$G87,0))+IF(BQ$4="X",VLOOKUP(BQ$10,'VK-Võrgud'!$C:$X,2+$F87,0)))/16</f>
        <v>127.6</v>
      </c>
      <c r="BR87" s="209">
        <f>(IF(BR$7="X",VLOOKUP(BR$10,'VK-Hooned-Soojus'!$C:$X,2+$C87,FALSE),0)+IF(BR$6="X",VLOOKUP(BR$10,'VK-Transport'!$C:$X,2+$B87,0))+IF(BR$8="X",VLOOKUP(BR$10,'VK-Elekter'!$C:$X,2+$D87,0))+IF(BR$9="X",VLOOKUP(BR$10,'VK-Biokütused'!$C:$U,2+$E87,0))+IF(BR$5="X",VLOOKUP(BR$10,'VK-Põlevkivi'!$C:$X,2+$G87,0))+IF(BR$4="X",VLOOKUP(BR$10,'VK-Võrgud'!$C:$X,2+$F87,0)))/16</f>
        <v>27.475000000000001</v>
      </c>
      <c r="BS87" s="209">
        <f>(IF(BS$7="X",VLOOKUP(BS$10,'VK-Hooned-Soojus'!$C:$X,2+$C87,FALSE),0)+IF(BS$6="X",VLOOKUP(BS$10,'VK-Transport'!$C:$X,2+$B87,0))+IF(BS$8="X",VLOOKUP(BS$10,'VK-Elekter'!$C:$X,2+$D87,0))+IF(BS$9="X",VLOOKUP(BS$10,'VK-Biokütused'!$C:$U,2+$E87,0))+IF(BS$5="X",VLOOKUP(BS$10,'VK-Põlevkivi'!$C:$X,2+$G87,0))+IF(BS$4="X",VLOOKUP(BS$10,'VK-Võrgud'!$C:$X,2+$F87,0)))/16</f>
        <v>-23.293749999999999</v>
      </c>
      <c r="BT87" s="209"/>
      <c r="BU87" s="209"/>
      <c r="BV87" s="209">
        <f>(IF(BV$7="X",VLOOKUP(BV$10,'VK-Hooned-Soojus'!$C:$X,2+$C87,FALSE),0)+IF(BV$6="X",VLOOKUP(BV$10,'VK-Transport'!$C:$X,2+$B87,0))+IF(BV$8="X",VLOOKUP(BV$10,'VK-Elekter'!$C:$X,2+$D87,0))+IF(BV$9="X",VLOOKUP(BV$10,'VK-Biokütused'!$C:$U,2+$E87,0))+IF(BV$5="X",VLOOKUP(BV$10,'VK-Põlevkivi'!$C:$X,2+$G87,0))+IF(BV$4="X",VLOOKUP(BV$10,'VK-Võrgud'!$C:$X,2+$F87,0)))/16</f>
        <v>0</v>
      </c>
      <c r="BW87" s="209"/>
      <c r="BX87" s="209">
        <f>(IF(BX$7="X",VLOOKUP(BX$10,'VK-Hooned-Soojus'!$C:$X,2+$C87,FALSE),0)+IF(BX$6="X",VLOOKUP(BX$10,'VK-Transport'!$C:$X,2+$B87,0))+IF(BX$8="X",VLOOKUP(BX$10,'VK-Elekter'!$C:$X,2+$D87,0))+IF(BX$9="X",VLOOKUP(BX$10,'VK-Biokütused'!$C:$U,2+$E87,0))+IF(BX$5="X",VLOOKUP(BX$10,'VK-Põlevkivi'!$C:$X,2+$G87,0))+IF(BX$4="X",VLOOKUP(BX$10,'VK-Võrgud'!$C:$X,2+$F87,0)))/16</f>
        <v>-99.6875</v>
      </c>
      <c r="BY87" s="209"/>
      <c r="BZ87" s="209"/>
      <c r="CA87" s="209" t="e">
        <f>(IF(CA$7="X",VLOOKUP(CA$10,'VK-Hooned-Soojus'!$C:$X,2+$C87,FALSE),0)+IF(CA$6="X",VLOOKUP(CA$10,'VK-Transport'!$C:$X,2+$B87,0))+IF(CA$8="X",VLOOKUP(CA$10,'VK-Elekter'!$C:$X,2+$D87,0))+IF(CA$9="X",VLOOKUP(CA$10,'VK-Biokütused'!$C:$U,2+$E87,0))+IF(CA$5="X",VLOOKUP(CA$10,'VK-Põlevkivi'!$C:$X,2+$G87,0))+IF(CA$4="X",VLOOKUP(CA$10,'VK-Võrgud'!$C:$X,2+$F87,0)))/16</f>
        <v>#N/A</v>
      </c>
      <c r="CB87" s="209">
        <f>(IF(CB$7="X",VLOOKUP(CB$10,'VK-Hooned-Soojus'!$C:$X,2+$C87,FALSE),0)+IF(CB$6="X",VLOOKUP(CB$10,'VK-Transport'!$C:$X,2+$B87,0))+IF(CB$8="X",VLOOKUP(CB$10,'VK-Elekter'!$C:$X,2+$D87,0))+IF(CB$9="X",VLOOKUP(CB$10,'VK-Biokütused'!$C:$U,2+$E87,0))+IF(CB$5="X",VLOOKUP(CB$10,'VK-Põlevkivi'!$C:$X,2+$G87,0))+IF(CB$4="X",VLOOKUP(CB$10,'VK-Võrgud'!$C:$X,2+$F87,0)))/16</f>
        <v>0</v>
      </c>
      <c r="CC87" s="209">
        <f>(IF(CC$7="X",VLOOKUP(CC$10,'VK-Hooned-Soojus'!$C:$X,2+$C87,FALSE),0)+IF(CC$6="X",VLOOKUP(CC$10,'VK-Transport'!$C:$X,2+$B87,0))+IF(CC$8="X",VLOOKUP(CC$10,'VK-Elekter'!$C:$X,2+$D87,0))+IF(CC$9="X",VLOOKUP(CC$10,'VK-Biokütused'!$C:$U,2+$E87,0))+IF(CC$5="X",VLOOKUP(CC$10,'VK-Põlevkivi'!$C:$X,2+$G87,0))+IF(CC$4="X",VLOOKUP(CC$10,'VK-Võrgud'!$C:$X,2+$F87,0)))/16</f>
        <v>0</v>
      </c>
      <c r="CD87" s="209"/>
      <c r="CE87" s="209">
        <f>(IF(CE$7="X",VLOOKUP(CE$10,'VK-Hooned-Soojus'!$C:$X,2+$C87,FALSE),0)+IF(CE$6="X",VLOOKUP(CE$10,'VK-Transport'!$C:$X,2+$B87,0))+IF(CE$8="X",VLOOKUP(CE$10,'VK-Elekter'!$C:$X,2+$D87,0))+IF(CE$9="X",VLOOKUP(CE$10,'VK-Biokütused'!$C:$U,2+$E87,0))+IF(CE$5="X",VLOOKUP(CE$10,'VK-Põlevkivi'!$C:$X,2+$G87,0))+IF(CE$4="X",VLOOKUP(CE$10,'VK-Võrgud'!$C:$X,2+$F87,0)))/16</f>
        <v>24.15625</v>
      </c>
      <c r="CF87" s="209"/>
      <c r="CG87" s="209">
        <f>(IF(CG$7="X",VLOOKUP(CG$10,'VK-Hooned-Soojus'!$C:$X,2+$C87,FALSE),0)+IF(CG$6="X",VLOOKUP(CG$10,'VK-Transport'!$C:$X,2+$B87,0))+IF(CG$8="X",VLOOKUP(CG$10,'VK-Elekter'!$C:$X,2+$D87,0))+IF(CG$9="X",VLOOKUP(CG$10,'VK-Biokütused'!$C:$U,2+$E87,0))+IF(CG$5="X",VLOOKUP(CG$10,'VK-Põlevkivi'!$C:$X,2+$G87,0))+IF(CG$4="X",VLOOKUP(CG$10,'VK-Võrgud'!$C:$X,2+$F87,0)))/16</f>
        <v>0</v>
      </c>
      <c r="CH87" s="209">
        <f>(IF(CH$7="X",VLOOKUP(CH$10,'VK-Hooned-Soojus'!$C:$X,2+$C87,FALSE),0)+IF(CH$6="X",VLOOKUP(CH$10,'VK-Transport'!$C:$X,2+$B87,0))+IF(CH$8="X",VLOOKUP(CH$10,'VK-Elekter'!$C:$X,2+$D87,0))+IF(CH$9="X",VLOOKUP(CH$10,'VK-Biokütused'!$C:$U,2+$E87,0))+IF(CH$5="X",VLOOKUP(CH$10,'VK-Põlevkivi'!$C:$X,2+$G87,0))+IF(CH$4="X",VLOOKUP(CH$10,'VK-Võrgud'!$C:$X,2+$F87,0)))/20*0.21</f>
        <v>26.9178</v>
      </c>
      <c r="CI87" s="209"/>
      <c r="CJ87" s="209">
        <f>(IF(CJ$7="X",VLOOKUP(CJ$10,'VK-Hooned-Soojus'!$C:$X,2+$C87,FALSE),0)+IF(CJ$6="X",VLOOKUP(CJ$10,'VK-Transport'!$C:$X,2+$B87,0))+IF(CJ$8="X",VLOOKUP(CJ$10,'VK-Elekter'!$C:$X,2+$D87,0))+IF(CJ$9="X",VLOOKUP(CJ$10,'VK-Biokütused'!$C:$U,2+$E87,0))+IF(CJ$5="X",VLOOKUP(CJ$10,'VK-Põlevkivi'!$C:$X,2+$G87,0))+IF(CJ$4="X",VLOOKUP(CJ$10,'VK-Võrgud'!$C:$X,2+$F87,0)))/1000</f>
        <v>17.477</v>
      </c>
      <c r="CK87" s="209">
        <f>(IF(CK$7="X",VLOOKUP(CK$10,'VK-Hooned-Soojus'!$C:$X,2+$C87,FALSE),0)+IF(CK$6="X",VLOOKUP(CK$10,'VK-Transport'!$C:$X,2+$B87,0))+IF(CK$8="X",VLOOKUP(CK$10,'VK-Elekter'!$C:$X,2+$D87,0))+IF(CK$9="X",VLOOKUP(CK$10,'VK-Biokütused'!$C:$U,2+$E87,0))+IF(CK$5="X",VLOOKUP(CK$10,'VK-Põlevkivi'!$C:$X,2+$G87,0))+IF(CK$4="X",VLOOKUP(CK$10,'VK-Võrgud'!$C:$X,2+$F87,0)))/1000</f>
        <v>11.223743209992719</v>
      </c>
      <c r="CL87" s="235">
        <f>(IF(CL$7="X",VLOOKUP(CL$10,'VK-Hooned-Soojus'!$C:$X,2+$C87,FALSE),0)+IF(CL$6="X",VLOOKUP(CL$10,'VK-Transport'!$C:$X,2+$B87,0))+IF(CL$8="X",VLOOKUP(CL$10,'VK-Elekter'!$C:$X,2+$D87,0))+IF(CL$9="X",VLOOKUP(CL$10,'VK-Biokütused'!$C:$U,2+$E87,0)))/1000</f>
        <v>8.07628955972379</v>
      </c>
      <c r="CM87" s="209">
        <f>(IF(CM$7="X",VLOOKUP(CM$10,'VK-Hooned-Soojus'!$C:$X,2+$C87,FALSE),0)+IF(CM$6="X",VLOOKUP(CM$10,'VK-Transport'!$C:$X,2+$B87,0))+IF(CM$8="X",VLOOKUP(CM$10,'VK-Elekter'!$C:$X,2+$D87,0))+IF(CM$9="X",VLOOKUP(CM$10,'VK-Biokütused'!$C:$U,2+$E87,0))+IF(CM$5="X",VLOOKUP(CM$10,'VK-Põlevkivi'!$C:$X,2+$G87,0))+IF(CM$4="X",VLOOKUP(CM$10,'VK-Võrgud'!$C:$X,2+$F87,0)))/1000</f>
        <v>7.5869999999999997</v>
      </c>
      <c r="CN87" s="209">
        <f>(IF(CN$7="X",VLOOKUP(CN$10,'VK-Hooned-Soojus'!$C:$X,2+$C87,FALSE),0)+IF(CN$6="X",VLOOKUP(CN$10,'VK-Transport'!$C:$X,2+$B87,0))+IF(CN$8="X",VLOOKUP(CN$10,'VK-Elekter'!$C:$X,2+$D87,0))+IF(CN$9="X",VLOOKUP(CN$10,'VK-Biokütused'!$C:$U,2+$E87,0))+IF(CN$5="X",VLOOKUP(CN$10,'VK-Põlevkivi'!$C:$X,2+$G87,0))+IF(CN$4="X",VLOOKUP(CN$10,'VK-Võrgud'!$C:$X,2+$F87,0)))/1000</f>
        <v>2.8980000000000001</v>
      </c>
      <c r="CO87" s="209">
        <f>(IF(CO$7="X",VLOOKUP(CO$10,'VK-Hooned-Soojus'!$C:$X,2+$C87,FALSE),0)+IF(CO$6="X",VLOOKUP(CO$10,'VK-Transport'!$C:$X,2+$B87,0))+IF(CO$8="X",VLOOKUP(CO$10,'VK-Elekter'!$C:$X,2+$D87,0))+IF(CO$9="X",VLOOKUP(CO$10,'VK-Biokütused'!$C:$U,2+$E87,0))+IF(CO$5="X",VLOOKUP(CO$10,'VK-Põlevkivi'!$C:$X,2+$G87,0))+IF(CO$4="X",VLOOKUP(CO$10,'VK-Võrgud'!$C:$X,2+$F87,0)))/1000</f>
        <v>23.833575210797282</v>
      </c>
      <c r="CP87" s="209">
        <f>(IF(CP$7="X",VLOOKUP(CP$10,'VK-Hooned-Soojus'!$C:$X,2+$C87,FALSE),0)+IF(CP$6="X",VLOOKUP(CP$10,'VK-Transport'!$C:$X,2+$B87,0))+IF(CP$8="X",VLOOKUP(CP$10,'VK-Elekter'!$C:$X,2+$D87,0))+IF(CP$9="X",VLOOKUP(CP$10,'VK-Biokütused'!$C:$U,2+$E87,0))+IF(CP$5="X",VLOOKUP(CP$10,'VK-Põlevkivi'!$C:$X,2+$G87,0))+IF(CP$4="X",VLOOKUP(CP$10,'VK-Võrgud'!$C:$X,2+$F87,0)))/1000</f>
        <v>13.405994830349824</v>
      </c>
      <c r="CQ87" s="235">
        <f>(IF(CQ$7="X",VLOOKUP(CQ$10,'VK-Hooned-Soojus'!$C:$X,2+$C87,FALSE),0)+IF(CQ$6="X",VLOOKUP(CQ$10,'VK-Transport'!$C:$X,2+$B87,0))+IF(CQ$8="X",VLOOKUP(CQ$10,'VK-Elekter'!$C:$X,2+$D87,0))+IF(CQ$9="X",VLOOKUP(CQ$10,'VK-Biokütused'!$C:$U,2+$E87,0)))/1000</f>
        <v>10.527346</v>
      </c>
      <c r="CR87" s="209">
        <f>(IF(CR$7="X",VLOOKUP(CR$10,'VK-Hooned-Soojus'!$C:$X,2+$C87,FALSE),0)+IF(CR$6="X",VLOOKUP(CR$10,'VK-Transport'!$C:$X,2+$B87,0))+IF(CR$8="X",VLOOKUP(CR$10,'VK-Elekter'!$C:$X,2+$D87,0))+IF(CR$9="X",VLOOKUP(CR$10,'VK-Biokütused'!$C:$U,2+$E87,0))+IF(CR$5="X",VLOOKUP(CR$10,'VK-Põlevkivi'!$C:$X,2+$G87,0))+IF(CR$4="X",VLOOKUP(CR$10,'VK-Võrgud'!$C:$X,2+$F87,0)))/1000</f>
        <v>7.6910872784575748</v>
      </c>
      <c r="CS87" s="209">
        <f>(IF(CS$7="X",VLOOKUP(CS$10,'VK-Hooned-Soojus'!$C:$X,2+$C87,FALSE),0)+IF(CS$6="X",VLOOKUP(CS$10,'VK-Transport'!$C:$X,2+$B87,0))+IF(CS$8="X",VLOOKUP(CS$10,'VK-Elekter'!$C:$X,2+$D87,0))+IF(CS$9="X",VLOOKUP(CS$10,'VK-Biokütused'!$C:$U,2+$E87,0))+IF(CS$5="X",VLOOKUP(CS$10,'VK-Põlevkivi'!$C:$X,2+$G87,0))+IF(CS$4="X",VLOOKUP(CS$10,'VK-Võrgud'!$C:$X,2+$F87,0)))/1000</f>
        <v>3.7943344900598324</v>
      </c>
      <c r="CT87" s="209">
        <f>IF(CT$7="X",VLOOKUP(CT$10,'VK-Hooned-Soojus'!$C:$X,2+$C87,FALSE),0)+IF(CT$6="X",VLOOKUP(CT$10,'VK-Transport'!$C:$X,2+$B87,0))+IF(CT$8="X",VLOOKUP(CT$10,'VK-Elekter'!$C:$X,2+$D87,0))+IF(CT$9="X",VLOOKUP(CT$10,'VK-Biokütused'!$C:$U,2+$E87,0))+IF(CT$5="X",VLOOKUP(CT$10,'VK-Põlevkivi'!$C:$X,2+$G87,0))+IF(CT$4="X",VLOOKUP(CT$10,'VK-Võrgud'!$C:$X,2+$F87,0))</f>
        <v>90</v>
      </c>
      <c r="CU87" s="209">
        <f>IF(CU$7="X",VLOOKUP(CU$10,'VK-Hooned-Soojus'!$C:$X,2+$C87,FALSE),0)+IF(CU$6="X",VLOOKUP(CU$10,'VK-Transport'!$C:$X,2+$B87,0))+IF(CU$8="X",VLOOKUP(CU$10,'VK-Elekter'!$C:$X,2+$D87,0))+IF(CU$9="X",VLOOKUP(CU$10,'VK-Biokütused'!$C:$U,2+$E87,0))+IF(CU$5="X",VLOOKUP(CU$10,'VK-Põlevkivi'!$C:$X,2+$G87,0))+IF(CU$4="X",VLOOKUP(CU$10,'VK-Võrgud'!$C:$X,2+$F87,0))</f>
        <v>0.72088353413654627</v>
      </c>
      <c r="CV87" s="209">
        <f t="shared" si="49"/>
        <v>0.84317482403548605</v>
      </c>
      <c r="CW87" s="209">
        <f>(IF(CW$7="X",VLOOKUP(CW$10,'VK-Hooned-Soojus'!$C:$X,2+$C87,FALSE),0)+IF(CW$6="X",VLOOKUP(CW$10,'VK-Transport'!$C:$X,2+$B87,0))+IF(CW$8="X",VLOOKUP(CW$10,'VK-Elekter'!$C:$X,2+$D87,0))+IF(CW$9="X",VLOOKUP(CW$10,'VK-Biokütused'!$C:$U,2+$E87,0))+IF(CW$5="X",VLOOKUP(CW$10,'VK-Põlevkivi'!$C:$X,2+$G87,0))+IF(CW$4="X",VLOOKUP(CW$10,'VK-Võrgud'!$C:$X,2+$F87,0)))/16</f>
        <v>59.743749999999999</v>
      </c>
      <c r="CY87" s="209">
        <f>(IF(CY$7="X",VLOOKUP(CY$10,'VK-Hooned-Soojus'!$C:$X,2+$C87,FALSE),0)+IF(CY$6="X",VLOOKUP(CY$10,'VK-Transport'!$C:$X,2+$B87,0))+IF(CY$8="X",VLOOKUP(CY$10,'VK-Elekter'!$C:$X,2+$D87,0))+IF(CY$9="X",VLOOKUP(CY$10,'VK-Biokütused'!$C:$U,2+$E87,0))+IF(CY$5="X",VLOOKUP(CY$10,'VK-Põlevkivi'!$C:$X,2+$G87,0))+IF(CY$4="X",VLOOKUP(CY$10,'VK-Võrgud'!$C:$X,2+$F87,0)))/1000</f>
        <v>10.304</v>
      </c>
      <c r="CZ87" s="209">
        <f>(IF(CZ$7="X",VLOOKUP(CZ$10,'VK-Hooned-Soojus'!$C:$X,2+$C87,FALSE),0)+IF(CZ$6="X",VLOOKUP(CZ$10,'VK-Transport'!$C:$X,2+$B87,0))+IF(CZ$8="X",VLOOKUP(CZ$10,'VK-Elekter'!$C:$X,2+$D87,0))+IF(CZ$9="X",VLOOKUP(CZ$10,'VK-Biokütused'!$C:$U,2+$E87,0))+IF(CZ$5="X",VLOOKUP(CZ$10,'VK-Põlevkivi'!$C:$X,2+$G87,0))+IF(CZ$4="X",VLOOKUP(CZ$10,'VK-Võrgud'!$C:$X,2+$F87,0)))</f>
        <v>69.400000000000006</v>
      </c>
      <c r="DA87" s="209">
        <f>(IF(DA$7="X",VLOOKUP(DA$10,'VK-Hooned-Soojus'!$C:$X,2+$C87,FALSE),0)+IF(DA$6="X",VLOOKUP(DA$10,'VK-Transport'!$C:$X,2+$B87,0))+IF(DA$8="X",VLOOKUP(DA$10,'VK-Elekter'!$C:$X,2+$D87,0))+IF(DA$9="X",VLOOKUP(DA$10,'VK-Biokütused'!$C:$U,2+$E87,0))+IF(DA$5="X",VLOOKUP(DA$10,'VK-Põlevkivi'!$C:$X,2+$G87,0))+IF(DA$4="X",VLOOKUP(DA$10,'VK-Võrgud'!$C:$X,2+$F87,0)))/1000</f>
        <v>13.869</v>
      </c>
      <c r="DB87" s="209">
        <f>(IF(DB$7="X",VLOOKUP(DB$10,'VK-Hooned-Soojus'!$C:$X,2+$C87,FALSE),0)+IF(DB$6="X",VLOOKUP(DB$10,'VK-Transport'!$C:$X,2+$B87,0))+IF(DB$8="X",VLOOKUP(DB$10,'VK-Elekter'!$C:$X,2+$D87,0))+IF(DB$9="X",VLOOKUP(DB$10,'VK-Biokütused'!$C:$U,2+$E87,0))+IF(DB$5="X",VLOOKUP(DB$10,'VK-Põlevkivi'!$C:$X,2+$G87,0))+IF(DB$4="X",VLOOKUP(DB$10,'VK-Võrgud'!$C:$X,2+$F87,0)))/1000/3.6</f>
        <v>61.589166666666664</v>
      </c>
      <c r="DC87" s="209">
        <f>(IF(DC$7="X",VLOOKUP(DC$10,'VK-Hooned-Soojus'!$C:$X,2+$C87,FALSE),0)+IF(DC$6="X",VLOOKUP(DC$10,'VK-Transport'!$C:$X,2+$B87,0))+IF(DC$8="X",VLOOKUP(DC$10,'VK-Elekter'!$C:$X,2+$D87,0))+IF(DC$9="X",VLOOKUP(DC$10,'VK-Biokütused'!$C:$U,2+$E87,0))+IF(DC$5="X",VLOOKUP(DC$10,'VK-Põlevkivi'!$C:$X,2+$G87,0))+IF(DC$4="X",VLOOKUP(DC$10,'VK-Võrgud'!$C:$X,2+$F87,0)))/1000000</f>
        <v>4.9395540000000002</v>
      </c>
      <c r="DD87" s="209"/>
      <c r="DE87" s="88">
        <f>VLOOKUP(Tulemused!$BN$12,data!M$7:N$12,2,FALSE)-SUM(L87,M87)</f>
        <v>-0.77386666666667736</v>
      </c>
      <c r="DF87" s="209" t="str">
        <f>IF(AZ87&lt;=VLOOKUP(Tulemused!$BN$15,data!$E$36:$F$39,2,FALSE),"JAH","EI")</f>
        <v>JAH</v>
      </c>
      <c r="DG87" s="209"/>
      <c r="DH87" s="209">
        <f t="shared" si="50"/>
        <v>6.08</v>
      </c>
      <c r="DI87" s="231" t="str">
        <f t="shared" si="65"/>
        <v>EI</v>
      </c>
      <c r="DK87" s="232">
        <f t="shared" si="51"/>
        <v>-995.74385249925331</v>
      </c>
      <c r="DM87" s="233">
        <f t="shared" si="52"/>
        <v>-995.36207263616438</v>
      </c>
      <c r="DN87" s="87">
        <f t="array" ref="DN87">INDEX($A$11:$A$145, SMALL(IF(DM87=$DK$11:$DK$145, MATCH(ROW($DK$11:$DK$145), ROW($DK$11:$DK$145))), SUM(--(DM87=$DM$11:DM87))))</f>
        <v>59</v>
      </c>
      <c r="DP87" s="87" t="e">
        <f t="shared" ca="1" si="66"/>
        <v>#N/A</v>
      </c>
      <c r="DQ87" s="87" t="e">
        <f t="shared" ca="1" si="67"/>
        <v>#N/A</v>
      </c>
      <c r="DR87" s="87">
        <f t="shared" ca="1" si="68"/>
        <v>0</v>
      </c>
      <c r="DS87" s="87" t="e">
        <f t="shared" ca="1" si="69"/>
        <v>#N/A</v>
      </c>
      <c r="DT87" s="87">
        <f t="shared" ca="1" si="70"/>
        <v>0</v>
      </c>
      <c r="DU87" s="87" t="e">
        <f t="shared" ca="1" si="71"/>
        <v>#N/A</v>
      </c>
      <c r="DV87" s="87" t="e">
        <f t="shared" ca="1" si="72"/>
        <v>#N/A</v>
      </c>
      <c r="DW87" s="87">
        <f t="shared" ca="1" si="73"/>
        <v>0</v>
      </c>
      <c r="DX87" s="87">
        <f t="shared" ca="1" si="74"/>
        <v>0</v>
      </c>
      <c r="DZ87" s="87">
        <f t="shared" ca="1" si="35"/>
        <v>0</v>
      </c>
      <c r="EB87" s="87">
        <f t="shared" ca="1" si="75"/>
        <v>0</v>
      </c>
      <c r="EC87" s="87" t="e">
        <f t="shared" ca="1" si="76"/>
        <v>#N/A</v>
      </c>
      <c r="EE87" s="228">
        <f>(IF(EE$7="X",VLOOKUP(EE$10,'VK-Hooned-Soojus'!$C:$X,2+$C87,FALSE),0)+IF(EE$6="X",VLOOKUP(EE$10,'VK-Transport'!$C:$X,2+$B87,0))+IF(EE$8="X",VLOOKUP(EE$10,'VK-Elekter'!$C:$X,2+$D87,0))+IF(EE$9="X",VLOOKUP(EE$10,'VK-Biokütused'!$C:$U,2+$E87,0))+IF(EE$5="X",VLOOKUP(EE$10,'VK-Põlevkivi'!$C:$X,2+$G87,0))+IF(EE$4="X",VLOOKUP(EE$10,'VK-Võrgud'!$C:$X,2+$F87,0)))</f>
        <v>7099.2852165992854</v>
      </c>
      <c r="EF87" s="235">
        <f>(IF(EF$7="X",VLOOKUP(EF$10,'VK-Hooned-Soojus'!$C:$X,2+$C87,FALSE),0)+IF(EF$6="X",VLOOKUP(EF$10,'VK-Transport'!$C:$X,2+$B87,0))+IF(EF$8="X",VLOOKUP(EF$10,'VK-Elekter'!$C:$X,2+$D87,0))+IF(EF$9="X",VLOOKUP(EF$10,'VK-Biokütused'!$C:$U,2+$E87,0)))/1000</f>
        <v>4.08638232712297</v>
      </c>
      <c r="EG87" s="209">
        <f>(IF(EG$7="X",VLOOKUP(EG$10,'VK-Hooned-Soojus'!$C:$X,2+$C87,FALSE),0)+IF(EG$6="X",VLOOKUP(EG$10,'VK-Transport'!$C:$X,2+$B87,0))+IF(EG$8="X",VLOOKUP(EG$10,'VK-Elekter'!$C:$X,2+$D87,0))+IF(EG$9="X",VLOOKUP(EG$10,'VK-Biokütused'!$C:$U,2+$E87,0))+IF(EG$5="X",VLOOKUP(EG$10,'VK-Põlevkivi'!$C:$X,2+$G87,0))+IF(EG$4="X",VLOOKUP(EG$10,'VK-Võrgud'!$C:$X,2+$F87,0)))</f>
        <v>0.81</v>
      </c>
      <c r="EH87" s="209">
        <f>(IF(EH$7="X",VLOOKUP(EH$10,'VK-Hooned-Soojus'!$C:$X,2+$C87,FALSE),0)+IF(EH$6="X",VLOOKUP(EH$10,'VK-Transport'!$C:$X,2+$B87,0))+IF(EH$8="X",VLOOKUP(EH$10,'VK-Elekter'!$C:$X,2+$D87,0))+IF(EH$9="X",VLOOKUP(EH$10,'VK-Biokütused'!$C:$U,2+$E87,0)))+AR87+AS87+AU87+AX87</f>
        <v>52.579667065771865</v>
      </c>
      <c r="EI87" s="320">
        <f t="shared" si="53"/>
        <v>46.480678294573643</v>
      </c>
      <c r="EJ87" s="322">
        <f t="shared" si="54"/>
        <v>2.3391437578713474E-2</v>
      </c>
      <c r="EK87" s="323">
        <f t="shared" si="77"/>
        <v>0.39754723427955507</v>
      </c>
      <c r="EM87" s="209"/>
      <c r="EN87" s="209">
        <f t="shared" ca="1" si="55"/>
        <v>0</v>
      </c>
      <c r="EO87" s="209"/>
      <c r="EP87" s="234"/>
      <c r="EQ87" s="209">
        <f>(IF(EQ$7="X",VLOOKUP(EQ$10,'VK-Hooned-Soojus'!$C:$X,2+$C87,FALSE),0)+IF(EQ$6="X",VLOOKUP(EQ$10,'VK-Transport'!$C:$X,2+$B87,0))+IF(EQ$8="X",VLOOKUP(EQ$10,'VK-Elekter'!$C:$X,2+$D87,0))+IF(EQ$9="X",VLOOKUP(EQ$10,'VK-Biokütused'!$C:$U,2+$E87,0))+IF(EQ$5="X",VLOOKUP(EQ$10,'VK-Põlevkivi'!$C:$X,2+$G87,0))+IF(EQ$4="X",VLOOKUP(EQ$10,'VK-Võrgud'!$C:$X,2+$F87,0)))/1000</f>
        <v>0.19900000000000001</v>
      </c>
      <c r="ER87" s="209">
        <f>(IF(ER$7="X",VLOOKUP(ER$10,'VK-Hooned-Soojus'!$C:$X,2+$C87,FALSE),0)+IF(ER$6="X",VLOOKUP(ER$10,'VK-Transport'!$C:$X,2+$B87,0))+IF(ER$8="X",VLOOKUP(ER$10,'VK-Elekter'!$C:$X,2+$D87,0))+IF(ER$9="X",VLOOKUP(ER$10,'VK-Biokütused'!$C:$U,2+$E87,0))+IF(ER$5="X",VLOOKUP(ER$10,'VK-Põlevkivi'!$C:$X,2+$G87,0))+IF(ER$4="X",VLOOKUP(ER$10,'VK-Võrgud'!$C:$X,2+$F87,0)))</f>
        <v>0.72299999999999998</v>
      </c>
      <c r="ES87" s="209">
        <f>(IF(ES$7="X",VLOOKUP(ES$10,'VK-Hooned-Soojus'!$C:$X,2+$C87,FALSE),0)+IF(ES$6="X",VLOOKUP(ES$10,'VK-Transport'!$C:$X,2+$B87,0))+IF(ES$8="X",VLOOKUP(ES$10,'VK-Elekter'!$C:$X,2+$D87,0))+IF(ES$9="X",VLOOKUP(ES$10,'VK-Biokütused'!$C:$U,2+$E87,0))+IF(ES$5="X",VLOOKUP(ES$10,'VK-Põlevkivi'!$C:$X,2+$G87,0))+IF(ES$4="X",VLOOKUP(ES$10,'VK-Võrgud'!$C:$X,2+$F87,0)))</f>
        <v>6.08</v>
      </c>
      <c r="ET87" s="209"/>
      <c r="EU87" s="209"/>
      <c r="EV87" s="87">
        <f>'KSH järjestus'!AS80</f>
        <v>1196</v>
      </c>
      <c r="EX87" s="236"/>
      <c r="EY87" s="236"/>
      <c r="EZ87" s="237">
        <f t="shared" si="56"/>
        <v>0.27911646586345373</v>
      </c>
      <c r="FA87" s="209">
        <f>IF(FA$7="X",VLOOKUP(FA$10,'VK-Hooned-Soojus'!$C:$X,2+$C87,FALSE),0)+IF(FA$6="X",VLOOKUP(FA$10,'VK-Transport'!$C:$X,2+$B87,0))+IF(FA$8="X",VLOOKUP(FA$10,'VK-Elekter'!$C:$X,2+$D87,0))+IF(FA$9="X",VLOOKUP(FA$10,'VK-Biokütused'!$C:$U,2+$E87,0))+IF(FA$5="X",VLOOKUP(FA$10,'VK-Põlevkivi'!$C:$X,2+$G87,0))+IF(FA$4="X",VLOOKUP(FA$10,'VK-Võrgud'!$C:$X,2+$F87,0))</f>
        <v>3221.346</v>
      </c>
      <c r="FB87" s="279">
        <f>(IF(FB$7="X",VLOOKUP(FB$10,'VK-Hooned-Soojus'!$C:$X,2+$C87,FALSE),0)+IF(FB$6="X",VLOOKUP(FB$10,'VK-Transport'!$C:$X,2+$B87,0))+IF(FB$8="X",VLOOKUP(FB$10,'VK-Elekter'!$C:$X,2+$D87,0))+IF(FB$9="X",VLOOKUP(FB$10,'VK-Biokütused'!$C:$U,2+$E87,0))+IF(FB$5="X",VLOOKUP(FB$10,'VK-Põlevkivi'!$C:$X,2+$G87,0))+IF(FB$4="X",VLOOKUP(FB$10,'VK-Võrgud'!$C:$X,2+$F87,0)))/16</f>
        <v>361.92922848140779</v>
      </c>
      <c r="FC87" s="209">
        <f>IF(FC$7="X",VLOOKUP(FC$10,'VK-Hooned-Soojus'!$C:$X,2+$C87,FALSE),0)+IF(FC$6="X",VLOOKUP(FC$10,'VK-Transport'!$C:$X,2+$B87,0))+IF(FC$8="X",VLOOKUP(FC$10,'VK-Elekter'!$C:$X,2+$D87,0))+IF(FC$9="X",VLOOKUP(FC$10,'VK-Biokütused'!$C:$U,2+$E87,0))+IF(FC$5="X",VLOOKUP(FC$10,'VK-Põlevkivi'!$C:$X,2+$G87,0))+IF(FC$4="X",VLOOKUP(FC$10,'VK-Võrgud'!$C:$X,2+$F87,0))</f>
        <v>297.04999999999995</v>
      </c>
      <c r="FD87" s="209">
        <f>(IF(FD$7="X",VLOOKUP(FD$10,'VK-Hooned-Soojus'!$C:$X,2+$C87,FALSE),0)+IF(FD$6="X",VLOOKUP(FD$10,'VK-Transport'!$C:$X,2+$B87,0))+IF(FD$8="X",VLOOKUP(FD$10,'VK-Elekter'!$C:$X,2+$D87,0))+IF(FD$9="X",VLOOKUP(FD$10,'VK-Biokütused'!$C:$U,2+$E87,0))+IF(FD$5="X",VLOOKUP(FD$10,'VK-Põlevkivi'!$C:$X,2+$G87,0))+IF(FD$4="X",VLOOKUP(FD$10,'VK-Võrgud'!$C:$X,2+$F87,0)))/16</f>
        <v>361.92922848140779</v>
      </c>
      <c r="FE87" s="209">
        <f>(IF(FE$7="X",VLOOKUP(FE$10,'VK-Hooned-Soojus'!$C:$X,2+$C87,FALSE),0)+IF(FE$6="X",VLOOKUP(FE$10,'VK-Transport'!$C:$X,2+$B87,0))+IF(FE$8="X",VLOOKUP(FE$10,'VK-Elekter'!$C:$X,2+$D87,0))+IF(FE$9="X",VLOOKUP(FE$10,'VK-Biokütused'!$C:$U,2+$E87,0))+IF(FE$5="X",VLOOKUP(FE$10,'VK-Põlevkivi'!$C:$X,2+$G87,0))+IF(FE$4="X",VLOOKUP(FE$10,'VK-Võrgud'!$C:$X,2+$F87,0)))/16</f>
        <v>-162.7344698806321</v>
      </c>
      <c r="FF87" s="209">
        <f>(IF(FF$7="X",VLOOKUP(FF$10,'VK-Hooned-Soojus'!$C:$X,2+$C87,FALSE),0)+IF(FF$6="X",VLOOKUP(FF$10,'VK-Transport'!$C:$X,2+$B87,0))+IF(FF$8="X",VLOOKUP(FF$10,'VK-Elekter'!$C:$X,2+$D87,0))+IF(FF$9="X",VLOOKUP(FF$10,'VK-Biokütused'!$C:$U,2+$E87,0))+IF(FF$5="X",VLOOKUP(FF$10,'VK-Põlevkivi'!$C:$X,2+$G87,0))+IF(FF$4="X",VLOOKUP(FF$10,'VK-Võrgud'!$C:$X,2+$F87,0)))/16</f>
        <v>158.30941779416722</v>
      </c>
      <c r="FG87" s="88">
        <f t="shared" ca="1" si="78"/>
        <v>-4.4250520864648877</v>
      </c>
      <c r="FH87" s="88"/>
      <c r="FI87" s="88"/>
      <c r="FJ87" s="88">
        <f>VLOOKUP(Tulemused!$BN$12,data!M$7:N$12,2,FALSE)-SUM(L87,M87)</f>
        <v>-0.77386666666667736</v>
      </c>
      <c r="FK87" s="209" t="str">
        <f>IF(AZ87&lt;=VLOOKUP(Tulemused!$BN$15,data!$E$36:$F$39,2,FALSE),"JAH","EI")</f>
        <v>JAH</v>
      </c>
      <c r="FL87" s="235">
        <f ca="1">IF(ISNA(MATCH($A87,INDIRECT(VLOOKUP(Tulemused!$BF$11,data!$J$57:$M$71,4,FALSE)))),0,MATCH($A87,INDIRECT(VLOOKUP(Tulemused!$BF$11,data!$J$57:$M$71,4,FALSE))))</f>
        <v>0</v>
      </c>
      <c r="FM87" s="235" t="str">
        <f t="shared" ca="1" si="57"/>
        <v>JAH</v>
      </c>
      <c r="FN87" s="209">
        <f>VLOOKUP(Tulemused!$BN$13,data!$C$132:$D$137,2,FALSE)-KOMBI!R87</f>
        <v>3.4690876728770306</v>
      </c>
      <c r="FO87" s="209"/>
      <c r="FP87" s="209">
        <f>VLOOKUP(Tulemused!$BN$17,NO_x,2,FALSE)-CJ87</f>
        <v>11.960999999999999</v>
      </c>
      <c r="FQ87" s="209">
        <f>VLOOKUP(Tulemused!$BN$18,SO_2,2,FALSE)-CK87</f>
        <v>40.660256790007281</v>
      </c>
      <c r="FR87" s="209">
        <f>VLOOKUP(Tulemused!$BN$19,LOU,2,FALSE)-CN87</f>
        <v>34.182000000000002</v>
      </c>
      <c r="FS87" s="209">
        <f>VLOOKUP(Tulemused!$BN$20,PM_2.5,2,FALSE)-CM87</f>
        <v>9.3279999999999994</v>
      </c>
      <c r="FT87" s="209">
        <f>VLOOKUP(Tulemused!$BN$13,data!$C$132:$D$137,2,FALSE)-FA87/1000</f>
        <v>3.0246240000000006</v>
      </c>
      <c r="FU87" s="209">
        <f>VLOOKUP(Tulemused!$BN$17,NO_x,2,FALSE)-CO87</f>
        <v>5.6044247892027172</v>
      </c>
      <c r="FV87" s="209">
        <f>VLOOKUP(Tulemused!$BN$18,SO_2,2,FALSE)-CP87</f>
        <v>38.478005169650174</v>
      </c>
      <c r="FW87" s="209">
        <f>VLOOKUP(Tulemused!$BN$19,LOU,2,FALSE)-CS87</f>
        <v>33.285665509940173</v>
      </c>
      <c r="FX87" s="209">
        <f>VLOOKUP(Tulemused!$BN$20,PM_2.5,2,FALSE)-CR87</f>
        <v>9.2239127215424244</v>
      </c>
      <c r="FY87" s="209">
        <f>VLOOKUP(Tulemused!$BN$14,KHG_2050,2,FALSE)-EF87</f>
        <v>95.913617672877024</v>
      </c>
      <c r="FZ87" s="231" t="str">
        <f t="shared" ca="1" si="79"/>
        <v>EI</v>
      </c>
      <c r="GA87" s="209"/>
      <c r="GB87" s="209"/>
      <c r="GC87" s="209"/>
      <c r="GD87" s="231"/>
      <c r="GE87" s="87">
        <f t="shared" si="58"/>
        <v>1196</v>
      </c>
      <c r="GF87" s="232" t="str">
        <f t="shared" ca="1" si="80"/>
        <v/>
      </c>
      <c r="GH87" s="238" t="e">
        <f t="shared" ca="1" si="59"/>
        <v>#NUM!</v>
      </c>
      <c r="GI87" s="87" t="e">
        <f t="array" aca="1" ref="GI87" ca="1">INDEX($A$11:$A$145, SMALL(IF(GH87=$GF$11:$GF$145, MATCH(ROW($GF$11:$GF$145), ROW($GF$11:$GF$145))), SUM(--(GH87=$GH$11:GH87))))</f>
        <v>#NUM!</v>
      </c>
      <c r="GM87" s="209">
        <f>IF(GM$7="X",VLOOKUP(GM$10,'VK-Hooned-Soojus'!$C:$X,2+$C87,FALSE),0)+IF(GM$6="X",VLOOKUP(GM$10,'VK-Transport'!$C:$X,2+$B87,0))+IF(GM$8="X",VLOOKUP(GM$10,'VK-Elekter'!$C:$X,2+$D87,0))+IF(GM$9="X",VLOOKUP(GM$10,'VK-Biokütused'!$C:$U,2+$E87,0))+IF(GM$5="X",VLOOKUP(GM$10,'VK-Põlevkivi'!$C:$X,2+$G87,0))+IF(GM$4="X",VLOOKUP(GM$10,'VK-Võrgud'!$C:$X,2+$F87,0))</f>
        <v>6.012827991027228</v>
      </c>
      <c r="GN87" s="209">
        <f>IF(GN$7="X",VLOOKUP(GN$10,'VK-Hooned-Soojus'!$C:$X,2+$C87,FALSE),0)+IF(GN$6="X",VLOOKUP(GN$10,'VK-Transport'!$C:$X,2+$B87,0))+IF(GN$8="X",VLOOKUP(GN$10,'VK-Elekter'!$C:$X,2+$D87,0))+IF(GN$9="X",VLOOKUP(GN$10,'VK-Biokütused'!$C:$U,2+$E87,0))+IF(GN$5="X",VLOOKUP(GN$10,'VK-Põlevkivi'!$C:$X,2+$G87,0))+IF(GN$4="X",VLOOKUP(GN$10,'VK-Võrgud'!$C:$X,2+$F87,0))</f>
        <v>3.4467619395011728</v>
      </c>
      <c r="GO87" s="209">
        <f>IF(GO$7="X",VLOOKUP(GO$10,'VK-Hooned-Soojus'!$C:$X,2+$C87,FALSE),0)+IF(GO$6="X",VLOOKUP(GO$10,'VK-Transport'!$C:$X,2+$B87,0))+IF(GO$8="X",VLOOKUP(GO$10,'VK-Elekter'!$C:$X,2+$D87,0))+IF(GO$9="X",VLOOKUP(GO$10,'VK-Biokütused'!$C:$U,2+$E87,0))+IF(GO$5="X",VLOOKUP(GO$10,'VK-Põlevkivi'!$C:$X,2+$G87,0))+IF(GO$4="X",VLOOKUP(GO$10,'VK-Võrgud'!$C:$X,2+$F87,0))</f>
        <v>7.5763700102722566</v>
      </c>
      <c r="GP87" s="209">
        <f>IF(GP$7="X",VLOOKUP(GP$10,'VK-Hooned-Soojus'!$C:$X,2+$C87,FALSE),0)+IF(GP$6="X",VLOOKUP(GP$10,'VK-Transport'!$C:$X,2+$B87,0))+IF(GP$8="X",VLOOKUP(GP$10,'VK-Elekter'!$C:$X,2+$D87,0))+IF(GP$9="X",VLOOKUP(GP$10,'VK-Biokütused'!$C:$U,2+$E87,0))+IF(GP$5="X",VLOOKUP(GP$10,'VK-Põlevkivi'!$C:$X,2+$G87,0))+IF(GP$4="X",VLOOKUP(GP$10,'VK-Võrgud'!$C:$X,2+$F87,0))</f>
        <v>8.9326558040707589</v>
      </c>
      <c r="GQ87" s="88">
        <f>IF(GQ$7="X",VLOOKUP(GQ$10,'VK-Hooned-Soojus'!$C:$X,2+$C87,FALSE),0)+IF(GQ$6="X",VLOOKUP(GQ$10,'VK-Transport'!$C:$X,2+$B87,0))+IF(GQ$8="X",VLOOKUP(GQ$10,'VK-Elekter'!$C:$X,2+$D87,0))+IF(GQ$9="X",VLOOKUP(GQ$10,'VK-Biokütused'!$C:$U,2+$E87,0))+IF(GQ$5="X",VLOOKUP(GQ$10,'VK-Põlevkivi'!$C:$X,2+$G87,0))+IF(GQ$4="X",VLOOKUP(GQ$10,'VK-Võrgud'!$C:$X,2+$F87,0))</f>
        <v>0.90618397335647782</v>
      </c>
      <c r="GR87" s="186">
        <f t="shared" si="81"/>
        <v>0.39532637523095843</v>
      </c>
    </row>
    <row r="88" spans="1:200" x14ac:dyDescent="0.2">
      <c r="A88" s="184">
        <v>78</v>
      </c>
      <c r="B88" s="87">
        <v>2</v>
      </c>
      <c r="C88" s="87">
        <v>3</v>
      </c>
      <c r="D88" s="87">
        <v>1</v>
      </c>
      <c r="E88" s="87">
        <v>3</v>
      </c>
      <c r="F88" s="87">
        <f>VLOOKUP(Tulemused!$BF$7,data!$J$6:$K$8,2,FALSE)</f>
        <v>2</v>
      </c>
      <c r="G88" s="87">
        <f>VLOOKUP(data!$H$2,data!$J$12:$K$14,2,FALSE)</f>
        <v>2</v>
      </c>
      <c r="I88" s="209">
        <f>IF(I$7="X",VLOOKUP(I$10,'VK-Hooned-Soojus'!$C:$X,2+$C88,FALSE),0)+IF(I$6="X",VLOOKUP(I$10,'VK-Transport'!$C:$X,2+$B88,0))+IF(I$8="X",VLOOKUP(I$10,'VK-Elekter'!$C:$X,2+$D88,0))+IF(I$9="X",VLOOKUP(I$10,'VK-Biokütused'!$C:$U,2+$E88,0))+IF(I$5="X",VLOOKUP(I$10,'VK-Põlevkivi'!$C:$X,2+$G88,0))+IF(I$4="X",VLOOKUP(I$10,'VK-Võrgud'!$C:$X,2+$F88,0))</f>
        <v>23.490000000000002</v>
      </c>
      <c r="J88" s="209">
        <f>IF(J$7="X",VLOOKUP(J$10,'VK-Hooned-Soojus'!$C:$X,2+$C88,FALSE),0)+IF(J$6="X",VLOOKUP(J$10,'VK-Transport'!$C:$X,2+$B88,0))+IF(J$8="X",VLOOKUP(J$10,'VK-Elekter'!$C:$X,2+$D88,0))+IF(J$9="X",VLOOKUP(J$10,'VK-Biokütused'!$C:$U,2+$E88,0))+IF(J$5="X",VLOOKUP(J$10,'VK-Põlevkivi'!$C:$X,2+$G88,0))+IF(J$4="X",VLOOKUP(J$10,'VK-Võrgud'!$C:$X,2+$F88,0))</f>
        <v>11.138055555555555</v>
      </c>
      <c r="K88" s="209">
        <f>IF(K$7="X",VLOOKUP(K$10,'VK-Hooned-Soojus'!$C:$X,2+$C88,FALSE),0)+IF(K$6="X",VLOOKUP(K$10,'VK-Transport'!$C:$X,2+$B88,0))+IF(K$8="X",VLOOKUP(K$10,'VK-Elekter'!$C:$X,2+$D88,0))+IF(K$9="X",VLOOKUP(K$10,'VK-Biokütused'!$C:$U,2+$E88,0))+IF(K$5="X",VLOOKUP(K$10,'VK-Põlevkivi'!$C:$X,2+$G88,0))+IF(K$4="X",VLOOKUP(K$10,'VK-Võrgud'!$C:$X,2+$F88,0))</f>
        <v>13.780000000000001</v>
      </c>
      <c r="L88" s="209">
        <f>IF(L$7="X",VLOOKUP(L$10,'VK-Hooned-Soojus'!$C:$X,2+$C88,FALSE),0)+IF(L$6="X",VLOOKUP(L$10,'VK-Transport'!$C:$X,2+$B88,0))+IF(L$8="X",VLOOKUP(L$10,'VK-Elekter'!$C:$X,2+$D88,0))+IF(L$9="X",VLOOKUP(L$10,'VK-Biokütused'!$C:$U,2+$E88,0))+IF(L$5="X",VLOOKUP(L$10,'VK-Põlevkivi'!$C:$X,2+$G88,0))+IF(L$4="X",VLOOKUP(L$10,'VK-Võrgud'!$C:$X,2+$F88,0))</f>
        <v>23.75</v>
      </c>
      <c r="M88" s="209">
        <f>IF(M$7="X",VLOOKUP(M$10,'VK-Hooned-Soojus'!$C:$X,2+$C88,FALSE),0)+IF(M$6="X",VLOOKUP(M$10,'VK-Transport'!$C:$X,2+$B88,0))+IF(M$8="X",VLOOKUP(M$10,'VK-Elekter'!$C:$X,2+$D88,0))+IF(M$9="X",VLOOKUP(M$10,'VK-Biokütused'!$C:$U,2+$E88,0))+IF(M$5="X",VLOOKUP(M$10,'VK-Põlevkivi'!$C:$X,2+$G88,0))+IF(M$4="X",VLOOKUP(M$10,'VK-Võrgud'!$C:$X,2+$F88,0))</f>
        <v>9.8566666666666674</v>
      </c>
      <c r="N88" s="209">
        <f>IF(N$7="X",VLOOKUP(N$10,'VK-Hooned-Soojus'!$C:$X,2+$C88,FALSE),0)+IF(N$6="X",VLOOKUP(N$10,'VK-Transport'!$C:$X,2+$B88,0))+IF(N$8="X",VLOOKUP(N$10,'VK-Elekter'!$C:$X,2+$D88,0))+IF(N$9="X",VLOOKUP(N$10,'VK-Biokütused'!$C:$U,2+$E88,0))+IF(N$5="X",VLOOKUP(N$10,'VK-Põlevkivi'!$C:$X,2+$G88,0))+IF(N$4="X",VLOOKUP(N$10,'VK-Võrgud'!$C:$X,2+$F88,0))</f>
        <v>15.25</v>
      </c>
      <c r="O88" s="209">
        <f t="shared" si="60"/>
        <v>34.628055555555555</v>
      </c>
      <c r="P88" s="209"/>
      <c r="Q88" s="209">
        <f>(IF(Q$7="X",VLOOKUP(Q$10,'VK-Hooned-Soojus'!$C:$X,2+$C88,FALSE),0)+IF(Q$6="X",VLOOKUP(Q$10,'VK-Transport'!$C:$X,2+$B88,0))+IF(Q$8="X",VLOOKUP(Q$10,'VK-Elekter'!$C:$X,2+$D88,0))+IF(Q$9="X",VLOOKUP(Q$10,'VK-Biokütused'!$C:$U,2+$E88,0))+IF(Q$5="X",VLOOKUP(Q$10,'VK-Põlevkivi'!$C:$X,2+$G88,0))+IF(Q$4="X",VLOOKUP(Q$10,'VK-Võrgud'!$C:$X,2+$F88,0)))/1000</f>
        <v>4.9059999999999997</v>
      </c>
      <c r="R88" s="209">
        <f>(IF(R$7="X",VLOOKUP(R$10,'VK-Hooned-Soojus'!$C:$X,2+$C88,FALSE),0)+IF(R$6="X",VLOOKUP(R$10,'VK-Transport'!$C:$X,2+$B88,0))+IF(R$8="X",VLOOKUP(R$10,'VK-Elekter'!$C:$X,2+$D88,0))+IF(R$9="X",VLOOKUP(R$10,'VK-Biokütused'!$C:$U,2+$E88,0))+IF(R$5="X",VLOOKUP(R$10,'VK-Põlevkivi'!$C:$X,2+$G88,0))+IF(R$4="X",VLOOKUP(R$10,'VK-Võrgud'!$C:$X,2+$F88,0)))/1000</f>
        <v>2.98558232712297</v>
      </c>
      <c r="S88" s="226">
        <f>VLOOKUP(S$10,'VK-Hooned-Soojus'!$C:$I,2+$C88,FALSE) + VLOOKUP(S$10,'VK-Transport'!$C:$I,2+$B88,FALSE)+ VLOOKUP(S$10,'VK-Biokütused'!$C:$G,2+$E88,FALSE)+ VLOOKUP(S$10,'VK-Elekter'!$C:$I,2+$D88,FALSE)+ VLOOKUP(S$10,'VK-Põlevkivi'!$C:$I,2+$G88,FALSE)+ VLOOKUP(S$10,'VK-Võrgud'!$C:$I,2+$F88,FALSE)</f>
        <v>1.8702495882524133E-2</v>
      </c>
      <c r="T88" s="226">
        <f>VLOOKUP(T$10,'VK-Hooned-Soojus'!$C:$I,2+$C88,FALSE) + VLOOKUP(T$10,'VK-Transport'!$C:$I,2+$B88,FALSE)+ VLOOKUP(T$10,'VK-Biokütused'!$C:$G,2+$E88,FALSE)+ VLOOKUP(T$10,'VK-Elekter'!$C:$I,2+$D88,FALSE)+ VLOOKUP(T$10,'VK-Põlevkivi'!$C:$I,2+$G88,FALSE)+ VLOOKUP(T$10,'VK-Võrgud'!$C:$I,2+$F88,FALSE)</f>
        <v>-1.4440607726597509E-3</v>
      </c>
      <c r="U88" s="226">
        <f>VLOOKUP(U$10,'VK-Hooned-Soojus'!$C:$I,2+$C88,FALSE) + VLOOKUP(U$10,'VK-Transport'!$C:$I,2+$B88,FALSE)+ VLOOKUP(U$10,'VK-Biokütused'!$C:$G,2+$E88,FALSE)+ VLOOKUP(U$10,'VK-Elekter'!$C:$I,2+$D88,FALSE)+ VLOOKUP(U$10,'VK-Põlevkivi'!$C:$I,2+$G88,FALSE)+ VLOOKUP(U$10,'VK-Võrgud'!$C:$I,2+$F88,FALSE)</f>
        <v>2.4174013978173203E-3</v>
      </c>
      <c r="V88" s="226">
        <f>VLOOKUP(V$10,'VK-Hooned-Soojus'!$C:$I,2+$C88,FALSE) + VLOOKUP(V$10,'VK-Transport'!$C:$I,2+$B88,FALSE)+ VLOOKUP(V$10,'VK-Biokütused'!$C:$G,2+$E88,FALSE)+ VLOOKUP(V$10,'VK-Elekter'!$C:$I,2+$D88,FALSE)+ VLOOKUP(V$10,'VK-Põlevkivi'!$C:$I,2+$G88,FALSE)+ VLOOKUP(V$10,'VK-Võrgud'!$C:$I,2+$F88,FALSE)</f>
        <v>1.6439868726816138E-2</v>
      </c>
      <c r="W88" s="226">
        <f>VLOOKUP(W$10,'VK-Hooned-Soojus'!$C:$I,2+$C88,FALSE) + VLOOKUP(W$10,'VK-Transport'!$C:$I,2+$B88,FALSE)+ VLOOKUP(W$10,'VK-Biokütused'!$C:$G,2+$E88,FALSE)+ VLOOKUP(W$10,'VK-Elekter'!$C:$I,2+$D88,FALSE)+ VLOOKUP(W$10,'VK-Põlevkivi'!$C:$I,2+$G88,FALSE)+ VLOOKUP(W$10,'VK-Võrgud'!$C:$I,2+$F88,FALSE)</f>
        <v>-2.9146096178117416E-2</v>
      </c>
      <c r="X88" s="226">
        <f>VLOOKUP(X$10,'VK-Hooned-Soojus'!$C:$I,2+$C88,FALSE) + VLOOKUP(X$10,'VK-Transport'!$C:$I,2+$B88,FALSE)+ VLOOKUP(X$10,'VK-Biokütused'!$C:$G,2+$E88,FALSE)+ VLOOKUP(X$10,'VK-Elekter'!$C:$I,2+$D88,FALSE)+ VLOOKUP(X$10,'VK-Põlevkivi'!$C:$I,2+$G88,FALSE)+ VLOOKUP(X$10,'VK-Võrgud'!$C:$I,2+$F88,FALSE)</f>
        <v>-3.687543213565319E-2</v>
      </c>
      <c r="Y88" s="226">
        <f>VLOOKUP(Y$10,'VK-Hooned-Soojus'!$C:$I,2+$C88,FALSE) + VLOOKUP(Y$10,'VK-Transport'!$C:$I,2+$B88,FALSE)+ VLOOKUP(Y$10,'VK-Biokütused'!$C:$G,2+$E88,FALSE)+ VLOOKUP(Y$10,'VK-Elekter'!$C:$I,2+$D88,FALSE)+ VLOOKUP(Y$10,'VK-Põlevkivi'!$C:$I,2+$G88,FALSE)+ VLOOKUP(Y$10,'VK-Võrgud'!$C:$I,2+$F88,FALSE)</f>
        <v>-5.4750044187538711E-2</v>
      </c>
      <c r="Z88" s="227">
        <f>(S88*Tulemused!$Q$9*10+T88*Tulemused!$Q$10*10+KOMBI!U88*Tulemused!$Q$11*10+KOMBI!V88*Tulemused!$Q$12*10)*Tulemused!$Q$8+-(W88*Tulemused!$Q$14*10+KOMBI!X88*Tulemused!$Q$15*10+KOMBI!Y88*Tulemused!$Q$16*10)*Tulemused!$Q$13</f>
        <v>5.1612472229882265</v>
      </c>
      <c r="AA88" s="228">
        <f>(IF(AA$7="X",VLOOKUP(AA$10,'VK-Hooned-Soojus'!$C:$X,2+$C88,FALSE),0)+IF(AA$6="X",VLOOKUP(AA$10,'VK-Transport'!$C:$X,2+$B88,0))+IF(AA$8="X",VLOOKUP(AA$10,'VK-Elekter'!$C:$X,2+$D88,0))+IF(AA$9="X",VLOOKUP(AA$10,'VK-Biokütused'!$C:$U,2+$E88,0))+IF(AA$5="X",VLOOKUP(AA$10,'VK-Põlevkivi'!$C:$X,2+$G88,0))+IF(AA$4="X",VLOOKUP(AA$10,'VK-Võrgud'!$C:$X,2+$F88,0)))</f>
        <v>3729</v>
      </c>
      <c r="AB88" s="228">
        <f>(IF(AB$7="X",VLOOKUP(AB$10,'VK-Hooned-Soojus'!$C:$X,2+$C88,FALSE),0)+IF(AB$6="X",VLOOKUP(AB$10,'VK-Transport'!$C:$X,2+$B88,0))+IF(AB$8="X",VLOOKUP(AB$10,'VK-Elekter'!$C:$X,2+$D88,0))+IF(AB$9="X",VLOOKUP(AB$10,'VK-Biokütused'!$C:$U,2+$E88,0))+IF(AB$5="X",VLOOKUP(AB$10,'VK-Põlevkivi'!$C:$X,2+$G88,0))+IF(AB$4="X",VLOOKUP(AB$10,'VK-Võrgud'!$C:$X,2+$F88,0)))</f>
        <v>1177</v>
      </c>
      <c r="AC88" s="228">
        <f>(IF(AC$7="X",VLOOKUP(AC$10,'VK-Hooned-Soojus'!$C:$X,2+$C88,FALSE),0)+IF(AC$6="X",VLOOKUP(AC$10,'VK-Transport'!$C:$X,2+$B88,0))+IF(AC$8="X",VLOOKUP(AC$10,'VK-Elekter'!$C:$X,2+$D88,0))+IF(AC$9="X",VLOOKUP(AC$10,'VK-Biokütused'!$C:$U,2+$E88,0))+IF(AC$5="X",VLOOKUP(AC$10,'VK-Põlevkivi'!$C:$X,2+$G88,0))+IF(AC$4="X",VLOOKUP(AC$10,'VK-Võrgud'!$C:$X,2+$F88,0)))</f>
        <v>2346</v>
      </c>
      <c r="AD88" s="228">
        <f>(IF(AD$7="X",VLOOKUP(AD$10,'VK-Hooned-Soojus'!$C:$X,2+$C88,FALSE),0)+IF(AD$6="X",VLOOKUP(AD$10,'VK-Transport'!$C:$X,2+$B88,0))+IF(AD$8="X",VLOOKUP(AD$10,'VK-Elekter'!$C:$X,2+$D88,0))+IF(AD$9="X",VLOOKUP(AD$10,'VK-Biokütused'!$C:$U,2+$E88,0))+IF(AD$5="X",VLOOKUP(AD$10,'VK-Põlevkivi'!$C:$X,2+$G88,0))+IF(AD$4="X",VLOOKUP(AD$10,'VK-Võrgud'!$C:$X,2+$F88,0)))</f>
        <v>586.20000000000005</v>
      </c>
      <c r="AE88" s="228">
        <f>(IF(AE$7="X",VLOOKUP(AE$10,'VK-Hooned-Soojus'!$C:$X,2+$C88,FALSE),0)+IF(AE$6="X",VLOOKUP(AE$10,'VK-Transport'!$C:$X,2+$B88,0))+IF(AE$8="X",VLOOKUP(AE$10,'VK-Elekter'!$C:$X,2+$D88,0))+IF(AE$9="X",VLOOKUP(AE$10,'VK-Biokütused'!$C:$U,2+$E88,0))+IF(AE$5="X",VLOOKUP(AE$10,'VK-Põlevkivi'!$C:$X,2+$G88,0))+IF(AE$4="X",VLOOKUP(AE$10,'VK-Võrgud'!$C:$X,2+$F88,0)))</f>
        <v>507</v>
      </c>
      <c r="AF88" s="228">
        <f>(IF(AF$7="X",VLOOKUP(AF$10,'VK-Hooned-Soojus'!$C:$X,2+$C88,FALSE),0)+IF(AF$6="X",VLOOKUP(AF$10,'VK-Transport'!$C:$X,2+$B88,0))+IF(AF$8="X",VLOOKUP(AF$10,'VK-Elekter'!$C:$X,2+$D88,0))+IF(AF$9="X",VLOOKUP(AF$10,'VK-Biokütused'!$C:$U,2+$E88,0))+IF(AF$5="X",VLOOKUP(AF$10,'VK-Põlevkivi'!$C:$X,2+$G88,0))+IF(AF$4="X",VLOOKUP(AF$10,'VK-Võrgud'!$C:$X,2+$F88,0)))</f>
        <v>1892.3823271229701</v>
      </c>
      <c r="AG88" s="209"/>
      <c r="AH88" s="209">
        <f>IF(AH$7="X",VLOOKUP(AH$10,'VK-Hooned-Soojus'!$C:$X,2+$C88,FALSE),0)+IF(AH$6="X",VLOOKUP(AH$10,'VK-Transport'!$C:$X,2+$B88,0))+IF(AH$8="X",VLOOKUP(AH$10,'VK-Elekter'!$C:$X,2+$D88,0))+IF(AH$9="X",VLOOKUP(AH$10,'VK-Biokütused'!$C:$U,2+$E88,0))+IF(AH$5="X",VLOOKUP(AH$10,'VK-Põlevkivi'!$C:$X,2+$G88,0))+IF(AH$4="X",VLOOKUP(AH$10,'VK-Võrgud'!$C:$X,2+$F88,0))</f>
        <v>11.629999999999999</v>
      </c>
      <c r="AI88" s="209">
        <f>IF(AI$7="X",VLOOKUP(AI$10,'VK-Hooned-Soojus'!$C:$X,2+$C88,FALSE),0)+IF(AI$6="X",VLOOKUP(AI$10,'VK-Transport'!$C:$X,2+$B88,0))+IF(AI$8="X",VLOOKUP(AI$10,'VK-Elekter'!$C:$X,2+$D88,0))+IF(AI$9="X",VLOOKUP(AI$10,'VK-Biokütused'!$C:$U,2+$E88,0))+IF(AI$5="X",VLOOKUP(AI$10,'VK-Põlevkivi'!$C:$X,2+$G88,0))+IF(AI$4="X",VLOOKUP(AI$10,'VK-Võrgud'!$C:$X,2+$F88,0))</f>
        <v>2.3100000000000005</v>
      </c>
      <c r="AJ88" s="209">
        <f>IF(AJ$7="X",VLOOKUP(AJ$10,'VK-Hooned-Soojus'!$C:$X,2+$C88,FALSE),0)+IF(AJ$6="X",VLOOKUP(AJ$10,'VK-Transport'!$C:$X,2+$B88,0))+IF(AJ$8="X",VLOOKUP(AJ$10,'VK-Elekter'!$C:$X,2+$D88,0))+IF(AJ$9="X",VLOOKUP(AJ$10,'VK-Biokütused'!$C:$U,2+$E88,0))+IF(AJ$5="X",VLOOKUP(AJ$10,'VK-Põlevkivi'!$C:$X,2+$G88,0))+IF(AJ$4="X",VLOOKUP(AJ$10,'VK-Võrgud'!$C:$X,2+$F88,0))</f>
        <v>9.24</v>
      </c>
      <c r="AK88" s="209">
        <f>IF(AK$7="X",VLOOKUP(AK$10,'VK-Hooned-Soojus'!$C:$X,2+$C88,FALSE),0)+IF(AK$6="X",VLOOKUP(AK$10,'VK-Transport'!$C:$X,2+$B88,0))+IF(AK$8="X",VLOOKUP(AK$10,'VK-Elekter'!$C:$X,2+$D88,0))+IF(AK$9="X",VLOOKUP(AK$10,'VK-Biokütused'!$C:$U,2+$E88,0))+IF(AK$5="X",VLOOKUP(AK$10,'VK-Põlevkivi'!$C:$X,2+$G88,0))+IF(AK$4="X",VLOOKUP(AK$10,'VK-Võrgud'!$C:$X,2+$F88,0))</f>
        <v>2.78</v>
      </c>
      <c r="AL88" s="209">
        <f>IF(AL$7="X",VLOOKUP(AL$10,'VK-Hooned-Soojus'!$C:$X,2+$C88,FALSE),0)+IF(AL$6="X",VLOOKUP(AL$10,'VK-Transport'!$C:$X,2+$B88,0))+IF(AL$8="X",VLOOKUP(AL$10,'VK-Elekter'!$C:$X,2+$D88,0))+IF(AL$9="X",VLOOKUP(AL$10,'VK-Biokütused'!$C:$U,2+$E88,0))+IF(AL$5="X",VLOOKUP(AL$10,'VK-Põlevkivi'!$C:$X,2+$G88,0))+IF(AL$4="X",VLOOKUP(AL$10,'VK-Võrgud'!$C:$X,2+$F88,0))</f>
        <v>7.1</v>
      </c>
      <c r="AM88" s="209">
        <f>IF(AM$7="X",VLOOKUP(AM$10,'VK-Hooned-Soojus'!$C:$X,2+$C88,FALSE),0)+IF(AM$6="X",VLOOKUP(AM$10,'VK-Transport'!$C:$X,2+$B88,0))+IF(AM$8="X",VLOOKUP(AM$10,'VK-Elekter'!$C:$X,2+$D88,0))+IF(AM$9="X",VLOOKUP(AM$10,'VK-Biokütused'!$C:$U,2+$E88,0))+IF(AM$5="X",VLOOKUP(AM$10,'VK-Põlevkivi'!$C:$X,2+$G88,0))+IF(AM$4="X",VLOOKUP(AM$10,'VK-Võrgud'!$C:$X,2+$F88,0))</f>
        <v>11.5</v>
      </c>
      <c r="AN88" s="209">
        <f>IF(AN$7="X",VLOOKUP(AN$10,'VK-Hooned-Soojus'!$C:$X,2+$C88,FALSE),0)+IF(AN$6="X",VLOOKUP(AN$10,'VK-Transport'!$C:$X,2+$B88,0))+IF(AN$8="X",VLOOKUP(AN$10,'VK-Elekter'!$C:$X,2+$D88,0))+IF(AN$9="X",VLOOKUP(AN$10,'VK-Biokütused'!$C:$U,2+$E88,0))+IF(AN$5="X",VLOOKUP(AN$10,'VK-Põlevkivi'!$C:$X,2+$G88,0))+IF(AN$4="X",VLOOKUP(AN$10,'VK-Võrgud'!$C:$X,2+$F88,0))</f>
        <v>4.0999999999999996</v>
      </c>
      <c r="AO88" s="209">
        <f>IF(AO$7="X",VLOOKUP(AO$10,'VK-Hooned-Soojus'!$C:$X,2+$C88,FALSE),0)+IF(AO$6="X",VLOOKUP(AO$10,'VK-Transport'!$C:$X,2+$B88,0))+IF(AO$8="X",VLOOKUP(AO$10,'VK-Elekter'!$C:$X,2+$D88,0))+IF(AO$9="X",VLOOKUP(AO$10,'VK-Biokütused'!$C:$U,2+$E88,0))+IF(AO$5="X",VLOOKUP(AO$10,'VK-Põlevkivi'!$C:$X,2+$G88,0))+IF(AO$4="X",VLOOKUP(AO$10,'VK-Võrgud'!$C:$X,2+$F88,0))</f>
        <v>12.16</v>
      </c>
      <c r="AP88" s="209">
        <f>IF(AP$7="X",VLOOKUP(AP$10,'VK-Hooned-Soojus'!$C:$X,2+$C88,FALSE),0)+IF(AP$6="X",VLOOKUP(AP$10,'VK-Transport'!$C:$X,2+$B88,0))+IF(AP$8="X",VLOOKUP(AP$10,'VK-Elekter'!$C:$X,2+$D88,0))+IF(AP$9="X",VLOOKUP(AP$10,'VK-Biokütused'!$C:$U,2+$E88,0))+IF(AP$5="X",VLOOKUP(AP$10,'VK-Põlevkivi'!$C:$X,2+$G88,0))+IF(AP$4="X",VLOOKUP(AP$10,'VK-Võrgud'!$C:$X,2+$F88,0))</f>
        <v>6.08</v>
      </c>
      <c r="AQ88" s="320">
        <f t="shared" si="61"/>
        <v>0</v>
      </c>
      <c r="AR88" s="209">
        <f>IF(AR$7="X",VLOOKUP(AR$10,'VK-Hooned-Soojus'!$C:$X,2+$C88,FALSE),0)+IF(AR$6="X",VLOOKUP(AR$10,'VK-Transport'!$C:$X,2+$B88,0))+IF(AR$8="X",VLOOKUP(AR$10,'VK-Elekter'!$C:$X,2+$D88,0))+IF(AR$9="X",VLOOKUP(AR$10,'VK-Biokütused'!$C:$U,2+$E88,0))+IF(AR$5="X",VLOOKUP(AR$10,'VK-Põlevkivi'!$C:$X,2+$G88,0))+IF(AR$4="X",VLOOKUP(AR$10,'VK-Võrgud'!$C:$X,2+$F88,0))</f>
        <v>2.3899999999999997</v>
      </c>
      <c r="AS88" s="320">
        <f>VLOOKUP("Kütuste tarbimine @ 2030 - UTTEGAAS",'VK-Hooned-Soojus'!$C:$X,2+$C88,FALSE)/0.172+VLOOKUP("Kütuste tarbimine @ 2030 - UTTEGAAS",'VK-Elekter'!$C:$X,2+$D88,FALSE)/0.172-AR88-AU88</f>
        <v>2.8565116279069773</v>
      </c>
      <c r="AT88" s="209">
        <f>IF(AT$7="X",VLOOKUP(AT$10,'VK-Hooned-Soojus'!$C:$X,2+$C88,FALSE),0)+IF(AT$6="X",VLOOKUP(AT$10,'VK-Transport'!$C:$X,2+$B88,0))+IF(AT$8="X",VLOOKUP(AT$10,'VK-Elekter'!$C:$X,2+$D88,0))+IF(AT$9="X",VLOOKUP(AT$10,'VK-Biokütused'!$C:$U,2+$E88,0))+IF(AT$5="X",VLOOKUP(AT$10,'VK-Põlevkivi'!$C:$X,2+$G88,0))+IF(AT$4="X",VLOOKUP(AT$10,'VK-Võrgud'!$C:$X,2+$F88,0))</f>
        <v>9.2784458909544707</v>
      </c>
      <c r="AU88" s="229">
        <f>MAX(0,(VLOOKUP("Kütuste tarbimine @ 2030 - UTTEGAAS",'VK-Hooned-Soojus'!$C:$X,2+$C88,FALSE)/0.172+VLOOKUP("Kütuste tarbimine @ 2030 - UTTEGAAS",'VK-Elekter'!$C:$X,2+$D88,FALSE)/0.172)*0.52-VLOOKUP("Kütuste tarbimine @ 2030 - PÕLEVKIVIÕLI",'VK-Hooned-Soojus'!$C:$X,2+$C88,FALSE))</f>
        <v>5.6837209302325586</v>
      </c>
      <c r="AV88" s="209">
        <f>IF(AV$7="X",VLOOKUP(AV$10,'VK-Hooned-Soojus'!$C:$X,2+$C88,FALSE),0)+IF(AV$6="X",VLOOKUP(AV$10,'VK-Transport'!$C:$X,2+$B88,0))+IF(AV$8="X",VLOOKUP(AV$10,'VK-Elekter'!$C:$X,2+$D88,0))+IF(AV$9="X",VLOOKUP(AV$10,'VK-Biokütused'!$C:$U,2+$E88,0))+IF(AV$5="X",VLOOKUP(AV$10,'VK-Põlevkivi'!$C:$X,2+$G88,0))+IF(AV$4="X",VLOOKUP(AV$10,'VK-Võrgud'!$C:$X,2+$F88,0))</f>
        <v>1.7257321590343366</v>
      </c>
      <c r="AW88" s="209">
        <f>IF(AW$7="X",VLOOKUP(AW$10,'VK-Hooned-Soojus'!$C:$X,2+$C88,FALSE),0)+IF(AW$6="X",VLOOKUP(AW$10,'VK-Transport'!$C:$X,2+$B88,0))+IF(AW$8="X",VLOOKUP(AW$10,'VK-Elekter'!$C:$X,2+$D88,0))+IF(AW$9="X",VLOOKUP(AW$10,'VK-Biokütused'!$C:$U,2+$E88,0))+IF(AW$5="X",VLOOKUP(AW$10,'VK-Põlevkivi'!$C:$X,2+$G88,0))+IF(AW$4="X",VLOOKUP(AW$10,'VK-Võrgud'!$C:$X,2+$F88,0))</f>
        <v>4.2799999999999994</v>
      </c>
      <c r="AX88" s="229">
        <f t="shared" si="62"/>
        <v>2.5542678409656627</v>
      </c>
      <c r="AY88" s="229">
        <f t="shared" si="63"/>
        <v>0</v>
      </c>
      <c r="AZ88" s="230">
        <f t="shared" si="48"/>
        <v>0.54643019041139074</v>
      </c>
      <c r="BA88" s="209">
        <f>IF(BA$7="X",VLOOKUP(BA$10,'VK-Hooned-Soojus'!$C:$X,2+$C88,FALSE),0)+IF(BA$6="X",VLOOKUP(BA$10,'VK-Transport'!$C:$X,2+$B88,0))+IF(BA$8="X",VLOOKUP(BA$10,'VK-Elekter'!$C:$X,2+$D88,0))+IF(BA$9="X",VLOOKUP(BA$10,'VK-Biokütused'!$C:$U,2+$E88,0))+IF(BA$5="X",VLOOKUP(BA$10,'VK-Põlevkivi'!$C:$X,2+$G88,0))+IF(BA$4="X",VLOOKUP(BA$10,'VK-Võrgud'!$C:$X,2+$F88,0))</f>
        <v>4.25</v>
      </c>
      <c r="BB88" s="209">
        <f>IF(BB$7="X",VLOOKUP(BB$10,'VK-Hooned-Soojus'!$C:$X,2+$C88,FALSE),0)+IF(BB$6="X",VLOOKUP(BB$10,'VK-Transport'!$C:$X,2+$B88,0))+IF(BB$8="X",VLOOKUP(BB$10,'VK-Elekter'!$C:$X,2+$D88,0))+IF(BB$9="X",VLOOKUP(BB$10,'VK-Biokütused'!$C:$U,2+$E88,0))+IF(BB$5="X",VLOOKUP(BB$10,'VK-Põlevkivi'!$C:$X,2+$G88,0))+IF(BB$4="X",VLOOKUP(BB$10,'VK-Võrgud'!$C:$X,2+$F88,0))</f>
        <v>2.93</v>
      </c>
      <c r="BC88" s="209">
        <f>IF(BC$7="X",VLOOKUP(BC$10,'VK-Hooned-Soojus'!$C:$X,2+$C88,FALSE),0)+IF(BC$6="X",VLOOKUP(BC$10,'VK-Transport'!$C:$X,2+$B88,0))+IF(BC$8="X",VLOOKUP(BC$10,'VK-Elekter'!$C:$X,2+$D88,0))+IF(BC$9="X",VLOOKUP(BC$10,'VK-Biokütused'!$C:$U,2+$E88,0))+IF(BC$5="X",VLOOKUP(BC$10,'VK-Põlevkivi'!$C:$X,2+$G88,0))+IF(BC$4="X",VLOOKUP(BC$10,'VK-Võrgud'!$C:$X,2+$F88,0))</f>
        <v>5.2376666666666667</v>
      </c>
      <c r="BD88" s="209">
        <f>IF(BD$7="X",VLOOKUP(BD$10,'VK-Hooned-Soojus'!$C:$X,2+$C88,FALSE),0)+IF(BD$6="X",VLOOKUP(BD$10,'VK-Transport'!$C:$X,2+$B88,0))+IF(BD$8="X",VLOOKUP(BD$10,'VK-Elekter'!$C:$X,2+$D88,0))+IF(BD$9="X",VLOOKUP(BD$10,'VK-Biokütused'!$C:$U,2+$E88,0))+IF(BD$5="X",VLOOKUP(BD$10,'VK-Põlevkivi'!$C:$X,2+$G88,0))+IF(BD$4="X",VLOOKUP(BD$10,'VK-Võrgud'!$C:$X,2+$F88,0))</f>
        <v>9.1105555555555569</v>
      </c>
      <c r="BE88" s="230"/>
      <c r="BF88" s="229">
        <f t="shared" si="64"/>
        <v>0.33424065071890413</v>
      </c>
      <c r="BG88" s="209" t="e">
        <f>(IF(BG$7="X",VLOOKUP(BG$10,'VK-Hooned-Soojus'!$C:$X,2+$C88,FALSE),0)+IF(BG$6="X",VLOOKUP(BG$10,'VK-Transport'!$C:$X,2+$B88,0))+IF(BG$8="X",VLOOKUP(BG$10,'VK-Elekter'!$C:$X,2+$D88,0))+IF(BG$9="X",VLOOKUP(BG$10,'VK-Biokütused'!$C:$U,2+$E88,0))+IF(BG$5="X",VLOOKUP(BG$10,'VK-Põlevkivi'!$C:$X,2+$G88,0))+IF(BG$4="X",VLOOKUP(BG$10,'VK-Võrgud'!$C:$X,2+$F88,0)))/20</f>
        <v>#N/A</v>
      </c>
      <c r="BH88" s="209">
        <f>(IF(BH$7="X",VLOOKUP(BH$10,'VK-Hooned-Soojus'!$C:$X,2+$C88,FALSE),0)+IF(BH$6="X",VLOOKUP(BH$10,'VK-Transport'!$C:$X,2+$B88,0))+IF(BH$8="X",VLOOKUP(BH$10,'VK-Elekter'!$C:$X,2+$D88,0))+IF(BH$9="X",VLOOKUP(BH$10,'VK-Biokütused'!$C:$U,2+$E88,0))+IF(BH$5="X",VLOOKUP(BH$10,'VK-Põlevkivi'!$C:$X,2+$G88,0))+IF(BH$4="X",VLOOKUP(BH$10,'VK-Võrgud'!$C:$X,2+$F88,0)))/20</f>
        <v>84.204999999999998</v>
      </c>
      <c r="BI88" s="209">
        <f>(IF(BI$7="X",VLOOKUP(BI$10,'VK-Hooned-Soojus'!$C:$X,2+$C88,FALSE),0)+IF(BI$6="X",VLOOKUP(BI$10,'VK-Transport'!$C:$X,2+$B88,0))+IF(BI$8="X",VLOOKUP(BI$10,'VK-Elekter'!$C:$X,2+$D88,0))+IF(BI$9="X",VLOOKUP(BI$10,'VK-Biokütused'!$C:$U,2+$E88,0))+IF(BI$5="X",VLOOKUP(BI$10,'VK-Põlevkivi'!$C:$X,2+$G88,0))+IF(BI$4="X",VLOOKUP(BI$10,'VK-Võrgud'!$C:$X,2+$F88,0)))/16</f>
        <v>8.9375</v>
      </c>
      <c r="BJ88" s="209">
        <f>(IF(BJ$7="X",VLOOKUP(BJ$10,'VK-Hooned-Soojus'!$C:$X,2+$C88,FALSE),0)+IF(BJ$6="X",VLOOKUP(BJ$10,'VK-Transport'!$C:$X,2+$B88,0))+IF(BJ$8="X",VLOOKUP(BJ$10,'VK-Elekter'!$C:$X,2+$D88,0))+IF(BJ$9="X",VLOOKUP(BJ$10,'VK-Biokütused'!$C:$U,2+$E88,0))+IF(BJ$5="X",VLOOKUP(BJ$10,'VK-Põlevkivi'!$C:$X,2+$G88,0))+IF(BJ$4="X",VLOOKUP(BJ$10,'VK-Võrgud'!$C:$X,2+$F88,0)))/20</f>
        <v>5.33</v>
      </c>
      <c r="BK88" s="209"/>
      <c r="BL88" s="209"/>
      <c r="BM88" s="209"/>
      <c r="BN88" s="209" t="e">
        <f>(IF(BN$7="X",VLOOKUP(BN$10,'VK-Hooned-Soojus'!$C:$X,2+$C88,FALSE),0)+IF(BN$6="X",VLOOKUP(BN$10,'VK-Transport'!$C:$X,2+$B88,0))+IF(BN$8="X",VLOOKUP(BN$10,'VK-Elekter'!$C:$X,2+$D88,0))+IF(BN$9="X",VLOOKUP(BN$10,'VK-Biokütused'!$C:$U,2+$E88,0))+IF(BN$5="X",VLOOKUP(BN$10,'VK-Põlevkivi'!$C:$X,2+$G88,0))+IF(BN$4="X",VLOOKUP(BN$10,'VK-Võrgud'!$C:$X,2+$F88,0)))/16</f>
        <v>#N/A</v>
      </c>
      <c r="BO88" s="209">
        <f>(IF(BO$7="X",VLOOKUP(BO$10,'VK-Hooned-Soojus'!$C:$X,2+$C88,FALSE),0)+IF(BO$6="X",VLOOKUP(BO$10,'VK-Transport'!$C:$X,2+$B88,0))+IF(BO$8="X",VLOOKUP(BO$10,'VK-Elekter'!$C:$X,2+$D88,0))+IF(BO$9="X",VLOOKUP(BO$10,'VK-Biokütused'!$C:$U,2+$E88,0))+IF(BO$5="X",VLOOKUP(BO$10,'VK-Põlevkivi'!$C:$X,2+$G88,0))+IF(BO$4="X",VLOOKUP(BO$10,'VK-Võrgud'!$C:$X,2+$F88,0)))/16</f>
        <v>405.45</v>
      </c>
      <c r="BP88" s="209"/>
      <c r="BQ88" s="209">
        <f>(IF(BQ$7="X",VLOOKUP(BQ$10,'VK-Hooned-Soojus'!$C:$X,2+$C88,FALSE),0)+IF(BQ$6="X",VLOOKUP(BQ$10,'VK-Transport'!$C:$X,2+$B88,0))+IF(BQ$8="X",VLOOKUP(BQ$10,'VK-Elekter'!$C:$X,2+$D88,0))+IF(BQ$9="X",VLOOKUP(BQ$10,'VK-Biokütused'!$C:$U,2+$E88,0))+IF(BQ$5="X",VLOOKUP(BQ$10,'VK-Põlevkivi'!$C:$X,2+$G88,0))+IF(BQ$4="X",VLOOKUP(BQ$10,'VK-Võrgud'!$C:$X,2+$F88,0)))/16</f>
        <v>127.6</v>
      </c>
      <c r="BR88" s="209">
        <f>(IF(BR$7="X",VLOOKUP(BR$10,'VK-Hooned-Soojus'!$C:$X,2+$C88,FALSE),0)+IF(BR$6="X",VLOOKUP(BR$10,'VK-Transport'!$C:$X,2+$B88,0))+IF(BR$8="X",VLOOKUP(BR$10,'VK-Elekter'!$C:$X,2+$D88,0))+IF(BR$9="X",VLOOKUP(BR$10,'VK-Biokütused'!$C:$U,2+$E88,0))+IF(BR$5="X",VLOOKUP(BR$10,'VK-Põlevkivi'!$C:$X,2+$G88,0))+IF(BR$4="X",VLOOKUP(BR$10,'VK-Võrgud'!$C:$X,2+$F88,0)))/16</f>
        <v>27.475000000000001</v>
      </c>
      <c r="BS88" s="209">
        <f>(IF(BS$7="X",VLOOKUP(BS$10,'VK-Hooned-Soojus'!$C:$X,2+$C88,FALSE),0)+IF(BS$6="X",VLOOKUP(BS$10,'VK-Transport'!$C:$X,2+$B88,0))+IF(BS$8="X",VLOOKUP(BS$10,'VK-Elekter'!$C:$X,2+$D88,0))+IF(BS$9="X",VLOOKUP(BS$10,'VK-Biokütused'!$C:$U,2+$E88,0))+IF(BS$5="X",VLOOKUP(BS$10,'VK-Põlevkivi'!$C:$X,2+$G88,0))+IF(BS$4="X",VLOOKUP(BS$10,'VK-Võrgud'!$C:$X,2+$F88,0)))/16</f>
        <v>-23.293749999999999</v>
      </c>
      <c r="BT88" s="209"/>
      <c r="BU88" s="209"/>
      <c r="BV88" s="209">
        <f>(IF(BV$7="X",VLOOKUP(BV$10,'VK-Hooned-Soojus'!$C:$X,2+$C88,FALSE),0)+IF(BV$6="X",VLOOKUP(BV$10,'VK-Transport'!$C:$X,2+$B88,0))+IF(BV$8="X",VLOOKUP(BV$10,'VK-Elekter'!$C:$X,2+$D88,0))+IF(BV$9="X",VLOOKUP(BV$10,'VK-Biokütused'!$C:$U,2+$E88,0))+IF(BV$5="X",VLOOKUP(BV$10,'VK-Põlevkivi'!$C:$X,2+$G88,0))+IF(BV$4="X",VLOOKUP(BV$10,'VK-Võrgud'!$C:$X,2+$F88,0)))/16</f>
        <v>0</v>
      </c>
      <c r="BW88" s="209"/>
      <c r="BX88" s="209">
        <f>(IF(BX$7="X",VLOOKUP(BX$10,'VK-Hooned-Soojus'!$C:$X,2+$C88,FALSE),0)+IF(BX$6="X",VLOOKUP(BX$10,'VK-Transport'!$C:$X,2+$B88,0))+IF(BX$8="X",VLOOKUP(BX$10,'VK-Elekter'!$C:$X,2+$D88,0))+IF(BX$9="X",VLOOKUP(BX$10,'VK-Biokütused'!$C:$U,2+$E88,0))+IF(BX$5="X",VLOOKUP(BX$10,'VK-Põlevkivi'!$C:$X,2+$G88,0))+IF(BX$4="X",VLOOKUP(BX$10,'VK-Võrgud'!$C:$X,2+$F88,0)))/16</f>
        <v>-99.6875</v>
      </c>
      <c r="BY88" s="209"/>
      <c r="BZ88" s="209"/>
      <c r="CA88" s="209" t="e">
        <f>(IF(CA$7="X",VLOOKUP(CA$10,'VK-Hooned-Soojus'!$C:$X,2+$C88,FALSE),0)+IF(CA$6="X",VLOOKUP(CA$10,'VK-Transport'!$C:$X,2+$B88,0))+IF(CA$8="X",VLOOKUP(CA$10,'VK-Elekter'!$C:$X,2+$D88,0))+IF(CA$9="X",VLOOKUP(CA$10,'VK-Biokütused'!$C:$U,2+$E88,0))+IF(CA$5="X",VLOOKUP(CA$10,'VK-Põlevkivi'!$C:$X,2+$G88,0))+IF(CA$4="X",VLOOKUP(CA$10,'VK-Võrgud'!$C:$X,2+$F88,0)))/16</f>
        <v>#N/A</v>
      </c>
      <c r="CB88" s="209">
        <f>(IF(CB$7="X",VLOOKUP(CB$10,'VK-Hooned-Soojus'!$C:$X,2+$C88,FALSE),0)+IF(CB$6="X",VLOOKUP(CB$10,'VK-Transport'!$C:$X,2+$B88,0))+IF(CB$8="X",VLOOKUP(CB$10,'VK-Elekter'!$C:$X,2+$D88,0))+IF(CB$9="X",VLOOKUP(CB$10,'VK-Biokütused'!$C:$U,2+$E88,0))+IF(CB$5="X",VLOOKUP(CB$10,'VK-Põlevkivi'!$C:$X,2+$G88,0))+IF(CB$4="X",VLOOKUP(CB$10,'VK-Võrgud'!$C:$X,2+$F88,0)))/16</f>
        <v>0</v>
      </c>
      <c r="CC88" s="209">
        <f>(IF(CC$7="X",VLOOKUP(CC$10,'VK-Hooned-Soojus'!$C:$X,2+$C88,FALSE),0)+IF(CC$6="X",VLOOKUP(CC$10,'VK-Transport'!$C:$X,2+$B88,0))+IF(CC$8="X",VLOOKUP(CC$10,'VK-Elekter'!$C:$X,2+$D88,0))+IF(CC$9="X",VLOOKUP(CC$10,'VK-Biokütused'!$C:$U,2+$E88,0))+IF(CC$5="X",VLOOKUP(CC$10,'VK-Põlevkivi'!$C:$X,2+$G88,0))+IF(CC$4="X",VLOOKUP(CC$10,'VK-Võrgud'!$C:$X,2+$F88,0)))/16</f>
        <v>0</v>
      </c>
      <c r="CD88" s="209"/>
      <c r="CE88" s="209">
        <f>(IF(CE$7="X",VLOOKUP(CE$10,'VK-Hooned-Soojus'!$C:$X,2+$C88,FALSE),0)+IF(CE$6="X",VLOOKUP(CE$10,'VK-Transport'!$C:$X,2+$B88,0))+IF(CE$8="X",VLOOKUP(CE$10,'VK-Elekter'!$C:$X,2+$D88,0))+IF(CE$9="X",VLOOKUP(CE$10,'VK-Biokütused'!$C:$U,2+$E88,0))+IF(CE$5="X",VLOOKUP(CE$10,'VK-Põlevkivi'!$C:$X,2+$G88,0))+IF(CE$4="X",VLOOKUP(CE$10,'VK-Võrgud'!$C:$X,2+$F88,0)))/16</f>
        <v>24.15625</v>
      </c>
      <c r="CF88" s="209"/>
      <c r="CG88" s="209">
        <f>(IF(CG$7="X",VLOOKUP(CG$10,'VK-Hooned-Soojus'!$C:$X,2+$C88,FALSE),0)+IF(CG$6="X",VLOOKUP(CG$10,'VK-Transport'!$C:$X,2+$B88,0))+IF(CG$8="X",VLOOKUP(CG$10,'VK-Elekter'!$C:$X,2+$D88,0))+IF(CG$9="X",VLOOKUP(CG$10,'VK-Biokütused'!$C:$U,2+$E88,0))+IF(CG$5="X",VLOOKUP(CG$10,'VK-Põlevkivi'!$C:$X,2+$G88,0))+IF(CG$4="X",VLOOKUP(CG$10,'VK-Võrgud'!$C:$X,2+$F88,0)))/16</f>
        <v>0</v>
      </c>
      <c r="CH88" s="209">
        <f>(IF(CH$7="X",VLOOKUP(CH$10,'VK-Hooned-Soojus'!$C:$X,2+$C88,FALSE),0)+IF(CH$6="X",VLOOKUP(CH$10,'VK-Transport'!$C:$X,2+$B88,0))+IF(CH$8="X",VLOOKUP(CH$10,'VK-Elekter'!$C:$X,2+$D88,0))+IF(CH$9="X",VLOOKUP(CH$10,'VK-Biokütused'!$C:$U,2+$E88,0))+IF(CH$5="X",VLOOKUP(CH$10,'VK-Põlevkivi'!$C:$X,2+$G88,0))+IF(CH$4="X",VLOOKUP(CH$10,'VK-Võrgud'!$C:$X,2+$F88,0)))/20*0.21</f>
        <v>26.9178</v>
      </c>
      <c r="CI88" s="209"/>
      <c r="CJ88" s="209">
        <f>(IF(CJ$7="X",VLOOKUP(CJ$10,'VK-Hooned-Soojus'!$C:$X,2+$C88,FALSE),0)+IF(CJ$6="X",VLOOKUP(CJ$10,'VK-Transport'!$C:$X,2+$B88,0))+IF(CJ$8="X",VLOOKUP(CJ$10,'VK-Elekter'!$C:$X,2+$D88,0))+IF(CJ$9="X",VLOOKUP(CJ$10,'VK-Biokütused'!$C:$U,2+$E88,0))+IF(CJ$5="X",VLOOKUP(CJ$10,'VK-Põlevkivi'!$C:$X,2+$G88,0))+IF(CJ$4="X",VLOOKUP(CJ$10,'VK-Võrgud'!$C:$X,2+$F88,0)))/1000</f>
        <v>17.477</v>
      </c>
      <c r="CK88" s="209">
        <f>(IF(CK$7="X",VLOOKUP(CK$10,'VK-Hooned-Soojus'!$C:$X,2+$C88,FALSE),0)+IF(CK$6="X",VLOOKUP(CK$10,'VK-Transport'!$C:$X,2+$B88,0))+IF(CK$8="X",VLOOKUP(CK$10,'VK-Elekter'!$C:$X,2+$D88,0))+IF(CK$9="X",VLOOKUP(CK$10,'VK-Biokütused'!$C:$U,2+$E88,0))+IF(CK$5="X",VLOOKUP(CK$10,'VK-Põlevkivi'!$C:$X,2+$G88,0))+IF(CK$4="X",VLOOKUP(CK$10,'VK-Võrgud'!$C:$X,2+$F88,0)))/1000</f>
        <v>11.223743209992719</v>
      </c>
      <c r="CL88" s="235">
        <f>(IF(CL$7="X",VLOOKUP(CL$10,'VK-Hooned-Soojus'!$C:$X,2+$C88,FALSE),0)+IF(CL$6="X",VLOOKUP(CL$10,'VK-Transport'!$C:$X,2+$B88,0))+IF(CL$8="X",VLOOKUP(CL$10,'VK-Elekter'!$C:$X,2+$D88,0))+IF(CL$9="X",VLOOKUP(CL$10,'VK-Biokütused'!$C:$U,2+$E88,0)))/1000</f>
        <v>8.07628955972379</v>
      </c>
      <c r="CM88" s="209">
        <f>(IF(CM$7="X",VLOOKUP(CM$10,'VK-Hooned-Soojus'!$C:$X,2+$C88,FALSE),0)+IF(CM$6="X",VLOOKUP(CM$10,'VK-Transport'!$C:$X,2+$B88,0))+IF(CM$8="X",VLOOKUP(CM$10,'VK-Elekter'!$C:$X,2+$D88,0))+IF(CM$9="X",VLOOKUP(CM$10,'VK-Biokütused'!$C:$U,2+$E88,0))+IF(CM$5="X",VLOOKUP(CM$10,'VK-Põlevkivi'!$C:$X,2+$G88,0))+IF(CM$4="X",VLOOKUP(CM$10,'VK-Võrgud'!$C:$X,2+$F88,0)))/1000</f>
        <v>7.5869999999999997</v>
      </c>
      <c r="CN88" s="209">
        <f>(IF(CN$7="X",VLOOKUP(CN$10,'VK-Hooned-Soojus'!$C:$X,2+$C88,FALSE),0)+IF(CN$6="X",VLOOKUP(CN$10,'VK-Transport'!$C:$X,2+$B88,0))+IF(CN$8="X",VLOOKUP(CN$10,'VK-Elekter'!$C:$X,2+$D88,0))+IF(CN$9="X",VLOOKUP(CN$10,'VK-Biokütused'!$C:$U,2+$E88,0))+IF(CN$5="X",VLOOKUP(CN$10,'VK-Põlevkivi'!$C:$X,2+$G88,0))+IF(CN$4="X",VLOOKUP(CN$10,'VK-Võrgud'!$C:$X,2+$F88,0)))/1000</f>
        <v>2.8980000000000001</v>
      </c>
      <c r="CO88" s="209">
        <f>(IF(CO$7="X",VLOOKUP(CO$10,'VK-Hooned-Soojus'!$C:$X,2+$C88,FALSE),0)+IF(CO$6="X",VLOOKUP(CO$10,'VK-Transport'!$C:$X,2+$B88,0))+IF(CO$8="X",VLOOKUP(CO$10,'VK-Elekter'!$C:$X,2+$D88,0))+IF(CO$9="X",VLOOKUP(CO$10,'VK-Biokütused'!$C:$U,2+$E88,0))+IF(CO$5="X",VLOOKUP(CO$10,'VK-Põlevkivi'!$C:$X,2+$G88,0))+IF(CO$4="X",VLOOKUP(CO$10,'VK-Võrgud'!$C:$X,2+$F88,0)))/1000</f>
        <v>23.833575210797282</v>
      </c>
      <c r="CP88" s="209">
        <f>(IF(CP$7="X",VLOOKUP(CP$10,'VK-Hooned-Soojus'!$C:$X,2+$C88,FALSE),0)+IF(CP$6="X",VLOOKUP(CP$10,'VK-Transport'!$C:$X,2+$B88,0))+IF(CP$8="X",VLOOKUP(CP$10,'VK-Elekter'!$C:$X,2+$D88,0))+IF(CP$9="X",VLOOKUP(CP$10,'VK-Biokütused'!$C:$U,2+$E88,0))+IF(CP$5="X",VLOOKUP(CP$10,'VK-Põlevkivi'!$C:$X,2+$G88,0))+IF(CP$4="X",VLOOKUP(CP$10,'VK-Võrgud'!$C:$X,2+$F88,0)))/1000</f>
        <v>13.405994830349824</v>
      </c>
      <c r="CQ88" s="235">
        <f>(IF(CQ$7="X",VLOOKUP(CQ$10,'VK-Hooned-Soojus'!$C:$X,2+$C88,FALSE),0)+IF(CQ$6="X",VLOOKUP(CQ$10,'VK-Transport'!$C:$X,2+$B88,0))+IF(CQ$8="X",VLOOKUP(CQ$10,'VK-Elekter'!$C:$X,2+$D88,0))+IF(CQ$9="X",VLOOKUP(CQ$10,'VK-Biokütused'!$C:$U,2+$E88,0)))/1000</f>
        <v>10.527346</v>
      </c>
      <c r="CR88" s="209">
        <f>(IF(CR$7="X",VLOOKUP(CR$10,'VK-Hooned-Soojus'!$C:$X,2+$C88,FALSE),0)+IF(CR$6="X",VLOOKUP(CR$10,'VK-Transport'!$C:$X,2+$B88,0))+IF(CR$8="X",VLOOKUP(CR$10,'VK-Elekter'!$C:$X,2+$D88,0))+IF(CR$9="X",VLOOKUP(CR$10,'VK-Biokütused'!$C:$U,2+$E88,0))+IF(CR$5="X",VLOOKUP(CR$10,'VK-Põlevkivi'!$C:$X,2+$G88,0))+IF(CR$4="X",VLOOKUP(CR$10,'VK-Võrgud'!$C:$X,2+$F88,0)))/1000</f>
        <v>7.6910872784575748</v>
      </c>
      <c r="CS88" s="209">
        <f>(IF(CS$7="X",VLOOKUP(CS$10,'VK-Hooned-Soojus'!$C:$X,2+$C88,FALSE),0)+IF(CS$6="X",VLOOKUP(CS$10,'VK-Transport'!$C:$X,2+$B88,0))+IF(CS$8="X",VLOOKUP(CS$10,'VK-Elekter'!$C:$X,2+$D88,0))+IF(CS$9="X",VLOOKUP(CS$10,'VK-Biokütused'!$C:$U,2+$E88,0))+IF(CS$5="X",VLOOKUP(CS$10,'VK-Põlevkivi'!$C:$X,2+$G88,0))+IF(CS$4="X",VLOOKUP(CS$10,'VK-Võrgud'!$C:$X,2+$F88,0)))/1000</f>
        <v>3.7943344900598324</v>
      </c>
      <c r="CT88" s="209">
        <f>IF(CT$7="X",VLOOKUP(CT$10,'VK-Hooned-Soojus'!$C:$X,2+$C88,FALSE),0)+IF(CT$6="X",VLOOKUP(CT$10,'VK-Transport'!$C:$X,2+$B88,0))+IF(CT$8="X",VLOOKUP(CT$10,'VK-Elekter'!$C:$X,2+$D88,0))+IF(CT$9="X",VLOOKUP(CT$10,'VK-Biokütused'!$C:$U,2+$E88,0))+IF(CT$5="X",VLOOKUP(CT$10,'VK-Põlevkivi'!$C:$X,2+$G88,0))+IF(CT$4="X",VLOOKUP(CT$10,'VK-Võrgud'!$C:$X,2+$F88,0))</f>
        <v>90</v>
      </c>
      <c r="CU88" s="209">
        <f>IF(CU$7="X",VLOOKUP(CU$10,'VK-Hooned-Soojus'!$C:$X,2+$C88,FALSE),0)+IF(CU$6="X",VLOOKUP(CU$10,'VK-Transport'!$C:$X,2+$B88,0))+IF(CU$8="X",VLOOKUP(CU$10,'VK-Elekter'!$C:$X,2+$D88,0))+IF(CU$9="X",VLOOKUP(CU$10,'VK-Biokütused'!$C:$U,2+$E88,0))+IF(CU$5="X",VLOOKUP(CU$10,'VK-Põlevkivi'!$C:$X,2+$G88,0))+IF(CU$4="X",VLOOKUP(CU$10,'VK-Võrgud'!$C:$X,2+$F88,0))</f>
        <v>0.72088353413654627</v>
      </c>
      <c r="CV88" s="209">
        <f t="shared" si="49"/>
        <v>0.84317482403548605</v>
      </c>
      <c r="CW88" s="209">
        <f>(IF(CW$7="X",VLOOKUP(CW$10,'VK-Hooned-Soojus'!$C:$X,2+$C88,FALSE),0)+IF(CW$6="X",VLOOKUP(CW$10,'VK-Transport'!$C:$X,2+$B88,0))+IF(CW$8="X",VLOOKUP(CW$10,'VK-Elekter'!$C:$X,2+$D88,0))+IF(CW$9="X",VLOOKUP(CW$10,'VK-Biokütused'!$C:$U,2+$E88,0))+IF(CW$5="X",VLOOKUP(CW$10,'VK-Põlevkivi'!$C:$X,2+$G88,0))+IF(CW$4="X",VLOOKUP(CW$10,'VK-Võrgud'!$C:$X,2+$F88,0)))/16</f>
        <v>126.01875</v>
      </c>
      <c r="CY88" s="209">
        <f>(IF(CY$7="X",VLOOKUP(CY$10,'VK-Hooned-Soojus'!$C:$X,2+$C88,FALSE),0)+IF(CY$6="X",VLOOKUP(CY$10,'VK-Transport'!$C:$X,2+$B88,0))+IF(CY$8="X",VLOOKUP(CY$10,'VK-Elekter'!$C:$X,2+$D88,0))+IF(CY$9="X",VLOOKUP(CY$10,'VK-Biokütused'!$C:$U,2+$E88,0))+IF(CY$5="X",VLOOKUP(CY$10,'VK-Põlevkivi'!$C:$X,2+$G88,0))+IF(CY$4="X",VLOOKUP(CY$10,'VK-Võrgud'!$C:$X,2+$F88,0)))/1000</f>
        <v>10.528</v>
      </c>
      <c r="CZ88" s="209">
        <f>(IF(CZ$7="X",VLOOKUP(CZ$10,'VK-Hooned-Soojus'!$C:$X,2+$C88,FALSE),0)+IF(CZ$6="X",VLOOKUP(CZ$10,'VK-Transport'!$C:$X,2+$B88,0))+IF(CZ$8="X",VLOOKUP(CZ$10,'VK-Elekter'!$C:$X,2+$D88,0))+IF(CZ$9="X",VLOOKUP(CZ$10,'VK-Biokütused'!$C:$U,2+$E88,0))+IF(CZ$5="X",VLOOKUP(CZ$10,'VK-Põlevkivi'!$C:$X,2+$G88,0))+IF(CZ$4="X",VLOOKUP(CZ$10,'VK-Võrgud'!$C:$X,2+$F88,0)))</f>
        <v>71</v>
      </c>
      <c r="DA88" s="209">
        <f>(IF(DA$7="X",VLOOKUP(DA$10,'VK-Hooned-Soojus'!$C:$X,2+$C88,FALSE),0)+IF(DA$6="X",VLOOKUP(DA$10,'VK-Transport'!$C:$X,2+$B88,0))+IF(DA$8="X",VLOOKUP(DA$10,'VK-Elekter'!$C:$X,2+$D88,0))+IF(DA$9="X",VLOOKUP(DA$10,'VK-Biokütused'!$C:$U,2+$E88,0))+IF(DA$5="X",VLOOKUP(DA$10,'VK-Põlevkivi'!$C:$X,2+$G88,0))+IF(DA$4="X",VLOOKUP(DA$10,'VK-Võrgud'!$C:$X,2+$F88,0)))/1000</f>
        <v>14.121</v>
      </c>
      <c r="DB88" s="209">
        <f>(IF(DB$7="X",VLOOKUP(DB$10,'VK-Hooned-Soojus'!$C:$X,2+$C88,FALSE),0)+IF(DB$6="X",VLOOKUP(DB$10,'VK-Transport'!$C:$X,2+$B88,0))+IF(DB$8="X",VLOOKUP(DB$10,'VK-Elekter'!$C:$X,2+$D88,0))+IF(DB$9="X",VLOOKUP(DB$10,'VK-Biokütused'!$C:$U,2+$E88,0))+IF(DB$5="X",VLOOKUP(DB$10,'VK-Põlevkivi'!$C:$X,2+$G88,0))+IF(DB$4="X",VLOOKUP(DB$10,'VK-Võrgud'!$C:$X,2+$F88,0)))/1000/3.6</f>
        <v>62.49722222222222</v>
      </c>
      <c r="DC88" s="209">
        <f>(IF(DC$7="X",VLOOKUP(DC$10,'VK-Hooned-Soojus'!$C:$X,2+$C88,FALSE),0)+IF(DC$6="X",VLOOKUP(DC$10,'VK-Transport'!$C:$X,2+$B88,0))+IF(DC$8="X",VLOOKUP(DC$10,'VK-Elekter'!$C:$X,2+$D88,0))+IF(DC$9="X",VLOOKUP(DC$10,'VK-Biokütused'!$C:$U,2+$E88,0))+IF(DC$5="X",VLOOKUP(DC$10,'VK-Põlevkivi'!$C:$X,2+$G88,0))+IF(DC$4="X",VLOOKUP(DC$10,'VK-Võrgud'!$C:$X,2+$F88,0)))/1000000</f>
        <v>5.0328989999999996</v>
      </c>
      <c r="DD88" s="209"/>
      <c r="DE88" s="88">
        <f>VLOOKUP(Tulemused!$BN$12,data!M$7:N$12,2,FALSE)-SUM(L88,M88)</f>
        <v>-0.77386666666667736</v>
      </c>
      <c r="DF88" s="209" t="str">
        <f>IF(AZ88&lt;=VLOOKUP(Tulemused!$BN$15,data!$E$36:$F$39,2,FALSE),"JAH","EI")</f>
        <v>JAH</v>
      </c>
      <c r="DG88" s="209"/>
      <c r="DH88" s="209">
        <f t="shared" si="50"/>
        <v>6.08</v>
      </c>
      <c r="DI88" s="231" t="str">
        <f t="shared" si="65"/>
        <v>EI</v>
      </c>
      <c r="DK88" s="232">
        <f t="shared" si="51"/>
        <v>-994.83875277701179</v>
      </c>
      <c r="DM88" s="233">
        <f t="shared" si="52"/>
        <v>-995.3679543527885</v>
      </c>
      <c r="DN88" s="87">
        <f t="array" ref="DN88">INDEX($A$11:$A$145, SMALL(IF(DM88=$DK$11:$DK$145, MATCH(ROW($DK$11:$DK$145), ROW($DK$11:$DK$145))), SUM(--(DM88=$DM$11:DM88))))</f>
        <v>10</v>
      </c>
      <c r="DP88" s="87" t="e">
        <f t="shared" ca="1" si="66"/>
        <v>#N/A</v>
      </c>
      <c r="DQ88" s="87" t="e">
        <f t="shared" ca="1" si="67"/>
        <v>#N/A</v>
      </c>
      <c r="DR88" s="87">
        <f t="shared" ca="1" si="68"/>
        <v>0</v>
      </c>
      <c r="DS88" s="87" t="e">
        <f t="shared" ca="1" si="69"/>
        <v>#N/A</v>
      </c>
      <c r="DT88" s="87">
        <f t="shared" ca="1" si="70"/>
        <v>0</v>
      </c>
      <c r="DU88" s="87" t="e">
        <f t="shared" ca="1" si="71"/>
        <v>#N/A</v>
      </c>
      <c r="DV88" s="87" t="e">
        <f t="shared" ca="1" si="72"/>
        <v>#N/A</v>
      </c>
      <c r="DW88" s="87">
        <f t="shared" ca="1" si="73"/>
        <v>0</v>
      </c>
      <c r="DX88" s="87">
        <f t="shared" ca="1" si="74"/>
        <v>0</v>
      </c>
      <c r="DZ88" s="87">
        <f t="shared" ca="1" si="35"/>
        <v>0</v>
      </c>
      <c r="EB88" s="87">
        <f t="shared" ca="1" si="75"/>
        <v>0</v>
      </c>
      <c r="EC88" s="87" t="e">
        <f t="shared" ca="1" si="76"/>
        <v>#N/A</v>
      </c>
      <c r="EE88" s="228">
        <f>(IF(EE$7="X",VLOOKUP(EE$10,'VK-Hooned-Soojus'!$C:$X,2+$C88,FALSE),0)+IF(EE$6="X",VLOOKUP(EE$10,'VK-Transport'!$C:$X,2+$B88,0))+IF(EE$8="X",VLOOKUP(EE$10,'VK-Elekter'!$C:$X,2+$D88,0))+IF(EE$9="X",VLOOKUP(EE$10,'VK-Biokütused'!$C:$U,2+$E88,0))+IF(EE$5="X",VLOOKUP(EE$10,'VK-Põlevkivi'!$C:$X,2+$G88,0))+IF(EE$4="X",VLOOKUP(EE$10,'VK-Võrgud'!$C:$X,2+$F88,0)))</f>
        <v>10170.875157798135</v>
      </c>
      <c r="EF88" s="235">
        <f>(IF(EF$7="X",VLOOKUP(EF$10,'VK-Hooned-Soojus'!$C:$X,2+$C88,FALSE),0)+IF(EF$6="X",VLOOKUP(EF$10,'VK-Transport'!$C:$X,2+$B88,0))+IF(EF$8="X",VLOOKUP(EF$10,'VK-Elekter'!$C:$X,2+$D88,0))+IF(EF$9="X",VLOOKUP(EF$10,'VK-Biokütused'!$C:$U,2+$E88,0)))/1000</f>
        <v>4.08638232712297</v>
      </c>
      <c r="EG88" s="209">
        <f>(IF(EG$7="X",VLOOKUP(EG$10,'VK-Hooned-Soojus'!$C:$X,2+$C88,FALSE),0)+IF(EG$6="X",VLOOKUP(EG$10,'VK-Transport'!$C:$X,2+$B88,0))+IF(EG$8="X",VLOOKUP(EG$10,'VK-Elekter'!$C:$X,2+$D88,0))+IF(EG$9="X",VLOOKUP(EG$10,'VK-Biokütused'!$C:$U,2+$E88,0))+IF(EG$5="X",VLOOKUP(EG$10,'VK-Põlevkivi'!$C:$X,2+$G88,0))+IF(EG$4="X",VLOOKUP(EG$10,'VK-Võrgud'!$C:$X,2+$F88,0)))</f>
        <v>0.81</v>
      </c>
      <c r="EH88" s="209">
        <f>(IF(EH$7="X",VLOOKUP(EH$10,'VK-Hooned-Soojus'!$C:$X,2+$C88,FALSE),0)+IF(EH$6="X",VLOOKUP(EH$10,'VK-Transport'!$C:$X,2+$B88,0))+IF(EH$8="X",VLOOKUP(EH$10,'VK-Elekter'!$C:$X,2+$D88,0))+IF(EH$9="X",VLOOKUP(EH$10,'VK-Biokütused'!$C:$U,2+$E88,0)))+AR88+AS88+AU88+AX88</f>
        <v>54.718667065771868</v>
      </c>
      <c r="EI88" s="320">
        <f t="shared" si="53"/>
        <v>46.480678294573643</v>
      </c>
      <c r="EJ88" s="322">
        <f t="shared" si="54"/>
        <v>2.3391437578713474E-2</v>
      </c>
      <c r="EK88" s="323">
        <f t="shared" si="77"/>
        <v>0.39754723427955507</v>
      </c>
      <c r="EM88" s="209"/>
      <c r="EN88" s="209">
        <f t="shared" ca="1" si="55"/>
        <v>0</v>
      </c>
      <c r="EO88" s="209"/>
      <c r="EP88" s="234"/>
      <c r="EQ88" s="209">
        <f>(IF(EQ$7="X",VLOOKUP(EQ$10,'VK-Hooned-Soojus'!$C:$X,2+$C88,FALSE),0)+IF(EQ$6="X",VLOOKUP(EQ$10,'VK-Transport'!$C:$X,2+$B88,0))+IF(EQ$8="X",VLOOKUP(EQ$10,'VK-Elekter'!$C:$X,2+$D88,0))+IF(EQ$9="X",VLOOKUP(EQ$10,'VK-Biokütused'!$C:$U,2+$E88,0))+IF(EQ$5="X",VLOOKUP(EQ$10,'VK-Põlevkivi'!$C:$X,2+$G88,0))+IF(EQ$4="X",VLOOKUP(EQ$10,'VK-Võrgud'!$C:$X,2+$F88,0)))/1000</f>
        <v>0.19900000000000001</v>
      </c>
      <c r="ER88" s="209">
        <f>(IF(ER$7="X",VLOOKUP(ER$10,'VK-Hooned-Soojus'!$C:$X,2+$C88,FALSE),0)+IF(ER$6="X",VLOOKUP(ER$10,'VK-Transport'!$C:$X,2+$B88,0))+IF(ER$8="X",VLOOKUP(ER$10,'VK-Elekter'!$C:$X,2+$D88,0))+IF(ER$9="X",VLOOKUP(ER$10,'VK-Biokütused'!$C:$U,2+$E88,0))+IF(ER$5="X",VLOOKUP(ER$10,'VK-Põlevkivi'!$C:$X,2+$G88,0))+IF(ER$4="X",VLOOKUP(ER$10,'VK-Võrgud'!$C:$X,2+$F88,0)))</f>
        <v>0.72299999999999998</v>
      </c>
      <c r="ES88" s="209">
        <f>(IF(ES$7="X",VLOOKUP(ES$10,'VK-Hooned-Soojus'!$C:$X,2+$C88,FALSE),0)+IF(ES$6="X",VLOOKUP(ES$10,'VK-Transport'!$C:$X,2+$B88,0))+IF(ES$8="X",VLOOKUP(ES$10,'VK-Elekter'!$C:$X,2+$D88,0))+IF(ES$9="X",VLOOKUP(ES$10,'VK-Biokütused'!$C:$U,2+$E88,0))+IF(ES$5="X",VLOOKUP(ES$10,'VK-Põlevkivi'!$C:$X,2+$G88,0))+IF(ES$4="X",VLOOKUP(ES$10,'VK-Võrgud'!$C:$X,2+$F88,0)))</f>
        <v>6.08</v>
      </c>
      <c r="ET88" s="209"/>
      <c r="EU88" s="209"/>
      <c r="EV88" s="87">
        <f>'KSH järjestus'!AS81</f>
        <v>1139</v>
      </c>
      <c r="EX88" s="236"/>
      <c r="EY88" s="236"/>
      <c r="EZ88" s="237">
        <f t="shared" si="56"/>
        <v>0.27911646586345373</v>
      </c>
      <c r="FA88" s="209">
        <f>IF(FA$7="X",VLOOKUP(FA$10,'VK-Hooned-Soojus'!$C:$X,2+$C88,FALSE),0)+IF(FA$6="X",VLOOKUP(FA$10,'VK-Transport'!$C:$X,2+$B88,0))+IF(FA$8="X",VLOOKUP(FA$10,'VK-Elekter'!$C:$X,2+$D88,0))+IF(FA$9="X",VLOOKUP(FA$10,'VK-Biokütused'!$C:$U,2+$E88,0))+IF(FA$5="X",VLOOKUP(FA$10,'VK-Põlevkivi'!$C:$X,2+$G88,0))+IF(FA$4="X",VLOOKUP(FA$10,'VK-Võrgud'!$C:$X,2+$F88,0))</f>
        <v>3298.346</v>
      </c>
      <c r="FB88" s="279">
        <f>(IF(FB$7="X",VLOOKUP(FB$10,'VK-Hooned-Soojus'!$C:$X,2+$C88,FALSE),0)+IF(FB$6="X",VLOOKUP(FB$10,'VK-Transport'!$C:$X,2+$B88,0))+IF(FB$8="X",VLOOKUP(FB$10,'VK-Elekter'!$C:$X,2+$D88,0))+IF(FB$9="X",VLOOKUP(FB$10,'VK-Biokütused'!$C:$U,2+$E88,0))+IF(FB$5="X",VLOOKUP(FB$10,'VK-Põlevkivi'!$C:$X,2+$G88,0))+IF(FB$4="X",VLOOKUP(FB$10,'VK-Võrgud'!$C:$X,2+$F88,0)))/16</f>
        <v>478.54001949888709</v>
      </c>
      <c r="FC88" s="209">
        <f>IF(FC$7="X",VLOOKUP(FC$10,'VK-Hooned-Soojus'!$C:$X,2+$C88,FALSE),0)+IF(FC$6="X",VLOOKUP(FC$10,'VK-Transport'!$C:$X,2+$B88,0))+IF(FC$8="X",VLOOKUP(FC$10,'VK-Elekter'!$C:$X,2+$D88,0))+IF(FC$9="X",VLOOKUP(FC$10,'VK-Biokütused'!$C:$U,2+$E88,0))+IF(FC$5="X",VLOOKUP(FC$10,'VK-Põlevkivi'!$C:$X,2+$G88,0))+IF(FC$4="X",VLOOKUP(FC$10,'VK-Võrgud'!$C:$X,2+$F88,0))</f>
        <v>297.04999999999995</v>
      </c>
      <c r="FD88" s="209">
        <f>(IF(FD$7="X",VLOOKUP(FD$10,'VK-Hooned-Soojus'!$C:$X,2+$C88,FALSE),0)+IF(FD$6="X",VLOOKUP(FD$10,'VK-Transport'!$C:$X,2+$B88,0))+IF(FD$8="X",VLOOKUP(FD$10,'VK-Elekter'!$C:$X,2+$D88,0))+IF(FD$9="X",VLOOKUP(FD$10,'VK-Biokütused'!$C:$U,2+$E88,0))+IF(FD$5="X",VLOOKUP(FD$10,'VK-Põlevkivi'!$C:$X,2+$G88,0))+IF(FD$4="X",VLOOKUP(FD$10,'VK-Võrgud'!$C:$X,2+$F88,0)))/16</f>
        <v>478.54001949888709</v>
      </c>
      <c r="FE88" s="209">
        <f>(IF(FE$7="X",VLOOKUP(FE$10,'VK-Hooned-Soojus'!$C:$X,2+$C88,FALSE),0)+IF(FE$6="X",VLOOKUP(FE$10,'VK-Transport'!$C:$X,2+$B88,0))+IF(FE$8="X",VLOOKUP(FE$10,'VK-Elekter'!$C:$X,2+$D88,0))+IF(FE$9="X",VLOOKUP(FE$10,'VK-Biokütused'!$C:$U,2+$E88,0))+IF(FE$5="X",VLOOKUP(FE$10,'VK-Põlevkivi'!$C:$X,2+$G88,0))+IF(FE$4="X",VLOOKUP(FE$10,'VK-Võrgud'!$C:$X,2+$F88,0)))/16</f>
        <v>-181.84206369909103</v>
      </c>
      <c r="FF88" s="209">
        <f>(IF(FF$7="X",VLOOKUP(FF$10,'VK-Hooned-Soojus'!$C:$X,2+$C88,FALSE),0)+IF(FF$6="X",VLOOKUP(FF$10,'VK-Transport'!$C:$X,2+$B88,0))+IF(FF$8="X",VLOOKUP(FF$10,'VK-Elekter'!$C:$X,2+$D88,0))+IF(FF$9="X",VLOOKUP(FF$10,'VK-Biokütused'!$C:$U,2+$E88,0))+IF(FF$5="X",VLOOKUP(FF$10,'VK-Põlevkivi'!$C:$X,2+$G88,0))+IF(FF$4="X",VLOOKUP(FF$10,'VK-Võrgud'!$C:$X,2+$F88,0)))/16</f>
        <v>193.97142597171108</v>
      </c>
      <c r="FG88" s="88">
        <f t="shared" ca="1" si="78"/>
        <v>12.129362272620057</v>
      </c>
      <c r="FH88" s="88"/>
      <c r="FI88" s="88"/>
      <c r="FJ88" s="88">
        <f>VLOOKUP(Tulemused!$BN$12,data!M$7:N$12,2,FALSE)-SUM(L88,M88)</f>
        <v>-0.77386666666667736</v>
      </c>
      <c r="FK88" s="209" t="str">
        <f>IF(AZ88&lt;=VLOOKUP(Tulemused!$BN$15,data!$E$36:$F$39,2,FALSE),"JAH","EI")</f>
        <v>JAH</v>
      </c>
      <c r="FL88" s="235">
        <f ca="1">IF(ISNA(MATCH($A88,INDIRECT(VLOOKUP(Tulemused!$BF$11,data!$J$57:$M$71,4,FALSE)))),0,MATCH($A88,INDIRECT(VLOOKUP(Tulemused!$BF$11,data!$J$57:$M$71,4,FALSE))))</f>
        <v>0</v>
      </c>
      <c r="FM88" s="235" t="str">
        <f t="shared" ca="1" si="57"/>
        <v>JAH</v>
      </c>
      <c r="FN88" s="209">
        <f>VLOOKUP(Tulemused!$BN$13,data!$C$132:$D$137,2,FALSE)-KOMBI!R88</f>
        <v>3.2603876728770307</v>
      </c>
      <c r="FO88" s="209"/>
      <c r="FP88" s="209">
        <f>VLOOKUP(Tulemused!$BN$17,NO_x,2,FALSE)-CJ88</f>
        <v>11.960999999999999</v>
      </c>
      <c r="FQ88" s="209">
        <f>VLOOKUP(Tulemused!$BN$18,SO_2,2,FALSE)-CK88</f>
        <v>40.660256790007281</v>
      </c>
      <c r="FR88" s="209">
        <f>VLOOKUP(Tulemused!$BN$19,LOU,2,FALSE)-CN88</f>
        <v>34.182000000000002</v>
      </c>
      <c r="FS88" s="209">
        <f>VLOOKUP(Tulemused!$BN$20,PM_2.5,2,FALSE)-CM88</f>
        <v>9.3279999999999994</v>
      </c>
      <c r="FT88" s="209">
        <f>VLOOKUP(Tulemused!$BN$13,data!$C$132:$D$137,2,FALSE)-FA88/1000</f>
        <v>2.9476240000000007</v>
      </c>
      <c r="FU88" s="209">
        <f>VLOOKUP(Tulemused!$BN$17,NO_x,2,FALSE)-CO88</f>
        <v>5.6044247892027172</v>
      </c>
      <c r="FV88" s="209">
        <f>VLOOKUP(Tulemused!$BN$18,SO_2,2,FALSE)-CP88</f>
        <v>38.478005169650174</v>
      </c>
      <c r="FW88" s="209">
        <f>VLOOKUP(Tulemused!$BN$19,LOU,2,FALSE)-CS88</f>
        <v>33.285665509940173</v>
      </c>
      <c r="FX88" s="209">
        <f>VLOOKUP(Tulemused!$BN$20,PM_2.5,2,FALSE)-CR88</f>
        <v>9.2239127215424244</v>
      </c>
      <c r="FY88" s="209">
        <f>VLOOKUP(Tulemused!$BN$14,KHG_2050,2,FALSE)-EF88</f>
        <v>95.913617672877024</v>
      </c>
      <c r="FZ88" s="231" t="str">
        <f t="shared" ca="1" si="79"/>
        <v>EI</v>
      </c>
      <c r="GA88" s="209"/>
      <c r="GB88" s="209"/>
      <c r="GC88" s="209"/>
      <c r="GD88" s="231"/>
      <c r="GE88" s="87">
        <f t="shared" si="58"/>
        <v>1139</v>
      </c>
      <c r="GF88" s="232" t="str">
        <f t="shared" ca="1" si="80"/>
        <v/>
      </c>
      <c r="GH88" s="238" t="e">
        <f t="shared" ca="1" si="59"/>
        <v>#NUM!</v>
      </c>
      <c r="GI88" s="87" t="e">
        <f t="array" aca="1" ref="GI88" ca="1">INDEX($A$11:$A$145, SMALL(IF(GH88=$GF$11:$GF$145, MATCH(ROW($GF$11:$GF$145), ROW($GF$11:$GF$145))), SUM(--(GH88=$GH$11:GH88))))</f>
        <v>#NUM!</v>
      </c>
      <c r="GM88" s="209">
        <f>IF(GM$7="X",VLOOKUP(GM$10,'VK-Hooned-Soojus'!$C:$X,2+$C88,FALSE),0)+IF(GM$6="X",VLOOKUP(GM$10,'VK-Transport'!$C:$X,2+$B88,0))+IF(GM$8="X",VLOOKUP(GM$10,'VK-Elekter'!$C:$X,2+$D88,0))+IF(GM$9="X",VLOOKUP(GM$10,'VK-Biokütused'!$C:$U,2+$E88,0))+IF(GM$5="X",VLOOKUP(GM$10,'VK-Põlevkivi'!$C:$X,2+$G88,0))+IF(GM$4="X",VLOOKUP(GM$10,'VK-Võrgud'!$C:$X,2+$F88,0))</f>
        <v>6.012827991027228</v>
      </c>
      <c r="GN88" s="209">
        <f>IF(GN$7="X",VLOOKUP(GN$10,'VK-Hooned-Soojus'!$C:$X,2+$C88,FALSE),0)+IF(GN$6="X",VLOOKUP(GN$10,'VK-Transport'!$C:$X,2+$B88,0))+IF(GN$8="X",VLOOKUP(GN$10,'VK-Elekter'!$C:$X,2+$D88,0))+IF(GN$9="X",VLOOKUP(GN$10,'VK-Biokütused'!$C:$U,2+$E88,0))+IF(GN$5="X",VLOOKUP(GN$10,'VK-Põlevkivi'!$C:$X,2+$G88,0))+IF(GN$4="X",VLOOKUP(GN$10,'VK-Võrgud'!$C:$X,2+$F88,0))</f>
        <v>3.4467619395011728</v>
      </c>
      <c r="GO88" s="209">
        <f>IF(GO$7="X",VLOOKUP(GO$10,'VK-Hooned-Soojus'!$C:$X,2+$C88,FALSE),0)+IF(GO$6="X",VLOOKUP(GO$10,'VK-Transport'!$C:$X,2+$B88,0))+IF(GO$8="X",VLOOKUP(GO$10,'VK-Elekter'!$C:$X,2+$D88,0))+IF(GO$9="X",VLOOKUP(GO$10,'VK-Biokütused'!$C:$U,2+$E88,0))+IF(GO$5="X",VLOOKUP(GO$10,'VK-Põlevkivi'!$C:$X,2+$G88,0))+IF(GO$4="X",VLOOKUP(GO$10,'VK-Võrgud'!$C:$X,2+$F88,0))</f>
        <v>7.5763700102722566</v>
      </c>
      <c r="GP88" s="209">
        <f>IF(GP$7="X",VLOOKUP(GP$10,'VK-Hooned-Soojus'!$C:$X,2+$C88,FALSE),0)+IF(GP$6="X",VLOOKUP(GP$10,'VK-Transport'!$C:$X,2+$B88,0))+IF(GP$8="X",VLOOKUP(GP$10,'VK-Elekter'!$C:$X,2+$D88,0))+IF(GP$9="X",VLOOKUP(GP$10,'VK-Biokütused'!$C:$U,2+$E88,0))+IF(GP$5="X",VLOOKUP(GP$10,'VK-Põlevkivi'!$C:$X,2+$G88,0))+IF(GP$4="X",VLOOKUP(GP$10,'VK-Võrgud'!$C:$X,2+$F88,0))</f>
        <v>8.9326558040707589</v>
      </c>
      <c r="GQ88" s="88">
        <f>IF(GQ$7="X",VLOOKUP(GQ$10,'VK-Hooned-Soojus'!$C:$X,2+$C88,FALSE),0)+IF(GQ$6="X",VLOOKUP(GQ$10,'VK-Transport'!$C:$X,2+$B88,0))+IF(GQ$8="X",VLOOKUP(GQ$10,'VK-Elekter'!$C:$X,2+$D88,0))+IF(GQ$9="X",VLOOKUP(GQ$10,'VK-Biokütused'!$C:$U,2+$E88,0))+IF(GQ$5="X",VLOOKUP(GQ$10,'VK-Põlevkivi'!$C:$X,2+$G88,0))+IF(GQ$4="X",VLOOKUP(GQ$10,'VK-Võrgud'!$C:$X,2+$F88,0))</f>
        <v>0.90618397335647782</v>
      </c>
      <c r="GR88" s="186">
        <f t="shared" si="81"/>
        <v>0.39532637523095843</v>
      </c>
    </row>
    <row r="89" spans="1:200" x14ac:dyDescent="0.2">
      <c r="A89" s="184">
        <v>79</v>
      </c>
      <c r="B89" s="87">
        <v>2</v>
      </c>
      <c r="C89" s="87">
        <v>3</v>
      </c>
      <c r="D89" s="87">
        <v>2</v>
      </c>
      <c r="E89" s="87">
        <v>1</v>
      </c>
      <c r="F89" s="87">
        <f>VLOOKUP(Tulemused!$BF$7,data!$J$6:$K$8,2,FALSE)</f>
        <v>2</v>
      </c>
      <c r="G89" s="87">
        <f>VLOOKUP(data!$H$2,data!$J$12:$K$14,2,FALSE)</f>
        <v>2</v>
      </c>
      <c r="I89" s="209">
        <f>IF(I$7="X",VLOOKUP(I$10,'VK-Hooned-Soojus'!$C:$X,2+$C89,FALSE),0)+IF(I$6="X",VLOOKUP(I$10,'VK-Transport'!$C:$X,2+$B89,0))+IF(I$8="X",VLOOKUP(I$10,'VK-Elekter'!$C:$X,2+$D89,0))+IF(I$9="X",VLOOKUP(I$10,'VK-Biokütused'!$C:$U,2+$E89,0))+IF(I$5="X",VLOOKUP(I$10,'VK-Põlevkivi'!$C:$X,2+$G89,0))+IF(I$4="X",VLOOKUP(I$10,'VK-Võrgud'!$C:$X,2+$F89,0))</f>
        <v>23.490000000000002</v>
      </c>
      <c r="J89" s="209">
        <f>IF(J$7="X",VLOOKUP(J$10,'VK-Hooned-Soojus'!$C:$X,2+$C89,FALSE),0)+IF(J$6="X",VLOOKUP(J$10,'VK-Transport'!$C:$X,2+$B89,0))+IF(J$8="X",VLOOKUP(J$10,'VK-Elekter'!$C:$X,2+$D89,0))+IF(J$9="X",VLOOKUP(J$10,'VK-Biokütused'!$C:$U,2+$E89,0))+IF(J$5="X",VLOOKUP(J$10,'VK-Põlevkivi'!$C:$X,2+$G89,0))+IF(J$4="X",VLOOKUP(J$10,'VK-Võrgud'!$C:$X,2+$F89,0))</f>
        <v>11.138055555555555</v>
      </c>
      <c r="K89" s="209">
        <f>IF(K$7="X",VLOOKUP(K$10,'VK-Hooned-Soojus'!$C:$X,2+$C89,FALSE),0)+IF(K$6="X",VLOOKUP(K$10,'VK-Transport'!$C:$X,2+$B89,0))+IF(K$8="X",VLOOKUP(K$10,'VK-Elekter'!$C:$X,2+$D89,0))+IF(K$9="X",VLOOKUP(K$10,'VK-Biokütused'!$C:$U,2+$E89,0))+IF(K$5="X",VLOOKUP(K$10,'VK-Põlevkivi'!$C:$X,2+$G89,0))+IF(K$4="X",VLOOKUP(K$10,'VK-Võrgud'!$C:$X,2+$F89,0))</f>
        <v>13.780000000000001</v>
      </c>
      <c r="L89" s="209">
        <f>IF(L$7="X",VLOOKUP(L$10,'VK-Hooned-Soojus'!$C:$X,2+$C89,FALSE),0)+IF(L$6="X",VLOOKUP(L$10,'VK-Transport'!$C:$X,2+$B89,0))+IF(L$8="X",VLOOKUP(L$10,'VK-Elekter'!$C:$X,2+$D89,0))+IF(L$9="X",VLOOKUP(L$10,'VK-Biokütused'!$C:$U,2+$E89,0))+IF(L$5="X",VLOOKUP(L$10,'VK-Põlevkivi'!$C:$X,2+$G89,0))+IF(L$4="X",VLOOKUP(L$10,'VK-Võrgud'!$C:$X,2+$F89,0))</f>
        <v>23.75</v>
      </c>
      <c r="M89" s="209">
        <f>IF(M$7="X",VLOOKUP(M$10,'VK-Hooned-Soojus'!$C:$X,2+$C89,FALSE),0)+IF(M$6="X",VLOOKUP(M$10,'VK-Transport'!$C:$X,2+$B89,0))+IF(M$8="X",VLOOKUP(M$10,'VK-Elekter'!$C:$X,2+$D89,0))+IF(M$9="X",VLOOKUP(M$10,'VK-Biokütused'!$C:$U,2+$E89,0))+IF(M$5="X",VLOOKUP(M$10,'VK-Põlevkivi'!$C:$X,2+$G89,0))+IF(M$4="X",VLOOKUP(M$10,'VK-Võrgud'!$C:$X,2+$F89,0))</f>
        <v>9.8566666666666674</v>
      </c>
      <c r="N89" s="209">
        <f>IF(N$7="X",VLOOKUP(N$10,'VK-Hooned-Soojus'!$C:$X,2+$C89,FALSE),0)+IF(N$6="X",VLOOKUP(N$10,'VK-Transport'!$C:$X,2+$B89,0))+IF(N$8="X",VLOOKUP(N$10,'VK-Elekter'!$C:$X,2+$D89,0))+IF(N$9="X",VLOOKUP(N$10,'VK-Biokütused'!$C:$U,2+$E89,0))+IF(N$5="X",VLOOKUP(N$10,'VK-Põlevkivi'!$C:$X,2+$G89,0))+IF(N$4="X",VLOOKUP(N$10,'VK-Võrgud'!$C:$X,2+$F89,0))</f>
        <v>15.25</v>
      </c>
      <c r="O89" s="209">
        <f t="shared" si="60"/>
        <v>34.628055555555555</v>
      </c>
      <c r="P89" s="209"/>
      <c r="Q89" s="209">
        <f>(IF(Q$7="X",VLOOKUP(Q$10,'VK-Hooned-Soojus'!$C:$X,2+$C89,FALSE),0)+IF(Q$6="X",VLOOKUP(Q$10,'VK-Transport'!$C:$X,2+$B89,0))+IF(Q$8="X",VLOOKUP(Q$10,'VK-Elekter'!$C:$X,2+$D89,0))+IF(Q$9="X",VLOOKUP(Q$10,'VK-Biokütused'!$C:$U,2+$E89,0))+IF(Q$5="X",VLOOKUP(Q$10,'VK-Põlevkivi'!$C:$X,2+$G89,0))+IF(Q$4="X",VLOOKUP(Q$10,'VK-Võrgud'!$C:$X,2+$F89,0)))/1000</f>
        <v>4.9379999999999997</v>
      </c>
      <c r="R89" s="209">
        <f>(IF(R$7="X",VLOOKUP(R$10,'VK-Hooned-Soojus'!$C:$X,2+$C89,FALSE),0)+IF(R$6="X",VLOOKUP(R$10,'VK-Transport'!$C:$X,2+$B89,0))+IF(R$8="X",VLOOKUP(R$10,'VK-Elekter'!$C:$X,2+$D89,0))+IF(R$9="X",VLOOKUP(R$10,'VK-Biokütused'!$C:$U,2+$E89,0))+IF(R$5="X",VLOOKUP(R$10,'VK-Põlevkivi'!$C:$X,2+$G89,0))+IF(R$4="X",VLOOKUP(R$10,'VK-Võrgud'!$C:$X,2+$F89,0)))/1000</f>
        <v>2.3993823271229702</v>
      </c>
      <c r="S89" s="226">
        <f>VLOOKUP(S$10,'VK-Hooned-Soojus'!$C:$I,2+$C89,FALSE) + VLOOKUP(S$10,'VK-Transport'!$C:$I,2+$B89,FALSE)+ VLOOKUP(S$10,'VK-Biokütused'!$C:$G,2+$E89,FALSE)+ VLOOKUP(S$10,'VK-Elekter'!$C:$I,2+$D89,FALSE)+ VLOOKUP(S$10,'VK-Põlevkivi'!$C:$I,2+$G89,FALSE)+ VLOOKUP(S$10,'VK-Võrgud'!$C:$I,2+$F89,FALSE)</f>
        <v>7.8079081937871249E-3</v>
      </c>
      <c r="T89" s="226">
        <f>VLOOKUP(T$10,'VK-Hooned-Soojus'!$C:$I,2+$C89,FALSE) + VLOOKUP(T$10,'VK-Transport'!$C:$I,2+$B89,FALSE)+ VLOOKUP(T$10,'VK-Biokütused'!$C:$G,2+$E89,FALSE)+ VLOOKUP(T$10,'VK-Elekter'!$C:$I,2+$D89,FALSE)+ VLOOKUP(T$10,'VK-Põlevkivi'!$C:$I,2+$G89,FALSE)+ VLOOKUP(T$10,'VK-Võrgud'!$C:$I,2+$F89,FALSE)</f>
        <v>1.2034738177486653E-3</v>
      </c>
      <c r="U89" s="226">
        <f>VLOOKUP(U$10,'VK-Hooned-Soojus'!$C:$I,2+$C89,FALSE) + VLOOKUP(U$10,'VK-Transport'!$C:$I,2+$B89,FALSE)+ VLOOKUP(U$10,'VK-Biokütused'!$C:$G,2+$E89,FALSE)+ VLOOKUP(U$10,'VK-Elekter'!$C:$I,2+$D89,FALSE)+ VLOOKUP(U$10,'VK-Põlevkivi'!$C:$I,2+$G89,FALSE)+ VLOOKUP(U$10,'VK-Võrgud'!$C:$I,2+$F89,FALSE)</f>
        <v>-1.3892608024497766E-3</v>
      </c>
      <c r="V89" s="226">
        <f>VLOOKUP(V$10,'VK-Hooned-Soojus'!$C:$I,2+$C89,FALSE) + VLOOKUP(V$10,'VK-Transport'!$C:$I,2+$B89,FALSE)+ VLOOKUP(V$10,'VK-Biokütused'!$C:$G,2+$E89,FALSE)+ VLOOKUP(V$10,'VK-Elekter'!$C:$I,2+$D89,FALSE)+ VLOOKUP(V$10,'VK-Põlevkivi'!$C:$I,2+$G89,FALSE)+ VLOOKUP(V$10,'VK-Võrgud'!$C:$I,2+$F89,FALSE)</f>
        <v>9.2429845230779639E-3</v>
      </c>
      <c r="W89" s="226">
        <f>VLOOKUP(W$10,'VK-Hooned-Soojus'!$C:$I,2+$C89,FALSE) + VLOOKUP(W$10,'VK-Transport'!$C:$I,2+$B89,FALSE)+ VLOOKUP(W$10,'VK-Biokütused'!$C:$G,2+$E89,FALSE)+ VLOOKUP(W$10,'VK-Elekter'!$C:$I,2+$D89,FALSE)+ VLOOKUP(W$10,'VK-Põlevkivi'!$C:$I,2+$G89,FALSE)+ VLOOKUP(W$10,'VK-Võrgud'!$C:$I,2+$F89,FALSE)</f>
        <v>-3.7340885469091006E-2</v>
      </c>
      <c r="X89" s="226">
        <f>VLOOKUP(X$10,'VK-Hooned-Soojus'!$C:$I,2+$C89,FALSE) + VLOOKUP(X$10,'VK-Transport'!$C:$I,2+$B89,FALSE)+ VLOOKUP(X$10,'VK-Biokütused'!$C:$G,2+$E89,FALSE)+ VLOOKUP(X$10,'VK-Elekter'!$C:$I,2+$D89,FALSE)+ VLOOKUP(X$10,'VK-Põlevkivi'!$C:$I,2+$G89,FALSE)+ VLOOKUP(X$10,'VK-Võrgud'!$C:$I,2+$F89,FALSE)</f>
        <v>-3.9447343986460236E-2</v>
      </c>
      <c r="Y89" s="226">
        <f>VLOOKUP(Y$10,'VK-Hooned-Soojus'!$C:$I,2+$C89,FALSE) + VLOOKUP(Y$10,'VK-Transport'!$C:$I,2+$B89,FALSE)+ VLOOKUP(Y$10,'VK-Biokütused'!$C:$G,2+$E89,FALSE)+ VLOOKUP(Y$10,'VK-Elekter'!$C:$I,2+$D89,FALSE)+ VLOOKUP(Y$10,'VK-Põlevkivi'!$C:$I,2+$G89,FALSE)+ VLOOKUP(Y$10,'VK-Võrgud'!$C:$I,2+$F89,FALSE)</f>
        <v>-5.7271663765421622E-2</v>
      </c>
      <c r="Z89" s="227">
        <f>(S89*Tulemused!$Q$9*10+T89*Tulemused!$Q$10*10+KOMBI!U89*Tulemused!$Q$11*10+KOMBI!V89*Tulemused!$Q$12*10)*Tulemused!$Q$8+-(W89*Tulemused!$Q$14*10+KOMBI!X89*Tulemused!$Q$15*10+KOMBI!Y89*Tulemused!$Q$16*10)*Tulemused!$Q$13</f>
        <v>3.3436556847203169</v>
      </c>
      <c r="AA89" s="228">
        <f>(IF(AA$7="X",VLOOKUP(AA$10,'VK-Hooned-Soojus'!$C:$X,2+$C89,FALSE),0)+IF(AA$6="X",VLOOKUP(AA$10,'VK-Transport'!$C:$X,2+$B89,0))+IF(AA$8="X",VLOOKUP(AA$10,'VK-Elekter'!$C:$X,2+$D89,0))+IF(AA$9="X",VLOOKUP(AA$10,'VK-Biokütused'!$C:$U,2+$E89,0))+IF(AA$5="X",VLOOKUP(AA$10,'VK-Põlevkivi'!$C:$X,2+$G89,0))+IF(AA$4="X",VLOOKUP(AA$10,'VK-Võrgud'!$C:$X,2+$F89,0)))</f>
        <v>3761</v>
      </c>
      <c r="AB89" s="228">
        <f>(IF(AB$7="X",VLOOKUP(AB$10,'VK-Hooned-Soojus'!$C:$X,2+$C89,FALSE),0)+IF(AB$6="X",VLOOKUP(AB$10,'VK-Transport'!$C:$X,2+$B89,0))+IF(AB$8="X",VLOOKUP(AB$10,'VK-Elekter'!$C:$X,2+$D89,0))+IF(AB$9="X",VLOOKUP(AB$10,'VK-Biokütused'!$C:$U,2+$E89,0))+IF(AB$5="X",VLOOKUP(AB$10,'VK-Põlevkivi'!$C:$X,2+$G89,0))+IF(AB$4="X",VLOOKUP(AB$10,'VK-Võrgud'!$C:$X,2+$F89,0)))</f>
        <v>1177</v>
      </c>
      <c r="AC89" s="228">
        <f>(IF(AC$7="X",VLOOKUP(AC$10,'VK-Hooned-Soojus'!$C:$X,2+$C89,FALSE),0)+IF(AC$6="X",VLOOKUP(AC$10,'VK-Transport'!$C:$X,2+$B89,0))+IF(AC$8="X",VLOOKUP(AC$10,'VK-Elekter'!$C:$X,2+$D89,0))+IF(AC$9="X",VLOOKUP(AC$10,'VK-Biokütused'!$C:$U,2+$E89,0))+IF(AC$5="X",VLOOKUP(AC$10,'VK-Põlevkivi'!$C:$X,2+$G89,0))+IF(AC$4="X",VLOOKUP(AC$10,'VK-Võrgud'!$C:$X,2+$F89,0)))</f>
        <v>2346</v>
      </c>
      <c r="AD89" s="228">
        <f>(IF(AD$7="X",VLOOKUP(AD$10,'VK-Hooned-Soojus'!$C:$X,2+$C89,FALSE),0)+IF(AD$6="X",VLOOKUP(AD$10,'VK-Transport'!$C:$X,2+$B89,0))+IF(AD$8="X",VLOOKUP(AD$10,'VK-Elekter'!$C:$X,2+$D89,0))+IF(AD$9="X",VLOOKUP(AD$10,'VK-Biokütused'!$C:$U,2+$E89,0))+IF(AD$5="X",VLOOKUP(AD$10,'VK-Põlevkivi'!$C:$X,2+$G89,0))+IF(AD$4="X",VLOOKUP(AD$10,'VK-Võrgud'!$C:$X,2+$F89,0)))</f>
        <v>0</v>
      </c>
      <c r="AE89" s="228">
        <f>(IF(AE$7="X",VLOOKUP(AE$10,'VK-Hooned-Soojus'!$C:$X,2+$C89,FALSE),0)+IF(AE$6="X",VLOOKUP(AE$10,'VK-Transport'!$C:$X,2+$B89,0))+IF(AE$8="X",VLOOKUP(AE$10,'VK-Elekter'!$C:$X,2+$D89,0))+IF(AE$9="X",VLOOKUP(AE$10,'VK-Biokütused'!$C:$U,2+$E89,0))+IF(AE$5="X",VLOOKUP(AE$10,'VK-Põlevkivi'!$C:$X,2+$G89,0))+IF(AE$4="X",VLOOKUP(AE$10,'VK-Võrgud'!$C:$X,2+$F89,0)))</f>
        <v>507</v>
      </c>
      <c r="AF89" s="228">
        <f>(IF(AF$7="X",VLOOKUP(AF$10,'VK-Hooned-Soojus'!$C:$X,2+$C89,FALSE),0)+IF(AF$6="X",VLOOKUP(AF$10,'VK-Transport'!$C:$X,2+$B89,0))+IF(AF$8="X",VLOOKUP(AF$10,'VK-Elekter'!$C:$X,2+$D89,0))+IF(AF$9="X",VLOOKUP(AF$10,'VK-Biokütused'!$C:$U,2+$E89,0))+IF(AF$5="X",VLOOKUP(AF$10,'VK-Põlevkivi'!$C:$X,2+$G89,0))+IF(AF$4="X",VLOOKUP(AF$10,'VK-Võrgud'!$C:$X,2+$F89,0)))</f>
        <v>1892.3823271229701</v>
      </c>
      <c r="AG89" s="209"/>
      <c r="AH89" s="209">
        <f>IF(AH$7="X",VLOOKUP(AH$10,'VK-Hooned-Soojus'!$C:$X,2+$C89,FALSE),0)+IF(AH$6="X",VLOOKUP(AH$10,'VK-Transport'!$C:$X,2+$B89,0))+IF(AH$8="X",VLOOKUP(AH$10,'VK-Elekter'!$C:$X,2+$D89,0))+IF(AH$9="X",VLOOKUP(AH$10,'VK-Biokütused'!$C:$U,2+$E89,0))+IF(AH$5="X",VLOOKUP(AH$10,'VK-Põlevkivi'!$C:$X,2+$G89,0))+IF(AH$4="X",VLOOKUP(AH$10,'VK-Võrgud'!$C:$X,2+$F89,0))</f>
        <v>11.64</v>
      </c>
      <c r="AI89" s="209">
        <f>IF(AI$7="X",VLOOKUP(AI$10,'VK-Hooned-Soojus'!$C:$X,2+$C89,FALSE),0)+IF(AI$6="X",VLOOKUP(AI$10,'VK-Transport'!$C:$X,2+$B89,0))+IF(AI$8="X",VLOOKUP(AI$10,'VK-Elekter'!$C:$X,2+$D89,0))+IF(AI$9="X",VLOOKUP(AI$10,'VK-Biokütused'!$C:$U,2+$E89,0))+IF(AI$5="X",VLOOKUP(AI$10,'VK-Põlevkivi'!$C:$X,2+$G89,0))+IF(AI$4="X",VLOOKUP(AI$10,'VK-Võrgud'!$C:$X,2+$F89,0))</f>
        <v>2.3100000000000005</v>
      </c>
      <c r="AJ89" s="209">
        <f>IF(AJ$7="X",VLOOKUP(AJ$10,'VK-Hooned-Soojus'!$C:$X,2+$C89,FALSE),0)+IF(AJ$6="X",VLOOKUP(AJ$10,'VK-Transport'!$C:$X,2+$B89,0))+IF(AJ$8="X",VLOOKUP(AJ$10,'VK-Elekter'!$C:$X,2+$D89,0))+IF(AJ$9="X",VLOOKUP(AJ$10,'VK-Biokütused'!$C:$U,2+$E89,0))+IF(AJ$5="X",VLOOKUP(AJ$10,'VK-Põlevkivi'!$C:$X,2+$G89,0))+IF(AJ$4="X",VLOOKUP(AJ$10,'VK-Võrgud'!$C:$X,2+$F89,0))</f>
        <v>9.25</v>
      </c>
      <c r="AK89" s="209">
        <f>IF(AK$7="X",VLOOKUP(AK$10,'VK-Hooned-Soojus'!$C:$X,2+$C89,FALSE),0)+IF(AK$6="X",VLOOKUP(AK$10,'VK-Transport'!$C:$X,2+$B89,0))+IF(AK$8="X",VLOOKUP(AK$10,'VK-Elekter'!$C:$X,2+$D89,0))+IF(AK$9="X",VLOOKUP(AK$10,'VK-Biokütused'!$C:$U,2+$E89,0))+IF(AK$5="X",VLOOKUP(AK$10,'VK-Põlevkivi'!$C:$X,2+$G89,0))+IF(AK$4="X",VLOOKUP(AK$10,'VK-Võrgud'!$C:$X,2+$F89,0))</f>
        <v>2.78</v>
      </c>
      <c r="AL89" s="209">
        <f>IF(AL$7="X",VLOOKUP(AL$10,'VK-Hooned-Soojus'!$C:$X,2+$C89,FALSE),0)+IF(AL$6="X",VLOOKUP(AL$10,'VK-Transport'!$C:$X,2+$B89,0))+IF(AL$8="X",VLOOKUP(AL$10,'VK-Elekter'!$C:$X,2+$D89,0))+IF(AL$9="X",VLOOKUP(AL$10,'VK-Biokütused'!$C:$U,2+$E89,0))+IF(AL$5="X",VLOOKUP(AL$10,'VK-Põlevkivi'!$C:$X,2+$G89,0))+IF(AL$4="X",VLOOKUP(AL$10,'VK-Võrgud'!$C:$X,2+$F89,0))</f>
        <v>7.1</v>
      </c>
      <c r="AM89" s="209">
        <f>IF(AM$7="X",VLOOKUP(AM$10,'VK-Hooned-Soojus'!$C:$X,2+$C89,FALSE),0)+IF(AM$6="X",VLOOKUP(AM$10,'VK-Transport'!$C:$X,2+$B89,0))+IF(AM$8="X",VLOOKUP(AM$10,'VK-Elekter'!$C:$X,2+$D89,0))+IF(AM$9="X",VLOOKUP(AM$10,'VK-Biokütused'!$C:$U,2+$E89,0))+IF(AM$5="X",VLOOKUP(AM$10,'VK-Põlevkivi'!$C:$X,2+$G89,0))+IF(AM$4="X",VLOOKUP(AM$10,'VK-Võrgud'!$C:$X,2+$F89,0))</f>
        <v>11.5</v>
      </c>
      <c r="AN89" s="209">
        <f>IF(AN$7="X",VLOOKUP(AN$10,'VK-Hooned-Soojus'!$C:$X,2+$C89,FALSE),0)+IF(AN$6="X",VLOOKUP(AN$10,'VK-Transport'!$C:$X,2+$B89,0))+IF(AN$8="X",VLOOKUP(AN$10,'VK-Elekter'!$C:$X,2+$D89,0))+IF(AN$9="X",VLOOKUP(AN$10,'VK-Biokütused'!$C:$U,2+$E89,0))+IF(AN$5="X",VLOOKUP(AN$10,'VK-Põlevkivi'!$C:$X,2+$G89,0))+IF(AN$4="X",VLOOKUP(AN$10,'VK-Võrgud'!$C:$X,2+$F89,0))</f>
        <v>4.0999999999999996</v>
      </c>
      <c r="AO89" s="209">
        <f>IF(AO$7="X",VLOOKUP(AO$10,'VK-Hooned-Soojus'!$C:$X,2+$C89,FALSE),0)+IF(AO$6="X",VLOOKUP(AO$10,'VK-Transport'!$C:$X,2+$B89,0))+IF(AO$8="X",VLOOKUP(AO$10,'VK-Elekter'!$C:$X,2+$D89,0))+IF(AO$9="X",VLOOKUP(AO$10,'VK-Biokütused'!$C:$U,2+$E89,0))+IF(AO$5="X",VLOOKUP(AO$10,'VK-Põlevkivi'!$C:$X,2+$G89,0))+IF(AO$4="X",VLOOKUP(AO$10,'VK-Võrgud'!$C:$X,2+$F89,0))</f>
        <v>12.16</v>
      </c>
      <c r="AP89" s="209">
        <f>IF(AP$7="X",VLOOKUP(AP$10,'VK-Hooned-Soojus'!$C:$X,2+$C89,FALSE),0)+IF(AP$6="X",VLOOKUP(AP$10,'VK-Transport'!$C:$X,2+$B89,0))+IF(AP$8="X",VLOOKUP(AP$10,'VK-Elekter'!$C:$X,2+$D89,0))+IF(AP$9="X",VLOOKUP(AP$10,'VK-Biokütused'!$C:$U,2+$E89,0))+IF(AP$5="X",VLOOKUP(AP$10,'VK-Põlevkivi'!$C:$X,2+$G89,0))+IF(AP$4="X",VLOOKUP(AP$10,'VK-Võrgud'!$C:$X,2+$F89,0))</f>
        <v>6.08</v>
      </c>
      <c r="AQ89" s="320">
        <f t="shared" si="61"/>
        <v>0</v>
      </c>
      <c r="AR89" s="209">
        <f>IF(AR$7="X",VLOOKUP(AR$10,'VK-Hooned-Soojus'!$C:$X,2+$C89,FALSE),0)+IF(AR$6="X",VLOOKUP(AR$10,'VK-Transport'!$C:$X,2+$B89,0))+IF(AR$8="X",VLOOKUP(AR$10,'VK-Elekter'!$C:$X,2+$D89,0))+IF(AR$9="X",VLOOKUP(AR$10,'VK-Biokütused'!$C:$U,2+$E89,0))+IF(AR$5="X",VLOOKUP(AR$10,'VK-Põlevkivi'!$C:$X,2+$G89,0))+IF(AR$4="X",VLOOKUP(AR$10,'VK-Võrgud'!$C:$X,2+$F89,0))</f>
        <v>2.3899999999999997</v>
      </c>
      <c r="AS89" s="320">
        <f>VLOOKUP("Kütuste tarbimine @ 2030 - UTTEGAAS",'VK-Hooned-Soojus'!$C:$X,2+$C89,FALSE)/0.172+VLOOKUP("Kütuste tarbimine @ 2030 - UTTEGAAS",'VK-Elekter'!$C:$X,2+$D89,FALSE)/0.172-AR89-AU89</f>
        <v>2.8565116279069773</v>
      </c>
      <c r="AT89" s="209">
        <f>IF(AT$7="X",VLOOKUP(AT$10,'VK-Hooned-Soojus'!$C:$X,2+$C89,FALSE),0)+IF(AT$6="X",VLOOKUP(AT$10,'VK-Transport'!$C:$X,2+$B89,0))+IF(AT$8="X",VLOOKUP(AT$10,'VK-Elekter'!$C:$X,2+$D89,0))+IF(AT$9="X",VLOOKUP(AT$10,'VK-Biokütused'!$C:$U,2+$E89,0))+IF(AT$5="X",VLOOKUP(AT$10,'VK-Põlevkivi'!$C:$X,2+$G89,0))+IF(AT$4="X",VLOOKUP(AT$10,'VK-Võrgud'!$C:$X,2+$F89,0))</f>
        <v>9.2784458909544707</v>
      </c>
      <c r="AU89" s="229">
        <f>MAX(0,(VLOOKUP("Kütuste tarbimine @ 2030 - UTTEGAAS",'VK-Hooned-Soojus'!$C:$X,2+$C89,FALSE)/0.172+VLOOKUP("Kütuste tarbimine @ 2030 - UTTEGAAS",'VK-Elekter'!$C:$X,2+$D89,FALSE)/0.172)*0.52-VLOOKUP("Kütuste tarbimine @ 2030 - PÕLEVKIVIÕLI",'VK-Hooned-Soojus'!$C:$X,2+$C89,FALSE))</f>
        <v>5.6837209302325586</v>
      </c>
      <c r="AV89" s="209">
        <f>IF(AV$7="X",VLOOKUP(AV$10,'VK-Hooned-Soojus'!$C:$X,2+$C89,FALSE),0)+IF(AV$6="X",VLOOKUP(AV$10,'VK-Transport'!$C:$X,2+$B89,0))+IF(AV$8="X",VLOOKUP(AV$10,'VK-Elekter'!$C:$X,2+$D89,0))+IF(AV$9="X",VLOOKUP(AV$10,'VK-Biokütused'!$C:$U,2+$E89,0))+IF(AV$5="X",VLOOKUP(AV$10,'VK-Põlevkivi'!$C:$X,2+$G89,0))+IF(AV$4="X",VLOOKUP(AV$10,'VK-Võrgud'!$C:$X,2+$F89,0))</f>
        <v>1.7257321590343366</v>
      </c>
      <c r="AW89" s="209">
        <f>IF(AW$7="X",VLOOKUP(AW$10,'VK-Hooned-Soojus'!$C:$X,2+$C89,FALSE),0)+IF(AW$6="X",VLOOKUP(AW$10,'VK-Transport'!$C:$X,2+$B89,0))+IF(AW$8="X",VLOOKUP(AW$10,'VK-Elekter'!$C:$X,2+$D89,0))+IF(AW$9="X",VLOOKUP(AW$10,'VK-Biokütused'!$C:$U,2+$E89,0))+IF(AW$5="X",VLOOKUP(AW$10,'VK-Põlevkivi'!$C:$X,2+$G89,0))+IF(AW$4="X",VLOOKUP(AW$10,'VK-Võrgud'!$C:$X,2+$F89,0))</f>
        <v>0</v>
      </c>
      <c r="AX89" s="229">
        <f t="shared" si="62"/>
        <v>0</v>
      </c>
      <c r="AY89" s="229">
        <f t="shared" si="63"/>
        <v>1.7257321590343366</v>
      </c>
      <c r="AZ89" s="230">
        <f t="shared" si="48"/>
        <v>0.58364771273203575</v>
      </c>
      <c r="BA89" s="209">
        <f>IF(BA$7="X",VLOOKUP(BA$10,'VK-Hooned-Soojus'!$C:$X,2+$C89,FALSE),0)+IF(BA$6="X",VLOOKUP(BA$10,'VK-Transport'!$C:$X,2+$B89,0))+IF(BA$8="X",VLOOKUP(BA$10,'VK-Elekter'!$C:$X,2+$D89,0))+IF(BA$9="X",VLOOKUP(BA$10,'VK-Biokütused'!$C:$U,2+$E89,0))+IF(BA$5="X",VLOOKUP(BA$10,'VK-Põlevkivi'!$C:$X,2+$G89,0))+IF(BA$4="X",VLOOKUP(BA$10,'VK-Võrgud'!$C:$X,2+$F89,0))</f>
        <v>4.25</v>
      </c>
      <c r="BB89" s="209">
        <f>IF(BB$7="X",VLOOKUP(BB$10,'VK-Hooned-Soojus'!$C:$X,2+$C89,FALSE),0)+IF(BB$6="X",VLOOKUP(BB$10,'VK-Transport'!$C:$X,2+$B89,0))+IF(BB$8="X",VLOOKUP(BB$10,'VK-Elekter'!$C:$X,2+$D89,0))+IF(BB$9="X",VLOOKUP(BB$10,'VK-Biokütused'!$C:$U,2+$E89,0))+IF(BB$5="X",VLOOKUP(BB$10,'VK-Põlevkivi'!$C:$X,2+$G89,0))+IF(BB$4="X",VLOOKUP(BB$10,'VK-Võrgud'!$C:$X,2+$F89,0))</f>
        <v>2.93</v>
      </c>
      <c r="BC89" s="209">
        <f>IF(BC$7="X",VLOOKUP(BC$10,'VK-Hooned-Soojus'!$C:$X,2+$C89,FALSE),0)+IF(BC$6="X",VLOOKUP(BC$10,'VK-Transport'!$C:$X,2+$B89,0))+IF(BC$8="X",VLOOKUP(BC$10,'VK-Elekter'!$C:$X,2+$D89,0))+IF(BC$9="X",VLOOKUP(BC$10,'VK-Biokütused'!$C:$U,2+$E89,0))+IF(BC$5="X",VLOOKUP(BC$10,'VK-Põlevkivi'!$C:$X,2+$G89,0))+IF(BC$4="X",VLOOKUP(BC$10,'VK-Võrgud'!$C:$X,2+$F89,0))</f>
        <v>5.2376666666666667</v>
      </c>
      <c r="BD89" s="209">
        <f>IF(BD$7="X",VLOOKUP(BD$10,'VK-Hooned-Soojus'!$C:$X,2+$C89,FALSE),0)+IF(BD$6="X",VLOOKUP(BD$10,'VK-Transport'!$C:$X,2+$B89,0))+IF(BD$8="X",VLOOKUP(BD$10,'VK-Elekter'!$C:$X,2+$D89,0))+IF(BD$9="X",VLOOKUP(BD$10,'VK-Biokütused'!$C:$U,2+$E89,0))+IF(BD$5="X",VLOOKUP(BD$10,'VK-Põlevkivi'!$C:$X,2+$G89,0))+IF(BD$4="X",VLOOKUP(BD$10,'VK-Võrgud'!$C:$X,2+$F89,0))</f>
        <v>9.1105555555555569</v>
      </c>
      <c r="BE89" s="230"/>
      <c r="BF89" s="229">
        <f t="shared" si="64"/>
        <v>0.33416875659668871</v>
      </c>
      <c r="BG89" s="209" t="e">
        <f>(IF(BG$7="X",VLOOKUP(BG$10,'VK-Hooned-Soojus'!$C:$X,2+$C89,FALSE),0)+IF(BG$6="X",VLOOKUP(BG$10,'VK-Transport'!$C:$X,2+$B89,0))+IF(BG$8="X",VLOOKUP(BG$10,'VK-Elekter'!$C:$X,2+$D89,0))+IF(BG$9="X",VLOOKUP(BG$10,'VK-Biokütused'!$C:$U,2+$E89,0))+IF(BG$5="X",VLOOKUP(BG$10,'VK-Põlevkivi'!$C:$X,2+$G89,0))+IF(BG$4="X",VLOOKUP(BG$10,'VK-Võrgud'!$C:$X,2+$F89,0)))/20</f>
        <v>#N/A</v>
      </c>
      <c r="BH89" s="209">
        <f>(IF(BH$7="X",VLOOKUP(BH$10,'VK-Hooned-Soojus'!$C:$X,2+$C89,FALSE),0)+IF(BH$6="X",VLOOKUP(BH$10,'VK-Transport'!$C:$X,2+$B89,0))+IF(BH$8="X",VLOOKUP(BH$10,'VK-Elekter'!$C:$X,2+$D89,0))+IF(BH$9="X",VLOOKUP(BH$10,'VK-Biokütused'!$C:$U,2+$E89,0))+IF(BH$5="X",VLOOKUP(BH$10,'VK-Põlevkivi'!$C:$X,2+$G89,0))+IF(BH$4="X",VLOOKUP(BH$10,'VK-Võrgud'!$C:$X,2+$F89,0)))/20</f>
        <v>84.204999999999998</v>
      </c>
      <c r="BI89" s="209">
        <f>(IF(BI$7="X",VLOOKUP(BI$10,'VK-Hooned-Soojus'!$C:$X,2+$C89,FALSE),0)+IF(BI$6="X",VLOOKUP(BI$10,'VK-Transport'!$C:$X,2+$B89,0))+IF(BI$8="X",VLOOKUP(BI$10,'VK-Elekter'!$C:$X,2+$D89,0))+IF(BI$9="X",VLOOKUP(BI$10,'VK-Biokütused'!$C:$U,2+$E89,0))+IF(BI$5="X",VLOOKUP(BI$10,'VK-Põlevkivi'!$C:$X,2+$G89,0))+IF(BI$4="X",VLOOKUP(BI$10,'VK-Võrgud'!$C:$X,2+$F89,0)))/16</f>
        <v>8.9375</v>
      </c>
      <c r="BJ89" s="209">
        <f>(IF(BJ$7="X",VLOOKUP(BJ$10,'VK-Hooned-Soojus'!$C:$X,2+$C89,FALSE),0)+IF(BJ$6="X",VLOOKUP(BJ$10,'VK-Transport'!$C:$X,2+$B89,0))+IF(BJ$8="X",VLOOKUP(BJ$10,'VK-Elekter'!$C:$X,2+$D89,0))+IF(BJ$9="X",VLOOKUP(BJ$10,'VK-Biokütused'!$C:$U,2+$E89,0))+IF(BJ$5="X",VLOOKUP(BJ$10,'VK-Põlevkivi'!$C:$X,2+$G89,0))+IF(BJ$4="X",VLOOKUP(BJ$10,'VK-Võrgud'!$C:$X,2+$F89,0)))/20</f>
        <v>5.33</v>
      </c>
      <c r="BK89" s="209"/>
      <c r="BL89" s="209"/>
      <c r="BM89" s="209"/>
      <c r="BN89" s="209" t="e">
        <f>(IF(BN$7="X",VLOOKUP(BN$10,'VK-Hooned-Soojus'!$C:$X,2+$C89,FALSE),0)+IF(BN$6="X",VLOOKUP(BN$10,'VK-Transport'!$C:$X,2+$B89,0))+IF(BN$8="X",VLOOKUP(BN$10,'VK-Elekter'!$C:$X,2+$D89,0))+IF(BN$9="X",VLOOKUP(BN$10,'VK-Biokütused'!$C:$U,2+$E89,0))+IF(BN$5="X",VLOOKUP(BN$10,'VK-Põlevkivi'!$C:$X,2+$G89,0))+IF(BN$4="X",VLOOKUP(BN$10,'VK-Võrgud'!$C:$X,2+$F89,0)))/16</f>
        <v>#N/A</v>
      </c>
      <c r="BO89" s="209">
        <f>(IF(BO$7="X",VLOOKUP(BO$10,'VK-Hooned-Soojus'!$C:$X,2+$C89,FALSE),0)+IF(BO$6="X",VLOOKUP(BO$10,'VK-Transport'!$C:$X,2+$B89,0))+IF(BO$8="X",VLOOKUP(BO$10,'VK-Elekter'!$C:$X,2+$D89,0))+IF(BO$9="X",VLOOKUP(BO$10,'VK-Biokütused'!$C:$U,2+$E89,0))+IF(BO$5="X",VLOOKUP(BO$10,'VK-Põlevkivi'!$C:$X,2+$G89,0))+IF(BO$4="X",VLOOKUP(BO$10,'VK-Võrgud'!$C:$X,2+$F89,0)))/16</f>
        <v>405.45</v>
      </c>
      <c r="BP89" s="209"/>
      <c r="BQ89" s="209">
        <f>(IF(BQ$7="X",VLOOKUP(BQ$10,'VK-Hooned-Soojus'!$C:$X,2+$C89,FALSE),0)+IF(BQ$6="X",VLOOKUP(BQ$10,'VK-Transport'!$C:$X,2+$B89,0))+IF(BQ$8="X",VLOOKUP(BQ$10,'VK-Elekter'!$C:$X,2+$D89,0))+IF(BQ$9="X",VLOOKUP(BQ$10,'VK-Biokütused'!$C:$U,2+$E89,0))+IF(BQ$5="X",VLOOKUP(BQ$10,'VK-Põlevkivi'!$C:$X,2+$G89,0))+IF(BQ$4="X",VLOOKUP(BQ$10,'VK-Võrgud'!$C:$X,2+$F89,0)))/16</f>
        <v>127.6</v>
      </c>
      <c r="BR89" s="209">
        <f>(IF(BR$7="X",VLOOKUP(BR$10,'VK-Hooned-Soojus'!$C:$X,2+$C89,FALSE),0)+IF(BR$6="X",VLOOKUP(BR$10,'VK-Transport'!$C:$X,2+$B89,0))+IF(BR$8="X",VLOOKUP(BR$10,'VK-Elekter'!$C:$X,2+$D89,0))+IF(BR$9="X",VLOOKUP(BR$10,'VK-Biokütused'!$C:$U,2+$E89,0))+IF(BR$5="X",VLOOKUP(BR$10,'VK-Põlevkivi'!$C:$X,2+$G89,0))+IF(BR$4="X",VLOOKUP(BR$10,'VK-Võrgud'!$C:$X,2+$F89,0)))/16</f>
        <v>27.475000000000001</v>
      </c>
      <c r="BS89" s="209">
        <f>(IF(BS$7="X",VLOOKUP(BS$10,'VK-Hooned-Soojus'!$C:$X,2+$C89,FALSE),0)+IF(BS$6="X",VLOOKUP(BS$10,'VK-Transport'!$C:$X,2+$B89,0))+IF(BS$8="X",VLOOKUP(BS$10,'VK-Elekter'!$C:$X,2+$D89,0))+IF(BS$9="X",VLOOKUP(BS$10,'VK-Biokütused'!$C:$U,2+$E89,0))+IF(BS$5="X",VLOOKUP(BS$10,'VK-Põlevkivi'!$C:$X,2+$G89,0))+IF(BS$4="X",VLOOKUP(BS$10,'VK-Võrgud'!$C:$X,2+$F89,0)))/16</f>
        <v>-23.293749999999999</v>
      </c>
      <c r="BT89" s="209"/>
      <c r="BU89" s="209"/>
      <c r="BV89" s="209">
        <f>(IF(BV$7="X",VLOOKUP(BV$10,'VK-Hooned-Soojus'!$C:$X,2+$C89,FALSE),0)+IF(BV$6="X",VLOOKUP(BV$10,'VK-Transport'!$C:$X,2+$B89,0))+IF(BV$8="X",VLOOKUP(BV$10,'VK-Elekter'!$C:$X,2+$D89,0))+IF(BV$9="X",VLOOKUP(BV$10,'VK-Biokütused'!$C:$U,2+$E89,0))+IF(BV$5="X",VLOOKUP(BV$10,'VK-Põlevkivi'!$C:$X,2+$G89,0))+IF(BV$4="X",VLOOKUP(BV$10,'VK-Võrgud'!$C:$X,2+$F89,0)))/16</f>
        <v>0</v>
      </c>
      <c r="BW89" s="209"/>
      <c r="BX89" s="209">
        <f>(IF(BX$7="X",VLOOKUP(BX$10,'VK-Hooned-Soojus'!$C:$X,2+$C89,FALSE),0)+IF(BX$6="X",VLOOKUP(BX$10,'VK-Transport'!$C:$X,2+$B89,0))+IF(BX$8="X",VLOOKUP(BX$10,'VK-Elekter'!$C:$X,2+$D89,0))+IF(BX$9="X",VLOOKUP(BX$10,'VK-Biokütused'!$C:$U,2+$E89,0))+IF(BX$5="X",VLOOKUP(BX$10,'VK-Põlevkivi'!$C:$X,2+$G89,0))+IF(BX$4="X",VLOOKUP(BX$10,'VK-Võrgud'!$C:$X,2+$F89,0)))/16</f>
        <v>-99.75</v>
      </c>
      <c r="BY89" s="209"/>
      <c r="BZ89" s="209"/>
      <c r="CA89" s="209" t="e">
        <f>(IF(CA$7="X",VLOOKUP(CA$10,'VK-Hooned-Soojus'!$C:$X,2+$C89,FALSE),0)+IF(CA$6="X",VLOOKUP(CA$10,'VK-Transport'!$C:$X,2+$B89,0))+IF(CA$8="X",VLOOKUP(CA$10,'VK-Elekter'!$C:$X,2+$D89,0))+IF(CA$9="X",VLOOKUP(CA$10,'VK-Biokütused'!$C:$U,2+$E89,0))+IF(CA$5="X",VLOOKUP(CA$10,'VK-Põlevkivi'!$C:$X,2+$G89,0))+IF(CA$4="X",VLOOKUP(CA$10,'VK-Võrgud'!$C:$X,2+$F89,0)))/16</f>
        <v>#N/A</v>
      </c>
      <c r="CB89" s="209">
        <f>(IF(CB$7="X",VLOOKUP(CB$10,'VK-Hooned-Soojus'!$C:$X,2+$C89,FALSE),0)+IF(CB$6="X",VLOOKUP(CB$10,'VK-Transport'!$C:$X,2+$B89,0))+IF(CB$8="X",VLOOKUP(CB$10,'VK-Elekter'!$C:$X,2+$D89,0))+IF(CB$9="X",VLOOKUP(CB$10,'VK-Biokütused'!$C:$U,2+$E89,0))+IF(CB$5="X",VLOOKUP(CB$10,'VK-Põlevkivi'!$C:$X,2+$G89,0))+IF(CB$4="X",VLOOKUP(CB$10,'VK-Võrgud'!$C:$X,2+$F89,0)))/16</f>
        <v>0</v>
      </c>
      <c r="CC89" s="209">
        <f>(IF(CC$7="X",VLOOKUP(CC$10,'VK-Hooned-Soojus'!$C:$X,2+$C89,FALSE),0)+IF(CC$6="X",VLOOKUP(CC$10,'VK-Transport'!$C:$X,2+$B89,0))+IF(CC$8="X",VLOOKUP(CC$10,'VK-Elekter'!$C:$X,2+$D89,0))+IF(CC$9="X",VLOOKUP(CC$10,'VK-Biokütused'!$C:$U,2+$E89,0))+IF(CC$5="X",VLOOKUP(CC$10,'VK-Põlevkivi'!$C:$X,2+$G89,0))+IF(CC$4="X",VLOOKUP(CC$10,'VK-Võrgud'!$C:$X,2+$F89,0)))/16</f>
        <v>0</v>
      </c>
      <c r="CD89" s="209"/>
      <c r="CE89" s="209">
        <f>(IF(CE$7="X",VLOOKUP(CE$10,'VK-Hooned-Soojus'!$C:$X,2+$C89,FALSE),0)+IF(CE$6="X",VLOOKUP(CE$10,'VK-Transport'!$C:$X,2+$B89,0))+IF(CE$8="X",VLOOKUP(CE$10,'VK-Elekter'!$C:$X,2+$D89,0))+IF(CE$9="X",VLOOKUP(CE$10,'VK-Biokütused'!$C:$U,2+$E89,0))+IF(CE$5="X",VLOOKUP(CE$10,'VK-Põlevkivi'!$C:$X,2+$G89,0))+IF(CE$4="X",VLOOKUP(CE$10,'VK-Võrgud'!$C:$X,2+$F89,0)))/16</f>
        <v>24.15625</v>
      </c>
      <c r="CF89" s="209"/>
      <c r="CG89" s="209">
        <f>(IF(CG$7="X",VLOOKUP(CG$10,'VK-Hooned-Soojus'!$C:$X,2+$C89,FALSE),0)+IF(CG$6="X",VLOOKUP(CG$10,'VK-Transport'!$C:$X,2+$B89,0))+IF(CG$8="X",VLOOKUP(CG$10,'VK-Elekter'!$C:$X,2+$D89,0))+IF(CG$9="X",VLOOKUP(CG$10,'VK-Biokütused'!$C:$U,2+$E89,0))+IF(CG$5="X",VLOOKUP(CG$10,'VK-Põlevkivi'!$C:$X,2+$G89,0))+IF(CG$4="X",VLOOKUP(CG$10,'VK-Võrgud'!$C:$X,2+$F89,0)))/16</f>
        <v>0</v>
      </c>
      <c r="CH89" s="209">
        <f>(IF(CH$7="X",VLOOKUP(CH$10,'VK-Hooned-Soojus'!$C:$X,2+$C89,FALSE),0)+IF(CH$6="X",VLOOKUP(CH$10,'VK-Transport'!$C:$X,2+$B89,0))+IF(CH$8="X",VLOOKUP(CH$10,'VK-Elekter'!$C:$X,2+$D89,0))+IF(CH$9="X",VLOOKUP(CH$10,'VK-Biokütused'!$C:$U,2+$E89,0))+IF(CH$5="X",VLOOKUP(CH$10,'VK-Põlevkivi'!$C:$X,2+$G89,0))+IF(CH$4="X",VLOOKUP(CH$10,'VK-Võrgud'!$C:$X,2+$F89,0)))/20*0.21</f>
        <v>26.9178</v>
      </c>
      <c r="CI89" s="209"/>
      <c r="CJ89" s="209">
        <f>(IF(CJ$7="X",VLOOKUP(CJ$10,'VK-Hooned-Soojus'!$C:$X,2+$C89,FALSE),0)+IF(CJ$6="X",VLOOKUP(CJ$10,'VK-Transport'!$C:$X,2+$B89,0))+IF(CJ$8="X",VLOOKUP(CJ$10,'VK-Elekter'!$C:$X,2+$D89,0))+IF(CJ$9="X",VLOOKUP(CJ$10,'VK-Biokütused'!$C:$U,2+$E89,0))+IF(CJ$5="X",VLOOKUP(CJ$10,'VK-Põlevkivi'!$C:$X,2+$G89,0))+IF(CJ$4="X",VLOOKUP(CJ$10,'VK-Võrgud'!$C:$X,2+$F89,0)))/1000</f>
        <v>17.479578011574535</v>
      </c>
      <c r="CK89" s="209">
        <f>(IF(CK$7="X",VLOOKUP(CK$10,'VK-Hooned-Soojus'!$C:$X,2+$C89,FALSE),0)+IF(CK$6="X",VLOOKUP(CK$10,'VK-Transport'!$C:$X,2+$B89,0))+IF(CK$8="X",VLOOKUP(CK$10,'VK-Elekter'!$C:$X,2+$D89,0))+IF(CK$9="X",VLOOKUP(CK$10,'VK-Biokütused'!$C:$U,2+$E89,0))+IF(CK$5="X",VLOOKUP(CK$10,'VK-Põlevkivi'!$C:$X,2+$G89,0))+IF(CK$4="X",VLOOKUP(CK$10,'VK-Võrgud'!$C:$X,2+$F89,0)))/1000</f>
        <v>11.222324637900011</v>
      </c>
      <c r="CL89" s="235">
        <f>(IF(CL$7="X",VLOOKUP(CL$10,'VK-Hooned-Soojus'!$C:$X,2+$C89,FALSE),0)+IF(CL$6="X",VLOOKUP(CL$10,'VK-Transport'!$C:$X,2+$B89,0))+IF(CL$8="X",VLOOKUP(CL$10,'VK-Elekter'!$C:$X,2+$D89,0))+IF(CL$9="X",VLOOKUP(CL$10,'VK-Biokütused'!$C:$U,2+$E89,0)))/1000</f>
        <v>8.1087703590452112</v>
      </c>
      <c r="CM89" s="209">
        <f>(IF(CM$7="X",VLOOKUP(CM$10,'VK-Hooned-Soojus'!$C:$X,2+$C89,FALSE),0)+IF(CM$6="X",VLOOKUP(CM$10,'VK-Transport'!$C:$X,2+$B89,0))+IF(CM$8="X",VLOOKUP(CM$10,'VK-Elekter'!$C:$X,2+$D89,0))+IF(CM$9="X",VLOOKUP(CM$10,'VK-Biokütused'!$C:$U,2+$E89,0))+IF(CM$5="X",VLOOKUP(CM$10,'VK-Põlevkivi'!$C:$X,2+$G89,0))+IF(CM$4="X",VLOOKUP(CM$10,'VK-Võrgud'!$C:$X,2+$F89,0)))/1000</f>
        <v>7.5977605777489075</v>
      </c>
      <c r="CN89" s="209">
        <f>(IF(CN$7="X",VLOOKUP(CN$10,'VK-Hooned-Soojus'!$C:$X,2+$C89,FALSE),0)+IF(CN$6="X",VLOOKUP(CN$10,'VK-Transport'!$C:$X,2+$B89,0))+IF(CN$8="X",VLOOKUP(CN$10,'VK-Elekter'!$C:$X,2+$D89,0))+IF(CN$9="X",VLOOKUP(CN$10,'VK-Biokütused'!$C:$U,2+$E89,0))+IF(CN$5="X",VLOOKUP(CN$10,'VK-Põlevkivi'!$C:$X,2+$G89,0))+IF(CN$4="X",VLOOKUP(CN$10,'VK-Võrgud'!$C:$X,2+$F89,0)))/1000</f>
        <v>2.8980000000000001</v>
      </c>
      <c r="CO89" s="209">
        <f>(IF(CO$7="X",VLOOKUP(CO$10,'VK-Hooned-Soojus'!$C:$X,2+$C89,FALSE),0)+IF(CO$6="X",VLOOKUP(CO$10,'VK-Transport'!$C:$X,2+$B89,0))+IF(CO$8="X",VLOOKUP(CO$10,'VK-Elekter'!$C:$X,2+$D89,0))+IF(CO$9="X",VLOOKUP(CO$10,'VK-Biokütused'!$C:$U,2+$E89,0))+IF(CO$5="X",VLOOKUP(CO$10,'VK-Põlevkivi'!$C:$X,2+$G89,0))+IF(CO$4="X",VLOOKUP(CO$10,'VK-Võrgud'!$C:$X,2+$F89,0)))/1000</f>
        <v>23.833575210797282</v>
      </c>
      <c r="CP89" s="209">
        <f>(IF(CP$7="X",VLOOKUP(CP$10,'VK-Hooned-Soojus'!$C:$X,2+$C89,FALSE),0)+IF(CP$6="X",VLOOKUP(CP$10,'VK-Transport'!$C:$X,2+$B89,0))+IF(CP$8="X",VLOOKUP(CP$10,'VK-Elekter'!$C:$X,2+$D89,0))+IF(CP$9="X",VLOOKUP(CP$10,'VK-Biokütused'!$C:$U,2+$E89,0))+IF(CP$5="X",VLOOKUP(CP$10,'VK-Põlevkivi'!$C:$X,2+$G89,0))+IF(CP$4="X",VLOOKUP(CP$10,'VK-Võrgud'!$C:$X,2+$F89,0)))/1000</f>
        <v>13.405994830349824</v>
      </c>
      <c r="CQ89" s="235">
        <f>(IF(CQ$7="X",VLOOKUP(CQ$10,'VK-Hooned-Soojus'!$C:$X,2+$C89,FALSE),0)+IF(CQ$6="X",VLOOKUP(CQ$10,'VK-Transport'!$C:$X,2+$B89,0))+IF(CQ$8="X",VLOOKUP(CQ$10,'VK-Elekter'!$C:$X,2+$D89,0))+IF(CQ$9="X",VLOOKUP(CQ$10,'VK-Biokütused'!$C:$U,2+$E89,0)))/1000</f>
        <v>10.557345999999999</v>
      </c>
      <c r="CR89" s="209">
        <f>(IF(CR$7="X",VLOOKUP(CR$10,'VK-Hooned-Soojus'!$C:$X,2+$C89,FALSE),0)+IF(CR$6="X",VLOOKUP(CR$10,'VK-Transport'!$C:$X,2+$B89,0))+IF(CR$8="X",VLOOKUP(CR$10,'VK-Elekter'!$C:$X,2+$D89,0))+IF(CR$9="X",VLOOKUP(CR$10,'VK-Biokütused'!$C:$U,2+$E89,0))+IF(CR$5="X",VLOOKUP(CR$10,'VK-Põlevkivi'!$C:$X,2+$G89,0))+IF(CR$4="X",VLOOKUP(CR$10,'VK-Võrgud'!$C:$X,2+$F89,0)))/1000</f>
        <v>7.7020872784575749</v>
      </c>
      <c r="CS89" s="209">
        <f>(IF(CS$7="X",VLOOKUP(CS$10,'VK-Hooned-Soojus'!$C:$X,2+$C89,FALSE),0)+IF(CS$6="X",VLOOKUP(CS$10,'VK-Transport'!$C:$X,2+$B89,0))+IF(CS$8="X",VLOOKUP(CS$10,'VK-Elekter'!$C:$X,2+$D89,0))+IF(CS$9="X",VLOOKUP(CS$10,'VK-Biokütused'!$C:$U,2+$E89,0))+IF(CS$5="X",VLOOKUP(CS$10,'VK-Põlevkivi'!$C:$X,2+$G89,0))+IF(CS$4="X",VLOOKUP(CS$10,'VK-Võrgud'!$C:$X,2+$F89,0)))/1000</f>
        <v>3.7943344900598324</v>
      </c>
      <c r="CT89" s="209">
        <f>IF(CT$7="X",VLOOKUP(CT$10,'VK-Hooned-Soojus'!$C:$X,2+$C89,FALSE),0)+IF(CT$6="X",VLOOKUP(CT$10,'VK-Transport'!$C:$X,2+$B89,0))+IF(CT$8="X",VLOOKUP(CT$10,'VK-Elekter'!$C:$X,2+$D89,0))+IF(CT$9="X",VLOOKUP(CT$10,'VK-Biokütused'!$C:$U,2+$E89,0))+IF(CT$5="X",VLOOKUP(CT$10,'VK-Põlevkivi'!$C:$X,2+$G89,0))+IF(CT$4="X",VLOOKUP(CT$10,'VK-Võrgud'!$C:$X,2+$F89,0))</f>
        <v>90</v>
      </c>
      <c r="CU89" s="209">
        <f>IF(CU$7="X",VLOOKUP(CU$10,'VK-Hooned-Soojus'!$C:$X,2+$C89,FALSE),0)+IF(CU$6="X",VLOOKUP(CU$10,'VK-Transport'!$C:$X,2+$B89,0))+IF(CU$8="X",VLOOKUP(CU$10,'VK-Elekter'!$C:$X,2+$D89,0))+IF(CU$9="X",VLOOKUP(CU$10,'VK-Biokütused'!$C:$U,2+$E89,0))+IF(CU$5="X",VLOOKUP(CU$10,'VK-Põlevkivi'!$C:$X,2+$G89,0))+IF(CU$4="X",VLOOKUP(CU$10,'VK-Võrgud'!$C:$X,2+$F89,0))</f>
        <v>0.72088353413654627</v>
      </c>
      <c r="CV89" s="209">
        <f t="shared" si="49"/>
        <v>1</v>
      </c>
      <c r="CW89" s="209">
        <f>(IF(CW$7="X",VLOOKUP(CW$10,'VK-Hooned-Soojus'!$C:$X,2+$C89,FALSE),0)+IF(CW$6="X",VLOOKUP(CW$10,'VK-Transport'!$C:$X,2+$B89,0))+IF(CW$8="X",VLOOKUP(CW$10,'VK-Elekter'!$C:$X,2+$D89,0))+IF(CW$9="X",VLOOKUP(CW$10,'VK-Biokütused'!$C:$U,2+$E89,0))+IF(CW$5="X",VLOOKUP(CW$10,'VK-Põlevkivi'!$C:$X,2+$G89,0))+IF(CW$4="X",VLOOKUP(CW$10,'VK-Võrgud'!$C:$X,2+$F89,0)))/16</f>
        <v>0</v>
      </c>
      <c r="CY89" s="209">
        <f>(IF(CY$7="X",VLOOKUP(CY$10,'VK-Hooned-Soojus'!$C:$X,2+$C89,FALSE),0)+IF(CY$6="X",VLOOKUP(CY$10,'VK-Transport'!$C:$X,2+$B89,0))+IF(CY$8="X",VLOOKUP(CY$10,'VK-Elekter'!$C:$X,2+$D89,0))+IF(CY$9="X",VLOOKUP(CY$10,'VK-Biokütused'!$C:$U,2+$E89,0))+IF(CY$5="X",VLOOKUP(CY$10,'VK-Põlevkivi'!$C:$X,2+$G89,0))+IF(CY$4="X",VLOOKUP(CY$10,'VK-Võrgud'!$C:$X,2+$F89,0)))/1000</f>
        <v>10.212999999999999</v>
      </c>
      <c r="CZ89" s="209">
        <f>(IF(CZ$7="X",VLOOKUP(CZ$10,'VK-Hooned-Soojus'!$C:$X,2+$C89,FALSE),0)+IF(CZ$6="X",VLOOKUP(CZ$10,'VK-Transport'!$C:$X,2+$B89,0))+IF(CZ$8="X",VLOOKUP(CZ$10,'VK-Elekter'!$C:$X,2+$D89,0))+IF(CZ$9="X",VLOOKUP(CZ$10,'VK-Biokütused'!$C:$U,2+$E89,0))+IF(CZ$5="X",VLOOKUP(CZ$10,'VK-Põlevkivi'!$C:$X,2+$G89,0))+IF(CZ$4="X",VLOOKUP(CZ$10,'VK-Võrgud'!$C:$X,2+$F89,0)))</f>
        <v>69</v>
      </c>
      <c r="DA89" s="209">
        <f>(IF(DA$7="X",VLOOKUP(DA$10,'VK-Hooned-Soojus'!$C:$X,2+$C89,FALSE),0)+IF(DA$6="X",VLOOKUP(DA$10,'VK-Transport'!$C:$X,2+$B89,0))+IF(DA$8="X",VLOOKUP(DA$10,'VK-Elekter'!$C:$X,2+$D89,0))+IF(DA$9="X",VLOOKUP(DA$10,'VK-Biokütused'!$C:$U,2+$E89,0))+IF(DA$5="X",VLOOKUP(DA$10,'VK-Põlevkivi'!$C:$X,2+$G89,0))+IF(DA$4="X",VLOOKUP(DA$10,'VK-Võrgud'!$C:$X,2+$F89,0)))/1000</f>
        <v>13.782</v>
      </c>
      <c r="DB89" s="209">
        <f>(IF(DB$7="X",VLOOKUP(DB$10,'VK-Hooned-Soojus'!$C:$X,2+$C89,FALSE),0)+IF(DB$6="X",VLOOKUP(DB$10,'VK-Transport'!$C:$X,2+$B89,0))+IF(DB$8="X",VLOOKUP(DB$10,'VK-Elekter'!$C:$X,2+$D89,0))+IF(DB$9="X",VLOOKUP(DB$10,'VK-Biokütused'!$C:$U,2+$E89,0))+IF(DB$5="X",VLOOKUP(DB$10,'VK-Põlevkivi'!$C:$X,2+$G89,0))+IF(DB$4="X",VLOOKUP(DB$10,'VK-Võrgud'!$C:$X,2+$F89,0)))/1000/3.6</f>
        <v>61.256388888888885</v>
      </c>
      <c r="DC89" s="209">
        <f>(IF(DC$7="X",VLOOKUP(DC$10,'VK-Hooned-Soojus'!$C:$X,2+$C89,FALSE),0)+IF(DC$6="X",VLOOKUP(DC$10,'VK-Transport'!$C:$X,2+$B89,0))+IF(DC$8="X",VLOOKUP(DC$10,'VK-Elekter'!$C:$X,2+$D89,0))+IF(DC$9="X",VLOOKUP(DC$10,'VK-Biokütused'!$C:$U,2+$E89,0))+IF(DC$5="X",VLOOKUP(DC$10,'VK-Põlevkivi'!$C:$X,2+$G89,0))+IF(DC$4="X",VLOOKUP(DC$10,'VK-Võrgud'!$C:$X,2+$F89,0)))/1000000</f>
        <v>4.9068310000000004</v>
      </c>
      <c r="DD89" s="209"/>
      <c r="DE89" s="88">
        <f>VLOOKUP(Tulemused!$BN$12,data!M$7:N$12,2,FALSE)-SUM(L89,M89)</f>
        <v>-0.77386666666667736</v>
      </c>
      <c r="DF89" s="209" t="str">
        <f>IF(AZ89&lt;=VLOOKUP(Tulemused!$BN$15,data!$E$36:$F$39,2,FALSE),"JAH","EI")</f>
        <v>JAH</v>
      </c>
      <c r="DG89" s="209"/>
      <c r="DH89" s="209">
        <f t="shared" si="50"/>
        <v>6.08</v>
      </c>
      <c r="DI89" s="231" t="str">
        <f t="shared" si="65"/>
        <v>EI</v>
      </c>
      <c r="DK89" s="232">
        <f t="shared" si="51"/>
        <v>-996.65634431527974</v>
      </c>
      <c r="DM89" s="233">
        <f t="shared" si="52"/>
        <v>-995.37208966442518</v>
      </c>
      <c r="DN89" s="87">
        <f t="array" ref="DN89">INDEX($A$11:$A$145, SMALL(IF(DM89=$DK$11:$DK$145, MATCH(ROW($DK$11:$DK$145), ROW($DK$11:$DK$145))), SUM(--(DM89=$DM$11:DM89))))</f>
        <v>73</v>
      </c>
      <c r="DP89" s="87" t="e">
        <f t="shared" ca="1" si="66"/>
        <v>#N/A</v>
      </c>
      <c r="DQ89" s="87" t="e">
        <f t="shared" ca="1" si="67"/>
        <v>#N/A</v>
      </c>
      <c r="DR89" s="87">
        <f t="shared" ca="1" si="68"/>
        <v>0</v>
      </c>
      <c r="DS89" s="87" t="e">
        <f t="shared" ca="1" si="69"/>
        <v>#N/A</v>
      </c>
      <c r="DT89" s="87">
        <f t="shared" ca="1" si="70"/>
        <v>0</v>
      </c>
      <c r="DU89" s="87" t="e">
        <f t="shared" ca="1" si="71"/>
        <v>#N/A</v>
      </c>
      <c r="DV89" s="87" t="e">
        <f t="shared" ca="1" si="72"/>
        <v>#N/A</v>
      </c>
      <c r="DW89" s="87">
        <f t="shared" ca="1" si="73"/>
        <v>0</v>
      </c>
      <c r="DX89" s="87">
        <f t="shared" ca="1" si="74"/>
        <v>0</v>
      </c>
      <c r="DZ89" s="87">
        <f t="shared" ca="1" si="35"/>
        <v>0</v>
      </c>
      <c r="EB89" s="87">
        <f t="shared" ca="1" si="75"/>
        <v>0</v>
      </c>
      <c r="EC89" s="87" t="e">
        <f t="shared" ca="1" si="76"/>
        <v>#N/A</v>
      </c>
      <c r="EE89" s="228">
        <f>(IF(EE$7="X",VLOOKUP(EE$10,'VK-Hooned-Soojus'!$C:$X,2+$C89,FALSE),0)+IF(EE$6="X",VLOOKUP(EE$10,'VK-Transport'!$C:$X,2+$B89,0))+IF(EE$8="X",VLOOKUP(EE$10,'VK-Elekter'!$C:$X,2+$D89,0))+IF(EE$9="X",VLOOKUP(EE$10,'VK-Biokütused'!$C:$U,2+$E89,0))+IF(EE$5="X",VLOOKUP(EE$10,'VK-Põlevkivi'!$C:$X,2+$G89,0))+IF(EE$4="X",VLOOKUP(EE$10,'VK-Võrgud'!$C:$X,2+$F89,0)))</f>
        <v>3987.5799106730774</v>
      </c>
      <c r="EF89" s="235">
        <f>(IF(EF$7="X",VLOOKUP(EF$10,'VK-Hooned-Soojus'!$C:$X,2+$C89,FALSE),0)+IF(EF$6="X",VLOOKUP(EF$10,'VK-Transport'!$C:$X,2+$B89,0))+IF(EF$8="X",VLOOKUP(EF$10,'VK-Elekter'!$C:$X,2+$D89,0))+IF(EF$9="X",VLOOKUP(EF$10,'VK-Biokütused'!$C:$U,2+$E89,0)))/1000</f>
        <v>4.8013823271229708</v>
      </c>
      <c r="EG89" s="209">
        <f>(IF(EG$7="X",VLOOKUP(EG$10,'VK-Hooned-Soojus'!$C:$X,2+$C89,FALSE),0)+IF(EG$6="X",VLOOKUP(EG$10,'VK-Transport'!$C:$X,2+$B89,0))+IF(EG$8="X",VLOOKUP(EG$10,'VK-Elekter'!$C:$X,2+$D89,0))+IF(EG$9="X",VLOOKUP(EG$10,'VK-Biokütused'!$C:$U,2+$E89,0))+IF(EG$5="X",VLOOKUP(EG$10,'VK-Põlevkivi'!$C:$X,2+$G89,0))+IF(EG$4="X",VLOOKUP(EG$10,'VK-Võrgud'!$C:$X,2+$F89,0)))</f>
        <v>0.81</v>
      </c>
      <c r="EH89" s="209">
        <f>(IF(EH$7="X",VLOOKUP(EH$10,'VK-Hooned-Soojus'!$C:$X,2+$C89,FALSE),0)+IF(EH$6="X",VLOOKUP(EH$10,'VK-Transport'!$C:$X,2+$B89,0))+IF(EH$8="X",VLOOKUP(EH$10,'VK-Elekter'!$C:$X,2+$D89,0))+IF(EH$9="X",VLOOKUP(EH$10,'VK-Biokütused'!$C:$U,2+$E89,0)))+AR89+AS89+AU89+AX89</f>
        <v>52.174399224806201</v>
      </c>
      <c r="EI89" s="320">
        <f t="shared" si="53"/>
        <v>46.490678294573641</v>
      </c>
      <c r="EJ89" s="322">
        <f t="shared" si="54"/>
        <v>2.3391437578713474E-2</v>
      </c>
      <c r="EK89" s="323">
        <f t="shared" si="77"/>
        <v>0.39754723427955507</v>
      </c>
      <c r="EM89" s="209"/>
      <c r="EN89" s="209">
        <f t="shared" ca="1" si="55"/>
        <v>0</v>
      </c>
      <c r="EO89" s="209"/>
      <c r="EP89" s="234"/>
      <c r="EQ89" s="209">
        <f>(IF(EQ$7="X",VLOOKUP(EQ$10,'VK-Hooned-Soojus'!$C:$X,2+$C89,FALSE),0)+IF(EQ$6="X",VLOOKUP(EQ$10,'VK-Transport'!$C:$X,2+$B89,0))+IF(EQ$8="X",VLOOKUP(EQ$10,'VK-Elekter'!$C:$X,2+$D89,0))+IF(EQ$9="X",VLOOKUP(EQ$10,'VK-Biokütused'!$C:$U,2+$E89,0))+IF(EQ$5="X",VLOOKUP(EQ$10,'VK-Põlevkivi'!$C:$X,2+$G89,0))+IF(EQ$4="X",VLOOKUP(EQ$10,'VK-Võrgud'!$C:$X,2+$F89,0)))/1000</f>
        <v>0.19900000000000001</v>
      </c>
      <c r="ER89" s="209">
        <f>(IF(ER$7="X",VLOOKUP(ER$10,'VK-Hooned-Soojus'!$C:$X,2+$C89,FALSE),0)+IF(ER$6="X",VLOOKUP(ER$10,'VK-Transport'!$C:$X,2+$B89,0))+IF(ER$8="X",VLOOKUP(ER$10,'VK-Elekter'!$C:$X,2+$D89,0))+IF(ER$9="X",VLOOKUP(ER$10,'VK-Biokütused'!$C:$U,2+$E89,0))+IF(ER$5="X",VLOOKUP(ER$10,'VK-Põlevkivi'!$C:$X,2+$G89,0))+IF(ER$4="X",VLOOKUP(ER$10,'VK-Võrgud'!$C:$X,2+$F89,0)))</f>
        <v>0.72299999999999998</v>
      </c>
      <c r="ES89" s="209">
        <f>(IF(ES$7="X",VLOOKUP(ES$10,'VK-Hooned-Soojus'!$C:$X,2+$C89,FALSE),0)+IF(ES$6="X",VLOOKUP(ES$10,'VK-Transport'!$C:$X,2+$B89,0))+IF(ES$8="X",VLOOKUP(ES$10,'VK-Elekter'!$C:$X,2+$D89,0))+IF(ES$9="X",VLOOKUP(ES$10,'VK-Biokütused'!$C:$U,2+$E89,0))+IF(ES$5="X",VLOOKUP(ES$10,'VK-Põlevkivi'!$C:$X,2+$G89,0))+IF(ES$4="X",VLOOKUP(ES$10,'VK-Võrgud'!$C:$X,2+$F89,0)))</f>
        <v>6.08</v>
      </c>
      <c r="ET89" s="209"/>
      <c r="EU89" s="209"/>
      <c r="EV89" s="87">
        <f>'KSH järjestus'!AS82</f>
        <v>1314</v>
      </c>
      <c r="EX89" s="236"/>
      <c r="EY89" s="236"/>
      <c r="EZ89" s="237">
        <f t="shared" si="56"/>
        <v>0.27911646586345373</v>
      </c>
      <c r="FA89" s="209">
        <f>IF(FA$7="X",VLOOKUP(FA$10,'VK-Hooned-Soojus'!$C:$X,2+$C89,FALSE),0)+IF(FA$6="X",VLOOKUP(FA$10,'VK-Transport'!$C:$X,2+$B89,0))+IF(FA$8="X",VLOOKUP(FA$10,'VK-Elekter'!$C:$X,2+$D89,0))+IF(FA$9="X",VLOOKUP(FA$10,'VK-Biokütused'!$C:$U,2+$E89,0))+IF(FA$5="X",VLOOKUP(FA$10,'VK-Põlevkivi'!$C:$X,2+$G89,0))+IF(FA$4="X",VLOOKUP(FA$10,'VK-Võrgud'!$C:$X,2+$F89,0))</f>
        <v>3009.346</v>
      </c>
      <c r="FB89" s="279">
        <f>(IF(FB$7="X",VLOOKUP(FB$10,'VK-Hooned-Soojus'!$C:$X,2+$C89,FALSE),0)+IF(FB$6="X",VLOOKUP(FB$10,'VK-Transport'!$C:$X,2+$B89,0))+IF(FB$8="X",VLOOKUP(FB$10,'VK-Elekter'!$C:$X,2+$D89,0))+IF(FB$9="X",VLOOKUP(FB$10,'VK-Biokütused'!$C:$U,2+$E89,0))+IF(FB$5="X",VLOOKUP(FB$10,'VK-Põlevkivi'!$C:$X,2+$G89,0))+IF(FB$4="X",VLOOKUP(FB$10,'VK-Võrgud'!$C:$X,2+$F89,0)))/16</f>
        <v>202.03281552862853</v>
      </c>
      <c r="FC89" s="209">
        <f>IF(FC$7="X",VLOOKUP(FC$10,'VK-Hooned-Soojus'!$C:$X,2+$C89,FALSE),0)+IF(FC$6="X",VLOOKUP(FC$10,'VK-Transport'!$C:$X,2+$B89,0))+IF(FC$8="X",VLOOKUP(FC$10,'VK-Elekter'!$C:$X,2+$D89,0))+IF(FC$9="X",VLOOKUP(FC$10,'VK-Biokütused'!$C:$U,2+$E89,0))+IF(FC$5="X",VLOOKUP(FC$10,'VK-Põlevkivi'!$C:$X,2+$G89,0))+IF(FC$4="X",VLOOKUP(FC$10,'VK-Võrgud'!$C:$X,2+$F89,0))</f>
        <v>297.04999999999995</v>
      </c>
      <c r="FD89" s="209">
        <f>(IF(FD$7="X",VLOOKUP(FD$10,'VK-Hooned-Soojus'!$C:$X,2+$C89,FALSE),0)+IF(FD$6="X",VLOOKUP(FD$10,'VK-Transport'!$C:$X,2+$B89,0))+IF(FD$8="X",VLOOKUP(FD$10,'VK-Elekter'!$C:$X,2+$D89,0))+IF(FD$9="X",VLOOKUP(FD$10,'VK-Biokütused'!$C:$U,2+$E89,0))+IF(FD$5="X",VLOOKUP(FD$10,'VK-Põlevkivi'!$C:$X,2+$G89,0))+IF(FD$4="X",VLOOKUP(FD$10,'VK-Võrgud'!$C:$X,2+$F89,0)))/16</f>
        <v>202.03281552862853</v>
      </c>
      <c r="FE89" s="209">
        <f>(IF(FE$7="X",VLOOKUP(FE$10,'VK-Hooned-Soojus'!$C:$X,2+$C89,FALSE),0)+IF(FE$6="X",VLOOKUP(FE$10,'VK-Transport'!$C:$X,2+$B89,0))+IF(FE$8="X",VLOOKUP(FE$10,'VK-Elekter'!$C:$X,2+$D89,0))+IF(FE$9="X",VLOOKUP(FE$10,'VK-Biokütused'!$C:$U,2+$E89,0))+IF(FE$5="X",VLOOKUP(FE$10,'VK-Põlevkivi'!$C:$X,2+$G89,0))+IF(FE$4="X",VLOOKUP(FE$10,'VK-Võrgud'!$C:$X,2+$F89,0)))/16</f>
        <v>-147.50125</v>
      </c>
      <c r="FF89" s="209">
        <f>(IF(FF$7="X",VLOOKUP(FF$10,'VK-Hooned-Soojus'!$C:$X,2+$C89,FALSE),0)+IF(FF$6="X",VLOOKUP(FF$10,'VK-Transport'!$C:$X,2+$B89,0))+IF(FF$8="X",VLOOKUP(FF$10,'VK-Elekter'!$C:$X,2+$D89,0))+IF(FF$9="X",VLOOKUP(FF$10,'VK-Biokütused'!$C:$U,2+$E89,0))+IF(FF$5="X",VLOOKUP(FF$10,'VK-Põlevkivi'!$C:$X,2+$G89,0))+IF(FF$4="X",VLOOKUP(FF$10,'VK-Võrgud'!$C:$X,2+$F89,0)))/16</f>
        <v>114.10828063967361</v>
      </c>
      <c r="FG89" s="88">
        <f t="shared" ca="1" si="78"/>
        <v>-33.39296936032639</v>
      </c>
      <c r="FH89" s="88"/>
      <c r="FI89" s="88"/>
      <c r="FJ89" s="88">
        <f>VLOOKUP(Tulemused!$BN$12,data!M$7:N$12,2,FALSE)-SUM(L89,M89)</f>
        <v>-0.77386666666667736</v>
      </c>
      <c r="FK89" s="209" t="str">
        <f>IF(AZ89&lt;=VLOOKUP(Tulemused!$BN$15,data!$E$36:$F$39,2,FALSE),"JAH","EI")</f>
        <v>JAH</v>
      </c>
      <c r="FL89" s="235">
        <f ca="1">IF(ISNA(MATCH($A89,INDIRECT(VLOOKUP(Tulemused!$BF$11,data!$J$57:$M$71,4,FALSE)))),0,MATCH($A89,INDIRECT(VLOOKUP(Tulemused!$BF$11,data!$J$57:$M$71,4,FALSE))))</f>
        <v>0</v>
      </c>
      <c r="FM89" s="235" t="str">
        <f t="shared" ca="1" si="57"/>
        <v>JAH</v>
      </c>
      <c r="FN89" s="209">
        <f>VLOOKUP(Tulemused!$BN$13,data!$C$132:$D$137,2,FALSE)-KOMBI!R89</f>
        <v>3.8465876728770305</v>
      </c>
      <c r="FO89" s="209"/>
      <c r="FP89" s="209">
        <f>VLOOKUP(Tulemused!$BN$17,NO_x,2,FALSE)-CJ89</f>
        <v>11.958421988425464</v>
      </c>
      <c r="FQ89" s="209">
        <f>VLOOKUP(Tulemused!$BN$18,SO_2,2,FALSE)-CK89</f>
        <v>40.661675362099992</v>
      </c>
      <c r="FR89" s="209">
        <f>VLOOKUP(Tulemused!$BN$19,LOU,2,FALSE)-CN89</f>
        <v>34.182000000000002</v>
      </c>
      <c r="FS89" s="209">
        <f>VLOOKUP(Tulemused!$BN$20,PM_2.5,2,FALSE)-CM89</f>
        <v>9.3172394222510917</v>
      </c>
      <c r="FT89" s="209">
        <f>VLOOKUP(Tulemused!$BN$13,data!$C$132:$D$137,2,FALSE)-FA89/1000</f>
        <v>3.2366240000000008</v>
      </c>
      <c r="FU89" s="209">
        <f>VLOOKUP(Tulemused!$BN$17,NO_x,2,FALSE)-CO89</f>
        <v>5.6044247892027172</v>
      </c>
      <c r="FV89" s="209">
        <f>VLOOKUP(Tulemused!$BN$18,SO_2,2,FALSE)-CP89</f>
        <v>38.478005169650174</v>
      </c>
      <c r="FW89" s="209">
        <f>VLOOKUP(Tulemused!$BN$19,LOU,2,FALSE)-CS89</f>
        <v>33.285665509940173</v>
      </c>
      <c r="FX89" s="209">
        <f>VLOOKUP(Tulemused!$BN$20,PM_2.5,2,FALSE)-CR89</f>
        <v>9.2129127215424234</v>
      </c>
      <c r="FY89" s="209">
        <f>VLOOKUP(Tulemused!$BN$14,KHG_2050,2,FALSE)-EF89</f>
        <v>95.198617672877035</v>
      </c>
      <c r="FZ89" s="231" t="str">
        <f t="shared" ca="1" si="79"/>
        <v>EI</v>
      </c>
      <c r="GA89" s="209"/>
      <c r="GB89" s="209"/>
      <c r="GC89" s="209"/>
      <c r="GD89" s="231"/>
      <c r="GE89" s="87">
        <f t="shared" si="58"/>
        <v>1314</v>
      </c>
      <c r="GF89" s="232" t="str">
        <f t="shared" ca="1" si="80"/>
        <v/>
      </c>
      <c r="GH89" s="238" t="e">
        <f t="shared" ca="1" si="59"/>
        <v>#NUM!</v>
      </c>
      <c r="GI89" s="87" t="e">
        <f t="array" aca="1" ref="GI89" ca="1">INDEX($A$11:$A$145, SMALL(IF(GH89=$GF$11:$GF$145, MATCH(ROW($GF$11:$GF$145), ROW($GF$11:$GF$145))), SUM(--(GH89=$GH$11:GH89))))</f>
        <v>#NUM!</v>
      </c>
      <c r="GM89" s="209">
        <f>IF(GM$7="X",VLOOKUP(GM$10,'VK-Hooned-Soojus'!$C:$X,2+$C89,FALSE),0)+IF(GM$6="X",VLOOKUP(GM$10,'VK-Transport'!$C:$X,2+$B89,0))+IF(GM$8="X",VLOOKUP(GM$10,'VK-Elekter'!$C:$X,2+$D89,0))+IF(GM$9="X",VLOOKUP(GM$10,'VK-Biokütused'!$C:$U,2+$E89,0))+IF(GM$5="X",VLOOKUP(GM$10,'VK-Põlevkivi'!$C:$X,2+$G89,0))+IF(GM$4="X",VLOOKUP(GM$10,'VK-Võrgud'!$C:$X,2+$F89,0))</f>
        <v>6.0128279910272253</v>
      </c>
      <c r="GN89" s="209">
        <f>IF(GN$7="X",VLOOKUP(GN$10,'VK-Hooned-Soojus'!$C:$X,2+$C89,FALSE),0)+IF(GN$6="X",VLOOKUP(GN$10,'VK-Transport'!$C:$X,2+$B89,0))+IF(GN$8="X",VLOOKUP(GN$10,'VK-Elekter'!$C:$X,2+$D89,0))+IF(GN$9="X",VLOOKUP(GN$10,'VK-Biokütused'!$C:$U,2+$E89,0))+IF(GN$5="X",VLOOKUP(GN$10,'VK-Põlevkivi'!$C:$X,2+$G89,0))+IF(GN$4="X",VLOOKUP(GN$10,'VK-Võrgud'!$C:$X,2+$F89,0))</f>
        <v>3.4467619395011728</v>
      </c>
      <c r="GO89" s="209">
        <f>IF(GO$7="X",VLOOKUP(GO$10,'VK-Hooned-Soojus'!$C:$X,2+$C89,FALSE),0)+IF(GO$6="X",VLOOKUP(GO$10,'VK-Transport'!$C:$X,2+$B89,0))+IF(GO$8="X",VLOOKUP(GO$10,'VK-Elekter'!$C:$X,2+$D89,0))+IF(GO$9="X",VLOOKUP(GO$10,'VK-Biokütused'!$C:$U,2+$E89,0))+IF(GO$5="X",VLOOKUP(GO$10,'VK-Põlevkivi'!$C:$X,2+$G89,0))+IF(GO$4="X",VLOOKUP(GO$10,'VK-Võrgud'!$C:$X,2+$F89,0))</f>
        <v>7.5763700102722566</v>
      </c>
      <c r="GP89" s="209">
        <f>IF(GP$7="X",VLOOKUP(GP$10,'VK-Hooned-Soojus'!$C:$X,2+$C89,FALSE),0)+IF(GP$6="X",VLOOKUP(GP$10,'VK-Transport'!$C:$X,2+$B89,0))+IF(GP$8="X",VLOOKUP(GP$10,'VK-Elekter'!$C:$X,2+$D89,0))+IF(GP$9="X",VLOOKUP(GP$10,'VK-Biokütused'!$C:$U,2+$E89,0))+IF(GP$5="X",VLOOKUP(GP$10,'VK-Põlevkivi'!$C:$X,2+$G89,0))+IF(GP$4="X",VLOOKUP(GP$10,'VK-Võrgud'!$C:$X,2+$F89,0))</f>
        <v>8.9326558040707589</v>
      </c>
      <c r="GQ89" s="88">
        <f>IF(GQ$7="X",VLOOKUP(GQ$10,'VK-Hooned-Soojus'!$C:$X,2+$C89,FALSE),0)+IF(GQ$6="X",VLOOKUP(GQ$10,'VK-Transport'!$C:$X,2+$B89,0))+IF(GQ$8="X",VLOOKUP(GQ$10,'VK-Elekter'!$C:$X,2+$D89,0))+IF(GQ$9="X",VLOOKUP(GQ$10,'VK-Biokütused'!$C:$U,2+$E89,0))+IF(GQ$5="X",VLOOKUP(GQ$10,'VK-Põlevkivi'!$C:$X,2+$G89,0))+IF(GQ$4="X",VLOOKUP(GQ$10,'VK-Võrgud'!$C:$X,2+$F89,0))</f>
        <v>0.90618397335647782</v>
      </c>
      <c r="GR89" s="186">
        <f t="shared" si="81"/>
        <v>0.39532637523095843</v>
      </c>
    </row>
    <row r="90" spans="1:200" x14ac:dyDescent="0.2">
      <c r="A90" s="184">
        <v>80</v>
      </c>
      <c r="B90" s="87">
        <v>2</v>
      </c>
      <c r="C90" s="87">
        <v>3</v>
      </c>
      <c r="D90" s="87">
        <v>2</v>
      </c>
      <c r="E90" s="87">
        <v>2</v>
      </c>
      <c r="F90" s="87">
        <f>VLOOKUP(Tulemused!$BF$7,data!$J$6:$K$8,2,FALSE)</f>
        <v>2</v>
      </c>
      <c r="G90" s="87">
        <f>VLOOKUP(data!$H$2,data!$J$12:$K$14,2,FALSE)</f>
        <v>2</v>
      </c>
      <c r="I90" s="209">
        <f>IF(I$7="X",VLOOKUP(I$10,'VK-Hooned-Soojus'!$C:$X,2+$C90,FALSE),0)+IF(I$6="X",VLOOKUP(I$10,'VK-Transport'!$C:$X,2+$B90,0))+IF(I$8="X",VLOOKUP(I$10,'VK-Elekter'!$C:$X,2+$D90,0))+IF(I$9="X",VLOOKUP(I$10,'VK-Biokütused'!$C:$U,2+$E90,0))+IF(I$5="X",VLOOKUP(I$10,'VK-Põlevkivi'!$C:$X,2+$G90,0))+IF(I$4="X",VLOOKUP(I$10,'VK-Võrgud'!$C:$X,2+$F90,0))</f>
        <v>23.490000000000002</v>
      </c>
      <c r="J90" s="209">
        <f>IF(J$7="X",VLOOKUP(J$10,'VK-Hooned-Soojus'!$C:$X,2+$C90,FALSE),0)+IF(J$6="X",VLOOKUP(J$10,'VK-Transport'!$C:$X,2+$B90,0))+IF(J$8="X",VLOOKUP(J$10,'VK-Elekter'!$C:$X,2+$D90,0))+IF(J$9="X",VLOOKUP(J$10,'VK-Biokütused'!$C:$U,2+$E90,0))+IF(J$5="X",VLOOKUP(J$10,'VK-Põlevkivi'!$C:$X,2+$G90,0))+IF(J$4="X",VLOOKUP(J$10,'VK-Võrgud'!$C:$X,2+$F90,0))</f>
        <v>11.138055555555555</v>
      </c>
      <c r="K90" s="209">
        <f>IF(K$7="X",VLOOKUP(K$10,'VK-Hooned-Soojus'!$C:$X,2+$C90,FALSE),0)+IF(K$6="X",VLOOKUP(K$10,'VK-Transport'!$C:$X,2+$B90,0))+IF(K$8="X",VLOOKUP(K$10,'VK-Elekter'!$C:$X,2+$D90,0))+IF(K$9="X",VLOOKUP(K$10,'VK-Biokütused'!$C:$U,2+$E90,0))+IF(K$5="X",VLOOKUP(K$10,'VK-Põlevkivi'!$C:$X,2+$G90,0))+IF(K$4="X",VLOOKUP(K$10,'VK-Võrgud'!$C:$X,2+$F90,0))</f>
        <v>13.780000000000001</v>
      </c>
      <c r="L90" s="209">
        <f>IF(L$7="X",VLOOKUP(L$10,'VK-Hooned-Soojus'!$C:$X,2+$C90,FALSE),0)+IF(L$6="X",VLOOKUP(L$10,'VK-Transport'!$C:$X,2+$B90,0))+IF(L$8="X",VLOOKUP(L$10,'VK-Elekter'!$C:$X,2+$D90,0))+IF(L$9="X",VLOOKUP(L$10,'VK-Biokütused'!$C:$U,2+$E90,0))+IF(L$5="X",VLOOKUP(L$10,'VK-Põlevkivi'!$C:$X,2+$G90,0))+IF(L$4="X",VLOOKUP(L$10,'VK-Võrgud'!$C:$X,2+$F90,0))</f>
        <v>23.75</v>
      </c>
      <c r="M90" s="209">
        <f>IF(M$7="X",VLOOKUP(M$10,'VK-Hooned-Soojus'!$C:$X,2+$C90,FALSE),0)+IF(M$6="X",VLOOKUP(M$10,'VK-Transport'!$C:$X,2+$B90,0))+IF(M$8="X",VLOOKUP(M$10,'VK-Elekter'!$C:$X,2+$D90,0))+IF(M$9="X",VLOOKUP(M$10,'VK-Biokütused'!$C:$U,2+$E90,0))+IF(M$5="X",VLOOKUP(M$10,'VK-Põlevkivi'!$C:$X,2+$G90,0))+IF(M$4="X",VLOOKUP(M$10,'VK-Võrgud'!$C:$X,2+$F90,0))</f>
        <v>9.8566666666666674</v>
      </c>
      <c r="N90" s="209">
        <f>IF(N$7="X",VLOOKUP(N$10,'VK-Hooned-Soojus'!$C:$X,2+$C90,FALSE),0)+IF(N$6="X",VLOOKUP(N$10,'VK-Transport'!$C:$X,2+$B90,0))+IF(N$8="X",VLOOKUP(N$10,'VK-Elekter'!$C:$X,2+$D90,0))+IF(N$9="X",VLOOKUP(N$10,'VK-Biokütused'!$C:$U,2+$E90,0))+IF(N$5="X",VLOOKUP(N$10,'VK-Põlevkivi'!$C:$X,2+$G90,0))+IF(N$4="X",VLOOKUP(N$10,'VK-Võrgud'!$C:$X,2+$F90,0))</f>
        <v>15.25</v>
      </c>
      <c r="O90" s="209">
        <f t="shared" si="60"/>
        <v>34.628055555555555</v>
      </c>
      <c r="P90" s="209"/>
      <c r="Q90" s="209">
        <f>(IF(Q$7="X",VLOOKUP(Q$10,'VK-Hooned-Soojus'!$C:$X,2+$C90,FALSE),0)+IF(Q$6="X",VLOOKUP(Q$10,'VK-Transport'!$C:$X,2+$B90,0))+IF(Q$8="X",VLOOKUP(Q$10,'VK-Elekter'!$C:$X,2+$D90,0))+IF(Q$9="X",VLOOKUP(Q$10,'VK-Biokütused'!$C:$U,2+$E90,0))+IF(Q$5="X",VLOOKUP(Q$10,'VK-Põlevkivi'!$C:$X,2+$G90,0))+IF(Q$4="X",VLOOKUP(Q$10,'VK-Võrgud'!$C:$X,2+$F90,0)))/1000</f>
        <v>4.9379999999999997</v>
      </c>
      <c r="R90" s="209">
        <f>(IF(R$7="X",VLOOKUP(R$10,'VK-Hooned-Soojus'!$C:$X,2+$C90,FALSE),0)+IF(R$6="X",VLOOKUP(R$10,'VK-Transport'!$C:$X,2+$B90,0))+IF(R$8="X",VLOOKUP(R$10,'VK-Elekter'!$C:$X,2+$D90,0))+IF(R$9="X",VLOOKUP(R$10,'VK-Biokütused'!$C:$U,2+$E90,0))+IF(R$5="X",VLOOKUP(R$10,'VK-Põlevkivi'!$C:$X,2+$G90,0))+IF(R$4="X",VLOOKUP(R$10,'VK-Võrgud'!$C:$X,2+$F90,0)))/1000</f>
        <v>2.7768823271229701</v>
      </c>
      <c r="S90" s="226">
        <f>VLOOKUP(S$10,'VK-Hooned-Soojus'!$C:$I,2+$C90,FALSE) + VLOOKUP(S$10,'VK-Transport'!$C:$I,2+$B90,FALSE)+ VLOOKUP(S$10,'VK-Biokütused'!$C:$G,2+$E90,FALSE)+ VLOOKUP(S$10,'VK-Elekter'!$C:$I,2+$D90,FALSE)+ VLOOKUP(S$10,'VK-Põlevkivi'!$C:$I,2+$G90,FALSE)+ VLOOKUP(S$10,'VK-Võrgud'!$C:$I,2+$F90,FALSE)</f>
        <v>1.4090301280209452E-2</v>
      </c>
      <c r="T90" s="226">
        <f>VLOOKUP(T$10,'VK-Hooned-Soojus'!$C:$I,2+$C90,FALSE) + VLOOKUP(T$10,'VK-Transport'!$C:$I,2+$B90,FALSE)+ VLOOKUP(T$10,'VK-Biokütused'!$C:$G,2+$E90,FALSE)+ VLOOKUP(T$10,'VK-Elekter'!$C:$I,2+$D90,FALSE)+ VLOOKUP(T$10,'VK-Põlevkivi'!$C:$I,2+$G90,FALSE)+ VLOOKUP(T$10,'VK-Võrgud'!$C:$I,2+$F90,FALSE)</f>
        <v>-1.4895790316669481E-3</v>
      </c>
      <c r="U90" s="226">
        <f>VLOOKUP(U$10,'VK-Hooned-Soojus'!$C:$I,2+$C90,FALSE) + VLOOKUP(U$10,'VK-Transport'!$C:$I,2+$B90,FALSE)+ VLOOKUP(U$10,'VK-Biokütused'!$C:$G,2+$E90,FALSE)+ VLOOKUP(U$10,'VK-Elekter'!$C:$I,2+$D90,FALSE)+ VLOOKUP(U$10,'VK-Põlevkivi'!$C:$I,2+$G90,FALSE)+ VLOOKUP(U$10,'VK-Võrgud'!$C:$I,2+$F90,FALSE)</f>
        <v>1.1036090589080505E-3</v>
      </c>
      <c r="V90" s="226">
        <f>VLOOKUP(V$10,'VK-Hooned-Soojus'!$C:$I,2+$C90,FALSE) + VLOOKUP(V$10,'VK-Transport'!$C:$I,2+$B90,FALSE)+ VLOOKUP(V$10,'VK-Biokütused'!$C:$G,2+$E90,FALSE)+ VLOOKUP(V$10,'VK-Elekter'!$C:$I,2+$D90,FALSE)+ VLOOKUP(V$10,'VK-Põlevkivi'!$C:$I,2+$G90,FALSE)+ VLOOKUP(V$10,'VK-Võrgud'!$C:$I,2+$F90,FALSE)</f>
        <v>1.3067871066954792E-2</v>
      </c>
      <c r="W90" s="226">
        <f>VLOOKUP(W$10,'VK-Hooned-Soojus'!$C:$I,2+$C90,FALSE) + VLOOKUP(W$10,'VK-Transport'!$C:$I,2+$B90,FALSE)+ VLOOKUP(W$10,'VK-Biokütused'!$C:$G,2+$E90,FALSE)+ VLOOKUP(W$10,'VK-Elekter'!$C:$I,2+$D90,FALSE)+ VLOOKUP(W$10,'VK-Põlevkivi'!$C:$I,2+$G90,FALSE)+ VLOOKUP(W$10,'VK-Võrgud'!$C:$I,2+$F90,FALSE)</f>
        <v>-3.3107086457826285E-2</v>
      </c>
      <c r="X90" s="226">
        <f>VLOOKUP(X$10,'VK-Hooned-Soojus'!$C:$I,2+$C90,FALSE) + VLOOKUP(X$10,'VK-Transport'!$C:$I,2+$B90,FALSE)+ VLOOKUP(X$10,'VK-Biokütused'!$C:$G,2+$E90,FALSE)+ VLOOKUP(X$10,'VK-Elekter'!$C:$I,2+$D90,FALSE)+ VLOOKUP(X$10,'VK-Põlevkivi'!$C:$I,2+$G90,FALSE)+ VLOOKUP(X$10,'VK-Võrgud'!$C:$I,2+$F90,FALSE)</f>
        <v>-3.8113731766824678E-2</v>
      </c>
      <c r="Y90" s="226">
        <f>VLOOKUP(Y$10,'VK-Hooned-Soojus'!$C:$I,2+$C90,FALSE) + VLOOKUP(Y$10,'VK-Transport'!$C:$I,2+$B90,FALSE)+ VLOOKUP(Y$10,'VK-Biokütused'!$C:$G,2+$E90,FALSE)+ VLOOKUP(Y$10,'VK-Elekter'!$C:$I,2+$D90,FALSE)+ VLOOKUP(Y$10,'VK-Põlevkivi'!$C:$I,2+$G90,FALSE)+ VLOOKUP(Y$10,'VK-Võrgud'!$C:$I,2+$F90,FALSE)</f>
        <v>-5.6172700966027667E-2</v>
      </c>
      <c r="Z90" s="227">
        <f>(S90*Tulemused!$Q$9*10+T90*Tulemused!$Q$10*10+KOMBI!U90*Tulemused!$Q$11*10+KOMBI!V90*Tulemused!$Q$12*10)*Tulemused!$Q$8+-(W90*Tulemused!$Q$14*10+KOMBI!X90*Tulemused!$Q$15*10+KOMBI!Y90*Tulemused!$Q$16*10)*Tulemused!$Q$13</f>
        <v>4.2595673333661574</v>
      </c>
      <c r="AA90" s="228">
        <f>(IF(AA$7="X",VLOOKUP(AA$10,'VK-Hooned-Soojus'!$C:$X,2+$C90,FALSE),0)+IF(AA$6="X",VLOOKUP(AA$10,'VK-Transport'!$C:$X,2+$B90,0))+IF(AA$8="X",VLOOKUP(AA$10,'VK-Elekter'!$C:$X,2+$D90,0))+IF(AA$9="X",VLOOKUP(AA$10,'VK-Biokütused'!$C:$U,2+$E90,0))+IF(AA$5="X",VLOOKUP(AA$10,'VK-Põlevkivi'!$C:$X,2+$G90,0))+IF(AA$4="X",VLOOKUP(AA$10,'VK-Võrgud'!$C:$X,2+$F90,0)))</f>
        <v>3761</v>
      </c>
      <c r="AB90" s="228">
        <f>(IF(AB$7="X",VLOOKUP(AB$10,'VK-Hooned-Soojus'!$C:$X,2+$C90,FALSE),0)+IF(AB$6="X",VLOOKUP(AB$10,'VK-Transport'!$C:$X,2+$B90,0))+IF(AB$8="X",VLOOKUP(AB$10,'VK-Elekter'!$C:$X,2+$D90,0))+IF(AB$9="X",VLOOKUP(AB$10,'VK-Biokütused'!$C:$U,2+$E90,0))+IF(AB$5="X",VLOOKUP(AB$10,'VK-Põlevkivi'!$C:$X,2+$G90,0))+IF(AB$4="X",VLOOKUP(AB$10,'VK-Võrgud'!$C:$X,2+$F90,0)))</f>
        <v>1177</v>
      </c>
      <c r="AC90" s="228">
        <f>(IF(AC$7="X",VLOOKUP(AC$10,'VK-Hooned-Soojus'!$C:$X,2+$C90,FALSE),0)+IF(AC$6="X",VLOOKUP(AC$10,'VK-Transport'!$C:$X,2+$B90,0))+IF(AC$8="X",VLOOKUP(AC$10,'VK-Elekter'!$C:$X,2+$D90,0))+IF(AC$9="X",VLOOKUP(AC$10,'VK-Biokütused'!$C:$U,2+$E90,0))+IF(AC$5="X",VLOOKUP(AC$10,'VK-Põlevkivi'!$C:$X,2+$G90,0))+IF(AC$4="X",VLOOKUP(AC$10,'VK-Võrgud'!$C:$X,2+$F90,0)))</f>
        <v>2346</v>
      </c>
      <c r="AD90" s="228">
        <f>(IF(AD$7="X",VLOOKUP(AD$10,'VK-Hooned-Soojus'!$C:$X,2+$C90,FALSE),0)+IF(AD$6="X",VLOOKUP(AD$10,'VK-Transport'!$C:$X,2+$B90,0))+IF(AD$8="X",VLOOKUP(AD$10,'VK-Elekter'!$C:$X,2+$D90,0))+IF(AD$9="X",VLOOKUP(AD$10,'VK-Biokütused'!$C:$U,2+$E90,0))+IF(AD$5="X",VLOOKUP(AD$10,'VK-Põlevkivi'!$C:$X,2+$G90,0))+IF(AD$4="X",VLOOKUP(AD$10,'VK-Võrgud'!$C:$X,2+$F90,0)))</f>
        <v>377.5</v>
      </c>
      <c r="AE90" s="228">
        <f>(IF(AE$7="X",VLOOKUP(AE$10,'VK-Hooned-Soojus'!$C:$X,2+$C90,FALSE),0)+IF(AE$6="X",VLOOKUP(AE$10,'VK-Transport'!$C:$X,2+$B90,0))+IF(AE$8="X",VLOOKUP(AE$10,'VK-Elekter'!$C:$X,2+$D90,0))+IF(AE$9="X",VLOOKUP(AE$10,'VK-Biokütused'!$C:$U,2+$E90,0))+IF(AE$5="X",VLOOKUP(AE$10,'VK-Põlevkivi'!$C:$X,2+$G90,0))+IF(AE$4="X",VLOOKUP(AE$10,'VK-Võrgud'!$C:$X,2+$F90,0)))</f>
        <v>507</v>
      </c>
      <c r="AF90" s="228">
        <f>(IF(AF$7="X",VLOOKUP(AF$10,'VK-Hooned-Soojus'!$C:$X,2+$C90,FALSE),0)+IF(AF$6="X",VLOOKUP(AF$10,'VK-Transport'!$C:$X,2+$B90,0))+IF(AF$8="X",VLOOKUP(AF$10,'VK-Elekter'!$C:$X,2+$D90,0))+IF(AF$9="X",VLOOKUP(AF$10,'VK-Biokütused'!$C:$U,2+$E90,0))+IF(AF$5="X",VLOOKUP(AF$10,'VK-Põlevkivi'!$C:$X,2+$G90,0))+IF(AF$4="X",VLOOKUP(AF$10,'VK-Võrgud'!$C:$X,2+$F90,0)))</f>
        <v>1892.3823271229701</v>
      </c>
      <c r="AG90" s="209"/>
      <c r="AH90" s="209">
        <f>IF(AH$7="X",VLOOKUP(AH$10,'VK-Hooned-Soojus'!$C:$X,2+$C90,FALSE),0)+IF(AH$6="X",VLOOKUP(AH$10,'VK-Transport'!$C:$X,2+$B90,0))+IF(AH$8="X",VLOOKUP(AH$10,'VK-Elekter'!$C:$X,2+$D90,0))+IF(AH$9="X",VLOOKUP(AH$10,'VK-Biokütused'!$C:$U,2+$E90,0))+IF(AH$5="X",VLOOKUP(AH$10,'VK-Põlevkivi'!$C:$X,2+$G90,0))+IF(AH$4="X",VLOOKUP(AH$10,'VK-Võrgud'!$C:$X,2+$F90,0))</f>
        <v>11.64</v>
      </c>
      <c r="AI90" s="209">
        <f>IF(AI$7="X",VLOOKUP(AI$10,'VK-Hooned-Soojus'!$C:$X,2+$C90,FALSE),0)+IF(AI$6="X",VLOOKUP(AI$10,'VK-Transport'!$C:$X,2+$B90,0))+IF(AI$8="X",VLOOKUP(AI$10,'VK-Elekter'!$C:$X,2+$D90,0))+IF(AI$9="X",VLOOKUP(AI$10,'VK-Biokütused'!$C:$U,2+$E90,0))+IF(AI$5="X",VLOOKUP(AI$10,'VK-Põlevkivi'!$C:$X,2+$G90,0))+IF(AI$4="X",VLOOKUP(AI$10,'VK-Võrgud'!$C:$X,2+$F90,0))</f>
        <v>2.3100000000000005</v>
      </c>
      <c r="AJ90" s="209">
        <f>IF(AJ$7="X",VLOOKUP(AJ$10,'VK-Hooned-Soojus'!$C:$X,2+$C90,FALSE),0)+IF(AJ$6="X",VLOOKUP(AJ$10,'VK-Transport'!$C:$X,2+$B90,0))+IF(AJ$8="X",VLOOKUP(AJ$10,'VK-Elekter'!$C:$X,2+$D90,0))+IF(AJ$9="X",VLOOKUP(AJ$10,'VK-Biokütused'!$C:$U,2+$E90,0))+IF(AJ$5="X",VLOOKUP(AJ$10,'VK-Põlevkivi'!$C:$X,2+$G90,0))+IF(AJ$4="X",VLOOKUP(AJ$10,'VK-Võrgud'!$C:$X,2+$F90,0))</f>
        <v>9.25</v>
      </c>
      <c r="AK90" s="209">
        <f>IF(AK$7="X",VLOOKUP(AK$10,'VK-Hooned-Soojus'!$C:$X,2+$C90,FALSE),0)+IF(AK$6="X",VLOOKUP(AK$10,'VK-Transport'!$C:$X,2+$B90,0))+IF(AK$8="X",VLOOKUP(AK$10,'VK-Elekter'!$C:$X,2+$D90,0))+IF(AK$9="X",VLOOKUP(AK$10,'VK-Biokütused'!$C:$U,2+$E90,0))+IF(AK$5="X",VLOOKUP(AK$10,'VK-Põlevkivi'!$C:$X,2+$G90,0))+IF(AK$4="X",VLOOKUP(AK$10,'VK-Võrgud'!$C:$X,2+$F90,0))</f>
        <v>2.78</v>
      </c>
      <c r="AL90" s="209">
        <f>IF(AL$7="X",VLOOKUP(AL$10,'VK-Hooned-Soojus'!$C:$X,2+$C90,FALSE),0)+IF(AL$6="X",VLOOKUP(AL$10,'VK-Transport'!$C:$X,2+$B90,0))+IF(AL$8="X",VLOOKUP(AL$10,'VK-Elekter'!$C:$X,2+$D90,0))+IF(AL$9="X",VLOOKUP(AL$10,'VK-Biokütused'!$C:$U,2+$E90,0))+IF(AL$5="X",VLOOKUP(AL$10,'VK-Põlevkivi'!$C:$X,2+$G90,0))+IF(AL$4="X",VLOOKUP(AL$10,'VK-Võrgud'!$C:$X,2+$F90,0))</f>
        <v>7.1</v>
      </c>
      <c r="AM90" s="209">
        <f>IF(AM$7="X",VLOOKUP(AM$10,'VK-Hooned-Soojus'!$C:$X,2+$C90,FALSE),0)+IF(AM$6="X",VLOOKUP(AM$10,'VK-Transport'!$C:$X,2+$B90,0))+IF(AM$8="X",VLOOKUP(AM$10,'VK-Elekter'!$C:$X,2+$D90,0))+IF(AM$9="X",VLOOKUP(AM$10,'VK-Biokütused'!$C:$U,2+$E90,0))+IF(AM$5="X",VLOOKUP(AM$10,'VK-Põlevkivi'!$C:$X,2+$G90,0))+IF(AM$4="X",VLOOKUP(AM$10,'VK-Võrgud'!$C:$X,2+$F90,0))</f>
        <v>11.5</v>
      </c>
      <c r="AN90" s="209">
        <f>IF(AN$7="X",VLOOKUP(AN$10,'VK-Hooned-Soojus'!$C:$X,2+$C90,FALSE),0)+IF(AN$6="X",VLOOKUP(AN$10,'VK-Transport'!$C:$X,2+$B90,0))+IF(AN$8="X",VLOOKUP(AN$10,'VK-Elekter'!$C:$X,2+$D90,0))+IF(AN$9="X",VLOOKUP(AN$10,'VK-Biokütused'!$C:$U,2+$E90,0))+IF(AN$5="X",VLOOKUP(AN$10,'VK-Põlevkivi'!$C:$X,2+$G90,0))+IF(AN$4="X",VLOOKUP(AN$10,'VK-Võrgud'!$C:$X,2+$F90,0))</f>
        <v>4.0999999999999996</v>
      </c>
      <c r="AO90" s="209">
        <f>IF(AO$7="X",VLOOKUP(AO$10,'VK-Hooned-Soojus'!$C:$X,2+$C90,FALSE),0)+IF(AO$6="X",VLOOKUP(AO$10,'VK-Transport'!$C:$X,2+$B90,0))+IF(AO$8="X",VLOOKUP(AO$10,'VK-Elekter'!$C:$X,2+$D90,0))+IF(AO$9="X",VLOOKUP(AO$10,'VK-Biokütused'!$C:$U,2+$E90,0))+IF(AO$5="X",VLOOKUP(AO$10,'VK-Põlevkivi'!$C:$X,2+$G90,0))+IF(AO$4="X",VLOOKUP(AO$10,'VK-Võrgud'!$C:$X,2+$F90,0))</f>
        <v>12.16</v>
      </c>
      <c r="AP90" s="209">
        <f>IF(AP$7="X",VLOOKUP(AP$10,'VK-Hooned-Soojus'!$C:$X,2+$C90,FALSE),0)+IF(AP$6="X",VLOOKUP(AP$10,'VK-Transport'!$C:$X,2+$B90,0))+IF(AP$8="X",VLOOKUP(AP$10,'VK-Elekter'!$C:$X,2+$D90,0))+IF(AP$9="X",VLOOKUP(AP$10,'VK-Biokütused'!$C:$U,2+$E90,0))+IF(AP$5="X",VLOOKUP(AP$10,'VK-Põlevkivi'!$C:$X,2+$G90,0))+IF(AP$4="X",VLOOKUP(AP$10,'VK-Võrgud'!$C:$X,2+$F90,0))</f>
        <v>6.08</v>
      </c>
      <c r="AQ90" s="320">
        <f t="shared" si="61"/>
        <v>0</v>
      </c>
      <c r="AR90" s="209">
        <f>IF(AR$7="X",VLOOKUP(AR$10,'VK-Hooned-Soojus'!$C:$X,2+$C90,FALSE),0)+IF(AR$6="X",VLOOKUP(AR$10,'VK-Transport'!$C:$X,2+$B90,0))+IF(AR$8="X",VLOOKUP(AR$10,'VK-Elekter'!$C:$X,2+$D90,0))+IF(AR$9="X",VLOOKUP(AR$10,'VK-Biokütused'!$C:$U,2+$E90,0))+IF(AR$5="X",VLOOKUP(AR$10,'VK-Põlevkivi'!$C:$X,2+$G90,0))+IF(AR$4="X",VLOOKUP(AR$10,'VK-Võrgud'!$C:$X,2+$F90,0))</f>
        <v>2.3899999999999997</v>
      </c>
      <c r="AS90" s="320">
        <f>VLOOKUP("Kütuste tarbimine @ 2030 - UTTEGAAS",'VK-Hooned-Soojus'!$C:$X,2+$C90,FALSE)/0.172+VLOOKUP("Kütuste tarbimine @ 2030 - UTTEGAAS",'VK-Elekter'!$C:$X,2+$D90,FALSE)/0.172-AR90-AU90</f>
        <v>2.8565116279069773</v>
      </c>
      <c r="AT90" s="209">
        <f>IF(AT$7="X",VLOOKUP(AT$10,'VK-Hooned-Soojus'!$C:$X,2+$C90,FALSE),0)+IF(AT$6="X",VLOOKUP(AT$10,'VK-Transport'!$C:$X,2+$B90,0))+IF(AT$8="X",VLOOKUP(AT$10,'VK-Elekter'!$C:$X,2+$D90,0))+IF(AT$9="X",VLOOKUP(AT$10,'VK-Biokütused'!$C:$U,2+$E90,0))+IF(AT$5="X",VLOOKUP(AT$10,'VK-Põlevkivi'!$C:$X,2+$G90,0))+IF(AT$4="X",VLOOKUP(AT$10,'VK-Võrgud'!$C:$X,2+$F90,0))</f>
        <v>9.2784458909544707</v>
      </c>
      <c r="AU90" s="229">
        <f>MAX(0,(VLOOKUP("Kütuste tarbimine @ 2030 - UTTEGAAS",'VK-Hooned-Soojus'!$C:$X,2+$C90,FALSE)/0.172+VLOOKUP("Kütuste tarbimine @ 2030 - UTTEGAAS",'VK-Elekter'!$C:$X,2+$D90,FALSE)/0.172)*0.52-VLOOKUP("Kütuste tarbimine @ 2030 - PÕLEVKIVIÕLI",'VK-Hooned-Soojus'!$C:$X,2+$C90,FALSE))</f>
        <v>5.6837209302325586</v>
      </c>
      <c r="AV90" s="209">
        <f>IF(AV$7="X",VLOOKUP(AV$10,'VK-Hooned-Soojus'!$C:$X,2+$C90,FALSE),0)+IF(AV$6="X",VLOOKUP(AV$10,'VK-Transport'!$C:$X,2+$B90,0))+IF(AV$8="X",VLOOKUP(AV$10,'VK-Elekter'!$C:$X,2+$D90,0))+IF(AV$9="X",VLOOKUP(AV$10,'VK-Biokütused'!$C:$U,2+$E90,0))+IF(AV$5="X",VLOOKUP(AV$10,'VK-Põlevkivi'!$C:$X,2+$G90,0))+IF(AV$4="X",VLOOKUP(AV$10,'VK-Võrgud'!$C:$X,2+$F90,0))</f>
        <v>1.7257321590343366</v>
      </c>
      <c r="AW90" s="209">
        <f>IF(AW$7="X",VLOOKUP(AW$10,'VK-Hooned-Soojus'!$C:$X,2+$C90,FALSE),0)+IF(AW$6="X",VLOOKUP(AW$10,'VK-Transport'!$C:$X,2+$B90,0))+IF(AW$8="X",VLOOKUP(AW$10,'VK-Elekter'!$C:$X,2+$D90,0))+IF(AW$9="X",VLOOKUP(AW$10,'VK-Biokütused'!$C:$U,2+$E90,0))+IF(AW$5="X",VLOOKUP(AW$10,'VK-Põlevkivi'!$C:$X,2+$G90,0))+IF(AW$4="X",VLOOKUP(AW$10,'VK-Võrgud'!$C:$X,2+$F90,0))</f>
        <v>2.141</v>
      </c>
      <c r="AX90" s="229">
        <f t="shared" si="62"/>
        <v>0.41526784096566338</v>
      </c>
      <c r="AY90" s="229">
        <f t="shared" si="63"/>
        <v>0</v>
      </c>
      <c r="AZ90" s="230">
        <f t="shared" si="48"/>
        <v>0.54652775186375635</v>
      </c>
      <c r="BA90" s="209">
        <f>IF(BA$7="X",VLOOKUP(BA$10,'VK-Hooned-Soojus'!$C:$X,2+$C90,FALSE),0)+IF(BA$6="X",VLOOKUP(BA$10,'VK-Transport'!$C:$X,2+$B90,0))+IF(BA$8="X",VLOOKUP(BA$10,'VK-Elekter'!$C:$X,2+$D90,0))+IF(BA$9="X",VLOOKUP(BA$10,'VK-Biokütused'!$C:$U,2+$E90,0))+IF(BA$5="X",VLOOKUP(BA$10,'VK-Põlevkivi'!$C:$X,2+$G90,0))+IF(BA$4="X",VLOOKUP(BA$10,'VK-Võrgud'!$C:$X,2+$F90,0))</f>
        <v>4.25</v>
      </c>
      <c r="BB90" s="209">
        <f>IF(BB$7="X",VLOOKUP(BB$10,'VK-Hooned-Soojus'!$C:$X,2+$C90,FALSE),0)+IF(BB$6="X",VLOOKUP(BB$10,'VK-Transport'!$C:$X,2+$B90,0))+IF(BB$8="X",VLOOKUP(BB$10,'VK-Elekter'!$C:$X,2+$D90,0))+IF(BB$9="X",VLOOKUP(BB$10,'VK-Biokütused'!$C:$U,2+$E90,0))+IF(BB$5="X",VLOOKUP(BB$10,'VK-Põlevkivi'!$C:$X,2+$G90,0))+IF(BB$4="X",VLOOKUP(BB$10,'VK-Võrgud'!$C:$X,2+$F90,0))</f>
        <v>2.93</v>
      </c>
      <c r="BC90" s="209">
        <f>IF(BC$7="X",VLOOKUP(BC$10,'VK-Hooned-Soojus'!$C:$X,2+$C90,FALSE),0)+IF(BC$6="X",VLOOKUP(BC$10,'VK-Transport'!$C:$X,2+$B90,0))+IF(BC$8="X",VLOOKUP(BC$10,'VK-Elekter'!$C:$X,2+$D90,0))+IF(BC$9="X",VLOOKUP(BC$10,'VK-Biokütused'!$C:$U,2+$E90,0))+IF(BC$5="X",VLOOKUP(BC$10,'VK-Põlevkivi'!$C:$X,2+$G90,0))+IF(BC$4="X",VLOOKUP(BC$10,'VK-Võrgud'!$C:$X,2+$F90,0))</f>
        <v>5.2376666666666667</v>
      </c>
      <c r="BD90" s="209">
        <f>IF(BD$7="X",VLOOKUP(BD$10,'VK-Hooned-Soojus'!$C:$X,2+$C90,FALSE),0)+IF(BD$6="X",VLOOKUP(BD$10,'VK-Transport'!$C:$X,2+$B90,0))+IF(BD$8="X",VLOOKUP(BD$10,'VK-Elekter'!$C:$X,2+$D90,0))+IF(BD$9="X",VLOOKUP(BD$10,'VK-Biokütused'!$C:$U,2+$E90,0))+IF(BD$5="X",VLOOKUP(BD$10,'VK-Põlevkivi'!$C:$X,2+$G90,0))+IF(BD$4="X",VLOOKUP(BD$10,'VK-Võrgud'!$C:$X,2+$F90,0))</f>
        <v>9.1105555555555569</v>
      </c>
      <c r="BE90" s="230"/>
      <c r="BF90" s="229">
        <f t="shared" si="64"/>
        <v>0.33416875659668871</v>
      </c>
      <c r="BG90" s="209" t="e">
        <f>(IF(BG$7="X",VLOOKUP(BG$10,'VK-Hooned-Soojus'!$C:$X,2+$C90,FALSE),0)+IF(BG$6="X",VLOOKUP(BG$10,'VK-Transport'!$C:$X,2+$B90,0))+IF(BG$8="X",VLOOKUP(BG$10,'VK-Elekter'!$C:$X,2+$D90,0))+IF(BG$9="X",VLOOKUP(BG$10,'VK-Biokütused'!$C:$U,2+$E90,0))+IF(BG$5="X",VLOOKUP(BG$10,'VK-Põlevkivi'!$C:$X,2+$G90,0))+IF(BG$4="X",VLOOKUP(BG$10,'VK-Võrgud'!$C:$X,2+$F90,0)))/20</f>
        <v>#N/A</v>
      </c>
      <c r="BH90" s="209">
        <f>(IF(BH$7="X",VLOOKUP(BH$10,'VK-Hooned-Soojus'!$C:$X,2+$C90,FALSE),0)+IF(BH$6="X",VLOOKUP(BH$10,'VK-Transport'!$C:$X,2+$B90,0))+IF(BH$8="X",VLOOKUP(BH$10,'VK-Elekter'!$C:$X,2+$D90,0))+IF(BH$9="X",VLOOKUP(BH$10,'VK-Biokütused'!$C:$U,2+$E90,0))+IF(BH$5="X",VLOOKUP(BH$10,'VK-Põlevkivi'!$C:$X,2+$G90,0))+IF(BH$4="X",VLOOKUP(BH$10,'VK-Võrgud'!$C:$X,2+$F90,0)))/20</f>
        <v>84.204999999999998</v>
      </c>
      <c r="BI90" s="209">
        <f>(IF(BI$7="X",VLOOKUP(BI$10,'VK-Hooned-Soojus'!$C:$X,2+$C90,FALSE),0)+IF(BI$6="X",VLOOKUP(BI$10,'VK-Transport'!$C:$X,2+$B90,0))+IF(BI$8="X",VLOOKUP(BI$10,'VK-Elekter'!$C:$X,2+$D90,0))+IF(BI$9="X",VLOOKUP(BI$10,'VK-Biokütused'!$C:$U,2+$E90,0))+IF(BI$5="X",VLOOKUP(BI$10,'VK-Põlevkivi'!$C:$X,2+$G90,0))+IF(BI$4="X",VLOOKUP(BI$10,'VK-Võrgud'!$C:$X,2+$F90,0)))/16</f>
        <v>8.9375</v>
      </c>
      <c r="BJ90" s="209">
        <f>(IF(BJ$7="X",VLOOKUP(BJ$10,'VK-Hooned-Soojus'!$C:$X,2+$C90,FALSE),0)+IF(BJ$6="X",VLOOKUP(BJ$10,'VK-Transport'!$C:$X,2+$B90,0))+IF(BJ$8="X",VLOOKUP(BJ$10,'VK-Elekter'!$C:$X,2+$D90,0))+IF(BJ$9="X",VLOOKUP(BJ$10,'VK-Biokütused'!$C:$U,2+$E90,0))+IF(BJ$5="X",VLOOKUP(BJ$10,'VK-Põlevkivi'!$C:$X,2+$G90,0))+IF(BJ$4="X",VLOOKUP(BJ$10,'VK-Võrgud'!$C:$X,2+$F90,0)))/20</f>
        <v>5.33</v>
      </c>
      <c r="BK90" s="209"/>
      <c r="BL90" s="209"/>
      <c r="BM90" s="209"/>
      <c r="BN90" s="209" t="e">
        <f>(IF(BN$7="X",VLOOKUP(BN$10,'VK-Hooned-Soojus'!$C:$X,2+$C90,FALSE),0)+IF(BN$6="X",VLOOKUP(BN$10,'VK-Transport'!$C:$X,2+$B90,0))+IF(BN$8="X",VLOOKUP(BN$10,'VK-Elekter'!$C:$X,2+$D90,0))+IF(BN$9="X",VLOOKUP(BN$10,'VK-Biokütused'!$C:$U,2+$E90,0))+IF(BN$5="X",VLOOKUP(BN$10,'VK-Põlevkivi'!$C:$X,2+$G90,0))+IF(BN$4="X",VLOOKUP(BN$10,'VK-Võrgud'!$C:$X,2+$F90,0)))/16</f>
        <v>#N/A</v>
      </c>
      <c r="BO90" s="209">
        <f>(IF(BO$7="X",VLOOKUP(BO$10,'VK-Hooned-Soojus'!$C:$X,2+$C90,FALSE),0)+IF(BO$6="X",VLOOKUP(BO$10,'VK-Transport'!$C:$X,2+$B90,0))+IF(BO$8="X",VLOOKUP(BO$10,'VK-Elekter'!$C:$X,2+$D90,0))+IF(BO$9="X",VLOOKUP(BO$10,'VK-Biokütused'!$C:$U,2+$E90,0))+IF(BO$5="X",VLOOKUP(BO$10,'VK-Põlevkivi'!$C:$X,2+$G90,0))+IF(BO$4="X",VLOOKUP(BO$10,'VK-Võrgud'!$C:$X,2+$F90,0)))/16</f>
        <v>405.45</v>
      </c>
      <c r="BP90" s="209"/>
      <c r="BQ90" s="209">
        <f>(IF(BQ$7="X",VLOOKUP(BQ$10,'VK-Hooned-Soojus'!$C:$X,2+$C90,FALSE),0)+IF(BQ$6="X",VLOOKUP(BQ$10,'VK-Transport'!$C:$X,2+$B90,0))+IF(BQ$8="X",VLOOKUP(BQ$10,'VK-Elekter'!$C:$X,2+$D90,0))+IF(BQ$9="X",VLOOKUP(BQ$10,'VK-Biokütused'!$C:$U,2+$E90,0))+IF(BQ$5="X",VLOOKUP(BQ$10,'VK-Põlevkivi'!$C:$X,2+$G90,0))+IF(BQ$4="X",VLOOKUP(BQ$10,'VK-Võrgud'!$C:$X,2+$F90,0)))/16</f>
        <v>127.6</v>
      </c>
      <c r="BR90" s="209">
        <f>(IF(BR$7="X",VLOOKUP(BR$10,'VK-Hooned-Soojus'!$C:$X,2+$C90,FALSE),0)+IF(BR$6="X",VLOOKUP(BR$10,'VK-Transport'!$C:$X,2+$B90,0))+IF(BR$8="X",VLOOKUP(BR$10,'VK-Elekter'!$C:$X,2+$D90,0))+IF(BR$9="X",VLOOKUP(BR$10,'VK-Biokütused'!$C:$U,2+$E90,0))+IF(BR$5="X",VLOOKUP(BR$10,'VK-Põlevkivi'!$C:$X,2+$G90,0))+IF(BR$4="X",VLOOKUP(BR$10,'VK-Võrgud'!$C:$X,2+$F90,0)))/16</f>
        <v>27.475000000000001</v>
      </c>
      <c r="BS90" s="209">
        <f>(IF(BS$7="X",VLOOKUP(BS$10,'VK-Hooned-Soojus'!$C:$X,2+$C90,FALSE),0)+IF(BS$6="X",VLOOKUP(BS$10,'VK-Transport'!$C:$X,2+$B90,0))+IF(BS$8="X",VLOOKUP(BS$10,'VK-Elekter'!$C:$X,2+$D90,0))+IF(BS$9="X",VLOOKUP(BS$10,'VK-Biokütused'!$C:$U,2+$E90,0))+IF(BS$5="X",VLOOKUP(BS$10,'VK-Põlevkivi'!$C:$X,2+$G90,0))+IF(BS$4="X",VLOOKUP(BS$10,'VK-Võrgud'!$C:$X,2+$F90,0)))/16</f>
        <v>-23.293749999999999</v>
      </c>
      <c r="BT90" s="209"/>
      <c r="BU90" s="209"/>
      <c r="BV90" s="209">
        <f>(IF(BV$7="X",VLOOKUP(BV$10,'VK-Hooned-Soojus'!$C:$X,2+$C90,FALSE),0)+IF(BV$6="X",VLOOKUP(BV$10,'VK-Transport'!$C:$X,2+$B90,0))+IF(BV$8="X",VLOOKUP(BV$10,'VK-Elekter'!$C:$X,2+$D90,0))+IF(BV$9="X",VLOOKUP(BV$10,'VK-Biokütused'!$C:$U,2+$E90,0))+IF(BV$5="X",VLOOKUP(BV$10,'VK-Põlevkivi'!$C:$X,2+$G90,0))+IF(BV$4="X",VLOOKUP(BV$10,'VK-Võrgud'!$C:$X,2+$F90,0)))/16</f>
        <v>0</v>
      </c>
      <c r="BW90" s="209"/>
      <c r="BX90" s="209">
        <f>(IF(BX$7="X",VLOOKUP(BX$10,'VK-Hooned-Soojus'!$C:$X,2+$C90,FALSE),0)+IF(BX$6="X",VLOOKUP(BX$10,'VK-Transport'!$C:$X,2+$B90,0))+IF(BX$8="X",VLOOKUP(BX$10,'VK-Elekter'!$C:$X,2+$D90,0))+IF(BX$9="X",VLOOKUP(BX$10,'VK-Biokütused'!$C:$U,2+$E90,0))+IF(BX$5="X",VLOOKUP(BX$10,'VK-Põlevkivi'!$C:$X,2+$G90,0))+IF(BX$4="X",VLOOKUP(BX$10,'VK-Võrgud'!$C:$X,2+$F90,0)))/16</f>
        <v>-99.75</v>
      </c>
      <c r="BY90" s="209"/>
      <c r="BZ90" s="209"/>
      <c r="CA90" s="209" t="e">
        <f>(IF(CA$7="X",VLOOKUP(CA$10,'VK-Hooned-Soojus'!$C:$X,2+$C90,FALSE),0)+IF(CA$6="X",VLOOKUP(CA$10,'VK-Transport'!$C:$X,2+$B90,0))+IF(CA$8="X",VLOOKUP(CA$10,'VK-Elekter'!$C:$X,2+$D90,0))+IF(CA$9="X",VLOOKUP(CA$10,'VK-Biokütused'!$C:$U,2+$E90,0))+IF(CA$5="X",VLOOKUP(CA$10,'VK-Põlevkivi'!$C:$X,2+$G90,0))+IF(CA$4="X",VLOOKUP(CA$10,'VK-Võrgud'!$C:$X,2+$F90,0)))/16</f>
        <v>#N/A</v>
      </c>
      <c r="CB90" s="209">
        <f>(IF(CB$7="X",VLOOKUP(CB$10,'VK-Hooned-Soojus'!$C:$X,2+$C90,FALSE),0)+IF(CB$6="X",VLOOKUP(CB$10,'VK-Transport'!$C:$X,2+$B90,0))+IF(CB$8="X",VLOOKUP(CB$10,'VK-Elekter'!$C:$X,2+$D90,0))+IF(CB$9="X",VLOOKUP(CB$10,'VK-Biokütused'!$C:$U,2+$E90,0))+IF(CB$5="X",VLOOKUP(CB$10,'VK-Põlevkivi'!$C:$X,2+$G90,0))+IF(CB$4="X",VLOOKUP(CB$10,'VK-Võrgud'!$C:$X,2+$F90,0)))/16</f>
        <v>0</v>
      </c>
      <c r="CC90" s="209">
        <f>(IF(CC$7="X",VLOOKUP(CC$10,'VK-Hooned-Soojus'!$C:$X,2+$C90,FALSE),0)+IF(CC$6="X",VLOOKUP(CC$10,'VK-Transport'!$C:$X,2+$B90,0))+IF(CC$8="X",VLOOKUP(CC$10,'VK-Elekter'!$C:$X,2+$D90,0))+IF(CC$9="X",VLOOKUP(CC$10,'VK-Biokütused'!$C:$U,2+$E90,0))+IF(CC$5="X",VLOOKUP(CC$10,'VK-Põlevkivi'!$C:$X,2+$G90,0))+IF(CC$4="X",VLOOKUP(CC$10,'VK-Võrgud'!$C:$X,2+$F90,0)))/16</f>
        <v>0</v>
      </c>
      <c r="CD90" s="209"/>
      <c r="CE90" s="209">
        <f>(IF(CE$7="X",VLOOKUP(CE$10,'VK-Hooned-Soojus'!$C:$X,2+$C90,FALSE),0)+IF(CE$6="X",VLOOKUP(CE$10,'VK-Transport'!$C:$X,2+$B90,0))+IF(CE$8="X",VLOOKUP(CE$10,'VK-Elekter'!$C:$X,2+$D90,0))+IF(CE$9="X",VLOOKUP(CE$10,'VK-Biokütused'!$C:$U,2+$E90,0))+IF(CE$5="X",VLOOKUP(CE$10,'VK-Põlevkivi'!$C:$X,2+$G90,0))+IF(CE$4="X",VLOOKUP(CE$10,'VK-Võrgud'!$C:$X,2+$F90,0)))/16</f>
        <v>24.15625</v>
      </c>
      <c r="CF90" s="209"/>
      <c r="CG90" s="209">
        <f>(IF(CG$7="X",VLOOKUP(CG$10,'VK-Hooned-Soojus'!$C:$X,2+$C90,FALSE),0)+IF(CG$6="X",VLOOKUP(CG$10,'VK-Transport'!$C:$X,2+$B90,0))+IF(CG$8="X",VLOOKUP(CG$10,'VK-Elekter'!$C:$X,2+$D90,0))+IF(CG$9="X",VLOOKUP(CG$10,'VK-Biokütused'!$C:$U,2+$E90,0))+IF(CG$5="X",VLOOKUP(CG$10,'VK-Põlevkivi'!$C:$X,2+$G90,0))+IF(CG$4="X",VLOOKUP(CG$10,'VK-Võrgud'!$C:$X,2+$F90,0)))/16</f>
        <v>0</v>
      </c>
      <c r="CH90" s="209">
        <f>(IF(CH$7="X",VLOOKUP(CH$10,'VK-Hooned-Soojus'!$C:$X,2+$C90,FALSE),0)+IF(CH$6="X",VLOOKUP(CH$10,'VK-Transport'!$C:$X,2+$B90,0))+IF(CH$8="X",VLOOKUP(CH$10,'VK-Elekter'!$C:$X,2+$D90,0))+IF(CH$9="X",VLOOKUP(CH$10,'VK-Biokütused'!$C:$U,2+$E90,0))+IF(CH$5="X",VLOOKUP(CH$10,'VK-Põlevkivi'!$C:$X,2+$G90,0))+IF(CH$4="X",VLOOKUP(CH$10,'VK-Võrgud'!$C:$X,2+$F90,0)))/20*0.21</f>
        <v>26.9178</v>
      </c>
      <c r="CI90" s="209"/>
      <c r="CJ90" s="209">
        <f>(IF(CJ$7="X",VLOOKUP(CJ$10,'VK-Hooned-Soojus'!$C:$X,2+$C90,FALSE),0)+IF(CJ$6="X",VLOOKUP(CJ$10,'VK-Transport'!$C:$X,2+$B90,0))+IF(CJ$8="X",VLOOKUP(CJ$10,'VK-Elekter'!$C:$X,2+$D90,0))+IF(CJ$9="X",VLOOKUP(CJ$10,'VK-Biokütused'!$C:$U,2+$E90,0))+IF(CJ$5="X",VLOOKUP(CJ$10,'VK-Põlevkivi'!$C:$X,2+$G90,0))+IF(CJ$4="X",VLOOKUP(CJ$10,'VK-Võrgud'!$C:$X,2+$F90,0)))/1000</f>
        <v>17.479578011574535</v>
      </c>
      <c r="CK90" s="209">
        <f>(IF(CK$7="X",VLOOKUP(CK$10,'VK-Hooned-Soojus'!$C:$X,2+$C90,FALSE),0)+IF(CK$6="X",VLOOKUP(CK$10,'VK-Transport'!$C:$X,2+$B90,0))+IF(CK$8="X",VLOOKUP(CK$10,'VK-Elekter'!$C:$X,2+$D90,0))+IF(CK$9="X",VLOOKUP(CK$10,'VK-Biokütused'!$C:$U,2+$E90,0))+IF(CK$5="X",VLOOKUP(CK$10,'VK-Põlevkivi'!$C:$X,2+$G90,0))+IF(CK$4="X",VLOOKUP(CK$10,'VK-Võrgud'!$C:$X,2+$F90,0)))/1000</f>
        <v>11.222324637900011</v>
      </c>
      <c r="CL90" s="235">
        <f>(IF(CL$7="X",VLOOKUP(CL$10,'VK-Hooned-Soojus'!$C:$X,2+$C90,FALSE),0)+IF(CL$6="X",VLOOKUP(CL$10,'VK-Transport'!$C:$X,2+$B90,0))+IF(CL$8="X",VLOOKUP(CL$10,'VK-Elekter'!$C:$X,2+$D90,0))+IF(CL$9="X",VLOOKUP(CL$10,'VK-Biokütused'!$C:$U,2+$E90,0)))/1000</f>
        <v>8.1087703590452112</v>
      </c>
      <c r="CM90" s="209">
        <f>(IF(CM$7="X",VLOOKUP(CM$10,'VK-Hooned-Soojus'!$C:$X,2+$C90,FALSE),0)+IF(CM$6="X",VLOOKUP(CM$10,'VK-Transport'!$C:$X,2+$B90,0))+IF(CM$8="X",VLOOKUP(CM$10,'VK-Elekter'!$C:$X,2+$D90,0))+IF(CM$9="X",VLOOKUP(CM$10,'VK-Biokütused'!$C:$U,2+$E90,0))+IF(CM$5="X",VLOOKUP(CM$10,'VK-Põlevkivi'!$C:$X,2+$G90,0))+IF(CM$4="X",VLOOKUP(CM$10,'VK-Võrgud'!$C:$X,2+$F90,0)))/1000</f>
        <v>7.5977605777489075</v>
      </c>
      <c r="CN90" s="209">
        <f>(IF(CN$7="X",VLOOKUP(CN$10,'VK-Hooned-Soojus'!$C:$X,2+$C90,FALSE),0)+IF(CN$6="X",VLOOKUP(CN$10,'VK-Transport'!$C:$X,2+$B90,0))+IF(CN$8="X",VLOOKUP(CN$10,'VK-Elekter'!$C:$X,2+$D90,0))+IF(CN$9="X",VLOOKUP(CN$10,'VK-Biokütused'!$C:$U,2+$E90,0))+IF(CN$5="X",VLOOKUP(CN$10,'VK-Põlevkivi'!$C:$X,2+$G90,0))+IF(CN$4="X",VLOOKUP(CN$10,'VK-Võrgud'!$C:$X,2+$F90,0)))/1000</f>
        <v>2.8980000000000001</v>
      </c>
      <c r="CO90" s="209">
        <f>(IF(CO$7="X",VLOOKUP(CO$10,'VK-Hooned-Soojus'!$C:$X,2+$C90,FALSE),0)+IF(CO$6="X",VLOOKUP(CO$10,'VK-Transport'!$C:$X,2+$B90,0))+IF(CO$8="X",VLOOKUP(CO$10,'VK-Elekter'!$C:$X,2+$D90,0))+IF(CO$9="X",VLOOKUP(CO$10,'VK-Biokütused'!$C:$U,2+$E90,0))+IF(CO$5="X",VLOOKUP(CO$10,'VK-Põlevkivi'!$C:$X,2+$G90,0))+IF(CO$4="X",VLOOKUP(CO$10,'VK-Võrgud'!$C:$X,2+$F90,0)))/1000</f>
        <v>23.833575210797282</v>
      </c>
      <c r="CP90" s="209">
        <f>(IF(CP$7="X",VLOOKUP(CP$10,'VK-Hooned-Soojus'!$C:$X,2+$C90,FALSE),0)+IF(CP$6="X",VLOOKUP(CP$10,'VK-Transport'!$C:$X,2+$B90,0))+IF(CP$8="X",VLOOKUP(CP$10,'VK-Elekter'!$C:$X,2+$D90,0))+IF(CP$9="X",VLOOKUP(CP$10,'VK-Biokütused'!$C:$U,2+$E90,0))+IF(CP$5="X",VLOOKUP(CP$10,'VK-Põlevkivi'!$C:$X,2+$G90,0))+IF(CP$4="X",VLOOKUP(CP$10,'VK-Võrgud'!$C:$X,2+$F90,0)))/1000</f>
        <v>13.405994830349824</v>
      </c>
      <c r="CQ90" s="235">
        <f>(IF(CQ$7="X",VLOOKUP(CQ$10,'VK-Hooned-Soojus'!$C:$X,2+$C90,FALSE),0)+IF(CQ$6="X",VLOOKUP(CQ$10,'VK-Transport'!$C:$X,2+$B90,0))+IF(CQ$8="X",VLOOKUP(CQ$10,'VK-Elekter'!$C:$X,2+$D90,0))+IF(CQ$9="X",VLOOKUP(CQ$10,'VK-Biokütused'!$C:$U,2+$E90,0)))/1000</f>
        <v>10.557345999999999</v>
      </c>
      <c r="CR90" s="209">
        <f>(IF(CR$7="X",VLOOKUP(CR$10,'VK-Hooned-Soojus'!$C:$X,2+$C90,FALSE),0)+IF(CR$6="X",VLOOKUP(CR$10,'VK-Transport'!$C:$X,2+$B90,0))+IF(CR$8="X",VLOOKUP(CR$10,'VK-Elekter'!$C:$X,2+$D90,0))+IF(CR$9="X",VLOOKUP(CR$10,'VK-Biokütused'!$C:$U,2+$E90,0))+IF(CR$5="X",VLOOKUP(CR$10,'VK-Põlevkivi'!$C:$X,2+$G90,0))+IF(CR$4="X",VLOOKUP(CR$10,'VK-Võrgud'!$C:$X,2+$F90,0)))/1000</f>
        <v>7.7020872784575749</v>
      </c>
      <c r="CS90" s="209">
        <f>(IF(CS$7="X",VLOOKUP(CS$10,'VK-Hooned-Soojus'!$C:$X,2+$C90,FALSE),0)+IF(CS$6="X",VLOOKUP(CS$10,'VK-Transport'!$C:$X,2+$B90,0))+IF(CS$8="X",VLOOKUP(CS$10,'VK-Elekter'!$C:$X,2+$D90,0))+IF(CS$9="X",VLOOKUP(CS$10,'VK-Biokütused'!$C:$U,2+$E90,0))+IF(CS$5="X",VLOOKUP(CS$10,'VK-Põlevkivi'!$C:$X,2+$G90,0))+IF(CS$4="X",VLOOKUP(CS$10,'VK-Võrgud'!$C:$X,2+$F90,0)))/1000</f>
        <v>3.7943344900598324</v>
      </c>
      <c r="CT90" s="209">
        <f>IF(CT$7="X",VLOOKUP(CT$10,'VK-Hooned-Soojus'!$C:$X,2+$C90,FALSE),0)+IF(CT$6="X",VLOOKUP(CT$10,'VK-Transport'!$C:$X,2+$B90,0))+IF(CT$8="X",VLOOKUP(CT$10,'VK-Elekter'!$C:$X,2+$D90,0))+IF(CT$9="X",VLOOKUP(CT$10,'VK-Biokütused'!$C:$U,2+$E90,0))+IF(CT$5="X",VLOOKUP(CT$10,'VK-Põlevkivi'!$C:$X,2+$G90,0))+IF(CT$4="X",VLOOKUP(CT$10,'VK-Võrgud'!$C:$X,2+$F90,0))</f>
        <v>90</v>
      </c>
      <c r="CU90" s="209">
        <f>IF(CU$7="X",VLOOKUP(CU$10,'VK-Hooned-Soojus'!$C:$X,2+$C90,FALSE),0)+IF(CU$6="X",VLOOKUP(CU$10,'VK-Transport'!$C:$X,2+$B90,0))+IF(CU$8="X",VLOOKUP(CU$10,'VK-Elekter'!$C:$X,2+$D90,0))+IF(CU$9="X",VLOOKUP(CU$10,'VK-Biokütused'!$C:$U,2+$E90,0))+IF(CU$5="X",VLOOKUP(CU$10,'VK-Põlevkivi'!$C:$X,2+$G90,0))+IF(CU$4="X",VLOOKUP(CU$10,'VK-Võrgud'!$C:$X,2+$F90,0))</f>
        <v>0.72088353413654627</v>
      </c>
      <c r="CV90" s="209">
        <f t="shared" si="49"/>
        <v>0.84317482403548605</v>
      </c>
      <c r="CW90" s="209">
        <f>(IF(CW$7="X",VLOOKUP(CW$10,'VK-Hooned-Soojus'!$C:$X,2+$C90,FALSE),0)+IF(CW$6="X",VLOOKUP(CW$10,'VK-Transport'!$C:$X,2+$B90,0))+IF(CW$8="X",VLOOKUP(CW$10,'VK-Elekter'!$C:$X,2+$D90,0))+IF(CW$9="X",VLOOKUP(CW$10,'VK-Biokütused'!$C:$U,2+$E90,0))+IF(CW$5="X",VLOOKUP(CW$10,'VK-Põlevkivi'!$C:$X,2+$G90,0))+IF(CW$4="X",VLOOKUP(CW$10,'VK-Võrgud'!$C:$X,2+$F90,0)))/16</f>
        <v>59.743749999999999</v>
      </c>
      <c r="CY90" s="209">
        <f>(IF(CY$7="X",VLOOKUP(CY$10,'VK-Hooned-Soojus'!$C:$X,2+$C90,FALSE),0)+IF(CY$6="X",VLOOKUP(CY$10,'VK-Transport'!$C:$X,2+$B90,0))+IF(CY$8="X",VLOOKUP(CY$10,'VK-Elekter'!$C:$X,2+$D90,0))+IF(CY$9="X",VLOOKUP(CY$10,'VK-Biokütused'!$C:$U,2+$E90,0))+IF(CY$5="X",VLOOKUP(CY$10,'VK-Põlevkivi'!$C:$X,2+$G90,0))+IF(CY$4="X",VLOOKUP(CY$10,'VK-Võrgud'!$C:$X,2+$F90,0)))/1000</f>
        <v>10.304</v>
      </c>
      <c r="CZ90" s="209">
        <f>(IF(CZ$7="X",VLOOKUP(CZ$10,'VK-Hooned-Soojus'!$C:$X,2+$C90,FALSE),0)+IF(CZ$6="X",VLOOKUP(CZ$10,'VK-Transport'!$C:$X,2+$B90,0))+IF(CZ$8="X",VLOOKUP(CZ$10,'VK-Elekter'!$C:$X,2+$D90,0))+IF(CZ$9="X",VLOOKUP(CZ$10,'VK-Biokütused'!$C:$U,2+$E90,0))+IF(CZ$5="X",VLOOKUP(CZ$10,'VK-Põlevkivi'!$C:$X,2+$G90,0))+IF(CZ$4="X",VLOOKUP(CZ$10,'VK-Võrgud'!$C:$X,2+$F90,0)))</f>
        <v>69.400000000000006</v>
      </c>
      <c r="DA90" s="209">
        <f>(IF(DA$7="X",VLOOKUP(DA$10,'VK-Hooned-Soojus'!$C:$X,2+$C90,FALSE),0)+IF(DA$6="X",VLOOKUP(DA$10,'VK-Transport'!$C:$X,2+$B90,0))+IF(DA$8="X",VLOOKUP(DA$10,'VK-Elekter'!$C:$X,2+$D90,0))+IF(DA$9="X",VLOOKUP(DA$10,'VK-Biokütused'!$C:$U,2+$E90,0))+IF(DA$5="X",VLOOKUP(DA$10,'VK-Põlevkivi'!$C:$X,2+$G90,0))+IF(DA$4="X",VLOOKUP(DA$10,'VK-Võrgud'!$C:$X,2+$F90,0)))/1000</f>
        <v>13.871</v>
      </c>
      <c r="DB90" s="209">
        <f>(IF(DB$7="X",VLOOKUP(DB$10,'VK-Hooned-Soojus'!$C:$X,2+$C90,FALSE),0)+IF(DB$6="X",VLOOKUP(DB$10,'VK-Transport'!$C:$X,2+$B90,0))+IF(DB$8="X",VLOOKUP(DB$10,'VK-Elekter'!$C:$X,2+$D90,0))+IF(DB$9="X",VLOOKUP(DB$10,'VK-Biokütused'!$C:$U,2+$E90,0))+IF(DB$5="X",VLOOKUP(DB$10,'VK-Põlevkivi'!$C:$X,2+$G90,0))+IF(DB$4="X",VLOOKUP(DB$10,'VK-Võrgud'!$C:$X,2+$F90,0)))/1000/3.6</f>
        <v>61.596666666666664</v>
      </c>
      <c r="DC90" s="209">
        <f>(IF(DC$7="X",VLOOKUP(DC$10,'VK-Hooned-Soojus'!$C:$X,2+$C90,FALSE),0)+IF(DC$6="X",VLOOKUP(DC$10,'VK-Transport'!$C:$X,2+$B90,0))+IF(DC$8="X",VLOOKUP(DC$10,'VK-Elekter'!$C:$X,2+$D90,0))+IF(DC$9="X",VLOOKUP(DC$10,'VK-Biokütused'!$C:$U,2+$E90,0))+IF(DC$5="X",VLOOKUP(DC$10,'VK-Põlevkivi'!$C:$X,2+$G90,0))+IF(DC$4="X",VLOOKUP(DC$10,'VK-Võrgud'!$C:$X,2+$F90,0)))/1000000</f>
        <v>4.9401229999999998</v>
      </c>
      <c r="DD90" s="209"/>
      <c r="DE90" s="88">
        <f>VLOOKUP(Tulemused!$BN$12,data!M$7:N$12,2,FALSE)-SUM(L90,M90)</f>
        <v>-0.77386666666667736</v>
      </c>
      <c r="DF90" s="209" t="str">
        <f>IF(AZ90&lt;=VLOOKUP(Tulemused!$BN$15,data!$E$36:$F$39,2,FALSE),"JAH","EI")</f>
        <v>JAH</v>
      </c>
      <c r="DG90" s="209"/>
      <c r="DH90" s="209">
        <f t="shared" si="50"/>
        <v>6.08</v>
      </c>
      <c r="DI90" s="231" t="str">
        <f t="shared" si="65"/>
        <v>EI</v>
      </c>
      <c r="DK90" s="232">
        <f t="shared" si="51"/>
        <v>-995.74043266663386</v>
      </c>
      <c r="DM90" s="233">
        <f t="shared" si="52"/>
        <v>-995.55361450171836</v>
      </c>
      <c r="DN90" s="87">
        <f t="array" ref="DN90">INDEX($A$11:$A$145, SMALL(IF(DM90=$DK$11:$DK$145, MATCH(ROW($DK$11:$DK$145), ROW($DK$11:$DK$145))), SUM(--(DM90=$DM$11:DM90))))</f>
        <v>94</v>
      </c>
      <c r="DP90" s="87" t="e">
        <f t="shared" ca="1" si="66"/>
        <v>#N/A</v>
      </c>
      <c r="DQ90" s="87" t="e">
        <f t="shared" ca="1" si="67"/>
        <v>#N/A</v>
      </c>
      <c r="DR90" s="87">
        <f t="shared" ca="1" si="68"/>
        <v>0</v>
      </c>
      <c r="DS90" s="87" t="e">
        <f t="shared" ca="1" si="69"/>
        <v>#N/A</v>
      </c>
      <c r="DT90" s="87">
        <f t="shared" ca="1" si="70"/>
        <v>0</v>
      </c>
      <c r="DU90" s="87" t="e">
        <f t="shared" ca="1" si="71"/>
        <v>#N/A</v>
      </c>
      <c r="DV90" s="87" t="e">
        <f t="shared" ca="1" si="72"/>
        <v>#N/A</v>
      </c>
      <c r="DW90" s="87">
        <f t="shared" ca="1" si="73"/>
        <v>0</v>
      </c>
      <c r="DX90" s="87">
        <f t="shared" ca="1" si="74"/>
        <v>0</v>
      </c>
      <c r="DZ90" s="87">
        <f t="shared" ca="1" si="35"/>
        <v>0</v>
      </c>
      <c r="EB90" s="87">
        <f t="shared" ca="1" si="75"/>
        <v>0</v>
      </c>
      <c r="EC90" s="87" t="e">
        <f t="shared" ca="1" si="76"/>
        <v>#N/A</v>
      </c>
      <c r="EE90" s="228">
        <f>(IF(EE$7="X",VLOOKUP(EE$10,'VK-Hooned-Soojus'!$C:$X,2+$C90,FALSE),0)+IF(EE$6="X",VLOOKUP(EE$10,'VK-Transport'!$C:$X,2+$B90,0))+IF(EE$8="X",VLOOKUP(EE$10,'VK-Elekter'!$C:$X,2+$D90,0))+IF(EE$9="X",VLOOKUP(EE$10,'VK-Biokütused'!$C:$U,2+$E90,0))+IF(EE$5="X",VLOOKUP(EE$10,'VK-Põlevkivi'!$C:$X,2+$G90,0))+IF(EE$4="X",VLOOKUP(EE$10,'VK-Võrgud'!$C:$X,2+$F90,0)))</f>
        <v>7101.069156493947</v>
      </c>
      <c r="EF90" s="235">
        <f>(IF(EF$7="X",VLOOKUP(EF$10,'VK-Hooned-Soojus'!$C:$X,2+$C90,FALSE),0)+IF(EF$6="X",VLOOKUP(EF$10,'VK-Transport'!$C:$X,2+$B90,0))+IF(EF$8="X",VLOOKUP(EF$10,'VK-Elekter'!$C:$X,2+$D90,0))+IF(EF$9="X",VLOOKUP(EF$10,'VK-Biokütused'!$C:$U,2+$E90,0)))/1000</f>
        <v>4.8013823271229708</v>
      </c>
      <c r="EG90" s="209">
        <f>(IF(EG$7="X",VLOOKUP(EG$10,'VK-Hooned-Soojus'!$C:$X,2+$C90,FALSE),0)+IF(EG$6="X",VLOOKUP(EG$10,'VK-Transport'!$C:$X,2+$B90,0))+IF(EG$8="X",VLOOKUP(EG$10,'VK-Elekter'!$C:$X,2+$D90,0))+IF(EG$9="X",VLOOKUP(EG$10,'VK-Biokütused'!$C:$U,2+$E90,0))+IF(EG$5="X",VLOOKUP(EG$10,'VK-Põlevkivi'!$C:$X,2+$G90,0))+IF(EG$4="X",VLOOKUP(EG$10,'VK-Võrgud'!$C:$X,2+$F90,0)))</f>
        <v>0.81</v>
      </c>
      <c r="EH90" s="209">
        <f>(IF(EH$7="X",VLOOKUP(EH$10,'VK-Hooned-Soojus'!$C:$X,2+$C90,FALSE),0)+IF(EH$6="X",VLOOKUP(EH$10,'VK-Transport'!$C:$X,2+$B90,0))+IF(EH$8="X",VLOOKUP(EH$10,'VK-Elekter'!$C:$X,2+$D90,0))+IF(EH$9="X",VLOOKUP(EH$10,'VK-Biokütused'!$C:$U,2+$E90,0)))+AR90+AS90+AU90+AX90</f>
        <v>52.589667065771863</v>
      </c>
      <c r="EI90" s="320">
        <f t="shared" si="53"/>
        <v>46.490678294573641</v>
      </c>
      <c r="EJ90" s="322">
        <f t="shared" si="54"/>
        <v>2.3391437578713474E-2</v>
      </c>
      <c r="EK90" s="323">
        <f t="shared" si="77"/>
        <v>0.39754723427955507</v>
      </c>
      <c r="EM90" s="209"/>
      <c r="EN90" s="209">
        <f t="shared" ca="1" si="55"/>
        <v>0</v>
      </c>
      <c r="EO90" s="209"/>
      <c r="EP90" s="234"/>
      <c r="EQ90" s="209">
        <f>(IF(EQ$7="X",VLOOKUP(EQ$10,'VK-Hooned-Soojus'!$C:$X,2+$C90,FALSE),0)+IF(EQ$6="X",VLOOKUP(EQ$10,'VK-Transport'!$C:$X,2+$B90,0))+IF(EQ$8="X",VLOOKUP(EQ$10,'VK-Elekter'!$C:$X,2+$D90,0))+IF(EQ$9="X",VLOOKUP(EQ$10,'VK-Biokütused'!$C:$U,2+$E90,0))+IF(EQ$5="X",VLOOKUP(EQ$10,'VK-Põlevkivi'!$C:$X,2+$G90,0))+IF(EQ$4="X",VLOOKUP(EQ$10,'VK-Võrgud'!$C:$X,2+$F90,0)))/1000</f>
        <v>0.19900000000000001</v>
      </c>
      <c r="ER90" s="209">
        <f>(IF(ER$7="X",VLOOKUP(ER$10,'VK-Hooned-Soojus'!$C:$X,2+$C90,FALSE),0)+IF(ER$6="X",VLOOKUP(ER$10,'VK-Transport'!$C:$X,2+$B90,0))+IF(ER$8="X",VLOOKUP(ER$10,'VK-Elekter'!$C:$X,2+$D90,0))+IF(ER$9="X",VLOOKUP(ER$10,'VK-Biokütused'!$C:$U,2+$E90,0))+IF(ER$5="X",VLOOKUP(ER$10,'VK-Põlevkivi'!$C:$X,2+$G90,0))+IF(ER$4="X",VLOOKUP(ER$10,'VK-Võrgud'!$C:$X,2+$F90,0)))</f>
        <v>0.72299999999999998</v>
      </c>
      <c r="ES90" s="209">
        <f>(IF(ES$7="X",VLOOKUP(ES$10,'VK-Hooned-Soojus'!$C:$X,2+$C90,FALSE),0)+IF(ES$6="X",VLOOKUP(ES$10,'VK-Transport'!$C:$X,2+$B90,0))+IF(ES$8="X",VLOOKUP(ES$10,'VK-Elekter'!$C:$X,2+$D90,0))+IF(ES$9="X",VLOOKUP(ES$10,'VK-Biokütused'!$C:$U,2+$E90,0))+IF(ES$5="X",VLOOKUP(ES$10,'VK-Põlevkivi'!$C:$X,2+$G90,0))+IF(ES$4="X",VLOOKUP(ES$10,'VK-Võrgud'!$C:$X,2+$F90,0)))</f>
        <v>6.08</v>
      </c>
      <c r="ET90" s="209"/>
      <c r="EU90" s="209"/>
      <c r="EV90" s="87">
        <f>'KSH järjestus'!AS83</f>
        <v>1201</v>
      </c>
      <c r="EX90" s="236"/>
      <c r="EY90" s="236"/>
      <c r="EZ90" s="237">
        <f t="shared" si="56"/>
        <v>0.27911646586345373</v>
      </c>
      <c r="FA90" s="209">
        <f>IF(FA$7="X",VLOOKUP(FA$10,'VK-Hooned-Soojus'!$C:$X,2+$C90,FALSE),0)+IF(FA$6="X",VLOOKUP(FA$10,'VK-Transport'!$C:$X,2+$B90,0))+IF(FA$8="X",VLOOKUP(FA$10,'VK-Elekter'!$C:$X,2+$D90,0))+IF(FA$9="X",VLOOKUP(FA$10,'VK-Biokütused'!$C:$U,2+$E90,0))+IF(FA$5="X",VLOOKUP(FA$10,'VK-Põlevkivi'!$C:$X,2+$G90,0))+IF(FA$4="X",VLOOKUP(FA$10,'VK-Võrgud'!$C:$X,2+$F90,0))</f>
        <v>3221.346</v>
      </c>
      <c r="FB90" s="279">
        <f>(IF(FB$7="X",VLOOKUP(FB$10,'VK-Hooned-Soojus'!$C:$X,2+$C90,FALSE),0)+IF(FB$6="X",VLOOKUP(FB$10,'VK-Transport'!$C:$X,2+$B90,0))+IF(FB$8="X",VLOOKUP(FB$10,'VK-Elekter'!$C:$X,2+$D90,0))+IF(FB$9="X",VLOOKUP(FB$10,'VK-Biokütused'!$C:$U,2+$E90,0))+IF(FB$5="X",VLOOKUP(FB$10,'VK-Põlevkivi'!$C:$X,2+$G90,0))+IF(FB$4="X",VLOOKUP(FB$10,'VK-Võrgud'!$C:$X,2+$F90,0)))/16</f>
        <v>362.51284779789177</v>
      </c>
      <c r="FC90" s="209">
        <f>IF(FC$7="X",VLOOKUP(FC$10,'VK-Hooned-Soojus'!$C:$X,2+$C90,FALSE),0)+IF(FC$6="X",VLOOKUP(FC$10,'VK-Transport'!$C:$X,2+$B90,0))+IF(FC$8="X",VLOOKUP(FC$10,'VK-Elekter'!$C:$X,2+$D90,0))+IF(FC$9="X",VLOOKUP(FC$10,'VK-Biokütused'!$C:$U,2+$E90,0))+IF(FC$5="X",VLOOKUP(FC$10,'VK-Põlevkivi'!$C:$X,2+$G90,0))+IF(FC$4="X",VLOOKUP(FC$10,'VK-Võrgud'!$C:$X,2+$F90,0))</f>
        <v>297.04999999999995</v>
      </c>
      <c r="FD90" s="209">
        <f>(IF(FD$7="X",VLOOKUP(FD$10,'VK-Hooned-Soojus'!$C:$X,2+$C90,FALSE),0)+IF(FD$6="X",VLOOKUP(FD$10,'VK-Transport'!$C:$X,2+$B90,0))+IF(FD$8="X",VLOOKUP(FD$10,'VK-Elekter'!$C:$X,2+$D90,0))+IF(FD$9="X",VLOOKUP(FD$10,'VK-Biokütused'!$C:$U,2+$E90,0))+IF(FD$5="X",VLOOKUP(FD$10,'VK-Põlevkivi'!$C:$X,2+$G90,0))+IF(FD$4="X",VLOOKUP(FD$10,'VK-Võrgud'!$C:$X,2+$F90,0)))/16</f>
        <v>362.51284779789177</v>
      </c>
      <c r="FE90" s="209">
        <f>(IF(FE$7="X",VLOOKUP(FE$10,'VK-Hooned-Soojus'!$C:$X,2+$C90,FALSE),0)+IF(FE$6="X",VLOOKUP(FE$10,'VK-Transport'!$C:$X,2+$B90,0))+IF(FE$8="X",VLOOKUP(FE$10,'VK-Elekter'!$C:$X,2+$D90,0))+IF(FE$9="X",VLOOKUP(FE$10,'VK-Biokütused'!$C:$U,2+$E90,0))+IF(FE$5="X",VLOOKUP(FE$10,'VK-Põlevkivi'!$C:$X,2+$G90,0))+IF(FE$4="X",VLOOKUP(FE$10,'VK-Võrgud'!$C:$X,2+$F90,0)))/16</f>
        <v>-162.7344698806321</v>
      </c>
      <c r="FF90" s="209">
        <f>(IF(FF$7="X",VLOOKUP(FF$10,'VK-Hooned-Soojus'!$C:$X,2+$C90,FALSE),0)+IF(FF$6="X",VLOOKUP(FF$10,'VK-Transport'!$C:$X,2+$B90,0))+IF(FF$8="X",VLOOKUP(FF$10,'VK-Elekter'!$C:$X,2+$D90,0))+IF(FF$9="X",VLOOKUP(FF$10,'VK-Biokütused'!$C:$U,2+$E90,0))+IF(FF$5="X",VLOOKUP(FF$10,'VK-Põlevkivi'!$C:$X,2+$G90,0))+IF(FF$4="X",VLOOKUP(FF$10,'VK-Võrgud'!$C:$X,2+$F90,0)))/16</f>
        <v>158.5068225488408</v>
      </c>
      <c r="FG90" s="88">
        <f t="shared" ca="1" si="78"/>
        <v>-4.227647331791303</v>
      </c>
      <c r="FH90" s="88"/>
      <c r="FI90" s="88"/>
      <c r="FJ90" s="88">
        <f>VLOOKUP(Tulemused!$BN$12,data!M$7:N$12,2,FALSE)-SUM(L90,M90)</f>
        <v>-0.77386666666667736</v>
      </c>
      <c r="FK90" s="209" t="str">
        <f>IF(AZ90&lt;=VLOOKUP(Tulemused!$BN$15,data!$E$36:$F$39,2,FALSE),"JAH","EI")</f>
        <v>JAH</v>
      </c>
      <c r="FL90" s="235">
        <f ca="1">IF(ISNA(MATCH($A90,INDIRECT(VLOOKUP(Tulemused!$BF$11,data!$J$57:$M$71,4,FALSE)))),0,MATCH($A90,INDIRECT(VLOOKUP(Tulemused!$BF$11,data!$J$57:$M$71,4,FALSE))))</f>
        <v>0</v>
      </c>
      <c r="FM90" s="235" t="str">
        <f t="shared" ca="1" si="57"/>
        <v>JAH</v>
      </c>
      <c r="FN90" s="209">
        <f>VLOOKUP(Tulemused!$BN$13,data!$C$132:$D$137,2,FALSE)-KOMBI!R90</f>
        <v>3.4690876728770306</v>
      </c>
      <c r="FO90" s="209"/>
      <c r="FP90" s="209">
        <f>VLOOKUP(Tulemused!$BN$17,NO_x,2,FALSE)-CJ90</f>
        <v>11.958421988425464</v>
      </c>
      <c r="FQ90" s="209">
        <f>VLOOKUP(Tulemused!$BN$18,SO_2,2,FALSE)-CK90</f>
        <v>40.661675362099992</v>
      </c>
      <c r="FR90" s="209">
        <f>VLOOKUP(Tulemused!$BN$19,LOU,2,FALSE)-CN90</f>
        <v>34.182000000000002</v>
      </c>
      <c r="FS90" s="209">
        <f>VLOOKUP(Tulemused!$BN$20,PM_2.5,2,FALSE)-CM90</f>
        <v>9.3172394222510917</v>
      </c>
      <c r="FT90" s="209">
        <f>VLOOKUP(Tulemused!$BN$13,data!$C$132:$D$137,2,FALSE)-FA90/1000</f>
        <v>3.0246240000000006</v>
      </c>
      <c r="FU90" s="209">
        <f>VLOOKUP(Tulemused!$BN$17,NO_x,2,FALSE)-CO90</f>
        <v>5.6044247892027172</v>
      </c>
      <c r="FV90" s="209">
        <f>VLOOKUP(Tulemused!$BN$18,SO_2,2,FALSE)-CP90</f>
        <v>38.478005169650174</v>
      </c>
      <c r="FW90" s="209">
        <f>VLOOKUP(Tulemused!$BN$19,LOU,2,FALSE)-CS90</f>
        <v>33.285665509940173</v>
      </c>
      <c r="FX90" s="209">
        <f>VLOOKUP(Tulemused!$BN$20,PM_2.5,2,FALSE)-CR90</f>
        <v>9.2129127215424234</v>
      </c>
      <c r="FY90" s="209">
        <f>VLOOKUP(Tulemused!$BN$14,KHG_2050,2,FALSE)-EF90</f>
        <v>95.198617672877035</v>
      </c>
      <c r="FZ90" s="231" t="str">
        <f t="shared" ca="1" si="79"/>
        <v>EI</v>
      </c>
      <c r="GA90" s="209"/>
      <c r="GB90" s="209"/>
      <c r="GC90" s="209"/>
      <c r="GD90" s="231"/>
      <c r="GE90" s="87">
        <f t="shared" si="58"/>
        <v>1201</v>
      </c>
      <c r="GF90" s="232" t="str">
        <f t="shared" ca="1" si="80"/>
        <v/>
      </c>
      <c r="GH90" s="238" t="e">
        <f t="shared" ca="1" si="59"/>
        <v>#NUM!</v>
      </c>
      <c r="GI90" s="87" t="e">
        <f t="array" aca="1" ref="GI90" ca="1">INDEX($A$11:$A$145, SMALL(IF(GH90=$GF$11:$GF$145, MATCH(ROW($GF$11:$GF$145), ROW($GF$11:$GF$145))), SUM(--(GH90=$GH$11:GH90))))</f>
        <v>#NUM!</v>
      </c>
      <c r="GM90" s="209">
        <f>IF(GM$7="X",VLOOKUP(GM$10,'VK-Hooned-Soojus'!$C:$X,2+$C90,FALSE),0)+IF(GM$6="X",VLOOKUP(GM$10,'VK-Transport'!$C:$X,2+$B90,0))+IF(GM$8="X",VLOOKUP(GM$10,'VK-Elekter'!$C:$X,2+$D90,0))+IF(GM$9="X",VLOOKUP(GM$10,'VK-Biokütused'!$C:$U,2+$E90,0))+IF(GM$5="X",VLOOKUP(GM$10,'VK-Põlevkivi'!$C:$X,2+$G90,0))+IF(GM$4="X",VLOOKUP(GM$10,'VK-Võrgud'!$C:$X,2+$F90,0))</f>
        <v>6.0128279910272253</v>
      </c>
      <c r="GN90" s="209">
        <f>IF(GN$7="X",VLOOKUP(GN$10,'VK-Hooned-Soojus'!$C:$X,2+$C90,FALSE),0)+IF(GN$6="X",VLOOKUP(GN$10,'VK-Transport'!$C:$X,2+$B90,0))+IF(GN$8="X",VLOOKUP(GN$10,'VK-Elekter'!$C:$X,2+$D90,0))+IF(GN$9="X",VLOOKUP(GN$10,'VK-Biokütused'!$C:$U,2+$E90,0))+IF(GN$5="X",VLOOKUP(GN$10,'VK-Põlevkivi'!$C:$X,2+$G90,0))+IF(GN$4="X",VLOOKUP(GN$10,'VK-Võrgud'!$C:$X,2+$F90,0))</f>
        <v>3.4467619395011728</v>
      </c>
      <c r="GO90" s="209">
        <f>IF(GO$7="X",VLOOKUP(GO$10,'VK-Hooned-Soojus'!$C:$X,2+$C90,FALSE),0)+IF(GO$6="X",VLOOKUP(GO$10,'VK-Transport'!$C:$X,2+$B90,0))+IF(GO$8="X",VLOOKUP(GO$10,'VK-Elekter'!$C:$X,2+$D90,0))+IF(GO$9="X",VLOOKUP(GO$10,'VK-Biokütused'!$C:$U,2+$E90,0))+IF(GO$5="X",VLOOKUP(GO$10,'VK-Põlevkivi'!$C:$X,2+$G90,0))+IF(GO$4="X",VLOOKUP(GO$10,'VK-Võrgud'!$C:$X,2+$F90,0))</f>
        <v>7.5763700102722566</v>
      </c>
      <c r="GP90" s="209">
        <f>IF(GP$7="X",VLOOKUP(GP$10,'VK-Hooned-Soojus'!$C:$X,2+$C90,FALSE),0)+IF(GP$6="X",VLOOKUP(GP$10,'VK-Transport'!$C:$X,2+$B90,0))+IF(GP$8="X",VLOOKUP(GP$10,'VK-Elekter'!$C:$X,2+$D90,0))+IF(GP$9="X",VLOOKUP(GP$10,'VK-Biokütused'!$C:$U,2+$E90,0))+IF(GP$5="X",VLOOKUP(GP$10,'VK-Põlevkivi'!$C:$X,2+$G90,0))+IF(GP$4="X",VLOOKUP(GP$10,'VK-Võrgud'!$C:$X,2+$F90,0))</f>
        <v>8.9326558040707589</v>
      </c>
      <c r="GQ90" s="88">
        <f>IF(GQ$7="X",VLOOKUP(GQ$10,'VK-Hooned-Soojus'!$C:$X,2+$C90,FALSE),0)+IF(GQ$6="X",VLOOKUP(GQ$10,'VK-Transport'!$C:$X,2+$B90,0))+IF(GQ$8="X",VLOOKUP(GQ$10,'VK-Elekter'!$C:$X,2+$D90,0))+IF(GQ$9="X",VLOOKUP(GQ$10,'VK-Biokütused'!$C:$U,2+$E90,0))+IF(GQ$5="X",VLOOKUP(GQ$10,'VK-Põlevkivi'!$C:$X,2+$G90,0))+IF(GQ$4="X",VLOOKUP(GQ$10,'VK-Võrgud'!$C:$X,2+$F90,0))</f>
        <v>0.90618397335647782</v>
      </c>
      <c r="GR90" s="186">
        <f t="shared" si="81"/>
        <v>0.39532637523095843</v>
      </c>
    </row>
    <row r="91" spans="1:200" x14ac:dyDescent="0.2">
      <c r="A91" s="184">
        <v>81</v>
      </c>
      <c r="B91" s="87">
        <v>2</v>
      </c>
      <c r="C91" s="87">
        <v>3</v>
      </c>
      <c r="D91" s="87">
        <v>2</v>
      </c>
      <c r="E91" s="87">
        <v>3</v>
      </c>
      <c r="F91" s="87">
        <f>VLOOKUP(Tulemused!$BF$7,data!$J$6:$K$8,2,FALSE)</f>
        <v>2</v>
      </c>
      <c r="G91" s="87">
        <f>VLOOKUP(data!$H$2,data!$J$12:$K$14,2,FALSE)</f>
        <v>2</v>
      </c>
      <c r="I91" s="209">
        <f>IF(I$7="X",VLOOKUP(I$10,'VK-Hooned-Soojus'!$C:$X,2+$C91,FALSE),0)+IF(I$6="X",VLOOKUP(I$10,'VK-Transport'!$C:$X,2+$B91,0))+IF(I$8="X",VLOOKUP(I$10,'VK-Elekter'!$C:$X,2+$D91,0))+IF(I$9="X",VLOOKUP(I$10,'VK-Biokütused'!$C:$U,2+$E91,0))+IF(I$5="X",VLOOKUP(I$10,'VK-Põlevkivi'!$C:$X,2+$G91,0))+IF(I$4="X",VLOOKUP(I$10,'VK-Võrgud'!$C:$X,2+$F91,0))</f>
        <v>23.490000000000002</v>
      </c>
      <c r="J91" s="209">
        <f>IF(J$7="X",VLOOKUP(J$10,'VK-Hooned-Soojus'!$C:$X,2+$C91,FALSE),0)+IF(J$6="X",VLOOKUP(J$10,'VK-Transport'!$C:$X,2+$B91,0))+IF(J$8="X",VLOOKUP(J$10,'VK-Elekter'!$C:$X,2+$D91,0))+IF(J$9="X",VLOOKUP(J$10,'VK-Biokütused'!$C:$U,2+$E91,0))+IF(J$5="X",VLOOKUP(J$10,'VK-Põlevkivi'!$C:$X,2+$G91,0))+IF(J$4="X",VLOOKUP(J$10,'VK-Võrgud'!$C:$X,2+$F91,0))</f>
        <v>11.138055555555555</v>
      </c>
      <c r="K91" s="209">
        <f>IF(K$7="X",VLOOKUP(K$10,'VK-Hooned-Soojus'!$C:$X,2+$C91,FALSE),0)+IF(K$6="X",VLOOKUP(K$10,'VK-Transport'!$C:$X,2+$B91,0))+IF(K$8="X",VLOOKUP(K$10,'VK-Elekter'!$C:$X,2+$D91,0))+IF(K$9="X",VLOOKUP(K$10,'VK-Biokütused'!$C:$U,2+$E91,0))+IF(K$5="X",VLOOKUP(K$10,'VK-Põlevkivi'!$C:$X,2+$G91,0))+IF(K$4="X",VLOOKUP(K$10,'VK-Võrgud'!$C:$X,2+$F91,0))</f>
        <v>13.780000000000001</v>
      </c>
      <c r="L91" s="209">
        <f>IF(L$7="X",VLOOKUP(L$10,'VK-Hooned-Soojus'!$C:$X,2+$C91,FALSE),0)+IF(L$6="X",VLOOKUP(L$10,'VK-Transport'!$C:$X,2+$B91,0))+IF(L$8="X",VLOOKUP(L$10,'VK-Elekter'!$C:$X,2+$D91,0))+IF(L$9="X",VLOOKUP(L$10,'VK-Biokütused'!$C:$U,2+$E91,0))+IF(L$5="X",VLOOKUP(L$10,'VK-Põlevkivi'!$C:$X,2+$G91,0))+IF(L$4="X",VLOOKUP(L$10,'VK-Võrgud'!$C:$X,2+$F91,0))</f>
        <v>23.75</v>
      </c>
      <c r="M91" s="209">
        <f>IF(M$7="X",VLOOKUP(M$10,'VK-Hooned-Soojus'!$C:$X,2+$C91,FALSE),0)+IF(M$6="X",VLOOKUP(M$10,'VK-Transport'!$C:$X,2+$B91,0))+IF(M$8="X",VLOOKUP(M$10,'VK-Elekter'!$C:$X,2+$D91,0))+IF(M$9="X",VLOOKUP(M$10,'VK-Biokütused'!$C:$U,2+$E91,0))+IF(M$5="X",VLOOKUP(M$10,'VK-Põlevkivi'!$C:$X,2+$G91,0))+IF(M$4="X",VLOOKUP(M$10,'VK-Võrgud'!$C:$X,2+$F91,0))</f>
        <v>9.8566666666666674</v>
      </c>
      <c r="N91" s="209">
        <f>IF(N$7="X",VLOOKUP(N$10,'VK-Hooned-Soojus'!$C:$X,2+$C91,FALSE),0)+IF(N$6="X",VLOOKUP(N$10,'VK-Transport'!$C:$X,2+$B91,0))+IF(N$8="X",VLOOKUP(N$10,'VK-Elekter'!$C:$X,2+$D91,0))+IF(N$9="X",VLOOKUP(N$10,'VK-Biokütused'!$C:$U,2+$E91,0))+IF(N$5="X",VLOOKUP(N$10,'VK-Põlevkivi'!$C:$X,2+$G91,0))+IF(N$4="X",VLOOKUP(N$10,'VK-Võrgud'!$C:$X,2+$F91,0))</f>
        <v>15.25</v>
      </c>
      <c r="O91" s="209">
        <f t="shared" si="60"/>
        <v>34.628055555555555</v>
      </c>
      <c r="P91" s="209"/>
      <c r="Q91" s="209">
        <f>(IF(Q$7="X",VLOOKUP(Q$10,'VK-Hooned-Soojus'!$C:$X,2+$C91,FALSE),0)+IF(Q$6="X",VLOOKUP(Q$10,'VK-Transport'!$C:$X,2+$B91,0))+IF(Q$8="X",VLOOKUP(Q$10,'VK-Elekter'!$C:$X,2+$D91,0))+IF(Q$9="X",VLOOKUP(Q$10,'VK-Biokütused'!$C:$U,2+$E91,0))+IF(Q$5="X",VLOOKUP(Q$10,'VK-Põlevkivi'!$C:$X,2+$G91,0))+IF(Q$4="X",VLOOKUP(Q$10,'VK-Võrgud'!$C:$X,2+$F91,0)))/1000</f>
        <v>4.9379999999999997</v>
      </c>
      <c r="R91" s="209">
        <f>(IF(R$7="X",VLOOKUP(R$10,'VK-Hooned-Soojus'!$C:$X,2+$C91,FALSE),0)+IF(R$6="X",VLOOKUP(R$10,'VK-Transport'!$C:$X,2+$B91,0))+IF(R$8="X",VLOOKUP(R$10,'VK-Elekter'!$C:$X,2+$D91,0))+IF(R$9="X",VLOOKUP(R$10,'VK-Biokütused'!$C:$U,2+$E91,0))+IF(R$5="X",VLOOKUP(R$10,'VK-Põlevkivi'!$C:$X,2+$G91,0))+IF(R$4="X",VLOOKUP(R$10,'VK-Võrgud'!$C:$X,2+$F91,0)))/1000</f>
        <v>2.98558232712297</v>
      </c>
      <c r="S91" s="226">
        <f>VLOOKUP(S$10,'VK-Hooned-Soojus'!$C:$I,2+$C91,FALSE) + VLOOKUP(S$10,'VK-Transport'!$C:$I,2+$B91,FALSE)+ VLOOKUP(S$10,'VK-Biokütused'!$C:$G,2+$E91,FALSE)+ VLOOKUP(S$10,'VK-Elekter'!$C:$I,2+$D91,FALSE)+ VLOOKUP(S$10,'VK-Põlevkivi'!$C:$I,2+$G91,FALSE)+ VLOOKUP(S$10,'VK-Võrgud'!$C:$I,2+$F91,FALSE)</f>
        <v>1.8741356658455974E-2</v>
      </c>
      <c r="T91" s="226">
        <f>VLOOKUP(T$10,'VK-Hooned-Soojus'!$C:$I,2+$C91,FALSE) + VLOOKUP(T$10,'VK-Transport'!$C:$I,2+$B91,FALSE)+ VLOOKUP(T$10,'VK-Biokütused'!$C:$G,2+$E91,FALSE)+ VLOOKUP(T$10,'VK-Elekter'!$C:$I,2+$D91,FALSE)+ VLOOKUP(T$10,'VK-Põlevkivi'!$C:$I,2+$G91,FALSE)+ VLOOKUP(T$10,'VK-Võrgud'!$C:$I,2+$F91,FALSE)</f>
        <v>-1.4768133046255618E-3</v>
      </c>
      <c r="U91" s="226">
        <f>VLOOKUP(U$10,'VK-Hooned-Soojus'!$C:$I,2+$C91,FALSE) + VLOOKUP(U$10,'VK-Transport'!$C:$I,2+$B91,FALSE)+ VLOOKUP(U$10,'VK-Biokütused'!$C:$G,2+$E91,FALSE)+ VLOOKUP(U$10,'VK-Elekter'!$C:$I,2+$D91,FALSE)+ VLOOKUP(U$10,'VK-Põlevkivi'!$C:$I,2+$G91,FALSE)+ VLOOKUP(U$10,'VK-Võrgud'!$C:$I,2+$F91,FALSE)</f>
        <v>2.4343988949547812E-3</v>
      </c>
      <c r="V91" s="226">
        <f>VLOOKUP(V$10,'VK-Hooned-Soojus'!$C:$I,2+$C91,FALSE) + VLOOKUP(V$10,'VK-Transport'!$C:$I,2+$B91,FALSE)+ VLOOKUP(V$10,'VK-Biokütused'!$C:$G,2+$E91,FALSE)+ VLOOKUP(V$10,'VK-Elekter'!$C:$I,2+$D91,FALSE)+ VLOOKUP(V$10,'VK-Põlevkivi'!$C:$I,2+$G91,FALSE)+ VLOOKUP(V$10,'VK-Võrgud'!$C:$I,2+$F91,FALSE)</f>
        <v>1.6461734515119647E-2</v>
      </c>
      <c r="W91" s="226">
        <f>VLOOKUP(W$10,'VK-Hooned-Soojus'!$C:$I,2+$C91,FALSE) + VLOOKUP(W$10,'VK-Transport'!$C:$I,2+$B91,FALSE)+ VLOOKUP(W$10,'VK-Biokütused'!$C:$G,2+$E91,FALSE)+ VLOOKUP(W$10,'VK-Elekter'!$C:$I,2+$D91,FALSE)+ VLOOKUP(W$10,'VK-Põlevkivi'!$C:$I,2+$G91,FALSE)+ VLOOKUP(W$10,'VK-Võrgud'!$C:$I,2+$F91,FALSE)</f>
        <v>-2.9127599327380391E-2</v>
      </c>
      <c r="X91" s="226">
        <f>VLOOKUP(X$10,'VK-Hooned-Soojus'!$C:$I,2+$C91,FALSE) + VLOOKUP(X$10,'VK-Transport'!$C:$I,2+$B91,FALSE)+ VLOOKUP(X$10,'VK-Biokütused'!$C:$G,2+$E91,FALSE)+ VLOOKUP(X$10,'VK-Elekter'!$C:$I,2+$D91,FALSE)+ VLOOKUP(X$10,'VK-Põlevkivi'!$C:$I,2+$G91,FALSE)+ VLOOKUP(X$10,'VK-Võrgud'!$C:$I,2+$F91,FALSE)</f>
        <v>-3.6854571850536227E-2</v>
      </c>
      <c r="Y91" s="226">
        <f>VLOOKUP(Y$10,'VK-Hooned-Soojus'!$C:$I,2+$C91,FALSE) + VLOOKUP(Y$10,'VK-Transport'!$C:$I,2+$B91,FALSE)+ VLOOKUP(Y$10,'VK-Biokütused'!$C:$G,2+$E91,FALSE)+ VLOOKUP(Y$10,'VK-Elekter'!$C:$I,2+$D91,FALSE)+ VLOOKUP(Y$10,'VK-Põlevkivi'!$C:$I,2+$G91,FALSE)+ VLOOKUP(Y$10,'VK-Võrgud'!$C:$I,2+$F91,FALSE)</f>
        <v>-5.471198199280141E-2</v>
      </c>
      <c r="Z91" s="227">
        <f>(S91*Tulemused!$Q$9*10+T91*Tulemused!$Q$10*10+KOMBI!U91*Tulemused!$Q$11*10+KOMBI!V91*Tulemused!$Q$12*10)*Tulemused!$Q$8+-(W91*Tulemused!$Q$14*10+KOMBI!X91*Tulemused!$Q$15*10+KOMBI!Y91*Tulemused!$Q$16*10)*Tulemused!$Q$13</f>
        <v>5.1646670556076852</v>
      </c>
      <c r="AA91" s="228">
        <f>(IF(AA$7="X",VLOOKUP(AA$10,'VK-Hooned-Soojus'!$C:$X,2+$C91,FALSE),0)+IF(AA$6="X",VLOOKUP(AA$10,'VK-Transport'!$C:$X,2+$B91,0))+IF(AA$8="X",VLOOKUP(AA$10,'VK-Elekter'!$C:$X,2+$D91,0))+IF(AA$9="X",VLOOKUP(AA$10,'VK-Biokütused'!$C:$U,2+$E91,0))+IF(AA$5="X",VLOOKUP(AA$10,'VK-Põlevkivi'!$C:$X,2+$G91,0))+IF(AA$4="X",VLOOKUP(AA$10,'VK-Võrgud'!$C:$X,2+$F91,0)))</f>
        <v>3761</v>
      </c>
      <c r="AB91" s="228">
        <f>(IF(AB$7="X",VLOOKUP(AB$10,'VK-Hooned-Soojus'!$C:$X,2+$C91,FALSE),0)+IF(AB$6="X",VLOOKUP(AB$10,'VK-Transport'!$C:$X,2+$B91,0))+IF(AB$8="X",VLOOKUP(AB$10,'VK-Elekter'!$C:$X,2+$D91,0))+IF(AB$9="X",VLOOKUP(AB$10,'VK-Biokütused'!$C:$U,2+$E91,0))+IF(AB$5="X",VLOOKUP(AB$10,'VK-Põlevkivi'!$C:$X,2+$G91,0))+IF(AB$4="X",VLOOKUP(AB$10,'VK-Võrgud'!$C:$X,2+$F91,0)))</f>
        <v>1177</v>
      </c>
      <c r="AC91" s="228">
        <f>(IF(AC$7="X",VLOOKUP(AC$10,'VK-Hooned-Soojus'!$C:$X,2+$C91,FALSE),0)+IF(AC$6="X",VLOOKUP(AC$10,'VK-Transport'!$C:$X,2+$B91,0))+IF(AC$8="X",VLOOKUP(AC$10,'VK-Elekter'!$C:$X,2+$D91,0))+IF(AC$9="X",VLOOKUP(AC$10,'VK-Biokütused'!$C:$U,2+$E91,0))+IF(AC$5="X",VLOOKUP(AC$10,'VK-Põlevkivi'!$C:$X,2+$G91,0))+IF(AC$4="X",VLOOKUP(AC$10,'VK-Võrgud'!$C:$X,2+$F91,0)))</f>
        <v>2346</v>
      </c>
      <c r="AD91" s="228">
        <f>(IF(AD$7="X",VLOOKUP(AD$10,'VK-Hooned-Soojus'!$C:$X,2+$C91,FALSE),0)+IF(AD$6="X",VLOOKUP(AD$10,'VK-Transport'!$C:$X,2+$B91,0))+IF(AD$8="X",VLOOKUP(AD$10,'VK-Elekter'!$C:$X,2+$D91,0))+IF(AD$9="X",VLOOKUP(AD$10,'VK-Biokütused'!$C:$U,2+$E91,0))+IF(AD$5="X",VLOOKUP(AD$10,'VK-Põlevkivi'!$C:$X,2+$G91,0))+IF(AD$4="X",VLOOKUP(AD$10,'VK-Võrgud'!$C:$X,2+$F91,0)))</f>
        <v>586.20000000000005</v>
      </c>
      <c r="AE91" s="228">
        <f>(IF(AE$7="X",VLOOKUP(AE$10,'VK-Hooned-Soojus'!$C:$X,2+$C91,FALSE),0)+IF(AE$6="X",VLOOKUP(AE$10,'VK-Transport'!$C:$X,2+$B91,0))+IF(AE$8="X",VLOOKUP(AE$10,'VK-Elekter'!$C:$X,2+$D91,0))+IF(AE$9="X",VLOOKUP(AE$10,'VK-Biokütused'!$C:$U,2+$E91,0))+IF(AE$5="X",VLOOKUP(AE$10,'VK-Põlevkivi'!$C:$X,2+$G91,0))+IF(AE$4="X",VLOOKUP(AE$10,'VK-Võrgud'!$C:$X,2+$F91,0)))</f>
        <v>507</v>
      </c>
      <c r="AF91" s="228">
        <f>(IF(AF$7="X",VLOOKUP(AF$10,'VK-Hooned-Soojus'!$C:$X,2+$C91,FALSE),0)+IF(AF$6="X",VLOOKUP(AF$10,'VK-Transport'!$C:$X,2+$B91,0))+IF(AF$8="X",VLOOKUP(AF$10,'VK-Elekter'!$C:$X,2+$D91,0))+IF(AF$9="X",VLOOKUP(AF$10,'VK-Biokütused'!$C:$U,2+$E91,0))+IF(AF$5="X",VLOOKUP(AF$10,'VK-Põlevkivi'!$C:$X,2+$G91,0))+IF(AF$4="X",VLOOKUP(AF$10,'VK-Võrgud'!$C:$X,2+$F91,0)))</f>
        <v>1892.3823271229701</v>
      </c>
      <c r="AG91" s="209"/>
      <c r="AH91" s="209">
        <f>IF(AH$7="X",VLOOKUP(AH$10,'VK-Hooned-Soojus'!$C:$X,2+$C91,FALSE),0)+IF(AH$6="X",VLOOKUP(AH$10,'VK-Transport'!$C:$X,2+$B91,0))+IF(AH$8="X",VLOOKUP(AH$10,'VK-Elekter'!$C:$X,2+$D91,0))+IF(AH$9="X",VLOOKUP(AH$10,'VK-Biokütused'!$C:$U,2+$E91,0))+IF(AH$5="X",VLOOKUP(AH$10,'VK-Põlevkivi'!$C:$X,2+$G91,0))+IF(AH$4="X",VLOOKUP(AH$10,'VK-Võrgud'!$C:$X,2+$F91,0))</f>
        <v>11.64</v>
      </c>
      <c r="AI91" s="209">
        <f>IF(AI$7="X",VLOOKUP(AI$10,'VK-Hooned-Soojus'!$C:$X,2+$C91,FALSE),0)+IF(AI$6="X",VLOOKUP(AI$10,'VK-Transport'!$C:$X,2+$B91,0))+IF(AI$8="X",VLOOKUP(AI$10,'VK-Elekter'!$C:$X,2+$D91,0))+IF(AI$9="X",VLOOKUP(AI$10,'VK-Biokütused'!$C:$U,2+$E91,0))+IF(AI$5="X",VLOOKUP(AI$10,'VK-Põlevkivi'!$C:$X,2+$G91,0))+IF(AI$4="X",VLOOKUP(AI$10,'VK-Võrgud'!$C:$X,2+$F91,0))</f>
        <v>2.3100000000000005</v>
      </c>
      <c r="AJ91" s="209">
        <f>IF(AJ$7="X",VLOOKUP(AJ$10,'VK-Hooned-Soojus'!$C:$X,2+$C91,FALSE),0)+IF(AJ$6="X",VLOOKUP(AJ$10,'VK-Transport'!$C:$X,2+$B91,0))+IF(AJ$8="X",VLOOKUP(AJ$10,'VK-Elekter'!$C:$X,2+$D91,0))+IF(AJ$9="X",VLOOKUP(AJ$10,'VK-Biokütused'!$C:$U,2+$E91,0))+IF(AJ$5="X",VLOOKUP(AJ$10,'VK-Põlevkivi'!$C:$X,2+$G91,0))+IF(AJ$4="X",VLOOKUP(AJ$10,'VK-Võrgud'!$C:$X,2+$F91,0))</f>
        <v>9.25</v>
      </c>
      <c r="AK91" s="209">
        <f>IF(AK$7="X",VLOOKUP(AK$10,'VK-Hooned-Soojus'!$C:$X,2+$C91,FALSE),0)+IF(AK$6="X",VLOOKUP(AK$10,'VK-Transport'!$C:$X,2+$B91,0))+IF(AK$8="X",VLOOKUP(AK$10,'VK-Elekter'!$C:$X,2+$D91,0))+IF(AK$9="X",VLOOKUP(AK$10,'VK-Biokütused'!$C:$U,2+$E91,0))+IF(AK$5="X",VLOOKUP(AK$10,'VK-Põlevkivi'!$C:$X,2+$G91,0))+IF(AK$4="X",VLOOKUP(AK$10,'VK-Võrgud'!$C:$X,2+$F91,0))</f>
        <v>2.78</v>
      </c>
      <c r="AL91" s="209">
        <f>IF(AL$7="X",VLOOKUP(AL$10,'VK-Hooned-Soojus'!$C:$X,2+$C91,FALSE),0)+IF(AL$6="X",VLOOKUP(AL$10,'VK-Transport'!$C:$X,2+$B91,0))+IF(AL$8="X",VLOOKUP(AL$10,'VK-Elekter'!$C:$X,2+$D91,0))+IF(AL$9="X",VLOOKUP(AL$10,'VK-Biokütused'!$C:$U,2+$E91,0))+IF(AL$5="X",VLOOKUP(AL$10,'VK-Põlevkivi'!$C:$X,2+$G91,0))+IF(AL$4="X",VLOOKUP(AL$10,'VK-Võrgud'!$C:$X,2+$F91,0))</f>
        <v>7.1</v>
      </c>
      <c r="AM91" s="209">
        <f>IF(AM$7="X",VLOOKUP(AM$10,'VK-Hooned-Soojus'!$C:$X,2+$C91,FALSE),0)+IF(AM$6="X",VLOOKUP(AM$10,'VK-Transport'!$C:$X,2+$B91,0))+IF(AM$8="X",VLOOKUP(AM$10,'VK-Elekter'!$C:$X,2+$D91,0))+IF(AM$9="X",VLOOKUP(AM$10,'VK-Biokütused'!$C:$U,2+$E91,0))+IF(AM$5="X",VLOOKUP(AM$10,'VK-Põlevkivi'!$C:$X,2+$G91,0))+IF(AM$4="X",VLOOKUP(AM$10,'VK-Võrgud'!$C:$X,2+$F91,0))</f>
        <v>11.5</v>
      </c>
      <c r="AN91" s="209">
        <f>IF(AN$7="X",VLOOKUP(AN$10,'VK-Hooned-Soojus'!$C:$X,2+$C91,FALSE),0)+IF(AN$6="X",VLOOKUP(AN$10,'VK-Transport'!$C:$X,2+$B91,0))+IF(AN$8="X",VLOOKUP(AN$10,'VK-Elekter'!$C:$X,2+$D91,0))+IF(AN$9="X",VLOOKUP(AN$10,'VK-Biokütused'!$C:$U,2+$E91,0))+IF(AN$5="X",VLOOKUP(AN$10,'VK-Põlevkivi'!$C:$X,2+$G91,0))+IF(AN$4="X",VLOOKUP(AN$10,'VK-Võrgud'!$C:$X,2+$F91,0))</f>
        <v>4.0999999999999996</v>
      </c>
      <c r="AO91" s="209">
        <f>IF(AO$7="X",VLOOKUP(AO$10,'VK-Hooned-Soojus'!$C:$X,2+$C91,FALSE),0)+IF(AO$6="X",VLOOKUP(AO$10,'VK-Transport'!$C:$X,2+$B91,0))+IF(AO$8="X",VLOOKUP(AO$10,'VK-Elekter'!$C:$X,2+$D91,0))+IF(AO$9="X",VLOOKUP(AO$10,'VK-Biokütused'!$C:$U,2+$E91,0))+IF(AO$5="X",VLOOKUP(AO$10,'VK-Põlevkivi'!$C:$X,2+$G91,0))+IF(AO$4="X",VLOOKUP(AO$10,'VK-Võrgud'!$C:$X,2+$F91,0))</f>
        <v>12.16</v>
      </c>
      <c r="AP91" s="209">
        <f>IF(AP$7="X",VLOOKUP(AP$10,'VK-Hooned-Soojus'!$C:$X,2+$C91,FALSE),0)+IF(AP$6="X",VLOOKUP(AP$10,'VK-Transport'!$C:$X,2+$B91,0))+IF(AP$8="X",VLOOKUP(AP$10,'VK-Elekter'!$C:$X,2+$D91,0))+IF(AP$9="X",VLOOKUP(AP$10,'VK-Biokütused'!$C:$U,2+$E91,0))+IF(AP$5="X",VLOOKUP(AP$10,'VK-Põlevkivi'!$C:$X,2+$G91,0))+IF(AP$4="X",VLOOKUP(AP$10,'VK-Võrgud'!$C:$X,2+$F91,0))</f>
        <v>6.08</v>
      </c>
      <c r="AQ91" s="320">
        <f t="shared" si="61"/>
        <v>0</v>
      </c>
      <c r="AR91" s="209">
        <f>IF(AR$7="X",VLOOKUP(AR$10,'VK-Hooned-Soojus'!$C:$X,2+$C91,FALSE),0)+IF(AR$6="X",VLOOKUP(AR$10,'VK-Transport'!$C:$X,2+$B91,0))+IF(AR$8="X",VLOOKUP(AR$10,'VK-Elekter'!$C:$X,2+$D91,0))+IF(AR$9="X",VLOOKUP(AR$10,'VK-Biokütused'!$C:$U,2+$E91,0))+IF(AR$5="X",VLOOKUP(AR$10,'VK-Põlevkivi'!$C:$X,2+$G91,0))+IF(AR$4="X",VLOOKUP(AR$10,'VK-Võrgud'!$C:$X,2+$F91,0))</f>
        <v>2.3899999999999997</v>
      </c>
      <c r="AS91" s="320">
        <f>VLOOKUP("Kütuste tarbimine @ 2030 - UTTEGAAS",'VK-Hooned-Soojus'!$C:$X,2+$C91,FALSE)/0.172+VLOOKUP("Kütuste tarbimine @ 2030 - UTTEGAAS",'VK-Elekter'!$C:$X,2+$D91,FALSE)/0.172-AR91-AU91</f>
        <v>2.8565116279069773</v>
      </c>
      <c r="AT91" s="209">
        <f>IF(AT$7="X",VLOOKUP(AT$10,'VK-Hooned-Soojus'!$C:$X,2+$C91,FALSE),0)+IF(AT$6="X",VLOOKUP(AT$10,'VK-Transport'!$C:$X,2+$B91,0))+IF(AT$8="X",VLOOKUP(AT$10,'VK-Elekter'!$C:$X,2+$D91,0))+IF(AT$9="X",VLOOKUP(AT$10,'VK-Biokütused'!$C:$U,2+$E91,0))+IF(AT$5="X",VLOOKUP(AT$10,'VK-Põlevkivi'!$C:$X,2+$G91,0))+IF(AT$4="X",VLOOKUP(AT$10,'VK-Võrgud'!$C:$X,2+$F91,0))</f>
        <v>9.2784458909544707</v>
      </c>
      <c r="AU91" s="229">
        <f>MAX(0,(VLOOKUP("Kütuste tarbimine @ 2030 - UTTEGAAS",'VK-Hooned-Soojus'!$C:$X,2+$C91,FALSE)/0.172+VLOOKUP("Kütuste tarbimine @ 2030 - UTTEGAAS",'VK-Elekter'!$C:$X,2+$D91,FALSE)/0.172)*0.52-VLOOKUP("Kütuste tarbimine @ 2030 - PÕLEVKIVIÕLI",'VK-Hooned-Soojus'!$C:$X,2+$C91,FALSE))</f>
        <v>5.6837209302325586</v>
      </c>
      <c r="AV91" s="209">
        <f>IF(AV$7="X",VLOOKUP(AV$10,'VK-Hooned-Soojus'!$C:$X,2+$C91,FALSE),0)+IF(AV$6="X",VLOOKUP(AV$10,'VK-Transport'!$C:$X,2+$B91,0))+IF(AV$8="X",VLOOKUP(AV$10,'VK-Elekter'!$C:$X,2+$D91,0))+IF(AV$9="X",VLOOKUP(AV$10,'VK-Biokütused'!$C:$U,2+$E91,0))+IF(AV$5="X",VLOOKUP(AV$10,'VK-Põlevkivi'!$C:$X,2+$G91,0))+IF(AV$4="X",VLOOKUP(AV$10,'VK-Võrgud'!$C:$X,2+$F91,0))</f>
        <v>1.7257321590343366</v>
      </c>
      <c r="AW91" s="209">
        <f>IF(AW$7="X",VLOOKUP(AW$10,'VK-Hooned-Soojus'!$C:$X,2+$C91,FALSE),0)+IF(AW$6="X",VLOOKUP(AW$10,'VK-Transport'!$C:$X,2+$B91,0))+IF(AW$8="X",VLOOKUP(AW$10,'VK-Elekter'!$C:$X,2+$D91,0))+IF(AW$9="X",VLOOKUP(AW$10,'VK-Biokütused'!$C:$U,2+$E91,0))+IF(AW$5="X",VLOOKUP(AW$10,'VK-Põlevkivi'!$C:$X,2+$G91,0))+IF(AW$4="X",VLOOKUP(AW$10,'VK-Võrgud'!$C:$X,2+$F91,0))</f>
        <v>4.2799999999999994</v>
      </c>
      <c r="AX91" s="229">
        <f t="shared" si="62"/>
        <v>2.5542678409656627</v>
      </c>
      <c r="AY91" s="229">
        <f t="shared" si="63"/>
        <v>0</v>
      </c>
      <c r="AZ91" s="230">
        <f t="shared" si="48"/>
        <v>0.54652775186375635</v>
      </c>
      <c r="BA91" s="209">
        <f>IF(BA$7="X",VLOOKUP(BA$10,'VK-Hooned-Soojus'!$C:$X,2+$C91,FALSE),0)+IF(BA$6="X",VLOOKUP(BA$10,'VK-Transport'!$C:$X,2+$B91,0))+IF(BA$8="X",VLOOKUP(BA$10,'VK-Elekter'!$C:$X,2+$D91,0))+IF(BA$9="X",VLOOKUP(BA$10,'VK-Biokütused'!$C:$U,2+$E91,0))+IF(BA$5="X",VLOOKUP(BA$10,'VK-Põlevkivi'!$C:$X,2+$G91,0))+IF(BA$4="X",VLOOKUP(BA$10,'VK-Võrgud'!$C:$X,2+$F91,0))</f>
        <v>4.25</v>
      </c>
      <c r="BB91" s="209">
        <f>IF(BB$7="X",VLOOKUP(BB$10,'VK-Hooned-Soojus'!$C:$X,2+$C91,FALSE),0)+IF(BB$6="X",VLOOKUP(BB$10,'VK-Transport'!$C:$X,2+$B91,0))+IF(BB$8="X",VLOOKUP(BB$10,'VK-Elekter'!$C:$X,2+$D91,0))+IF(BB$9="X",VLOOKUP(BB$10,'VK-Biokütused'!$C:$U,2+$E91,0))+IF(BB$5="X",VLOOKUP(BB$10,'VK-Põlevkivi'!$C:$X,2+$G91,0))+IF(BB$4="X",VLOOKUP(BB$10,'VK-Võrgud'!$C:$X,2+$F91,0))</f>
        <v>2.93</v>
      </c>
      <c r="BC91" s="209">
        <f>IF(BC$7="X",VLOOKUP(BC$10,'VK-Hooned-Soojus'!$C:$X,2+$C91,FALSE),0)+IF(BC$6="X",VLOOKUP(BC$10,'VK-Transport'!$C:$X,2+$B91,0))+IF(BC$8="X",VLOOKUP(BC$10,'VK-Elekter'!$C:$X,2+$D91,0))+IF(BC$9="X",VLOOKUP(BC$10,'VK-Biokütused'!$C:$U,2+$E91,0))+IF(BC$5="X",VLOOKUP(BC$10,'VK-Põlevkivi'!$C:$X,2+$G91,0))+IF(BC$4="X",VLOOKUP(BC$10,'VK-Võrgud'!$C:$X,2+$F91,0))</f>
        <v>5.2376666666666667</v>
      </c>
      <c r="BD91" s="209">
        <f>IF(BD$7="X",VLOOKUP(BD$10,'VK-Hooned-Soojus'!$C:$X,2+$C91,FALSE),0)+IF(BD$6="X",VLOOKUP(BD$10,'VK-Transport'!$C:$X,2+$B91,0))+IF(BD$8="X",VLOOKUP(BD$10,'VK-Elekter'!$C:$X,2+$D91,0))+IF(BD$9="X",VLOOKUP(BD$10,'VK-Biokütused'!$C:$U,2+$E91,0))+IF(BD$5="X",VLOOKUP(BD$10,'VK-Põlevkivi'!$C:$X,2+$G91,0))+IF(BD$4="X",VLOOKUP(BD$10,'VK-Võrgud'!$C:$X,2+$F91,0))</f>
        <v>9.1105555555555569</v>
      </c>
      <c r="BE91" s="230"/>
      <c r="BF91" s="229">
        <f t="shared" si="64"/>
        <v>0.33416875659668871</v>
      </c>
      <c r="BG91" s="209" t="e">
        <f>(IF(BG$7="X",VLOOKUP(BG$10,'VK-Hooned-Soojus'!$C:$X,2+$C91,FALSE),0)+IF(BG$6="X",VLOOKUP(BG$10,'VK-Transport'!$C:$X,2+$B91,0))+IF(BG$8="X",VLOOKUP(BG$10,'VK-Elekter'!$C:$X,2+$D91,0))+IF(BG$9="X",VLOOKUP(BG$10,'VK-Biokütused'!$C:$U,2+$E91,0))+IF(BG$5="X",VLOOKUP(BG$10,'VK-Põlevkivi'!$C:$X,2+$G91,0))+IF(BG$4="X",VLOOKUP(BG$10,'VK-Võrgud'!$C:$X,2+$F91,0)))/20</f>
        <v>#N/A</v>
      </c>
      <c r="BH91" s="209">
        <f>(IF(BH$7="X",VLOOKUP(BH$10,'VK-Hooned-Soojus'!$C:$X,2+$C91,FALSE),0)+IF(BH$6="X",VLOOKUP(BH$10,'VK-Transport'!$C:$X,2+$B91,0))+IF(BH$8="X",VLOOKUP(BH$10,'VK-Elekter'!$C:$X,2+$D91,0))+IF(BH$9="X",VLOOKUP(BH$10,'VK-Biokütused'!$C:$U,2+$E91,0))+IF(BH$5="X",VLOOKUP(BH$10,'VK-Põlevkivi'!$C:$X,2+$G91,0))+IF(BH$4="X",VLOOKUP(BH$10,'VK-Võrgud'!$C:$X,2+$F91,0)))/20</f>
        <v>84.204999999999998</v>
      </c>
      <c r="BI91" s="209">
        <f>(IF(BI$7="X",VLOOKUP(BI$10,'VK-Hooned-Soojus'!$C:$X,2+$C91,FALSE),0)+IF(BI$6="X",VLOOKUP(BI$10,'VK-Transport'!$C:$X,2+$B91,0))+IF(BI$8="X",VLOOKUP(BI$10,'VK-Elekter'!$C:$X,2+$D91,0))+IF(BI$9="X",VLOOKUP(BI$10,'VK-Biokütused'!$C:$U,2+$E91,0))+IF(BI$5="X",VLOOKUP(BI$10,'VK-Põlevkivi'!$C:$X,2+$G91,0))+IF(BI$4="X",VLOOKUP(BI$10,'VK-Võrgud'!$C:$X,2+$F91,0)))/16</f>
        <v>8.9375</v>
      </c>
      <c r="BJ91" s="209">
        <f>(IF(BJ$7="X",VLOOKUP(BJ$10,'VK-Hooned-Soojus'!$C:$X,2+$C91,FALSE),0)+IF(BJ$6="X",VLOOKUP(BJ$10,'VK-Transport'!$C:$X,2+$B91,0))+IF(BJ$8="X",VLOOKUP(BJ$10,'VK-Elekter'!$C:$X,2+$D91,0))+IF(BJ$9="X",VLOOKUP(BJ$10,'VK-Biokütused'!$C:$U,2+$E91,0))+IF(BJ$5="X",VLOOKUP(BJ$10,'VK-Põlevkivi'!$C:$X,2+$G91,0))+IF(BJ$4="X",VLOOKUP(BJ$10,'VK-Võrgud'!$C:$X,2+$F91,0)))/20</f>
        <v>5.33</v>
      </c>
      <c r="BK91" s="209"/>
      <c r="BL91" s="209"/>
      <c r="BM91" s="209"/>
      <c r="BN91" s="209" t="e">
        <f>(IF(BN$7="X",VLOOKUP(BN$10,'VK-Hooned-Soojus'!$C:$X,2+$C91,FALSE),0)+IF(BN$6="X",VLOOKUP(BN$10,'VK-Transport'!$C:$X,2+$B91,0))+IF(BN$8="X",VLOOKUP(BN$10,'VK-Elekter'!$C:$X,2+$D91,0))+IF(BN$9="X",VLOOKUP(BN$10,'VK-Biokütused'!$C:$U,2+$E91,0))+IF(BN$5="X",VLOOKUP(BN$10,'VK-Põlevkivi'!$C:$X,2+$G91,0))+IF(BN$4="X",VLOOKUP(BN$10,'VK-Võrgud'!$C:$X,2+$F91,0)))/16</f>
        <v>#N/A</v>
      </c>
      <c r="BO91" s="209">
        <f>(IF(BO$7="X",VLOOKUP(BO$10,'VK-Hooned-Soojus'!$C:$X,2+$C91,FALSE),0)+IF(BO$6="X",VLOOKUP(BO$10,'VK-Transport'!$C:$X,2+$B91,0))+IF(BO$8="X",VLOOKUP(BO$10,'VK-Elekter'!$C:$X,2+$D91,0))+IF(BO$9="X",VLOOKUP(BO$10,'VK-Biokütused'!$C:$U,2+$E91,0))+IF(BO$5="X",VLOOKUP(BO$10,'VK-Põlevkivi'!$C:$X,2+$G91,0))+IF(BO$4="X",VLOOKUP(BO$10,'VK-Võrgud'!$C:$X,2+$F91,0)))/16</f>
        <v>405.45</v>
      </c>
      <c r="BP91" s="209"/>
      <c r="BQ91" s="209">
        <f>(IF(BQ$7="X",VLOOKUP(BQ$10,'VK-Hooned-Soojus'!$C:$X,2+$C91,FALSE),0)+IF(BQ$6="X",VLOOKUP(BQ$10,'VK-Transport'!$C:$X,2+$B91,0))+IF(BQ$8="X",VLOOKUP(BQ$10,'VK-Elekter'!$C:$X,2+$D91,0))+IF(BQ$9="X",VLOOKUP(BQ$10,'VK-Biokütused'!$C:$U,2+$E91,0))+IF(BQ$5="X",VLOOKUP(BQ$10,'VK-Põlevkivi'!$C:$X,2+$G91,0))+IF(BQ$4="X",VLOOKUP(BQ$10,'VK-Võrgud'!$C:$X,2+$F91,0)))/16</f>
        <v>127.6</v>
      </c>
      <c r="BR91" s="209">
        <f>(IF(BR$7="X",VLOOKUP(BR$10,'VK-Hooned-Soojus'!$C:$X,2+$C91,FALSE),0)+IF(BR$6="X",VLOOKUP(BR$10,'VK-Transport'!$C:$X,2+$B91,0))+IF(BR$8="X",VLOOKUP(BR$10,'VK-Elekter'!$C:$X,2+$D91,0))+IF(BR$9="X",VLOOKUP(BR$10,'VK-Biokütused'!$C:$U,2+$E91,0))+IF(BR$5="X",VLOOKUP(BR$10,'VK-Põlevkivi'!$C:$X,2+$G91,0))+IF(BR$4="X",VLOOKUP(BR$10,'VK-Võrgud'!$C:$X,2+$F91,0)))/16</f>
        <v>27.475000000000001</v>
      </c>
      <c r="BS91" s="209">
        <f>(IF(BS$7="X",VLOOKUP(BS$10,'VK-Hooned-Soojus'!$C:$X,2+$C91,FALSE),0)+IF(BS$6="X",VLOOKUP(BS$10,'VK-Transport'!$C:$X,2+$B91,0))+IF(BS$8="X",VLOOKUP(BS$10,'VK-Elekter'!$C:$X,2+$D91,0))+IF(BS$9="X",VLOOKUP(BS$10,'VK-Biokütused'!$C:$U,2+$E91,0))+IF(BS$5="X",VLOOKUP(BS$10,'VK-Põlevkivi'!$C:$X,2+$G91,0))+IF(BS$4="X",VLOOKUP(BS$10,'VK-Võrgud'!$C:$X,2+$F91,0)))/16</f>
        <v>-23.293749999999999</v>
      </c>
      <c r="BT91" s="209"/>
      <c r="BU91" s="209"/>
      <c r="BV91" s="209">
        <f>(IF(BV$7="X",VLOOKUP(BV$10,'VK-Hooned-Soojus'!$C:$X,2+$C91,FALSE),0)+IF(BV$6="X",VLOOKUP(BV$10,'VK-Transport'!$C:$X,2+$B91,0))+IF(BV$8="X",VLOOKUP(BV$10,'VK-Elekter'!$C:$X,2+$D91,0))+IF(BV$9="X",VLOOKUP(BV$10,'VK-Biokütused'!$C:$U,2+$E91,0))+IF(BV$5="X",VLOOKUP(BV$10,'VK-Põlevkivi'!$C:$X,2+$G91,0))+IF(BV$4="X",VLOOKUP(BV$10,'VK-Võrgud'!$C:$X,2+$F91,0)))/16</f>
        <v>0</v>
      </c>
      <c r="BW91" s="209"/>
      <c r="BX91" s="209">
        <f>(IF(BX$7="X",VLOOKUP(BX$10,'VK-Hooned-Soojus'!$C:$X,2+$C91,FALSE),0)+IF(BX$6="X",VLOOKUP(BX$10,'VK-Transport'!$C:$X,2+$B91,0))+IF(BX$8="X",VLOOKUP(BX$10,'VK-Elekter'!$C:$X,2+$D91,0))+IF(BX$9="X",VLOOKUP(BX$10,'VK-Biokütused'!$C:$U,2+$E91,0))+IF(BX$5="X",VLOOKUP(BX$10,'VK-Põlevkivi'!$C:$X,2+$G91,0))+IF(BX$4="X",VLOOKUP(BX$10,'VK-Võrgud'!$C:$X,2+$F91,0)))/16</f>
        <v>-99.75</v>
      </c>
      <c r="BY91" s="209"/>
      <c r="BZ91" s="209"/>
      <c r="CA91" s="209" t="e">
        <f>(IF(CA$7="X",VLOOKUP(CA$10,'VK-Hooned-Soojus'!$C:$X,2+$C91,FALSE),0)+IF(CA$6="X",VLOOKUP(CA$10,'VK-Transport'!$C:$X,2+$B91,0))+IF(CA$8="X",VLOOKUP(CA$10,'VK-Elekter'!$C:$X,2+$D91,0))+IF(CA$9="X",VLOOKUP(CA$10,'VK-Biokütused'!$C:$U,2+$E91,0))+IF(CA$5="X",VLOOKUP(CA$10,'VK-Põlevkivi'!$C:$X,2+$G91,0))+IF(CA$4="X",VLOOKUP(CA$10,'VK-Võrgud'!$C:$X,2+$F91,0)))/16</f>
        <v>#N/A</v>
      </c>
      <c r="CB91" s="209">
        <f>(IF(CB$7="X",VLOOKUP(CB$10,'VK-Hooned-Soojus'!$C:$X,2+$C91,FALSE),0)+IF(CB$6="X",VLOOKUP(CB$10,'VK-Transport'!$C:$X,2+$B91,0))+IF(CB$8="X",VLOOKUP(CB$10,'VK-Elekter'!$C:$X,2+$D91,0))+IF(CB$9="X",VLOOKUP(CB$10,'VK-Biokütused'!$C:$U,2+$E91,0))+IF(CB$5="X",VLOOKUP(CB$10,'VK-Põlevkivi'!$C:$X,2+$G91,0))+IF(CB$4="X",VLOOKUP(CB$10,'VK-Võrgud'!$C:$X,2+$F91,0)))/16</f>
        <v>0</v>
      </c>
      <c r="CC91" s="209">
        <f>(IF(CC$7="X",VLOOKUP(CC$10,'VK-Hooned-Soojus'!$C:$X,2+$C91,FALSE),0)+IF(CC$6="X",VLOOKUP(CC$10,'VK-Transport'!$C:$X,2+$B91,0))+IF(CC$8="X",VLOOKUP(CC$10,'VK-Elekter'!$C:$X,2+$D91,0))+IF(CC$9="X",VLOOKUP(CC$10,'VK-Biokütused'!$C:$U,2+$E91,0))+IF(CC$5="X",VLOOKUP(CC$10,'VK-Põlevkivi'!$C:$X,2+$G91,0))+IF(CC$4="X",VLOOKUP(CC$10,'VK-Võrgud'!$C:$X,2+$F91,0)))/16</f>
        <v>0</v>
      </c>
      <c r="CD91" s="209"/>
      <c r="CE91" s="209">
        <f>(IF(CE$7="X",VLOOKUP(CE$10,'VK-Hooned-Soojus'!$C:$X,2+$C91,FALSE),0)+IF(CE$6="X",VLOOKUP(CE$10,'VK-Transport'!$C:$X,2+$B91,0))+IF(CE$8="X",VLOOKUP(CE$10,'VK-Elekter'!$C:$X,2+$D91,0))+IF(CE$9="X",VLOOKUP(CE$10,'VK-Biokütused'!$C:$U,2+$E91,0))+IF(CE$5="X",VLOOKUP(CE$10,'VK-Põlevkivi'!$C:$X,2+$G91,0))+IF(CE$4="X",VLOOKUP(CE$10,'VK-Võrgud'!$C:$X,2+$F91,0)))/16</f>
        <v>24.15625</v>
      </c>
      <c r="CF91" s="209"/>
      <c r="CG91" s="209">
        <f>(IF(CG$7="X",VLOOKUP(CG$10,'VK-Hooned-Soojus'!$C:$X,2+$C91,FALSE),0)+IF(CG$6="X",VLOOKUP(CG$10,'VK-Transport'!$C:$X,2+$B91,0))+IF(CG$8="X",VLOOKUP(CG$10,'VK-Elekter'!$C:$X,2+$D91,0))+IF(CG$9="X",VLOOKUP(CG$10,'VK-Biokütused'!$C:$U,2+$E91,0))+IF(CG$5="X",VLOOKUP(CG$10,'VK-Põlevkivi'!$C:$X,2+$G91,0))+IF(CG$4="X",VLOOKUP(CG$10,'VK-Võrgud'!$C:$X,2+$F91,0)))/16</f>
        <v>0</v>
      </c>
      <c r="CH91" s="209">
        <f>(IF(CH$7="X",VLOOKUP(CH$10,'VK-Hooned-Soojus'!$C:$X,2+$C91,FALSE),0)+IF(CH$6="X",VLOOKUP(CH$10,'VK-Transport'!$C:$X,2+$B91,0))+IF(CH$8="X",VLOOKUP(CH$10,'VK-Elekter'!$C:$X,2+$D91,0))+IF(CH$9="X",VLOOKUP(CH$10,'VK-Biokütused'!$C:$U,2+$E91,0))+IF(CH$5="X",VLOOKUP(CH$10,'VK-Põlevkivi'!$C:$X,2+$G91,0))+IF(CH$4="X",VLOOKUP(CH$10,'VK-Võrgud'!$C:$X,2+$F91,0)))/20*0.21</f>
        <v>26.9178</v>
      </c>
      <c r="CI91" s="209"/>
      <c r="CJ91" s="209">
        <f>(IF(CJ$7="X",VLOOKUP(CJ$10,'VK-Hooned-Soojus'!$C:$X,2+$C91,FALSE),0)+IF(CJ$6="X",VLOOKUP(CJ$10,'VK-Transport'!$C:$X,2+$B91,0))+IF(CJ$8="X",VLOOKUP(CJ$10,'VK-Elekter'!$C:$X,2+$D91,0))+IF(CJ$9="X",VLOOKUP(CJ$10,'VK-Biokütused'!$C:$U,2+$E91,0))+IF(CJ$5="X",VLOOKUP(CJ$10,'VK-Põlevkivi'!$C:$X,2+$G91,0))+IF(CJ$4="X",VLOOKUP(CJ$10,'VK-Võrgud'!$C:$X,2+$F91,0)))/1000</f>
        <v>17.479578011574535</v>
      </c>
      <c r="CK91" s="209">
        <f>(IF(CK$7="X",VLOOKUP(CK$10,'VK-Hooned-Soojus'!$C:$X,2+$C91,FALSE),0)+IF(CK$6="X",VLOOKUP(CK$10,'VK-Transport'!$C:$X,2+$B91,0))+IF(CK$8="X",VLOOKUP(CK$10,'VK-Elekter'!$C:$X,2+$D91,0))+IF(CK$9="X",VLOOKUP(CK$10,'VK-Biokütused'!$C:$U,2+$E91,0))+IF(CK$5="X",VLOOKUP(CK$10,'VK-Põlevkivi'!$C:$X,2+$G91,0))+IF(CK$4="X",VLOOKUP(CK$10,'VK-Võrgud'!$C:$X,2+$F91,0)))/1000</f>
        <v>11.222324637900011</v>
      </c>
      <c r="CL91" s="235">
        <f>(IF(CL$7="X",VLOOKUP(CL$10,'VK-Hooned-Soojus'!$C:$X,2+$C91,FALSE),0)+IF(CL$6="X",VLOOKUP(CL$10,'VK-Transport'!$C:$X,2+$B91,0))+IF(CL$8="X",VLOOKUP(CL$10,'VK-Elekter'!$C:$X,2+$D91,0))+IF(CL$9="X",VLOOKUP(CL$10,'VK-Biokütused'!$C:$U,2+$E91,0)))/1000</f>
        <v>8.1087703590452112</v>
      </c>
      <c r="CM91" s="209">
        <f>(IF(CM$7="X",VLOOKUP(CM$10,'VK-Hooned-Soojus'!$C:$X,2+$C91,FALSE),0)+IF(CM$6="X",VLOOKUP(CM$10,'VK-Transport'!$C:$X,2+$B91,0))+IF(CM$8="X",VLOOKUP(CM$10,'VK-Elekter'!$C:$X,2+$D91,0))+IF(CM$9="X",VLOOKUP(CM$10,'VK-Biokütused'!$C:$U,2+$E91,0))+IF(CM$5="X",VLOOKUP(CM$10,'VK-Põlevkivi'!$C:$X,2+$G91,0))+IF(CM$4="X",VLOOKUP(CM$10,'VK-Võrgud'!$C:$X,2+$F91,0)))/1000</f>
        <v>7.5977605777489075</v>
      </c>
      <c r="CN91" s="209">
        <f>(IF(CN$7="X",VLOOKUP(CN$10,'VK-Hooned-Soojus'!$C:$X,2+$C91,FALSE),0)+IF(CN$6="X",VLOOKUP(CN$10,'VK-Transport'!$C:$X,2+$B91,0))+IF(CN$8="X",VLOOKUP(CN$10,'VK-Elekter'!$C:$X,2+$D91,0))+IF(CN$9="X",VLOOKUP(CN$10,'VK-Biokütused'!$C:$U,2+$E91,0))+IF(CN$5="X",VLOOKUP(CN$10,'VK-Põlevkivi'!$C:$X,2+$G91,0))+IF(CN$4="X",VLOOKUP(CN$10,'VK-Võrgud'!$C:$X,2+$F91,0)))/1000</f>
        <v>2.8980000000000001</v>
      </c>
      <c r="CO91" s="209">
        <f>(IF(CO$7="X",VLOOKUP(CO$10,'VK-Hooned-Soojus'!$C:$X,2+$C91,FALSE),0)+IF(CO$6="X",VLOOKUP(CO$10,'VK-Transport'!$C:$X,2+$B91,0))+IF(CO$8="X",VLOOKUP(CO$10,'VK-Elekter'!$C:$X,2+$D91,0))+IF(CO$9="X",VLOOKUP(CO$10,'VK-Biokütused'!$C:$U,2+$E91,0))+IF(CO$5="X",VLOOKUP(CO$10,'VK-Põlevkivi'!$C:$X,2+$G91,0))+IF(CO$4="X",VLOOKUP(CO$10,'VK-Võrgud'!$C:$X,2+$F91,0)))/1000</f>
        <v>23.833575210797282</v>
      </c>
      <c r="CP91" s="209">
        <f>(IF(CP$7="X",VLOOKUP(CP$10,'VK-Hooned-Soojus'!$C:$X,2+$C91,FALSE),0)+IF(CP$6="X",VLOOKUP(CP$10,'VK-Transport'!$C:$X,2+$B91,0))+IF(CP$8="X",VLOOKUP(CP$10,'VK-Elekter'!$C:$X,2+$D91,0))+IF(CP$9="X",VLOOKUP(CP$10,'VK-Biokütused'!$C:$U,2+$E91,0))+IF(CP$5="X",VLOOKUP(CP$10,'VK-Põlevkivi'!$C:$X,2+$G91,0))+IF(CP$4="X",VLOOKUP(CP$10,'VK-Võrgud'!$C:$X,2+$F91,0)))/1000</f>
        <v>13.405994830349824</v>
      </c>
      <c r="CQ91" s="235">
        <f>(IF(CQ$7="X",VLOOKUP(CQ$10,'VK-Hooned-Soojus'!$C:$X,2+$C91,FALSE),0)+IF(CQ$6="X",VLOOKUP(CQ$10,'VK-Transport'!$C:$X,2+$B91,0))+IF(CQ$8="X",VLOOKUP(CQ$10,'VK-Elekter'!$C:$X,2+$D91,0))+IF(CQ$9="X",VLOOKUP(CQ$10,'VK-Biokütused'!$C:$U,2+$E91,0)))/1000</f>
        <v>10.557345999999999</v>
      </c>
      <c r="CR91" s="209">
        <f>(IF(CR$7="X",VLOOKUP(CR$10,'VK-Hooned-Soojus'!$C:$X,2+$C91,FALSE),0)+IF(CR$6="X",VLOOKUP(CR$10,'VK-Transport'!$C:$X,2+$B91,0))+IF(CR$8="X",VLOOKUP(CR$10,'VK-Elekter'!$C:$X,2+$D91,0))+IF(CR$9="X",VLOOKUP(CR$10,'VK-Biokütused'!$C:$U,2+$E91,0))+IF(CR$5="X",VLOOKUP(CR$10,'VK-Põlevkivi'!$C:$X,2+$G91,0))+IF(CR$4="X",VLOOKUP(CR$10,'VK-Võrgud'!$C:$X,2+$F91,0)))/1000</f>
        <v>7.7020872784575749</v>
      </c>
      <c r="CS91" s="209">
        <f>(IF(CS$7="X",VLOOKUP(CS$10,'VK-Hooned-Soojus'!$C:$X,2+$C91,FALSE),0)+IF(CS$6="X",VLOOKUP(CS$10,'VK-Transport'!$C:$X,2+$B91,0))+IF(CS$8="X",VLOOKUP(CS$10,'VK-Elekter'!$C:$X,2+$D91,0))+IF(CS$9="X",VLOOKUP(CS$10,'VK-Biokütused'!$C:$U,2+$E91,0))+IF(CS$5="X",VLOOKUP(CS$10,'VK-Põlevkivi'!$C:$X,2+$G91,0))+IF(CS$4="X",VLOOKUP(CS$10,'VK-Võrgud'!$C:$X,2+$F91,0)))/1000</f>
        <v>3.7943344900598324</v>
      </c>
      <c r="CT91" s="209">
        <f>IF(CT$7="X",VLOOKUP(CT$10,'VK-Hooned-Soojus'!$C:$X,2+$C91,FALSE),0)+IF(CT$6="X",VLOOKUP(CT$10,'VK-Transport'!$C:$X,2+$B91,0))+IF(CT$8="X",VLOOKUP(CT$10,'VK-Elekter'!$C:$X,2+$D91,0))+IF(CT$9="X",VLOOKUP(CT$10,'VK-Biokütused'!$C:$U,2+$E91,0))+IF(CT$5="X",VLOOKUP(CT$10,'VK-Põlevkivi'!$C:$X,2+$G91,0))+IF(CT$4="X",VLOOKUP(CT$10,'VK-Võrgud'!$C:$X,2+$F91,0))</f>
        <v>90</v>
      </c>
      <c r="CU91" s="209">
        <f>IF(CU$7="X",VLOOKUP(CU$10,'VK-Hooned-Soojus'!$C:$X,2+$C91,FALSE),0)+IF(CU$6="X",VLOOKUP(CU$10,'VK-Transport'!$C:$X,2+$B91,0))+IF(CU$8="X",VLOOKUP(CU$10,'VK-Elekter'!$C:$X,2+$D91,0))+IF(CU$9="X",VLOOKUP(CU$10,'VK-Biokütused'!$C:$U,2+$E91,0))+IF(CU$5="X",VLOOKUP(CU$10,'VK-Põlevkivi'!$C:$X,2+$G91,0))+IF(CU$4="X",VLOOKUP(CU$10,'VK-Võrgud'!$C:$X,2+$F91,0))</f>
        <v>0.72088353413654627</v>
      </c>
      <c r="CV91" s="209">
        <f t="shared" si="49"/>
        <v>0.84317482403548605</v>
      </c>
      <c r="CW91" s="209">
        <f>(IF(CW$7="X",VLOOKUP(CW$10,'VK-Hooned-Soojus'!$C:$X,2+$C91,FALSE),0)+IF(CW$6="X",VLOOKUP(CW$10,'VK-Transport'!$C:$X,2+$B91,0))+IF(CW$8="X",VLOOKUP(CW$10,'VK-Elekter'!$C:$X,2+$D91,0))+IF(CW$9="X",VLOOKUP(CW$10,'VK-Biokütused'!$C:$U,2+$E91,0))+IF(CW$5="X",VLOOKUP(CW$10,'VK-Põlevkivi'!$C:$X,2+$G91,0))+IF(CW$4="X",VLOOKUP(CW$10,'VK-Võrgud'!$C:$X,2+$F91,0)))/16</f>
        <v>126.01875</v>
      </c>
      <c r="CY91" s="209">
        <f>(IF(CY$7="X",VLOOKUP(CY$10,'VK-Hooned-Soojus'!$C:$X,2+$C91,FALSE),0)+IF(CY$6="X",VLOOKUP(CY$10,'VK-Transport'!$C:$X,2+$B91,0))+IF(CY$8="X",VLOOKUP(CY$10,'VK-Elekter'!$C:$X,2+$D91,0))+IF(CY$9="X",VLOOKUP(CY$10,'VK-Biokütused'!$C:$U,2+$E91,0))+IF(CY$5="X",VLOOKUP(CY$10,'VK-Põlevkivi'!$C:$X,2+$G91,0))+IF(CY$4="X",VLOOKUP(CY$10,'VK-Võrgud'!$C:$X,2+$F91,0)))/1000</f>
        <v>10.528</v>
      </c>
      <c r="CZ91" s="209">
        <f>(IF(CZ$7="X",VLOOKUP(CZ$10,'VK-Hooned-Soojus'!$C:$X,2+$C91,FALSE),0)+IF(CZ$6="X",VLOOKUP(CZ$10,'VK-Transport'!$C:$X,2+$B91,0))+IF(CZ$8="X",VLOOKUP(CZ$10,'VK-Elekter'!$C:$X,2+$D91,0))+IF(CZ$9="X",VLOOKUP(CZ$10,'VK-Biokütused'!$C:$U,2+$E91,0))+IF(CZ$5="X",VLOOKUP(CZ$10,'VK-Põlevkivi'!$C:$X,2+$G91,0))+IF(CZ$4="X",VLOOKUP(CZ$10,'VK-Võrgud'!$C:$X,2+$F91,0)))</f>
        <v>71</v>
      </c>
      <c r="DA91" s="209">
        <f>(IF(DA$7="X",VLOOKUP(DA$10,'VK-Hooned-Soojus'!$C:$X,2+$C91,FALSE),0)+IF(DA$6="X",VLOOKUP(DA$10,'VK-Transport'!$C:$X,2+$B91,0))+IF(DA$8="X",VLOOKUP(DA$10,'VK-Elekter'!$C:$X,2+$D91,0))+IF(DA$9="X",VLOOKUP(DA$10,'VK-Biokütused'!$C:$U,2+$E91,0))+IF(DA$5="X",VLOOKUP(DA$10,'VK-Põlevkivi'!$C:$X,2+$G91,0))+IF(DA$4="X",VLOOKUP(DA$10,'VK-Võrgud'!$C:$X,2+$F91,0)))/1000</f>
        <v>14.122999999999999</v>
      </c>
      <c r="DB91" s="209">
        <f>(IF(DB$7="X",VLOOKUP(DB$10,'VK-Hooned-Soojus'!$C:$X,2+$C91,FALSE),0)+IF(DB$6="X",VLOOKUP(DB$10,'VK-Transport'!$C:$X,2+$B91,0))+IF(DB$8="X",VLOOKUP(DB$10,'VK-Elekter'!$C:$X,2+$D91,0))+IF(DB$9="X",VLOOKUP(DB$10,'VK-Biokütused'!$C:$U,2+$E91,0))+IF(DB$5="X",VLOOKUP(DB$10,'VK-Põlevkivi'!$C:$X,2+$G91,0))+IF(DB$4="X",VLOOKUP(DB$10,'VK-Võrgud'!$C:$X,2+$F91,0)))/1000/3.6</f>
        <v>62.50472222222222</v>
      </c>
      <c r="DC91" s="209">
        <f>(IF(DC$7="X",VLOOKUP(DC$10,'VK-Hooned-Soojus'!$C:$X,2+$C91,FALSE),0)+IF(DC$6="X",VLOOKUP(DC$10,'VK-Transport'!$C:$X,2+$B91,0))+IF(DC$8="X",VLOOKUP(DC$10,'VK-Elekter'!$C:$X,2+$D91,0))+IF(DC$9="X",VLOOKUP(DC$10,'VK-Biokütused'!$C:$U,2+$E91,0))+IF(DC$5="X",VLOOKUP(DC$10,'VK-Põlevkivi'!$C:$X,2+$G91,0))+IF(DC$4="X",VLOOKUP(DC$10,'VK-Võrgud'!$C:$X,2+$F91,0)))/1000000</f>
        <v>5.0334680000000001</v>
      </c>
      <c r="DD91" s="209"/>
      <c r="DE91" s="88">
        <f>VLOOKUP(Tulemused!$BN$12,data!M$7:N$12,2,FALSE)-SUM(L91,M91)</f>
        <v>-0.77386666666667736</v>
      </c>
      <c r="DF91" s="209" t="str">
        <f>IF(AZ91&lt;=VLOOKUP(Tulemused!$BN$15,data!$E$36:$F$39,2,FALSE),"JAH","EI")</f>
        <v>JAH</v>
      </c>
      <c r="DG91" s="209"/>
      <c r="DH91" s="209">
        <f t="shared" si="50"/>
        <v>6.08</v>
      </c>
      <c r="DI91" s="231" t="str">
        <f t="shared" si="65"/>
        <v>EI</v>
      </c>
      <c r="DK91" s="232">
        <f t="shared" si="51"/>
        <v>-994.83533294439235</v>
      </c>
      <c r="DM91" s="233">
        <f t="shared" si="52"/>
        <v>-995.5570343343378</v>
      </c>
      <c r="DN91" s="87">
        <f t="array" ref="DN91">INDEX($A$11:$A$145, SMALL(IF(DM91=$DK$11:$DK$145, MATCH(ROW($DK$11:$DK$145), ROW($DK$11:$DK$145))), SUM(--(DM91=$DM$11:DM91))))</f>
        <v>91</v>
      </c>
      <c r="DP91" s="87" t="e">
        <f t="shared" ca="1" si="66"/>
        <v>#N/A</v>
      </c>
      <c r="DQ91" s="87" t="e">
        <f t="shared" ca="1" si="67"/>
        <v>#N/A</v>
      </c>
      <c r="DR91" s="87">
        <f t="shared" ca="1" si="68"/>
        <v>0</v>
      </c>
      <c r="DS91" s="87" t="e">
        <f t="shared" ca="1" si="69"/>
        <v>#N/A</v>
      </c>
      <c r="DT91" s="87">
        <f t="shared" ca="1" si="70"/>
        <v>0</v>
      </c>
      <c r="DU91" s="87" t="e">
        <f t="shared" ca="1" si="71"/>
        <v>#N/A</v>
      </c>
      <c r="DV91" s="87" t="e">
        <f t="shared" ca="1" si="72"/>
        <v>#N/A</v>
      </c>
      <c r="DW91" s="87">
        <f t="shared" ca="1" si="73"/>
        <v>0</v>
      </c>
      <c r="DX91" s="87">
        <f t="shared" ca="1" si="74"/>
        <v>0</v>
      </c>
      <c r="DZ91" s="87">
        <f t="shared" ref="DZ91:DZ145" ca="1" si="82">IF(INDIRECT("Tulemused!"&amp;DZ$8)="Jah",BX91,0)</f>
        <v>0</v>
      </c>
      <c r="EB91" s="87">
        <f t="shared" ca="1" si="75"/>
        <v>0</v>
      </c>
      <c r="EC91" s="87" t="e">
        <f t="shared" ca="1" si="76"/>
        <v>#N/A</v>
      </c>
      <c r="EE91" s="228">
        <f>(IF(EE$7="X",VLOOKUP(EE$10,'VK-Hooned-Soojus'!$C:$X,2+$C91,FALSE),0)+IF(EE$6="X",VLOOKUP(EE$10,'VK-Transport'!$C:$X,2+$B91,0))+IF(EE$8="X",VLOOKUP(EE$10,'VK-Elekter'!$C:$X,2+$D91,0))+IF(EE$9="X",VLOOKUP(EE$10,'VK-Biokütused'!$C:$U,2+$E91,0))+IF(EE$5="X",VLOOKUP(EE$10,'VK-Põlevkivi'!$C:$X,2+$G91,0))+IF(EE$4="X",VLOOKUP(EE$10,'VK-Võrgud'!$C:$X,2+$F91,0)))</f>
        <v>10172.659097692796</v>
      </c>
      <c r="EF91" s="235">
        <f>(IF(EF$7="X",VLOOKUP(EF$10,'VK-Hooned-Soojus'!$C:$X,2+$C91,FALSE),0)+IF(EF$6="X",VLOOKUP(EF$10,'VK-Transport'!$C:$X,2+$B91,0))+IF(EF$8="X",VLOOKUP(EF$10,'VK-Elekter'!$C:$X,2+$D91,0))+IF(EF$9="X",VLOOKUP(EF$10,'VK-Biokütused'!$C:$U,2+$E91,0)))/1000</f>
        <v>4.8013823271229708</v>
      </c>
      <c r="EG91" s="209">
        <f>(IF(EG$7="X",VLOOKUP(EG$10,'VK-Hooned-Soojus'!$C:$X,2+$C91,FALSE),0)+IF(EG$6="X",VLOOKUP(EG$10,'VK-Transport'!$C:$X,2+$B91,0))+IF(EG$8="X",VLOOKUP(EG$10,'VK-Elekter'!$C:$X,2+$D91,0))+IF(EG$9="X",VLOOKUP(EG$10,'VK-Biokütused'!$C:$U,2+$E91,0))+IF(EG$5="X",VLOOKUP(EG$10,'VK-Põlevkivi'!$C:$X,2+$G91,0))+IF(EG$4="X",VLOOKUP(EG$10,'VK-Võrgud'!$C:$X,2+$F91,0)))</f>
        <v>0.81</v>
      </c>
      <c r="EH91" s="209">
        <f>(IF(EH$7="X",VLOOKUP(EH$10,'VK-Hooned-Soojus'!$C:$X,2+$C91,FALSE),0)+IF(EH$6="X",VLOOKUP(EH$10,'VK-Transport'!$C:$X,2+$B91,0))+IF(EH$8="X",VLOOKUP(EH$10,'VK-Elekter'!$C:$X,2+$D91,0))+IF(EH$9="X",VLOOKUP(EH$10,'VK-Biokütused'!$C:$U,2+$E91,0)))+AR91+AS91+AU91+AX91</f>
        <v>54.728667065771866</v>
      </c>
      <c r="EI91" s="320">
        <f t="shared" si="53"/>
        <v>46.490678294573641</v>
      </c>
      <c r="EJ91" s="322">
        <f t="shared" si="54"/>
        <v>2.3391437578713474E-2</v>
      </c>
      <c r="EK91" s="323">
        <f t="shared" si="77"/>
        <v>0.39754723427955507</v>
      </c>
      <c r="EM91" s="209"/>
      <c r="EN91" s="209">
        <f t="shared" ca="1" si="55"/>
        <v>0</v>
      </c>
      <c r="EO91" s="209"/>
      <c r="EP91" s="234"/>
      <c r="EQ91" s="209">
        <f>(IF(EQ$7="X",VLOOKUP(EQ$10,'VK-Hooned-Soojus'!$C:$X,2+$C91,FALSE),0)+IF(EQ$6="X",VLOOKUP(EQ$10,'VK-Transport'!$C:$X,2+$B91,0))+IF(EQ$8="X",VLOOKUP(EQ$10,'VK-Elekter'!$C:$X,2+$D91,0))+IF(EQ$9="X",VLOOKUP(EQ$10,'VK-Biokütused'!$C:$U,2+$E91,0))+IF(EQ$5="X",VLOOKUP(EQ$10,'VK-Põlevkivi'!$C:$X,2+$G91,0))+IF(EQ$4="X",VLOOKUP(EQ$10,'VK-Võrgud'!$C:$X,2+$F91,0)))/1000</f>
        <v>0.19900000000000001</v>
      </c>
      <c r="ER91" s="209">
        <f>(IF(ER$7="X",VLOOKUP(ER$10,'VK-Hooned-Soojus'!$C:$X,2+$C91,FALSE),0)+IF(ER$6="X",VLOOKUP(ER$10,'VK-Transport'!$C:$X,2+$B91,0))+IF(ER$8="X",VLOOKUP(ER$10,'VK-Elekter'!$C:$X,2+$D91,0))+IF(ER$9="X",VLOOKUP(ER$10,'VK-Biokütused'!$C:$U,2+$E91,0))+IF(ER$5="X",VLOOKUP(ER$10,'VK-Põlevkivi'!$C:$X,2+$G91,0))+IF(ER$4="X",VLOOKUP(ER$10,'VK-Võrgud'!$C:$X,2+$F91,0)))</f>
        <v>0.72299999999999998</v>
      </c>
      <c r="ES91" s="209">
        <f>(IF(ES$7="X",VLOOKUP(ES$10,'VK-Hooned-Soojus'!$C:$X,2+$C91,FALSE),0)+IF(ES$6="X",VLOOKUP(ES$10,'VK-Transport'!$C:$X,2+$B91,0))+IF(ES$8="X",VLOOKUP(ES$10,'VK-Elekter'!$C:$X,2+$D91,0))+IF(ES$9="X",VLOOKUP(ES$10,'VK-Biokütused'!$C:$U,2+$E91,0))+IF(ES$5="X",VLOOKUP(ES$10,'VK-Põlevkivi'!$C:$X,2+$G91,0))+IF(ES$4="X",VLOOKUP(ES$10,'VK-Võrgud'!$C:$X,2+$F91,0)))</f>
        <v>6.08</v>
      </c>
      <c r="ET91" s="209"/>
      <c r="EU91" s="209"/>
      <c r="EV91" s="87">
        <f>'KSH järjestus'!AS84</f>
        <v>1145</v>
      </c>
      <c r="EX91" s="236"/>
      <c r="EY91" s="236"/>
      <c r="EZ91" s="237">
        <f t="shared" si="56"/>
        <v>0.27911646586345373</v>
      </c>
      <c r="FA91" s="209">
        <f>IF(FA$7="X",VLOOKUP(FA$10,'VK-Hooned-Soojus'!$C:$X,2+$C91,FALSE),0)+IF(FA$6="X",VLOOKUP(FA$10,'VK-Transport'!$C:$X,2+$B91,0))+IF(FA$8="X",VLOOKUP(FA$10,'VK-Elekter'!$C:$X,2+$D91,0))+IF(FA$9="X",VLOOKUP(FA$10,'VK-Biokütused'!$C:$U,2+$E91,0))+IF(FA$5="X",VLOOKUP(FA$10,'VK-Põlevkivi'!$C:$X,2+$G91,0))+IF(FA$4="X",VLOOKUP(FA$10,'VK-Võrgud'!$C:$X,2+$F91,0))</f>
        <v>3298.346</v>
      </c>
      <c r="FB91" s="279">
        <f>(IF(FB$7="X",VLOOKUP(FB$10,'VK-Hooned-Soojus'!$C:$X,2+$C91,FALSE),0)+IF(FB$6="X",VLOOKUP(FB$10,'VK-Transport'!$C:$X,2+$B91,0))+IF(FB$8="X",VLOOKUP(FB$10,'VK-Elekter'!$C:$X,2+$D91,0))+IF(FB$9="X",VLOOKUP(FB$10,'VK-Biokütused'!$C:$U,2+$E91,0))+IF(FB$5="X",VLOOKUP(FB$10,'VK-Põlevkivi'!$C:$X,2+$G91,0))+IF(FB$4="X",VLOOKUP(FB$10,'VK-Võrgud'!$C:$X,2+$F91,0)))/16</f>
        <v>479.12363881537107</v>
      </c>
      <c r="FC91" s="209">
        <f>IF(FC$7="X",VLOOKUP(FC$10,'VK-Hooned-Soojus'!$C:$X,2+$C91,FALSE),0)+IF(FC$6="X",VLOOKUP(FC$10,'VK-Transport'!$C:$X,2+$B91,0))+IF(FC$8="X",VLOOKUP(FC$10,'VK-Elekter'!$C:$X,2+$D91,0))+IF(FC$9="X",VLOOKUP(FC$10,'VK-Biokütused'!$C:$U,2+$E91,0))+IF(FC$5="X",VLOOKUP(FC$10,'VK-Põlevkivi'!$C:$X,2+$G91,0))+IF(FC$4="X",VLOOKUP(FC$10,'VK-Võrgud'!$C:$X,2+$F91,0))</f>
        <v>297.04999999999995</v>
      </c>
      <c r="FD91" s="209">
        <f>(IF(FD$7="X",VLOOKUP(FD$10,'VK-Hooned-Soojus'!$C:$X,2+$C91,FALSE),0)+IF(FD$6="X",VLOOKUP(FD$10,'VK-Transport'!$C:$X,2+$B91,0))+IF(FD$8="X",VLOOKUP(FD$10,'VK-Elekter'!$C:$X,2+$D91,0))+IF(FD$9="X",VLOOKUP(FD$10,'VK-Biokütused'!$C:$U,2+$E91,0))+IF(FD$5="X",VLOOKUP(FD$10,'VK-Põlevkivi'!$C:$X,2+$G91,0))+IF(FD$4="X",VLOOKUP(FD$10,'VK-Võrgud'!$C:$X,2+$F91,0)))/16</f>
        <v>479.12363881537107</v>
      </c>
      <c r="FE91" s="209">
        <f>(IF(FE$7="X",VLOOKUP(FE$10,'VK-Hooned-Soojus'!$C:$X,2+$C91,FALSE),0)+IF(FE$6="X",VLOOKUP(FE$10,'VK-Transport'!$C:$X,2+$B91,0))+IF(FE$8="X",VLOOKUP(FE$10,'VK-Elekter'!$C:$X,2+$D91,0))+IF(FE$9="X",VLOOKUP(FE$10,'VK-Biokütused'!$C:$U,2+$E91,0))+IF(FE$5="X",VLOOKUP(FE$10,'VK-Põlevkivi'!$C:$X,2+$G91,0))+IF(FE$4="X",VLOOKUP(FE$10,'VK-Võrgud'!$C:$X,2+$F91,0)))/16</f>
        <v>-181.84206369909103</v>
      </c>
      <c r="FF91" s="209">
        <f>(IF(FF$7="X",VLOOKUP(FF$10,'VK-Hooned-Soojus'!$C:$X,2+$C91,FALSE),0)+IF(FF$6="X",VLOOKUP(FF$10,'VK-Transport'!$C:$X,2+$B91,0))+IF(FF$8="X",VLOOKUP(FF$10,'VK-Elekter'!$C:$X,2+$D91,0))+IF(FF$9="X",VLOOKUP(FF$10,'VK-Biokütused'!$C:$U,2+$E91,0))+IF(FF$5="X",VLOOKUP(FF$10,'VK-Põlevkivi'!$C:$X,2+$G91,0))+IF(FF$4="X",VLOOKUP(FF$10,'VK-Võrgud'!$C:$X,2+$F91,0)))/16</f>
        <v>194.16883072638467</v>
      </c>
      <c r="FG91" s="88">
        <f t="shared" ca="1" si="78"/>
        <v>12.326767027293641</v>
      </c>
      <c r="FH91" s="88"/>
      <c r="FI91" s="88"/>
      <c r="FJ91" s="88">
        <f>VLOOKUP(Tulemused!$BN$12,data!M$7:N$12,2,FALSE)-SUM(L91,M91)</f>
        <v>-0.77386666666667736</v>
      </c>
      <c r="FK91" s="209" t="str">
        <f>IF(AZ91&lt;=VLOOKUP(Tulemused!$BN$15,data!$E$36:$F$39,2,FALSE),"JAH","EI")</f>
        <v>JAH</v>
      </c>
      <c r="FL91" s="235">
        <f ca="1">IF(ISNA(MATCH($A91,INDIRECT(VLOOKUP(Tulemused!$BF$11,data!$J$57:$M$71,4,FALSE)))),0,MATCH($A91,INDIRECT(VLOOKUP(Tulemused!$BF$11,data!$J$57:$M$71,4,FALSE))))</f>
        <v>0</v>
      </c>
      <c r="FM91" s="235" t="str">
        <f t="shared" ca="1" si="57"/>
        <v>JAH</v>
      </c>
      <c r="FN91" s="209">
        <f>VLOOKUP(Tulemused!$BN$13,data!$C$132:$D$137,2,FALSE)-KOMBI!R91</f>
        <v>3.2603876728770307</v>
      </c>
      <c r="FO91" s="209"/>
      <c r="FP91" s="209">
        <f>VLOOKUP(Tulemused!$BN$17,NO_x,2,FALSE)-CJ91</f>
        <v>11.958421988425464</v>
      </c>
      <c r="FQ91" s="209">
        <f>VLOOKUP(Tulemused!$BN$18,SO_2,2,FALSE)-CK91</f>
        <v>40.661675362099992</v>
      </c>
      <c r="FR91" s="209">
        <f>VLOOKUP(Tulemused!$BN$19,LOU,2,FALSE)-CN91</f>
        <v>34.182000000000002</v>
      </c>
      <c r="FS91" s="209">
        <f>VLOOKUP(Tulemused!$BN$20,PM_2.5,2,FALSE)-CM91</f>
        <v>9.3172394222510917</v>
      </c>
      <c r="FT91" s="209">
        <f>VLOOKUP(Tulemused!$BN$13,data!$C$132:$D$137,2,FALSE)-FA91/1000</f>
        <v>2.9476240000000007</v>
      </c>
      <c r="FU91" s="209">
        <f>VLOOKUP(Tulemused!$BN$17,NO_x,2,FALSE)-CO91</f>
        <v>5.6044247892027172</v>
      </c>
      <c r="FV91" s="209">
        <f>VLOOKUP(Tulemused!$BN$18,SO_2,2,FALSE)-CP91</f>
        <v>38.478005169650174</v>
      </c>
      <c r="FW91" s="209">
        <f>VLOOKUP(Tulemused!$BN$19,LOU,2,FALSE)-CS91</f>
        <v>33.285665509940173</v>
      </c>
      <c r="FX91" s="209">
        <f>VLOOKUP(Tulemused!$BN$20,PM_2.5,2,FALSE)-CR91</f>
        <v>9.2129127215424234</v>
      </c>
      <c r="FY91" s="209">
        <f>VLOOKUP(Tulemused!$BN$14,KHG_2050,2,FALSE)-EF91</f>
        <v>95.198617672877035</v>
      </c>
      <c r="FZ91" s="231" t="str">
        <f t="shared" ca="1" si="79"/>
        <v>EI</v>
      </c>
      <c r="GA91" s="209"/>
      <c r="GB91" s="209"/>
      <c r="GC91" s="209"/>
      <c r="GD91" s="231"/>
      <c r="GE91" s="87">
        <f t="shared" si="58"/>
        <v>1145</v>
      </c>
      <c r="GF91" s="232" t="str">
        <f t="shared" ca="1" si="80"/>
        <v/>
      </c>
      <c r="GH91" s="238" t="e">
        <f t="shared" ca="1" si="59"/>
        <v>#NUM!</v>
      </c>
      <c r="GI91" s="87" t="e">
        <f t="array" aca="1" ref="GI91" ca="1">INDEX($A$11:$A$145, SMALL(IF(GH91=$GF$11:$GF$145, MATCH(ROW($GF$11:$GF$145), ROW($GF$11:$GF$145))), SUM(--(GH91=$GH$11:GH91))))</f>
        <v>#NUM!</v>
      </c>
      <c r="GM91" s="209">
        <f>IF(GM$7="X",VLOOKUP(GM$10,'VK-Hooned-Soojus'!$C:$X,2+$C91,FALSE),0)+IF(GM$6="X",VLOOKUP(GM$10,'VK-Transport'!$C:$X,2+$B91,0))+IF(GM$8="X",VLOOKUP(GM$10,'VK-Elekter'!$C:$X,2+$D91,0))+IF(GM$9="X",VLOOKUP(GM$10,'VK-Biokütused'!$C:$U,2+$E91,0))+IF(GM$5="X",VLOOKUP(GM$10,'VK-Põlevkivi'!$C:$X,2+$G91,0))+IF(GM$4="X",VLOOKUP(GM$10,'VK-Võrgud'!$C:$X,2+$F91,0))</f>
        <v>6.0128279910272253</v>
      </c>
      <c r="GN91" s="209">
        <f>IF(GN$7="X",VLOOKUP(GN$10,'VK-Hooned-Soojus'!$C:$X,2+$C91,FALSE),0)+IF(GN$6="X",VLOOKUP(GN$10,'VK-Transport'!$C:$X,2+$B91,0))+IF(GN$8="X",VLOOKUP(GN$10,'VK-Elekter'!$C:$X,2+$D91,0))+IF(GN$9="X",VLOOKUP(GN$10,'VK-Biokütused'!$C:$U,2+$E91,0))+IF(GN$5="X",VLOOKUP(GN$10,'VK-Põlevkivi'!$C:$X,2+$G91,0))+IF(GN$4="X",VLOOKUP(GN$10,'VK-Võrgud'!$C:$X,2+$F91,0))</f>
        <v>3.4467619395011728</v>
      </c>
      <c r="GO91" s="209">
        <f>IF(GO$7="X",VLOOKUP(GO$10,'VK-Hooned-Soojus'!$C:$X,2+$C91,FALSE),0)+IF(GO$6="X",VLOOKUP(GO$10,'VK-Transport'!$C:$X,2+$B91,0))+IF(GO$8="X",VLOOKUP(GO$10,'VK-Elekter'!$C:$X,2+$D91,0))+IF(GO$9="X",VLOOKUP(GO$10,'VK-Biokütused'!$C:$U,2+$E91,0))+IF(GO$5="X",VLOOKUP(GO$10,'VK-Põlevkivi'!$C:$X,2+$G91,0))+IF(GO$4="X",VLOOKUP(GO$10,'VK-Võrgud'!$C:$X,2+$F91,0))</f>
        <v>7.5763700102722566</v>
      </c>
      <c r="GP91" s="209">
        <f>IF(GP$7="X",VLOOKUP(GP$10,'VK-Hooned-Soojus'!$C:$X,2+$C91,FALSE),0)+IF(GP$6="X",VLOOKUP(GP$10,'VK-Transport'!$C:$X,2+$B91,0))+IF(GP$8="X",VLOOKUP(GP$10,'VK-Elekter'!$C:$X,2+$D91,0))+IF(GP$9="X",VLOOKUP(GP$10,'VK-Biokütused'!$C:$U,2+$E91,0))+IF(GP$5="X",VLOOKUP(GP$10,'VK-Põlevkivi'!$C:$X,2+$G91,0))+IF(GP$4="X",VLOOKUP(GP$10,'VK-Võrgud'!$C:$X,2+$F91,0))</f>
        <v>8.9326558040707589</v>
      </c>
      <c r="GQ91" s="88">
        <f>IF(GQ$7="X",VLOOKUP(GQ$10,'VK-Hooned-Soojus'!$C:$X,2+$C91,FALSE),0)+IF(GQ$6="X",VLOOKUP(GQ$10,'VK-Transport'!$C:$X,2+$B91,0))+IF(GQ$8="X",VLOOKUP(GQ$10,'VK-Elekter'!$C:$X,2+$D91,0))+IF(GQ$9="X",VLOOKUP(GQ$10,'VK-Biokütused'!$C:$U,2+$E91,0))+IF(GQ$5="X",VLOOKUP(GQ$10,'VK-Põlevkivi'!$C:$X,2+$G91,0))+IF(GQ$4="X",VLOOKUP(GQ$10,'VK-Võrgud'!$C:$X,2+$F91,0))</f>
        <v>0.90618397335647782</v>
      </c>
      <c r="GR91" s="186">
        <f t="shared" si="81"/>
        <v>0.39532637523095843</v>
      </c>
    </row>
    <row r="92" spans="1:200" x14ac:dyDescent="0.2">
      <c r="A92" s="184">
        <v>82</v>
      </c>
      <c r="B92" s="87">
        <v>2</v>
      </c>
      <c r="C92" s="87">
        <v>3</v>
      </c>
      <c r="D92" s="87">
        <v>3</v>
      </c>
      <c r="E92" s="87">
        <v>1</v>
      </c>
      <c r="F92" s="87">
        <f>VLOOKUP(Tulemused!$BF$7,data!$J$6:$K$8,2,FALSE)</f>
        <v>2</v>
      </c>
      <c r="G92" s="87">
        <f>VLOOKUP(data!$H$2,data!$J$12:$K$14,2,FALSE)</f>
        <v>2</v>
      </c>
      <c r="I92" s="209">
        <f>IF(I$7="X",VLOOKUP(I$10,'VK-Hooned-Soojus'!$C:$X,2+$C92,FALSE),0)+IF(I$6="X",VLOOKUP(I$10,'VK-Transport'!$C:$X,2+$B92,0))+IF(I$8="X",VLOOKUP(I$10,'VK-Elekter'!$C:$X,2+$D92,0))+IF(I$9="X",VLOOKUP(I$10,'VK-Biokütused'!$C:$U,2+$E92,0))+IF(I$5="X",VLOOKUP(I$10,'VK-Põlevkivi'!$C:$X,2+$G92,0))+IF(I$4="X",VLOOKUP(I$10,'VK-Võrgud'!$C:$X,2+$F92,0))</f>
        <v>23.490000000000002</v>
      </c>
      <c r="J92" s="209">
        <f>IF(J$7="X",VLOOKUP(J$10,'VK-Hooned-Soojus'!$C:$X,2+$C92,FALSE),0)+IF(J$6="X",VLOOKUP(J$10,'VK-Transport'!$C:$X,2+$B92,0))+IF(J$8="X",VLOOKUP(J$10,'VK-Elekter'!$C:$X,2+$D92,0))+IF(J$9="X",VLOOKUP(J$10,'VK-Biokütused'!$C:$U,2+$E92,0))+IF(J$5="X",VLOOKUP(J$10,'VK-Põlevkivi'!$C:$X,2+$G92,0))+IF(J$4="X",VLOOKUP(J$10,'VK-Võrgud'!$C:$X,2+$F92,0))</f>
        <v>11.138055555555555</v>
      </c>
      <c r="K92" s="209">
        <f>IF(K$7="X",VLOOKUP(K$10,'VK-Hooned-Soojus'!$C:$X,2+$C92,FALSE),0)+IF(K$6="X",VLOOKUP(K$10,'VK-Transport'!$C:$X,2+$B92,0))+IF(K$8="X",VLOOKUP(K$10,'VK-Elekter'!$C:$X,2+$D92,0))+IF(K$9="X",VLOOKUP(K$10,'VK-Biokütused'!$C:$U,2+$E92,0))+IF(K$5="X",VLOOKUP(K$10,'VK-Põlevkivi'!$C:$X,2+$G92,0))+IF(K$4="X",VLOOKUP(K$10,'VK-Võrgud'!$C:$X,2+$F92,0))</f>
        <v>13.780000000000001</v>
      </c>
      <c r="L92" s="209">
        <f>IF(L$7="X",VLOOKUP(L$10,'VK-Hooned-Soojus'!$C:$X,2+$C92,FALSE),0)+IF(L$6="X",VLOOKUP(L$10,'VK-Transport'!$C:$X,2+$B92,0))+IF(L$8="X",VLOOKUP(L$10,'VK-Elekter'!$C:$X,2+$D92,0))+IF(L$9="X",VLOOKUP(L$10,'VK-Biokütused'!$C:$U,2+$E92,0))+IF(L$5="X",VLOOKUP(L$10,'VK-Põlevkivi'!$C:$X,2+$G92,0))+IF(L$4="X",VLOOKUP(L$10,'VK-Võrgud'!$C:$X,2+$F92,0))</f>
        <v>23.75</v>
      </c>
      <c r="M92" s="209">
        <f>IF(M$7="X",VLOOKUP(M$10,'VK-Hooned-Soojus'!$C:$X,2+$C92,FALSE),0)+IF(M$6="X",VLOOKUP(M$10,'VK-Transport'!$C:$X,2+$B92,0))+IF(M$8="X",VLOOKUP(M$10,'VK-Elekter'!$C:$X,2+$D92,0))+IF(M$9="X",VLOOKUP(M$10,'VK-Biokütused'!$C:$U,2+$E92,0))+IF(M$5="X",VLOOKUP(M$10,'VK-Põlevkivi'!$C:$X,2+$G92,0))+IF(M$4="X",VLOOKUP(M$10,'VK-Võrgud'!$C:$X,2+$F92,0))</f>
        <v>9.8566666666666674</v>
      </c>
      <c r="N92" s="209">
        <f>IF(N$7="X",VLOOKUP(N$10,'VK-Hooned-Soojus'!$C:$X,2+$C92,FALSE),0)+IF(N$6="X",VLOOKUP(N$10,'VK-Transport'!$C:$X,2+$B92,0))+IF(N$8="X",VLOOKUP(N$10,'VK-Elekter'!$C:$X,2+$D92,0))+IF(N$9="X",VLOOKUP(N$10,'VK-Biokütused'!$C:$U,2+$E92,0))+IF(N$5="X",VLOOKUP(N$10,'VK-Põlevkivi'!$C:$X,2+$G92,0))+IF(N$4="X",VLOOKUP(N$10,'VK-Võrgud'!$C:$X,2+$F92,0))</f>
        <v>15.25</v>
      </c>
      <c r="O92" s="209">
        <f t="shared" si="60"/>
        <v>34.628055555555555</v>
      </c>
      <c r="P92" s="209"/>
      <c r="Q92" s="209">
        <f>(IF(Q$7="X",VLOOKUP(Q$10,'VK-Hooned-Soojus'!$C:$X,2+$C92,FALSE),0)+IF(Q$6="X",VLOOKUP(Q$10,'VK-Transport'!$C:$X,2+$B92,0))+IF(Q$8="X",VLOOKUP(Q$10,'VK-Elekter'!$C:$X,2+$D92,0))+IF(Q$9="X",VLOOKUP(Q$10,'VK-Biokütused'!$C:$U,2+$E92,0))+IF(Q$5="X",VLOOKUP(Q$10,'VK-Põlevkivi'!$C:$X,2+$G92,0))+IF(Q$4="X",VLOOKUP(Q$10,'VK-Võrgud'!$C:$X,2+$F92,0)))/1000</f>
        <v>4.9050000000000002</v>
      </c>
      <c r="R92" s="209">
        <f>(IF(R$7="X",VLOOKUP(R$10,'VK-Hooned-Soojus'!$C:$X,2+$C92,FALSE),0)+IF(R$6="X",VLOOKUP(R$10,'VK-Transport'!$C:$X,2+$B92,0))+IF(R$8="X",VLOOKUP(R$10,'VK-Elekter'!$C:$X,2+$D92,0))+IF(R$9="X",VLOOKUP(R$10,'VK-Biokütused'!$C:$U,2+$E92,0))+IF(R$5="X",VLOOKUP(R$10,'VK-Põlevkivi'!$C:$X,2+$G92,0))+IF(R$4="X",VLOOKUP(R$10,'VK-Võrgud'!$C:$X,2+$F92,0)))/1000</f>
        <v>2.3993823271229702</v>
      </c>
      <c r="S92" s="226">
        <f>VLOOKUP(S$10,'VK-Hooned-Soojus'!$C:$I,2+$C92,FALSE) + VLOOKUP(S$10,'VK-Transport'!$C:$I,2+$B92,FALSE)+ VLOOKUP(S$10,'VK-Biokütused'!$C:$G,2+$E92,FALSE)+ VLOOKUP(S$10,'VK-Elekter'!$C:$I,2+$D92,FALSE)+ VLOOKUP(S$10,'VK-Põlevkivi'!$C:$I,2+$G92,FALSE)+ VLOOKUP(S$10,'VK-Võrgud'!$C:$I,2+$F92,FALSE)</f>
        <v>1.1418554408783865E-2</v>
      </c>
      <c r="T92" s="226">
        <f>VLOOKUP(T$10,'VK-Hooned-Soojus'!$C:$I,2+$C92,FALSE) + VLOOKUP(T$10,'VK-Transport'!$C:$I,2+$B92,FALSE)+ VLOOKUP(T$10,'VK-Biokütused'!$C:$G,2+$E92,FALSE)+ VLOOKUP(T$10,'VK-Elekter'!$C:$I,2+$D92,FALSE)+ VLOOKUP(T$10,'VK-Põlevkivi'!$C:$I,2+$G92,FALSE)+ VLOOKUP(T$10,'VK-Võrgud'!$C:$I,2+$F92,FALSE)</f>
        <v>4.1426186215622616E-4</v>
      </c>
      <c r="U92" s="226">
        <f>VLOOKUP(U$10,'VK-Hooned-Soojus'!$C:$I,2+$C92,FALSE) + VLOOKUP(U$10,'VK-Transport'!$C:$I,2+$B92,FALSE)+ VLOOKUP(U$10,'VK-Biokütused'!$C:$G,2+$E92,FALSE)+ VLOOKUP(U$10,'VK-Elekter'!$C:$I,2+$D92,FALSE)+ VLOOKUP(U$10,'VK-Põlevkivi'!$C:$I,2+$G92,FALSE)+ VLOOKUP(U$10,'VK-Võrgud'!$C:$I,2+$F92,FALSE)</f>
        <v>2.476236269363663E-4</v>
      </c>
      <c r="V92" s="226">
        <f>VLOOKUP(V$10,'VK-Hooned-Soojus'!$C:$I,2+$C92,FALSE) + VLOOKUP(V$10,'VK-Transport'!$C:$I,2+$B92,FALSE)+ VLOOKUP(V$10,'VK-Biokütused'!$C:$G,2+$E92,FALSE)+ VLOOKUP(V$10,'VK-Elekter'!$C:$I,2+$D92,FALSE)+ VLOOKUP(V$10,'VK-Põlevkivi'!$C:$I,2+$G92,FALSE)+ VLOOKUP(V$10,'VK-Võrgud'!$C:$I,2+$F92,FALSE)</f>
        <v>1.124411904537124E-2</v>
      </c>
      <c r="W92" s="226">
        <f>VLOOKUP(W$10,'VK-Hooned-Soojus'!$C:$I,2+$C92,FALSE) + VLOOKUP(W$10,'VK-Transport'!$C:$I,2+$B92,FALSE)+ VLOOKUP(W$10,'VK-Biokütused'!$C:$G,2+$E92,FALSE)+ VLOOKUP(W$10,'VK-Elekter'!$C:$I,2+$D92,FALSE)+ VLOOKUP(W$10,'VK-Põlevkivi'!$C:$I,2+$G92,FALSE)+ VLOOKUP(W$10,'VK-Võrgud'!$C:$I,2+$F92,FALSE)</f>
        <v>-3.7324231592489043E-2</v>
      </c>
      <c r="X92" s="226">
        <f>VLOOKUP(X$10,'VK-Hooned-Soojus'!$C:$I,2+$C92,FALSE) + VLOOKUP(X$10,'VK-Transport'!$C:$I,2+$B92,FALSE)+ VLOOKUP(X$10,'VK-Biokütused'!$C:$G,2+$E92,FALSE)+ VLOOKUP(X$10,'VK-Elekter'!$C:$I,2+$D92,FALSE)+ VLOOKUP(X$10,'VK-Põlevkivi'!$C:$I,2+$G92,FALSE)+ VLOOKUP(X$10,'VK-Võrgud'!$C:$I,2+$F92,FALSE)</f>
        <v>-3.9779787340991003E-2</v>
      </c>
      <c r="Y92" s="226">
        <f>VLOOKUP(Y$10,'VK-Hooned-Soojus'!$C:$I,2+$C92,FALSE) + VLOOKUP(Y$10,'VK-Transport'!$C:$I,2+$B92,FALSE)+ VLOOKUP(Y$10,'VK-Biokütused'!$C:$G,2+$E92,FALSE)+ VLOOKUP(Y$10,'VK-Elekter'!$C:$I,2+$D92,FALSE)+ VLOOKUP(Y$10,'VK-Põlevkivi'!$C:$I,2+$G92,FALSE)+ VLOOKUP(Y$10,'VK-Võrgud'!$C:$I,2+$F92,FALSE)</f>
        <v>-5.6999153400025017E-2</v>
      </c>
      <c r="Z92" s="227">
        <f>(S92*Tulemused!$Q$9*10+T92*Tulemused!$Q$10*10+KOMBI!U92*Tulemused!$Q$11*10+KOMBI!V92*Tulemused!$Q$12*10)*Tulemused!$Q$8+-(W92*Tulemused!$Q$14*10+KOMBI!X92*Tulemused!$Q$15*10+KOMBI!Y92*Tulemused!$Q$16*10)*Tulemused!$Q$13</f>
        <v>4.0186350812694034</v>
      </c>
      <c r="AA92" s="228">
        <f>(IF(AA$7="X",VLOOKUP(AA$10,'VK-Hooned-Soojus'!$C:$X,2+$C92,FALSE),0)+IF(AA$6="X",VLOOKUP(AA$10,'VK-Transport'!$C:$X,2+$B92,0))+IF(AA$8="X",VLOOKUP(AA$10,'VK-Elekter'!$C:$X,2+$D92,0))+IF(AA$9="X",VLOOKUP(AA$10,'VK-Biokütused'!$C:$U,2+$E92,0))+IF(AA$5="X",VLOOKUP(AA$10,'VK-Põlevkivi'!$C:$X,2+$G92,0))+IF(AA$4="X",VLOOKUP(AA$10,'VK-Võrgud'!$C:$X,2+$F92,0)))</f>
        <v>3728</v>
      </c>
      <c r="AB92" s="228">
        <f>(IF(AB$7="X",VLOOKUP(AB$10,'VK-Hooned-Soojus'!$C:$X,2+$C92,FALSE),0)+IF(AB$6="X",VLOOKUP(AB$10,'VK-Transport'!$C:$X,2+$B92,0))+IF(AB$8="X",VLOOKUP(AB$10,'VK-Elekter'!$C:$X,2+$D92,0))+IF(AB$9="X",VLOOKUP(AB$10,'VK-Biokütused'!$C:$U,2+$E92,0))+IF(AB$5="X",VLOOKUP(AB$10,'VK-Põlevkivi'!$C:$X,2+$G92,0))+IF(AB$4="X",VLOOKUP(AB$10,'VK-Võrgud'!$C:$X,2+$F92,0)))</f>
        <v>1177</v>
      </c>
      <c r="AC92" s="228">
        <f>(IF(AC$7="X",VLOOKUP(AC$10,'VK-Hooned-Soojus'!$C:$X,2+$C92,FALSE),0)+IF(AC$6="X",VLOOKUP(AC$10,'VK-Transport'!$C:$X,2+$B92,0))+IF(AC$8="X",VLOOKUP(AC$10,'VK-Elekter'!$C:$X,2+$D92,0))+IF(AC$9="X",VLOOKUP(AC$10,'VK-Biokütused'!$C:$U,2+$E92,0))+IF(AC$5="X",VLOOKUP(AC$10,'VK-Põlevkivi'!$C:$X,2+$G92,0))+IF(AC$4="X",VLOOKUP(AC$10,'VK-Võrgud'!$C:$X,2+$F92,0)))</f>
        <v>2346</v>
      </c>
      <c r="AD92" s="228">
        <f>(IF(AD$7="X",VLOOKUP(AD$10,'VK-Hooned-Soojus'!$C:$X,2+$C92,FALSE),0)+IF(AD$6="X",VLOOKUP(AD$10,'VK-Transport'!$C:$X,2+$B92,0))+IF(AD$8="X",VLOOKUP(AD$10,'VK-Elekter'!$C:$X,2+$D92,0))+IF(AD$9="X",VLOOKUP(AD$10,'VK-Biokütused'!$C:$U,2+$E92,0))+IF(AD$5="X",VLOOKUP(AD$10,'VK-Põlevkivi'!$C:$X,2+$G92,0))+IF(AD$4="X",VLOOKUP(AD$10,'VK-Võrgud'!$C:$X,2+$F92,0)))</f>
        <v>0</v>
      </c>
      <c r="AE92" s="228">
        <f>(IF(AE$7="X",VLOOKUP(AE$10,'VK-Hooned-Soojus'!$C:$X,2+$C92,FALSE),0)+IF(AE$6="X",VLOOKUP(AE$10,'VK-Transport'!$C:$X,2+$B92,0))+IF(AE$8="X",VLOOKUP(AE$10,'VK-Elekter'!$C:$X,2+$D92,0))+IF(AE$9="X",VLOOKUP(AE$10,'VK-Biokütused'!$C:$U,2+$E92,0))+IF(AE$5="X",VLOOKUP(AE$10,'VK-Põlevkivi'!$C:$X,2+$G92,0))+IF(AE$4="X",VLOOKUP(AE$10,'VK-Võrgud'!$C:$X,2+$F92,0)))</f>
        <v>507</v>
      </c>
      <c r="AF92" s="228">
        <f>(IF(AF$7="X",VLOOKUP(AF$10,'VK-Hooned-Soojus'!$C:$X,2+$C92,FALSE),0)+IF(AF$6="X",VLOOKUP(AF$10,'VK-Transport'!$C:$X,2+$B92,0))+IF(AF$8="X",VLOOKUP(AF$10,'VK-Elekter'!$C:$X,2+$D92,0))+IF(AF$9="X",VLOOKUP(AF$10,'VK-Biokütused'!$C:$U,2+$E92,0))+IF(AF$5="X",VLOOKUP(AF$10,'VK-Põlevkivi'!$C:$X,2+$G92,0))+IF(AF$4="X",VLOOKUP(AF$10,'VK-Võrgud'!$C:$X,2+$F92,0)))</f>
        <v>1892.3823271229701</v>
      </c>
      <c r="AG92" s="209"/>
      <c r="AH92" s="209">
        <f>IF(AH$7="X",VLOOKUP(AH$10,'VK-Hooned-Soojus'!$C:$X,2+$C92,FALSE),0)+IF(AH$6="X",VLOOKUP(AH$10,'VK-Transport'!$C:$X,2+$B92,0))+IF(AH$8="X",VLOOKUP(AH$10,'VK-Elekter'!$C:$X,2+$D92,0))+IF(AH$9="X",VLOOKUP(AH$10,'VK-Biokütused'!$C:$U,2+$E92,0))+IF(AH$5="X",VLOOKUP(AH$10,'VK-Põlevkivi'!$C:$X,2+$G92,0))+IF(AH$4="X",VLOOKUP(AH$10,'VK-Võrgud'!$C:$X,2+$F92,0))</f>
        <v>11.579999999999998</v>
      </c>
      <c r="AI92" s="209">
        <f>IF(AI$7="X",VLOOKUP(AI$10,'VK-Hooned-Soojus'!$C:$X,2+$C92,FALSE),0)+IF(AI$6="X",VLOOKUP(AI$10,'VK-Transport'!$C:$X,2+$B92,0))+IF(AI$8="X",VLOOKUP(AI$10,'VK-Elekter'!$C:$X,2+$D92,0))+IF(AI$9="X",VLOOKUP(AI$10,'VK-Biokütused'!$C:$U,2+$E92,0))+IF(AI$5="X",VLOOKUP(AI$10,'VK-Põlevkivi'!$C:$X,2+$G92,0))+IF(AI$4="X",VLOOKUP(AI$10,'VK-Võrgud'!$C:$X,2+$F92,0))</f>
        <v>4.45</v>
      </c>
      <c r="AJ92" s="209">
        <f>IF(AJ$7="X",VLOOKUP(AJ$10,'VK-Hooned-Soojus'!$C:$X,2+$C92,FALSE),0)+IF(AJ$6="X",VLOOKUP(AJ$10,'VK-Transport'!$C:$X,2+$B92,0))+IF(AJ$8="X",VLOOKUP(AJ$10,'VK-Elekter'!$C:$X,2+$D92,0))+IF(AJ$9="X",VLOOKUP(AJ$10,'VK-Biokütused'!$C:$U,2+$E92,0))+IF(AJ$5="X",VLOOKUP(AJ$10,'VK-Põlevkivi'!$C:$X,2+$G92,0))+IF(AJ$4="X",VLOOKUP(AJ$10,'VK-Võrgud'!$C:$X,2+$F92,0))</f>
        <v>9.19</v>
      </c>
      <c r="AK92" s="209">
        <f>IF(AK$7="X",VLOOKUP(AK$10,'VK-Hooned-Soojus'!$C:$X,2+$C92,FALSE),0)+IF(AK$6="X",VLOOKUP(AK$10,'VK-Transport'!$C:$X,2+$B92,0))+IF(AK$8="X",VLOOKUP(AK$10,'VK-Elekter'!$C:$X,2+$D92,0))+IF(AK$9="X",VLOOKUP(AK$10,'VK-Biokütused'!$C:$U,2+$E92,0))+IF(AK$5="X",VLOOKUP(AK$10,'VK-Põlevkivi'!$C:$X,2+$G92,0))+IF(AK$4="X",VLOOKUP(AK$10,'VK-Võrgud'!$C:$X,2+$F92,0))</f>
        <v>0.66</v>
      </c>
      <c r="AL92" s="209">
        <f>IF(AL$7="X",VLOOKUP(AL$10,'VK-Hooned-Soojus'!$C:$X,2+$C92,FALSE),0)+IF(AL$6="X",VLOOKUP(AL$10,'VK-Transport'!$C:$X,2+$B92,0))+IF(AL$8="X",VLOOKUP(AL$10,'VK-Elekter'!$C:$X,2+$D92,0))+IF(AL$9="X",VLOOKUP(AL$10,'VK-Biokütused'!$C:$U,2+$E92,0))+IF(AL$5="X",VLOOKUP(AL$10,'VK-Põlevkivi'!$C:$X,2+$G92,0))+IF(AL$4="X",VLOOKUP(AL$10,'VK-Võrgud'!$C:$X,2+$F92,0))</f>
        <v>7.1</v>
      </c>
      <c r="AM92" s="209">
        <f>IF(AM$7="X",VLOOKUP(AM$10,'VK-Hooned-Soojus'!$C:$X,2+$C92,FALSE),0)+IF(AM$6="X",VLOOKUP(AM$10,'VK-Transport'!$C:$X,2+$B92,0))+IF(AM$8="X",VLOOKUP(AM$10,'VK-Elekter'!$C:$X,2+$D92,0))+IF(AM$9="X",VLOOKUP(AM$10,'VK-Biokütused'!$C:$U,2+$E92,0))+IF(AM$5="X",VLOOKUP(AM$10,'VK-Põlevkivi'!$C:$X,2+$G92,0))+IF(AM$4="X",VLOOKUP(AM$10,'VK-Võrgud'!$C:$X,2+$F92,0))</f>
        <v>11.5</v>
      </c>
      <c r="AN92" s="209">
        <f>IF(AN$7="X",VLOOKUP(AN$10,'VK-Hooned-Soojus'!$C:$X,2+$C92,FALSE),0)+IF(AN$6="X",VLOOKUP(AN$10,'VK-Transport'!$C:$X,2+$B92,0))+IF(AN$8="X",VLOOKUP(AN$10,'VK-Elekter'!$C:$X,2+$D92,0))+IF(AN$9="X",VLOOKUP(AN$10,'VK-Biokütused'!$C:$U,2+$E92,0))+IF(AN$5="X",VLOOKUP(AN$10,'VK-Põlevkivi'!$C:$X,2+$G92,0))+IF(AN$4="X",VLOOKUP(AN$10,'VK-Võrgud'!$C:$X,2+$F92,0))</f>
        <v>4.0999999999999996</v>
      </c>
      <c r="AO92" s="209">
        <f>IF(AO$7="X",VLOOKUP(AO$10,'VK-Hooned-Soojus'!$C:$X,2+$C92,FALSE),0)+IF(AO$6="X",VLOOKUP(AO$10,'VK-Transport'!$C:$X,2+$B92,0))+IF(AO$8="X",VLOOKUP(AO$10,'VK-Elekter'!$C:$X,2+$D92,0))+IF(AO$9="X",VLOOKUP(AO$10,'VK-Biokütused'!$C:$U,2+$E92,0))+IF(AO$5="X",VLOOKUP(AO$10,'VK-Põlevkivi'!$C:$X,2+$G92,0))+IF(AO$4="X",VLOOKUP(AO$10,'VK-Võrgud'!$C:$X,2+$F92,0))</f>
        <v>12.16</v>
      </c>
      <c r="AP92" s="209">
        <f>IF(AP$7="X",VLOOKUP(AP$10,'VK-Hooned-Soojus'!$C:$X,2+$C92,FALSE),0)+IF(AP$6="X",VLOOKUP(AP$10,'VK-Transport'!$C:$X,2+$B92,0))+IF(AP$8="X",VLOOKUP(AP$10,'VK-Elekter'!$C:$X,2+$D92,0))+IF(AP$9="X",VLOOKUP(AP$10,'VK-Biokütused'!$C:$U,2+$E92,0))+IF(AP$5="X",VLOOKUP(AP$10,'VK-Põlevkivi'!$C:$X,2+$G92,0))+IF(AP$4="X",VLOOKUP(AP$10,'VK-Võrgud'!$C:$X,2+$F92,0))</f>
        <v>6.08</v>
      </c>
      <c r="AQ92" s="320">
        <f t="shared" si="61"/>
        <v>0</v>
      </c>
      <c r="AR92" s="209">
        <f>IF(AR$7="X",VLOOKUP(AR$10,'VK-Hooned-Soojus'!$C:$X,2+$C92,FALSE),0)+IF(AR$6="X",VLOOKUP(AR$10,'VK-Transport'!$C:$X,2+$B92,0))+IF(AR$8="X",VLOOKUP(AR$10,'VK-Elekter'!$C:$X,2+$D92,0))+IF(AR$9="X",VLOOKUP(AR$10,'VK-Biokütused'!$C:$U,2+$E92,0))+IF(AR$5="X",VLOOKUP(AR$10,'VK-Põlevkivi'!$C:$X,2+$G92,0))+IF(AR$4="X",VLOOKUP(AR$10,'VK-Võrgud'!$C:$X,2+$F92,0))</f>
        <v>2.3899999999999997</v>
      </c>
      <c r="AS92" s="320">
        <f>VLOOKUP("Kütuste tarbimine @ 2030 - UTTEGAAS",'VK-Hooned-Soojus'!$C:$X,2+$C92,FALSE)/0.172+VLOOKUP("Kütuste tarbimine @ 2030 - UTTEGAAS",'VK-Elekter'!$C:$X,2+$D92,FALSE)/0.172-AR92-AU92</f>
        <v>2.8565116279069773</v>
      </c>
      <c r="AT92" s="209">
        <f>IF(AT$7="X",VLOOKUP(AT$10,'VK-Hooned-Soojus'!$C:$X,2+$C92,FALSE),0)+IF(AT$6="X",VLOOKUP(AT$10,'VK-Transport'!$C:$X,2+$B92,0))+IF(AT$8="X",VLOOKUP(AT$10,'VK-Elekter'!$C:$X,2+$D92,0))+IF(AT$9="X",VLOOKUP(AT$10,'VK-Biokütused'!$C:$U,2+$E92,0))+IF(AT$5="X",VLOOKUP(AT$10,'VK-Põlevkivi'!$C:$X,2+$G92,0))+IF(AT$4="X",VLOOKUP(AT$10,'VK-Võrgud'!$C:$X,2+$F92,0))</f>
        <v>9.2784458909544707</v>
      </c>
      <c r="AU92" s="229">
        <f>MAX(0,(VLOOKUP("Kütuste tarbimine @ 2030 - UTTEGAAS",'VK-Hooned-Soojus'!$C:$X,2+$C92,FALSE)/0.172+VLOOKUP("Kütuste tarbimine @ 2030 - UTTEGAAS",'VK-Elekter'!$C:$X,2+$D92,FALSE)/0.172)*0.52-VLOOKUP("Kütuste tarbimine @ 2030 - PÕLEVKIVIÕLI",'VK-Hooned-Soojus'!$C:$X,2+$C92,FALSE))</f>
        <v>5.6837209302325586</v>
      </c>
      <c r="AV92" s="209">
        <f>IF(AV$7="X",VLOOKUP(AV$10,'VK-Hooned-Soojus'!$C:$X,2+$C92,FALSE),0)+IF(AV$6="X",VLOOKUP(AV$10,'VK-Transport'!$C:$X,2+$B92,0))+IF(AV$8="X",VLOOKUP(AV$10,'VK-Elekter'!$C:$X,2+$D92,0))+IF(AV$9="X",VLOOKUP(AV$10,'VK-Biokütused'!$C:$U,2+$E92,0))+IF(AV$5="X",VLOOKUP(AV$10,'VK-Põlevkivi'!$C:$X,2+$G92,0))+IF(AV$4="X",VLOOKUP(AV$10,'VK-Võrgud'!$C:$X,2+$F92,0))</f>
        <v>1.7257321590343366</v>
      </c>
      <c r="AW92" s="209">
        <f>IF(AW$7="X",VLOOKUP(AW$10,'VK-Hooned-Soojus'!$C:$X,2+$C92,FALSE),0)+IF(AW$6="X",VLOOKUP(AW$10,'VK-Transport'!$C:$X,2+$B92,0))+IF(AW$8="X",VLOOKUP(AW$10,'VK-Elekter'!$C:$X,2+$D92,0))+IF(AW$9="X",VLOOKUP(AW$10,'VK-Biokütused'!$C:$U,2+$E92,0))+IF(AW$5="X",VLOOKUP(AW$10,'VK-Põlevkivi'!$C:$X,2+$G92,0))+IF(AW$4="X",VLOOKUP(AW$10,'VK-Võrgud'!$C:$X,2+$F92,0))</f>
        <v>0</v>
      </c>
      <c r="AX92" s="229">
        <f t="shared" si="62"/>
        <v>0</v>
      </c>
      <c r="AY92" s="229">
        <f t="shared" si="63"/>
        <v>1.7257321590343366</v>
      </c>
      <c r="AZ92" s="230">
        <f t="shared" si="48"/>
        <v>0.53721880855513682</v>
      </c>
      <c r="BA92" s="209">
        <f>IF(BA$7="X",VLOOKUP(BA$10,'VK-Hooned-Soojus'!$C:$X,2+$C92,FALSE),0)+IF(BA$6="X",VLOOKUP(BA$10,'VK-Transport'!$C:$X,2+$B92,0))+IF(BA$8="X",VLOOKUP(BA$10,'VK-Elekter'!$C:$X,2+$D92,0))+IF(BA$9="X",VLOOKUP(BA$10,'VK-Biokütused'!$C:$U,2+$E92,0))+IF(BA$5="X",VLOOKUP(BA$10,'VK-Põlevkivi'!$C:$X,2+$G92,0))+IF(BA$4="X",VLOOKUP(BA$10,'VK-Võrgud'!$C:$X,2+$F92,0))</f>
        <v>4.2</v>
      </c>
      <c r="BB92" s="209">
        <f>IF(BB$7="X",VLOOKUP(BB$10,'VK-Hooned-Soojus'!$C:$X,2+$C92,FALSE),0)+IF(BB$6="X",VLOOKUP(BB$10,'VK-Transport'!$C:$X,2+$B92,0))+IF(BB$8="X",VLOOKUP(BB$10,'VK-Elekter'!$C:$X,2+$D92,0))+IF(BB$9="X",VLOOKUP(BB$10,'VK-Biokütused'!$C:$U,2+$E92,0))+IF(BB$5="X",VLOOKUP(BB$10,'VK-Põlevkivi'!$C:$X,2+$G92,0))+IF(BB$4="X",VLOOKUP(BB$10,'VK-Võrgud'!$C:$X,2+$F92,0))</f>
        <v>5.1000000000000005</v>
      </c>
      <c r="BC92" s="209">
        <f>IF(BC$7="X",VLOOKUP(BC$10,'VK-Hooned-Soojus'!$C:$X,2+$C92,FALSE),0)+IF(BC$6="X",VLOOKUP(BC$10,'VK-Transport'!$C:$X,2+$B92,0))+IF(BC$8="X",VLOOKUP(BC$10,'VK-Elekter'!$C:$X,2+$D92,0))+IF(BC$9="X",VLOOKUP(BC$10,'VK-Biokütused'!$C:$U,2+$E92,0))+IF(BC$5="X",VLOOKUP(BC$10,'VK-Põlevkivi'!$C:$X,2+$G92,0))+IF(BC$4="X",VLOOKUP(BC$10,'VK-Võrgud'!$C:$X,2+$F92,0))</f>
        <v>5.2376666666666667</v>
      </c>
      <c r="BD92" s="209">
        <f>IF(BD$7="X",VLOOKUP(BD$10,'VK-Hooned-Soojus'!$C:$X,2+$C92,FALSE),0)+IF(BD$6="X",VLOOKUP(BD$10,'VK-Transport'!$C:$X,2+$B92,0))+IF(BD$8="X",VLOOKUP(BD$10,'VK-Elekter'!$C:$X,2+$D92,0))+IF(BD$9="X",VLOOKUP(BD$10,'VK-Biokütused'!$C:$U,2+$E92,0))+IF(BD$5="X",VLOOKUP(BD$10,'VK-Põlevkivi'!$C:$X,2+$G92,0))+IF(BD$4="X",VLOOKUP(BD$10,'VK-Võrgud'!$C:$X,2+$F92,0))</f>
        <v>9.1105555555555569</v>
      </c>
      <c r="BE92" s="230"/>
      <c r="BF92" s="229">
        <f t="shared" si="64"/>
        <v>0.38052689019826891</v>
      </c>
      <c r="BG92" s="209" t="e">
        <f>(IF(BG$7="X",VLOOKUP(BG$10,'VK-Hooned-Soojus'!$C:$X,2+$C92,FALSE),0)+IF(BG$6="X",VLOOKUP(BG$10,'VK-Transport'!$C:$X,2+$B92,0))+IF(BG$8="X",VLOOKUP(BG$10,'VK-Elekter'!$C:$X,2+$D92,0))+IF(BG$9="X",VLOOKUP(BG$10,'VK-Biokütused'!$C:$U,2+$E92,0))+IF(BG$5="X",VLOOKUP(BG$10,'VK-Põlevkivi'!$C:$X,2+$G92,0))+IF(BG$4="X",VLOOKUP(BG$10,'VK-Võrgud'!$C:$X,2+$F92,0)))/20</f>
        <v>#N/A</v>
      </c>
      <c r="BH92" s="209">
        <f>(IF(BH$7="X",VLOOKUP(BH$10,'VK-Hooned-Soojus'!$C:$X,2+$C92,FALSE),0)+IF(BH$6="X",VLOOKUP(BH$10,'VK-Transport'!$C:$X,2+$B92,0))+IF(BH$8="X",VLOOKUP(BH$10,'VK-Elekter'!$C:$X,2+$D92,0))+IF(BH$9="X",VLOOKUP(BH$10,'VK-Biokütused'!$C:$U,2+$E92,0))+IF(BH$5="X",VLOOKUP(BH$10,'VK-Põlevkivi'!$C:$X,2+$G92,0))+IF(BH$4="X",VLOOKUP(BH$10,'VK-Võrgud'!$C:$X,2+$F92,0)))/20</f>
        <v>84.204999999999998</v>
      </c>
      <c r="BI92" s="209">
        <f>(IF(BI$7="X",VLOOKUP(BI$10,'VK-Hooned-Soojus'!$C:$X,2+$C92,FALSE),0)+IF(BI$6="X",VLOOKUP(BI$10,'VK-Transport'!$C:$X,2+$B92,0))+IF(BI$8="X",VLOOKUP(BI$10,'VK-Elekter'!$C:$X,2+$D92,0))+IF(BI$9="X",VLOOKUP(BI$10,'VK-Biokütused'!$C:$U,2+$E92,0))+IF(BI$5="X",VLOOKUP(BI$10,'VK-Põlevkivi'!$C:$X,2+$G92,0))+IF(BI$4="X",VLOOKUP(BI$10,'VK-Võrgud'!$C:$X,2+$F92,0)))/16</f>
        <v>8.9375</v>
      </c>
      <c r="BJ92" s="209">
        <f>(IF(BJ$7="X",VLOOKUP(BJ$10,'VK-Hooned-Soojus'!$C:$X,2+$C92,FALSE),0)+IF(BJ$6="X",VLOOKUP(BJ$10,'VK-Transport'!$C:$X,2+$B92,0))+IF(BJ$8="X",VLOOKUP(BJ$10,'VK-Elekter'!$C:$X,2+$D92,0))+IF(BJ$9="X",VLOOKUP(BJ$10,'VK-Biokütused'!$C:$U,2+$E92,0))+IF(BJ$5="X",VLOOKUP(BJ$10,'VK-Põlevkivi'!$C:$X,2+$G92,0))+IF(BJ$4="X",VLOOKUP(BJ$10,'VK-Võrgud'!$C:$X,2+$F92,0)))/20</f>
        <v>5.33</v>
      </c>
      <c r="BK92" s="209"/>
      <c r="BL92" s="209"/>
      <c r="BM92" s="209"/>
      <c r="BN92" s="209" t="e">
        <f>(IF(BN$7="X",VLOOKUP(BN$10,'VK-Hooned-Soojus'!$C:$X,2+$C92,FALSE),0)+IF(BN$6="X",VLOOKUP(BN$10,'VK-Transport'!$C:$X,2+$B92,0))+IF(BN$8="X",VLOOKUP(BN$10,'VK-Elekter'!$C:$X,2+$D92,0))+IF(BN$9="X",VLOOKUP(BN$10,'VK-Biokütused'!$C:$U,2+$E92,0))+IF(BN$5="X",VLOOKUP(BN$10,'VK-Põlevkivi'!$C:$X,2+$G92,0))+IF(BN$4="X",VLOOKUP(BN$10,'VK-Võrgud'!$C:$X,2+$F92,0)))/16</f>
        <v>#N/A</v>
      </c>
      <c r="BO92" s="209">
        <f>(IF(BO$7="X",VLOOKUP(BO$10,'VK-Hooned-Soojus'!$C:$X,2+$C92,FALSE),0)+IF(BO$6="X",VLOOKUP(BO$10,'VK-Transport'!$C:$X,2+$B92,0))+IF(BO$8="X",VLOOKUP(BO$10,'VK-Elekter'!$C:$X,2+$D92,0))+IF(BO$9="X",VLOOKUP(BO$10,'VK-Biokütused'!$C:$U,2+$E92,0))+IF(BO$5="X",VLOOKUP(BO$10,'VK-Põlevkivi'!$C:$X,2+$G92,0))+IF(BO$4="X",VLOOKUP(BO$10,'VK-Võrgud'!$C:$X,2+$F92,0)))/16</f>
        <v>405.45</v>
      </c>
      <c r="BP92" s="209"/>
      <c r="BQ92" s="209">
        <f>(IF(BQ$7="X",VLOOKUP(BQ$10,'VK-Hooned-Soojus'!$C:$X,2+$C92,FALSE),0)+IF(BQ$6="X",VLOOKUP(BQ$10,'VK-Transport'!$C:$X,2+$B92,0))+IF(BQ$8="X",VLOOKUP(BQ$10,'VK-Elekter'!$C:$X,2+$D92,0))+IF(BQ$9="X",VLOOKUP(BQ$10,'VK-Biokütused'!$C:$U,2+$E92,0))+IF(BQ$5="X",VLOOKUP(BQ$10,'VK-Põlevkivi'!$C:$X,2+$G92,0))+IF(BQ$4="X",VLOOKUP(BQ$10,'VK-Võrgud'!$C:$X,2+$F92,0)))/16</f>
        <v>127.6</v>
      </c>
      <c r="BR92" s="209">
        <f>(IF(BR$7="X",VLOOKUP(BR$10,'VK-Hooned-Soojus'!$C:$X,2+$C92,FALSE),0)+IF(BR$6="X",VLOOKUP(BR$10,'VK-Transport'!$C:$X,2+$B92,0))+IF(BR$8="X",VLOOKUP(BR$10,'VK-Elekter'!$C:$X,2+$D92,0))+IF(BR$9="X",VLOOKUP(BR$10,'VK-Biokütused'!$C:$U,2+$E92,0))+IF(BR$5="X",VLOOKUP(BR$10,'VK-Põlevkivi'!$C:$X,2+$G92,0))+IF(BR$4="X",VLOOKUP(BR$10,'VK-Võrgud'!$C:$X,2+$F92,0)))/16</f>
        <v>27.475000000000001</v>
      </c>
      <c r="BS92" s="209">
        <f>(IF(BS$7="X",VLOOKUP(BS$10,'VK-Hooned-Soojus'!$C:$X,2+$C92,FALSE),0)+IF(BS$6="X",VLOOKUP(BS$10,'VK-Transport'!$C:$X,2+$B92,0))+IF(BS$8="X",VLOOKUP(BS$10,'VK-Elekter'!$C:$X,2+$D92,0))+IF(BS$9="X",VLOOKUP(BS$10,'VK-Biokütused'!$C:$U,2+$E92,0))+IF(BS$5="X",VLOOKUP(BS$10,'VK-Põlevkivi'!$C:$X,2+$G92,0))+IF(BS$4="X",VLOOKUP(BS$10,'VK-Võrgud'!$C:$X,2+$F92,0)))/16</f>
        <v>-23.293749999999999</v>
      </c>
      <c r="BT92" s="209"/>
      <c r="BU92" s="209"/>
      <c r="BV92" s="209">
        <f>(IF(BV$7="X",VLOOKUP(BV$10,'VK-Hooned-Soojus'!$C:$X,2+$C92,FALSE),0)+IF(BV$6="X",VLOOKUP(BV$10,'VK-Transport'!$C:$X,2+$B92,0))+IF(BV$8="X",VLOOKUP(BV$10,'VK-Elekter'!$C:$X,2+$D92,0))+IF(BV$9="X",VLOOKUP(BV$10,'VK-Biokütused'!$C:$U,2+$E92,0))+IF(BV$5="X",VLOOKUP(BV$10,'VK-Põlevkivi'!$C:$X,2+$G92,0))+IF(BV$4="X",VLOOKUP(BV$10,'VK-Võrgud'!$C:$X,2+$F92,0)))/16</f>
        <v>0</v>
      </c>
      <c r="BW92" s="209"/>
      <c r="BX92" s="209">
        <f>(IF(BX$7="X",VLOOKUP(BX$10,'VK-Hooned-Soojus'!$C:$X,2+$C92,FALSE),0)+IF(BX$6="X",VLOOKUP(BX$10,'VK-Transport'!$C:$X,2+$B92,0))+IF(BX$8="X",VLOOKUP(BX$10,'VK-Elekter'!$C:$X,2+$D92,0))+IF(BX$9="X",VLOOKUP(BX$10,'VK-Biokütused'!$C:$U,2+$E92,0))+IF(BX$5="X",VLOOKUP(BX$10,'VK-Põlevkivi'!$C:$X,2+$G92,0))+IF(BX$4="X",VLOOKUP(BX$10,'VK-Võrgud'!$C:$X,2+$F92,0)))/16</f>
        <v>-99.4375</v>
      </c>
      <c r="BY92" s="209"/>
      <c r="BZ92" s="209"/>
      <c r="CA92" s="209" t="e">
        <f>(IF(CA$7="X",VLOOKUP(CA$10,'VK-Hooned-Soojus'!$C:$X,2+$C92,FALSE),0)+IF(CA$6="X",VLOOKUP(CA$10,'VK-Transport'!$C:$X,2+$B92,0))+IF(CA$8="X",VLOOKUP(CA$10,'VK-Elekter'!$C:$X,2+$D92,0))+IF(CA$9="X",VLOOKUP(CA$10,'VK-Biokütused'!$C:$U,2+$E92,0))+IF(CA$5="X",VLOOKUP(CA$10,'VK-Põlevkivi'!$C:$X,2+$G92,0))+IF(CA$4="X",VLOOKUP(CA$10,'VK-Võrgud'!$C:$X,2+$F92,0)))/16</f>
        <v>#N/A</v>
      </c>
      <c r="CB92" s="209">
        <f>(IF(CB$7="X",VLOOKUP(CB$10,'VK-Hooned-Soojus'!$C:$X,2+$C92,FALSE),0)+IF(CB$6="X",VLOOKUP(CB$10,'VK-Transport'!$C:$X,2+$B92,0))+IF(CB$8="X",VLOOKUP(CB$10,'VK-Elekter'!$C:$X,2+$D92,0))+IF(CB$9="X",VLOOKUP(CB$10,'VK-Biokütused'!$C:$U,2+$E92,0))+IF(CB$5="X",VLOOKUP(CB$10,'VK-Põlevkivi'!$C:$X,2+$G92,0))+IF(CB$4="X",VLOOKUP(CB$10,'VK-Võrgud'!$C:$X,2+$F92,0)))/16</f>
        <v>0</v>
      </c>
      <c r="CC92" s="209">
        <f>(IF(CC$7="X",VLOOKUP(CC$10,'VK-Hooned-Soojus'!$C:$X,2+$C92,FALSE),0)+IF(CC$6="X",VLOOKUP(CC$10,'VK-Transport'!$C:$X,2+$B92,0))+IF(CC$8="X",VLOOKUP(CC$10,'VK-Elekter'!$C:$X,2+$D92,0))+IF(CC$9="X",VLOOKUP(CC$10,'VK-Biokütused'!$C:$U,2+$E92,0))+IF(CC$5="X",VLOOKUP(CC$10,'VK-Põlevkivi'!$C:$X,2+$G92,0))+IF(CC$4="X",VLOOKUP(CC$10,'VK-Võrgud'!$C:$X,2+$F92,0)))/16</f>
        <v>0</v>
      </c>
      <c r="CD92" s="209"/>
      <c r="CE92" s="209">
        <f>(IF(CE$7="X",VLOOKUP(CE$10,'VK-Hooned-Soojus'!$C:$X,2+$C92,FALSE),0)+IF(CE$6="X",VLOOKUP(CE$10,'VK-Transport'!$C:$X,2+$B92,0))+IF(CE$8="X",VLOOKUP(CE$10,'VK-Elekter'!$C:$X,2+$D92,0))+IF(CE$9="X",VLOOKUP(CE$10,'VK-Biokütused'!$C:$U,2+$E92,0))+IF(CE$5="X",VLOOKUP(CE$10,'VK-Põlevkivi'!$C:$X,2+$G92,0))+IF(CE$4="X",VLOOKUP(CE$10,'VK-Võrgud'!$C:$X,2+$F92,0)))/16</f>
        <v>24.15625</v>
      </c>
      <c r="CF92" s="209"/>
      <c r="CG92" s="209">
        <f>(IF(CG$7="X",VLOOKUP(CG$10,'VK-Hooned-Soojus'!$C:$X,2+$C92,FALSE),0)+IF(CG$6="X",VLOOKUP(CG$10,'VK-Transport'!$C:$X,2+$B92,0))+IF(CG$8="X",VLOOKUP(CG$10,'VK-Elekter'!$C:$X,2+$D92,0))+IF(CG$9="X",VLOOKUP(CG$10,'VK-Biokütused'!$C:$U,2+$E92,0))+IF(CG$5="X",VLOOKUP(CG$10,'VK-Põlevkivi'!$C:$X,2+$G92,0))+IF(CG$4="X",VLOOKUP(CG$10,'VK-Võrgud'!$C:$X,2+$F92,0)))/16</f>
        <v>0</v>
      </c>
      <c r="CH92" s="209">
        <f>(IF(CH$7="X",VLOOKUP(CH$10,'VK-Hooned-Soojus'!$C:$X,2+$C92,FALSE),0)+IF(CH$6="X",VLOOKUP(CH$10,'VK-Transport'!$C:$X,2+$B92,0))+IF(CH$8="X",VLOOKUP(CH$10,'VK-Elekter'!$C:$X,2+$D92,0))+IF(CH$9="X",VLOOKUP(CH$10,'VK-Biokütused'!$C:$U,2+$E92,0))+IF(CH$5="X",VLOOKUP(CH$10,'VK-Põlevkivi'!$C:$X,2+$G92,0))+IF(CH$4="X",VLOOKUP(CH$10,'VK-Võrgud'!$C:$X,2+$F92,0)))/20*0.21</f>
        <v>26.9178</v>
      </c>
      <c r="CI92" s="209"/>
      <c r="CJ92" s="209">
        <f>(IF(CJ$7="X",VLOOKUP(CJ$10,'VK-Hooned-Soojus'!$C:$X,2+$C92,FALSE),0)+IF(CJ$6="X",VLOOKUP(CJ$10,'VK-Transport'!$C:$X,2+$B92,0))+IF(CJ$8="X",VLOOKUP(CJ$10,'VK-Elekter'!$C:$X,2+$D92,0))+IF(CJ$9="X",VLOOKUP(CJ$10,'VK-Biokütused'!$C:$U,2+$E92,0))+IF(CJ$5="X",VLOOKUP(CJ$10,'VK-Põlevkivi'!$C:$X,2+$G92,0))+IF(CJ$4="X",VLOOKUP(CJ$10,'VK-Võrgud'!$C:$X,2+$F92,0)))/1000</f>
        <v>17.482861099430586</v>
      </c>
      <c r="CK92" s="209">
        <f>(IF(CK$7="X",VLOOKUP(CK$10,'VK-Hooned-Soojus'!$C:$X,2+$C92,FALSE),0)+IF(CK$6="X",VLOOKUP(CK$10,'VK-Transport'!$C:$X,2+$B92,0))+IF(CK$8="X",VLOOKUP(CK$10,'VK-Elekter'!$C:$X,2+$D92,0))+IF(CK$9="X",VLOOKUP(CK$10,'VK-Biokütused'!$C:$U,2+$E92,0))+IF(CK$5="X",VLOOKUP(CK$10,'VK-Põlevkivi'!$C:$X,2+$G92,0))+IF(CK$4="X",VLOOKUP(CK$10,'VK-Võrgud'!$C:$X,2+$F92,0)))/1000</f>
        <v>11.222324637900011</v>
      </c>
      <c r="CL92" s="235">
        <f>(IF(CL$7="X",VLOOKUP(CL$10,'VK-Hooned-Soojus'!$C:$X,2+$C92,FALSE),0)+IF(CL$6="X",VLOOKUP(CL$10,'VK-Transport'!$C:$X,2+$B92,0))+IF(CL$8="X",VLOOKUP(CL$10,'VK-Elekter'!$C:$X,2+$D92,0))+IF(CL$9="X",VLOOKUP(CL$10,'VK-Biokütused'!$C:$U,2+$E92,0)))/1000</f>
        <v>8.0759419404241388</v>
      </c>
      <c r="CM92" s="209">
        <f>(IF(CM$7="X",VLOOKUP(CM$10,'VK-Hooned-Soojus'!$C:$X,2+$C92,FALSE),0)+IF(CM$6="X",VLOOKUP(CM$10,'VK-Transport'!$C:$X,2+$B92,0))+IF(CM$8="X",VLOOKUP(CM$10,'VK-Elekter'!$C:$X,2+$D92,0))+IF(CM$9="X",VLOOKUP(CM$10,'VK-Biokütused'!$C:$U,2+$E92,0))+IF(CM$5="X",VLOOKUP(CM$10,'VK-Põlevkivi'!$C:$X,2+$G92,0))+IF(CM$4="X",VLOOKUP(CM$10,'VK-Võrgud'!$C:$X,2+$F92,0)))/1000</f>
        <v>7.6003156794471023</v>
      </c>
      <c r="CN92" s="209">
        <f>(IF(CN$7="X",VLOOKUP(CN$10,'VK-Hooned-Soojus'!$C:$X,2+$C92,FALSE),0)+IF(CN$6="X",VLOOKUP(CN$10,'VK-Transport'!$C:$X,2+$B92,0))+IF(CN$8="X",VLOOKUP(CN$10,'VK-Elekter'!$C:$X,2+$D92,0))+IF(CN$9="X",VLOOKUP(CN$10,'VK-Biokütused'!$C:$U,2+$E92,0))+IF(CN$5="X",VLOOKUP(CN$10,'VK-Põlevkivi'!$C:$X,2+$G92,0))+IF(CN$4="X",VLOOKUP(CN$10,'VK-Võrgud'!$C:$X,2+$F92,0)))/1000</f>
        <v>2.8980000000000001</v>
      </c>
      <c r="CO92" s="209">
        <f>(IF(CO$7="X",VLOOKUP(CO$10,'VK-Hooned-Soojus'!$C:$X,2+$C92,FALSE),0)+IF(CO$6="X",VLOOKUP(CO$10,'VK-Transport'!$C:$X,2+$B92,0))+IF(CO$8="X",VLOOKUP(CO$10,'VK-Elekter'!$C:$X,2+$D92,0))+IF(CO$9="X",VLOOKUP(CO$10,'VK-Biokütused'!$C:$U,2+$E92,0))+IF(CO$5="X",VLOOKUP(CO$10,'VK-Põlevkivi'!$C:$X,2+$G92,0))+IF(CO$4="X",VLOOKUP(CO$10,'VK-Võrgud'!$C:$X,2+$F92,0)))/1000</f>
        <v>23.841575210797281</v>
      </c>
      <c r="CP92" s="209">
        <f>(IF(CP$7="X",VLOOKUP(CP$10,'VK-Hooned-Soojus'!$C:$X,2+$C92,FALSE),0)+IF(CP$6="X",VLOOKUP(CP$10,'VK-Transport'!$C:$X,2+$B92,0))+IF(CP$8="X",VLOOKUP(CP$10,'VK-Elekter'!$C:$X,2+$D92,0))+IF(CP$9="X",VLOOKUP(CP$10,'VK-Biokütused'!$C:$U,2+$E92,0))+IF(CP$5="X",VLOOKUP(CP$10,'VK-Põlevkivi'!$C:$X,2+$G92,0))+IF(CP$4="X",VLOOKUP(CP$10,'VK-Võrgud'!$C:$X,2+$F92,0)))/1000</f>
        <v>13.405994830349824</v>
      </c>
      <c r="CQ92" s="235">
        <f>(IF(CQ$7="X",VLOOKUP(CQ$10,'VK-Hooned-Soojus'!$C:$X,2+$C92,FALSE),0)+IF(CQ$6="X",VLOOKUP(CQ$10,'VK-Transport'!$C:$X,2+$B92,0))+IF(CQ$8="X",VLOOKUP(CQ$10,'VK-Elekter'!$C:$X,2+$D92,0))+IF(CQ$9="X",VLOOKUP(CQ$10,'VK-Biokütused'!$C:$U,2+$E92,0)))/1000</f>
        <v>10.556346</v>
      </c>
      <c r="CR92" s="209">
        <f>(IF(CR$7="X",VLOOKUP(CR$10,'VK-Hooned-Soojus'!$C:$X,2+$C92,FALSE),0)+IF(CR$6="X",VLOOKUP(CR$10,'VK-Transport'!$C:$X,2+$B92,0))+IF(CR$8="X",VLOOKUP(CR$10,'VK-Elekter'!$C:$X,2+$D92,0))+IF(CR$9="X",VLOOKUP(CR$10,'VK-Biokütused'!$C:$U,2+$E92,0))+IF(CR$5="X",VLOOKUP(CR$10,'VK-Põlevkivi'!$C:$X,2+$G92,0))+IF(CR$4="X",VLOOKUP(CR$10,'VK-Võrgud'!$C:$X,2+$F92,0)))/1000</f>
        <v>7.7030872784575752</v>
      </c>
      <c r="CS92" s="209">
        <f>(IF(CS$7="X",VLOOKUP(CS$10,'VK-Hooned-Soojus'!$C:$X,2+$C92,FALSE),0)+IF(CS$6="X",VLOOKUP(CS$10,'VK-Transport'!$C:$X,2+$B92,0))+IF(CS$8="X",VLOOKUP(CS$10,'VK-Elekter'!$C:$X,2+$D92,0))+IF(CS$9="X",VLOOKUP(CS$10,'VK-Biokütused'!$C:$U,2+$E92,0))+IF(CS$5="X",VLOOKUP(CS$10,'VK-Põlevkivi'!$C:$X,2+$G92,0))+IF(CS$4="X",VLOOKUP(CS$10,'VK-Võrgud'!$C:$X,2+$F92,0)))/1000</f>
        <v>3.7943344900598324</v>
      </c>
      <c r="CT92" s="209">
        <f>IF(CT$7="X",VLOOKUP(CT$10,'VK-Hooned-Soojus'!$C:$X,2+$C92,FALSE),0)+IF(CT$6="X",VLOOKUP(CT$10,'VK-Transport'!$C:$X,2+$B92,0))+IF(CT$8="X",VLOOKUP(CT$10,'VK-Elekter'!$C:$X,2+$D92,0))+IF(CT$9="X",VLOOKUP(CT$10,'VK-Biokütused'!$C:$U,2+$E92,0))+IF(CT$5="X",VLOOKUP(CT$10,'VK-Põlevkivi'!$C:$X,2+$G92,0))+IF(CT$4="X",VLOOKUP(CT$10,'VK-Võrgud'!$C:$X,2+$F92,0))</f>
        <v>90</v>
      </c>
      <c r="CU92" s="209">
        <f>IF(CU$7="X",VLOOKUP(CU$10,'VK-Hooned-Soojus'!$C:$X,2+$C92,FALSE),0)+IF(CU$6="X",VLOOKUP(CU$10,'VK-Transport'!$C:$X,2+$B92,0))+IF(CU$8="X",VLOOKUP(CU$10,'VK-Elekter'!$C:$X,2+$D92,0))+IF(CU$9="X",VLOOKUP(CU$10,'VK-Biokütused'!$C:$U,2+$E92,0))+IF(CU$5="X",VLOOKUP(CU$10,'VK-Põlevkivi'!$C:$X,2+$G92,0))+IF(CU$4="X",VLOOKUP(CU$10,'VK-Võrgud'!$C:$X,2+$F92,0))</f>
        <v>0.9337349397590361</v>
      </c>
      <c r="CV92" s="209">
        <f t="shared" si="49"/>
        <v>1</v>
      </c>
      <c r="CW92" s="209">
        <f>(IF(CW$7="X",VLOOKUP(CW$10,'VK-Hooned-Soojus'!$C:$X,2+$C92,FALSE),0)+IF(CW$6="X",VLOOKUP(CW$10,'VK-Transport'!$C:$X,2+$B92,0))+IF(CW$8="X",VLOOKUP(CW$10,'VK-Elekter'!$C:$X,2+$D92,0))+IF(CW$9="X",VLOOKUP(CW$10,'VK-Biokütused'!$C:$U,2+$E92,0))+IF(CW$5="X",VLOOKUP(CW$10,'VK-Põlevkivi'!$C:$X,2+$G92,0))+IF(CW$4="X",VLOOKUP(CW$10,'VK-Võrgud'!$C:$X,2+$F92,0)))/16</f>
        <v>0</v>
      </c>
      <c r="CY92" s="209">
        <f>(IF(CY$7="X",VLOOKUP(CY$10,'VK-Hooned-Soojus'!$C:$X,2+$C92,FALSE),0)+IF(CY$6="X",VLOOKUP(CY$10,'VK-Transport'!$C:$X,2+$B92,0))+IF(CY$8="X",VLOOKUP(CY$10,'VK-Elekter'!$C:$X,2+$D92,0))+IF(CY$9="X",VLOOKUP(CY$10,'VK-Biokütused'!$C:$U,2+$E92,0))+IF(CY$5="X",VLOOKUP(CY$10,'VK-Põlevkivi'!$C:$X,2+$G92,0))+IF(CY$4="X",VLOOKUP(CY$10,'VK-Võrgud'!$C:$X,2+$F92,0)))/1000</f>
        <v>10.295999999999999</v>
      </c>
      <c r="CZ92" s="209">
        <f>(IF(CZ$7="X",VLOOKUP(CZ$10,'VK-Hooned-Soojus'!$C:$X,2+$C92,FALSE),0)+IF(CZ$6="X",VLOOKUP(CZ$10,'VK-Transport'!$C:$X,2+$B92,0))+IF(CZ$8="X",VLOOKUP(CZ$10,'VK-Elekter'!$C:$X,2+$D92,0))+IF(CZ$9="X",VLOOKUP(CZ$10,'VK-Biokütused'!$C:$U,2+$E92,0))+IF(CZ$5="X",VLOOKUP(CZ$10,'VK-Põlevkivi'!$C:$X,2+$G92,0))+IF(CZ$4="X",VLOOKUP(CZ$10,'VK-Võrgud'!$C:$X,2+$F92,0)))</f>
        <v>70</v>
      </c>
      <c r="DA92" s="209">
        <f>(IF(DA$7="X",VLOOKUP(DA$10,'VK-Hooned-Soojus'!$C:$X,2+$C92,FALSE),0)+IF(DA$6="X",VLOOKUP(DA$10,'VK-Transport'!$C:$X,2+$B92,0))+IF(DA$8="X",VLOOKUP(DA$10,'VK-Elekter'!$C:$X,2+$D92,0))+IF(DA$9="X",VLOOKUP(DA$10,'VK-Biokütused'!$C:$U,2+$E92,0))+IF(DA$5="X",VLOOKUP(DA$10,'VK-Põlevkivi'!$C:$X,2+$G92,0))+IF(DA$4="X",VLOOKUP(DA$10,'VK-Võrgud'!$C:$X,2+$F92,0)))/1000</f>
        <v>13.797000000000001</v>
      </c>
      <c r="DB92" s="209">
        <f>(IF(DB$7="X",VLOOKUP(DB$10,'VK-Hooned-Soojus'!$C:$X,2+$C92,FALSE),0)+IF(DB$6="X",VLOOKUP(DB$10,'VK-Transport'!$C:$X,2+$B92,0))+IF(DB$8="X",VLOOKUP(DB$10,'VK-Elekter'!$C:$X,2+$D92,0))+IF(DB$9="X",VLOOKUP(DB$10,'VK-Biokütused'!$C:$U,2+$E92,0))+IF(DB$5="X",VLOOKUP(DB$10,'VK-Põlevkivi'!$C:$X,2+$G92,0))+IF(DB$4="X",VLOOKUP(DB$10,'VK-Võrgud'!$C:$X,2+$F92,0)))/1000/3.6</f>
        <v>61.262222222222221</v>
      </c>
      <c r="DC92" s="209">
        <f>(IF(DC$7="X",VLOOKUP(DC$10,'VK-Hooned-Soojus'!$C:$X,2+$C92,FALSE),0)+IF(DC$6="X",VLOOKUP(DC$10,'VK-Transport'!$C:$X,2+$B92,0))+IF(DC$8="X",VLOOKUP(DC$10,'VK-Elekter'!$C:$X,2+$D92,0))+IF(DC$9="X",VLOOKUP(DC$10,'VK-Biokütused'!$C:$U,2+$E92,0))+IF(DC$5="X",VLOOKUP(DC$10,'VK-Põlevkivi'!$C:$X,2+$G92,0))+IF(DC$4="X",VLOOKUP(DC$10,'VK-Võrgud'!$C:$X,2+$F92,0)))/1000000</f>
        <v>4.9278500000000003</v>
      </c>
      <c r="DD92" s="209"/>
      <c r="DE92" s="88">
        <f>VLOOKUP(Tulemused!$BN$12,data!M$7:N$12,2,FALSE)-SUM(L92,M92)</f>
        <v>-0.77386666666667736</v>
      </c>
      <c r="DF92" s="209" t="str">
        <f>IF(AZ92&lt;=VLOOKUP(Tulemused!$BN$15,data!$E$36:$F$39,2,FALSE),"JAH","EI")</f>
        <v>JAH</v>
      </c>
      <c r="DG92" s="209"/>
      <c r="DH92" s="209">
        <f t="shared" si="50"/>
        <v>6.08</v>
      </c>
      <c r="DI92" s="231" t="str">
        <f t="shared" si="65"/>
        <v>EI</v>
      </c>
      <c r="DK92" s="232">
        <f t="shared" si="51"/>
        <v>-995.98136491873061</v>
      </c>
      <c r="DM92" s="233">
        <f t="shared" si="52"/>
        <v>-995.63236664122758</v>
      </c>
      <c r="DN92" s="87">
        <f t="array" ref="DN92">INDEX($A$11:$A$145, SMALL(IF(DM92=$DK$11:$DK$145, MATCH(ROW($DK$11:$DK$145), ROW($DK$11:$DK$145))), SUM(--(DM92=$DM$11:DM92))))</f>
        <v>30</v>
      </c>
      <c r="DP92" s="87" t="e">
        <f t="shared" ca="1" si="66"/>
        <v>#N/A</v>
      </c>
      <c r="DQ92" s="87" t="e">
        <f t="shared" ca="1" si="67"/>
        <v>#N/A</v>
      </c>
      <c r="DR92" s="87">
        <f t="shared" ca="1" si="68"/>
        <v>0</v>
      </c>
      <c r="DS92" s="87" t="e">
        <f t="shared" ca="1" si="69"/>
        <v>#N/A</v>
      </c>
      <c r="DT92" s="87">
        <f t="shared" ca="1" si="70"/>
        <v>0</v>
      </c>
      <c r="DU92" s="87" t="e">
        <f t="shared" ca="1" si="71"/>
        <v>#N/A</v>
      </c>
      <c r="DV92" s="87" t="e">
        <f t="shared" ca="1" si="72"/>
        <v>#N/A</v>
      </c>
      <c r="DW92" s="87">
        <f t="shared" ca="1" si="73"/>
        <v>0</v>
      </c>
      <c r="DX92" s="87">
        <f t="shared" ca="1" si="74"/>
        <v>0</v>
      </c>
      <c r="DZ92" s="87">
        <f t="shared" ca="1" si="82"/>
        <v>0</v>
      </c>
      <c r="EB92" s="87">
        <f t="shared" ca="1" si="75"/>
        <v>0</v>
      </c>
      <c r="EC92" s="87" t="e">
        <f t="shared" ca="1" si="76"/>
        <v>#N/A</v>
      </c>
      <c r="EE92" s="228">
        <f>(IF(EE$7="X",VLOOKUP(EE$10,'VK-Hooned-Soojus'!$C:$X,2+$C92,FALSE),0)+IF(EE$6="X",VLOOKUP(EE$10,'VK-Transport'!$C:$X,2+$B92,0))+IF(EE$8="X",VLOOKUP(EE$10,'VK-Elekter'!$C:$X,2+$D92,0))+IF(EE$9="X",VLOOKUP(EE$10,'VK-Biokütused'!$C:$U,2+$E92,0))+IF(EE$5="X",VLOOKUP(EE$10,'VK-Põlevkivi'!$C:$X,2+$G92,0))+IF(EE$4="X",VLOOKUP(EE$10,'VK-Võrgud'!$C:$X,2+$F92,0)))</f>
        <v>7896.1184874213332</v>
      </c>
      <c r="EF92" s="235">
        <f>(IF(EF$7="X",VLOOKUP(EF$10,'VK-Hooned-Soojus'!$C:$X,2+$C92,FALSE),0)+IF(EF$6="X",VLOOKUP(EF$10,'VK-Transport'!$C:$X,2+$B92,0))+IF(EF$8="X",VLOOKUP(EF$10,'VK-Elekter'!$C:$X,2+$D92,0))+IF(EF$9="X",VLOOKUP(EF$10,'VK-Biokütused'!$C:$U,2+$E92,0)))/1000</f>
        <v>4.1093823271229706</v>
      </c>
      <c r="EG92" s="209">
        <f>(IF(EG$7="X",VLOOKUP(EG$10,'VK-Hooned-Soojus'!$C:$X,2+$C92,FALSE),0)+IF(EG$6="X",VLOOKUP(EG$10,'VK-Transport'!$C:$X,2+$B92,0))+IF(EG$8="X",VLOOKUP(EG$10,'VK-Elekter'!$C:$X,2+$D92,0))+IF(EG$9="X",VLOOKUP(EG$10,'VK-Biokütused'!$C:$U,2+$E92,0))+IF(EG$5="X",VLOOKUP(EG$10,'VK-Põlevkivi'!$C:$X,2+$G92,0))+IF(EG$4="X",VLOOKUP(EG$10,'VK-Võrgud'!$C:$X,2+$F92,0)))</f>
        <v>2.95</v>
      </c>
      <c r="EH92" s="209">
        <f>(IF(EH$7="X",VLOOKUP(EH$10,'VK-Hooned-Soojus'!$C:$X,2+$C92,FALSE),0)+IF(EH$6="X",VLOOKUP(EH$10,'VK-Transport'!$C:$X,2+$B92,0))+IF(EH$8="X",VLOOKUP(EH$10,'VK-Elekter'!$C:$X,2+$D92,0))+IF(EH$9="X",VLOOKUP(EH$10,'VK-Biokütused'!$C:$U,2+$E92,0)))+AR92+AS92+AU92+AX92</f>
        <v>52.134399224806202</v>
      </c>
      <c r="EI92" s="320">
        <f t="shared" si="53"/>
        <v>46.450678294573642</v>
      </c>
      <c r="EJ92" s="322">
        <f t="shared" si="54"/>
        <v>8.5191038095314503E-2</v>
      </c>
      <c r="EK92" s="323">
        <f t="shared" si="77"/>
        <v>0.46021318433610853</v>
      </c>
      <c r="EM92" s="209"/>
      <c r="EN92" s="209">
        <f t="shared" ca="1" si="55"/>
        <v>0</v>
      </c>
      <c r="EO92" s="209"/>
      <c r="EP92" s="234"/>
      <c r="EQ92" s="209">
        <f>(IF(EQ$7="X",VLOOKUP(EQ$10,'VK-Hooned-Soojus'!$C:$X,2+$C92,FALSE),0)+IF(EQ$6="X",VLOOKUP(EQ$10,'VK-Transport'!$C:$X,2+$B92,0))+IF(EQ$8="X",VLOOKUP(EQ$10,'VK-Elekter'!$C:$X,2+$D92,0))+IF(EQ$9="X",VLOOKUP(EQ$10,'VK-Biokütused'!$C:$U,2+$E92,0))+IF(EQ$5="X",VLOOKUP(EQ$10,'VK-Põlevkivi'!$C:$X,2+$G92,0))+IF(EQ$4="X",VLOOKUP(EQ$10,'VK-Võrgud'!$C:$X,2+$F92,0)))/1000</f>
        <v>0.19900000000000001</v>
      </c>
      <c r="ER92" s="209">
        <f>(IF(ER$7="X",VLOOKUP(ER$10,'VK-Hooned-Soojus'!$C:$X,2+$C92,FALSE),0)+IF(ER$6="X",VLOOKUP(ER$10,'VK-Transport'!$C:$X,2+$B92,0))+IF(ER$8="X",VLOOKUP(ER$10,'VK-Elekter'!$C:$X,2+$D92,0))+IF(ER$9="X",VLOOKUP(ER$10,'VK-Biokütused'!$C:$U,2+$E92,0))+IF(ER$5="X",VLOOKUP(ER$10,'VK-Põlevkivi'!$C:$X,2+$G92,0))+IF(ER$4="X",VLOOKUP(ER$10,'VK-Võrgud'!$C:$X,2+$F92,0)))</f>
        <v>0.72299999999999998</v>
      </c>
      <c r="ES92" s="209">
        <f>(IF(ES$7="X",VLOOKUP(ES$10,'VK-Hooned-Soojus'!$C:$X,2+$C92,FALSE),0)+IF(ES$6="X",VLOOKUP(ES$10,'VK-Transport'!$C:$X,2+$B92,0))+IF(ES$8="X",VLOOKUP(ES$10,'VK-Elekter'!$C:$X,2+$D92,0))+IF(ES$9="X",VLOOKUP(ES$10,'VK-Biokütused'!$C:$U,2+$E92,0))+IF(ES$5="X",VLOOKUP(ES$10,'VK-Põlevkivi'!$C:$X,2+$G92,0))+IF(ES$4="X",VLOOKUP(ES$10,'VK-Võrgud'!$C:$X,2+$F92,0)))</f>
        <v>6.08</v>
      </c>
      <c r="ET92" s="209"/>
      <c r="EU92" s="209"/>
      <c r="EV92" s="87">
        <f>'KSH järjestus'!AS85</f>
        <v>1059</v>
      </c>
      <c r="EX92" s="236"/>
      <c r="EY92" s="236"/>
      <c r="EZ92" s="237">
        <f t="shared" si="56"/>
        <v>6.6265060240963902E-2</v>
      </c>
      <c r="FA92" s="209">
        <f>IF(FA$7="X",VLOOKUP(FA$10,'VK-Hooned-Soojus'!$C:$X,2+$C92,FALSE),0)+IF(FA$6="X",VLOOKUP(FA$10,'VK-Transport'!$C:$X,2+$B92,0))+IF(FA$8="X",VLOOKUP(FA$10,'VK-Elekter'!$C:$X,2+$D92,0))+IF(FA$9="X",VLOOKUP(FA$10,'VK-Biokütused'!$C:$U,2+$E92,0))+IF(FA$5="X",VLOOKUP(FA$10,'VK-Põlevkivi'!$C:$X,2+$G92,0))+IF(FA$4="X",VLOOKUP(FA$10,'VK-Võrgud'!$C:$X,2+$F92,0))</f>
        <v>3009.346</v>
      </c>
      <c r="FB92" s="279">
        <f>(IF(FB$7="X",VLOOKUP(FB$10,'VK-Hooned-Soojus'!$C:$X,2+$C92,FALSE),0)+IF(FB$6="X",VLOOKUP(FB$10,'VK-Transport'!$C:$X,2+$B92,0))+IF(FB$8="X",VLOOKUP(FB$10,'VK-Elekter'!$C:$X,2+$D92,0))+IF(FB$9="X",VLOOKUP(FB$10,'VK-Biokütused'!$C:$U,2+$E92,0))+IF(FB$5="X",VLOOKUP(FB$10,'VK-Põlevkivi'!$C:$X,2+$G92,0))+IF(FB$4="X",VLOOKUP(FB$10,'VK-Võrgud'!$C:$X,2+$F92,0)))/16</f>
        <v>288.03787111316058</v>
      </c>
      <c r="FC92" s="209">
        <f>IF(FC$7="X",VLOOKUP(FC$10,'VK-Hooned-Soojus'!$C:$X,2+$C92,FALSE),0)+IF(FC$6="X",VLOOKUP(FC$10,'VK-Transport'!$C:$X,2+$B92,0))+IF(FC$8="X",VLOOKUP(FC$10,'VK-Elekter'!$C:$X,2+$D92,0))+IF(FC$9="X",VLOOKUP(FC$10,'VK-Biokütused'!$C:$U,2+$E92,0))+IF(FC$5="X",VLOOKUP(FC$10,'VK-Põlevkivi'!$C:$X,2+$G92,0))+IF(FC$4="X",VLOOKUP(FC$10,'VK-Võrgud'!$C:$X,2+$F92,0))</f>
        <v>297.04999999999995</v>
      </c>
      <c r="FD92" s="209">
        <f>(IF(FD$7="X",VLOOKUP(FD$10,'VK-Hooned-Soojus'!$C:$X,2+$C92,FALSE),0)+IF(FD$6="X",VLOOKUP(FD$10,'VK-Transport'!$C:$X,2+$B92,0))+IF(FD$8="X",VLOOKUP(FD$10,'VK-Elekter'!$C:$X,2+$D92,0))+IF(FD$9="X",VLOOKUP(FD$10,'VK-Biokütused'!$C:$U,2+$E92,0))+IF(FD$5="X",VLOOKUP(FD$10,'VK-Põlevkivi'!$C:$X,2+$G92,0))+IF(FD$4="X",VLOOKUP(FD$10,'VK-Võrgud'!$C:$X,2+$F92,0)))/16</f>
        <v>288.03787111316058</v>
      </c>
      <c r="FE92" s="209">
        <f>(IF(FE$7="X",VLOOKUP(FE$10,'VK-Hooned-Soojus'!$C:$X,2+$C92,FALSE),0)+IF(FE$6="X",VLOOKUP(FE$10,'VK-Transport'!$C:$X,2+$B92,0))+IF(FE$8="X",VLOOKUP(FE$10,'VK-Elekter'!$C:$X,2+$D92,0))+IF(FE$9="X",VLOOKUP(FE$10,'VK-Biokütused'!$C:$U,2+$E92,0))+IF(FE$5="X",VLOOKUP(FE$10,'VK-Põlevkivi'!$C:$X,2+$G92,0))+IF(FE$4="X",VLOOKUP(FE$10,'VK-Võrgud'!$C:$X,2+$F92,0)))/16</f>
        <v>-147.50125</v>
      </c>
      <c r="FF92" s="209">
        <f>(IF(FF$7="X",VLOOKUP(FF$10,'VK-Hooned-Soojus'!$C:$X,2+$C92,FALSE),0)+IF(FF$6="X",VLOOKUP(FF$10,'VK-Transport'!$C:$X,2+$B92,0))+IF(FF$8="X",VLOOKUP(FF$10,'VK-Elekter'!$C:$X,2+$D92,0))+IF(FF$9="X",VLOOKUP(FF$10,'VK-Biokütused'!$C:$U,2+$E92,0))+IF(FF$5="X",VLOOKUP(FF$10,'VK-Põlevkivi'!$C:$X,2+$G92,0))+IF(FF$4="X",VLOOKUP(FF$10,'VK-Võrgud'!$C:$X,2+$F92,0)))/16</f>
        <v>136.93013662322667</v>
      </c>
      <c r="FG92" s="88">
        <f t="shared" ca="1" si="78"/>
        <v>-10.571113376773326</v>
      </c>
      <c r="FH92" s="88"/>
      <c r="FI92" s="88"/>
      <c r="FJ92" s="88">
        <f>VLOOKUP(Tulemused!$BN$12,data!M$7:N$12,2,FALSE)-SUM(L92,M92)</f>
        <v>-0.77386666666667736</v>
      </c>
      <c r="FK92" s="209" t="str">
        <f>IF(AZ92&lt;=VLOOKUP(Tulemused!$BN$15,data!$E$36:$F$39,2,FALSE),"JAH","EI")</f>
        <v>JAH</v>
      </c>
      <c r="FL92" s="235">
        <f ca="1">IF(ISNA(MATCH($A92,INDIRECT(VLOOKUP(Tulemused!$BF$11,data!$J$57:$M$71,4,FALSE)))),0,MATCH($A92,INDIRECT(VLOOKUP(Tulemused!$BF$11,data!$J$57:$M$71,4,FALSE))))</f>
        <v>0</v>
      </c>
      <c r="FM92" s="235" t="str">
        <f t="shared" ca="1" si="57"/>
        <v>JAH</v>
      </c>
      <c r="FN92" s="209">
        <f>VLOOKUP(Tulemused!$BN$13,data!$C$132:$D$137,2,FALSE)-KOMBI!R92</f>
        <v>3.8465876728770305</v>
      </c>
      <c r="FO92" s="209"/>
      <c r="FP92" s="209">
        <f>VLOOKUP(Tulemused!$BN$17,NO_x,2,FALSE)-CJ92</f>
        <v>11.955138900569413</v>
      </c>
      <c r="FQ92" s="209">
        <f>VLOOKUP(Tulemused!$BN$18,SO_2,2,FALSE)-CK92</f>
        <v>40.661675362099992</v>
      </c>
      <c r="FR92" s="209">
        <f>VLOOKUP(Tulemused!$BN$19,LOU,2,FALSE)-CN92</f>
        <v>34.182000000000002</v>
      </c>
      <c r="FS92" s="209">
        <f>VLOOKUP(Tulemused!$BN$20,PM_2.5,2,FALSE)-CM92</f>
        <v>9.314684320552896</v>
      </c>
      <c r="FT92" s="209">
        <f>VLOOKUP(Tulemused!$BN$13,data!$C$132:$D$137,2,FALSE)-FA92/1000</f>
        <v>3.2366240000000008</v>
      </c>
      <c r="FU92" s="209">
        <f>VLOOKUP(Tulemused!$BN$17,NO_x,2,FALSE)-CO92</f>
        <v>5.5964247892027181</v>
      </c>
      <c r="FV92" s="209">
        <f>VLOOKUP(Tulemused!$BN$18,SO_2,2,FALSE)-CP92</f>
        <v>38.478005169650174</v>
      </c>
      <c r="FW92" s="209">
        <f>VLOOKUP(Tulemused!$BN$19,LOU,2,FALSE)-CS92</f>
        <v>33.285665509940173</v>
      </c>
      <c r="FX92" s="209">
        <f>VLOOKUP(Tulemused!$BN$20,PM_2.5,2,FALSE)-CR92</f>
        <v>9.2119127215424239</v>
      </c>
      <c r="FY92" s="209">
        <f>VLOOKUP(Tulemused!$BN$14,KHG_2050,2,FALSE)-EF92</f>
        <v>95.890617672877028</v>
      </c>
      <c r="FZ92" s="231" t="str">
        <f t="shared" ca="1" si="79"/>
        <v>EI</v>
      </c>
      <c r="GA92" s="209"/>
      <c r="GB92" s="209"/>
      <c r="GC92" s="209"/>
      <c r="GD92" s="231"/>
      <c r="GE92" s="87">
        <f t="shared" si="58"/>
        <v>1059</v>
      </c>
      <c r="GF92" s="232" t="str">
        <f t="shared" ca="1" si="80"/>
        <v/>
      </c>
      <c r="GH92" s="238" t="e">
        <f t="shared" ca="1" si="59"/>
        <v>#NUM!</v>
      </c>
      <c r="GI92" s="87" t="e">
        <f t="array" aca="1" ref="GI92" ca="1">INDEX($A$11:$A$145, SMALL(IF(GH92=$GF$11:$GF$145, MATCH(ROW($GF$11:$GF$145), ROW($GF$11:$GF$145))), SUM(--(GH92=$GH$11:GH92))))</f>
        <v>#NUM!</v>
      </c>
      <c r="GM92" s="209">
        <f>IF(GM$7="X",VLOOKUP(GM$10,'VK-Hooned-Soojus'!$C:$X,2+$C92,FALSE),0)+IF(GM$6="X",VLOOKUP(GM$10,'VK-Transport'!$C:$X,2+$B92,0))+IF(GM$8="X",VLOOKUP(GM$10,'VK-Elekter'!$C:$X,2+$D92,0))+IF(GM$9="X",VLOOKUP(GM$10,'VK-Biokütused'!$C:$U,2+$E92,0))+IF(GM$5="X",VLOOKUP(GM$10,'VK-Põlevkivi'!$C:$X,2+$G92,0))+IF(GM$4="X",VLOOKUP(GM$10,'VK-Võrgud'!$C:$X,2+$F92,0))</f>
        <v>6.011750640646909</v>
      </c>
      <c r="GN92" s="209">
        <f>IF(GN$7="X",VLOOKUP(GN$10,'VK-Hooned-Soojus'!$C:$X,2+$C92,FALSE),0)+IF(GN$6="X",VLOOKUP(GN$10,'VK-Transport'!$C:$X,2+$B92,0))+IF(GN$8="X",VLOOKUP(GN$10,'VK-Elekter'!$C:$X,2+$D92,0))+IF(GN$9="X",VLOOKUP(GN$10,'VK-Biokütused'!$C:$U,2+$E92,0))+IF(GN$5="X",VLOOKUP(GN$10,'VK-Põlevkivi'!$C:$X,2+$G92,0))+IF(GN$4="X",VLOOKUP(GN$10,'VK-Võrgud'!$C:$X,2+$F92,0))</f>
        <v>3.4528686473995491</v>
      </c>
      <c r="GO92" s="209">
        <f>IF(GO$7="X",VLOOKUP(GO$10,'VK-Hooned-Soojus'!$C:$X,2+$C92,FALSE),0)+IF(GO$6="X",VLOOKUP(GO$10,'VK-Transport'!$C:$X,2+$B92,0))+IF(GO$8="X",VLOOKUP(GO$10,'VK-Elekter'!$C:$X,2+$D92,0))+IF(GO$9="X",VLOOKUP(GO$10,'VK-Biokütused'!$C:$U,2+$E92,0))+IF(GO$5="X",VLOOKUP(GO$10,'VK-Põlevkivi'!$C:$X,2+$G92,0))+IF(GO$4="X",VLOOKUP(GO$10,'VK-Võrgud'!$C:$X,2+$F92,0))</f>
        <v>7.5763700102722566</v>
      </c>
      <c r="GP92" s="209">
        <f>IF(GP$7="X",VLOOKUP(GP$10,'VK-Hooned-Soojus'!$C:$X,2+$C92,FALSE),0)+IF(GP$6="X",VLOOKUP(GP$10,'VK-Transport'!$C:$X,2+$B92,0))+IF(GP$8="X",VLOOKUP(GP$10,'VK-Elekter'!$C:$X,2+$D92,0))+IF(GP$9="X",VLOOKUP(GP$10,'VK-Biokütused'!$C:$U,2+$E92,0))+IF(GP$5="X",VLOOKUP(GP$10,'VK-Põlevkivi'!$C:$X,2+$G92,0))+IF(GP$4="X",VLOOKUP(GP$10,'VK-Võrgud'!$C:$X,2+$F92,0))</f>
        <v>8.9326558040707589</v>
      </c>
      <c r="GQ92" s="88">
        <f>IF(GQ$7="X",VLOOKUP(GQ$10,'VK-Hooned-Soojus'!$C:$X,2+$C92,FALSE),0)+IF(GQ$6="X",VLOOKUP(GQ$10,'VK-Transport'!$C:$X,2+$B92,0))+IF(GQ$8="X",VLOOKUP(GQ$10,'VK-Elekter'!$C:$X,2+$D92,0))+IF(GQ$9="X",VLOOKUP(GQ$10,'VK-Biokütused'!$C:$U,2+$E92,0))+IF(GQ$5="X",VLOOKUP(GQ$10,'VK-Põlevkivi'!$C:$X,2+$G92,0))+IF(GQ$4="X",VLOOKUP(GQ$10,'VK-Võrgud'!$C:$X,2+$F92,0))</f>
        <v>0.90618397335647782</v>
      </c>
      <c r="GR92" s="186">
        <f t="shared" si="81"/>
        <v>0.39550808643602814</v>
      </c>
    </row>
    <row r="93" spans="1:200" x14ac:dyDescent="0.2">
      <c r="A93" s="184">
        <v>83</v>
      </c>
      <c r="B93" s="87">
        <v>2</v>
      </c>
      <c r="C93" s="87">
        <v>3</v>
      </c>
      <c r="D93" s="87">
        <v>3</v>
      </c>
      <c r="E93" s="87">
        <v>2</v>
      </c>
      <c r="F93" s="87">
        <f>VLOOKUP(Tulemused!$BF$7,data!$J$6:$K$8,2,FALSE)</f>
        <v>2</v>
      </c>
      <c r="G93" s="87">
        <f>VLOOKUP(data!$H$2,data!$J$12:$K$14,2,FALSE)</f>
        <v>2</v>
      </c>
      <c r="I93" s="209">
        <f>IF(I$7="X",VLOOKUP(I$10,'VK-Hooned-Soojus'!$C:$X,2+$C93,FALSE),0)+IF(I$6="X",VLOOKUP(I$10,'VK-Transport'!$C:$X,2+$B93,0))+IF(I$8="X",VLOOKUP(I$10,'VK-Elekter'!$C:$X,2+$D93,0))+IF(I$9="X",VLOOKUP(I$10,'VK-Biokütused'!$C:$U,2+$E93,0))+IF(I$5="X",VLOOKUP(I$10,'VK-Põlevkivi'!$C:$X,2+$G93,0))+IF(I$4="X",VLOOKUP(I$10,'VK-Võrgud'!$C:$X,2+$F93,0))</f>
        <v>23.490000000000002</v>
      </c>
      <c r="J93" s="209">
        <f>IF(J$7="X",VLOOKUP(J$10,'VK-Hooned-Soojus'!$C:$X,2+$C93,FALSE),0)+IF(J$6="X",VLOOKUP(J$10,'VK-Transport'!$C:$X,2+$B93,0))+IF(J$8="X",VLOOKUP(J$10,'VK-Elekter'!$C:$X,2+$D93,0))+IF(J$9="X",VLOOKUP(J$10,'VK-Biokütused'!$C:$U,2+$E93,0))+IF(J$5="X",VLOOKUP(J$10,'VK-Põlevkivi'!$C:$X,2+$G93,0))+IF(J$4="X",VLOOKUP(J$10,'VK-Võrgud'!$C:$X,2+$F93,0))</f>
        <v>11.138055555555555</v>
      </c>
      <c r="K93" s="209">
        <f>IF(K$7="X",VLOOKUP(K$10,'VK-Hooned-Soojus'!$C:$X,2+$C93,FALSE),0)+IF(K$6="X",VLOOKUP(K$10,'VK-Transport'!$C:$X,2+$B93,0))+IF(K$8="X",VLOOKUP(K$10,'VK-Elekter'!$C:$X,2+$D93,0))+IF(K$9="X",VLOOKUP(K$10,'VK-Biokütused'!$C:$U,2+$E93,0))+IF(K$5="X",VLOOKUP(K$10,'VK-Põlevkivi'!$C:$X,2+$G93,0))+IF(K$4="X",VLOOKUP(K$10,'VK-Võrgud'!$C:$X,2+$F93,0))</f>
        <v>13.780000000000001</v>
      </c>
      <c r="L93" s="209">
        <f>IF(L$7="X",VLOOKUP(L$10,'VK-Hooned-Soojus'!$C:$X,2+$C93,FALSE),0)+IF(L$6="X",VLOOKUP(L$10,'VK-Transport'!$C:$X,2+$B93,0))+IF(L$8="X",VLOOKUP(L$10,'VK-Elekter'!$C:$X,2+$D93,0))+IF(L$9="X",VLOOKUP(L$10,'VK-Biokütused'!$C:$U,2+$E93,0))+IF(L$5="X",VLOOKUP(L$10,'VK-Põlevkivi'!$C:$X,2+$G93,0))+IF(L$4="X",VLOOKUP(L$10,'VK-Võrgud'!$C:$X,2+$F93,0))</f>
        <v>23.75</v>
      </c>
      <c r="M93" s="209">
        <f>IF(M$7="X",VLOOKUP(M$10,'VK-Hooned-Soojus'!$C:$X,2+$C93,FALSE),0)+IF(M$6="X",VLOOKUP(M$10,'VK-Transport'!$C:$X,2+$B93,0))+IF(M$8="X",VLOOKUP(M$10,'VK-Elekter'!$C:$X,2+$D93,0))+IF(M$9="X",VLOOKUP(M$10,'VK-Biokütused'!$C:$U,2+$E93,0))+IF(M$5="X",VLOOKUP(M$10,'VK-Põlevkivi'!$C:$X,2+$G93,0))+IF(M$4="X",VLOOKUP(M$10,'VK-Võrgud'!$C:$X,2+$F93,0))</f>
        <v>9.8566666666666674</v>
      </c>
      <c r="N93" s="209">
        <f>IF(N$7="X",VLOOKUP(N$10,'VK-Hooned-Soojus'!$C:$X,2+$C93,FALSE),0)+IF(N$6="X",VLOOKUP(N$10,'VK-Transport'!$C:$X,2+$B93,0))+IF(N$8="X",VLOOKUP(N$10,'VK-Elekter'!$C:$X,2+$D93,0))+IF(N$9="X",VLOOKUP(N$10,'VK-Biokütused'!$C:$U,2+$E93,0))+IF(N$5="X",VLOOKUP(N$10,'VK-Põlevkivi'!$C:$X,2+$G93,0))+IF(N$4="X",VLOOKUP(N$10,'VK-Võrgud'!$C:$X,2+$F93,0))</f>
        <v>15.25</v>
      </c>
      <c r="O93" s="209">
        <f t="shared" si="60"/>
        <v>34.628055555555555</v>
      </c>
      <c r="P93" s="209"/>
      <c r="Q93" s="209">
        <f>(IF(Q$7="X",VLOOKUP(Q$10,'VK-Hooned-Soojus'!$C:$X,2+$C93,FALSE),0)+IF(Q$6="X",VLOOKUP(Q$10,'VK-Transport'!$C:$X,2+$B93,0))+IF(Q$8="X",VLOOKUP(Q$10,'VK-Elekter'!$C:$X,2+$D93,0))+IF(Q$9="X",VLOOKUP(Q$10,'VK-Biokütused'!$C:$U,2+$E93,0))+IF(Q$5="X",VLOOKUP(Q$10,'VK-Põlevkivi'!$C:$X,2+$G93,0))+IF(Q$4="X",VLOOKUP(Q$10,'VK-Võrgud'!$C:$X,2+$F93,0)))/1000</f>
        <v>4.9050000000000002</v>
      </c>
      <c r="R93" s="209">
        <f>(IF(R$7="X",VLOOKUP(R$10,'VK-Hooned-Soojus'!$C:$X,2+$C93,FALSE),0)+IF(R$6="X",VLOOKUP(R$10,'VK-Transport'!$C:$X,2+$B93,0))+IF(R$8="X",VLOOKUP(R$10,'VK-Elekter'!$C:$X,2+$D93,0))+IF(R$9="X",VLOOKUP(R$10,'VK-Biokütused'!$C:$U,2+$E93,0))+IF(R$5="X",VLOOKUP(R$10,'VK-Põlevkivi'!$C:$X,2+$G93,0))+IF(R$4="X",VLOOKUP(R$10,'VK-Võrgud'!$C:$X,2+$F93,0)))/1000</f>
        <v>2.7768823271229701</v>
      </c>
      <c r="S93" s="226">
        <f>VLOOKUP(S$10,'VK-Hooned-Soojus'!$C:$I,2+$C93,FALSE) + VLOOKUP(S$10,'VK-Transport'!$C:$I,2+$B93,FALSE)+ VLOOKUP(S$10,'VK-Biokütused'!$C:$G,2+$E93,FALSE)+ VLOOKUP(S$10,'VK-Elekter'!$C:$I,2+$D93,FALSE)+ VLOOKUP(S$10,'VK-Põlevkivi'!$C:$I,2+$G93,FALSE)+ VLOOKUP(S$10,'VK-Võrgud'!$C:$I,2+$F93,FALSE)</f>
        <v>1.770094749520619E-2</v>
      </c>
      <c r="T93" s="226">
        <f>VLOOKUP(T$10,'VK-Hooned-Soojus'!$C:$I,2+$C93,FALSE) + VLOOKUP(T$10,'VK-Transport'!$C:$I,2+$B93,FALSE)+ VLOOKUP(T$10,'VK-Biokütused'!$C:$G,2+$E93,FALSE)+ VLOOKUP(T$10,'VK-Elekter'!$C:$I,2+$D93,FALSE)+ VLOOKUP(T$10,'VK-Põlevkivi'!$C:$I,2+$G93,FALSE)+ VLOOKUP(T$10,'VK-Võrgud'!$C:$I,2+$F93,FALSE)</f>
        <v>-2.2787909872593872E-3</v>
      </c>
      <c r="U93" s="226">
        <f>VLOOKUP(U$10,'VK-Hooned-Soojus'!$C:$I,2+$C93,FALSE) + VLOOKUP(U$10,'VK-Transport'!$C:$I,2+$B93,FALSE)+ VLOOKUP(U$10,'VK-Biokütused'!$C:$G,2+$E93,FALSE)+ VLOOKUP(U$10,'VK-Elekter'!$C:$I,2+$D93,FALSE)+ VLOOKUP(U$10,'VK-Põlevkivi'!$C:$I,2+$G93,FALSE)+ VLOOKUP(U$10,'VK-Võrgud'!$C:$I,2+$F93,FALSE)</f>
        <v>2.7404934882941934E-3</v>
      </c>
      <c r="V93" s="226">
        <f>VLOOKUP(V$10,'VK-Hooned-Soojus'!$C:$I,2+$C93,FALSE) + VLOOKUP(V$10,'VK-Transport'!$C:$I,2+$B93,FALSE)+ VLOOKUP(V$10,'VK-Biokütused'!$C:$G,2+$E93,FALSE)+ VLOOKUP(V$10,'VK-Elekter'!$C:$I,2+$D93,FALSE)+ VLOOKUP(V$10,'VK-Põlevkivi'!$C:$I,2+$G93,FALSE)+ VLOOKUP(V$10,'VK-Võrgud'!$C:$I,2+$F93,FALSE)</f>
        <v>1.5069005589248069E-2</v>
      </c>
      <c r="W93" s="226">
        <f>VLOOKUP(W$10,'VK-Hooned-Soojus'!$C:$I,2+$C93,FALSE) + VLOOKUP(W$10,'VK-Transport'!$C:$I,2+$B93,FALSE)+ VLOOKUP(W$10,'VK-Biokütused'!$C:$G,2+$E93,FALSE)+ VLOOKUP(W$10,'VK-Elekter'!$C:$I,2+$D93,FALSE)+ VLOOKUP(W$10,'VK-Põlevkivi'!$C:$I,2+$G93,FALSE)+ VLOOKUP(W$10,'VK-Võrgud'!$C:$I,2+$F93,FALSE)</f>
        <v>-3.3090432581224322E-2</v>
      </c>
      <c r="X93" s="226">
        <f>VLOOKUP(X$10,'VK-Hooned-Soojus'!$C:$I,2+$C93,FALSE) + VLOOKUP(X$10,'VK-Transport'!$C:$I,2+$B93,FALSE)+ VLOOKUP(X$10,'VK-Biokütused'!$C:$G,2+$E93,FALSE)+ VLOOKUP(X$10,'VK-Elekter'!$C:$I,2+$D93,FALSE)+ VLOOKUP(X$10,'VK-Põlevkivi'!$C:$I,2+$G93,FALSE)+ VLOOKUP(X$10,'VK-Võrgud'!$C:$I,2+$F93,FALSE)</f>
        <v>-3.8446175121355446E-2</v>
      </c>
      <c r="Y93" s="226">
        <f>VLOOKUP(Y$10,'VK-Hooned-Soojus'!$C:$I,2+$C93,FALSE) + VLOOKUP(Y$10,'VK-Transport'!$C:$I,2+$B93,FALSE)+ VLOOKUP(Y$10,'VK-Biokütused'!$C:$G,2+$E93,FALSE)+ VLOOKUP(Y$10,'VK-Elekter'!$C:$I,2+$D93,FALSE)+ VLOOKUP(Y$10,'VK-Põlevkivi'!$C:$I,2+$G93,FALSE)+ VLOOKUP(Y$10,'VK-Võrgud'!$C:$I,2+$F93,FALSE)</f>
        <v>-5.5900190600631061E-2</v>
      </c>
      <c r="Z93" s="227">
        <f>(S93*Tulemused!$Q$9*10+T93*Tulemused!$Q$10*10+KOMBI!U93*Tulemused!$Q$11*10+KOMBI!V93*Tulemused!$Q$12*10)*Tulemused!$Q$8+-(W93*Tulemused!$Q$14*10+KOMBI!X93*Tulemused!$Q$15*10+KOMBI!Y93*Tulemused!$Q$16*10)*Tulemused!$Q$13</f>
        <v>4.9345467299152439</v>
      </c>
      <c r="AA93" s="228">
        <f>(IF(AA$7="X",VLOOKUP(AA$10,'VK-Hooned-Soojus'!$C:$X,2+$C93,FALSE),0)+IF(AA$6="X",VLOOKUP(AA$10,'VK-Transport'!$C:$X,2+$B93,0))+IF(AA$8="X",VLOOKUP(AA$10,'VK-Elekter'!$C:$X,2+$D93,0))+IF(AA$9="X",VLOOKUP(AA$10,'VK-Biokütused'!$C:$U,2+$E93,0))+IF(AA$5="X",VLOOKUP(AA$10,'VK-Põlevkivi'!$C:$X,2+$G93,0))+IF(AA$4="X",VLOOKUP(AA$10,'VK-Võrgud'!$C:$X,2+$F93,0)))</f>
        <v>3728</v>
      </c>
      <c r="AB93" s="228">
        <f>(IF(AB$7="X",VLOOKUP(AB$10,'VK-Hooned-Soojus'!$C:$X,2+$C93,FALSE),0)+IF(AB$6="X",VLOOKUP(AB$10,'VK-Transport'!$C:$X,2+$B93,0))+IF(AB$8="X",VLOOKUP(AB$10,'VK-Elekter'!$C:$X,2+$D93,0))+IF(AB$9="X",VLOOKUP(AB$10,'VK-Biokütused'!$C:$U,2+$E93,0))+IF(AB$5="X",VLOOKUP(AB$10,'VK-Põlevkivi'!$C:$X,2+$G93,0))+IF(AB$4="X",VLOOKUP(AB$10,'VK-Võrgud'!$C:$X,2+$F93,0)))</f>
        <v>1177</v>
      </c>
      <c r="AC93" s="228">
        <f>(IF(AC$7="X",VLOOKUP(AC$10,'VK-Hooned-Soojus'!$C:$X,2+$C93,FALSE),0)+IF(AC$6="X",VLOOKUP(AC$10,'VK-Transport'!$C:$X,2+$B93,0))+IF(AC$8="X",VLOOKUP(AC$10,'VK-Elekter'!$C:$X,2+$D93,0))+IF(AC$9="X",VLOOKUP(AC$10,'VK-Biokütused'!$C:$U,2+$E93,0))+IF(AC$5="X",VLOOKUP(AC$10,'VK-Põlevkivi'!$C:$X,2+$G93,0))+IF(AC$4="X",VLOOKUP(AC$10,'VK-Võrgud'!$C:$X,2+$F93,0)))</f>
        <v>2346</v>
      </c>
      <c r="AD93" s="228">
        <f>(IF(AD$7="X",VLOOKUP(AD$10,'VK-Hooned-Soojus'!$C:$X,2+$C93,FALSE),0)+IF(AD$6="X",VLOOKUP(AD$10,'VK-Transport'!$C:$X,2+$B93,0))+IF(AD$8="X",VLOOKUP(AD$10,'VK-Elekter'!$C:$X,2+$D93,0))+IF(AD$9="X",VLOOKUP(AD$10,'VK-Biokütused'!$C:$U,2+$E93,0))+IF(AD$5="X",VLOOKUP(AD$10,'VK-Põlevkivi'!$C:$X,2+$G93,0))+IF(AD$4="X",VLOOKUP(AD$10,'VK-Võrgud'!$C:$X,2+$F93,0)))</f>
        <v>377.5</v>
      </c>
      <c r="AE93" s="228">
        <f>(IF(AE$7="X",VLOOKUP(AE$10,'VK-Hooned-Soojus'!$C:$X,2+$C93,FALSE),0)+IF(AE$6="X",VLOOKUP(AE$10,'VK-Transport'!$C:$X,2+$B93,0))+IF(AE$8="X",VLOOKUP(AE$10,'VK-Elekter'!$C:$X,2+$D93,0))+IF(AE$9="X",VLOOKUP(AE$10,'VK-Biokütused'!$C:$U,2+$E93,0))+IF(AE$5="X",VLOOKUP(AE$10,'VK-Põlevkivi'!$C:$X,2+$G93,0))+IF(AE$4="X",VLOOKUP(AE$10,'VK-Võrgud'!$C:$X,2+$F93,0)))</f>
        <v>507</v>
      </c>
      <c r="AF93" s="228">
        <f>(IF(AF$7="X",VLOOKUP(AF$10,'VK-Hooned-Soojus'!$C:$X,2+$C93,FALSE),0)+IF(AF$6="X",VLOOKUP(AF$10,'VK-Transport'!$C:$X,2+$B93,0))+IF(AF$8="X",VLOOKUP(AF$10,'VK-Elekter'!$C:$X,2+$D93,0))+IF(AF$9="X",VLOOKUP(AF$10,'VK-Biokütused'!$C:$U,2+$E93,0))+IF(AF$5="X",VLOOKUP(AF$10,'VK-Põlevkivi'!$C:$X,2+$G93,0))+IF(AF$4="X",VLOOKUP(AF$10,'VK-Võrgud'!$C:$X,2+$F93,0)))</f>
        <v>1892.3823271229701</v>
      </c>
      <c r="AG93" s="209"/>
      <c r="AH93" s="209">
        <f>IF(AH$7="X",VLOOKUP(AH$10,'VK-Hooned-Soojus'!$C:$X,2+$C93,FALSE),0)+IF(AH$6="X",VLOOKUP(AH$10,'VK-Transport'!$C:$X,2+$B93,0))+IF(AH$8="X",VLOOKUP(AH$10,'VK-Elekter'!$C:$X,2+$D93,0))+IF(AH$9="X",VLOOKUP(AH$10,'VK-Biokütused'!$C:$U,2+$E93,0))+IF(AH$5="X",VLOOKUP(AH$10,'VK-Põlevkivi'!$C:$X,2+$G93,0))+IF(AH$4="X",VLOOKUP(AH$10,'VK-Võrgud'!$C:$X,2+$F93,0))</f>
        <v>11.579999999999998</v>
      </c>
      <c r="AI93" s="209">
        <f>IF(AI$7="X",VLOOKUP(AI$10,'VK-Hooned-Soojus'!$C:$X,2+$C93,FALSE),0)+IF(AI$6="X",VLOOKUP(AI$10,'VK-Transport'!$C:$X,2+$B93,0))+IF(AI$8="X",VLOOKUP(AI$10,'VK-Elekter'!$C:$X,2+$D93,0))+IF(AI$9="X",VLOOKUP(AI$10,'VK-Biokütused'!$C:$U,2+$E93,0))+IF(AI$5="X",VLOOKUP(AI$10,'VK-Põlevkivi'!$C:$X,2+$G93,0))+IF(AI$4="X",VLOOKUP(AI$10,'VK-Võrgud'!$C:$X,2+$F93,0))</f>
        <v>4.45</v>
      </c>
      <c r="AJ93" s="209">
        <f>IF(AJ$7="X",VLOOKUP(AJ$10,'VK-Hooned-Soojus'!$C:$X,2+$C93,FALSE),0)+IF(AJ$6="X",VLOOKUP(AJ$10,'VK-Transport'!$C:$X,2+$B93,0))+IF(AJ$8="X",VLOOKUP(AJ$10,'VK-Elekter'!$C:$X,2+$D93,0))+IF(AJ$9="X",VLOOKUP(AJ$10,'VK-Biokütused'!$C:$U,2+$E93,0))+IF(AJ$5="X",VLOOKUP(AJ$10,'VK-Põlevkivi'!$C:$X,2+$G93,0))+IF(AJ$4="X",VLOOKUP(AJ$10,'VK-Võrgud'!$C:$X,2+$F93,0))</f>
        <v>9.19</v>
      </c>
      <c r="AK93" s="209">
        <f>IF(AK$7="X",VLOOKUP(AK$10,'VK-Hooned-Soojus'!$C:$X,2+$C93,FALSE),0)+IF(AK$6="X",VLOOKUP(AK$10,'VK-Transport'!$C:$X,2+$B93,0))+IF(AK$8="X",VLOOKUP(AK$10,'VK-Elekter'!$C:$X,2+$D93,0))+IF(AK$9="X",VLOOKUP(AK$10,'VK-Biokütused'!$C:$U,2+$E93,0))+IF(AK$5="X",VLOOKUP(AK$10,'VK-Põlevkivi'!$C:$X,2+$G93,0))+IF(AK$4="X",VLOOKUP(AK$10,'VK-Võrgud'!$C:$X,2+$F93,0))</f>
        <v>0.66</v>
      </c>
      <c r="AL93" s="209">
        <f>IF(AL$7="X",VLOOKUP(AL$10,'VK-Hooned-Soojus'!$C:$X,2+$C93,FALSE),0)+IF(AL$6="X",VLOOKUP(AL$10,'VK-Transport'!$C:$X,2+$B93,0))+IF(AL$8="X",VLOOKUP(AL$10,'VK-Elekter'!$C:$X,2+$D93,0))+IF(AL$9="X",VLOOKUP(AL$10,'VK-Biokütused'!$C:$U,2+$E93,0))+IF(AL$5="X",VLOOKUP(AL$10,'VK-Põlevkivi'!$C:$X,2+$G93,0))+IF(AL$4="X",VLOOKUP(AL$10,'VK-Võrgud'!$C:$X,2+$F93,0))</f>
        <v>7.1</v>
      </c>
      <c r="AM93" s="209">
        <f>IF(AM$7="X",VLOOKUP(AM$10,'VK-Hooned-Soojus'!$C:$X,2+$C93,FALSE),0)+IF(AM$6="X",VLOOKUP(AM$10,'VK-Transport'!$C:$X,2+$B93,0))+IF(AM$8="X",VLOOKUP(AM$10,'VK-Elekter'!$C:$X,2+$D93,0))+IF(AM$9="X",VLOOKUP(AM$10,'VK-Biokütused'!$C:$U,2+$E93,0))+IF(AM$5="X",VLOOKUP(AM$10,'VK-Põlevkivi'!$C:$X,2+$G93,0))+IF(AM$4="X",VLOOKUP(AM$10,'VK-Võrgud'!$C:$X,2+$F93,0))</f>
        <v>11.5</v>
      </c>
      <c r="AN93" s="209">
        <f>IF(AN$7="X",VLOOKUP(AN$10,'VK-Hooned-Soojus'!$C:$X,2+$C93,FALSE),0)+IF(AN$6="X",VLOOKUP(AN$10,'VK-Transport'!$C:$X,2+$B93,0))+IF(AN$8="X",VLOOKUP(AN$10,'VK-Elekter'!$C:$X,2+$D93,0))+IF(AN$9="X",VLOOKUP(AN$10,'VK-Biokütused'!$C:$U,2+$E93,0))+IF(AN$5="X",VLOOKUP(AN$10,'VK-Põlevkivi'!$C:$X,2+$G93,0))+IF(AN$4="X",VLOOKUP(AN$10,'VK-Võrgud'!$C:$X,2+$F93,0))</f>
        <v>4.0999999999999996</v>
      </c>
      <c r="AO93" s="209">
        <f>IF(AO$7="X",VLOOKUP(AO$10,'VK-Hooned-Soojus'!$C:$X,2+$C93,FALSE),0)+IF(AO$6="X",VLOOKUP(AO$10,'VK-Transport'!$C:$X,2+$B93,0))+IF(AO$8="X",VLOOKUP(AO$10,'VK-Elekter'!$C:$X,2+$D93,0))+IF(AO$9="X",VLOOKUP(AO$10,'VK-Biokütused'!$C:$U,2+$E93,0))+IF(AO$5="X",VLOOKUP(AO$10,'VK-Põlevkivi'!$C:$X,2+$G93,0))+IF(AO$4="X",VLOOKUP(AO$10,'VK-Võrgud'!$C:$X,2+$F93,0))</f>
        <v>12.16</v>
      </c>
      <c r="AP93" s="209">
        <f>IF(AP$7="X",VLOOKUP(AP$10,'VK-Hooned-Soojus'!$C:$X,2+$C93,FALSE),0)+IF(AP$6="X",VLOOKUP(AP$10,'VK-Transport'!$C:$X,2+$B93,0))+IF(AP$8="X",VLOOKUP(AP$10,'VK-Elekter'!$C:$X,2+$D93,0))+IF(AP$9="X",VLOOKUP(AP$10,'VK-Biokütused'!$C:$U,2+$E93,0))+IF(AP$5="X",VLOOKUP(AP$10,'VK-Põlevkivi'!$C:$X,2+$G93,0))+IF(AP$4="X",VLOOKUP(AP$10,'VK-Võrgud'!$C:$X,2+$F93,0))</f>
        <v>6.08</v>
      </c>
      <c r="AQ93" s="320">
        <f t="shared" si="61"/>
        <v>0</v>
      </c>
      <c r="AR93" s="209">
        <f>IF(AR$7="X",VLOOKUP(AR$10,'VK-Hooned-Soojus'!$C:$X,2+$C93,FALSE),0)+IF(AR$6="X",VLOOKUP(AR$10,'VK-Transport'!$C:$X,2+$B93,0))+IF(AR$8="X",VLOOKUP(AR$10,'VK-Elekter'!$C:$X,2+$D93,0))+IF(AR$9="X",VLOOKUP(AR$10,'VK-Biokütused'!$C:$U,2+$E93,0))+IF(AR$5="X",VLOOKUP(AR$10,'VK-Põlevkivi'!$C:$X,2+$G93,0))+IF(AR$4="X",VLOOKUP(AR$10,'VK-Võrgud'!$C:$X,2+$F93,0))</f>
        <v>2.3899999999999997</v>
      </c>
      <c r="AS93" s="320">
        <f>VLOOKUP("Kütuste tarbimine @ 2030 - UTTEGAAS",'VK-Hooned-Soojus'!$C:$X,2+$C93,FALSE)/0.172+VLOOKUP("Kütuste tarbimine @ 2030 - UTTEGAAS",'VK-Elekter'!$C:$X,2+$D93,FALSE)/0.172-AR93-AU93</f>
        <v>2.8565116279069773</v>
      </c>
      <c r="AT93" s="209">
        <f>IF(AT$7="X",VLOOKUP(AT$10,'VK-Hooned-Soojus'!$C:$X,2+$C93,FALSE),0)+IF(AT$6="X",VLOOKUP(AT$10,'VK-Transport'!$C:$X,2+$B93,0))+IF(AT$8="X",VLOOKUP(AT$10,'VK-Elekter'!$C:$X,2+$D93,0))+IF(AT$9="X",VLOOKUP(AT$10,'VK-Biokütused'!$C:$U,2+$E93,0))+IF(AT$5="X",VLOOKUP(AT$10,'VK-Põlevkivi'!$C:$X,2+$G93,0))+IF(AT$4="X",VLOOKUP(AT$10,'VK-Võrgud'!$C:$X,2+$F93,0))</f>
        <v>9.2784458909544707</v>
      </c>
      <c r="AU93" s="229">
        <f>MAX(0,(VLOOKUP("Kütuste tarbimine @ 2030 - UTTEGAAS",'VK-Hooned-Soojus'!$C:$X,2+$C93,FALSE)/0.172+VLOOKUP("Kütuste tarbimine @ 2030 - UTTEGAAS",'VK-Elekter'!$C:$X,2+$D93,FALSE)/0.172)*0.52-VLOOKUP("Kütuste tarbimine @ 2030 - PÕLEVKIVIÕLI",'VK-Hooned-Soojus'!$C:$X,2+$C93,FALSE))</f>
        <v>5.6837209302325586</v>
      </c>
      <c r="AV93" s="209">
        <f>IF(AV$7="X",VLOOKUP(AV$10,'VK-Hooned-Soojus'!$C:$X,2+$C93,FALSE),0)+IF(AV$6="X",VLOOKUP(AV$10,'VK-Transport'!$C:$X,2+$B93,0))+IF(AV$8="X",VLOOKUP(AV$10,'VK-Elekter'!$C:$X,2+$D93,0))+IF(AV$9="X",VLOOKUP(AV$10,'VK-Biokütused'!$C:$U,2+$E93,0))+IF(AV$5="X",VLOOKUP(AV$10,'VK-Põlevkivi'!$C:$X,2+$G93,0))+IF(AV$4="X",VLOOKUP(AV$10,'VK-Võrgud'!$C:$X,2+$F93,0))</f>
        <v>1.7257321590343366</v>
      </c>
      <c r="AW93" s="209">
        <f>IF(AW$7="X",VLOOKUP(AW$10,'VK-Hooned-Soojus'!$C:$X,2+$C93,FALSE),0)+IF(AW$6="X",VLOOKUP(AW$10,'VK-Transport'!$C:$X,2+$B93,0))+IF(AW$8="X",VLOOKUP(AW$10,'VK-Elekter'!$C:$X,2+$D93,0))+IF(AW$9="X",VLOOKUP(AW$10,'VK-Biokütused'!$C:$U,2+$E93,0))+IF(AW$5="X",VLOOKUP(AW$10,'VK-Põlevkivi'!$C:$X,2+$G93,0))+IF(AW$4="X",VLOOKUP(AW$10,'VK-Võrgud'!$C:$X,2+$F93,0))</f>
        <v>2.141</v>
      </c>
      <c r="AX93" s="229">
        <f t="shared" si="62"/>
        <v>0.41526784096566338</v>
      </c>
      <c r="AY93" s="229">
        <f t="shared" si="63"/>
        <v>0</v>
      </c>
      <c r="AZ93" s="230">
        <f t="shared" si="48"/>
        <v>0.50006688263297139</v>
      </c>
      <c r="BA93" s="209">
        <f>IF(BA$7="X",VLOOKUP(BA$10,'VK-Hooned-Soojus'!$C:$X,2+$C93,FALSE),0)+IF(BA$6="X",VLOOKUP(BA$10,'VK-Transport'!$C:$X,2+$B93,0))+IF(BA$8="X",VLOOKUP(BA$10,'VK-Elekter'!$C:$X,2+$D93,0))+IF(BA$9="X",VLOOKUP(BA$10,'VK-Biokütused'!$C:$U,2+$E93,0))+IF(BA$5="X",VLOOKUP(BA$10,'VK-Põlevkivi'!$C:$X,2+$G93,0))+IF(BA$4="X",VLOOKUP(BA$10,'VK-Võrgud'!$C:$X,2+$F93,0))</f>
        <v>4.2</v>
      </c>
      <c r="BB93" s="209">
        <f>IF(BB$7="X",VLOOKUP(BB$10,'VK-Hooned-Soojus'!$C:$X,2+$C93,FALSE),0)+IF(BB$6="X",VLOOKUP(BB$10,'VK-Transport'!$C:$X,2+$B93,0))+IF(BB$8="X",VLOOKUP(BB$10,'VK-Elekter'!$C:$X,2+$D93,0))+IF(BB$9="X",VLOOKUP(BB$10,'VK-Biokütused'!$C:$U,2+$E93,0))+IF(BB$5="X",VLOOKUP(BB$10,'VK-Põlevkivi'!$C:$X,2+$G93,0))+IF(BB$4="X",VLOOKUP(BB$10,'VK-Võrgud'!$C:$X,2+$F93,0))</f>
        <v>5.1000000000000005</v>
      </c>
      <c r="BC93" s="209">
        <f>IF(BC$7="X",VLOOKUP(BC$10,'VK-Hooned-Soojus'!$C:$X,2+$C93,FALSE),0)+IF(BC$6="X",VLOOKUP(BC$10,'VK-Transport'!$C:$X,2+$B93,0))+IF(BC$8="X",VLOOKUP(BC$10,'VK-Elekter'!$C:$X,2+$D93,0))+IF(BC$9="X",VLOOKUP(BC$10,'VK-Biokütused'!$C:$U,2+$E93,0))+IF(BC$5="X",VLOOKUP(BC$10,'VK-Põlevkivi'!$C:$X,2+$G93,0))+IF(BC$4="X",VLOOKUP(BC$10,'VK-Võrgud'!$C:$X,2+$F93,0))</f>
        <v>5.2376666666666667</v>
      </c>
      <c r="BD93" s="209">
        <f>IF(BD$7="X",VLOOKUP(BD$10,'VK-Hooned-Soojus'!$C:$X,2+$C93,FALSE),0)+IF(BD$6="X",VLOOKUP(BD$10,'VK-Transport'!$C:$X,2+$B93,0))+IF(BD$8="X",VLOOKUP(BD$10,'VK-Elekter'!$C:$X,2+$D93,0))+IF(BD$9="X",VLOOKUP(BD$10,'VK-Biokütused'!$C:$U,2+$E93,0))+IF(BD$5="X",VLOOKUP(BD$10,'VK-Põlevkivi'!$C:$X,2+$G93,0))+IF(BD$4="X",VLOOKUP(BD$10,'VK-Võrgud'!$C:$X,2+$F93,0))</f>
        <v>9.1105555555555569</v>
      </c>
      <c r="BE93" s="230"/>
      <c r="BF93" s="229">
        <f t="shared" si="64"/>
        <v>0.38052689019826891</v>
      </c>
      <c r="BG93" s="209" t="e">
        <f>(IF(BG$7="X",VLOOKUP(BG$10,'VK-Hooned-Soojus'!$C:$X,2+$C93,FALSE),0)+IF(BG$6="X",VLOOKUP(BG$10,'VK-Transport'!$C:$X,2+$B93,0))+IF(BG$8="X",VLOOKUP(BG$10,'VK-Elekter'!$C:$X,2+$D93,0))+IF(BG$9="X",VLOOKUP(BG$10,'VK-Biokütused'!$C:$U,2+$E93,0))+IF(BG$5="X",VLOOKUP(BG$10,'VK-Põlevkivi'!$C:$X,2+$G93,0))+IF(BG$4="X",VLOOKUP(BG$10,'VK-Võrgud'!$C:$X,2+$F93,0)))/20</f>
        <v>#N/A</v>
      </c>
      <c r="BH93" s="209">
        <f>(IF(BH$7="X",VLOOKUP(BH$10,'VK-Hooned-Soojus'!$C:$X,2+$C93,FALSE),0)+IF(BH$6="X",VLOOKUP(BH$10,'VK-Transport'!$C:$X,2+$B93,0))+IF(BH$8="X",VLOOKUP(BH$10,'VK-Elekter'!$C:$X,2+$D93,0))+IF(BH$9="X",VLOOKUP(BH$10,'VK-Biokütused'!$C:$U,2+$E93,0))+IF(BH$5="X",VLOOKUP(BH$10,'VK-Põlevkivi'!$C:$X,2+$G93,0))+IF(BH$4="X",VLOOKUP(BH$10,'VK-Võrgud'!$C:$X,2+$F93,0)))/20</f>
        <v>84.204999999999998</v>
      </c>
      <c r="BI93" s="209">
        <f>(IF(BI$7="X",VLOOKUP(BI$10,'VK-Hooned-Soojus'!$C:$X,2+$C93,FALSE),0)+IF(BI$6="X",VLOOKUP(BI$10,'VK-Transport'!$C:$X,2+$B93,0))+IF(BI$8="X",VLOOKUP(BI$10,'VK-Elekter'!$C:$X,2+$D93,0))+IF(BI$9="X",VLOOKUP(BI$10,'VK-Biokütused'!$C:$U,2+$E93,0))+IF(BI$5="X",VLOOKUP(BI$10,'VK-Põlevkivi'!$C:$X,2+$G93,0))+IF(BI$4="X",VLOOKUP(BI$10,'VK-Võrgud'!$C:$X,2+$F93,0)))/16</f>
        <v>8.9375</v>
      </c>
      <c r="BJ93" s="209">
        <f>(IF(BJ$7="X",VLOOKUP(BJ$10,'VK-Hooned-Soojus'!$C:$X,2+$C93,FALSE),0)+IF(BJ$6="X",VLOOKUP(BJ$10,'VK-Transport'!$C:$X,2+$B93,0))+IF(BJ$8="X",VLOOKUP(BJ$10,'VK-Elekter'!$C:$X,2+$D93,0))+IF(BJ$9="X",VLOOKUP(BJ$10,'VK-Biokütused'!$C:$U,2+$E93,0))+IF(BJ$5="X",VLOOKUP(BJ$10,'VK-Põlevkivi'!$C:$X,2+$G93,0))+IF(BJ$4="X",VLOOKUP(BJ$10,'VK-Võrgud'!$C:$X,2+$F93,0)))/20</f>
        <v>5.33</v>
      </c>
      <c r="BK93" s="209"/>
      <c r="BL93" s="209"/>
      <c r="BM93" s="209"/>
      <c r="BN93" s="209" t="e">
        <f>(IF(BN$7="X",VLOOKUP(BN$10,'VK-Hooned-Soojus'!$C:$X,2+$C93,FALSE),0)+IF(BN$6="X",VLOOKUP(BN$10,'VK-Transport'!$C:$X,2+$B93,0))+IF(BN$8="X",VLOOKUP(BN$10,'VK-Elekter'!$C:$X,2+$D93,0))+IF(BN$9="X",VLOOKUP(BN$10,'VK-Biokütused'!$C:$U,2+$E93,0))+IF(BN$5="X",VLOOKUP(BN$10,'VK-Põlevkivi'!$C:$X,2+$G93,0))+IF(BN$4="X",VLOOKUP(BN$10,'VK-Võrgud'!$C:$X,2+$F93,0)))/16</f>
        <v>#N/A</v>
      </c>
      <c r="BO93" s="209">
        <f>(IF(BO$7="X",VLOOKUP(BO$10,'VK-Hooned-Soojus'!$C:$X,2+$C93,FALSE),0)+IF(BO$6="X",VLOOKUP(BO$10,'VK-Transport'!$C:$X,2+$B93,0))+IF(BO$8="X",VLOOKUP(BO$10,'VK-Elekter'!$C:$X,2+$D93,0))+IF(BO$9="X",VLOOKUP(BO$10,'VK-Biokütused'!$C:$U,2+$E93,0))+IF(BO$5="X",VLOOKUP(BO$10,'VK-Põlevkivi'!$C:$X,2+$G93,0))+IF(BO$4="X",VLOOKUP(BO$10,'VK-Võrgud'!$C:$X,2+$F93,0)))/16</f>
        <v>405.45</v>
      </c>
      <c r="BP93" s="209"/>
      <c r="BQ93" s="209">
        <f>(IF(BQ$7="X",VLOOKUP(BQ$10,'VK-Hooned-Soojus'!$C:$X,2+$C93,FALSE),0)+IF(BQ$6="X",VLOOKUP(BQ$10,'VK-Transport'!$C:$X,2+$B93,0))+IF(BQ$8="X",VLOOKUP(BQ$10,'VK-Elekter'!$C:$X,2+$D93,0))+IF(BQ$9="X",VLOOKUP(BQ$10,'VK-Biokütused'!$C:$U,2+$E93,0))+IF(BQ$5="X",VLOOKUP(BQ$10,'VK-Põlevkivi'!$C:$X,2+$G93,0))+IF(BQ$4="X",VLOOKUP(BQ$10,'VK-Võrgud'!$C:$X,2+$F93,0)))/16</f>
        <v>127.6</v>
      </c>
      <c r="BR93" s="209">
        <f>(IF(BR$7="X",VLOOKUP(BR$10,'VK-Hooned-Soojus'!$C:$X,2+$C93,FALSE),0)+IF(BR$6="X",VLOOKUP(BR$10,'VK-Transport'!$C:$X,2+$B93,0))+IF(BR$8="X",VLOOKUP(BR$10,'VK-Elekter'!$C:$X,2+$D93,0))+IF(BR$9="X",VLOOKUP(BR$10,'VK-Biokütused'!$C:$U,2+$E93,0))+IF(BR$5="X",VLOOKUP(BR$10,'VK-Põlevkivi'!$C:$X,2+$G93,0))+IF(BR$4="X",VLOOKUP(BR$10,'VK-Võrgud'!$C:$X,2+$F93,0)))/16</f>
        <v>27.475000000000001</v>
      </c>
      <c r="BS93" s="209">
        <f>(IF(BS$7="X",VLOOKUP(BS$10,'VK-Hooned-Soojus'!$C:$X,2+$C93,FALSE),0)+IF(BS$6="X",VLOOKUP(BS$10,'VK-Transport'!$C:$X,2+$B93,0))+IF(BS$8="X",VLOOKUP(BS$10,'VK-Elekter'!$C:$X,2+$D93,0))+IF(BS$9="X",VLOOKUP(BS$10,'VK-Biokütused'!$C:$U,2+$E93,0))+IF(BS$5="X",VLOOKUP(BS$10,'VK-Põlevkivi'!$C:$X,2+$G93,0))+IF(BS$4="X",VLOOKUP(BS$10,'VK-Võrgud'!$C:$X,2+$F93,0)))/16</f>
        <v>-23.293749999999999</v>
      </c>
      <c r="BT93" s="209"/>
      <c r="BU93" s="209"/>
      <c r="BV93" s="209">
        <f>(IF(BV$7="X",VLOOKUP(BV$10,'VK-Hooned-Soojus'!$C:$X,2+$C93,FALSE),0)+IF(BV$6="X",VLOOKUP(BV$10,'VK-Transport'!$C:$X,2+$B93,0))+IF(BV$8="X",VLOOKUP(BV$10,'VK-Elekter'!$C:$X,2+$D93,0))+IF(BV$9="X",VLOOKUP(BV$10,'VK-Biokütused'!$C:$U,2+$E93,0))+IF(BV$5="X",VLOOKUP(BV$10,'VK-Põlevkivi'!$C:$X,2+$G93,0))+IF(BV$4="X",VLOOKUP(BV$10,'VK-Võrgud'!$C:$X,2+$F93,0)))/16</f>
        <v>0</v>
      </c>
      <c r="BW93" s="209"/>
      <c r="BX93" s="209">
        <f>(IF(BX$7="X",VLOOKUP(BX$10,'VK-Hooned-Soojus'!$C:$X,2+$C93,FALSE),0)+IF(BX$6="X",VLOOKUP(BX$10,'VK-Transport'!$C:$X,2+$B93,0))+IF(BX$8="X",VLOOKUP(BX$10,'VK-Elekter'!$C:$X,2+$D93,0))+IF(BX$9="X",VLOOKUP(BX$10,'VK-Biokütused'!$C:$U,2+$E93,0))+IF(BX$5="X",VLOOKUP(BX$10,'VK-Põlevkivi'!$C:$X,2+$G93,0))+IF(BX$4="X",VLOOKUP(BX$10,'VK-Võrgud'!$C:$X,2+$F93,0)))/16</f>
        <v>-99.4375</v>
      </c>
      <c r="BY93" s="209"/>
      <c r="BZ93" s="209"/>
      <c r="CA93" s="209" t="e">
        <f>(IF(CA$7="X",VLOOKUP(CA$10,'VK-Hooned-Soojus'!$C:$X,2+$C93,FALSE),0)+IF(CA$6="X",VLOOKUP(CA$10,'VK-Transport'!$C:$X,2+$B93,0))+IF(CA$8="X",VLOOKUP(CA$10,'VK-Elekter'!$C:$X,2+$D93,0))+IF(CA$9="X",VLOOKUP(CA$10,'VK-Biokütused'!$C:$U,2+$E93,0))+IF(CA$5="X",VLOOKUP(CA$10,'VK-Põlevkivi'!$C:$X,2+$G93,0))+IF(CA$4="X",VLOOKUP(CA$10,'VK-Võrgud'!$C:$X,2+$F93,0)))/16</f>
        <v>#N/A</v>
      </c>
      <c r="CB93" s="209">
        <f>(IF(CB$7="X",VLOOKUP(CB$10,'VK-Hooned-Soojus'!$C:$X,2+$C93,FALSE),0)+IF(CB$6="X",VLOOKUP(CB$10,'VK-Transport'!$C:$X,2+$B93,0))+IF(CB$8="X",VLOOKUP(CB$10,'VK-Elekter'!$C:$X,2+$D93,0))+IF(CB$9="X",VLOOKUP(CB$10,'VK-Biokütused'!$C:$U,2+$E93,0))+IF(CB$5="X",VLOOKUP(CB$10,'VK-Põlevkivi'!$C:$X,2+$G93,0))+IF(CB$4="X",VLOOKUP(CB$10,'VK-Võrgud'!$C:$X,2+$F93,0)))/16</f>
        <v>0</v>
      </c>
      <c r="CC93" s="209">
        <f>(IF(CC$7="X",VLOOKUP(CC$10,'VK-Hooned-Soojus'!$C:$X,2+$C93,FALSE),0)+IF(CC$6="X",VLOOKUP(CC$10,'VK-Transport'!$C:$X,2+$B93,0))+IF(CC$8="X",VLOOKUP(CC$10,'VK-Elekter'!$C:$X,2+$D93,0))+IF(CC$9="X",VLOOKUP(CC$10,'VK-Biokütused'!$C:$U,2+$E93,0))+IF(CC$5="X",VLOOKUP(CC$10,'VK-Põlevkivi'!$C:$X,2+$G93,0))+IF(CC$4="X",VLOOKUP(CC$10,'VK-Võrgud'!$C:$X,2+$F93,0)))/16</f>
        <v>0</v>
      </c>
      <c r="CD93" s="209"/>
      <c r="CE93" s="209">
        <f>(IF(CE$7="X",VLOOKUP(CE$10,'VK-Hooned-Soojus'!$C:$X,2+$C93,FALSE),0)+IF(CE$6="X",VLOOKUP(CE$10,'VK-Transport'!$C:$X,2+$B93,0))+IF(CE$8="X",VLOOKUP(CE$10,'VK-Elekter'!$C:$X,2+$D93,0))+IF(CE$9="X",VLOOKUP(CE$10,'VK-Biokütused'!$C:$U,2+$E93,0))+IF(CE$5="X",VLOOKUP(CE$10,'VK-Põlevkivi'!$C:$X,2+$G93,0))+IF(CE$4="X",VLOOKUP(CE$10,'VK-Võrgud'!$C:$X,2+$F93,0)))/16</f>
        <v>24.15625</v>
      </c>
      <c r="CF93" s="209"/>
      <c r="CG93" s="209">
        <f>(IF(CG$7="X",VLOOKUP(CG$10,'VK-Hooned-Soojus'!$C:$X,2+$C93,FALSE),0)+IF(CG$6="X",VLOOKUP(CG$10,'VK-Transport'!$C:$X,2+$B93,0))+IF(CG$8="X",VLOOKUP(CG$10,'VK-Elekter'!$C:$X,2+$D93,0))+IF(CG$9="X",VLOOKUP(CG$10,'VK-Biokütused'!$C:$U,2+$E93,0))+IF(CG$5="X",VLOOKUP(CG$10,'VK-Põlevkivi'!$C:$X,2+$G93,0))+IF(CG$4="X",VLOOKUP(CG$10,'VK-Võrgud'!$C:$X,2+$F93,0)))/16</f>
        <v>0</v>
      </c>
      <c r="CH93" s="209">
        <f>(IF(CH$7="X",VLOOKUP(CH$10,'VK-Hooned-Soojus'!$C:$X,2+$C93,FALSE),0)+IF(CH$6="X",VLOOKUP(CH$10,'VK-Transport'!$C:$X,2+$B93,0))+IF(CH$8="X",VLOOKUP(CH$10,'VK-Elekter'!$C:$X,2+$D93,0))+IF(CH$9="X",VLOOKUP(CH$10,'VK-Biokütused'!$C:$U,2+$E93,0))+IF(CH$5="X",VLOOKUP(CH$10,'VK-Põlevkivi'!$C:$X,2+$G93,0))+IF(CH$4="X",VLOOKUP(CH$10,'VK-Võrgud'!$C:$X,2+$F93,0)))/20*0.21</f>
        <v>26.9178</v>
      </c>
      <c r="CI93" s="209"/>
      <c r="CJ93" s="209">
        <f>(IF(CJ$7="X",VLOOKUP(CJ$10,'VK-Hooned-Soojus'!$C:$X,2+$C93,FALSE),0)+IF(CJ$6="X",VLOOKUP(CJ$10,'VK-Transport'!$C:$X,2+$B93,0))+IF(CJ$8="X",VLOOKUP(CJ$10,'VK-Elekter'!$C:$X,2+$D93,0))+IF(CJ$9="X",VLOOKUP(CJ$10,'VK-Biokütused'!$C:$U,2+$E93,0))+IF(CJ$5="X",VLOOKUP(CJ$10,'VK-Põlevkivi'!$C:$X,2+$G93,0))+IF(CJ$4="X",VLOOKUP(CJ$10,'VK-Võrgud'!$C:$X,2+$F93,0)))/1000</f>
        <v>17.482861099430586</v>
      </c>
      <c r="CK93" s="209">
        <f>(IF(CK$7="X",VLOOKUP(CK$10,'VK-Hooned-Soojus'!$C:$X,2+$C93,FALSE),0)+IF(CK$6="X",VLOOKUP(CK$10,'VK-Transport'!$C:$X,2+$B93,0))+IF(CK$8="X",VLOOKUP(CK$10,'VK-Elekter'!$C:$X,2+$D93,0))+IF(CK$9="X",VLOOKUP(CK$10,'VK-Biokütused'!$C:$U,2+$E93,0))+IF(CK$5="X",VLOOKUP(CK$10,'VK-Põlevkivi'!$C:$X,2+$G93,0))+IF(CK$4="X",VLOOKUP(CK$10,'VK-Võrgud'!$C:$X,2+$F93,0)))/1000</f>
        <v>11.222324637900011</v>
      </c>
      <c r="CL93" s="235">
        <f>(IF(CL$7="X",VLOOKUP(CL$10,'VK-Hooned-Soojus'!$C:$X,2+$C93,FALSE),0)+IF(CL$6="X",VLOOKUP(CL$10,'VK-Transport'!$C:$X,2+$B93,0))+IF(CL$8="X",VLOOKUP(CL$10,'VK-Elekter'!$C:$X,2+$D93,0))+IF(CL$9="X",VLOOKUP(CL$10,'VK-Biokütused'!$C:$U,2+$E93,0)))/1000</f>
        <v>8.0759419404241388</v>
      </c>
      <c r="CM93" s="209">
        <f>(IF(CM$7="X",VLOOKUP(CM$10,'VK-Hooned-Soojus'!$C:$X,2+$C93,FALSE),0)+IF(CM$6="X",VLOOKUP(CM$10,'VK-Transport'!$C:$X,2+$B93,0))+IF(CM$8="X",VLOOKUP(CM$10,'VK-Elekter'!$C:$X,2+$D93,0))+IF(CM$9="X",VLOOKUP(CM$10,'VK-Biokütused'!$C:$U,2+$E93,0))+IF(CM$5="X",VLOOKUP(CM$10,'VK-Põlevkivi'!$C:$X,2+$G93,0))+IF(CM$4="X",VLOOKUP(CM$10,'VK-Võrgud'!$C:$X,2+$F93,0)))/1000</f>
        <v>7.6003156794471023</v>
      </c>
      <c r="CN93" s="209">
        <f>(IF(CN$7="X",VLOOKUP(CN$10,'VK-Hooned-Soojus'!$C:$X,2+$C93,FALSE),0)+IF(CN$6="X",VLOOKUP(CN$10,'VK-Transport'!$C:$X,2+$B93,0))+IF(CN$8="X",VLOOKUP(CN$10,'VK-Elekter'!$C:$X,2+$D93,0))+IF(CN$9="X",VLOOKUP(CN$10,'VK-Biokütused'!$C:$U,2+$E93,0))+IF(CN$5="X",VLOOKUP(CN$10,'VK-Põlevkivi'!$C:$X,2+$G93,0))+IF(CN$4="X",VLOOKUP(CN$10,'VK-Võrgud'!$C:$X,2+$F93,0)))/1000</f>
        <v>2.8980000000000001</v>
      </c>
      <c r="CO93" s="209">
        <f>(IF(CO$7="X",VLOOKUP(CO$10,'VK-Hooned-Soojus'!$C:$X,2+$C93,FALSE),0)+IF(CO$6="X",VLOOKUP(CO$10,'VK-Transport'!$C:$X,2+$B93,0))+IF(CO$8="X",VLOOKUP(CO$10,'VK-Elekter'!$C:$X,2+$D93,0))+IF(CO$9="X",VLOOKUP(CO$10,'VK-Biokütused'!$C:$U,2+$E93,0))+IF(CO$5="X",VLOOKUP(CO$10,'VK-Põlevkivi'!$C:$X,2+$G93,0))+IF(CO$4="X",VLOOKUP(CO$10,'VK-Võrgud'!$C:$X,2+$F93,0)))/1000</f>
        <v>23.841575210797281</v>
      </c>
      <c r="CP93" s="209">
        <f>(IF(CP$7="X",VLOOKUP(CP$10,'VK-Hooned-Soojus'!$C:$X,2+$C93,FALSE),0)+IF(CP$6="X",VLOOKUP(CP$10,'VK-Transport'!$C:$X,2+$B93,0))+IF(CP$8="X",VLOOKUP(CP$10,'VK-Elekter'!$C:$X,2+$D93,0))+IF(CP$9="X",VLOOKUP(CP$10,'VK-Biokütused'!$C:$U,2+$E93,0))+IF(CP$5="X",VLOOKUP(CP$10,'VK-Põlevkivi'!$C:$X,2+$G93,0))+IF(CP$4="X",VLOOKUP(CP$10,'VK-Võrgud'!$C:$X,2+$F93,0)))/1000</f>
        <v>13.405994830349824</v>
      </c>
      <c r="CQ93" s="235">
        <f>(IF(CQ$7="X",VLOOKUP(CQ$10,'VK-Hooned-Soojus'!$C:$X,2+$C93,FALSE),0)+IF(CQ$6="X",VLOOKUP(CQ$10,'VK-Transport'!$C:$X,2+$B93,0))+IF(CQ$8="X",VLOOKUP(CQ$10,'VK-Elekter'!$C:$X,2+$D93,0))+IF(CQ$9="X",VLOOKUP(CQ$10,'VK-Biokütused'!$C:$U,2+$E93,0)))/1000</f>
        <v>10.556346</v>
      </c>
      <c r="CR93" s="209">
        <f>(IF(CR$7="X",VLOOKUP(CR$10,'VK-Hooned-Soojus'!$C:$X,2+$C93,FALSE),0)+IF(CR$6="X",VLOOKUP(CR$10,'VK-Transport'!$C:$X,2+$B93,0))+IF(CR$8="X",VLOOKUP(CR$10,'VK-Elekter'!$C:$X,2+$D93,0))+IF(CR$9="X",VLOOKUP(CR$10,'VK-Biokütused'!$C:$U,2+$E93,0))+IF(CR$5="X",VLOOKUP(CR$10,'VK-Põlevkivi'!$C:$X,2+$G93,0))+IF(CR$4="X",VLOOKUP(CR$10,'VK-Võrgud'!$C:$X,2+$F93,0)))/1000</f>
        <v>7.7030872784575752</v>
      </c>
      <c r="CS93" s="209">
        <f>(IF(CS$7="X",VLOOKUP(CS$10,'VK-Hooned-Soojus'!$C:$X,2+$C93,FALSE),0)+IF(CS$6="X",VLOOKUP(CS$10,'VK-Transport'!$C:$X,2+$B93,0))+IF(CS$8="X",VLOOKUP(CS$10,'VK-Elekter'!$C:$X,2+$D93,0))+IF(CS$9="X",VLOOKUP(CS$10,'VK-Biokütused'!$C:$U,2+$E93,0))+IF(CS$5="X",VLOOKUP(CS$10,'VK-Põlevkivi'!$C:$X,2+$G93,0))+IF(CS$4="X",VLOOKUP(CS$10,'VK-Võrgud'!$C:$X,2+$F93,0)))/1000</f>
        <v>3.7943344900598324</v>
      </c>
      <c r="CT93" s="209">
        <f>IF(CT$7="X",VLOOKUP(CT$10,'VK-Hooned-Soojus'!$C:$X,2+$C93,FALSE),0)+IF(CT$6="X",VLOOKUP(CT$10,'VK-Transport'!$C:$X,2+$B93,0))+IF(CT$8="X",VLOOKUP(CT$10,'VK-Elekter'!$C:$X,2+$D93,0))+IF(CT$9="X",VLOOKUP(CT$10,'VK-Biokütused'!$C:$U,2+$E93,0))+IF(CT$5="X",VLOOKUP(CT$10,'VK-Põlevkivi'!$C:$X,2+$G93,0))+IF(CT$4="X",VLOOKUP(CT$10,'VK-Võrgud'!$C:$X,2+$F93,0))</f>
        <v>90</v>
      </c>
      <c r="CU93" s="209">
        <f>IF(CU$7="X",VLOOKUP(CU$10,'VK-Hooned-Soojus'!$C:$X,2+$C93,FALSE),0)+IF(CU$6="X",VLOOKUP(CU$10,'VK-Transport'!$C:$X,2+$B93,0))+IF(CU$8="X",VLOOKUP(CU$10,'VK-Elekter'!$C:$X,2+$D93,0))+IF(CU$9="X",VLOOKUP(CU$10,'VK-Biokütused'!$C:$U,2+$E93,0))+IF(CU$5="X",VLOOKUP(CU$10,'VK-Põlevkivi'!$C:$X,2+$G93,0))+IF(CU$4="X",VLOOKUP(CU$10,'VK-Võrgud'!$C:$X,2+$F93,0))</f>
        <v>0.9337349397590361</v>
      </c>
      <c r="CV93" s="209">
        <f t="shared" si="49"/>
        <v>0.84317482403548605</v>
      </c>
      <c r="CW93" s="209">
        <f>(IF(CW$7="X",VLOOKUP(CW$10,'VK-Hooned-Soojus'!$C:$X,2+$C93,FALSE),0)+IF(CW$6="X",VLOOKUP(CW$10,'VK-Transport'!$C:$X,2+$B93,0))+IF(CW$8="X",VLOOKUP(CW$10,'VK-Elekter'!$C:$X,2+$D93,0))+IF(CW$9="X",VLOOKUP(CW$10,'VK-Biokütused'!$C:$U,2+$E93,0))+IF(CW$5="X",VLOOKUP(CW$10,'VK-Põlevkivi'!$C:$X,2+$G93,0))+IF(CW$4="X",VLOOKUP(CW$10,'VK-Võrgud'!$C:$X,2+$F93,0)))/16</f>
        <v>59.743749999999999</v>
      </c>
      <c r="CY93" s="209">
        <f>(IF(CY$7="X",VLOOKUP(CY$10,'VK-Hooned-Soojus'!$C:$X,2+$C93,FALSE),0)+IF(CY$6="X",VLOOKUP(CY$10,'VK-Transport'!$C:$X,2+$B93,0))+IF(CY$8="X",VLOOKUP(CY$10,'VK-Elekter'!$C:$X,2+$D93,0))+IF(CY$9="X",VLOOKUP(CY$10,'VK-Biokütused'!$C:$U,2+$E93,0))+IF(CY$5="X",VLOOKUP(CY$10,'VK-Põlevkivi'!$C:$X,2+$G93,0))+IF(CY$4="X",VLOOKUP(CY$10,'VK-Võrgud'!$C:$X,2+$F93,0)))/1000</f>
        <v>10.387</v>
      </c>
      <c r="CZ93" s="209">
        <f>(IF(CZ$7="X",VLOOKUP(CZ$10,'VK-Hooned-Soojus'!$C:$X,2+$C93,FALSE),0)+IF(CZ$6="X",VLOOKUP(CZ$10,'VK-Transport'!$C:$X,2+$B93,0))+IF(CZ$8="X",VLOOKUP(CZ$10,'VK-Elekter'!$C:$X,2+$D93,0))+IF(CZ$9="X",VLOOKUP(CZ$10,'VK-Biokütused'!$C:$U,2+$E93,0))+IF(CZ$5="X",VLOOKUP(CZ$10,'VK-Põlevkivi'!$C:$X,2+$G93,0))+IF(CZ$4="X",VLOOKUP(CZ$10,'VK-Võrgud'!$C:$X,2+$F93,0)))</f>
        <v>70.400000000000006</v>
      </c>
      <c r="DA93" s="209">
        <f>(IF(DA$7="X",VLOOKUP(DA$10,'VK-Hooned-Soojus'!$C:$X,2+$C93,FALSE),0)+IF(DA$6="X",VLOOKUP(DA$10,'VK-Transport'!$C:$X,2+$B93,0))+IF(DA$8="X",VLOOKUP(DA$10,'VK-Elekter'!$C:$X,2+$D93,0))+IF(DA$9="X",VLOOKUP(DA$10,'VK-Biokütused'!$C:$U,2+$E93,0))+IF(DA$5="X",VLOOKUP(DA$10,'VK-Põlevkivi'!$C:$X,2+$G93,0))+IF(DA$4="X",VLOOKUP(DA$10,'VK-Võrgud'!$C:$X,2+$F93,0)))/1000</f>
        <v>13.885999999999999</v>
      </c>
      <c r="DB93" s="209">
        <f>(IF(DB$7="X",VLOOKUP(DB$10,'VK-Hooned-Soojus'!$C:$X,2+$C93,FALSE),0)+IF(DB$6="X",VLOOKUP(DB$10,'VK-Transport'!$C:$X,2+$B93,0))+IF(DB$8="X",VLOOKUP(DB$10,'VK-Elekter'!$C:$X,2+$D93,0))+IF(DB$9="X",VLOOKUP(DB$10,'VK-Biokütused'!$C:$U,2+$E93,0))+IF(DB$5="X",VLOOKUP(DB$10,'VK-Põlevkivi'!$C:$X,2+$G93,0))+IF(DB$4="X",VLOOKUP(DB$10,'VK-Võrgud'!$C:$X,2+$F93,0)))/1000/3.6</f>
        <v>61.602499999999999</v>
      </c>
      <c r="DC93" s="209">
        <f>(IF(DC$7="X",VLOOKUP(DC$10,'VK-Hooned-Soojus'!$C:$X,2+$C93,FALSE),0)+IF(DC$6="X",VLOOKUP(DC$10,'VK-Transport'!$C:$X,2+$B93,0))+IF(DC$8="X",VLOOKUP(DC$10,'VK-Elekter'!$C:$X,2+$D93,0))+IF(DC$9="X",VLOOKUP(DC$10,'VK-Biokütused'!$C:$U,2+$E93,0))+IF(DC$5="X",VLOOKUP(DC$10,'VK-Põlevkivi'!$C:$X,2+$G93,0))+IF(DC$4="X",VLOOKUP(DC$10,'VK-Võrgud'!$C:$X,2+$F93,0)))/1000000</f>
        <v>4.9611419999999997</v>
      </c>
      <c r="DD93" s="209"/>
      <c r="DE93" s="88">
        <f>VLOOKUP(Tulemused!$BN$12,data!M$7:N$12,2,FALSE)-SUM(L93,M93)</f>
        <v>-0.77386666666667736</v>
      </c>
      <c r="DF93" s="209" t="str">
        <f>IF(AZ93&lt;=VLOOKUP(Tulemused!$BN$15,data!$E$36:$F$39,2,FALSE),"JAH","EI")</f>
        <v>JAH</v>
      </c>
      <c r="DG93" s="209"/>
      <c r="DH93" s="209">
        <f t="shared" si="50"/>
        <v>6.08</v>
      </c>
      <c r="DI93" s="231" t="str">
        <f t="shared" si="65"/>
        <v>EI</v>
      </c>
      <c r="DK93" s="232">
        <f t="shared" si="51"/>
        <v>-995.06545327008473</v>
      </c>
      <c r="DM93" s="233">
        <f t="shared" si="52"/>
        <v>-995.74043266663386</v>
      </c>
      <c r="DN93" s="87">
        <f t="array" ref="DN93">INDEX($A$11:$A$145, SMALL(IF(DM93=$DK$11:$DK$145, MATCH(ROW($DK$11:$DK$145), ROW($DK$11:$DK$145))), SUM(--(DM93=$DM$11:DM93))))</f>
        <v>80</v>
      </c>
      <c r="DP93" s="87" t="e">
        <f t="shared" ca="1" si="66"/>
        <v>#N/A</v>
      </c>
      <c r="DQ93" s="87" t="e">
        <f t="shared" ca="1" si="67"/>
        <v>#N/A</v>
      </c>
      <c r="DR93" s="87">
        <f t="shared" ca="1" si="68"/>
        <v>0</v>
      </c>
      <c r="DS93" s="87" t="e">
        <f t="shared" ca="1" si="69"/>
        <v>#N/A</v>
      </c>
      <c r="DT93" s="87">
        <f t="shared" ca="1" si="70"/>
        <v>0</v>
      </c>
      <c r="DU93" s="87" t="e">
        <f t="shared" ca="1" si="71"/>
        <v>#N/A</v>
      </c>
      <c r="DV93" s="87" t="e">
        <f t="shared" ca="1" si="72"/>
        <v>#N/A</v>
      </c>
      <c r="DW93" s="87">
        <f t="shared" ca="1" si="73"/>
        <v>0</v>
      </c>
      <c r="DX93" s="87">
        <f t="shared" ca="1" si="74"/>
        <v>0</v>
      </c>
      <c r="DZ93" s="87">
        <f t="shared" ca="1" si="82"/>
        <v>0</v>
      </c>
      <c r="EB93" s="87">
        <f t="shared" ca="1" si="75"/>
        <v>0</v>
      </c>
      <c r="EC93" s="87" t="e">
        <f t="shared" ca="1" si="76"/>
        <v>#N/A</v>
      </c>
      <c r="EE93" s="228">
        <f>(IF(EE$7="X",VLOOKUP(EE$10,'VK-Hooned-Soojus'!$C:$X,2+$C93,FALSE),0)+IF(EE$6="X",VLOOKUP(EE$10,'VK-Transport'!$C:$X,2+$B93,0))+IF(EE$8="X",VLOOKUP(EE$10,'VK-Elekter'!$C:$X,2+$D93,0))+IF(EE$9="X",VLOOKUP(EE$10,'VK-Biokütused'!$C:$U,2+$E93,0))+IF(EE$5="X",VLOOKUP(EE$10,'VK-Põlevkivi'!$C:$X,2+$G93,0))+IF(EE$4="X",VLOOKUP(EE$10,'VK-Võrgud'!$C:$X,2+$F93,0)))</f>
        <v>11009.607733242203</v>
      </c>
      <c r="EF93" s="235">
        <f>(IF(EF$7="X",VLOOKUP(EF$10,'VK-Hooned-Soojus'!$C:$X,2+$C93,FALSE),0)+IF(EF$6="X",VLOOKUP(EF$10,'VK-Transport'!$C:$X,2+$B93,0))+IF(EF$8="X",VLOOKUP(EF$10,'VK-Elekter'!$C:$X,2+$D93,0))+IF(EF$9="X",VLOOKUP(EF$10,'VK-Biokütused'!$C:$U,2+$E93,0)))/1000</f>
        <v>4.1093823271229706</v>
      </c>
      <c r="EG93" s="209">
        <f>(IF(EG$7="X",VLOOKUP(EG$10,'VK-Hooned-Soojus'!$C:$X,2+$C93,FALSE),0)+IF(EG$6="X",VLOOKUP(EG$10,'VK-Transport'!$C:$X,2+$B93,0))+IF(EG$8="X",VLOOKUP(EG$10,'VK-Elekter'!$C:$X,2+$D93,0))+IF(EG$9="X",VLOOKUP(EG$10,'VK-Biokütused'!$C:$U,2+$E93,0))+IF(EG$5="X",VLOOKUP(EG$10,'VK-Põlevkivi'!$C:$X,2+$G93,0))+IF(EG$4="X",VLOOKUP(EG$10,'VK-Võrgud'!$C:$X,2+$F93,0)))</f>
        <v>2.95</v>
      </c>
      <c r="EH93" s="209">
        <f>(IF(EH$7="X",VLOOKUP(EH$10,'VK-Hooned-Soojus'!$C:$X,2+$C93,FALSE),0)+IF(EH$6="X",VLOOKUP(EH$10,'VK-Transport'!$C:$X,2+$B93,0))+IF(EH$8="X",VLOOKUP(EH$10,'VK-Elekter'!$C:$X,2+$D93,0))+IF(EH$9="X",VLOOKUP(EH$10,'VK-Biokütused'!$C:$U,2+$E93,0)))+AR93+AS93+AU93+AX93</f>
        <v>52.549667065771864</v>
      </c>
      <c r="EI93" s="320">
        <f t="shared" si="53"/>
        <v>46.450678294573642</v>
      </c>
      <c r="EJ93" s="322">
        <f t="shared" si="54"/>
        <v>8.5191038095314503E-2</v>
      </c>
      <c r="EK93" s="323">
        <f t="shared" si="77"/>
        <v>0.46021318433610853</v>
      </c>
      <c r="EM93" s="209"/>
      <c r="EN93" s="209">
        <f t="shared" ca="1" si="55"/>
        <v>0</v>
      </c>
      <c r="EO93" s="209"/>
      <c r="EP93" s="234"/>
      <c r="EQ93" s="209">
        <f>(IF(EQ$7="X",VLOOKUP(EQ$10,'VK-Hooned-Soojus'!$C:$X,2+$C93,FALSE),0)+IF(EQ$6="X",VLOOKUP(EQ$10,'VK-Transport'!$C:$X,2+$B93,0))+IF(EQ$8="X",VLOOKUP(EQ$10,'VK-Elekter'!$C:$X,2+$D93,0))+IF(EQ$9="X",VLOOKUP(EQ$10,'VK-Biokütused'!$C:$U,2+$E93,0))+IF(EQ$5="X",VLOOKUP(EQ$10,'VK-Põlevkivi'!$C:$X,2+$G93,0))+IF(EQ$4="X",VLOOKUP(EQ$10,'VK-Võrgud'!$C:$X,2+$F93,0)))/1000</f>
        <v>0.19900000000000001</v>
      </c>
      <c r="ER93" s="209">
        <f>(IF(ER$7="X",VLOOKUP(ER$10,'VK-Hooned-Soojus'!$C:$X,2+$C93,FALSE),0)+IF(ER$6="X",VLOOKUP(ER$10,'VK-Transport'!$C:$X,2+$B93,0))+IF(ER$8="X",VLOOKUP(ER$10,'VK-Elekter'!$C:$X,2+$D93,0))+IF(ER$9="X",VLOOKUP(ER$10,'VK-Biokütused'!$C:$U,2+$E93,0))+IF(ER$5="X",VLOOKUP(ER$10,'VK-Põlevkivi'!$C:$X,2+$G93,0))+IF(ER$4="X",VLOOKUP(ER$10,'VK-Võrgud'!$C:$X,2+$F93,0)))</f>
        <v>0.72299999999999998</v>
      </c>
      <c r="ES93" s="209">
        <f>(IF(ES$7="X",VLOOKUP(ES$10,'VK-Hooned-Soojus'!$C:$X,2+$C93,FALSE),0)+IF(ES$6="X",VLOOKUP(ES$10,'VK-Transport'!$C:$X,2+$B93,0))+IF(ES$8="X",VLOOKUP(ES$10,'VK-Elekter'!$C:$X,2+$D93,0))+IF(ES$9="X",VLOOKUP(ES$10,'VK-Biokütused'!$C:$U,2+$E93,0))+IF(ES$5="X",VLOOKUP(ES$10,'VK-Põlevkivi'!$C:$X,2+$G93,0))+IF(ES$4="X",VLOOKUP(ES$10,'VK-Võrgud'!$C:$X,2+$F93,0)))</f>
        <v>6.08</v>
      </c>
      <c r="ET93" s="209"/>
      <c r="EU93" s="209"/>
      <c r="EV93" s="87">
        <f>'KSH järjestus'!AS86</f>
        <v>940</v>
      </c>
      <c r="EX93" s="236"/>
      <c r="EY93" s="236"/>
      <c r="EZ93" s="237">
        <f t="shared" si="56"/>
        <v>6.6265060240963902E-2</v>
      </c>
      <c r="FA93" s="209">
        <f>IF(FA$7="X",VLOOKUP(FA$10,'VK-Hooned-Soojus'!$C:$X,2+$C93,FALSE),0)+IF(FA$6="X",VLOOKUP(FA$10,'VK-Transport'!$C:$X,2+$B93,0))+IF(FA$8="X",VLOOKUP(FA$10,'VK-Elekter'!$C:$X,2+$D93,0))+IF(FA$9="X",VLOOKUP(FA$10,'VK-Biokütused'!$C:$U,2+$E93,0))+IF(FA$5="X",VLOOKUP(FA$10,'VK-Põlevkivi'!$C:$X,2+$G93,0))+IF(FA$4="X",VLOOKUP(FA$10,'VK-Võrgud'!$C:$X,2+$F93,0))</f>
        <v>3221.346</v>
      </c>
      <c r="FB93" s="279">
        <f>(IF(FB$7="X",VLOOKUP(FB$10,'VK-Hooned-Soojus'!$C:$X,2+$C93,FALSE),0)+IF(FB$6="X",VLOOKUP(FB$10,'VK-Transport'!$C:$X,2+$B93,0))+IF(FB$8="X",VLOOKUP(FB$10,'VK-Elekter'!$C:$X,2+$D93,0))+IF(FB$9="X",VLOOKUP(FB$10,'VK-Biokütused'!$C:$U,2+$E93,0))+IF(FB$5="X",VLOOKUP(FB$10,'VK-Põlevkivi'!$C:$X,2+$G93,0))+IF(FB$4="X",VLOOKUP(FB$10,'VK-Võrgud'!$C:$X,2+$F93,0)))/16</f>
        <v>448.51790338242381</v>
      </c>
      <c r="FC93" s="209">
        <f>IF(FC$7="X",VLOOKUP(FC$10,'VK-Hooned-Soojus'!$C:$X,2+$C93,FALSE),0)+IF(FC$6="X",VLOOKUP(FC$10,'VK-Transport'!$C:$X,2+$B93,0))+IF(FC$8="X",VLOOKUP(FC$10,'VK-Elekter'!$C:$X,2+$D93,0))+IF(FC$9="X",VLOOKUP(FC$10,'VK-Biokütused'!$C:$U,2+$E93,0))+IF(FC$5="X",VLOOKUP(FC$10,'VK-Põlevkivi'!$C:$X,2+$G93,0))+IF(FC$4="X",VLOOKUP(FC$10,'VK-Võrgud'!$C:$X,2+$F93,0))</f>
        <v>297.04999999999995</v>
      </c>
      <c r="FD93" s="209">
        <f>(IF(FD$7="X",VLOOKUP(FD$10,'VK-Hooned-Soojus'!$C:$X,2+$C93,FALSE),0)+IF(FD$6="X",VLOOKUP(FD$10,'VK-Transport'!$C:$X,2+$B93,0))+IF(FD$8="X",VLOOKUP(FD$10,'VK-Elekter'!$C:$X,2+$D93,0))+IF(FD$9="X",VLOOKUP(FD$10,'VK-Biokütused'!$C:$U,2+$E93,0))+IF(FD$5="X",VLOOKUP(FD$10,'VK-Põlevkivi'!$C:$X,2+$G93,0))+IF(FD$4="X",VLOOKUP(FD$10,'VK-Võrgud'!$C:$X,2+$F93,0)))/16</f>
        <v>448.51790338242381</v>
      </c>
      <c r="FE93" s="209">
        <f>(IF(FE$7="X",VLOOKUP(FE$10,'VK-Hooned-Soojus'!$C:$X,2+$C93,FALSE),0)+IF(FE$6="X",VLOOKUP(FE$10,'VK-Transport'!$C:$X,2+$B93,0))+IF(FE$8="X",VLOOKUP(FE$10,'VK-Elekter'!$C:$X,2+$D93,0))+IF(FE$9="X",VLOOKUP(FE$10,'VK-Biokütused'!$C:$U,2+$E93,0))+IF(FE$5="X",VLOOKUP(FE$10,'VK-Põlevkivi'!$C:$X,2+$G93,0))+IF(FE$4="X",VLOOKUP(FE$10,'VK-Võrgud'!$C:$X,2+$F93,0)))/16</f>
        <v>-162.7344698806321</v>
      </c>
      <c r="FF93" s="209">
        <f>(IF(FF$7="X",VLOOKUP(FF$10,'VK-Hooned-Soojus'!$C:$X,2+$C93,FALSE),0)+IF(FF$6="X",VLOOKUP(FF$10,'VK-Transport'!$C:$X,2+$B93,0))+IF(FF$8="X",VLOOKUP(FF$10,'VK-Elekter'!$C:$X,2+$D93,0))+IF(FF$9="X",VLOOKUP(FF$10,'VK-Biokütused'!$C:$U,2+$E93,0))+IF(FF$5="X",VLOOKUP(FF$10,'VK-Põlevkivi'!$C:$X,2+$G93,0))+IF(FF$4="X",VLOOKUP(FF$10,'VK-Võrgud'!$C:$X,2+$F93,0)))/16</f>
        <v>181.32867853239387</v>
      </c>
      <c r="FG93" s="88">
        <f t="shared" ca="1" si="78"/>
        <v>18.594208651761761</v>
      </c>
      <c r="FH93" s="88"/>
      <c r="FI93" s="88"/>
      <c r="FJ93" s="88">
        <f>VLOOKUP(Tulemused!$BN$12,data!M$7:N$12,2,FALSE)-SUM(L93,M93)</f>
        <v>-0.77386666666667736</v>
      </c>
      <c r="FK93" s="209" t="str">
        <f>IF(AZ93&lt;=VLOOKUP(Tulemused!$BN$15,data!$E$36:$F$39,2,FALSE),"JAH","EI")</f>
        <v>JAH</v>
      </c>
      <c r="FL93" s="235">
        <f ca="1">IF(ISNA(MATCH($A93,INDIRECT(VLOOKUP(Tulemused!$BF$11,data!$J$57:$M$71,4,FALSE)))),0,MATCH($A93,INDIRECT(VLOOKUP(Tulemused!$BF$11,data!$J$57:$M$71,4,FALSE))))</f>
        <v>0</v>
      </c>
      <c r="FM93" s="235" t="str">
        <f t="shared" ca="1" si="57"/>
        <v>JAH</v>
      </c>
      <c r="FN93" s="209">
        <f>VLOOKUP(Tulemused!$BN$13,data!$C$132:$D$137,2,FALSE)-KOMBI!R93</f>
        <v>3.4690876728770306</v>
      </c>
      <c r="FO93" s="209"/>
      <c r="FP93" s="209">
        <f>VLOOKUP(Tulemused!$BN$17,NO_x,2,FALSE)-CJ93</f>
        <v>11.955138900569413</v>
      </c>
      <c r="FQ93" s="209">
        <f>VLOOKUP(Tulemused!$BN$18,SO_2,2,FALSE)-CK93</f>
        <v>40.661675362099992</v>
      </c>
      <c r="FR93" s="209">
        <f>VLOOKUP(Tulemused!$BN$19,LOU,2,FALSE)-CN93</f>
        <v>34.182000000000002</v>
      </c>
      <c r="FS93" s="209">
        <f>VLOOKUP(Tulemused!$BN$20,PM_2.5,2,FALSE)-CM93</f>
        <v>9.314684320552896</v>
      </c>
      <c r="FT93" s="209">
        <f>VLOOKUP(Tulemused!$BN$13,data!$C$132:$D$137,2,FALSE)-FA93/1000</f>
        <v>3.0246240000000006</v>
      </c>
      <c r="FU93" s="209">
        <f>VLOOKUP(Tulemused!$BN$17,NO_x,2,FALSE)-CO93</f>
        <v>5.5964247892027181</v>
      </c>
      <c r="FV93" s="209">
        <f>VLOOKUP(Tulemused!$BN$18,SO_2,2,FALSE)-CP93</f>
        <v>38.478005169650174</v>
      </c>
      <c r="FW93" s="209">
        <f>VLOOKUP(Tulemused!$BN$19,LOU,2,FALSE)-CS93</f>
        <v>33.285665509940173</v>
      </c>
      <c r="FX93" s="209">
        <f>VLOOKUP(Tulemused!$BN$20,PM_2.5,2,FALSE)-CR93</f>
        <v>9.2119127215424239</v>
      </c>
      <c r="FY93" s="209">
        <f>VLOOKUP(Tulemused!$BN$14,KHG_2050,2,FALSE)-EF93</f>
        <v>95.890617672877028</v>
      </c>
      <c r="FZ93" s="231" t="str">
        <f t="shared" ca="1" si="79"/>
        <v>EI</v>
      </c>
      <c r="GA93" s="209"/>
      <c r="GB93" s="209"/>
      <c r="GC93" s="209"/>
      <c r="GD93" s="231"/>
      <c r="GE93" s="87">
        <f t="shared" si="58"/>
        <v>940</v>
      </c>
      <c r="GF93" s="232" t="str">
        <f t="shared" ca="1" si="80"/>
        <v/>
      </c>
      <c r="GH93" s="238" t="e">
        <f t="shared" ca="1" si="59"/>
        <v>#NUM!</v>
      </c>
      <c r="GI93" s="87" t="e">
        <f t="array" aca="1" ref="GI93" ca="1">INDEX($A$11:$A$145, SMALL(IF(GH93=$GF$11:$GF$145, MATCH(ROW($GF$11:$GF$145), ROW($GF$11:$GF$145))), SUM(--(GH93=$GH$11:GH93))))</f>
        <v>#NUM!</v>
      </c>
      <c r="GM93" s="209">
        <f>IF(GM$7="X",VLOOKUP(GM$10,'VK-Hooned-Soojus'!$C:$X,2+$C93,FALSE),0)+IF(GM$6="X",VLOOKUP(GM$10,'VK-Transport'!$C:$X,2+$B93,0))+IF(GM$8="X",VLOOKUP(GM$10,'VK-Elekter'!$C:$X,2+$D93,0))+IF(GM$9="X",VLOOKUP(GM$10,'VK-Biokütused'!$C:$U,2+$E93,0))+IF(GM$5="X",VLOOKUP(GM$10,'VK-Põlevkivi'!$C:$X,2+$G93,0))+IF(GM$4="X",VLOOKUP(GM$10,'VK-Võrgud'!$C:$X,2+$F93,0))</f>
        <v>6.011750640646909</v>
      </c>
      <c r="GN93" s="209">
        <f>IF(GN$7="X",VLOOKUP(GN$10,'VK-Hooned-Soojus'!$C:$X,2+$C93,FALSE),0)+IF(GN$6="X",VLOOKUP(GN$10,'VK-Transport'!$C:$X,2+$B93,0))+IF(GN$8="X",VLOOKUP(GN$10,'VK-Elekter'!$C:$X,2+$D93,0))+IF(GN$9="X",VLOOKUP(GN$10,'VK-Biokütused'!$C:$U,2+$E93,0))+IF(GN$5="X",VLOOKUP(GN$10,'VK-Põlevkivi'!$C:$X,2+$G93,0))+IF(GN$4="X",VLOOKUP(GN$10,'VK-Võrgud'!$C:$X,2+$F93,0))</f>
        <v>3.4528686473995491</v>
      </c>
      <c r="GO93" s="209">
        <f>IF(GO$7="X",VLOOKUP(GO$10,'VK-Hooned-Soojus'!$C:$X,2+$C93,FALSE),0)+IF(GO$6="X",VLOOKUP(GO$10,'VK-Transport'!$C:$X,2+$B93,0))+IF(GO$8="X",VLOOKUP(GO$10,'VK-Elekter'!$C:$X,2+$D93,0))+IF(GO$9="X",VLOOKUP(GO$10,'VK-Biokütused'!$C:$U,2+$E93,0))+IF(GO$5="X",VLOOKUP(GO$10,'VK-Põlevkivi'!$C:$X,2+$G93,0))+IF(GO$4="X",VLOOKUP(GO$10,'VK-Võrgud'!$C:$X,2+$F93,0))</f>
        <v>7.5763700102722566</v>
      </c>
      <c r="GP93" s="209">
        <f>IF(GP$7="X",VLOOKUP(GP$10,'VK-Hooned-Soojus'!$C:$X,2+$C93,FALSE),0)+IF(GP$6="X",VLOOKUP(GP$10,'VK-Transport'!$C:$X,2+$B93,0))+IF(GP$8="X",VLOOKUP(GP$10,'VK-Elekter'!$C:$X,2+$D93,0))+IF(GP$9="X",VLOOKUP(GP$10,'VK-Biokütused'!$C:$U,2+$E93,0))+IF(GP$5="X",VLOOKUP(GP$10,'VK-Põlevkivi'!$C:$X,2+$G93,0))+IF(GP$4="X",VLOOKUP(GP$10,'VK-Võrgud'!$C:$X,2+$F93,0))</f>
        <v>8.9326558040707589</v>
      </c>
      <c r="GQ93" s="88">
        <f>IF(GQ$7="X",VLOOKUP(GQ$10,'VK-Hooned-Soojus'!$C:$X,2+$C93,FALSE),0)+IF(GQ$6="X",VLOOKUP(GQ$10,'VK-Transport'!$C:$X,2+$B93,0))+IF(GQ$8="X",VLOOKUP(GQ$10,'VK-Elekter'!$C:$X,2+$D93,0))+IF(GQ$9="X",VLOOKUP(GQ$10,'VK-Biokütused'!$C:$U,2+$E93,0))+IF(GQ$5="X",VLOOKUP(GQ$10,'VK-Põlevkivi'!$C:$X,2+$G93,0))+IF(GQ$4="X",VLOOKUP(GQ$10,'VK-Võrgud'!$C:$X,2+$F93,0))</f>
        <v>0.90618397335647782</v>
      </c>
      <c r="GR93" s="186">
        <f t="shared" si="81"/>
        <v>0.39550808643602814</v>
      </c>
    </row>
    <row r="94" spans="1:200" x14ac:dyDescent="0.2">
      <c r="A94" s="184">
        <v>84</v>
      </c>
      <c r="B94" s="87">
        <v>2</v>
      </c>
      <c r="C94" s="87">
        <v>3</v>
      </c>
      <c r="D94" s="87">
        <v>3</v>
      </c>
      <c r="E94" s="87">
        <v>3</v>
      </c>
      <c r="F94" s="87">
        <f>VLOOKUP(Tulemused!$BF$7,data!$J$6:$K$8,2,FALSE)</f>
        <v>2</v>
      </c>
      <c r="G94" s="87">
        <f>VLOOKUP(data!$H$2,data!$J$12:$K$14,2,FALSE)</f>
        <v>2</v>
      </c>
      <c r="I94" s="209">
        <f>IF(I$7="X",VLOOKUP(I$10,'VK-Hooned-Soojus'!$C:$X,2+$C94,FALSE),0)+IF(I$6="X",VLOOKUP(I$10,'VK-Transport'!$C:$X,2+$B94,0))+IF(I$8="X",VLOOKUP(I$10,'VK-Elekter'!$C:$X,2+$D94,0))+IF(I$9="X",VLOOKUP(I$10,'VK-Biokütused'!$C:$U,2+$E94,0))+IF(I$5="X",VLOOKUP(I$10,'VK-Põlevkivi'!$C:$X,2+$G94,0))+IF(I$4="X",VLOOKUP(I$10,'VK-Võrgud'!$C:$X,2+$F94,0))</f>
        <v>23.490000000000002</v>
      </c>
      <c r="J94" s="209">
        <f>IF(J$7="X",VLOOKUP(J$10,'VK-Hooned-Soojus'!$C:$X,2+$C94,FALSE),0)+IF(J$6="X",VLOOKUP(J$10,'VK-Transport'!$C:$X,2+$B94,0))+IF(J$8="X",VLOOKUP(J$10,'VK-Elekter'!$C:$X,2+$D94,0))+IF(J$9="X",VLOOKUP(J$10,'VK-Biokütused'!$C:$U,2+$E94,0))+IF(J$5="X",VLOOKUP(J$10,'VK-Põlevkivi'!$C:$X,2+$G94,0))+IF(J$4="X",VLOOKUP(J$10,'VK-Võrgud'!$C:$X,2+$F94,0))</f>
        <v>11.138055555555555</v>
      </c>
      <c r="K94" s="209">
        <f>IF(K$7="X",VLOOKUP(K$10,'VK-Hooned-Soojus'!$C:$X,2+$C94,FALSE),0)+IF(K$6="X",VLOOKUP(K$10,'VK-Transport'!$C:$X,2+$B94,0))+IF(K$8="X",VLOOKUP(K$10,'VK-Elekter'!$C:$X,2+$D94,0))+IF(K$9="X",VLOOKUP(K$10,'VK-Biokütused'!$C:$U,2+$E94,0))+IF(K$5="X",VLOOKUP(K$10,'VK-Põlevkivi'!$C:$X,2+$G94,0))+IF(K$4="X",VLOOKUP(K$10,'VK-Võrgud'!$C:$X,2+$F94,0))</f>
        <v>13.780000000000001</v>
      </c>
      <c r="L94" s="209">
        <f>IF(L$7="X",VLOOKUP(L$10,'VK-Hooned-Soojus'!$C:$X,2+$C94,FALSE),0)+IF(L$6="X",VLOOKUP(L$10,'VK-Transport'!$C:$X,2+$B94,0))+IF(L$8="X",VLOOKUP(L$10,'VK-Elekter'!$C:$X,2+$D94,0))+IF(L$9="X",VLOOKUP(L$10,'VK-Biokütused'!$C:$U,2+$E94,0))+IF(L$5="X",VLOOKUP(L$10,'VK-Põlevkivi'!$C:$X,2+$G94,0))+IF(L$4="X",VLOOKUP(L$10,'VK-Võrgud'!$C:$X,2+$F94,0))</f>
        <v>23.75</v>
      </c>
      <c r="M94" s="209">
        <f>IF(M$7="X",VLOOKUP(M$10,'VK-Hooned-Soojus'!$C:$X,2+$C94,FALSE),0)+IF(M$6="X",VLOOKUP(M$10,'VK-Transport'!$C:$X,2+$B94,0))+IF(M$8="X",VLOOKUP(M$10,'VK-Elekter'!$C:$X,2+$D94,0))+IF(M$9="X",VLOOKUP(M$10,'VK-Biokütused'!$C:$U,2+$E94,0))+IF(M$5="X",VLOOKUP(M$10,'VK-Põlevkivi'!$C:$X,2+$G94,0))+IF(M$4="X",VLOOKUP(M$10,'VK-Võrgud'!$C:$X,2+$F94,0))</f>
        <v>9.8566666666666674</v>
      </c>
      <c r="N94" s="209">
        <f>IF(N$7="X",VLOOKUP(N$10,'VK-Hooned-Soojus'!$C:$X,2+$C94,FALSE),0)+IF(N$6="X",VLOOKUP(N$10,'VK-Transport'!$C:$X,2+$B94,0))+IF(N$8="X",VLOOKUP(N$10,'VK-Elekter'!$C:$X,2+$D94,0))+IF(N$9="X",VLOOKUP(N$10,'VK-Biokütused'!$C:$U,2+$E94,0))+IF(N$5="X",VLOOKUP(N$10,'VK-Põlevkivi'!$C:$X,2+$G94,0))+IF(N$4="X",VLOOKUP(N$10,'VK-Võrgud'!$C:$X,2+$F94,0))</f>
        <v>15.25</v>
      </c>
      <c r="O94" s="209">
        <f t="shared" si="60"/>
        <v>34.628055555555555</v>
      </c>
      <c r="P94" s="209"/>
      <c r="Q94" s="209">
        <f>(IF(Q$7="X",VLOOKUP(Q$10,'VK-Hooned-Soojus'!$C:$X,2+$C94,FALSE),0)+IF(Q$6="X",VLOOKUP(Q$10,'VK-Transport'!$C:$X,2+$B94,0))+IF(Q$8="X",VLOOKUP(Q$10,'VK-Elekter'!$C:$X,2+$D94,0))+IF(Q$9="X",VLOOKUP(Q$10,'VK-Biokütused'!$C:$U,2+$E94,0))+IF(Q$5="X",VLOOKUP(Q$10,'VK-Põlevkivi'!$C:$X,2+$G94,0))+IF(Q$4="X",VLOOKUP(Q$10,'VK-Võrgud'!$C:$X,2+$F94,0)))/1000</f>
        <v>4.9050000000000002</v>
      </c>
      <c r="R94" s="209">
        <f>(IF(R$7="X",VLOOKUP(R$10,'VK-Hooned-Soojus'!$C:$X,2+$C94,FALSE),0)+IF(R$6="X",VLOOKUP(R$10,'VK-Transport'!$C:$X,2+$B94,0))+IF(R$8="X",VLOOKUP(R$10,'VK-Elekter'!$C:$X,2+$D94,0))+IF(R$9="X",VLOOKUP(R$10,'VK-Biokütused'!$C:$U,2+$E94,0))+IF(R$5="X",VLOOKUP(R$10,'VK-Põlevkivi'!$C:$X,2+$G94,0))+IF(R$4="X",VLOOKUP(R$10,'VK-Võrgud'!$C:$X,2+$F94,0)))/1000</f>
        <v>2.98558232712297</v>
      </c>
      <c r="S94" s="226">
        <f>VLOOKUP(S$10,'VK-Hooned-Soojus'!$C:$I,2+$C94,FALSE) + VLOOKUP(S$10,'VK-Transport'!$C:$I,2+$B94,FALSE)+ VLOOKUP(S$10,'VK-Biokütused'!$C:$G,2+$E94,FALSE)+ VLOOKUP(S$10,'VK-Elekter'!$C:$I,2+$D94,FALSE)+ VLOOKUP(S$10,'VK-Põlevkivi'!$C:$I,2+$G94,FALSE)+ VLOOKUP(S$10,'VK-Võrgud'!$C:$I,2+$F94,FALSE)</f>
        <v>2.2352002873452712E-2</v>
      </c>
      <c r="T94" s="226">
        <f>VLOOKUP(T$10,'VK-Hooned-Soojus'!$C:$I,2+$C94,FALSE) + VLOOKUP(T$10,'VK-Transport'!$C:$I,2+$B94,FALSE)+ VLOOKUP(T$10,'VK-Biokütused'!$C:$G,2+$E94,FALSE)+ VLOOKUP(T$10,'VK-Elekter'!$C:$I,2+$D94,FALSE)+ VLOOKUP(T$10,'VK-Põlevkivi'!$C:$I,2+$G94,FALSE)+ VLOOKUP(T$10,'VK-Võrgud'!$C:$I,2+$F94,FALSE)</f>
        <v>-2.2660252602180009E-3</v>
      </c>
      <c r="U94" s="226">
        <f>VLOOKUP(U$10,'VK-Hooned-Soojus'!$C:$I,2+$C94,FALSE) + VLOOKUP(U$10,'VK-Transport'!$C:$I,2+$B94,FALSE)+ VLOOKUP(U$10,'VK-Biokütused'!$C:$G,2+$E94,FALSE)+ VLOOKUP(U$10,'VK-Elekter'!$C:$I,2+$D94,FALSE)+ VLOOKUP(U$10,'VK-Põlevkivi'!$C:$I,2+$G94,FALSE)+ VLOOKUP(U$10,'VK-Võrgud'!$C:$I,2+$F94,FALSE)</f>
        <v>4.0712833243409241E-3</v>
      </c>
      <c r="V94" s="226">
        <f>VLOOKUP(V$10,'VK-Hooned-Soojus'!$C:$I,2+$C94,FALSE) + VLOOKUP(V$10,'VK-Transport'!$C:$I,2+$B94,FALSE)+ VLOOKUP(V$10,'VK-Biokütused'!$C:$G,2+$E94,FALSE)+ VLOOKUP(V$10,'VK-Elekter'!$C:$I,2+$D94,FALSE)+ VLOOKUP(V$10,'VK-Põlevkivi'!$C:$I,2+$G94,FALSE)+ VLOOKUP(V$10,'VK-Võrgud'!$C:$I,2+$F94,FALSE)</f>
        <v>1.8462869037412923E-2</v>
      </c>
      <c r="W94" s="226">
        <f>VLOOKUP(W$10,'VK-Hooned-Soojus'!$C:$I,2+$C94,FALSE) + VLOOKUP(W$10,'VK-Transport'!$C:$I,2+$B94,FALSE)+ VLOOKUP(W$10,'VK-Biokütused'!$C:$G,2+$E94,FALSE)+ VLOOKUP(W$10,'VK-Elekter'!$C:$I,2+$D94,FALSE)+ VLOOKUP(W$10,'VK-Põlevkivi'!$C:$I,2+$G94,FALSE)+ VLOOKUP(W$10,'VK-Võrgud'!$C:$I,2+$F94,FALSE)</f>
        <v>-2.9110945450778421E-2</v>
      </c>
      <c r="X94" s="226">
        <f>VLOOKUP(X$10,'VK-Hooned-Soojus'!$C:$I,2+$C94,FALSE) + VLOOKUP(X$10,'VK-Transport'!$C:$I,2+$B94,FALSE)+ VLOOKUP(X$10,'VK-Biokütused'!$C:$G,2+$E94,FALSE)+ VLOOKUP(X$10,'VK-Elekter'!$C:$I,2+$D94,FALSE)+ VLOOKUP(X$10,'VK-Põlevkivi'!$C:$I,2+$G94,FALSE)+ VLOOKUP(X$10,'VK-Võrgud'!$C:$I,2+$F94,FALSE)</f>
        <v>-3.7187015205066995E-2</v>
      </c>
      <c r="Y94" s="226">
        <f>VLOOKUP(Y$10,'VK-Hooned-Soojus'!$C:$I,2+$C94,FALSE) + VLOOKUP(Y$10,'VK-Transport'!$C:$I,2+$B94,FALSE)+ VLOOKUP(Y$10,'VK-Biokütused'!$C:$G,2+$E94,FALSE)+ VLOOKUP(Y$10,'VK-Elekter'!$C:$I,2+$D94,FALSE)+ VLOOKUP(Y$10,'VK-Põlevkivi'!$C:$I,2+$G94,FALSE)+ VLOOKUP(Y$10,'VK-Võrgud'!$C:$I,2+$F94,FALSE)</f>
        <v>-5.4439471627404805E-2</v>
      </c>
      <c r="Z94" s="227">
        <f>(S94*Tulemused!$Q$9*10+T94*Tulemused!$Q$10*10+KOMBI!U94*Tulemused!$Q$11*10+KOMBI!V94*Tulemused!$Q$12*10)*Tulemused!$Q$8+-(W94*Tulemused!$Q$14*10+KOMBI!X94*Tulemused!$Q$15*10+KOMBI!Y94*Tulemused!$Q$16*10)*Tulemused!$Q$13</f>
        <v>5.8396464521567708</v>
      </c>
      <c r="AA94" s="228">
        <f>(IF(AA$7="X",VLOOKUP(AA$10,'VK-Hooned-Soojus'!$C:$X,2+$C94,FALSE),0)+IF(AA$6="X",VLOOKUP(AA$10,'VK-Transport'!$C:$X,2+$B94,0))+IF(AA$8="X",VLOOKUP(AA$10,'VK-Elekter'!$C:$X,2+$D94,0))+IF(AA$9="X",VLOOKUP(AA$10,'VK-Biokütused'!$C:$U,2+$E94,0))+IF(AA$5="X",VLOOKUP(AA$10,'VK-Põlevkivi'!$C:$X,2+$G94,0))+IF(AA$4="X",VLOOKUP(AA$10,'VK-Võrgud'!$C:$X,2+$F94,0)))</f>
        <v>3728</v>
      </c>
      <c r="AB94" s="228">
        <f>(IF(AB$7="X",VLOOKUP(AB$10,'VK-Hooned-Soojus'!$C:$X,2+$C94,FALSE),0)+IF(AB$6="X",VLOOKUP(AB$10,'VK-Transport'!$C:$X,2+$B94,0))+IF(AB$8="X",VLOOKUP(AB$10,'VK-Elekter'!$C:$X,2+$D94,0))+IF(AB$9="X",VLOOKUP(AB$10,'VK-Biokütused'!$C:$U,2+$E94,0))+IF(AB$5="X",VLOOKUP(AB$10,'VK-Põlevkivi'!$C:$X,2+$G94,0))+IF(AB$4="X",VLOOKUP(AB$10,'VK-Võrgud'!$C:$X,2+$F94,0)))</f>
        <v>1177</v>
      </c>
      <c r="AC94" s="228">
        <f>(IF(AC$7="X",VLOOKUP(AC$10,'VK-Hooned-Soojus'!$C:$X,2+$C94,FALSE),0)+IF(AC$6="X",VLOOKUP(AC$10,'VK-Transport'!$C:$X,2+$B94,0))+IF(AC$8="X",VLOOKUP(AC$10,'VK-Elekter'!$C:$X,2+$D94,0))+IF(AC$9="X",VLOOKUP(AC$10,'VK-Biokütused'!$C:$U,2+$E94,0))+IF(AC$5="X",VLOOKUP(AC$10,'VK-Põlevkivi'!$C:$X,2+$G94,0))+IF(AC$4="X",VLOOKUP(AC$10,'VK-Võrgud'!$C:$X,2+$F94,0)))</f>
        <v>2346</v>
      </c>
      <c r="AD94" s="228">
        <f>(IF(AD$7="X",VLOOKUP(AD$10,'VK-Hooned-Soojus'!$C:$X,2+$C94,FALSE),0)+IF(AD$6="X",VLOOKUP(AD$10,'VK-Transport'!$C:$X,2+$B94,0))+IF(AD$8="X",VLOOKUP(AD$10,'VK-Elekter'!$C:$X,2+$D94,0))+IF(AD$9="X",VLOOKUP(AD$10,'VK-Biokütused'!$C:$U,2+$E94,0))+IF(AD$5="X",VLOOKUP(AD$10,'VK-Põlevkivi'!$C:$X,2+$G94,0))+IF(AD$4="X",VLOOKUP(AD$10,'VK-Võrgud'!$C:$X,2+$F94,0)))</f>
        <v>586.20000000000005</v>
      </c>
      <c r="AE94" s="228">
        <f>(IF(AE$7="X",VLOOKUP(AE$10,'VK-Hooned-Soojus'!$C:$X,2+$C94,FALSE),0)+IF(AE$6="X",VLOOKUP(AE$10,'VK-Transport'!$C:$X,2+$B94,0))+IF(AE$8="X",VLOOKUP(AE$10,'VK-Elekter'!$C:$X,2+$D94,0))+IF(AE$9="X",VLOOKUP(AE$10,'VK-Biokütused'!$C:$U,2+$E94,0))+IF(AE$5="X",VLOOKUP(AE$10,'VK-Põlevkivi'!$C:$X,2+$G94,0))+IF(AE$4="X",VLOOKUP(AE$10,'VK-Võrgud'!$C:$X,2+$F94,0)))</f>
        <v>507</v>
      </c>
      <c r="AF94" s="228">
        <f>(IF(AF$7="X",VLOOKUP(AF$10,'VK-Hooned-Soojus'!$C:$X,2+$C94,FALSE),0)+IF(AF$6="X",VLOOKUP(AF$10,'VK-Transport'!$C:$X,2+$B94,0))+IF(AF$8="X",VLOOKUP(AF$10,'VK-Elekter'!$C:$X,2+$D94,0))+IF(AF$9="X",VLOOKUP(AF$10,'VK-Biokütused'!$C:$U,2+$E94,0))+IF(AF$5="X",VLOOKUP(AF$10,'VK-Põlevkivi'!$C:$X,2+$G94,0))+IF(AF$4="X",VLOOKUP(AF$10,'VK-Võrgud'!$C:$X,2+$F94,0)))</f>
        <v>1892.3823271229701</v>
      </c>
      <c r="AG94" s="209"/>
      <c r="AH94" s="209">
        <f>IF(AH$7="X",VLOOKUP(AH$10,'VK-Hooned-Soojus'!$C:$X,2+$C94,FALSE),0)+IF(AH$6="X",VLOOKUP(AH$10,'VK-Transport'!$C:$X,2+$B94,0))+IF(AH$8="X",VLOOKUP(AH$10,'VK-Elekter'!$C:$X,2+$D94,0))+IF(AH$9="X",VLOOKUP(AH$10,'VK-Biokütused'!$C:$U,2+$E94,0))+IF(AH$5="X",VLOOKUP(AH$10,'VK-Põlevkivi'!$C:$X,2+$G94,0))+IF(AH$4="X",VLOOKUP(AH$10,'VK-Võrgud'!$C:$X,2+$F94,0))</f>
        <v>11.579999999999998</v>
      </c>
      <c r="AI94" s="209">
        <f>IF(AI$7="X",VLOOKUP(AI$10,'VK-Hooned-Soojus'!$C:$X,2+$C94,FALSE),0)+IF(AI$6="X",VLOOKUP(AI$10,'VK-Transport'!$C:$X,2+$B94,0))+IF(AI$8="X",VLOOKUP(AI$10,'VK-Elekter'!$C:$X,2+$D94,0))+IF(AI$9="X",VLOOKUP(AI$10,'VK-Biokütused'!$C:$U,2+$E94,0))+IF(AI$5="X",VLOOKUP(AI$10,'VK-Põlevkivi'!$C:$X,2+$G94,0))+IF(AI$4="X",VLOOKUP(AI$10,'VK-Võrgud'!$C:$X,2+$F94,0))</f>
        <v>4.45</v>
      </c>
      <c r="AJ94" s="209">
        <f>IF(AJ$7="X",VLOOKUP(AJ$10,'VK-Hooned-Soojus'!$C:$X,2+$C94,FALSE),0)+IF(AJ$6="X",VLOOKUP(AJ$10,'VK-Transport'!$C:$X,2+$B94,0))+IF(AJ$8="X",VLOOKUP(AJ$10,'VK-Elekter'!$C:$X,2+$D94,0))+IF(AJ$9="X",VLOOKUP(AJ$10,'VK-Biokütused'!$C:$U,2+$E94,0))+IF(AJ$5="X",VLOOKUP(AJ$10,'VK-Põlevkivi'!$C:$X,2+$G94,0))+IF(AJ$4="X",VLOOKUP(AJ$10,'VK-Võrgud'!$C:$X,2+$F94,0))</f>
        <v>9.19</v>
      </c>
      <c r="AK94" s="209">
        <f>IF(AK$7="X",VLOOKUP(AK$10,'VK-Hooned-Soojus'!$C:$X,2+$C94,FALSE),0)+IF(AK$6="X",VLOOKUP(AK$10,'VK-Transport'!$C:$X,2+$B94,0))+IF(AK$8="X",VLOOKUP(AK$10,'VK-Elekter'!$C:$X,2+$D94,0))+IF(AK$9="X",VLOOKUP(AK$10,'VK-Biokütused'!$C:$U,2+$E94,0))+IF(AK$5="X",VLOOKUP(AK$10,'VK-Põlevkivi'!$C:$X,2+$G94,0))+IF(AK$4="X",VLOOKUP(AK$10,'VK-Võrgud'!$C:$X,2+$F94,0))</f>
        <v>0.66</v>
      </c>
      <c r="AL94" s="209">
        <f>IF(AL$7="X",VLOOKUP(AL$10,'VK-Hooned-Soojus'!$C:$X,2+$C94,FALSE),0)+IF(AL$6="X",VLOOKUP(AL$10,'VK-Transport'!$C:$X,2+$B94,0))+IF(AL$8="X",VLOOKUP(AL$10,'VK-Elekter'!$C:$X,2+$D94,0))+IF(AL$9="X",VLOOKUP(AL$10,'VK-Biokütused'!$C:$U,2+$E94,0))+IF(AL$5="X",VLOOKUP(AL$10,'VK-Põlevkivi'!$C:$X,2+$G94,0))+IF(AL$4="X",VLOOKUP(AL$10,'VK-Võrgud'!$C:$X,2+$F94,0))</f>
        <v>7.1</v>
      </c>
      <c r="AM94" s="209">
        <f>IF(AM$7="X",VLOOKUP(AM$10,'VK-Hooned-Soojus'!$C:$X,2+$C94,FALSE),0)+IF(AM$6="X",VLOOKUP(AM$10,'VK-Transport'!$C:$X,2+$B94,0))+IF(AM$8="X",VLOOKUP(AM$10,'VK-Elekter'!$C:$X,2+$D94,0))+IF(AM$9="X",VLOOKUP(AM$10,'VK-Biokütused'!$C:$U,2+$E94,0))+IF(AM$5="X",VLOOKUP(AM$10,'VK-Põlevkivi'!$C:$X,2+$G94,0))+IF(AM$4="X",VLOOKUP(AM$10,'VK-Võrgud'!$C:$X,2+$F94,0))</f>
        <v>11.5</v>
      </c>
      <c r="AN94" s="209">
        <f>IF(AN$7="X",VLOOKUP(AN$10,'VK-Hooned-Soojus'!$C:$X,2+$C94,FALSE),0)+IF(AN$6="X",VLOOKUP(AN$10,'VK-Transport'!$C:$X,2+$B94,0))+IF(AN$8="X",VLOOKUP(AN$10,'VK-Elekter'!$C:$X,2+$D94,0))+IF(AN$9="X",VLOOKUP(AN$10,'VK-Biokütused'!$C:$U,2+$E94,0))+IF(AN$5="X",VLOOKUP(AN$10,'VK-Põlevkivi'!$C:$X,2+$G94,0))+IF(AN$4="X",VLOOKUP(AN$10,'VK-Võrgud'!$C:$X,2+$F94,0))</f>
        <v>4.0999999999999996</v>
      </c>
      <c r="AO94" s="209">
        <f>IF(AO$7="X",VLOOKUP(AO$10,'VK-Hooned-Soojus'!$C:$X,2+$C94,FALSE),0)+IF(AO$6="X",VLOOKUP(AO$10,'VK-Transport'!$C:$X,2+$B94,0))+IF(AO$8="X",VLOOKUP(AO$10,'VK-Elekter'!$C:$X,2+$D94,0))+IF(AO$9="X",VLOOKUP(AO$10,'VK-Biokütused'!$C:$U,2+$E94,0))+IF(AO$5="X",VLOOKUP(AO$10,'VK-Põlevkivi'!$C:$X,2+$G94,0))+IF(AO$4="X",VLOOKUP(AO$10,'VK-Võrgud'!$C:$X,2+$F94,0))</f>
        <v>12.16</v>
      </c>
      <c r="AP94" s="209">
        <f>IF(AP$7="X",VLOOKUP(AP$10,'VK-Hooned-Soojus'!$C:$X,2+$C94,FALSE),0)+IF(AP$6="X",VLOOKUP(AP$10,'VK-Transport'!$C:$X,2+$B94,0))+IF(AP$8="X",VLOOKUP(AP$10,'VK-Elekter'!$C:$X,2+$D94,0))+IF(AP$9="X",VLOOKUP(AP$10,'VK-Biokütused'!$C:$U,2+$E94,0))+IF(AP$5="X",VLOOKUP(AP$10,'VK-Põlevkivi'!$C:$X,2+$G94,0))+IF(AP$4="X",VLOOKUP(AP$10,'VK-Võrgud'!$C:$X,2+$F94,0))</f>
        <v>6.08</v>
      </c>
      <c r="AQ94" s="320">
        <f t="shared" si="61"/>
        <v>0</v>
      </c>
      <c r="AR94" s="209">
        <f>IF(AR$7="X",VLOOKUP(AR$10,'VK-Hooned-Soojus'!$C:$X,2+$C94,FALSE),0)+IF(AR$6="X",VLOOKUP(AR$10,'VK-Transport'!$C:$X,2+$B94,0))+IF(AR$8="X",VLOOKUP(AR$10,'VK-Elekter'!$C:$X,2+$D94,0))+IF(AR$9="X",VLOOKUP(AR$10,'VK-Biokütused'!$C:$U,2+$E94,0))+IF(AR$5="X",VLOOKUP(AR$10,'VK-Põlevkivi'!$C:$X,2+$G94,0))+IF(AR$4="X",VLOOKUP(AR$10,'VK-Võrgud'!$C:$X,2+$F94,0))</f>
        <v>2.3899999999999997</v>
      </c>
      <c r="AS94" s="320">
        <f>VLOOKUP("Kütuste tarbimine @ 2030 - UTTEGAAS",'VK-Hooned-Soojus'!$C:$X,2+$C94,FALSE)/0.172+VLOOKUP("Kütuste tarbimine @ 2030 - UTTEGAAS",'VK-Elekter'!$C:$X,2+$D94,FALSE)/0.172-AR94-AU94</f>
        <v>2.8565116279069773</v>
      </c>
      <c r="AT94" s="209">
        <f>IF(AT$7="X",VLOOKUP(AT$10,'VK-Hooned-Soojus'!$C:$X,2+$C94,FALSE),0)+IF(AT$6="X",VLOOKUP(AT$10,'VK-Transport'!$C:$X,2+$B94,0))+IF(AT$8="X",VLOOKUP(AT$10,'VK-Elekter'!$C:$X,2+$D94,0))+IF(AT$9="X",VLOOKUP(AT$10,'VK-Biokütused'!$C:$U,2+$E94,0))+IF(AT$5="X",VLOOKUP(AT$10,'VK-Põlevkivi'!$C:$X,2+$G94,0))+IF(AT$4="X",VLOOKUP(AT$10,'VK-Võrgud'!$C:$X,2+$F94,0))</f>
        <v>9.2784458909544707</v>
      </c>
      <c r="AU94" s="229">
        <f>MAX(0,(VLOOKUP("Kütuste tarbimine @ 2030 - UTTEGAAS",'VK-Hooned-Soojus'!$C:$X,2+$C94,FALSE)/0.172+VLOOKUP("Kütuste tarbimine @ 2030 - UTTEGAAS",'VK-Elekter'!$C:$X,2+$D94,FALSE)/0.172)*0.52-VLOOKUP("Kütuste tarbimine @ 2030 - PÕLEVKIVIÕLI",'VK-Hooned-Soojus'!$C:$X,2+$C94,FALSE))</f>
        <v>5.6837209302325586</v>
      </c>
      <c r="AV94" s="209">
        <f>IF(AV$7="X",VLOOKUP(AV$10,'VK-Hooned-Soojus'!$C:$X,2+$C94,FALSE),0)+IF(AV$6="X",VLOOKUP(AV$10,'VK-Transport'!$C:$X,2+$B94,0))+IF(AV$8="X",VLOOKUP(AV$10,'VK-Elekter'!$C:$X,2+$D94,0))+IF(AV$9="X",VLOOKUP(AV$10,'VK-Biokütused'!$C:$U,2+$E94,0))+IF(AV$5="X",VLOOKUP(AV$10,'VK-Põlevkivi'!$C:$X,2+$G94,0))+IF(AV$4="X",VLOOKUP(AV$10,'VK-Võrgud'!$C:$X,2+$F94,0))</f>
        <v>1.7257321590343366</v>
      </c>
      <c r="AW94" s="209">
        <f>IF(AW$7="X",VLOOKUP(AW$10,'VK-Hooned-Soojus'!$C:$X,2+$C94,FALSE),0)+IF(AW$6="X",VLOOKUP(AW$10,'VK-Transport'!$C:$X,2+$B94,0))+IF(AW$8="X",VLOOKUP(AW$10,'VK-Elekter'!$C:$X,2+$D94,0))+IF(AW$9="X",VLOOKUP(AW$10,'VK-Biokütused'!$C:$U,2+$E94,0))+IF(AW$5="X",VLOOKUP(AW$10,'VK-Põlevkivi'!$C:$X,2+$G94,0))+IF(AW$4="X",VLOOKUP(AW$10,'VK-Võrgud'!$C:$X,2+$F94,0))</f>
        <v>4.2799999999999994</v>
      </c>
      <c r="AX94" s="229">
        <f t="shared" si="62"/>
        <v>2.5542678409656627</v>
      </c>
      <c r="AY94" s="229">
        <f t="shared" si="63"/>
        <v>0</v>
      </c>
      <c r="AZ94" s="230">
        <f t="shared" si="48"/>
        <v>0.50006688263297139</v>
      </c>
      <c r="BA94" s="209">
        <f>IF(BA$7="X",VLOOKUP(BA$10,'VK-Hooned-Soojus'!$C:$X,2+$C94,FALSE),0)+IF(BA$6="X",VLOOKUP(BA$10,'VK-Transport'!$C:$X,2+$B94,0))+IF(BA$8="X",VLOOKUP(BA$10,'VK-Elekter'!$C:$X,2+$D94,0))+IF(BA$9="X",VLOOKUP(BA$10,'VK-Biokütused'!$C:$U,2+$E94,0))+IF(BA$5="X",VLOOKUP(BA$10,'VK-Põlevkivi'!$C:$X,2+$G94,0))+IF(BA$4="X",VLOOKUP(BA$10,'VK-Võrgud'!$C:$X,2+$F94,0))</f>
        <v>4.2</v>
      </c>
      <c r="BB94" s="209">
        <f>IF(BB$7="X",VLOOKUP(BB$10,'VK-Hooned-Soojus'!$C:$X,2+$C94,FALSE),0)+IF(BB$6="X",VLOOKUP(BB$10,'VK-Transport'!$C:$X,2+$B94,0))+IF(BB$8="X",VLOOKUP(BB$10,'VK-Elekter'!$C:$X,2+$D94,0))+IF(BB$9="X",VLOOKUP(BB$10,'VK-Biokütused'!$C:$U,2+$E94,0))+IF(BB$5="X",VLOOKUP(BB$10,'VK-Põlevkivi'!$C:$X,2+$G94,0))+IF(BB$4="X",VLOOKUP(BB$10,'VK-Võrgud'!$C:$X,2+$F94,0))</f>
        <v>5.1000000000000005</v>
      </c>
      <c r="BC94" s="209">
        <f>IF(BC$7="X",VLOOKUP(BC$10,'VK-Hooned-Soojus'!$C:$X,2+$C94,FALSE),0)+IF(BC$6="X",VLOOKUP(BC$10,'VK-Transport'!$C:$X,2+$B94,0))+IF(BC$8="X",VLOOKUP(BC$10,'VK-Elekter'!$C:$X,2+$D94,0))+IF(BC$9="X",VLOOKUP(BC$10,'VK-Biokütused'!$C:$U,2+$E94,0))+IF(BC$5="X",VLOOKUP(BC$10,'VK-Põlevkivi'!$C:$X,2+$G94,0))+IF(BC$4="X",VLOOKUP(BC$10,'VK-Võrgud'!$C:$X,2+$F94,0))</f>
        <v>5.2376666666666667</v>
      </c>
      <c r="BD94" s="209">
        <f>IF(BD$7="X",VLOOKUP(BD$10,'VK-Hooned-Soojus'!$C:$X,2+$C94,FALSE),0)+IF(BD$6="X",VLOOKUP(BD$10,'VK-Transport'!$C:$X,2+$B94,0))+IF(BD$8="X",VLOOKUP(BD$10,'VK-Elekter'!$C:$X,2+$D94,0))+IF(BD$9="X",VLOOKUP(BD$10,'VK-Biokütused'!$C:$U,2+$E94,0))+IF(BD$5="X",VLOOKUP(BD$10,'VK-Põlevkivi'!$C:$X,2+$G94,0))+IF(BD$4="X",VLOOKUP(BD$10,'VK-Võrgud'!$C:$X,2+$F94,0))</f>
        <v>9.1105555555555569</v>
      </c>
      <c r="BE94" s="230"/>
      <c r="BF94" s="229">
        <f t="shared" si="64"/>
        <v>0.38052689019826891</v>
      </c>
      <c r="BG94" s="209" t="e">
        <f>(IF(BG$7="X",VLOOKUP(BG$10,'VK-Hooned-Soojus'!$C:$X,2+$C94,FALSE),0)+IF(BG$6="X",VLOOKUP(BG$10,'VK-Transport'!$C:$X,2+$B94,0))+IF(BG$8="X",VLOOKUP(BG$10,'VK-Elekter'!$C:$X,2+$D94,0))+IF(BG$9="X",VLOOKUP(BG$10,'VK-Biokütused'!$C:$U,2+$E94,0))+IF(BG$5="X",VLOOKUP(BG$10,'VK-Põlevkivi'!$C:$X,2+$G94,0))+IF(BG$4="X",VLOOKUP(BG$10,'VK-Võrgud'!$C:$X,2+$F94,0)))/20</f>
        <v>#N/A</v>
      </c>
      <c r="BH94" s="209">
        <f>(IF(BH$7="X",VLOOKUP(BH$10,'VK-Hooned-Soojus'!$C:$X,2+$C94,FALSE),0)+IF(BH$6="X",VLOOKUP(BH$10,'VK-Transport'!$C:$X,2+$B94,0))+IF(BH$8="X",VLOOKUP(BH$10,'VK-Elekter'!$C:$X,2+$D94,0))+IF(BH$9="X",VLOOKUP(BH$10,'VK-Biokütused'!$C:$U,2+$E94,0))+IF(BH$5="X",VLOOKUP(BH$10,'VK-Põlevkivi'!$C:$X,2+$G94,0))+IF(BH$4="X",VLOOKUP(BH$10,'VK-Võrgud'!$C:$X,2+$F94,0)))/20</f>
        <v>84.204999999999998</v>
      </c>
      <c r="BI94" s="209">
        <f>(IF(BI$7="X",VLOOKUP(BI$10,'VK-Hooned-Soojus'!$C:$X,2+$C94,FALSE),0)+IF(BI$6="X",VLOOKUP(BI$10,'VK-Transport'!$C:$X,2+$B94,0))+IF(BI$8="X",VLOOKUP(BI$10,'VK-Elekter'!$C:$X,2+$D94,0))+IF(BI$9="X",VLOOKUP(BI$10,'VK-Biokütused'!$C:$U,2+$E94,0))+IF(BI$5="X",VLOOKUP(BI$10,'VK-Põlevkivi'!$C:$X,2+$G94,0))+IF(BI$4="X",VLOOKUP(BI$10,'VK-Võrgud'!$C:$X,2+$F94,0)))/16</f>
        <v>8.9375</v>
      </c>
      <c r="BJ94" s="209">
        <f>(IF(BJ$7="X",VLOOKUP(BJ$10,'VK-Hooned-Soojus'!$C:$X,2+$C94,FALSE),0)+IF(BJ$6="X",VLOOKUP(BJ$10,'VK-Transport'!$C:$X,2+$B94,0))+IF(BJ$8="X",VLOOKUP(BJ$10,'VK-Elekter'!$C:$X,2+$D94,0))+IF(BJ$9="X",VLOOKUP(BJ$10,'VK-Biokütused'!$C:$U,2+$E94,0))+IF(BJ$5="X",VLOOKUP(BJ$10,'VK-Põlevkivi'!$C:$X,2+$G94,0))+IF(BJ$4="X",VLOOKUP(BJ$10,'VK-Võrgud'!$C:$X,2+$F94,0)))/20</f>
        <v>5.33</v>
      </c>
      <c r="BK94" s="209"/>
      <c r="BL94" s="209"/>
      <c r="BM94" s="209"/>
      <c r="BN94" s="209" t="e">
        <f>(IF(BN$7="X",VLOOKUP(BN$10,'VK-Hooned-Soojus'!$C:$X,2+$C94,FALSE),0)+IF(BN$6="X",VLOOKUP(BN$10,'VK-Transport'!$C:$X,2+$B94,0))+IF(BN$8="X",VLOOKUP(BN$10,'VK-Elekter'!$C:$X,2+$D94,0))+IF(BN$9="X",VLOOKUP(BN$10,'VK-Biokütused'!$C:$U,2+$E94,0))+IF(BN$5="X",VLOOKUP(BN$10,'VK-Põlevkivi'!$C:$X,2+$G94,0))+IF(BN$4="X",VLOOKUP(BN$10,'VK-Võrgud'!$C:$X,2+$F94,0)))/16</f>
        <v>#N/A</v>
      </c>
      <c r="BO94" s="209">
        <f>(IF(BO$7="X",VLOOKUP(BO$10,'VK-Hooned-Soojus'!$C:$X,2+$C94,FALSE),0)+IF(BO$6="X",VLOOKUP(BO$10,'VK-Transport'!$C:$X,2+$B94,0))+IF(BO$8="X",VLOOKUP(BO$10,'VK-Elekter'!$C:$X,2+$D94,0))+IF(BO$9="X",VLOOKUP(BO$10,'VK-Biokütused'!$C:$U,2+$E94,0))+IF(BO$5="X",VLOOKUP(BO$10,'VK-Põlevkivi'!$C:$X,2+$G94,0))+IF(BO$4="X",VLOOKUP(BO$10,'VK-Võrgud'!$C:$X,2+$F94,0)))/16</f>
        <v>405.45</v>
      </c>
      <c r="BP94" s="209"/>
      <c r="BQ94" s="209">
        <f>(IF(BQ$7="X",VLOOKUP(BQ$10,'VK-Hooned-Soojus'!$C:$X,2+$C94,FALSE),0)+IF(BQ$6="X",VLOOKUP(BQ$10,'VK-Transport'!$C:$X,2+$B94,0))+IF(BQ$8="X",VLOOKUP(BQ$10,'VK-Elekter'!$C:$X,2+$D94,0))+IF(BQ$9="X",VLOOKUP(BQ$10,'VK-Biokütused'!$C:$U,2+$E94,0))+IF(BQ$5="X",VLOOKUP(BQ$10,'VK-Põlevkivi'!$C:$X,2+$G94,0))+IF(BQ$4="X",VLOOKUP(BQ$10,'VK-Võrgud'!$C:$X,2+$F94,0)))/16</f>
        <v>127.6</v>
      </c>
      <c r="BR94" s="209">
        <f>(IF(BR$7="X",VLOOKUP(BR$10,'VK-Hooned-Soojus'!$C:$X,2+$C94,FALSE),0)+IF(BR$6="X",VLOOKUP(BR$10,'VK-Transport'!$C:$X,2+$B94,0))+IF(BR$8="X",VLOOKUP(BR$10,'VK-Elekter'!$C:$X,2+$D94,0))+IF(BR$9="X",VLOOKUP(BR$10,'VK-Biokütused'!$C:$U,2+$E94,0))+IF(BR$5="X",VLOOKUP(BR$10,'VK-Põlevkivi'!$C:$X,2+$G94,0))+IF(BR$4="X",VLOOKUP(BR$10,'VK-Võrgud'!$C:$X,2+$F94,0)))/16</f>
        <v>27.475000000000001</v>
      </c>
      <c r="BS94" s="209">
        <f>(IF(BS$7="X",VLOOKUP(BS$10,'VK-Hooned-Soojus'!$C:$X,2+$C94,FALSE),0)+IF(BS$6="X",VLOOKUP(BS$10,'VK-Transport'!$C:$X,2+$B94,0))+IF(BS$8="X",VLOOKUP(BS$10,'VK-Elekter'!$C:$X,2+$D94,0))+IF(BS$9="X",VLOOKUP(BS$10,'VK-Biokütused'!$C:$U,2+$E94,0))+IF(BS$5="X",VLOOKUP(BS$10,'VK-Põlevkivi'!$C:$X,2+$G94,0))+IF(BS$4="X",VLOOKUP(BS$10,'VK-Võrgud'!$C:$X,2+$F94,0)))/16</f>
        <v>-23.293749999999999</v>
      </c>
      <c r="BT94" s="209"/>
      <c r="BU94" s="209"/>
      <c r="BV94" s="209">
        <f>(IF(BV$7="X",VLOOKUP(BV$10,'VK-Hooned-Soojus'!$C:$X,2+$C94,FALSE),0)+IF(BV$6="X",VLOOKUP(BV$10,'VK-Transport'!$C:$X,2+$B94,0))+IF(BV$8="X",VLOOKUP(BV$10,'VK-Elekter'!$C:$X,2+$D94,0))+IF(BV$9="X",VLOOKUP(BV$10,'VK-Biokütused'!$C:$U,2+$E94,0))+IF(BV$5="X",VLOOKUP(BV$10,'VK-Põlevkivi'!$C:$X,2+$G94,0))+IF(BV$4="X",VLOOKUP(BV$10,'VK-Võrgud'!$C:$X,2+$F94,0)))/16</f>
        <v>0</v>
      </c>
      <c r="BW94" s="209"/>
      <c r="BX94" s="209">
        <f>(IF(BX$7="X",VLOOKUP(BX$10,'VK-Hooned-Soojus'!$C:$X,2+$C94,FALSE),0)+IF(BX$6="X",VLOOKUP(BX$10,'VK-Transport'!$C:$X,2+$B94,0))+IF(BX$8="X",VLOOKUP(BX$10,'VK-Elekter'!$C:$X,2+$D94,0))+IF(BX$9="X",VLOOKUP(BX$10,'VK-Biokütused'!$C:$U,2+$E94,0))+IF(BX$5="X",VLOOKUP(BX$10,'VK-Põlevkivi'!$C:$X,2+$G94,0))+IF(BX$4="X",VLOOKUP(BX$10,'VK-Võrgud'!$C:$X,2+$F94,0)))/16</f>
        <v>-99.4375</v>
      </c>
      <c r="BY94" s="209"/>
      <c r="BZ94" s="209"/>
      <c r="CA94" s="209" t="e">
        <f>(IF(CA$7="X",VLOOKUP(CA$10,'VK-Hooned-Soojus'!$C:$X,2+$C94,FALSE),0)+IF(CA$6="X",VLOOKUP(CA$10,'VK-Transport'!$C:$X,2+$B94,0))+IF(CA$8="X",VLOOKUP(CA$10,'VK-Elekter'!$C:$X,2+$D94,0))+IF(CA$9="X",VLOOKUP(CA$10,'VK-Biokütused'!$C:$U,2+$E94,0))+IF(CA$5="X",VLOOKUP(CA$10,'VK-Põlevkivi'!$C:$X,2+$G94,0))+IF(CA$4="X",VLOOKUP(CA$10,'VK-Võrgud'!$C:$X,2+$F94,0)))/16</f>
        <v>#N/A</v>
      </c>
      <c r="CB94" s="209">
        <f>(IF(CB$7="X",VLOOKUP(CB$10,'VK-Hooned-Soojus'!$C:$X,2+$C94,FALSE),0)+IF(CB$6="X",VLOOKUP(CB$10,'VK-Transport'!$C:$X,2+$B94,0))+IF(CB$8="X",VLOOKUP(CB$10,'VK-Elekter'!$C:$X,2+$D94,0))+IF(CB$9="X",VLOOKUP(CB$10,'VK-Biokütused'!$C:$U,2+$E94,0))+IF(CB$5="X",VLOOKUP(CB$10,'VK-Põlevkivi'!$C:$X,2+$G94,0))+IF(CB$4="X",VLOOKUP(CB$10,'VK-Võrgud'!$C:$X,2+$F94,0)))/16</f>
        <v>0</v>
      </c>
      <c r="CC94" s="209">
        <f>(IF(CC$7="X",VLOOKUP(CC$10,'VK-Hooned-Soojus'!$C:$X,2+$C94,FALSE),0)+IF(CC$6="X",VLOOKUP(CC$10,'VK-Transport'!$C:$X,2+$B94,0))+IF(CC$8="X",VLOOKUP(CC$10,'VK-Elekter'!$C:$X,2+$D94,0))+IF(CC$9="X",VLOOKUP(CC$10,'VK-Biokütused'!$C:$U,2+$E94,0))+IF(CC$5="X",VLOOKUP(CC$10,'VK-Põlevkivi'!$C:$X,2+$G94,0))+IF(CC$4="X",VLOOKUP(CC$10,'VK-Võrgud'!$C:$X,2+$F94,0)))/16</f>
        <v>0</v>
      </c>
      <c r="CD94" s="209"/>
      <c r="CE94" s="209">
        <f>(IF(CE$7="X",VLOOKUP(CE$10,'VK-Hooned-Soojus'!$C:$X,2+$C94,FALSE),0)+IF(CE$6="X",VLOOKUP(CE$10,'VK-Transport'!$C:$X,2+$B94,0))+IF(CE$8="X",VLOOKUP(CE$10,'VK-Elekter'!$C:$X,2+$D94,0))+IF(CE$9="X",VLOOKUP(CE$10,'VK-Biokütused'!$C:$U,2+$E94,0))+IF(CE$5="X",VLOOKUP(CE$10,'VK-Põlevkivi'!$C:$X,2+$G94,0))+IF(CE$4="X",VLOOKUP(CE$10,'VK-Võrgud'!$C:$X,2+$F94,0)))/16</f>
        <v>24.15625</v>
      </c>
      <c r="CF94" s="209"/>
      <c r="CG94" s="209">
        <f>(IF(CG$7="X",VLOOKUP(CG$10,'VK-Hooned-Soojus'!$C:$X,2+$C94,FALSE),0)+IF(CG$6="X",VLOOKUP(CG$10,'VK-Transport'!$C:$X,2+$B94,0))+IF(CG$8="X",VLOOKUP(CG$10,'VK-Elekter'!$C:$X,2+$D94,0))+IF(CG$9="X",VLOOKUP(CG$10,'VK-Biokütused'!$C:$U,2+$E94,0))+IF(CG$5="X",VLOOKUP(CG$10,'VK-Põlevkivi'!$C:$X,2+$G94,0))+IF(CG$4="X",VLOOKUP(CG$10,'VK-Võrgud'!$C:$X,2+$F94,0)))/16</f>
        <v>0</v>
      </c>
      <c r="CH94" s="209">
        <f>(IF(CH$7="X",VLOOKUP(CH$10,'VK-Hooned-Soojus'!$C:$X,2+$C94,FALSE),0)+IF(CH$6="X",VLOOKUP(CH$10,'VK-Transport'!$C:$X,2+$B94,0))+IF(CH$8="X",VLOOKUP(CH$10,'VK-Elekter'!$C:$X,2+$D94,0))+IF(CH$9="X",VLOOKUP(CH$10,'VK-Biokütused'!$C:$U,2+$E94,0))+IF(CH$5="X",VLOOKUP(CH$10,'VK-Põlevkivi'!$C:$X,2+$G94,0))+IF(CH$4="X",VLOOKUP(CH$10,'VK-Võrgud'!$C:$X,2+$F94,0)))/20*0.21</f>
        <v>26.9178</v>
      </c>
      <c r="CI94" s="209"/>
      <c r="CJ94" s="209">
        <f>(IF(CJ$7="X",VLOOKUP(CJ$10,'VK-Hooned-Soojus'!$C:$X,2+$C94,FALSE),0)+IF(CJ$6="X",VLOOKUP(CJ$10,'VK-Transport'!$C:$X,2+$B94,0))+IF(CJ$8="X",VLOOKUP(CJ$10,'VK-Elekter'!$C:$X,2+$D94,0))+IF(CJ$9="X",VLOOKUP(CJ$10,'VK-Biokütused'!$C:$U,2+$E94,0))+IF(CJ$5="X",VLOOKUP(CJ$10,'VK-Põlevkivi'!$C:$X,2+$G94,0))+IF(CJ$4="X",VLOOKUP(CJ$10,'VK-Võrgud'!$C:$X,2+$F94,0)))/1000</f>
        <v>17.482861099430586</v>
      </c>
      <c r="CK94" s="209">
        <f>(IF(CK$7="X",VLOOKUP(CK$10,'VK-Hooned-Soojus'!$C:$X,2+$C94,FALSE),0)+IF(CK$6="X",VLOOKUP(CK$10,'VK-Transport'!$C:$X,2+$B94,0))+IF(CK$8="X",VLOOKUP(CK$10,'VK-Elekter'!$C:$X,2+$D94,0))+IF(CK$9="X",VLOOKUP(CK$10,'VK-Biokütused'!$C:$U,2+$E94,0))+IF(CK$5="X",VLOOKUP(CK$10,'VK-Põlevkivi'!$C:$X,2+$G94,0))+IF(CK$4="X",VLOOKUP(CK$10,'VK-Võrgud'!$C:$X,2+$F94,0)))/1000</f>
        <v>11.222324637900011</v>
      </c>
      <c r="CL94" s="235">
        <f>(IF(CL$7="X",VLOOKUP(CL$10,'VK-Hooned-Soojus'!$C:$X,2+$C94,FALSE),0)+IF(CL$6="X",VLOOKUP(CL$10,'VK-Transport'!$C:$X,2+$B94,0))+IF(CL$8="X",VLOOKUP(CL$10,'VK-Elekter'!$C:$X,2+$D94,0))+IF(CL$9="X",VLOOKUP(CL$10,'VK-Biokütused'!$C:$U,2+$E94,0)))/1000</f>
        <v>8.0759419404241388</v>
      </c>
      <c r="CM94" s="209">
        <f>(IF(CM$7="X",VLOOKUP(CM$10,'VK-Hooned-Soojus'!$C:$X,2+$C94,FALSE),0)+IF(CM$6="X",VLOOKUP(CM$10,'VK-Transport'!$C:$X,2+$B94,0))+IF(CM$8="X",VLOOKUP(CM$10,'VK-Elekter'!$C:$X,2+$D94,0))+IF(CM$9="X",VLOOKUP(CM$10,'VK-Biokütused'!$C:$U,2+$E94,0))+IF(CM$5="X",VLOOKUP(CM$10,'VK-Põlevkivi'!$C:$X,2+$G94,0))+IF(CM$4="X",VLOOKUP(CM$10,'VK-Võrgud'!$C:$X,2+$F94,0)))/1000</f>
        <v>7.6003156794471023</v>
      </c>
      <c r="CN94" s="209">
        <f>(IF(CN$7="X",VLOOKUP(CN$10,'VK-Hooned-Soojus'!$C:$X,2+$C94,FALSE),0)+IF(CN$6="X",VLOOKUP(CN$10,'VK-Transport'!$C:$X,2+$B94,0))+IF(CN$8="X",VLOOKUP(CN$10,'VK-Elekter'!$C:$X,2+$D94,0))+IF(CN$9="X",VLOOKUP(CN$10,'VK-Biokütused'!$C:$U,2+$E94,0))+IF(CN$5="X",VLOOKUP(CN$10,'VK-Põlevkivi'!$C:$X,2+$G94,0))+IF(CN$4="X",VLOOKUP(CN$10,'VK-Võrgud'!$C:$X,2+$F94,0)))/1000</f>
        <v>2.8980000000000001</v>
      </c>
      <c r="CO94" s="209">
        <f>(IF(CO$7="X",VLOOKUP(CO$10,'VK-Hooned-Soojus'!$C:$X,2+$C94,FALSE),0)+IF(CO$6="X",VLOOKUP(CO$10,'VK-Transport'!$C:$X,2+$B94,0))+IF(CO$8="X",VLOOKUP(CO$10,'VK-Elekter'!$C:$X,2+$D94,0))+IF(CO$9="X",VLOOKUP(CO$10,'VK-Biokütused'!$C:$U,2+$E94,0))+IF(CO$5="X",VLOOKUP(CO$10,'VK-Põlevkivi'!$C:$X,2+$G94,0))+IF(CO$4="X",VLOOKUP(CO$10,'VK-Võrgud'!$C:$X,2+$F94,0)))/1000</f>
        <v>23.841575210797281</v>
      </c>
      <c r="CP94" s="209">
        <f>(IF(CP$7="X",VLOOKUP(CP$10,'VK-Hooned-Soojus'!$C:$X,2+$C94,FALSE),0)+IF(CP$6="X",VLOOKUP(CP$10,'VK-Transport'!$C:$X,2+$B94,0))+IF(CP$8="X",VLOOKUP(CP$10,'VK-Elekter'!$C:$X,2+$D94,0))+IF(CP$9="X",VLOOKUP(CP$10,'VK-Biokütused'!$C:$U,2+$E94,0))+IF(CP$5="X",VLOOKUP(CP$10,'VK-Põlevkivi'!$C:$X,2+$G94,0))+IF(CP$4="X",VLOOKUP(CP$10,'VK-Võrgud'!$C:$X,2+$F94,0)))/1000</f>
        <v>13.405994830349824</v>
      </c>
      <c r="CQ94" s="235">
        <f>(IF(CQ$7="X",VLOOKUP(CQ$10,'VK-Hooned-Soojus'!$C:$X,2+$C94,FALSE),0)+IF(CQ$6="X",VLOOKUP(CQ$10,'VK-Transport'!$C:$X,2+$B94,0))+IF(CQ$8="X",VLOOKUP(CQ$10,'VK-Elekter'!$C:$X,2+$D94,0))+IF(CQ$9="X",VLOOKUP(CQ$10,'VK-Biokütused'!$C:$U,2+$E94,0)))/1000</f>
        <v>10.556346</v>
      </c>
      <c r="CR94" s="209">
        <f>(IF(CR$7="X",VLOOKUP(CR$10,'VK-Hooned-Soojus'!$C:$X,2+$C94,FALSE),0)+IF(CR$6="X",VLOOKUP(CR$10,'VK-Transport'!$C:$X,2+$B94,0))+IF(CR$8="X",VLOOKUP(CR$10,'VK-Elekter'!$C:$X,2+$D94,0))+IF(CR$9="X",VLOOKUP(CR$10,'VK-Biokütused'!$C:$U,2+$E94,0))+IF(CR$5="X",VLOOKUP(CR$10,'VK-Põlevkivi'!$C:$X,2+$G94,0))+IF(CR$4="X",VLOOKUP(CR$10,'VK-Võrgud'!$C:$X,2+$F94,0)))/1000</f>
        <v>7.7030872784575752</v>
      </c>
      <c r="CS94" s="209">
        <f>(IF(CS$7="X",VLOOKUP(CS$10,'VK-Hooned-Soojus'!$C:$X,2+$C94,FALSE),0)+IF(CS$6="X",VLOOKUP(CS$10,'VK-Transport'!$C:$X,2+$B94,0))+IF(CS$8="X",VLOOKUP(CS$10,'VK-Elekter'!$C:$X,2+$D94,0))+IF(CS$9="X",VLOOKUP(CS$10,'VK-Biokütused'!$C:$U,2+$E94,0))+IF(CS$5="X",VLOOKUP(CS$10,'VK-Põlevkivi'!$C:$X,2+$G94,0))+IF(CS$4="X",VLOOKUP(CS$10,'VK-Võrgud'!$C:$X,2+$F94,0)))/1000</f>
        <v>3.7943344900598324</v>
      </c>
      <c r="CT94" s="209">
        <f>IF(CT$7="X",VLOOKUP(CT$10,'VK-Hooned-Soojus'!$C:$X,2+$C94,FALSE),0)+IF(CT$6="X",VLOOKUP(CT$10,'VK-Transport'!$C:$X,2+$B94,0))+IF(CT$8="X",VLOOKUP(CT$10,'VK-Elekter'!$C:$X,2+$D94,0))+IF(CT$9="X",VLOOKUP(CT$10,'VK-Biokütused'!$C:$U,2+$E94,0))+IF(CT$5="X",VLOOKUP(CT$10,'VK-Põlevkivi'!$C:$X,2+$G94,0))+IF(CT$4="X",VLOOKUP(CT$10,'VK-Võrgud'!$C:$X,2+$F94,0))</f>
        <v>90</v>
      </c>
      <c r="CU94" s="209">
        <f>IF(CU$7="X",VLOOKUP(CU$10,'VK-Hooned-Soojus'!$C:$X,2+$C94,FALSE),0)+IF(CU$6="X",VLOOKUP(CU$10,'VK-Transport'!$C:$X,2+$B94,0))+IF(CU$8="X",VLOOKUP(CU$10,'VK-Elekter'!$C:$X,2+$D94,0))+IF(CU$9="X",VLOOKUP(CU$10,'VK-Biokütused'!$C:$U,2+$E94,0))+IF(CU$5="X",VLOOKUP(CU$10,'VK-Põlevkivi'!$C:$X,2+$G94,0))+IF(CU$4="X",VLOOKUP(CU$10,'VK-Võrgud'!$C:$X,2+$F94,0))</f>
        <v>0.9337349397590361</v>
      </c>
      <c r="CV94" s="209">
        <f t="shared" si="49"/>
        <v>0.84317482403548605</v>
      </c>
      <c r="CW94" s="209">
        <f>(IF(CW$7="X",VLOOKUP(CW$10,'VK-Hooned-Soojus'!$C:$X,2+$C94,FALSE),0)+IF(CW$6="X",VLOOKUP(CW$10,'VK-Transport'!$C:$X,2+$B94,0))+IF(CW$8="X",VLOOKUP(CW$10,'VK-Elekter'!$C:$X,2+$D94,0))+IF(CW$9="X",VLOOKUP(CW$10,'VK-Biokütused'!$C:$U,2+$E94,0))+IF(CW$5="X",VLOOKUP(CW$10,'VK-Põlevkivi'!$C:$X,2+$G94,0))+IF(CW$4="X",VLOOKUP(CW$10,'VK-Võrgud'!$C:$X,2+$F94,0)))/16</f>
        <v>126.01875</v>
      </c>
      <c r="CY94" s="209">
        <f>(IF(CY$7="X",VLOOKUP(CY$10,'VK-Hooned-Soojus'!$C:$X,2+$C94,FALSE),0)+IF(CY$6="X",VLOOKUP(CY$10,'VK-Transport'!$C:$X,2+$B94,0))+IF(CY$8="X",VLOOKUP(CY$10,'VK-Elekter'!$C:$X,2+$D94,0))+IF(CY$9="X",VLOOKUP(CY$10,'VK-Biokütused'!$C:$U,2+$E94,0))+IF(CY$5="X",VLOOKUP(CY$10,'VK-Põlevkivi'!$C:$X,2+$G94,0))+IF(CY$4="X",VLOOKUP(CY$10,'VK-Võrgud'!$C:$X,2+$F94,0)))/1000</f>
        <v>10.611000000000001</v>
      </c>
      <c r="CZ94" s="209">
        <f>(IF(CZ$7="X",VLOOKUP(CZ$10,'VK-Hooned-Soojus'!$C:$X,2+$C94,FALSE),0)+IF(CZ$6="X",VLOOKUP(CZ$10,'VK-Transport'!$C:$X,2+$B94,0))+IF(CZ$8="X",VLOOKUP(CZ$10,'VK-Elekter'!$C:$X,2+$D94,0))+IF(CZ$9="X",VLOOKUP(CZ$10,'VK-Biokütused'!$C:$U,2+$E94,0))+IF(CZ$5="X",VLOOKUP(CZ$10,'VK-Põlevkivi'!$C:$X,2+$G94,0))+IF(CZ$4="X",VLOOKUP(CZ$10,'VK-Võrgud'!$C:$X,2+$F94,0)))</f>
        <v>72</v>
      </c>
      <c r="DA94" s="209">
        <f>(IF(DA$7="X",VLOOKUP(DA$10,'VK-Hooned-Soojus'!$C:$X,2+$C94,FALSE),0)+IF(DA$6="X",VLOOKUP(DA$10,'VK-Transport'!$C:$X,2+$B94,0))+IF(DA$8="X",VLOOKUP(DA$10,'VK-Elekter'!$C:$X,2+$D94,0))+IF(DA$9="X",VLOOKUP(DA$10,'VK-Biokütused'!$C:$U,2+$E94,0))+IF(DA$5="X",VLOOKUP(DA$10,'VK-Põlevkivi'!$C:$X,2+$G94,0))+IF(DA$4="X",VLOOKUP(DA$10,'VK-Võrgud'!$C:$X,2+$F94,0)))/1000</f>
        <v>14.138</v>
      </c>
      <c r="DB94" s="209">
        <f>(IF(DB$7="X",VLOOKUP(DB$10,'VK-Hooned-Soojus'!$C:$X,2+$C94,FALSE),0)+IF(DB$6="X",VLOOKUP(DB$10,'VK-Transport'!$C:$X,2+$B94,0))+IF(DB$8="X",VLOOKUP(DB$10,'VK-Elekter'!$C:$X,2+$D94,0))+IF(DB$9="X",VLOOKUP(DB$10,'VK-Biokütused'!$C:$U,2+$E94,0))+IF(DB$5="X",VLOOKUP(DB$10,'VK-Põlevkivi'!$C:$X,2+$G94,0))+IF(DB$4="X",VLOOKUP(DB$10,'VK-Võrgud'!$C:$X,2+$F94,0)))/1000/3.6</f>
        <v>62.510555555555555</v>
      </c>
      <c r="DC94" s="209">
        <f>(IF(DC$7="X",VLOOKUP(DC$10,'VK-Hooned-Soojus'!$C:$X,2+$C94,FALSE),0)+IF(DC$6="X",VLOOKUP(DC$10,'VK-Transport'!$C:$X,2+$B94,0))+IF(DC$8="X",VLOOKUP(DC$10,'VK-Elekter'!$C:$X,2+$D94,0))+IF(DC$9="X",VLOOKUP(DC$10,'VK-Biokütused'!$C:$U,2+$E94,0))+IF(DC$5="X",VLOOKUP(DC$10,'VK-Põlevkivi'!$C:$X,2+$G94,0))+IF(DC$4="X",VLOOKUP(DC$10,'VK-Võrgud'!$C:$X,2+$F94,0)))/1000000</f>
        <v>5.054487</v>
      </c>
      <c r="DD94" s="209"/>
      <c r="DE94" s="88">
        <f>VLOOKUP(Tulemused!$BN$12,data!M$7:N$12,2,FALSE)-SUM(L94,M94)</f>
        <v>-0.77386666666667736</v>
      </c>
      <c r="DF94" s="209" t="str">
        <f>IF(AZ94&lt;=VLOOKUP(Tulemused!$BN$15,data!$E$36:$F$39,2,FALSE),"JAH","EI")</f>
        <v>JAH</v>
      </c>
      <c r="DG94" s="209"/>
      <c r="DH94" s="209">
        <f t="shared" si="50"/>
        <v>6.08</v>
      </c>
      <c r="DI94" s="231" t="str">
        <f t="shared" si="65"/>
        <v>EI</v>
      </c>
      <c r="DK94" s="232">
        <f t="shared" si="51"/>
        <v>-994.16035354784321</v>
      </c>
      <c r="DM94" s="233">
        <f t="shared" si="52"/>
        <v>-995.74385249925331</v>
      </c>
      <c r="DN94" s="87">
        <f t="array" ref="DN94">INDEX($A$11:$A$145, SMALL(IF(DM94=$DK$11:$DK$145, MATCH(ROW($DK$11:$DK$145), ROW($DK$11:$DK$145))), SUM(--(DM94=$DM$11:DM94))))</f>
        <v>77</v>
      </c>
      <c r="DP94" s="87" t="e">
        <f t="shared" ca="1" si="66"/>
        <v>#N/A</v>
      </c>
      <c r="DQ94" s="87" t="e">
        <f t="shared" ca="1" si="67"/>
        <v>#N/A</v>
      </c>
      <c r="DR94" s="87">
        <f t="shared" ca="1" si="68"/>
        <v>0</v>
      </c>
      <c r="DS94" s="87" t="e">
        <f t="shared" ca="1" si="69"/>
        <v>#N/A</v>
      </c>
      <c r="DT94" s="87">
        <f t="shared" ca="1" si="70"/>
        <v>0</v>
      </c>
      <c r="DU94" s="87" t="e">
        <f t="shared" ca="1" si="71"/>
        <v>#N/A</v>
      </c>
      <c r="DV94" s="87" t="e">
        <f t="shared" ca="1" si="72"/>
        <v>#N/A</v>
      </c>
      <c r="DW94" s="87">
        <f t="shared" ca="1" si="73"/>
        <v>0</v>
      </c>
      <c r="DX94" s="87">
        <f t="shared" ca="1" si="74"/>
        <v>0</v>
      </c>
      <c r="DZ94" s="87">
        <f t="shared" ca="1" si="82"/>
        <v>0</v>
      </c>
      <c r="EB94" s="87">
        <f t="shared" ca="1" si="75"/>
        <v>0</v>
      </c>
      <c r="EC94" s="87" t="e">
        <f t="shared" ca="1" si="76"/>
        <v>#N/A</v>
      </c>
      <c r="EE94" s="228">
        <f>(IF(EE$7="X",VLOOKUP(EE$10,'VK-Hooned-Soojus'!$C:$X,2+$C94,FALSE),0)+IF(EE$6="X",VLOOKUP(EE$10,'VK-Transport'!$C:$X,2+$B94,0))+IF(EE$8="X",VLOOKUP(EE$10,'VK-Elekter'!$C:$X,2+$D94,0))+IF(EE$9="X",VLOOKUP(EE$10,'VK-Biokütused'!$C:$U,2+$E94,0))+IF(EE$5="X",VLOOKUP(EE$10,'VK-Põlevkivi'!$C:$X,2+$G94,0))+IF(EE$4="X",VLOOKUP(EE$10,'VK-Võrgud'!$C:$X,2+$F94,0)))</f>
        <v>14081.197674441051</v>
      </c>
      <c r="EF94" s="235">
        <f>(IF(EF$7="X",VLOOKUP(EF$10,'VK-Hooned-Soojus'!$C:$X,2+$C94,FALSE),0)+IF(EF$6="X",VLOOKUP(EF$10,'VK-Transport'!$C:$X,2+$B94,0))+IF(EF$8="X",VLOOKUP(EF$10,'VK-Elekter'!$C:$X,2+$D94,0))+IF(EF$9="X",VLOOKUP(EF$10,'VK-Biokütused'!$C:$U,2+$E94,0)))/1000</f>
        <v>4.1093823271229706</v>
      </c>
      <c r="EG94" s="209">
        <f>(IF(EG$7="X",VLOOKUP(EG$10,'VK-Hooned-Soojus'!$C:$X,2+$C94,FALSE),0)+IF(EG$6="X",VLOOKUP(EG$10,'VK-Transport'!$C:$X,2+$B94,0))+IF(EG$8="X",VLOOKUP(EG$10,'VK-Elekter'!$C:$X,2+$D94,0))+IF(EG$9="X",VLOOKUP(EG$10,'VK-Biokütused'!$C:$U,2+$E94,0))+IF(EG$5="X",VLOOKUP(EG$10,'VK-Põlevkivi'!$C:$X,2+$G94,0))+IF(EG$4="X",VLOOKUP(EG$10,'VK-Võrgud'!$C:$X,2+$F94,0)))</f>
        <v>2.95</v>
      </c>
      <c r="EH94" s="209">
        <f>(IF(EH$7="X",VLOOKUP(EH$10,'VK-Hooned-Soojus'!$C:$X,2+$C94,FALSE),0)+IF(EH$6="X",VLOOKUP(EH$10,'VK-Transport'!$C:$X,2+$B94,0))+IF(EH$8="X",VLOOKUP(EH$10,'VK-Elekter'!$C:$X,2+$D94,0))+IF(EH$9="X",VLOOKUP(EH$10,'VK-Biokütused'!$C:$U,2+$E94,0)))+AR94+AS94+AU94+AX94</f>
        <v>54.688667065771867</v>
      </c>
      <c r="EI94" s="320">
        <f t="shared" si="53"/>
        <v>46.450678294573642</v>
      </c>
      <c r="EJ94" s="322">
        <f t="shared" si="54"/>
        <v>8.5191038095314503E-2</v>
      </c>
      <c r="EK94" s="323">
        <f t="shared" si="77"/>
        <v>0.46021318433610853</v>
      </c>
      <c r="EM94" s="209"/>
      <c r="EN94" s="209">
        <f t="shared" ca="1" si="55"/>
        <v>0</v>
      </c>
      <c r="EO94" s="209"/>
      <c r="EP94" s="234"/>
      <c r="EQ94" s="209">
        <f>(IF(EQ$7="X",VLOOKUP(EQ$10,'VK-Hooned-Soojus'!$C:$X,2+$C94,FALSE),0)+IF(EQ$6="X",VLOOKUP(EQ$10,'VK-Transport'!$C:$X,2+$B94,0))+IF(EQ$8="X",VLOOKUP(EQ$10,'VK-Elekter'!$C:$X,2+$D94,0))+IF(EQ$9="X",VLOOKUP(EQ$10,'VK-Biokütused'!$C:$U,2+$E94,0))+IF(EQ$5="X",VLOOKUP(EQ$10,'VK-Põlevkivi'!$C:$X,2+$G94,0))+IF(EQ$4="X",VLOOKUP(EQ$10,'VK-Võrgud'!$C:$X,2+$F94,0)))/1000</f>
        <v>0.19900000000000001</v>
      </c>
      <c r="ER94" s="209">
        <f>(IF(ER$7="X",VLOOKUP(ER$10,'VK-Hooned-Soojus'!$C:$X,2+$C94,FALSE),0)+IF(ER$6="X",VLOOKUP(ER$10,'VK-Transport'!$C:$X,2+$B94,0))+IF(ER$8="X",VLOOKUP(ER$10,'VK-Elekter'!$C:$X,2+$D94,0))+IF(ER$9="X",VLOOKUP(ER$10,'VK-Biokütused'!$C:$U,2+$E94,0))+IF(ER$5="X",VLOOKUP(ER$10,'VK-Põlevkivi'!$C:$X,2+$G94,0))+IF(ER$4="X",VLOOKUP(ER$10,'VK-Võrgud'!$C:$X,2+$F94,0)))</f>
        <v>0.72299999999999998</v>
      </c>
      <c r="ES94" s="209">
        <f>(IF(ES$7="X",VLOOKUP(ES$10,'VK-Hooned-Soojus'!$C:$X,2+$C94,FALSE),0)+IF(ES$6="X",VLOOKUP(ES$10,'VK-Transport'!$C:$X,2+$B94,0))+IF(ES$8="X",VLOOKUP(ES$10,'VK-Elekter'!$C:$X,2+$D94,0))+IF(ES$9="X",VLOOKUP(ES$10,'VK-Biokütused'!$C:$U,2+$E94,0))+IF(ES$5="X",VLOOKUP(ES$10,'VK-Põlevkivi'!$C:$X,2+$G94,0))+IF(ES$4="X",VLOOKUP(ES$10,'VK-Võrgud'!$C:$X,2+$F94,0)))</f>
        <v>6.08</v>
      </c>
      <c r="ET94" s="209"/>
      <c r="EU94" s="209"/>
      <c r="EV94" s="87">
        <f>'KSH järjestus'!AS87</f>
        <v>889</v>
      </c>
      <c r="EX94" s="236"/>
      <c r="EY94" s="236"/>
      <c r="EZ94" s="237">
        <f t="shared" si="56"/>
        <v>6.6265060240963902E-2</v>
      </c>
      <c r="FA94" s="209">
        <f>IF(FA$7="X",VLOOKUP(FA$10,'VK-Hooned-Soojus'!$C:$X,2+$C94,FALSE),0)+IF(FA$6="X",VLOOKUP(FA$10,'VK-Transport'!$C:$X,2+$B94,0))+IF(FA$8="X",VLOOKUP(FA$10,'VK-Elekter'!$C:$X,2+$D94,0))+IF(FA$9="X",VLOOKUP(FA$10,'VK-Biokütused'!$C:$U,2+$E94,0))+IF(FA$5="X",VLOOKUP(FA$10,'VK-Põlevkivi'!$C:$X,2+$G94,0))+IF(FA$4="X",VLOOKUP(FA$10,'VK-Võrgud'!$C:$X,2+$F94,0))</f>
        <v>3298.346</v>
      </c>
      <c r="FB94" s="279">
        <f>(IF(FB$7="X",VLOOKUP(FB$10,'VK-Hooned-Soojus'!$C:$X,2+$C94,FALSE),0)+IF(FB$6="X",VLOOKUP(FB$10,'VK-Transport'!$C:$X,2+$B94,0))+IF(FB$8="X",VLOOKUP(FB$10,'VK-Elekter'!$C:$X,2+$D94,0))+IF(FB$9="X",VLOOKUP(FB$10,'VK-Biokütused'!$C:$U,2+$E94,0))+IF(FB$5="X",VLOOKUP(FB$10,'VK-Põlevkivi'!$C:$X,2+$G94,0))+IF(FB$4="X",VLOOKUP(FB$10,'VK-Võrgud'!$C:$X,2+$F94,0)))/16</f>
        <v>565.12869439990311</v>
      </c>
      <c r="FC94" s="209">
        <f>IF(FC$7="X",VLOOKUP(FC$10,'VK-Hooned-Soojus'!$C:$X,2+$C94,FALSE),0)+IF(FC$6="X",VLOOKUP(FC$10,'VK-Transport'!$C:$X,2+$B94,0))+IF(FC$8="X",VLOOKUP(FC$10,'VK-Elekter'!$C:$X,2+$D94,0))+IF(FC$9="X",VLOOKUP(FC$10,'VK-Biokütused'!$C:$U,2+$E94,0))+IF(FC$5="X",VLOOKUP(FC$10,'VK-Põlevkivi'!$C:$X,2+$G94,0))+IF(FC$4="X",VLOOKUP(FC$10,'VK-Võrgud'!$C:$X,2+$F94,0))</f>
        <v>297.04999999999995</v>
      </c>
      <c r="FD94" s="209">
        <f>(IF(FD$7="X",VLOOKUP(FD$10,'VK-Hooned-Soojus'!$C:$X,2+$C94,FALSE),0)+IF(FD$6="X",VLOOKUP(FD$10,'VK-Transport'!$C:$X,2+$B94,0))+IF(FD$8="X",VLOOKUP(FD$10,'VK-Elekter'!$C:$X,2+$D94,0))+IF(FD$9="X",VLOOKUP(FD$10,'VK-Biokütused'!$C:$U,2+$E94,0))+IF(FD$5="X",VLOOKUP(FD$10,'VK-Põlevkivi'!$C:$X,2+$G94,0))+IF(FD$4="X",VLOOKUP(FD$10,'VK-Võrgud'!$C:$X,2+$F94,0)))/16</f>
        <v>565.12869439990311</v>
      </c>
      <c r="FE94" s="209">
        <f>(IF(FE$7="X",VLOOKUP(FE$10,'VK-Hooned-Soojus'!$C:$X,2+$C94,FALSE),0)+IF(FE$6="X",VLOOKUP(FE$10,'VK-Transport'!$C:$X,2+$B94,0))+IF(FE$8="X",VLOOKUP(FE$10,'VK-Elekter'!$C:$X,2+$D94,0))+IF(FE$9="X",VLOOKUP(FE$10,'VK-Biokütused'!$C:$U,2+$E94,0))+IF(FE$5="X",VLOOKUP(FE$10,'VK-Põlevkivi'!$C:$X,2+$G94,0))+IF(FE$4="X",VLOOKUP(FE$10,'VK-Võrgud'!$C:$X,2+$F94,0)))/16</f>
        <v>-181.84206369909103</v>
      </c>
      <c r="FF94" s="209">
        <f>(IF(FF$7="X",VLOOKUP(FF$10,'VK-Hooned-Soojus'!$C:$X,2+$C94,FALSE),0)+IF(FF$6="X",VLOOKUP(FF$10,'VK-Transport'!$C:$X,2+$B94,0))+IF(FF$8="X",VLOOKUP(FF$10,'VK-Elekter'!$C:$X,2+$D94,0))+IF(FF$9="X",VLOOKUP(FF$10,'VK-Biokütused'!$C:$U,2+$E94,0))+IF(FF$5="X",VLOOKUP(FF$10,'VK-Põlevkivi'!$C:$X,2+$G94,0))+IF(FF$4="X",VLOOKUP(FF$10,'VK-Võrgud'!$C:$X,2+$F94,0)))/16</f>
        <v>216.99068670993773</v>
      </c>
      <c r="FG94" s="88">
        <f t="shared" ca="1" si="78"/>
        <v>35.148623010846705</v>
      </c>
      <c r="FH94" s="88"/>
      <c r="FI94" s="88"/>
      <c r="FJ94" s="88">
        <f>VLOOKUP(Tulemused!$BN$12,data!M$7:N$12,2,FALSE)-SUM(L94,M94)</f>
        <v>-0.77386666666667736</v>
      </c>
      <c r="FK94" s="209" t="str">
        <f>IF(AZ94&lt;=VLOOKUP(Tulemused!$BN$15,data!$E$36:$F$39,2,FALSE),"JAH","EI")</f>
        <v>JAH</v>
      </c>
      <c r="FL94" s="235">
        <f ca="1">IF(ISNA(MATCH($A94,INDIRECT(VLOOKUP(Tulemused!$BF$11,data!$J$57:$M$71,4,FALSE)))),0,MATCH($A94,INDIRECT(VLOOKUP(Tulemused!$BF$11,data!$J$57:$M$71,4,FALSE))))</f>
        <v>0</v>
      </c>
      <c r="FM94" s="235" t="str">
        <f t="shared" ca="1" si="57"/>
        <v>JAH</v>
      </c>
      <c r="FN94" s="209">
        <f>VLOOKUP(Tulemused!$BN$13,data!$C$132:$D$137,2,FALSE)-KOMBI!R94</f>
        <v>3.2603876728770307</v>
      </c>
      <c r="FO94" s="209"/>
      <c r="FP94" s="209">
        <f>VLOOKUP(Tulemused!$BN$17,NO_x,2,FALSE)-CJ94</f>
        <v>11.955138900569413</v>
      </c>
      <c r="FQ94" s="209">
        <f>VLOOKUP(Tulemused!$BN$18,SO_2,2,FALSE)-CK94</f>
        <v>40.661675362099992</v>
      </c>
      <c r="FR94" s="209">
        <f>VLOOKUP(Tulemused!$BN$19,LOU,2,FALSE)-CN94</f>
        <v>34.182000000000002</v>
      </c>
      <c r="FS94" s="209">
        <f>VLOOKUP(Tulemused!$BN$20,PM_2.5,2,FALSE)-CM94</f>
        <v>9.314684320552896</v>
      </c>
      <c r="FT94" s="209">
        <f>VLOOKUP(Tulemused!$BN$13,data!$C$132:$D$137,2,FALSE)-FA94/1000</f>
        <v>2.9476240000000007</v>
      </c>
      <c r="FU94" s="209">
        <f>VLOOKUP(Tulemused!$BN$17,NO_x,2,FALSE)-CO94</f>
        <v>5.5964247892027181</v>
      </c>
      <c r="FV94" s="209">
        <f>VLOOKUP(Tulemused!$BN$18,SO_2,2,FALSE)-CP94</f>
        <v>38.478005169650174</v>
      </c>
      <c r="FW94" s="209">
        <f>VLOOKUP(Tulemused!$BN$19,LOU,2,FALSE)-CS94</f>
        <v>33.285665509940173</v>
      </c>
      <c r="FX94" s="209">
        <f>VLOOKUP(Tulemused!$BN$20,PM_2.5,2,FALSE)-CR94</f>
        <v>9.2119127215424239</v>
      </c>
      <c r="FY94" s="209">
        <f>VLOOKUP(Tulemused!$BN$14,KHG_2050,2,FALSE)-EF94</f>
        <v>95.890617672877028</v>
      </c>
      <c r="FZ94" s="231" t="str">
        <f t="shared" ca="1" si="79"/>
        <v>EI</v>
      </c>
      <c r="GA94" s="209"/>
      <c r="GB94" s="209"/>
      <c r="GC94" s="209"/>
      <c r="GD94" s="231"/>
      <c r="GE94" s="87">
        <f t="shared" si="58"/>
        <v>889</v>
      </c>
      <c r="GF94" s="232" t="str">
        <f t="shared" ca="1" si="80"/>
        <v/>
      </c>
      <c r="GH94" s="238" t="e">
        <f t="shared" ca="1" si="59"/>
        <v>#NUM!</v>
      </c>
      <c r="GI94" s="87" t="e">
        <f t="array" aca="1" ref="GI94" ca="1">INDEX($A$11:$A$145, SMALL(IF(GH94=$GF$11:$GF$145, MATCH(ROW($GF$11:$GF$145), ROW($GF$11:$GF$145))), SUM(--(GH94=$GH$11:GH94))))</f>
        <v>#NUM!</v>
      </c>
      <c r="GM94" s="209">
        <f>IF(GM$7="X",VLOOKUP(GM$10,'VK-Hooned-Soojus'!$C:$X,2+$C94,FALSE),0)+IF(GM$6="X",VLOOKUP(GM$10,'VK-Transport'!$C:$X,2+$B94,0))+IF(GM$8="X",VLOOKUP(GM$10,'VK-Elekter'!$C:$X,2+$D94,0))+IF(GM$9="X",VLOOKUP(GM$10,'VK-Biokütused'!$C:$U,2+$E94,0))+IF(GM$5="X",VLOOKUP(GM$10,'VK-Põlevkivi'!$C:$X,2+$G94,0))+IF(GM$4="X",VLOOKUP(GM$10,'VK-Võrgud'!$C:$X,2+$F94,0))</f>
        <v>6.011750640646909</v>
      </c>
      <c r="GN94" s="209">
        <f>IF(GN$7="X",VLOOKUP(GN$10,'VK-Hooned-Soojus'!$C:$X,2+$C94,FALSE),0)+IF(GN$6="X",VLOOKUP(GN$10,'VK-Transport'!$C:$X,2+$B94,0))+IF(GN$8="X",VLOOKUP(GN$10,'VK-Elekter'!$C:$X,2+$D94,0))+IF(GN$9="X",VLOOKUP(GN$10,'VK-Biokütused'!$C:$U,2+$E94,0))+IF(GN$5="X",VLOOKUP(GN$10,'VK-Põlevkivi'!$C:$X,2+$G94,0))+IF(GN$4="X",VLOOKUP(GN$10,'VK-Võrgud'!$C:$X,2+$F94,0))</f>
        <v>3.4528686473995491</v>
      </c>
      <c r="GO94" s="209">
        <f>IF(GO$7="X",VLOOKUP(GO$10,'VK-Hooned-Soojus'!$C:$X,2+$C94,FALSE),0)+IF(GO$6="X",VLOOKUP(GO$10,'VK-Transport'!$C:$X,2+$B94,0))+IF(GO$8="X",VLOOKUP(GO$10,'VK-Elekter'!$C:$X,2+$D94,0))+IF(GO$9="X",VLOOKUP(GO$10,'VK-Biokütused'!$C:$U,2+$E94,0))+IF(GO$5="X",VLOOKUP(GO$10,'VK-Põlevkivi'!$C:$X,2+$G94,0))+IF(GO$4="X",VLOOKUP(GO$10,'VK-Võrgud'!$C:$X,2+$F94,0))</f>
        <v>7.5763700102722566</v>
      </c>
      <c r="GP94" s="209">
        <f>IF(GP$7="X",VLOOKUP(GP$10,'VK-Hooned-Soojus'!$C:$X,2+$C94,FALSE),0)+IF(GP$6="X",VLOOKUP(GP$10,'VK-Transport'!$C:$X,2+$B94,0))+IF(GP$8="X",VLOOKUP(GP$10,'VK-Elekter'!$C:$X,2+$D94,0))+IF(GP$9="X",VLOOKUP(GP$10,'VK-Biokütused'!$C:$U,2+$E94,0))+IF(GP$5="X",VLOOKUP(GP$10,'VK-Põlevkivi'!$C:$X,2+$G94,0))+IF(GP$4="X",VLOOKUP(GP$10,'VK-Võrgud'!$C:$X,2+$F94,0))</f>
        <v>8.9326558040707589</v>
      </c>
      <c r="GQ94" s="88">
        <f>IF(GQ$7="X",VLOOKUP(GQ$10,'VK-Hooned-Soojus'!$C:$X,2+$C94,FALSE),0)+IF(GQ$6="X",VLOOKUP(GQ$10,'VK-Transport'!$C:$X,2+$B94,0))+IF(GQ$8="X",VLOOKUP(GQ$10,'VK-Elekter'!$C:$X,2+$D94,0))+IF(GQ$9="X",VLOOKUP(GQ$10,'VK-Biokütused'!$C:$U,2+$E94,0))+IF(GQ$5="X",VLOOKUP(GQ$10,'VK-Põlevkivi'!$C:$X,2+$G94,0))+IF(GQ$4="X",VLOOKUP(GQ$10,'VK-Võrgud'!$C:$X,2+$F94,0))</f>
        <v>0.90618397335647782</v>
      </c>
      <c r="GR94" s="186">
        <f t="shared" si="81"/>
        <v>0.39550808643602814</v>
      </c>
    </row>
    <row r="95" spans="1:200" x14ac:dyDescent="0.2">
      <c r="A95" s="184">
        <v>85</v>
      </c>
      <c r="B95" s="87">
        <v>2</v>
      </c>
      <c r="C95" s="87">
        <v>3</v>
      </c>
      <c r="D95" s="87">
        <v>4</v>
      </c>
      <c r="E95" s="87">
        <v>1</v>
      </c>
      <c r="F95" s="87">
        <f>VLOOKUP(Tulemused!$BF$7,data!$J$6:$K$8,2,FALSE)</f>
        <v>2</v>
      </c>
      <c r="G95" s="87">
        <f>VLOOKUP(data!$H$2,data!$J$12:$K$14,2,FALSE)</f>
        <v>2</v>
      </c>
      <c r="I95" s="209">
        <f>IF(I$7="X",VLOOKUP(I$10,'VK-Hooned-Soojus'!$C:$X,2+$C95,FALSE),0)+IF(I$6="X",VLOOKUP(I$10,'VK-Transport'!$C:$X,2+$B95,0))+IF(I$8="X",VLOOKUP(I$10,'VK-Elekter'!$C:$X,2+$D95,0))+IF(I$9="X",VLOOKUP(I$10,'VK-Biokütused'!$C:$U,2+$E95,0))+IF(I$5="X",VLOOKUP(I$10,'VK-Põlevkivi'!$C:$X,2+$G95,0))+IF(I$4="X",VLOOKUP(I$10,'VK-Võrgud'!$C:$X,2+$F95,0))</f>
        <v>23.490000000000002</v>
      </c>
      <c r="J95" s="209">
        <f>IF(J$7="X",VLOOKUP(J$10,'VK-Hooned-Soojus'!$C:$X,2+$C95,FALSE),0)+IF(J$6="X",VLOOKUP(J$10,'VK-Transport'!$C:$X,2+$B95,0))+IF(J$8="X",VLOOKUP(J$10,'VK-Elekter'!$C:$X,2+$D95,0))+IF(J$9="X",VLOOKUP(J$10,'VK-Biokütused'!$C:$U,2+$E95,0))+IF(J$5="X",VLOOKUP(J$10,'VK-Põlevkivi'!$C:$X,2+$G95,0))+IF(J$4="X",VLOOKUP(J$10,'VK-Võrgud'!$C:$X,2+$F95,0))</f>
        <v>11.138055555555555</v>
      </c>
      <c r="K95" s="209">
        <f>IF(K$7="X",VLOOKUP(K$10,'VK-Hooned-Soojus'!$C:$X,2+$C95,FALSE),0)+IF(K$6="X",VLOOKUP(K$10,'VK-Transport'!$C:$X,2+$B95,0))+IF(K$8="X",VLOOKUP(K$10,'VK-Elekter'!$C:$X,2+$D95,0))+IF(K$9="X",VLOOKUP(K$10,'VK-Biokütused'!$C:$U,2+$E95,0))+IF(K$5="X",VLOOKUP(K$10,'VK-Põlevkivi'!$C:$X,2+$G95,0))+IF(K$4="X",VLOOKUP(K$10,'VK-Võrgud'!$C:$X,2+$F95,0))</f>
        <v>13.780000000000001</v>
      </c>
      <c r="L95" s="209">
        <f>IF(L$7="X",VLOOKUP(L$10,'VK-Hooned-Soojus'!$C:$X,2+$C95,FALSE),0)+IF(L$6="X",VLOOKUP(L$10,'VK-Transport'!$C:$X,2+$B95,0))+IF(L$8="X",VLOOKUP(L$10,'VK-Elekter'!$C:$X,2+$D95,0))+IF(L$9="X",VLOOKUP(L$10,'VK-Biokütused'!$C:$U,2+$E95,0))+IF(L$5="X",VLOOKUP(L$10,'VK-Põlevkivi'!$C:$X,2+$G95,0))+IF(L$4="X",VLOOKUP(L$10,'VK-Võrgud'!$C:$X,2+$F95,0))</f>
        <v>23.75</v>
      </c>
      <c r="M95" s="209">
        <f>IF(M$7="X",VLOOKUP(M$10,'VK-Hooned-Soojus'!$C:$X,2+$C95,FALSE),0)+IF(M$6="X",VLOOKUP(M$10,'VK-Transport'!$C:$X,2+$B95,0))+IF(M$8="X",VLOOKUP(M$10,'VK-Elekter'!$C:$X,2+$D95,0))+IF(M$9="X",VLOOKUP(M$10,'VK-Biokütused'!$C:$U,2+$E95,0))+IF(M$5="X",VLOOKUP(M$10,'VK-Põlevkivi'!$C:$X,2+$G95,0))+IF(M$4="X",VLOOKUP(M$10,'VK-Võrgud'!$C:$X,2+$F95,0))</f>
        <v>9.8566666666666674</v>
      </c>
      <c r="N95" s="209">
        <f>IF(N$7="X",VLOOKUP(N$10,'VK-Hooned-Soojus'!$C:$X,2+$C95,FALSE),0)+IF(N$6="X",VLOOKUP(N$10,'VK-Transport'!$C:$X,2+$B95,0))+IF(N$8="X",VLOOKUP(N$10,'VK-Elekter'!$C:$X,2+$D95,0))+IF(N$9="X",VLOOKUP(N$10,'VK-Biokütused'!$C:$U,2+$E95,0))+IF(N$5="X",VLOOKUP(N$10,'VK-Põlevkivi'!$C:$X,2+$G95,0))+IF(N$4="X",VLOOKUP(N$10,'VK-Võrgud'!$C:$X,2+$F95,0))</f>
        <v>15.25</v>
      </c>
      <c r="O95" s="209">
        <f t="shared" si="60"/>
        <v>34.628055555555555</v>
      </c>
      <c r="P95" s="209"/>
      <c r="Q95" s="209">
        <f>(IF(Q$7="X",VLOOKUP(Q$10,'VK-Hooned-Soojus'!$C:$X,2+$C95,FALSE),0)+IF(Q$6="X",VLOOKUP(Q$10,'VK-Transport'!$C:$X,2+$B95,0))+IF(Q$8="X",VLOOKUP(Q$10,'VK-Elekter'!$C:$X,2+$D95,0))+IF(Q$9="X",VLOOKUP(Q$10,'VK-Biokütused'!$C:$U,2+$E95,0))+IF(Q$5="X",VLOOKUP(Q$10,'VK-Põlevkivi'!$C:$X,2+$G95,0))+IF(Q$4="X",VLOOKUP(Q$10,'VK-Võrgud'!$C:$X,2+$F95,0)))/1000</f>
        <v>1.177</v>
      </c>
      <c r="R95" s="209">
        <f>(IF(R$7="X",VLOOKUP(R$10,'VK-Hooned-Soojus'!$C:$X,2+$C95,FALSE),0)+IF(R$6="X",VLOOKUP(R$10,'VK-Transport'!$C:$X,2+$B95,0))+IF(R$8="X",VLOOKUP(R$10,'VK-Elekter'!$C:$X,2+$D95,0))+IF(R$9="X",VLOOKUP(R$10,'VK-Biokütused'!$C:$U,2+$E95,0))+IF(R$5="X",VLOOKUP(R$10,'VK-Põlevkivi'!$C:$X,2+$G95,0))+IF(R$4="X",VLOOKUP(R$10,'VK-Võrgud'!$C:$X,2+$F95,0)))/1000</f>
        <v>2.3993823271229702</v>
      </c>
      <c r="S95" s="226">
        <f>VLOOKUP(S$10,'VK-Hooned-Soojus'!$C:$I,2+$C95,FALSE) + VLOOKUP(S$10,'VK-Transport'!$C:$I,2+$B95,FALSE)+ VLOOKUP(S$10,'VK-Biokütused'!$C:$G,2+$E95,FALSE)+ VLOOKUP(S$10,'VK-Elekter'!$C:$I,2+$D95,FALSE)+ VLOOKUP(S$10,'VK-Põlevkivi'!$C:$I,2+$G95,FALSE)+ VLOOKUP(S$10,'VK-Võrgud'!$C:$I,2+$F95,FALSE)</f>
        <v>8.9550179520673893E-3</v>
      </c>
      <c r="T95" s="226">
        <f>VLOOKUP(T$10,'VK-Hooned-Soojus'!$C:$I,2+$C95,FALSE) + VLOOKUP(T$10,'VK-Transport'!$C:$I,2+$B95,FALSE)+ VLOOKUP(T$10,'VK-Biokütused'!$C:$G,2+$E95,FALSE)+ VLOOKUP(T$10,'VK-Elekter'!$C:$I,2+$D95,FALSE)+ VLOOKUP(T$10,'VK-Põlevkivi'!$C:$I,2+$G95,FALSE)+ VLOOKUP(T$10,'VK-Võrgud'!$C:$I,2+$F95,FALSE)</f>
        <v>5.1802891801901998E-4</v>
      </c>
      <c r="U95" s="226">
        <f>VLOOKUP(U$10,'VK-Hooned-Soojus'!$C:$I,2+$C95,FALSE) + VLOOKUP(U$10,'VK-Transport'!$C:$I,2+$B95,FALSE)+ VLOOKUP(U$10,'VK-Biokütused'!$C:$G,2+$E95,FALSE)+ VLOOKUP(U$10,'VK-Elekter'!$C:$I,2+$D95,FALSE)+ VLOOKUP(U$10,'VK-Põlevkivi'!$C:$I,2+$G95,FALSE)+ VLOOKUP(U$10,'VK-Võrgud'!$C:$I,2+$F95,FALSE)</f>
        <v>-1.6921211228528854E-3</v>
      </c>
      <c r="V95" s="226">
        <f>VLOOKUP(V$10,'VK-Hooned-Soojus'!$C:$I,2+$C95,FALSE) + VLOOKUP(V$10,'VK-Transport'!$C:$I,2+$B95,FALSE)+ VLOOKUP(V$10,'VK-Biokütused'!$C:$G,2+$E95,FALSE)+ VLOOKUP(V$10,'VK-Elekter'!$C:$I,2+$D95,FALSE)+ VLOOKUP(V$10,'VK-Põlevkivi'!$C:$I,2+$G95,FALSE)+ VLOOKUP(V$10,'VK-Võrgud'!$C:$I,2+$F95,FALSE)</f>
        <v>1.0696253975882575E-2</v>
      </c>
      <c r="W95" s="226">
        <f>VLOOKUP(W$10,'VK-Hooned-Soojus'!$C:$I,2+$C95,FALSE) + VLOOKUP(W$10,'VK-Transport'!$C:$I,2+$B95,FALSE)+ VLOOKUP(W$10,'VK-Biokütused'!$C:$G,2+$E95,FALSE)+ VLOOKUP(W$10,'VK-Elekter'!$C:$I,2+$D95,FALSE)+ VLOOKUP(W$10,'VK-Põlevkivi'!$C:$I,2+$G95,FALSE)+ VLOOKUP(W$10,'VK-Võrgud'!$C:$I,2+$F95,FALSE)</f>
        <v>-5.7804102562782227E-2</v>
      </c>
      <c r="X95" s="226">
        <f>VLOOKUP(X$10,'VK-Hooned-Soojus'!$C:$I,2+$C95,FALSE) + VLOOKUP(X$10,'VK-Transport'!$C:$I,2+$B95,FALSE)+ VLOOKUP(X$10,'VK-Biokütused'!$C:$G,2+$E95,FALSE)+ VLOOKUP(X$10,'VK-Elekter'!$C:$I,2+$D95,FALSE)+ VLOOKUP(X$10,'VK-Põlevkivi'!$C:$I,2+$G95,FALSE)+ VLOOKUP(X$10,'VK-Võrgud'!$C:$I,2+$F95,FALSE)</f>
        <v>-0.1796543723474619</v>
      </c>
      <c r="Y95" s="226">
        <f>VLOOKUP(Y$10,'VK-Hooned-Soojus'!$C:$I,2+$C95,FALSE) + VLOOKUP(Y$10,'VK-Transport'!$C:$I,2+$B95,FALSE)+ VLOOKUP(Y$10,'VK-Biokütused'!$C:$G,2+$E95,FALSE)+ VLOOKUP(Y$10,'VK-Elekter'!$C:$I,2+$D95,FALSE)+ VLOOKUP(Y$10,'VK-Põlevkivi'!$C:$I,2+$G95,FALSE)+ VLOOKUP(Y$10,'VK-Võrgud'!$C:$I,2+$F95,FALSE)</f>
        <v>-0.10629397758376247</v>
      </c>
      <c r="Z95" s="227">
        <f>(S95*Tulemused!$Q$9*10+T95*Tulemused!$Q$10*10+KOMBI!U95*Tulemused!$Q$11*10+KOMBI!V95*Tulemused!$Q$12*10)*Tulemused!$Q$8+-(W95*Tulemused!$Q$14*10+KOMBI!X95*Tulemused!$Q$15*10+KOMBI!Y95*Tulemused!$Q$16*10)*Tulemused!$Q$13</f>
        <v>7.9133363302058504</v>
      </c>
      <c r="AA95" s="228">
        <f>(IF(AA$7="X",VLOOKUP(AA$10,'VK-Hooned-Soojus'!$C:$X,2+$C95,FALSE),0)+IF(AA$6="X",VLOOKUP(AA$10,'VK-Transport'!$C:$X,2+$B95,0))+IF(AA$8="X",VLOOKUP(AA$10,'VK-Elekter'!$C:$X,2+$D95,0))+IF(AA$9="X",VLOOKUP(AA$10,'VK-Biokütused'!$C:$U,2+$E95,0))+IF(AA$5="X",VLOOKUP(AA$10,'VK-Põlevkivi'!$C:$X,2+$G95,0))+IF(AA$4="X",VLOOKUP(AA$10,'VK-Võrgud'!$C:$X,2+$F95,0)))</f>
        <v>0</v>
      </c>
      <c r="AB95" s="228">
        <f>(IF(AB$7="X",VLOOKUP(AB$10,'VK-Hooned-Soojus'!$C:$X,2+$C95,FALSE),0)+IF(AB$6="X",VLOOKUP(AB$10,'VK-Transport'!$C:$X,2+$B95,0))+IF(AB$8="X",VLOOKUP(AB$10,'VK-Elekter'!$C:$X,2+$D95,0))+IF(AB$9="X",VLOOKUP(AB$10,'VK-Biokütused'!$C:$U,2+$E95,0))+IF(AB$5="X",VLOOKUP(AB$10,'VK-Põlevkivi'!$C:$X,2+$G95,0))+IF(AB$4="X",VLOOKUP(AB$10,'VK-Võrgud'!$C:$X,2+$F95,0)))</f>
        <v>1177</v>
      </c>
      <c r="AC95" s="228">
        <f>(IF(AC$7="X",VLOOKUP(AC$10,'VK-Hooned-Soojus'!$C:$X,2+$C95,FALSE),0)+IF(AC$6="X",VLOOKUP(AC$10,'VK-Transport'!$C:$X,2+$B95,0))+IF(AC$8="X",VLOOKUP(AC$10,'VK-Elekter'!$C:$X,2+$D95,0))+IF(AC$9="X",VLOOKUP(AC$10,'VK-Biokütused'!$C:$U,2+$E95,0))+IF(AC$5="X",VLOOKUP(AC$10,'VK-Põlevkivi'!$C:$X,2+$G95,0))+IF(AC$4="X",VLOOKUP(AC$10,'VK-Võrgud'!$C:$X,2+$F95,0)))</f>
        <v>2346</v>
      </c>
      <c r="AD95" s="228">
        <f>(IF(AD$7="X",VLOOKUP(AD$10,'VK-Hooned-Soojus'!$C:$X,2+$C95,FALSE),0)+IF(AD$6="X",VLOOKUP(AD$10,'VK-Transport'!$C:$X,2+$B95,0))+IF(AD$8="X",VLOOKUP(AD$10,'VK-Elekter'!$C:$X,2+$D95,0))+IF(AD$9="X",VLOOKUP(AD$10,'VK-Biokütused'!$C:$U,2+$E95,0))+IF(AD$5="X",VLOOKUP(AD$10,'VK-Põlevkivi'!$C:$X,2+$G95,0))+IF(AD$4="X",VLOOKUP(AD$10,'VK-Võrgud'!$C:$X,2+$F95,0)))</f>
        <v>0</v>
      </c>
      <c r="AE95" s="228">
        <f>(IF(AE$7="X",VLOOKUP(AE$10,'VK-Hooned-Soojus'!$C:$X,2+$C95,FALSE),0)+IF(AE$6="X",VLOOKUP(AE$10,'VK-Transport'!$C:$X,2+$B95,0))+IF(AE$8="X",VLOOKUP(AE$10,'VK-Elekter'!$C:$X,2+$D95,0))+IF(AE$9="X",VLOOKUP(AE$10,'VK-Biokütused'!$C:$U,2+$E95,0))+IF(AE$5="X",VLOOKUP(AE$10,'VK-Põlevkivi'!$C:$X,2+$G95,0))+IF(AE$4="X",VLOOKUP(AE$10,'VK-Võrgud'!$C:$X,2+$F95,0)))</f>
        <v>507</v>
      </c>
      <c r="AF95" s="228">
        <f>(IF(AF$7="X",VLOOKUP(AF$10,'VK-Hooned-Soojus'!$C:$X,2+$C95,FALSE),0)+IF(AF$6="X",VLOOKUP(AF$10,'VK-Transport'!$C:$X,2+$B95,0))+IF(AF$8="X",VLOOKUP(AF$10,'VK-Elekter'!$C:$X,2+$D95,0))+IF(AF$9="X",VLOOKUP(AF$10,'VK-Biokütused'!$C:$U,2+$E95,0))+IF(AF$5="X",VLOOKUP(AF$10,'VK-Põlevkivi'!$C:$X,2+$G95,0))+IF(AF$4="X",VLOOKUP(AF$10,'VK-Võrgud'!$C:$X,2+$F95,0)))</f>
        <v>1892.3823271229701</v>
      </c>
      <c r="AG95" s="209"/>
      <c r="AH95" s="209">
        <f>IF(AH$7="X",VLOOKUP(AH$10,'VK-Hooned-Soojus'!$C:$X,2+$C95,FALSE),0)+IF(AH$6="X",VLOOKUP(AH$10,'VK-Transport'!$C:$X,2+$B95,0))+IF(AH$8="X",VLOOKUP(AH$10,'VK-Elekter'!$C:$X,2+$D95,0))+IF(AH$9="X",VLOOKUP(AH$10,'VK-Biokütused'!$C:$U,2+$E95,0))+IF(AH$5="X",VLOOKUP(AH$10,'VK-Põlevkivi'!$C:$X,2+$G95,0))+IF(AH$4="X",VLOOKUP(AH$10,'VK-Võrgud'!$C:$X,2+$F95,0))</f>
        <v>0</v>
      </c>
      <c r="AI95" s="209">
        <f>IF(AI$7="X",VLOOKUP(AI$10,'VK-Hooned-Soojus'!$C:$X,2+$C95,FALSE),0)+IF(AI$6="X",VLOOKUP(AI$10,'VK-Transport'!$C:$X,2+$B95,0))+IF(AI$8="X",VLOOKUP(AI$10,'VK-Elekter'!$C:$X,2+$D95,0))+IF(AI$9="X",VLOOKUP(AI$10,'VK-Biokütused'!$C:$U,2+$E95,0))+IF(AI$5="X",VLOOKUP(AI$10,'VK-Põlevkivi'!$C:$X,2+$G95,0))+IF(AI$4="X",VLOOKUP(AI$10,'VK-Võrgud'!$C:$X,2+$F95,0))</f>
        <v>11.489999999999998</v>
      </c>
      <c r="AJ95" s="209">
        <f>IF(AJ$7="X",VLOOKUP(AJ$10,'VK-Hooned-Soojus'!$C:$X,2+$C95,FALSE),0)+IF(AJ$6="X",VLOOKUP(AJ$10,'VK-Transport'!$C:$X,2+$B95,0))+IF(AJ$8="X",VLOOKUP(AJ$10,'VK-Elekter'!$C:$X,2+$D95,0))+IF(AJ$9="X",VLOOKUP(AJ$10,'VK-Biokütused'!$C:$U,2+$E95,0))+IF(AJ$5="X",VLOOKUP(AJ$10,'VK-Põlevkivi'!$C:$X,2+$G95,0))+IF(AJ$4="X",VLOOKUP(AJ$10,'VK-Võrgud'!$C:$X,2+$F95,0))</f>
        <v>0</v>
      </c>
      <c r="AK95" s="209">
        <f>IF(AK$7="X",VLOOKUP(AK$10,'VK-Hooned-Soojus'!$C:$X,2+$C95,FALSE),0)+IF(AK$6="X",VLOOKUP(AK$10,'VK-Transport'!$C:$X,2+$B95,0))+IF(AK$8="X",VLOOKUP(AK$10,'VK-Elekter'!$C:$X,2+$D95,0))+IF(AK$9="X",VLOOKUP(AK$10,'VK-Biokütused'!$C:$U,2+$E95,0))+IF(AK$5="X",VLOOKUP(AK$10,'VK-Põlevkivi'!$C:$X,2+$G95,0))+IF(AK$4="X",VLOOKUP(AK$10,'VK-Võrgud'!$C:$X,2+$F95,0))</f>
        <v>3.65</v>
      </c>
      <c r="AL95" s="209">
        <f>IF(AL$7="X",VLOOKUP(AL$10,'VK-Hooned-Soojus'!$C:$X,2+$C95,FALSE),0)+IF(AL$6="X",VLOOKUP(AL$10,'VK-Transport'!$C:$X,2+$B95,0))+IF(AL$8="X",VLOOKUP(AL$10,'VK-Elekter'!$C:$X,2+$D95,0))+IF(AL$9="X",VLOOKUP(AL$10,'VK-Biokütused'!$C:$U,2+$E95,0))+IF(AL$5="X",VLOOKUP(AL$10,'VK-Põlevkivi'!$C:$X,2+$G95,0))+IF(AL$4="X",VLOOKUP(AL$10,'VK-Võrgud'!$C:$X,2+$F95,0))</f>
        <v>7.1</v>
      </c>
      <c r="AM95" s="209">
        <f>IF(AM$7="X",VLOOKUP(AM$10,'VK-Hooned-Soojus'!$C:$X,2+$C95,FALSE),0)+IF(AM$6="X",VLOOKUP(AM$10,'VK-Transport'!$C:$X,2+$B95,0))+IF(AM$8="X",VLOOKUP(AM$10,'VK-Elekter'!$C:$X,2+$D95,0))+IF(AM$9="X",VLOOKUP(AM$10,'VK-Biokütused'!$C:$U,2+$E95,0))+IF(AM$5="X",VLOOKUP(AM$10,'VK-Põlevkivi'!$C:$X,2+$G95,0))+IF(AM$4="X",VLOOKUP(AM$10,'VK-Võrgud'!$C:$X,2+$F95,0))</f>
        <v>11.5</v>
      </c>
      <c r="AN95" s="209">
        <f>IF(AN$7="X",VLOOKUP(AN$10,'VK-Hooned-Soojus'!$C:$X,2+$C95,FALSE),0)+IF(AN$6="X",VLOOKUP(AN$10,'VK-Transport'!$C:$X,2+$B95,0))+IF(AN$8="X",VLOOKUP(AN$10,'VK-Elekter'!$C:$X,2+$D95,0))+IF(AN$9="X",VLOOKUP(AN$10,'VK-Biokütused'!$C:$U,2+$E95,0))+IF(AN$5="X",VLOOKUP(AN$10,'VK-Põlevkivi'!$C:$X,2+$G95,0))+IF(AN$4="X",VLOOKUP(AN$10,'VK-Võrgud'!$C:$X,2+$F95,0))</f>
        <v>4.0999999999999996</v>
      </c>
      <c r="AO95" s="209">
        <f>IF(AO$7="X",VLOOKUP(AO$10,'VK-Hooned-Soojus'!$C:$X,2+$C95,FALSE),0)+IF(AO$6="X",VLOOKUP(AO$10,'VK-Transport'!$C:$X,2+$B95,0))+IF(AO$8="X",VLOOKUP(AO$10,'VK-Elekter'!$C:$X,2+$D95,0))+IF(AO$9="X",VLOOKUP(AO$10,'VK-Biokütused'!$C:$U,2+$E95,0))+IF(AO$5="X",VLOOKUP(AO$10,'VK-Põlevkivi'!$C:$X,2+$G95,0))+IF(AO$4="X",VLOOKUP(AO$10,'VK-Võrgud'!$C:$X,2+$F95,0))</f>
        <v>21.34</v>
      </c>
      <c r="AP95" s="209">
        <f>IF(AP$7="X",VLOOKUP(AP$10,'VK-Hooned-Soojus'!$C:$X,2+$C95,FALSE),0)+IF(AP$6="X",VLOOKUP(AP$10,'VK-Transport'!$C:$X,2+$B95,0))+IF(AP$8="X",VLOOKUP(AP$10,'VK-Elekter'!$C:$X,2+$D95,0))+IF(AP$9="X",VLOOKUP(AP$10,'VK-Biokütused'!$C:$U,2+$E95,0))+IF(AP$5="X",VLOOKUP(AP$10,'VK-Põlevkivi'!$C:$X,2+$G95,0))+IF(AP$4="X",VLOOKUP(AP$10,'VK-Võrgud'!$C:$X,2+$F95,0))</f>
        <v>10.67</v>
      </c>
      <c r="AQ95" s="320">
        <f t="shared" si="61"/>
        <v>9.0399999999999991</v>
      </c>
      <c r="AR95" s="209">
        <f>IF(AR$7="X",VLOOKUP(AR$10,'VK-Hooned-Soojus'!$C:$X,2+$C95,FALSE),0)+IF(AR$6="X",VLOOKUP(AR$10,'VK-Transport'!$C:$X,2+$B95,0))+IF(AR$8="X",VLOOKUP(AR$10,'VK-Elekter'!$C:$X,2+$D95,0))+IF(AR$9="X",VLOOKUP(AR$10,'VK-Biokütused'!$C:$U,2+$E95,0))+IF(AR$5="X",VLOOKUP(AR$10,'VK-Põlevkivi'!$C:$X,2+$G95,0))+IF(AR$4="X",VLOOKUP(AR$10,'VK-Võrgud'!$C:$X,2+$F95,0))</f>
        <v>0</v>
      </c>
      <c r="AS95" s="320">
        <f>VLOOKUP("Kütuste tarbimine @ 2030 - UTTEGAAS",'VK-Hooned-Soojus'!$C:$X,2+$C95,FALSE)/0.172+VLOOKUP("Kütuste tarbimine @ 2030 - UTTEGAAS",'VK-Elekter'!$C:$X,2+$D95,FALSE)/0.172-AR95-AU95</f>
        <v>0</v>
      </c>
      <c r="AT95" s="209">
        <f>IF(AT$7="X",VLOOKUP(AT$10,'VK-Hooned-Soojus'!$C:$X,2+$C95,FALSE),0)+IF(AT$6="X",VLOOKUP(AT$10,'VK-Transport'!$C:$X,2+$B95,0))+IF(AT$8="X",VLOOKUP(AT$10,'VK-Elekter'!$C:$X,2+$D95,0))+IF(AT$9="X",VLOOKUP(AT$10,'VK-Biokütused'!$C:$U,2+$E95,0))+IF(AT$5="X",VLOOKUP(AT$10,'VK-Põlevkivi'!$C:$X,2+$G95,0))+IF(AT$4="X",VLOOKUP(AT$10,'VK-Võrgud'!$C:$X,2+$F95,0))</f>
        <v>9.2784458909544707</v>
      </c>
      <c r="AU95" s="229">
        <f>MAX(0,(VLOOKUP("Kütuste tarbimine @ 2030 - UTTEGAAS",'VK-Hooned-Soojus'!$C:$X,2+$C95,FALSE)/0.172+VLOOKUP("Kütuste tarbimine @ 2030 - UTTEGAAS",'VK-Elekter'!$C:$X,2+$D95,FALSE)/0.172)*0.52-VLOOKUP("Kütuste tarbimine @ 2030 - PÕLEVKIVIÕLI",'VK-Hooned-Soojus'!$C:$X,2+$C95,FALSE))</f>
        <v>0</v>
      </c>
      <c r="AV95" s="209">
        <f>IF(AV$7="X",VLOOKUP(AV$10,'VK-Hooned-Soojus'!$C:$X,2+$C95,FALSE),0)+IF(AV$6="X",VLOOKUP(AV$10,'VK-Transport'!$C:$X,2+$B95,0))+IF(AV$8="X",VLOOKUP(AV$10,'VK-Elekter'!$C:$X,2+$D95,0))+IF(AV$9="X",VLOOKUP(AV$10,'VK-Biokütused'!$C:$U,2+$E95,0))+IF(AV$5="X",VLOOKUP(AV$10,'VK-Põlevkivi'!$C:$X,2+$G95,0))+IF(AV$4="X",VLOOKUP(AV$10,'VK-Võrgud'!$C:$X,2+$F95,0))</f>
        <v>1.7257321590343366</v>
      </c>
      <c r="AW95" s="209">
        <f>IF(AW$7="X",VLOOKUP(AW$10,'VK-Hooned-Soojus'!$C:$X,2+$C95,FALSE),0)+IF(AW$6="X",VLOOKUP(AW$10,'VK-Transport'!$C:$X,2+$B95,0))+IF(AW$8="X",VLOOKUP(AW$10,'VK-Elekter'!$C:$X,2+$D95,0))+IF(AW$9="X",VLOOKUP(AW$10,'VK-Biokütused'!$C:$U,2+$E95,0))+IF(AW$5="X",VLOOKUP(AW$10,'VK-Põlevkivi'!$C:$X,2+$G95,0))+IF(AW$4="X",VLOOKUP(AW$10,'VK-Võrgud'!$C:$X,2+$F95,0))</f>
        <v>0</v>
      </c>
      <c r="AX95" s="229">
        <f t="shared" si="62"/>
        <v>0</v>
      </c>
      <c r="AY95" s="229">
        <f t="shared" si="63"/>
        <v>1.7257321590343366</v>
      </c>
      <c r="AZ95" s="230">
        <f t="shared" si="48"/>
        <v>0.66107097020963212</v>
      </c>
      <c r="BA95" s="209">
        <f>IF(BA$7="X",VLOOKUP(BA$10,'VK-Hooned-Soojus'!$C:$X,2+$C95,FALSE),0)+IF(BA$6="X",VLOOKUP(BA$10,'VK-Transport'!$C:$X,2+$B95,0))+IF(BA$8="X",VLOOKUP(BA$10,'VK-Elekter'!$C:$X,2+$D95,0))+IF(BA$9="X",VLOOKUP(BA$10,'VK-Biokütused'!$C:$U,2+$E95,0))+IF(BA$5="X",VLOOKUP(BA$10,'VK-Põlevkivi'!$C:$X,2+$G95,0))+IF(BA$4="X",VLOOKUP(BA$10,'VK-Võrgud'!$C:$X,2+$F95,0))</f>
        <v>0</v>
      </c>
      <c r="BB95" s="209">
        <f>IF(BB$7="X",VLOOKUP(BB$10,'VK-Hooned-Soojus'!$C:$X,2+$C95,FALSE),0)+IF(BB$6="X",VLOOKUP(BB$10,'VK-Transport'!$C:$X,2+$B95,0))+IF(BB$8="X",VLOOKUP(BB$10,'VK-Elekter'!$C:$X,2+$D95,0))+IF(BB$9="X",VLOOKUP(BB$10,'VK-Biokütused'!$C:$U,2+$E95,0))+IF(BB$5="X",VLOOKUP(BB$10,'VK-Põlevkivi'!$C:$X,2+$G95,0))+IF(BB$4="X",VLOOKUP(BB$10,'VK-Võrgud'!$C:$X,2+$F95,0))</f>
        <v>6.32</v>
      </c>
      <c r="BC95" s="209">
        <f>IF(BC$7="X",VLOOKUP(BC$10,'VK-Hooned-Soojus'!$C:$X,2+$C95,FALSE),0)+IF(BC$6="X",VLOOKUP(BC$10,'VK-Transport'!$C:$X,2+$B95,0))+IF(BC$8="X",VLOOKUP(BC$10,'VK-Elekter'!$C:$X,2+$D95,0))+IF(BC$9="X",VLOOKUP(BC$10,'VK-Biokütused'!$C:$U,2+$E95,0))+IF(BC$5="X",VLOOKUP(BC$10,'VK-Põlevkivi'!$C:$X,2+$G95,0))+IF(BC$4="X",VLOOKUP(BC$10,'VK-Võrgud'!$C:$X,2+$F95,0))</f>
        <v>5.2376666666666667</v>
      </c>
      <c r="BD95" s="209">
        <f>IF(BD$7="X",VLOOKUP(BD$10,'VK-Hooned-Soojus'!$C:$X,2+$C95,FALSE),0)+IF(BD$6="X",VLOOKUP(BD$10,'VK-Transport'!$C:$X,2+$B95,0))+IF(BD$8="X",VLOOKUP(BD$10,'VK-Elekter'!$C:$X,2+$D95,0))+IF(BD$9="X",VLOOKUP(BD$10,'VK-Biokütused'!$C:$U,2+$E95,0))+IF(BD$5="X",VLOOKUP(BD$10,'VK-Põlevkivi'!$C:$X,2+$G95,0))+IF(BD$4="X",VLOOKUP(BD$10,'VK-Võrgud'!$C:$X,2+$F95,0))</f>
        <v>9.1105555555555569</v>
      </c>
      <c r="BE95" s="230"/>
      <c r="BF95" s="229">
        <f t="shared" si="64"/>
        <v>0.58785163599471191</v>
      </c>
      <c r="BG95" s="209" t="e">
        <f>(IF(BG$7="X",VLOOKUP(BG$10,'VK-Hooned-Soojus'!$C:$X,2+$C95,FALSE),0)+IF(BG$6="X",VLOOKUP(BG$10,'VK-Transport'!$C:$X,2+$B95,0))+IF(BG$8="X",VLOOKUP(BG$10,'VK-Elekter'!$C:$X,2+$D95,0))+IF(BG$9="X",VLOOKUP(BG$10,'VK-Biokütused'!$C:$U,2+$E95,0))+IF(BG$5="X",VLOOKUP(BG$10,'VK-Põlevkivi'!$C:$X,2+$G95,0))+IF(BG$4="X",VLOOKUP(BG$10,'VK-Võrgud'!$C:$X,2+$F95,0)))/20</f>
        <v>#N/A</v>
      </c>
      <c r="BH95" s="209">
        <f>(IF(BH$7="X",VLOOKUP(BH$10,'VK-Hooned-Soojus'!$C:$X,2+$C95,FALSE),0)+IF(BH$6="X",VLOOKUP(BH$10,'VK-Transport'!$C:$X,2+$B95,0))+IF(BH$8="X",VLOOKUP(BH$10,'VK-Elekter'!$C:$X,2+$D95,0))+IF(BH$9="X",VLOOKUP(BH$10,'VK-Biokütused'!$C:$U,2+$E95,0))+IF(BH$5="X",VLOOKUP(BH$10,'VK-Põlevkivi'!$C:$X,2+$G95,0))+IF(BH$4="X",VLOOKUP(BH$10,'VK-Võrgud'!$C:$X,2+$F95,0)))/20</f>
        <v>84.204999999999998</v>
      </c>
      <c r="BI95" s="209">
        <f>(IF(BI$7="X",VLOOKUP(BI$10,'VK-Hooned-Soojus'!$C:$X,2+$C95,FALSE),0)+IF(BI$6="X",VLOOKUP(BI$10,'VK-Transport'!$C:$X,2+$B95,0))+IF(BI$8="X",VLOOKUP(BI$10,'VK-Elekter'!$C:$X,2+$D95,0))+IF(BI$9="X",VLOOKUP(BI$10,'VK-Biokütused'!$C:$U,2+$E95,0))+IF(BI$5="X",VLOOKUP(BI$10,'VK-Põlevkivi'!$C:$X,2+$G95,0))+IF(BI$4="X",VLOOKUP(BI$10,'VK-Võrgud'!$C:$X,2+$F95,0)))/16</f>
        <v>8.9375</v>
      </c>
      <c r="BJ95" s="209">
        <f>(IF(BJ$7="X",VLOOKUP(BJ$10,'VK-Hooned-Soojus'!$C:$X,2+$C95,FALSE),0)+IF(BJ$6="X",VLOOKUP(BJ$10,'VK-Transport'!$C:$X,2+$B95,0))+IF(BJ$8="X",VLOOKUP(BJ$10,'VK-Elekter'!$C:$X,2+$D95,0))+IF(BJ$9="X",VLOOKUP(BJ$10,'VK-Biokütused'!$C:$U,2+$E95,0))+IF(BJ$5="X",VLOOKUP(BJ$10,'VK-Põlevkivi'!$C:$X,2+$G95,0))+IF(BJ$4="X",VLOOKUP(BJ$10,'VK-Võrgud'!$C:$X,2+$F95,0)))/20</f>
        <v>5.33</v>
      </c>
      <c r="BK95" s="209"/>
      <c r="BL95" s="209"/>
      <c r="BM95" s="209"/>
      <c r="BN95" s="209" t="e">
        <f>(IF(BN$7="X",VLOOKUP(BN$10,'VK-Hooned-Soojus'!$C:$X,2+$C95,FALSE),0)+IF(BN$6="X",VLOOKUP(BN$10,'VK-Transport'!$C:$X,2+$B95,0))+IF(BN$8="X",VLOOKUP(BN$10,'VK-Elekter'!$C:$X,2+$D95,0))+IF(BN$9="X",VLOOKUP(BN$10,'VK-Biokütused'!$C:$U,2+$E95,0))+IF(BN$5="X",VLOOKUP(BN$10,'VK-Põlevkivi'!$C:$X,2+$G95,0))+IF(BN$4="X",VLOOKUP(BN$10,'VK-Võrgud'!$C:$X,2+$F95,0)))/16</f>
        <v>#N/A</v>
      </c>
      <c r="BO95" s="209">
        <f>(IF(BO$7="X",VLOOKUP(BO$10,'VK-Hooned-Soojus'!$C:$X,2+$C95,FALSE),0)+IF(BO$6="X",VLOOKUP(BO$10,'VK-Transport'!$C:$X,2+$B95,0))+IF(BO$8="X",VLOOKUP(BO$10,'VK-Elekter'!$C:$X,2+$D95,0))+IF(BO$9="X",VLOOKUP(BO$10,'VK-Biokütused'!$C:$U,2+$E95,0))+IF(BO$5="X",VLOOKUP(BO$10,'VK-Põlevkivi'!$C:$X,2+$G95,0))+IF(BO$4="X",VLOOKUP(BO$10,'VK-Võrgud'!$C:$X,2+$F95,0)))/16</f>
        <v>405.45</v>
      </c>
      <c r="BP95" s="209"/>
      <c r="BQ95" s="209">
        <f>(IF(BQ$7="X",VLOOKUP(BQ$10,'VK-Hooned-Soojus'!$C:$X,2+$C95,FALSE),0)+IF(BQ$6="X",VLOOKUP(BQ$10,'VK-Transport'!$C:$X,2+$B95,0))+IF(BQ$8="X",VLOOKUP(BQ$10,'VK-Elekter'!$C:$X,2+$D95,0))+IF(BQ$9="X",VLOOKUP(BQ$10,'VK-Biokütused'!$C:$U,2+$E95,0))+IF(BQ$5="X",VLOOKUP(BQ$10,'VK-Põlevkivi'!$C:$X,2+$G95,0))+IF(BQ$4="X",VLOOKUP(BQ$10,'VK-Võrgud'!$C:$X,2+$F95,0)))/16</f>
        <v>127.6</v>
      </c>
      <c r="BR95" s="209">
        <f>(IF(BR$7="X",VLOOKUP(BR$10,'VK-Hooned-Soojus'!$C:$X,2+$C95,FALSE),0)+IF(BR$6="X",VLOOKUP(BR$10,'VK-Transport'!$C:$X,2+$B95,0))+IF(BR$8="X",VLOOKUP(BR$10,'VK-Elekter'!$C:$X,2+$D95,0))+IF(BR$9="X",VLOOKUP(BR$10,'VK-Biokütused'!$C:$U,2+$E95,0))+IF(BR$5="X",VLOOKUP(BR$10,'VK-Põlevkivi'!$C:$X,2+$G95,0))+IF(BR$4="X",VLOOKUP(BR$10,'VK-Võrgud'!$C:$X,2+$F95,0)))/16</f>
        <v>27.475000000000001</v>
      </c>
      <c r="BS95" s="209">
        <f>(IF(BS$7="X",VLOOKUP(BS$10,'VK-Hooned-Soojus'!$C:$X,2+$C95,FALSE),0)+IF(BS$6="X",VLOOKUP(BS$10,'VK-Transport'!$C:$X,2+$B95,0))+IF(BS$8="X",VLOOKUP(BS$10,'VK-Elekter'!$C:$X,2+$D95,0))+IF(BS$9="X",VLOOKUP(BS$10,'VK-Biokütused'!$C:$U,2+$E95,0))+IF(BS$5="X",VLOOKUP(BS$10,'VK-Põlevkivi'!$C:$X,2+$G95,0))+IF(BS$4="X",VLOOKUP(BS$10,'VK-Võrgud'!$C:$X,2+$F95,0)))/16</f>
        <v>-23.293749999999999</v>
      </c>
      <c r="BT95" s="209"/>
      <c r="BU95" s="209"/>
      <c r="BV95" s="209">
        <f>(IF(BV$7="X",VLOOKUP(BV$10,'VK-Hooned-Soojus'!$C:$X,2+$C95,FALSE),0)+IF(BV$6="X",VLOOKUP(BV$10,'VK-Transport'!$C:$X,2+$B95,0))+IF(BV$8="X",VLOOKUP(BV$10,'VK-Elekter'!$C:$X,2+$D95,0))+IF(BV$9="X",VLOOKUP(BV$10,'VK-Biokütused'!$C:$U,2+$E95,0))+IF(BV$5="X",VLOOKUP(BV$10,'VK-Põlevkivi'!$C:$X,2+$G95,0))+IF(BV$4="X",VLOOKUP(BV$10,'VK-Võrgud'!$C:$X,2+$F95,0)))/16</f>
        <v>0</v>
      </c>
      <c r="BW95" s="209"/>
      <c r="BX95" s="209">
        <f>(IF(BX$7="X",VLOOKUP(BX$10,'VK-Hooned-Soojus'!$C:$X,2+$C95,FALSE),0)+IF(BX$6="X",VLOOKUP(BX$10,'VK-Transport'!$C:$X,2+$B95,0))+IF(BX$8="X",VLOOKUP(BX$10,'VK-Elekter'!$C:$X,2+$D95,0))+IF(BX$9="X",VLOOKUP(BX$10,'VK-Biokütused'!$C:$U,2+$E95,0))+IF(BX$5="X",VLOOKUP(BX$10,'VK-Põlevkivi'!$C:$X,2+$G95,0))+IF(BX$4="X",VLOOKUP(BX$10,'VK-Võrgud'!$C:$X,2+$F95,0)))/16</f>
        <v>-19.25</v>
      </c>
      <c r="BY95" s="209"/>
      <c r="BZ95" s="209"/>
      <c r="CA95" s="209" t="e">
        <f>(IF(CA$7="X",VLOOKUP(CA$10,'VK-Hooned-Soojus'!$C:$X,2+$C95,FALSE),0)+IF(CA$6="X",VLOOKUP(CA$10,'VK-Transport'!$C:$X,2+$B95,0))+IF(CA$8="X",VLOOKUP(CA$10,'VK-Elekter'!$C:$X,2+$D95,0))+IF(CA$9="X",VLOOKUP(CA$10,'VK-Biokütused'!$C:$U,2+$E95,0))+IF(CA$5="X",VLOOKUP(CA$10,'VK-Põlevkivi'!$C:$X,2+$G95,0))+IF(CA$4="X",VLOOKUP(CA$10,'VK-Võrgud'!$C:$X,2+$F95,0)))/16</f>
        <v>#N/A</v>
      </c>
      <c r="CB95" s="209">
        <f>(IF(CB$7="X",VLOOKUP(CB$10,'VK-Hooned-Soojus'!$C:$X,2+$C95,FALSE),0)+IF(CB$6="X",VLOOKUP(CB$10,'VK-Transport'!$C:$X,2+$B95,0))+IF(CB$8="X",VLOOKUP(CB$10,'VK-Elekter'!$C:$X,2+$D95,0))+IF(CB$9="X",VLOOKUP(CB$10,'VK-Biokütused'!$C:$U,2+$E95,0))+IF(CB$5="X",VLOOKUP(CB$10,'VK-Põlevkivi'!$C:$X,2+$G95,0))+IF(CB$4="X",VLOOKUP(CB$10,'VK-Võrgud'!$C:$X,2+$F95,0)))/16</f>
        <v>0</v>
      </c>
      <c r="CC95" s="209">
        <f>(IF(CC$7="X",VLOOKUP(CC$10,'VK-Hooned-Soojus'!$C:$X,2+$C95,FALSE),0)+IF(CC$6="X",VLOOKUP(CC$10,'VK-Transport'!$C:$X,2+$B95,0))+IF(CC$8="X",VLOOKUP(CC$10,'VK-Elekter'!$C:$X,2+$D95,0))+IF(CC$9="X",VLOOKUP(CC$10,'VK-Biokütused'!$C:$U,2+$E95,0))+IF(CC$5="X",VLOOKUP(CC$10,'VK-Põlevkivi'!$C:$X,2+$G95,0))+IF(CC$4="X",VLOOKUP(CC$10,'VK-Võrgud'!$C:$X,2+$F95,0)))/16</f>
        <v>0</v>
      </c>
      <c r="CD95" s="209"/>
      <c r="CE95" s="209">
        <f>(IF(CE$7="X",VLOOKUP(CE$10,'VK-Hooned-Soojus'!$C:$X,2+$C95,FALSE),0)+IF(CE$6="X",VLOOKUP(CE$10,'VK-Transport'!$C:$X,2+$B95,0))+IF(CE$8="X",VLOOKUP(CE$10,'VK-Elekter'!$C:$X,2+$D95,0))+IF(CE$9="X",VLOOKUP(CE$10,'VK-Biokütused'!$C:$U,2+$E95,0))+IF(CE$5="X",VLOOKUP(CE$10,'VK-Põlevkivi'!$C:$X,2+$G95,0))+IF(CE$4="X",VLOOKUP(CE$10,'VK-Võrgud'!$C:$X,2+$F95,0)))/16</f>
        <v>24.15625</v>
      </c>
      <c r="CF95" s="209"/>
      <c r="CG95" s="209">
        <f>(IF(CG$7="X",VLOOKUP(CG$10,'VK-Hooned-Soojus'!$C:$X,2+$C95,FALSE),0)+IF(CG$6="X",VLOOKUP(CG$10,'VK-Transport'!$C:$X,2+$B95,0))+IF(CG$8="X",VLOOKUP(CG$10,'VK-Elekter'!$C:$X,2+$D95,0))+IF(CG$9="X",VLOOKUP(CG$10,'VK-Biokütused'!$C:$U,2+$E95,0))+IF(CG$5="X",VLOOKUP(CG$10,'VK-Põlevkivi'!$C:$X,2+$G95,0))+IF(CG$4="X",VLOOKUP(CG$10,'VK-Võrgud'!$C:$X,2+$F95,0)))/16</f>
        <v>0</v>
      </c>
      <c r="CH95" s="209">
        <f>(IF(CH$7="X",VLOOKUP(CH$10,'VK-Hooned-Soojus'!$C:$X,2+$C95,FALSE),0)+IF(CH$6="X",VLOOKUP(CH$10,'VK-Transport'!$C:$X,2+$B95,0))+IF(CH$8="X",VLOOKUP(CH$10,'VK-Elekter'!$C:$X,2+$D95,0))+IF(CH$9="X",VLOOKUP(CH$10,'VK-Biokütused'!$C:$U,2+$E95,0))+IF(CH$5="X",VLOOKUP(CH$10,'VK-Põlevkivi'!$C:$X,2+$G95,0))+IF(CH$4="X",VLOOKUP(CH$10,'VK-Võrgud'!$C:$X,2+$F95,0)))/20*0.21</f>
        <v>26.9178</v>
      </c>
      <c r="CI95" s="209"/>
      <c r="CJ95" s="209">
        <f>(IF(CJ$7="X",VLOOKUP(CJ$10,'VK-Hooned-Soojus'!$C:$X,2+$C95,FALSE),0)+IF(CJ$6="X",VLOOKUP(CJ$10,'VK-Transport'!$C:$X,2+$B95,0))+IF(CJ$8="X",VLOOKUP(CJ$10,'VK-Elekter'!$C:$X,2+$D95,0))+IF(CJ$9="X",VLOOKUP(CJ$10,'VK-Biokütused'!$C:$U,2+$E95,0))+IF(CJ$5="X",VLOOKUP(CJ$10,'VK-Põlevkivi'!$C:$X,2+$G95,0))+IF(CJ$4="X",VLOOKUP(CJ$10,'VK-Võrgud'!$C:$X,2+$F95,0)))/1000</f>
        <v>17.046721793242817</v>
      </c>
      <c r="CK95" s="209">
        <f>(IF(CK$7="X",VLOOKUP(CK$10,'VK-Hooned-Soojus'!$C:$X,2+$C95,FALSE),0)+IF(CK$6="X",VLOOKUP(CK$10,'VK-Transport'!$C:$X,2+$B95,0))+IF(CK$8="X",VLOOKUP(CK$10,'VK-Elekter'!$C:$X,2+$D95,0))+IF(CK$9="X",VLOOKUP(CK$10,'VK-Biokütused'!$C:$U,2+$E95,0))+IF(CK$5="X",VLOOKUP(CK$10,'VK-Põlevkivi'!$C:$X,2+$G95,0))+IF(CK$4="X",VLOOKUP(CK$10,'VK-Võrgud'!$C:$X,2+$F95,0)))/1000</f>
        <v>6.0089454627726342</v>
      </c>
      <c r="CL95" s="235">
        <f>(IF(CL$7="X",VLOOKUP(CL$10,'VK-Hooned-Soojus'!$C:$X,2+$C95,FALSE),0)+IF(CL$6="X",VLOOKUP(CL$10,'VK-Transport'!$C:$X,2+$B95,0))+IF(CL$8="X",VLOOKUP(CL$10,'VK-Elekter'!$C:$X,2+$D95,0))+IF(CL$9="X",VLOOKUP(CL$10,'VK-Biokütused'!$C:$U,2+$E95,0)))/1000</f>
        <v>4.4050567987315112</v>
      </c>
      <c r="CM95" s="209">
        <f>(IF(CM$7="X",VLOOKUP(CM$10,'VK-Hooned-Soojus'!$C:$X,2+$C95,FALSE),0)+IF(CM$6="X",VLOOKUP(CM$10,'VK-Transport'!$C:$X,2+$B95,0))+IF(CM$8="X",VLOOKUP(CM$10,'VK-Elekter'!$C:$X,2+$D95,0))+IF(CM$9="X",VLOOKUP(CM$10,'VK-Biokütused'!$C:$U,2+$E95,0))+IF(CM$5="X",VLOOKUP(CM$10,'VK-Põlevkivi'!$C:$X,2+$G95,0))+IF(CM$4="X",VLOOKUP(CM$10,'VK-Võrgud'!$C:$X,2+$F95,0)))/1000</f>
        <v>7.6298313570900955</v>
      </c>
      <c r="CN95" s="209">
        <f>(IF(CN$7="X",VLOOKUP(CN$10,'VK-Hooned-Soojus'!$C:$X,2+$C95,FALSE),0)+IF(CN$6="X",VLOOKUP(CN$10,'VK-Transport'!$C:$X,2+$B95,0))+IF(CN$8="X",VLOOKUP(CN$10,'VK-Elekter'!$C:$X,2+$D95,0))+IF(CN$9="X",VLOOKUP(CN$10,'VK-Biokütused'!$C:$U,2+$E95,0))+IF(CN$5="X",VLOOKUP(CN$10,'VK-Põlevkivi'!$C:$X,2+$G95,0))+IF(CN$4="X",VLOOKUP(CN$10,'VK-Võrgud'!$C:$X,2+$F95,0)))/1000</f>
        <v>2.8980000000000001</v>
      </c>
      <c r="CO95" s="209">
        <f>(IF(CO$7="X",VLOOKUP(CO$10,'VK-Hooned-Soojus'!$C:$X,2+$C95,FALSE),0)+IF(CO$6="X",VLOOKUP(CO$10,'VK-Transport'!$C:$X,2+$B95,0))+IF(CO$8="X",VLOOKUP(CO$10,'VK-Elekter'!$C:$X,2+$D95,0))+IF(CO$9="X",VLOOKUP(CO$10,'VK-Biokütused'!$C:$U,2+$E95,0))+IF(CO$5="X",VLOOKUP(CO$10,'VK-Põlevkivi'!$C:$X,2+$G95,0))+IF(CO$4="X",VLOOKUP(CO$10,'VK-Võrgud'!$C:$X,2+$F95,0)))/1000</f>
        <v>22.61157521079728</v>
      </c>
      <c r="CP95" s="209">
        <f>(IF(CP$7="X",VLOOKUP(CP$10,'VK-Hooned-Soojus'!$C:$X,2+$C95,FALSE),0)+IF(CP$6="X",VLOOKUP(CP$10,'VK-Transport'!$C:$X,2+$B95,0))+IF(CP$8="X",VLOOKUP(CP$10,'VK-Elekter'!$C:$X,2+$D95,0))+IF(CP$9="X",VLOOKUP(CP$10,'VK-Biokütused'!$C:$U,2+$E95,0))+IF(CP$5="X",VLOOKUP(CP$10,'VK-Põlevkivi'!$C:$X,2+$G95,0))+IF(CP$4="X",VLOOKUP(CP$10,'VK-Võrgud'!$C:$X,2+$F95,0)))/1000</f>
        <v>6.6219948303498244</v>
      </c>
      <c r="CQ95" s="235">
        <f>(IF(CQ$7="X",VLOOKUP(CQ$10,'VK-Hooned-Soojus'!$C:$X,2+$C95,FALSE),0)+IF(CQ$6="X",VLOOKUP(CQ$10,'VK-Transport'!$C:$X,2+$B95,0))+IF(CQ$8="X",VLOOKUP(CQ$10,'VK-Elekter'!$C:$X,2+$D95,0))+IF(CQ$9="X",VLOOKUP(CQ$10,'VK-Biokütused'!$C:$U,2+$E95,0)))/1000</f>
        <v>4.9543459999999993</v>
      </c>
      <c r="CR95" s="209">
        <f>(IF(CR$7="X",VLOOKUP(CR$10,'VK-Hooned-Soojus'!$C:$X,2+$C95,FALSE),0)+IF(CR$6="X",VLOOKUP(CR$10,'VK-Transport'!$C:$X,2+$B95,0))+IF(CR$8="X",VLOOKUP(CR$10,'VK-Elekter'!$C:$X,2+$D95,0))+IF(CR$9="X",VLOOKUP(CR$10,'VK-Biokütused'!$C:$U,2+$E95,0))+IF(CR$5="X",VLOOKUP(CR$10,'VK-Põlevkivi'!$C:$X,2+$G95,0))+IF(CR$4="X",VLOOKUP(CR$10,'VK-Võrgud'!$C:$X,2+$F95,0)))/1000</f>
        <v>7.6860872784575749</v>
      </c>
      <c r="CS95" s="209">
        <f>(IF(CS$7="X",VLOOKUP(CS$10,'VK-Hooned-Soojus'!$C:$X,2+$C95,FALSE),0)+IF(CS$6="X",VLOOKUP(CS$10,'VK-Transport'!$C:$X,2+$B95,0))+IF(CS$8="X",VLOOKUP(CS$10,'VK-Elekter'!$C:$X,2+$D95,0))+IF(CS$9="X",VLOOKUP(CS$10,'VK-Biokütused'!$C:$U,2+$E95,0))+IF(CS$5="X",VLOOKUP(CS$10,'VK-Põlevkivi'!$C:$X,2+$G95,0))+IF(CS$4="X",VLOOKUP(CS$10,'VK-Võrgud'!$C:$X,2+$F95,0)))/1000</f>
        <v>3.7943344900598324</v>
      </c>
      <c r="CT95" s="209">
        <f>IF(CT$7="X",VLOOKUP(CT$10,'VK-Hooned-Soojus'!$C:$X,2+$C95,FALSE),0)+IF(CT$6="X",VLOOKUP(CT$10,'VK-Transport'!$C:$X,2+$B95,0))+IF(CT$8="X",VLOOKUP(CT$10,'VK-Elekter'!$C:$X,2+$D95,0))+IF(CT$9="X",VLOOKUP(CT$10,'VK-Biokütused'!$C:$U,2+$E95,0))+IF(CT$5="X",VLOOKUP(CT$10,'VK-Põlevkivi'!$C:$X,2+$G95,0))+IF(CT$4="X",VLOOKUP(CT$10,'VK-Võrgud'!$C:$X,2+$F95,0))</f>
        <v>90</v>
      </c>
      <c r="CU95" s="209">
        <f>IF(CU$7="X",VLOOKUP(CU$10,'VK-Hooned-Soojus'!$C:$X,2+$C95,FALSE),0)+IF(CU$6="X",VLOOKUP(CU$10,'VK-Transport'!$C:$X,2+$B95,0))+IF(CU$8="X",VLOOKUP(CU$10,'VK-Elekter'!$C:$X,2+$D95,0))+IF(CU$9="X",VLOOKUP(CU$10,'VK-Biokütused'!$C:$U,2+$E95,0))+IF(CU$5="X",VLOOKUP(CU$10,'VK-Põlevkivi'!$C:$X,2+$G95,0))+IF(CU$4="X",VLOOKUP(CU$10,'VK-Võrgud'!$C:$X,2+$F95,0))</f>
        <v>0.63390170511534605</v>
      </c>
      <c r="CV95" s="209">
        <f t="shared" si="49"/>
        <v>1</v>
      </c>
      <c r="CW95" s="209">
        <f>(IF(CW$7="X",VLOOKUP(CW$10,'VK-Hooned-Soojus'!$C:$X,2+$C95,FALSE),0)+IF(CW$6="X",VLOOKUP(CW$10,'VK-Transport'!$C:$X,2+$B95,0))+IF(CW$8="X",VLOOKUP(CW$10,'VK-Elekter'!$C:$X,2+$D95,0))+IF(CW$9="X",VLOOKUP(CW$10,'VK-Biokütused'!$C:$U,2+$E95,0))+IF(CW$5="X",VLOOKUP(CW$10,'VK-Põlevkivi'!$C:$X,2+$G95,0))+IF(CW$4="X",VLOOKUP(CW$10,'VK-Võrgud'!$C:$X,2+$F95,0)))/16</f>
        <v>0</v>
      </c>
      <c r="CY95" s="209">
        <f>(IF(CY$7="X",VLOOKUP(CY$10,'VK-Hooned-Soojus'!$C:$X,2+$C95,FALSE),0)+IF(CY$6="X",VLOOKUP(CY$10,'VK-Transport'!$C:$X,2+$B95,0))+IF(CY$8="X",VLOOKUP(CY$10,'VK-Elekter'!$C:$X,2+$D95,0))+IF(CY$9="X",VLOOKUP(CY$10,'VK-Biokütused'!$C:$U,2+$E95,0))+IF(CY$5="X",VLOOKUP(CY$10,'VK-Põlevkivi'!$C:$X,2+$G95,0))+IF(CY$4="X",VLOOKUP(CY$10,'VK-Võrgud'!$C:$X,2+$F95,0)))/1000</f>
        <v>9.75</v>
      </c>
      <c r="CZ95" s="209">
        <f>(IF(CZ$7="X",VLOOKUP(CZ$10,'VK-Hooned-Soojus'!$C:$X,2+$C95,FALSE),0)+IF(CZ$6="X",VLOOKUP(CZ$10,'VK-Transport'!$C:$X,2+$B95,0))+IF(CZ$8="X",VLOOKUP(CZ$10,'VK-Elekter'!$C:$X,2+$D95,0))+IF(CZ$9="X",VLOOKUP(CZ$10,'VK-Biokütused'!$C:$U,2+$E95,0))+IF(CZ$5="X",VLOOKUP(CZ$10,'VK-Põlevkivi'!$C:$X,2+$G95,0))+IF(CZ$4="X",VLOOKUP(CZ$10,'VK-Võrgud'!$C:$X,2+$F95,0)))</f>
        <v>77</v>
      </c>
      <c r="DA95" s="209">
        <f>(IF(DA$7="X",VLOOKUP(DA$10,'VK-Hooned-Soojus'!$C:$X,2+$C95,FALSE),0)+IF(DA$6="X",VLOOKUP(DA$10,'VK-Transport'!$C:$X,2+$B95,0))+IF(DA$8="X",VLOOKUP(DA$10,'VK-Elekter'!$C:$X,2+$D95,0))+IF(DA$9="X",VLOOKUP(DA$10,'VK-Biokütused'!$C:$U,2+$E95,0))+IF(DA$5="X",VLOOKUP(DA$10,'VK-Põlevkivi'!$C:$X,2+$G95,0))+IF(DA$4="X",VLOOKUP(DA$10,'VK-Võrgud'!$C:$X,2+$F95,0)))/1000</f>
        <v>9.6769999999999996</v>
      </c>
      <c r="DB95" s="209">
        <f>(IF(DB$7="X",VLOOKUP(DB$10,'VK-Hooned-Soojus'!$C:$X,2+$C95,FALSE),0)+IF(DB$6="X",VLOOKUP(DB$10,'VK-Transport'!$C:$X,2+$B95,0))+IF(DB$8="X",VLOOKUP(DB$10,'VK-Elekter'!$C:$X,2+$D95,0))+IF(DB$9="X",VLOOKUP(DB$10,'VK-Biokütused'!$C:$U,2+$E95,0))+IF(DB$5="X",VLOOKUP(DB$10,'VK-Põlevkivi'!$C:$X,2+$G95,0))+IF(DB$4="X",VLOOKUP(DB$10,'VK-Võrgud'!$C:$X,2+$F95,0)))/1000/3.6</f>
        <v>38.223611111111104</v>
      </c>
      <c r="DC95" s="209">
        <f>(IF(DC$7="X",VLOOKUP(DC$10,'VK-Hooned-Soojus'!$C:$X,2+$C95,FALSE),0)+IF(DC$6="X",VLOOKUP(DC$10,'VK-Transport'!$C:$X,2+$B95,0))+IF(DC$8="X",VLOOKUP(DC$10,'VK-Elekter'!$C:$X,2+$D95,0))+IF(DC$9="X",VLOOKUP(DC$10,'VK-Biokütused'!$C:$U,2+$E95,0))+IF(DC$5="X",VLOOKUP(DC$10,'VK-Põlevkivi'!$C:$X,2+$G95,0))+IF(DC$4="X",VLOOKUP(DC$10,'VK-Võrgud'!$C:$X,2+$F95,0)))/1000000</f>
        <v>3.957824</v>
      </c>
      <c r="DD95" s="209"/>
      <c r="DE95" s="88">
        <f>VLOOKUP(Tulemused!$BN$12,data!M$7:N$12,2,FALSE)-SUM(L95,M95)</f>
        <v>-0.77386666666667736</v>
      </c>
      <c r="DF95" s="209" t="str">
        <f>IF(AZ95&lt;=VLOOKUP(Tulemused!$BN$15,data!$E$36:$F$39,2,FALSE),"JAH","EI")</f>
        <v>JAH</v>
      </c>
      <c r="DG95" s="209"/>
      <c r="DH95" s="209">
        <f t="shared" si="50"/>
        <v>10.67</v>
      </c>
      <c r="DI95" s="231" t="str">
        <f t="shared" si="65"/>
        <v>EI</v>
      </c>
      <c r="DK95" s="232">
        <f t="shared" si="51"/>
        <v>-992.08666366979412</v>
      </c>
      <c r="DM95" s="233">
        <f t="shared" si="52"/>
        <v>-995.98136491873061</v>
      </c>
      <c r="DN95" s="87">
        <f t="array" ref="DN95">INDEX($A$11:$A$145, SMALL(IF(DM95=$DK$11:$DK$145, MATCH(ROW($DK$11:$DK$145), ROW($DK$11:$DK$145))), SUM(--(DM95=$DM$11:DM95))))</f>
        <v>82</v>
      </c>
      <c r="DP95" s="87" t="e">
        <f t="shared" ca="1" si="66"/>
        <v>#N/A</v>
      </c>
      <c r="DQ95" s="87" t="e">
        <f t="shared" ca="1" si="67"/>
        <v>#N/A</v>
      </c>
      <c r="DR95" s="87">
        <f t="shared" ca="1" si="68"/>
        <v>0</v>
      </c>
      <c r="DS95" s="87" t="e">
        <f t="shared" ca="1" si="69"/>
        <v>#N/A</v>
      </c>
      <c r="DT95" s="87">
        <f t="shared" ca="1" si="70"/>
        <v>0</v>
      </c>
      <c r="DU95" s="87" t="e">
        <f t="shared" ca="1" si="71"/>
        <v>#N/A</v>
      </c>
      <c r="DV95" s="87" t="e">
        <f t="shared" ca="1" si="72"/>
        <v>#N/A</v>
      </c>
      <c r="DW95" s="87">
        <f t="shared" ca="1" si="73"/>
        <v>0</v>
      </c>
      <c r="DX95" s="87">
        <f t="shared" ca="1" si="74"/>
        <v>0</v>
      </c>
      <c r="DZ95" s="87">
        <f t="shared" ca="1" si="82"/>
        <v>0</v>
      </c>
      <c r="EB95" s="87">
        <f t="shared" ca="1" si="75"/>
        <v>0</v>
      </c>
      <c r="EC95" s="87" t="e">
        <f t="shared" ca="1" si="76"/>
        <v>#N/A</v>
      </c>
      <c r="EE95" s="228">
        <f>(IF(EE$7="X",VLOOKUP(EE$10,'VK-Hooned-Soojus'!$C:$X,2+$C95,FALSE),0)+IF(EE$6="X",VLOOKUP(EE$10,'VK-Transport'!$C:$X,2+$B95,0))+IF(EE$8="X",VLOOKUP(EE$10,'VK-Elekter'!$C:$X,2+$D95,0))+IF(EE$9="X",VLOOKUP(EE$10,'VK-Biokütused'!$C:$U,2+$E95,0))+IF(EE$5="X",VLOOKUP(EE$10,'VK-Põlevkivi'!$C:$X,2+$G95,0))+IF(EE$4="X",VLOOKUP(EE$10,'VK-Võrgud'!$C:$X,2+$F95,0)))</f>
        <v>4930.8675705889827</v>
      </c>
      <c r="EF95" s="235">
        <f>(IF(EF$7="X",VLOOKUP(EF$10,'VK-Hooned-Soojus'!$C:$X,2+$C95,FALSE),0)+IF(EF$6="X",VLOOKUP(EF$10,'VK-Transport'!$C:$X,2+$B95,0))+IF(EF$8="X",VLOOKUP(EF$10,'VK-Elekter'!$C:$X,2+$D95,0))+IF(EF$9="X",VLOOKUP(EF$10,'VK-Biokütused'!$C:$U,2+$E95,0)))/1000</f>
        <v>3.0813823271229701</v>
      </c>
      <c r="EG95" s="209">
        <f>(IF(EG$7="X",VLOOKUP(EG$10,'VK-Hooned-Soojus'!$C:$X,2+$C95,FALSE),0)+IF(EG$6="X",VLOOKUP(EG$10,'VK-Transport'!$C:$X,2+$B95,0))+IF(EG$8="X",VLOOKUP(EG$10,'VK-Elekter'!$C:$X,2+$D95,0))+IF(EG$9="X",VLOOKUP(EG$10,'VK-Biokütused'!$C:$U,2+$E95,0))+IF(EG$5="X",VLOOKUP(EG$10,'VK-Põlevkivi'!$C:$X,2+$G95,0))+IF(EG$4="X",VLOOKUP(EG$10,'VK-Võrgud'!$C:$X,2+$F95,0)))</f>
        <v>0.81</v>
      </c>
      <c r="EH95" s="209">
        <f>(IF(EH$7="X",VLOOKUP(EH$10,'VK-Hooned-Soojus'!$C:$X,2+$C95,FALSE),0)+IF(EH$6="X",VLOOKUP(EH$10,'VK-Transport'!$C:$X,2+$B95,0))+IF(EH$8="X",VLOOKUP(EH$10,'VK-Elekter'!$C:$X,2+$D95,0))+IF(EH$9="X",VLOOKUP(EH$10,'VK-Biokütused'!$C:$U,2+$E95,0)))+AR95+AS95+AU95+AX95</f>
        <v>42.044166666666669</v>
      </c>
      <c r="EI95" s="320">
        <f t="shared" si="53"/>
        <v>42.044166666666669</v>
      </c>
      <c r="EJ95" s="322">
        <f t="shared" si="54"/>
        <v>2.3391437578713474E-2</v>
      </c>
      <c r="EK95" s="323">
        <f t="shared" si="77"/>
        <v>0.49544473229417074</v>
      </c>
      <c r="EM95" s="209"/>
      <c r="EN95" s="209">
        <f t="shared" ca="1" si="55"/>
        <v>0</v>
      </c>
      <c r="EO95" s="209"/>
      <c r="EP95" s="234"/>
      <c r="EQ95" s="209">
        <f>(IF(EQ$7="X",VLOOKUP(EQ$10,'VK-Hooned-Soojus'!$C:$X,2+$C95,FALSE),0)+IF(EQ$6="X",VLOOKUP(EQ$10,'VK-Transport'!$C:$X,2+$B95,0))+IF(EQ$8="X",VLOOKUP(EQ$10,'VK-Elekter'!$C:$X,2+$D95,0))+IF(EQ$9="X",VLOOKUP(EQ$10,'VK-Biokütused'!$C:$U,2+$E95,0))+IF(EQ$5="X",VLOOKUP(EQ$10,'VK-Põlevkivi'!$C:$X,2+$G95,0))+IF(EQ$4="X",VLOOKUP(EQ$10,'VK-Võrgud'!$C:$X,2+$F95,0)))/1000</f>
        <v>0.19900000000000001</v>
      </c>
      <c r="ER95" s="209">
        <f>(IF(ER$7="X",VLOOKUP(ER$10,'VK-Hooned-Soojus'!$C:$X,2+$C95,FALSE),0)+IF(ER$6="X",VLOOKUP(ER$10,'VK-Transport'!$C:$X,2+$B95,0))+IF(ER$8="X",VLOOKUP(ER$10,'VK-Elekter'!$C:$X,2+$D95,0))+IF(ER$9="X",VLOOKUP(ER$10,'VK-Biokütused'!$C:$U,2+$E95,0))+IF(ER$5="X",VLOOKUP(ER$10,'VK-Põlevkivi'!$C:$X,2+$G95,0))+IF(ER$4="X",VLOOKUP(ER$10,'VK-Võrgud'!$C:$X,2+$F95,0)))</f>
        <v>0.72299999999999998</v>
      </c>
      <c r="ES95" s="209">
        <f>(IF(ES$7="X",VLOOKUP(ES$10,'VK-Hooned-Soojus'!$C:$X,2+$C95,FALSE),0)+IF(ES$6="X",VLOOKUP(ES$10,'VK-Transport'!$C:$X,2+$B95,0))+IF(ES$8="X",VLOOKUP(ES$10,'VK-Elekter'!$C:$X,2+$D95,0))+IF(ES$9="X",VLOOKUP(ES$10,'VK-Biokütused'!$C:$U,2+$E95,0))+IF(ES$5="X",VLOOKUP(ES$10,'VK-Põlevkivi'!$C:$X,2+$G95,0))+IF(ES$4="X",VLOOKUP(ES$10,'VK-Võrgud'!$C:$X,2+$F95,0)))</f>
        <v>10.67</v>
      </c>
      <c r="ET95" s="209"/>
      <c r="EU95" s="209"/>
      <c r="EV95" s="87">
        <f>'KSH järjestus'!AS88</f>
        <v>1083</v>
      </c>
      <c r="EX95" s="236"/>
      <c r="EY95" s="236"/>
      <c r="EZ95" s="237">
        <f t="shared" si="56"/>
        <v>0.36609829488465395</v>
      </c>
      <c r="FA95" s="209">
        <f>IF(FA$7="X",VLOOKUP(FA$10,'VK-Hooned-Soojus'!$C:$X,2+$C95,FALSE),0)+IF(FA$6="X",VLOOKUP(FA$10,'VK-Transport'!$C:$X,2+$B95,0))+IF(FA$8="X",VLOOKUP(FA$10,'VK-Elekter'!$C:$X,2+$D95,0))+IF(FA$9="X",VLOOKUP(FA$10,'VK-Biokütused'!$C:$U,2+$E95,0))+IF(FA$5="X",VLOOKUP(FA$10,'VK-Põlevkivi'!$C:$X,2+$G95,0))+IF(FA$4="X",VLOOKUP(FA$10,'VK-Võrgud'!$C:$X,2+$F95,0))</f>
        <v>3009.346</v>
      </c>
      <c r="FB95" s="279">
        <f>(IF(FB$7="X",VLOOKUP(FB$10,'VK-Hooned-Soojus'!$C:$X,2+$C95,FALSE),0)+IF(FB$6="X",VLOOKUP(FB$10,'VK-Transport'!$C:$X,2+$B95,0))+IF(FB$8="X",VLOOKUP(FB$10,'VK-Elekter'!$C:$X,2+$D95,0))+IF(FB$9="X",VLOOKUP(FB$10,'VK-Biokütused'!$C:$U,2+$E95,0))+IF(FB$5="X",VLOOKUP(FB$10,'VK-Põlevkivi'!$C:$X,2+$G95,0))+IF(FB$4="X",VLOOKUP(FB$10,'VK-Võrgud'!$C:$X,2+$F95,0)))/16</f>
        <v>230.62750827182305</v>
      </c>
      <c r="FC95" s="209">
        <f>IF(FC$7="X",VLOOKUP(FC$10,'VK-Hooned-Soojus'!$C:$X,2+$C95,FALSE),0)+IF(FC$6="X",VLOOKUP(FC$10,'VK-Transport'!$C:$X,2+$B95,0))+IF(FC$8="X",VLOOKUP(FC$10,'VK-Elekter'!$C:$X,2+$D95,0))+IF(FC$9="X",VLOOKUP(FC$10,'VK-Biokütused'!$C:$U,2+$E95,0))+IF(FC$5="X",VLOOKUP(FC$10,'VK-Põlevkivi'!$C:$X,2+$G95,0))+IF(FC$4="X",VLOOKUP(FC$10,'VK-Võrgud'!$C:$X,2+$F95,0))</f>
        <v>297.14999999999998</v>
      </c>
      <c r="FD95" s="209">
        <f>(IF(FD$7="X",VLOOKUP(FD$10,'VK-Hooned-Soojus'!$C:$X,2+$C95,FALSE),0)+IF(FD$6="X",VLOOKUP(FD$10,'VK-Transport'!$C:$X,2+$B95,0))+IF(FD$8="X",VLOOKUP(FD$10,'VK-Elekter'!$C:$X,2+$D95,0))+IF(FD$9="X",VLOOKUP(FD$10,'VK-Biokütused'!$C:$U,2+$E95,0))+IF(FD$5="X",VLOOKUP(FD$10,'VK-Põlevkivi'!$C:$X,2+$G95,0))+IF(FD$4="X",VLOOKUP(FD$10,'VK-Võrgud'!$C:$X,2+$F95,0)))/16</f>
        <v>230.62750827182305</v>
      </c>
      <c r="FE95" s="209">
        <f>(IF(FE$7="X",VLOOKUP(FE$10,'VK-Hooned-Soojus'!$C:$X,2+$C95,FALSE),0)+IF(FE$6="X",VLOOKUP(FE$10,'VK-Transport'!$C:$X,2+$B95,0))+IF(FE$8="X",VLOOKUP(FE$10,'VK-Elekter'!$C:$X,2+$D95,0))+IF(FE$9="X",VLOOKUP(FE$10,'VK-Biokütused'!$C:$U,2+$E95,0))+IF(FE$5="X",VLOOKUP(FE$10,'VK-Põlevkivi'!$C:$X,2+$G95,0))+IF(FE$4="X",VLOOKUP(FE$10,'VK-Võrgud'!$C:$X,2+$F95,0)))/16</f>
        <v>-147.50125</v>
      </c>
      <c r="FF95" s="209">
        <f>(IF(FF$7="X",VLOOKUP(FF$10,'VK-Hooned-Soojus'!$C:$X,2+$C95,FALSE),0)+IF(FF$6="X",VLOOKUP(FF$10,'VK-Transport'!$C:$X,2+$B95,0))+IF(FF$8="X",VLOOKUP(FF$10,'VK-Elekter'!$C:$X,2+$D95,0))+IF(FF$9="X",VLOOKUP(FF$10,'VK-Biokütused'!$C:$U,2+$E95,0))+IF(FF$5="X",VLOOKUP(FF$10,'VK-Põlevkivi'!$C:$X,2+$G95,0))+IF(FF$4="X",VLOOKUP(FF$10,'VK-Võrgud'!$C:$X,2+$F95,0)))/16</f>
        <v>127.30333678592734</v>
      </c>
      <c r="FG95" s="88">
        <f t="shared" ca="1" si="78"/>
        <v>-20.197913214072656</v>
      </c>
      <c r="FH95" s="88"/>
      <c r="FI95" s="88"/>
      <c r="FJ95" s="88">
        <f>VLOOKUP(Tulemused!$BN$12,data!M$7:N$12,2,FALSE)-SUM(L95,M95)</f>
        <v>-0.77386666666667736</v>
      </c>
      <c r="FK95" s="209" t="str">
        <f>IF(AZ95&lt;=VLOOKUP(Tulemused!$BN$15,data!$E$36:$F$39,2,FALSE),"JAH","EI")</f>
        <v>JAH</v>
      </c>
      <c r="FL95" s="235">
        <f ca="1">IF(ISNA(MATCH($A95,INDIRECT(VLOOKUP(Tulemused!$BF$11,data!$J$57:$M$71,4,FALSE)))),0,MATCH($A95,INDIRECT(VLOOKUP(Tulemused!$BF$11,data!$J$57:$M$71,4,FALSE))))</f>
        <v>0</v>
      </c>
      <c r="FM95" s="235" t="str">
        <f t="shared" ca="1" si="57"/>
        <v>JAH</v>
      </c>
      <c r="FN95" s="209">
        <f>VLOOKUP(Tulemused!$BN$13,data!$C$132:$D$137,2,FALSE)-KOMBI!R95</f>
        <v>3.8465876728770305</v>
      </c>
      <c r="FO95" s="209"/>
      <c r="FP95" s="209">
        <f>VLOOKUP(Tulemused!$BN$17,NO_x,2,FALSE)-CJ95</f>
        <v>12.391278206757182</v>
      </c>
      <c r="FQ95" s="209">
        <f>VLOOKUP(Tulemused!$BN$18,SO_2,2,FALSE)-CK95</f>
        <v>45.875054537227363</v>
      </c>
      <c r="FR95" s="209">
        <f>VLOOKUP(Tulemused!$BN$19,LOU,2,FALSE)-CN95</f>
        <v>34.182000000000002</v>
      </c>
      <c r="FS95" s="209">
        <f>VLOOKUP(Tulemused!$BN$20,PM_2.5,2,FALSE)-CM95</f>
        <v>9.2851686429099036</v>
      </c>
      <c r="FT95" s="209">
        <f>VLOOKUP(Tulemused!$BN$13,data!$C$132:$D$137,2,FALSE)-FA95/1000</f>
        <v>3.2366240000000008</v>
      </c>
      <c r="FU95" s="209">
        <f>VLOOKUP(Tulemused!$BN$17,NO_x,2,FALSE)-CO95</f>
        <v>6.8264247892027186</v>
      </c>
      <c r="FV95" s="209">
        <f>VLOOKUP(Tulemused!$BN$18,SO_2,2,FALSE)-CP95</f>
        <v>45.262005169650173</v>
      </c>
      <c r="FW95" s="209">
        <f>VLOOKUP(Tulemused!$BN$19,LOU,2,FALSE)-CS95</f>
        <v>33.285665509940173</v>
      </c>
      <c r="FX95" s="209">
        <f>VLOOKUP(Tulemused!$BN$20,PM_2.5,2,FALSE)-CR95</f>
        <v>9.2289127215424251</v>
      </c>
      <c r="FY95" s="209">
        <f>VLOOKUP(Tulemused!$BN$14,KHG_2050,2,FALSE)-EF95</f>
        <v>96.918617672877033</v>
      </c>
      <c r="FZ95" s="231" t="str">
        <f t="shared" ca="1" si="79"/>
        <v>EI</v>
      </c>
      <c r="GA95" s="209"/>
      <c r="GB95" s="209"/>
      <c r="GC95" s="209"/>
      <c r="GD95" s="231"/>
      <c r="GE95" s="87">
        <f t="shared" si="58"/>
        <v>1083</v>
      </c>
      <c r="GF95" s="232" t="str">
        <f t="shared" ca="1" si="80"/>
        <v/>
      </c>
      <c r="GH95" s="238" t="e">
        <f t="shared" ca="1" si="59"/>
        <v>#NUM!</v>
      </c>
      <c r="GI95" s="87" t="e">
        <f t="array" aca="1" ref="GI95" ca="1">INDEX($A$11:$A$145, SMALL(IF(GH95=$GF$11:$GF$145, MATCH(ROW($GF$11:$GF$145), ROW($GF$11:$GF$145))), SUM(--(GH95=$GH$11:GH95))))</f>
        <v>#NUM!</v>
      </c>
      <c r="GM95" s="209">
        <f>IF(GM$7="X",VLOOKUP(GM$10,'VK-Hooned-Soojus'!$C:$X,2+$C95,FALSE),0)+IF(GM$6="X",VLOOKUP(GM$10,'VK-Transport'!$C:$X,2+$B95,0))+IF(GM$8="X",VLOOKUP(GM$10,'VK-Elekter'!$C:$X,2+$D95,0))+IF(GM$9="X",VLOOKUP(GM$10,'VK-Biokütused'!$C:$U,2+$E95,0))+IF(GM$5="X",VLOOKUP(GM$10,'VK-Põlevkivi'!$C:$X,2+$G95,0))+IF(GM$4="X",VLOOKUP(GM$10,'VK-Võrgud'!$C:$X,2+$F95,0))</f>
        <v>0</v>
      </c>
      <c r="GN95" s="209">
        <f>IF(GN$7="X",VLOOKUP(GN$10,'VK-Hooned-Soojus'!$C:$X,2+$C95,FALSE),0)+IF(GN$6="X",VLOOKUP(GN$10,'VK-Transport'!$C:$X,2+$B95,0))+IF(GN$8="X",VLOOKUP(GN$10,'VK-Elekter'!$C:$X,2+$D95,0))+IF(GN$9="X",VLOOKUP(GN$10,'VK-Biokütused'!$C:$U,2+$E95,0))+IF(GN$5="X",VLOOKUP(GN$10,'VK-Põlevkivi'!$C:$X,2+$G95,0))+IF(GN$4="X",VLOOKUP(GN$10,'VK-Võrgud'!$C:$X,2+$F95,0))</f>
        <v>7.5434676424145266</v>
      </c>
      <c r="GO95" s="209">
        <f>IF(GO$7="X",VLOOKUP(GO$10,'VK-Hooned-Soojus'!$C:$X,2+$C95,FALSE),0)+IF(GO$6="X",VLOOKUP(GO$10,'VK-Transport'!$C:$X,2+$B95,0))+IF(GO$8="X",VLOOKUP(GO$10,'VK-Elekter'!$C:$X,2+$D95,0))+IF(GO$9="X",VLOOKUP(GO$10,'VK-Biokütused'!$C:$U,2+$E95,0))+IF(GO$5="X",VLOOKUP(GO$10,'VK-Põlevkivi'!$C:$X,2+$G95,0))+IF(GO$4="X",VLOOKUP(GO$10,'VK-Võrgud'!$C:$X,2+$F95,0))</f>
        <v>7.5763700102722566</v>
      </c>
      <c r="GP95" s="209">
        <f>IF(GP$7="X",VLOOKUP(GP$10,'VK-Hooned-Soojus'!$C:$X,2+$C95,FALSE),0)+IF(GP$6="X",VLOOKUP(GP$10,'VK-Transport'!$C:$X,2+$B95,0))+IF(GP$8="X",VLOOKUP(GP$10,'VK-Elekter'!$C:$X,2+$D95,0))+IF(GP$9="X",VLOOKUP(GP$10,'VK-Biokütused'!$C:$U,2+$E95,0))+IF(GP$5="X",VLOOKUP(GP$10,'VK-Põlevkivi'!$C:$X,2+$G95,0))+IF(GP$4="X",VLOOKUP(GP$10,'VK-Võrgud'!$C:$X,2+$F95,0))</f>
        <v>8.9326558040707589</v>
      </c>
      <c r="GQ95" s="88">
        <f>IF(GQ$7="X",VLOOKUP(GQ$10,'VK-Hooned-Soojus'!$C:$X,2+$C95,FALSE),0)+IF(GQ$6="X",VLOOKUP(GQ$10,'VK-Transport'!$C:$X,2+$B95,0))+IF(GQ$8="X",VLOOKUP(GQ$10,'VK-Elekter'!$C:$X,2+$D95,0))+IF(GQ$9="X",VLOOKUP(GQ$10,'VK-Biokütused'!$C:$U,2+$E95,0))+IF(GQ$5="X",VLOOKUP(GQ$10,'VK-Põlevkivi'!$C:$X,2+$G95,0))+IF(GQ$4="X",VLOOKUP(GQ$10,'VK-Võrgud'!$C:$X,2+$F95,0))</f>
        <v>0.90618397335647782</v>
      </c>
      <c r="GR95" s="186">
        <f t="shared" si="81"/>
        <v>0.51722795337755689</v>
      </c>
    </row>
    <row r="96" spans="1:200" x14ac:dyDescent="0.2">
      <c r="A96" s="184">
        <v>86</v>
      </c>
      <c r="B96" s="87">
        <v>2</v>
      </c>
      <c r="C96" s="87">
        <v>3</v>
      </c>
      <c r="D96" s="87">
        <v>4</v>
      </c>
      <c r="E96" s="87">
        <v>2</v>
      </c>
      <c r="F96" s="87">
        <f>VLOOKUP(Tulemused!$BF$7,data!$J$6:$K$8,2,FALSE)</f>
        <v>2</v>
      </c>
      <c r="G96" s="87">
        <f>VLOOKUP(data!$H$2,data!$J$12:$K$14,2,FALSE)</f>
        <v>2</v>
      </c>
      <c r="I96" s="209">
        <f>IF(I$7="X",VLOOKUP(I$10,'VK-Hooned-Soojus'!$C:$X,2+$C96,FALSE),0)+IF(I$6="X",VLOOKUP(I$10,'VK-Transport'!$C:$X,2+$B96,0))+IF(I$8="X",VLOOKUP(I$10,'VK-Elekter'!$C:$X,2+$D96,0))+IF(I$9="X",VLOOKUP(I$10,'VK-Biokütused'!$C:$U,2+$E96,0))+IF(I$5="X",VLOOKUP(I$10,'VK-Põlevkivi'!$C:$X,2+$G96,0))+IF(I$4="X",VLOOKUP(I$10,'VK-Võrgud'!$C:$X,2+$F96,0))</f>
        <v>23.490000000000002</v>
      </c>
      <c r="J96" s="209">
        <f>IF(J$7="X",VLOOKUP(J$10,'VK-Hooned-Soojus'!$C:$X,2+$C96,FALSE),0)+IF(J$6="X",VLOOKUP(J$10,'VK-Transport'!$C:$X,2+$B96,0))+IF(J$8="X",VLOOKUP(J$10,'VK-Elekter'!$C:$X,2+$D96,0))+IF(J$9="X",VLOOKUP(J$10,'VK-Biokütused'!$C:$U,2+$E96,0))+IF(J$5="X",VLOOKUP(J$10,'VK-Põlevkivi'!$C:$X,2+$G96,0))+IF(J$4="X",VLOOKUP(J$10,'VK-Võrgud'!$C:$X,2+$F96,0))</f>
        <v>11.138055555555555</v>
      </c>
      <c r="K96" s="209">
        <f>IF(K$7="X",VLOOKUP(K$10,'VK-Hooned-Soojus'!$C:$X,2+$C96,FALSE),0)+IF(K$6="X",VLOOKUP(K$10,'VK-Transport'!$C:$X,2+$B96,0))+IF(K$8="X",VLOOKUP(K$10,'VK-Elekter'!$C:$X,2+$D96,0))+IF(K$9="X",VLOOKUP(K$10,'VK-Biokütused'!$C:$U,2+$E96,0))+IF(K$5="X",VLOOKUP(K$10,'VK-Põlevkivi'!$C:$X,2+$G96,0))+IF(K$4="X",VLOOKUP(K$10,'VK-Võrgud'!$C:$X,2+$F96,0))</f>
        <v>13.780000000000001</v>
      </c>
      <c r="L96" s="209">
        <f>IF(L$7="X",VLOOKUP(L$10,'VK-Hooned-Soojus'!$C:$X,2+$C96,FALSE),0)+IF(L$6="X",VLOOKUP(L$10,'VK-Transport'!$C:$X,2+$B96,0))+IF(L$8="X",VLOOKUP(L$10,'VK-Elekter'!$C:$X,2+$D96,0))+IF(L$9="X",VLOOKUP(L$10,'VK-Biokütused'!$C:$U,2+$E96,0))+IF(L$5="X",VLOOKUP(L$10,'VK-Põlevkivi'!$C:$X,2+$G96,0))+IF(L$4="X",VLOOKUP(L$10,'VK-Võrgud'!$C:$X,2+$F96,0))</f>
        <v>23.75</v>
      </c>
      <c r="M96" s="209">
        <f>IF(M$7="X",VLOOKUP(M$10,'VK-Hooned-Soojus'!$C:$X,2+$C96,FALSE),0)+IF(M$6="X",VLOOKUP(M$10,'VK-Transport'!$C:$X,2+$B96,0))+IF(M$8="X",VLOOKUP(M$10,'VK-Elekter'!$C:$X,2+$D96,0))+IF(M$9="X",VLOOKUP(M$10,'VK-Biokütused'!$C:$U,2+$E96,0))+IF(M$5="X",VLOOKUP(M$10,'VK-Põlevkivi'!$C:$X,2+$G96,0))+IF(M$4="X",VLOOKUP(M$10,'VK-Võrgud'!$C:$X,2+$F96,0))</f>
        <v>9.8566666666666674</v>
      </c>
      <c r="N96" s="209">
        <f>IF(N$7="X",VLOOKUP(N$10,'VK-Hooned-Soojus'!$C:$X,2+$C96,FALSE),0)+IF(N$6="X",VLOOKUP(N$10,'VK-Transport'!$C:$X,2+$B96,0))+IF(N$8="X",VLOOKUP(N$10,'VK-Elekter'!$C:$X,2+$D96,0))+IF(N$9="X",VLOOKUP(N$10,'VK-Biokütused'!$C:$U,2+$E96,0))+IF(N$5="X",VLOOKUP(N$10,'VK-Põlevkivi'!$C:$X,2+$G96,0))+IF(N$4="X",VLOOKUP(N$10,'VK-Võrgud'!$C:$X,2+$F96,0))</f>
        <v>15.25</v>
      </c>
      <c r="O96" s="209">
        <f t="shared" si="60"/>
        <v>34.628055555555555</v>
      </c>
      <c r="P96" s="209"/>
      <c r="Q96" s="209">
        <f>(IF(Q$7="X",VLOOKUP(Q$10,'VK-Hooned-Soojus'!$C:$X,2+$C96,FALSE),0)+IF(Q$6="X",VLOOKUP(Q$10,'VK-Transport'!$C:$X,2+$B96,0))+IF(Q$8="X",VLOOKUP(Q$10,'VK-Elekter'!$C:$X,2+$D96,0))+IF(Q$9="X",VLOOKUP(Q$10,'VK-Biokütused'!$C:$U,2+$E96,0))+IF(Q$5="X",VLOOKUP(Q$10,'VK-Põlevkivi'!$C:$X,2+$G96,0))+IF(Q$4="X",VLOOKUP(Q$10,'VK-Võrgud'!$C:$X,2+$F96,0)))/1000</f>
        <v>1.177</v>
      </c>
      <c r="R96" s="209">
        <f>(IF(R$7="X",VLOOKUP(R$10,'VK-Hooned-Soojus'!$C:$X,2+$C96,FALSE),0)+IF(R$6="X",VLOOKUP(R$10,'VK-Transport'!$C:$X,2+$B96,0))+IF(R$8="X",VLOOKUP(R$10,'VK-Elekter'!$C:$X,2+$D96,0))+IF(R$9="X",VLOOKUP(R$10,'VK-Biokütused'!$C:$U,2+$E96,0))+IF(R$5="X",VLOOKUP(R$10,'VK-Põlevkivi'!$C:$X,2+$G96,0))+IF(R$4="X",VLOOKUP(R$10,'VK-Võrgud'!$C:$X,2+$F96,0)))/1000</f>
        <v>2.7768823271229701</v>
      </c>
      <c r="S96" s="226">
        <f>VLOOKUP(S$10,'VK-Hooned-Soojus'!$C:$I,2+$C96,FALSE) + VLOOKUP(S$10,'VK-Transport'!$C:$I,2+$B96,FALSE)+ VLOOKUP(S$10,'VK-Biokütused'!$C:$G,2+$E96,FALSE)+ VLOOKUP(S$10,'VK-Elekter'!$C:$I,2+$D96,FALSE)+ VLOOKUP(S$10,'VK-Põlevkivi'!$C:$I,2+$G96,FALSE)+ VLOOKUP(S$10,'VK-Võrgud'!$C:$I,2+$F96,FALSE)</f>
        <v>1.5237411038489714E-2</v>
      </c>
      <c r="T96" s="226">
        <f>VLOOKUP(T$10,'VK-Hooned-Soojus'!$C:$I,2+$C96,FALSE) + VLOOKUP(T$10,'VK-Transport'!$C:$I,2+$B96,FALSE)+ VLOOKUP(T$10,'VK-Biokütused'!$C:$G,2+$E96,FALSE)+ VLOOKUP(T$10,'VK-Elekter'!$C:$I,2+$D96,FALSE)+ VLOOKUP(T$10,'VK-Põlevkivi'!$C:$I,2+$G96,FALSE)+ VLOOKUP(T$10,'VK-Võrgud'!$C:$I,2+$F96,FALSE)</f>
        <v>-2.1750239313965934E-3</v>
      </c>
      <c r="U96" s="226">
        <f>VLOOKUP(U$10,'VK-Hooned-Soojus'!$C:$I,2+$C96,FALSE) + VLOOKUP(U$10,'VK-Transport'!$C:$I,2+$B96,FALSE)+ VLOOKUP(U$10,'VK-Biokütused'!$C:$G,2+$E96,FALSE)+ VLOOKUP(U$10,'VK-Elekter'!$C:$I,2+$D96,FALSE)+ VLOOKUP(U$10,'VK-Põlevkivi'!$C:$I,2+$G96,FALSE)+ VLOOKUP(U$10,'VK-Võrgud'!$C:$I,2+$F96,FALSE)</f>
        <v>8.0074873850494166E-4</v>
      </c>
      <c r="V96" s="226">
        <f>VLOOKUP(V$10,'VK-Hooned-Soojus'!$C:$I,2+$C96,FALSE) + VLOOKUP(V$10,'VK-Transport'!$C:$I,2+$B96,FALSE)+ VLOOKUP(V$10,'VK-Biokütused'!$C:$G,2+$E96,FALSE)+ VLOOKUP(V$10,'VK-Elekter'!$C:$I,2+$D96,FALSE)+ VLOOKUP(V$10,'VK-Põlevkivi'!$C:$I,2+$G96,FALSE)+ VLOOKUP(V$10,'VK-Võrgud'!$C:$I,2+$F96,FALSE)</f>
        <v>1.4521140519759404E-2</v>
      </c>
      <c r="W96" s="226">
        <f>VLOOKUP(W$10,'VK-Hooned-Soojus'!$C:$I,2+$C96,FALSE) + VLOOKUP(W$10,'VK-Transport'!$C:$I,2+$B96,FALSE)+ VLOOKUP(W$10,'VK-Biokütused'!$C:$G,2+$E96,FALSE)+ VLOOKUP(W$10,'VK-Elekter'!$C:$I,2+$D96,FALSE)+ VLOOKUP(W$10,'VK-Põlevkivi'!$C:$I,2+$G96,FALSE)+ VLOOKUP(W$10,'VK-Võrgud'!$C:$I,2+$F96,FALSE)</f>
        <v>-5.3570303551517505E-2</v>
      </c>
      <c r="X96" s="226">
        <f>VLOOKUP(X$10,'VK-Hooned-Soojus'!$C:$I,2+$C96,FALSE) + VLOOKUP(X$10,'VK-Transport'!$C:$I,2+$B96,FALSE)+ VLOOKUP(X$10,'VK-Biokütused'!$C:$G,2+$E96,FALSE)+ VLOOKUP(X$10,'VK-Elekter'!$C:$I,2+$D96,FALSE)+ VLOOKUP(X$10,'VK-Põlevkivi'!$C:$I,2+$G96,FALSE)+ VLOOKUP(X$10,'VK-Võrgud'!$C:$I,2+$F96,FALSE)</f>
        <v>-0.17832076012782636</v>
      </c>
      <c r="Y96" s="226">
        <f>VLOOKUP(Y$10,'VK-Hooned-Soojus'!$C:$I,2+$C96,FALSE) + VLOOKUP(Y$10,'VK-Transport'!$C:$I,2+$B96,FALSE)+ VLOOKUP(Y$10,'VK-Biokütused'!$C:$G,2+$E96,FALSE)+ VLOOKUP(Y$10,'VK-Elekter'!$C:$I,2+$D96,FALSE)+ VLOOKUP(Y$10,'VK-Põlevkivi'!$C:$I,2+$G96,FALSE)+ VLOOKUP(Y$10,'VK-Võrgud'!$C:$I,2+$F96,FALSE)</f>
        <v>-0.10519501478436852</v>
      </c>
      <c r="Z96" s="227">
        <f>(S96*Tulemused!$Q$9*10+T96*Tulemused!$Q$10*10+KOMBI!U96*Tulemused!$Q$11*10+KOMBI!V96*Tulemused!$Q$12*10)*Tulemused!$Q$8+-(W96*Tulemused!$Q$14*10+KOMBI!X96*Tulemused!$Q$15*10+KOMBI!Y96*Tulemused!$Q$16*10)*Tulemused!$Q$13</f>
        <v>8.8292479788516918</v>
      </c>
      <c r="AA96" s="228">
        <f>(IF(AA$7="X",VLOOKUP(AA$10,'VK-Hooned-Soojus'!$C:$X,2+$C96,FALSE),0)+IF(AA$6="X",VLOOKUP(AA$10,'VK-Transport'!$C:$X,2+$B96,0))+IF(AA$8="X",VLOOKUP(AA$10,'VK-Elekter'!$C:$X,2+$D96,0))+IF(AA$9="X",VLOOKUP(AA$10,'VK-Biokütused'!$C:$U,2+$E96,0))+IF(AA$5="X",VLOOKUP(AA$10,'VK-Põlevkivi'!$C:$X,2+$G96,0))+IF(AA$4="X",VLOOKUP(AA$10,'VK-Võrgud'!$C:$X,2+$F96,0)))</f>
        <v>0</v>
      </c>
      <c r="AB96" s="228">
        <f>(IF(AB$7="X",VLOOKUP(AB$10,'VK-Hooned-Soojus'!$C:$X,2+$C96,FALSE),0)+IF(AB$6="X",VLOOKUP(AB$10,'VK-Transport'!$C:$X,2+$B96,0))+IF(AB$8="X",VLOOKUP(AB$10,'VK-Elekter'!$C:$X,2+$D96,0))+IF(AB$9="X",VLOOKUP(AB$10,'VK-Biokütused'!$C:$U,2+$E96,0))+IF(AB$5="X",VLOOKUP(AB$10,'VK-Põlevkivi'!$C:$X,2+$G96,0))+IF(AB$4="X",VLOOKUP(AB$10,'VK-Võrgud'!$C:$X,2+$F96,0)))</f>
        <v>1177</v>
      </c>
      <c r="AC96" s="228">
        <f>(IF(AC$7="X",VLOOKUP(AC$10,'VK-Hooned-Soojus'!$C:$X,2+$C96,FALSE),0)+IF(AC$6="X",VLOOKUP(AC$10,'VK-Transport'!$C:$X,2+$B96,0))+IF(AC$8="X",VLOOKUP(AC$10,'VK-Elekter'!$C:$X,2+$D96,0))+IF(AC$9="X",VLOOKUP(AC$10,'VK-Biokütused'!$C:$U,2+$E96,0))+IF(AC$5="X",VLOOKUP(AC$10,'VK-Põlevkivi'!$C:$X,2+$G96,0))+IF(AC$4="X",VLOOKUP(AC$10,'VK-Võrgud'!$C:$X,2+$F96,0)))</f>
        <v>2346</v>
      </c>
      <c r="AD96" s="228">
        <f>(IF(AD$7="X",VLOOKUP(AD$10,'VK-Hooned-Soojus'!$C:$X,2+$C96,FALSE),0)+IF(AD$6="X",VLOOKUP(AD$10,'VK-Transport'!$C:$X,2+$B96,0))+IF(AD$8="X",VLOOKUP(AD$10,'VK-Elekter'!$C:$X,2+$D96,0))+IF(AD$9="X",VLOOKUP(AD$10,'VK-Biokütused'!$C:$U,2+$E96,0))+IF(AD$5="X",VLOOKUP(AD$10,'VK-Põlevkivi'!$C:$X,2+$G96,0))+IF(AD$4="X",VLOOKUP(AD$10,'VK-Võrgud'!$C:$X,2+$F96,0)))</f>
        <v>377.5</v>
      </c>
      <c r="AE96" s="228">
        <f>(IF(AE$7="X",VLOOKUP(AE$10,'VK-Hooned-Soojus'!$C:$X,2+$C96,FALSE),0)+IF(AE$6="X",VLOOKUP(AE$10,'VK-Transport'!$C:$X,2+$B96,0))+IF(AE$8="X",VLOOKUP(AE$10,'VK-Elekter'!$C:$X,2+$D96,0))+IF(AE$9="X",VLOOKUP(AE$10,'VK-Biokütused'!$C:$U,2+$E96,0))+IF(AE$5="X",VLOOKUP(AE$10,'VK-Põlevkivi'!$C:$X,2+$G96,0))+IF(AE$4="X",VLOOKUP(AE$10,'VK-Võrgud'!$C:$X,2+$F96,0)))</f>
        <v>507</v>
      </c>
      <c r="AF96" s="228">
        <f>(IF(AF$7="X",VLOOKUP(AF$10,'VK-Hooned-Soojus'!$C:$X,2+$C96,FALSE),0)+IF(AF$6="X",VLOOKUP(AF$10,'VK-Transport'!$C:$X,2+$B96,0))+IF(AF$8="X",VLOOKUP(AF$10,'VK-Elekter'!$C:$X,2+$D96,0))+IF(AF$9="X",VLOOKUP(AF$10,'VK-Biokütused'!$C:$U,2+$E96,0))+IF(AF$5="X",VLOOKUP(AF$10,'VK-Põlevkivi'!$C:$X,2+$G96,0))+IF(AF$4="X",VLOOKUP(AF$10,'VK-Võrgud'!$C:$X,2+$F96,0)))</f>
        <v>1892.3823271229701</v>
      </c>
      <c r="AG96" s="209"/>
      <c r="AH96" s="209">
        <f>IF(AH$7="X",VLOOKUP(AH$10,'VK-Hooned-Soojus'!$C:$X,2+$C96,FALSE),0)+IF(AH$6="X",VLOOKUP(AH$10,'VK-Transport'!$C:$X,2+$B96,0))+IF(AH$8="X",VLOOKUP(AH$10,'VK-Elekter'!$C:$X,2+$D96,0))+IF(AH$9="X",VLOOKUP(AH$10,'VK-Biokütused'!$C:$U,2+$E96,0))+IF(AH$5="X",VLOOKUP(AH$10,'VK-Põlevkivi'!$C:$X,2+$G96,0))+IF(AH$4="X",VLOOKUP(AH$10,'VK-Võrgud'!$C:$X,2+$F96,0))</f>
        <v>0</v>
      </c>
      <c r="AI96" s="209">
        <f>IF(AI$7="X",VLOOKUP(AI$10,'VK-Hooned-Soojus'!$C:$X,2+$C96,FALSE),0)+IF(AI$6="X",VLOOKUP(AI$10,'VK-Transport'!$C:$X,2+$B96,0))+IF(AI$8="X",VLOOKUP(AI$10,'VK-Elekter'!$C:$X,2+$D96,0))+IF(AI$9="X",VLOOKUP(AI$10,'VK-Biokütused'!$C:$U,2+$E96,0))+IF(AI$5="X",VLOOKUP(AI$10,'VK-Põlevkivi'!$C:$X,2+$G96,0))+IF(AI$4="X",VLOOKUP(AI$10,'VK-Võrgud'!$C:$X,2+$F96,0))</f>
        <v>11.489999999999998</v>
      </c>
      <c r="AJ96" s="209">
        <f>IF(AJ$7="X",VLOOKUP(AJ$10,'VK-Hooned-Soojus'!$C:$X,2+$C96,FALSE),0)+IF(AJ$6="X",VLOOKUP(AJ$10,'VK-Transport'!$C:$X,2+$B96,0))+IF(AJ$8="X",VLOOKUP(AJ$10,'VK-Elekter'!$C:$X,2+$D96,0))+IF(AJ$9="X",VLOOKUP(AJ$10,'VK-Biokütused'!$C:$U,2+$E96,0))+IF(AJ$5="X",VLOOKUP(AJ$10,'VK-Põlevkivi'!$C:$X,2+$G96,0))+IF(AJ$4="X",VLOOKUP(AJ$10,'VK-Võrgud'!$C:$X,2+$F96,0))</f>
        <v>0</v>
      </c>
      <c r="AK96" s="209">
        <f>IF(AK$7="X",VLOOKUP(AK$10,'VK-Hooned-Soojus'!$C:$X,2+$C96,FALSE),0)+IF(AK$6="X",VLOOKUP(AK$10,'VK-Transport'!$C:$X,2+$B96,0))+IF(AK$8="X",VLOOKUP(AK$10,'VK-Elekter'!$C:$X,2+$D96,0))+IF(AK$9="X",VLOOKUP(AK$10,'VK-Biokütused'!$C:$U,2+$E96,0))+IF(AK$5="X",VLOOKUP(AK$10,'VK-Põlevkivi'!$C:$X,2+$G96,0))+IF(AK$4="X",VLOOKUP(AK$10,'VK-Võrgud'!$C:$X,2+$F96,0))</f>
        <v>3.65</v>
      </c>
      <c r="AL96" s="209">
        <f>IF(AL$7="X",VLOOKUP(AL$10,'VK-Hooned-Soojus'!$C:$X,2+$C96,FALSE),0)+IF(AL$6="X",VLOOKUP(AL$10,'VK-Transport'!$C:$X,2+$B96,0))+IF(AL$8="X",VLOOKUP(AL$10,'VK-Elekter'!$C:$X,2+$D96,0))+IF(AL$9="X",VLOOKUP(AL$10,'VK-Biokütused'!$C:$U,2+$E96,0))+IF(AL$5="X",VLOOKUP(AL$10,'VK-Põlevkivi'!$C:$X,2+$G96,0))+IF(AL$4="X",VLOOKUP(AL$10,'VK-Võrgud'!$C:$X,2+$F96,0))</f>
        <v>7.1</v>
      </c>
      <c r="AM96" s="209">
        <f>IF(AM$7="X",VLOOKUP(AM$10,'VK-Hooned-Soojus'!$C:$X,2+$C96,FALSE),0)+IF(AM$6="X",VLOOKUP(AM$10,'VK-Transport'!$C:$X,2+$B96,0))+IF(AM$8="X",VLOOKUP(AM$10,'VK-Elekter'!$C:$X,2+$D96,0))+IF(AM$9="X",VLOOKUP(AM$10,'VK-Biokütused'!$C:$U,2+$E96,0))+IF(AM$5="X",VLOOKUP(AM$10,'VK-Põlevkivi'!$C:$X,2+$G96,0))+IF(AM$4="X",VLOOKUP(AM$10,'VK-Võrgud'!$C:$X,2+$F96,0))</f>
        <v>11.5</v>
      </c>
      <c r="AN96" s="209">
        <f>IF(AN$7="X",VLOOKUP(AN$10,'VK-Hooned-Soojus'!$C:$X,2+$C96,FALSE),0)+IF(AN$6="X",VLOOKUP(AN$10,'VK-Transport'!$C:$X,2+$B96,0))+IF(AN$8="X",VLOOKUP(AN$10,'VK-Elekter'!$C:$X,2+$D96,0))+IF(AN$9="X",VLOOKUP(AN$10,'VK-Biokütused'!$C:$U,2+$E96,0))+IF(AN$5="X",VLOOKUP(AN$10,'VK-Põlevkivi'!$C:$X,2+$G96,0))+IF(AN$4="X",VLOOKUP(AN$10,'VK-Võrgud'!$C:$X,2+$F96,0))</f>
        <v>4.0999999999999996</v>
      </c>
      <c r="AO96" s="209">
        <f>IF(AO$7="X",VLOOKUP(AO$10,'VK-Hooned-Soojus'!$C:$X,2+$C96,FALSE),0)+IF(AO$6="X",VLOOKUP(AO$10,'VK-Transport'!$C:$X,2+$B96,0))+IF(AO$8="X",VLOOKUP(AO$10,'VK-Elekter'!$C:$X,2+$D96,0))+IF(AO$9="X",VLOOKUP(AO$10,'VK-Biokütused'!$C:$U,2+$E96,0))+IF(AO$5="X",VLOOKUP(AO$10,'VK-Põlevkivi'!$C:$X,2+$G96,0))+IF(AO$4="X",VLOOKUP(AO$10,'VK-Võrgud'!$C:$X,2+$F96,0))</f>
        <v>21.34</v>
      </c>
      <c r="AP96" s="209">
        <f>IF(AP$7="X",VLOOKUP(AP$10,'VK-Hooned-Soojus'!$C:$X,2+$C96,FALSE),0)+IF(AP$6="X",VLOOKUP(AP$10,'VK-Transport'!$C:$X,2+$B96,0))+IF(AP$8="X",VLOOKUP(AP$10,'VK-Elekter'!$C:$X,2+$D96,0))+IF(AP$9="X",VLOOKUP(AP$10,'VK-Biokütused'!$C:$U,2+$E96,0))+IF(AP$5="X",VLOOKUP(AP$10,'VK-Põlevkivi'!$C:$X,2+$G96,0))+IF(AP$4="X",VLOOKUP(AP$10,'VK-Võrgud'!$C:$X,2+$F96,0))</f>
        <v>10.67</v>
      </c>
      <c r="AQ96" s="320">
        <f t="shared" si="61"/>
        <v>9.0399999999999991</v>
      </c>
      <c r="AR96" s="209">
        <f>IF(AR$7="X",VLOOKUP(AR$10,'VK-Hooned-Soojus'!$C:$X,2+$C96,FALSE),0)+IF(AR$6="X",VLOOKUP(AR$10,'VK-Transport'!$C:$X,2+$B96,0))+IF(AR$8="X",VLOOKUP(AR$10,'VK-Elekter'!$C:$X,2+$D96,0))+IF(AR$9="X",VLOOKUP(AR$10,'VK-Biokütused'!$C:$U,2+$E96,0))+IF(AR$5="X",VLOOKUP(AR$10,'VK-Põlevkivi'!$C:$X,2+$G96,0))+IF(AR$4="X",VLOOKUP(AR$10,'VK-Võrgud'!$C:$X,2+$F96,0))</f>
        <v>0</v>
      </c>
      <c r="AS96" s="320">
        <f>VLOOKUP("Kütuste tarbimine @ 2030 - UTTEGAAS",'VK-Hooned-Soojus'!$C:$X,2+$C96,FALSE)/0.172+VLOOKUP("Kütuste tarbimine @ 2030 - UTTEGAAS",'VK-Elekter'!$C:$X,2+$D96,FALSE)/0.172-AR96-AU96</f>
        <v>0</v>
      </c>
      <c r="AT96" s="209">
        <f>IF(AT$7="X",VLOOKUP(AT$10,'VK-Hooned-Soojus'!$C:$X,2+$C96,FALSE),0)+IF(AT$6="X",VLOOKUP(AT$10,'VK-Transport'!$C:$X,2+$B96,0))+IF(AT$8="X",VLOOKUP(AT$10,'VK-Elekter'!$C:$X,2+$D96,0))+IF(AT$9="X",VLOOKUP(AT$10,'VK-Biokütused'!$C:$U,2+$E96,0))+IF(AT$5="X",VLOOKUP(AT$10,'VK-Põlevkivi'!$C:$X,2+$G96,0))+IF(AT$4="X",VLOOKUP(AT$10,'VK-Võrgud'!$C:$X,2+$F96,0))</f>
        <v>9.2784458909544707</v>
      </c>
      <c r="AU96" s="229">
        <f>MAX(0,(VLOOKUP("Kütuste tarbimine @ 2030 - UTTEGAAS",'VK-Hooned-Soojus'!$C:$X,2+$C96,FALSE)/0.172+VLOOKUP("Kütuste tarbimine @ 2030 - UTTEGAAS",'VK-Elekter'!$C:$X,2+$D96,FALSE)/0.172)*0.52-VLOOKUP("Kütuste tarbimine @ 2030 - PÕLEVKIVIÕLI",'VK-Hooned-Soojus'!$C:$X,2+$C96,FALSE))</f>
        <v>0</v>
      </c>
      <c r="AV96" s="209">
        <f>IF(AV$7="X",VLOOKUP(AV$10,'VK-Hooned-Soojus'!$C:$X,2+$C96,FALSE),0)+IF(AV$6="X",VLOOKUP(AV$10,'VK-Transport'!$C:$X,2+$B96,0))+IF(AV$8="X",VLOOKUP(AV$10,'VK-Elekter'!$C:$X,2+$D96,0))+IF(AV$9="X",VLOOKUP(AV$10,'VK-Biokütused'!$C:$U,2+$E96,0))+IF(AV$5="X",VLOOKUP(AV$10,'VK-Põlevkivi'!$C:$X,2+$G96,0))+IF(AV$4="X",VLOOKUP(AV$10,'VK-Võrgud'!$C:$X,2+$F96,0))</f>
        <v>1.7257321590343366</v>
      </c>
      <c r="AW96" s="209">
        <f>IF(AW$7="X",VLOOKUP(AW$10,'VK-Hooned-Soojus'!$C:$X,2+$C96,FALSE),0)+IF(AW$6="X",VLOOKUP(AW$10,'VK-Transport'!$C:$X,2+$B96,0))+IF(AW$8="X",VLOOKUP(AW$10,'VK-Elekter'!$C:$X,2+$D96,0))+IF(AW$9="X",VLOOKUP(AW$10,'VK-Biokütused'!$C:$U,2+$E96,0))+IF(AW$5="X",VLOOKUP(AW$10,'VK-Põlevkivi'!$C:$X,2+$G96,0))+IF(AW$4="X",VLOOKUP(AW$10,'VK-Võrgud'!$C:$X,2+$F96,0))</f>
        <v>2.141</v>
      </c>
      <c r="AX96" s="229">
        <f t="shared" si="62"/>
        <v>0.41526784096566338</v>
      </c>
      <c r="AY96" s="229">
        <f t="shared" si="63"/>
        <v>0</v>
      </c>
      <c r="AZ96" s="230">
        <f t="shared" si="48"/>
        <v>0.62002527241482897</v>
      </c>
      <c r="BA96" s="209">
        <f>IF(BA$7="X",VLOOKUP(BA$10,'VK-Hooned-Soojus'!$C:$X,2+$C96,FALSE),0)+IF(BA$6="X",VLOOKUP(BA$10,'VK-Transport'!$C:$X,2+$B96,0))+IF(BA$8="X",VLOOKUP(BA$10,'VK-Elekter'!$C:$X,2+$D96,0))+IF(BA$9="X",VLOOKUP(BA$10,'VK-Biokütused'!$C:$U,2+$E96,0))+IF(BA$5="X",VLOOKUP(BA$10,'VK-Põlevkivi'!$C:$X,2+$G96,0))+IF(BA$4="X",VLOOKUP(BA$10,'VK-Võrgud'!$C:$X,2+$F96,0))</f>
        <v>0</v>
      </c>
      <c r="BB96" s="209">
        <f>IF(BB$7="X",VLOOKUP(BB$10,'VK-Hooned-Soojus'!$C:$X,2+$C96,FALSE),0)+IF(BB$6="X",VLOOKUP(BB$10,'VK-Transport'!$C:$X,2+$B96,0))+IF(BB$8="X",VLOOKUP(BB$10,'VK-Elekter'!$C:$X,2+$D96,0))+IF(BB$9="X",VLOOKUP(BB$10,'VK-Biokütused'!$C:$U,2+$E96,0))+IF(BB$5="X",VLOOKUP(BB$10,'VK-Põlevkivi'!$C:$X,2+$G96,0))+IF(BB$4="X",VLOOKUP(BB$10,'VK-Võrgud'!$C:$X,2+$F96,0))</f>
        <v>6.32</v>
      </c>
      <c r="BC96" s="209">
        <f>IF(BC$7="X",VLOOKUP(BC$10,'VK-Hooned-Soojus'!$C:$X,2+$C96,FALSE),0)+IF(BC$6="X",VLOOKUP(BC$10,'VK-Transport'!$C:$X,2+$B96,0))+IF(BC$8="X",VLOOKUP(BC$10,'VK-Elekter'!$C:$X,2+$D96,0))+IF(BC$9="X",VLOOKUP(BC$10,'VK-Biokütused'!$C:$U,2+$E96,0))+IF(BC$5="X",VLOOKUP(BC$10,'VK-Põlevkivi'!$C:$X,2+$G96,0))+IF(BC$4="X",VLOOKUP(BC$10,'VK-Võrgud'!$C:$X,2+$F96,0))</f>
        <v>5.2376666666666667</v>
      </c>
      <c r="BD96" s="209">
        <f>IF(BD$7="X",VLOOKUP(BD$10,'VK-Hooned-Soojus'!$C:$X,2+$C96,FALSE),0)+IF(BD$6="X",VLOOKUP(BD$10,'VK-Transport'!$C:$X,2+$B96,0))+IF(BD$8="X",VLOOKUP(BD$10,'VK-Elekter'!$C:$X,2+$D96,0))+IF(BD$9="X",VLOOKUP(BD$10,'VK-Biokütused'!$C:$U,2+$E96,0))+IF(BD$5="X",VLOOKUP(BD$10,'VK-Põlevkivi'!$C:$X,2+$G96,0))+IF(BD$4="X",VLOOKUP(BD$10,'VK-Võrgud'!$C:$X,2+$F96,0))</f>
        <v>9.1105555555555569</v>
      </c>
      <c r="BE96" s="230"/>
      <c r="BF96" s="229">
        <f t="shared" si="64"/>
        <v>0.58785163599471191</v>
      </c>
      <c r="BG96" s="209" t="e">
        <f>(IF(BG$7="X",VLOOKUP(BG$10,'VK-Hooned-Soojus'!$C:$X,2+$C96,FALSE),0)+IF(BG$6="X",VLOOKUP(BG$10,'VK-Transport'!$C:$X,2+$B96,0))+IF(BG$8="X",VLOOKUP(BG$10,'VK-Elekter'!$C:$X,2+$D96,0))+IF(BG$9="X",VLOOKUP(BG$10,'VK-Biokütused'!$C:$U,2+$E96,0))+IF(BG$5="X",VLOOKUP(BG$10,'VK-Põlevkivi'!$C:$X,2+$G96,0))+IF(BG$4="X",VLOOKUP(BG$10,'VK-Võrgud'!$C:$X,2+$F96,0)))/20</f>
        <v>#N/A</v>
      </c>
      <c r="BH96" s="209">
        <f>(IF(BH$7="X",VLOOKUP(BH$10,'VK-Hooned-Soojus'!$C:$X,2+$C96,FALSE),0)+IF(BH$6="X",VLOOKUP(BH$10,'VK-Transport'!$C:$X,2+$B96,0))+IF(BH$8="X",VLOOKUP(BH$10,'VK-Elekter'!$C:$X,2+$D96,0))+IF(BH$9="X",VLOOKUP(BH$10,'VK-Biokütused'!$C:$U,2+$E96,0))+IF(BH$5="X",VLOOKUP(BH$10,'VK-Põlevkivi'!$C:$X,2+$G96,0))+IF(BH$4="X",VLOOKUP(BH$10,'VK-Võrgud'!$C:$X,2+$F96,0)))/20</f>
        <v>84.204999999999998</v>
      </c>
      <c r="BI96" s="209">
        <f>(IF(BI$7="X",VLOOKUP(BI$10,'VK-Hooned-Soojus'!$C:$X,2+$C96,FALSE),0)+IF(BI$6="X",VLOOKUP(BI$10,'VK-Transport'!$C:$X,2+$B96,0))+IF(BI$8="X",VLOOKUP(BI$10,'VK-Elekter'!$C:$X,2+$D96,0))+IF(BI$9="X",VLOOKUP(BI$10,'VK-Biokütused'!$C:$U,2+$E96,0))+IF(BI$5="X",VLOOKUP(BI$10,'VK-Põlevkivi'!$C:$X,2+$G96,0))+IF(BI$4="X",VLOOKUP(BI$10,'VK-Võrgud'!$C:$X,2+$F96,0)))/16</f>
        <v>8.9375</v>
      </c>
      <c r="BJ96" s="209">
        <f>(IF(BJ$7="X",VLOOKUP(BJ$10,'VK-Hooned-Soojus'!$C:$X,2+$C96,FALSE),0)+IF(BJ$6="X",VLOOKUP(BJ$10,'VK-Transport'!$C:$X,2+$B96,0))+IF(BJ$8="X",VLOOKUP(BJ$10,'VK-Elekter'!$C:$X,2+$D96,0))+IF(BJ$9="X",VLOOKUP(BJ$10,'VK-Biokütused'!$C:$U,2+$E96,0))+IF(BJ$5="X",VLOOKUP(BJ$10,'VK-Põlevkivi'!$C:$X,2+$G96,0))+IF(BJ$4="X",VLOOKUP(BJ$10,'VK-Võrgud'!$C:$X,2+$F96,0)))/20</f>
        <v>5.33</v>
      </c>
      <c r="BK96" s="209"/>
      <c r="BL96" s="209"/>
      <c r="BM96" s="209"/>
      <c r="BN96" s="209" t="e">
        <f>(IF(BN$7="X",VLOOKUP(BN$10,'VK-Hooned-Soojus'!$C:$X,2+$C96,FALSE),0)+IF(BN$6="X",VLOOKUP(BN$10,'VK-Transport'!$C:$X,2+$B96,0))+IF(BN$8="X",VLOOKUP(BN$10,'VK-Elekter'!$C:$X,2+$D96,0))+IF(BN$9="X",VLOOKUP(BN$10,'VK-Biokütused'!$C:$U,2+$E96,0))+IF(BN$5="X",VLOOKUP(BN$10,'VK-Põlevkivi'!$C:$X,2+$G96,0))+IF(BN$4="X",VLOOKUP(BN$10,'VK-Võrgud'!$C:$X,2+$F96,0)))/16</f>
        <v>#N/A</v>
      </c>
      <c r="BO96" s="209">
        <f>(IF(BO$7="X",VLOOKUP(BO$10,'VK-Hooned-Soojus'!$C:$X,2+$C96,FALSE),0)+IF(BO$6="X",VLOOKUP(BO$10,'VK-Transport'!$C:$X,2+$B96,0))+IF(BO$8="X",VLOOKUP(BO$10,'VK-Elekter'!$C:$X,2+$D96,0))+IF(BO$9="X",VLOOKUP(BO$10,'VK-Biokütused'!$C:$U,2+$E96,0))+IF(BO$5="X",VLOOKUP(BO$10,'VK-Põlevkivi'!$C:$X,2+$G96,0))+IF(BO$4="X",VLOOKUP(BO$10,'VK-Võrgud'!$C:$X,2+$F96,0)))/16</f>
        <v>405.45</v>
      </c>
      <c r="BP96" s="209"/>
      <c r="BQ96" s="209">
        <f>(IF(BQ$7="X",VLOOKUP(BQ$10,'VK-Hooned-Soojus'!$C:$X,2+$C96,FALSE),0)+IF(BQ$6="X",VLOOKUP(BQ$10,'VK-Transport'!$C:$X,2+$B96,0))+IF(BQ$8="X",VLOOKUP(BQ$10,'VK-Elekter'!$C:$X,2+$D96,0))+IF(BQ$9="X",VLOOKUP(BQ$10,'VK-Biokütused'!$C:$U,2+$E96,0))+IF(BQ$5="X",VLOOKUP(BQ$10,'VK-Põlevkivi'!$C:$X,2+$G96,0))+IF(BQ$4="X",VLOOKUP(BQ$10,'VK-Võrgud'!$C:$X,2+$F96,0)))/16</f>
        <v>127.6</v>
      </c>
      <c r="BR96" s="209">
        <f>(IF(BR$7="X",VLOOKUP(BR$10,'VK-Hooned-Soojus'!$C:$X,2+$C96,FALSE),0)+IF(BR$6="X",VLOOKUP(BR$10,'VK-Transport'!$C:$X,2+$B96,0))+IF(BR$8="X",VLOOKUP(BR$10,'VK-Elekter'!$C:$X,2+$D96,0))+IF(BR$9="X",VLOOKUP(BR$10,'VK-Biokütused'!$C:$U,2+$E96,0))+IF(BR$5="X",VLOOKUP(BR$10,'VK-Põlevkivi'!$C:$X,2+$G96,0))+IF(BR$4="X",VLOOKUP(BR$10,'VK-Võrgud'!$C:$X,2+$F96,0)))/16</f>
        <v>27.475000000000001</v>
      </c>
      <c r="BS96" s="209">
        <f>(IF(BS$7="X",VLOOKUP(BS$10,'VK-Hooned-Soojus'!$C:$X,2+$C96,FALSE),0)+IF(BS$6="X",VLOOKUP(BS$10,'VK-Transport'!$C:$X,2+$B96,0))+IF(BS$8="X",VLOOKUP(BS$10,'VK-Elekter'!$C:$X,2+$D96,0))+IF(BS$9="X",VLOOKUP(BS$10,'VK-Biokütused'!$C:$U,2+$E96,0))+IF(BS$5="X",VLOOKUP(BS$10,'VK-Põlevkivi'!$C:$X,2+$G96,0))+IF(BS$4="X",VLOOKUP(BS$10,'VK-Võrgud'!$C:$X,2+$F96,0)))/16</f>
        <v>-23.293749999999999</v>
      </c>
      <c r="BT96" s="209"/>
      <c r="BU96" s="209"/>
      <c r="BV96" s="209">
        <f>(IF(BV$7="X",VLOOKUP(BV$10,'VK-Hooned-Soojus'!$C:$X,2+$C96,FALSE),0)+IF(BV$6="X",VLOOKUP(BV$10,'VK-Transport'!$C:$X,2+$B96,0))+IF(BV$8="X",VLOOKUP(BV$10,'VK-Elekter'!$C:$X,2+$D96,0))+IF(BV$9="X",VLOOKUP(BV$10,'VK-Biokütused'!$C:$U,2+$E96,0))+IF(BV$5="X",VLOOKUP(BV$10,'VK-Põlevkivi'!$C:$X,2+$G96,0))+IF(BV$4="X",VLOOKUP(BV$10,'VK-Võrgud'!$C:$X,2+$F96,0)))/16</f>
        <v>0</v>
      </c>
      <c r="BW96" s="209"/>
      <c r="BX96" s="209">
        <f>(IF(BX$7="X",VLOOKUP(BX$10,'VK-Hooned-Soojus'!$C:$X,2+$C96,FALSE),0)+IF(BX$6="X",VLOOKUP(BX$10,'VK-Transport'!$C:$X,2+$B96,0))+IF(BX$8="X",VLOOKUP(BX$10,'VK-Elekter'!$C:$X,2+$D96,0))+IF(BX$9="X",VLOOKUP(BX$10,'VK-Biokütused'!$C:$U,2+$E96,0))+IF(BX$5="X",VLOOKUP(BX$10,'VK-Põlevkivi'!$C:$X,2+$G96,0))+IF(BX$4="X",VLOOKUP(BX$10,'VK-Võrgud'!$C:$X,2+$F96,0)))/16</f>
        <v>-19.25</v>
      </c>
      <c r="BY96" s="209"/>
      <c r="BZ96" s="209"/>
      <c r="CA96" s="209" t="e">
        <f>(IF(CA$7="X",VLOOKUP(CA$10,'VK-Hooned-Soojus'!$C:$X,2+$C96,FALSE),0)+IF(CA$6="X",VLOOKUP(CA$10,'VK-Transport'!$C:$X,2+$B96,0))+IF(CA$8="X",VLOOKUP(CA$10,'VK-Elekter'!$C:$X,2+$D96,0))+IF(CA$9="X",VLOOKUP(CA$10,'VK-Biokütused'!$C:$U,2+$E96,0))+IF(CA$5="X",VLOOKUP(CA$10,'VK-Põlevkivi'!$C:$X,2+$G96,0))+IF(CA$4="X",VLOOKUP(CA$10,'VK-Võrgud'!$C:$X,2+$F96,0)))/16</f>
        <v>#N/A</v>
      </c>
      <c r="CB96" s="209">
        <f>(IF(CB$7="X",VLOOKUP(CB$10,'VK-Hooned-Soojus'!$C:$X,2+$C96,FALSE),0)+IF(CB$6="X",VLOOKUP(CB$10,'VK-Transport'!$C:$X,2+$B96,0))+IF(CB$8="X",VLOOKUP(CB$10,'VK-Elekter'!$C:$X,2+$D96,0))+IF(CB$9="X",VLOOKUP(CB$10,'VK-Biokütused'!$C:$U,2+$E96,0))+IF(CB$5="X",VLOOKUP(CB$10,'VK-Põlevkivi'!$C:$X,2+$G96,0))+IF(CB$4="X",VLOOKUP(CB$10,'VK-Võrgud'!$C:$X,2+$F96,0)))/16</f>
        <v>0</v>
      </c>
      <c r="CC96" s="209">
        <f>(IF(CC$7="X",VLOOKUP(CC$10,'VK-Hooned-Soojus'!$C:$X,2+$C96,FALSE),0)+IF(CC$6="X",VLOOKUP(CC$10,'VK-Transport'!$C:$X,2+$B96,0))+IF(CC$8="X",VLOOKUP(CC$10,'VK-Elekter'!$C:$X,2+$D96,0))+IF(CC$9="X",VLOOKUP(CC$10,'VK-Biokütused'!$C:$U,2+$E96,0))+IF(CC$5="X",VLOOKUP(CC$10,'VK-Põlevkivi'!$C:$X,2+$G96,0))+IF(CC$4="X",VLOOKUP(CC$10,'VK-Võrgud'!$C:$X,2+$F96,0)))/16</f>
        <v>0</v>
      </c>
      <c r="CD96" s="209"/>
      <c r="CE96" s="209">
        <f>(IF(CE$7="X",VLOOKUP(CE$10,'VK-Hooned-Soojus'!$C:$X,2+$C96,FALSE),0)+IF(CE$6="X",VLOOKUP(CE$10,'VK-Transport'!$C:$X,2+$B96,0))+IF(CE$8="X",VLOOKUP(CE$10,'VK-Elekter'!$C:$X,2+$D96,0))+IF(CE$9="X",VLOOKUP(CE$10,'VK-Biokütused'!$C:$U,2+$E96,0))+IF(CE$5="X",VLOOKUP(CE$10,'VK-Põlevkivi'!$C:$X,2+$G96,0))+IF(CE$4="X",VLOOKUP(CE$10,'VK-Võrgud'!$C:$X,2+$F96,0)))/16</f>
        <v>24.15625</v>
      </c>
      <c r="CF96" s="209"/>
      <c r="CG96" s="209">
        <f>(IF(CG$7="X",VLOOKUP(CG$10,'VK-Hooned-Soojus'!$C:$X,2+$C96,FALSE),0)+IF(CG$6="X",VLOOKUP(CG$10,'VK-Transport'!$C:$X,2+$B96,0))+IF(CG$8="X",VLOOKUP(CG$10,'VK-Elekter'!$C:$X,2+$D96,0))+IF(CG$9="X",VLOOKUP(CG$10,'VK-Biokütused'!$C:$U,2+$E96,0))+IF(CG$5="X",VLOOKUP(CG$10,'VK-Põlevkivi'!$C:$X,2+$G96,0))+IF(CG$4="X",VLOOKUP(CG$10,'VK-Võrgud'!$C:$X,2+$F96,0)))/16</f>
        <v>0</v>
      </c>
      <c r="CH96" s="209">
        <f>(IF(CH$7="X",VLOOKUP(CH$10,'VK-Hooned-Soojus'!$C:$X,2+$C96,FALSE),0)+IF(CH$6="X",VLOOKUP(CH$10,'VK-Transport'!$C:$X,2+$B96,0))+IF(CH$8="X",VLOOKUP(CH$10,'VK-Elekter'!$C:$X,2+$D96,0))+IF(CH$9="X",VLOOKUP(CH$10,'VK-Biokütused'!$C:$U,2+$E96,0))+IF(CH$5="X",VLOOKUP(CH$10,'VK-Põlevkivi'!$C:$X,2+$G96,0))+IF(CH$4="X",VLOOKUP(CH$10,'VK-Võrgud'!$C:$X,2+$F96,0)))/20*0.21</f>
        <v>26.9178</v>
      </c>
      <c r="CI96" s="209"/>
      <c r="CJ96" s="209">
        <f>(IF(CJ$7="X",VLOOKUP(CJ$10,'VK-Hooned-Soojus'!$C:$X,2+$C96,FALSE),0)+IF(CJ$6="X",VLOOKUP(CJ$10,'VK-Transport'!$C:$X,2+$B96,0))+IF(CJ$8="X",VLOOKUP(CJ$10,'VK-Elekter'!$C:$X,2+$D96,0))+IF(CJ$9="X",VLOOKUP(CJ$10,'VK-Biokütused'!$C:$U,2+$E96,0))+IF(CJ$5="X",VLOOKUP(CJ$10,'VK-Põlevkivi'!$C:$X,2+$G96,0))+IF(CJ$4="X",VLOOKUP(CJ$10,'VK-Võrgud'!$C:$X,2+$F96,0)))/1000</f>
        <v>17.046721793242817</v>
      </c>
      <c r="CK96" s="209">
        <f>(IF(CK$7="X",VLOOKUP(CK$10,'VK-Hooned-Soojus'!$C:$X,2+$C96,FALSE),0)+IF(CK$6="X",VLOOKUP(CK$10,'VK-Transport'!$C:$X,2+$B96,0))+IF(CK$8="X",VLOOKUP(CK$10,'VK-Elekter'!$C:$X,2+$D96,0))+IF(CK$9="X",VLOOKUP(CK$10,'VK-Biokütused'!$C:$U,2+$E96,0))+IF(CK$5="X",VLOOKUP(CK$10,'VK-Põlevkivi'!$C:$X,2+$G96,0))+IF(CK$4="X",VLOOKUP(CK$10,'VK-Võrgud'!$C:$X,2+$F96,0)))/1000</f>
        <v>6.0089454627726342</v>
      </c>
      <c r="CL96" s="235">
        <f>(IF(CL$7="X",VLOOKUP(CL$10,'VK-Hooned-Soojus'!$C:$X,2+$C96,FALSE),0)+IF(CL$6="X",VLOOKUP(CL$10,'VK-Transport'!$C:$X,2+$B96,0))+IF(CL$8="X",VLOOKUP(CL$10,'VK-Elekter'!$C:$X,2+$D96,0))+IF(CL$9="X",VLOOKUP(CL$10,'VK-Biokütused'!$C:$U,2+$E96,0)))/1000</f>
        <v>4.4050567987315112</v>
      </c>
      <c r="CM96" s="209">
        <f>(IF(CM$7="X",VLOOKUP(CM$10,'VK-Hooned-Soojus'!$C:$X,2+$C96,FALSE),0)+IF(CM$6="X",VLOOKUP(CM$10,'VK-Transport'!$C:$X,2+$B96,0))+IF(CM$8="X",VLOOKUP(CM$10,'VK-Elekter'!$C:$X,2+$D96,0))+IF(CM$9="X",VLOOKUP(CM$10,'VK-Biokütused'!$C:$U,2+$E96,0))+IF(CM$5="X",VLOOKUP(CM$10,'VK-Põlevkivi'!$C:$X,2+$G96,0))+IF(CM$4="X",VLOOKUP(CM$10,'VK-Võrgud'!$C:$X,2+$F96,0)))/1000</f>
        <v>7.6298313570900955</v>
      </c>
      <c r="CN96" s="209">
        <f>(IF(CN$7="X",VLOOKUP(CN$10,'VK-Hooned-Soojus'!$C:$X,2+$C96,FALSE),0)+IF(CN$6="X",VLOOKUP(CN$10,'VK-Transport'!$C:$X,2+$B96,0))+IF(CN$8="X",VLOOKUP(CN$10,'VK-Elekter'!$C:$X,2+$D96,0))+IF(CN$9="X",VLOOKUP(CN$10,'VK-Biokütused'!$C:$U,2+$E96,0))+IF(CN$5="X",VLOOKUP(CN$10,'VK-Põlevkivi'!$C:$X,2+$G96,0))+IF(CN$4="X",VLOOKUP(CN$10,'VK-Võrgud'!$C:$X,2+$F96,0)))/1000</f>
        <v>2.8980000000000001</v>
      </c>
      <c r="CO96" s="209">
        <f>(IF(CO$7="X",VLOOKUP(CO$10,'VK-Hooned-Soojus'!$C:$X,2+$C96,FALSE),0)+IF(CO$6="X",VLOOKUP(CO$10,'VK-Transport'!$C:$X,2+$B96,0))+IF(CO$8="X",VLOOKUP(CO$10,'VK-Elekter'!$C:$X,2+$D96,0))+IF(CO$9="X",VLOOKUP(CO$10,'VK-Biokütused'!$C:$U,2+$E96,0))+IF(CO$5="X",VLOOKUP(CO$10,'VK-Põlevkivi'!$C:$X,2+$G96,0))+IF(CO$4="X",VLOOKUP(CO$10,'VK-Võrgud'!$C:$X,2+$F96,0)))/1000</f>
        <v>22.61157521079728</v>
      </c>
      <c r="CP96" s="209">
        <f>(IF(CP$7="X",VLOOKUP(CP$10,'VK-Hooned-Soojus'!$C:$X,2+$C96,FALSE),0)+IF(CP$6="X",VLOOKUP(CP$10,'VK-Transport'!$C:$X,2+$B96,0))+IF(CP$8="X",VLOOKUP(CP$10,'VK-Elekter'!$C:$X,2+$D96,0))+IF(CP$9="X",VLOOKUP(CP$10,'VK-Biokütused'!$C:$U,2+$E96,0))+IF(CP$5="X",VLOOKUP(CP$10,'VK-Põlevkivi'!$C:$X,2+$G96,0))+IF(CP$4="X",VLOOKUP(CP$10,'VK-Võrgud'!$C:$X,2+$F96,0)))/1000</f>
        <v>6.6219948303498244</v>
      </c>
      <c r="CQ96" s="235">
        <f>(IF(CQ$7="X",VLOOKUP(CQ$10,'VK-Hooned-Soojus'!$C:$X,2+$C96,FALSE),0)+IF(CQ$6="X",VLOOKUP(CQ$10,'VK-Transport'!$C:$X,2+$B96,0))+IF(CQ$8="X",VLOOKUP(CQ$10,'VK-Elekter'!$C:$X,2+$D96,0))+IF(CQ$9="X",VLOOKUP(CQ$10,'VK-Biokütused'!$C:$U,2+$E96,0)))/1000</f>
        <v>4.9543459999999993</v>
      </c>
      <c r="CR96" s="209">
        <f>(IF(CR$7="X",VLOOKUP(CR$10,'VK-Hooned-Soojus'!$C:$X,2+$C96,FALSE),0)+IF(CR$6="X",VLOOKUP(CR$10,'VK-Transport'!$C:$X,2+$B96,0))+IF(CR$8="X",VLOOKUP(CR$10,'VK-Elekter'!$C:$X,2+$D96,0))+IF(CR$9="X",VLOOKUP(CR$10,'VK-Biokütused'!$C:$U,2+$E96,0))+IF(CR$5="X",VLOOKUP(CR$10,'VK-Põlevkivi'!$C:$X,2+$G96,0))+IF(CR$4="X",VLOOKUP(CR$10,'VK-Võrgud'!$C:$X,2+$F96,0)))/1000</f>
        <v>7.6860872784575749</v>
      </c>
      <c r="CS96" s="209">
        <f>(IF(CS$7="X",VLOOKUP(CS$10,'VK-Hooned-Soojus'!$C:$X,2+$C96,FALSE),0)+IF(CS$6="X",VLOOKUP(CS$10,'VK-Transport'!$C:$X,2+$B96,0))+IF(CS$8="X",VLOOKUP(CS$10,'VK-Elekter'!$C:$X,2+$D96,0))+IF(CS$9="X",VLOOKUP(CS$10,'VK-Biokütused'!$C:$U,2+$E96,0))+IF(CS$5="X",VLOOKUP(CS$10,'VK-Põlevkivi'!$C:$X,2+$G96,0))+IF(CS$4="X",VLOOKUP(CS$10,'VK-Võrgud'!$C:$X,2+$F96,0)))/1000</f>
        <v>3.7943344900598324</v>
      </c>
      <c r="CT96" s="209">
        <f>IF(CT$7="X",VLOOKUP(CT$10,'VK-Hooned-Soojus'!$C:$X,2+$C96,FALSE),0)+IF(CT$6="X",VLOOKUP(CT$10,'VK-Transport'!$C:$X,2+$B96,0))+IF(CT$8="X",VLOOKUP(CT$10,'VK-Elekter'!$C:$X,2+$D96,0))+IF(CT$9="X",VLOOKUP(CT$10,'VK-Biokütused'!$C:$U,2+$E96,0))+IF(CT$5="X",VLOOKUP(CT$10,'VK-Põlevkivi'!$C:$X,2+$G96,0))+IF(CT$4="X",VLOOKUP(CT$10,'VK-Võrgud'!$C:$X,2+$F96,0))</f>
        <v>90</v>
      </c>
      <c r="CU96" s="209">
        <f>IF(CU$7="X",VLOOKUP(CU$10,'VK-Hooned-Soojus'!$C:$X,2+$C96,FALSE),0)+IF(CU$6="X",VLOOKUP(CU$10,'VK-Transport'!$C:$X,2+$B96,0))+IF(CU$8="X",VLOOKUP(CU$10,'VK-Elekter'!$C:$X,2+$D96,0))+IF(CU$9="X",VLOOKUP(CU$10,'VK-Biokütused'!$C:$U,2+$E96,0))+IF(CU$5="X",VLOOKUP(CU$10,'VK-Põlevkivi'!$C:$X,2+$G96,0))+IF(CU$4="X",VLOOKUP(CU$10,'VK-Võrgud'!$C:$X,2+$F96,0))</f>
        <v>0.63390170511534605</v>
      </c>
      <c r="CV96" s="88">
        <f t="shared" si="49"/>
        <v>0.84317482403548605</v>
      </c>
      <c r="CW96" s="209">
        <f>(IF(CW$7="X",VLOOKUP(CW$10,'VK-Hooned-Soojus'!$C:$X,2+$C96,FALSE),0)+IF(CW$6="X",VLOOKUP(CW$10,'VK-Transport'!$C:$X,2+$B96,0))+IF(CW$8="X",VLOOKUP(CW$10,'VK-Elekter'!$C:$X,2+$D96,0))+IF(CW$9="X",VLOOKUP(CW$10,'VK-Biokütused'!$C:$U,2+$E96,0))+IF(CW$5="X",VLOOKUP(CW$10,'VK-Põlevkivi'!$C:$X,2+$G96,0))+IF(CW$4="X",VLOOKUP(CW$10,'VK-Võrgud'!$C:$X,2+$F96,0)))/16</f>
        <v>59.743749999999999</v>
      </c>
      <c r="CY96" s="209">
        <f>(IF(CY$7="X",VLOOKUP(CY$10,'VK-Hooned-Soojus'!$C:$X,2+$C96,FALSE),0)+IF(CY$6="X",VLOOKUP(CY$10,'VK-Transport'!$C:$X,2+$B96,0))+IF(CY$8="X",VLOOKUP(CY$10,'VK-Elekter'!$C:$X,2+$D96,0))+IF(CY$9="X",VLOOKUP(CY$10,'VK-Biokütused'!$C:$U,2+$E96,0))+IF(CY$5="X",VLOOKUP(CY$10,'VK-Põlevkivi'!$C:$X,2+$G96,0))+IF(CY$4="X",VLOOKUP(CY$10,'VK-Võrgud'!$C:$X,2+$F96,0)))/1000</f>
        <v>9.8409999999999993</v>
      </c>
      <c r="CZ96" s="209">
        <f>(IF(CZ$7="X",VLOOKUP(CZ$10,'VK-Hooned-Soojus'!$C:$X,2+$C96,FALSE),0)+IF(CZ$6="X",VLOOKUP(CZ$10,'VK-Transport'!$C:$X,2+$B96,0))+IF(CZ$8="X",VLOOKUP(CZ$10,'VK-Elekter'!$C:$X,2+$D96,0))+IF(CZ$9="X",VLOOKUP(CZ$10,'VK-Biokütused'!$C:$U,2+$E96,0))+IF(CZ$5="X",VLOOKUP(CZ$10,'VK-Põlevkivi'!$C:$X,2+$G96,0))+IF(CZ$4="X",VLOOKUP(CZ$10,'VK-Võrgud'!$C:$X,2+$F96,0)))</f>
        <v>77.400000000000006</v>
      </c>
      <c r="DA96" s="209">
        <f>(IF(DA$7="X",VLOOKUP(DA$10,'VK-Hooned-Soojus'!$C:$X,2+$C96,FALSE),0)+IF(DA$6="X",VLOOKUP(DA$10,'VK-Transport'!$C:$X,2+$B96,0))+IF(DA$8="X",VLOOKUP(DA$10,'VK-Elekter'!$C:$X,2+$D96,0))+IF(DA$9="X",VLOOKUP(DA$10,'VK-Biokütused'!$C:$U,2+$E96,0))+IF(DA$5="X",VLOOKUP(DA$10,'VK-Põlevkivi'!$C:$X,2+$G96,0))+IF(DA$4="X",VLOOKUP(DA$10,'VK-Võrgud'!$C:$X,2+$F96,0)))/1000</f>
        <v>9.766</v>
      </c>
      <c r="DB96" s="209">
        <f>(IF(DB$7="X",VLOOKUP(DB$10,'VK-Hooned-Soojus'!$C:$X,2+$C96,FALSE),0)+IF(DB$6="X",VLOOKUP(DB$10,'VK-Transport'!$C:$X,2+$B96,0))+IF(DB$8="X",VLOOKUP(DB$10,'VK-Elekter'!$C:$X,2+$D96,0))+IF(DB$9="X",VLOOKUP(DB$10,'VK-Biokütused'!$C:$U,2+$E96,0))+IF(DB$5="X",VLOOKUP(DB$10,'VK-Põlevkivi'!$C:$X,2+$G96,0))+IF(DB$4="X",VLOOKUP(DB$10,'VK-Võrgud'!$C:$X,2+$F96,0)))/1000/3.6</f>
        <v>38.56388888888889</v>
      </c>
      <c r="DC96" s="209">
        <f>(IF(DC$7="X",VLOOKUP(DC$10,'VK-Hooned-Soojus'!$C:$X,2+$C96,FALSE),0)+IF(DC$6="X",VLOOKUP(DC$10,'VK-Transport'!$C:$X,2+$B96,0))+IF(DC$8="X",VLOOKUP(DC$10,'VK-Elekter'!$C:$X,2+$D96,0))+IF(DC$9="X",VLOOKUP(DC$10,'VK-Biokütused'!$C:$U,2+$E96,0))+IF(DC$5="X",VLOOKUP(DC$10,'VK-Põlevkivi'!$C:$X,2+$G96,0))+IF(DC$4="X",VLOOKUP(DC$10,'VK-Võrgud'!$C:$X,2+$F96,0)))/1000000</f>
        <v>3.9911159999999999</v>
      </c>
      <c r="DD96" s="209"/>
      <c r="DE96" s="88">
        <f>VLOOKUP(Tulemused!$BN$12,data!M$7:N$12,2,FALSE)-SUM(L96,M96)</f>
        <v>-0.77386666666667736</v>
      </c>
      <c r="DF96" s="209" t="str">
        <f>IF(AZ96&lt;=VLOOKUP(Tulemused!$BN$15,data!$E$36:$F$39,2,FALSE),"JAH","EI")</f>
        <v>JAH</v>
      </c>
      <c r="DG96" s="209"/>
      <c r="DH96" s="209">
        <f t="shared" si="50"/>
        <v>10.67</v>
      </c>
      <c r="DI96" s="231" t="str">
        <f t="shared" si="65"/>
        <v>EI</v>
      </c>
      <c r="DK96" s="232">
        <f t="shared" si="51"/>
        <v>-991.17075202114836</v>
      </c>
      <c r="DM96" s="233">
        <f t="shared" si="52"/>
        <v>-996.03454038155337</v>
      </c>
      <c r="DN96" s="87">
        <f t="array" ref="DN96">INDEX($A$11:$A$145, SMALL(IF(DM96=$DK$11:$DK$145, MATCH(ROW($DK$11:$DK$145), ROW($DK$11:$DK$145))), SUM(--(DM96=$DM$11:DM96))))</f>
        <v>65</v>
      </c>
      <c r="DP96" s="87" t="e">
        <f t="shared" ca="1" si="66"/>
        <v>#N/A</v>
      </c>
      <c r="DQ96" s="87" t="e">
        <f t="shared" ca="1" si="67"/>
        <v>#N/A</v>
      </c>
      <c r="DR96" s="87">
        <f t="shared" ca="1" si="68"/>
        <v>0</v>
      </c>
      <c r="DS96" s="87" t="e">
        <f t="shared" ca="1" si="69"/>
        <v>#N/A</v>
      </c>
      <c r="DT96" s="87">
        <f t="shared" ca="1" si="70"/>
        <v>0</v>
      </c>
      <c r="DU96" s="87" t="e">
        <f t="shared" ca="1" si="71"/>
        <v>#N/A</v>
      </c>
      <c r="DV96" s="87" t="e">
        <f t="shared" ca="1" si="72"/>
        <v>#N/A</v>
      </c>
      <c r="DW96" s="87">
        <f t="shared" ca="1" si="73"/>
        <v>0</v>
      </c>
      <c r="DX96" s="87">
        <f t="shared" ca="1" si="74"/>
        <v>0</v>
      </c>
      <c r="DZ96" s="87">
        <f t="shared" ca="1" si="82"/>
        <v>0</v>
      </c>
      <c r="EB96" s="87">
        <f t="shared" ca="1" si="75"/>
        <v>0</v>
      </c>
      <c r="EC96" s="87" t="e">
        <f t="shared" ca="1" si="76"/>
        <v>#N/A</v>
      </c>
      <c r="EE96" s="228">
        <f>(IF(EE$7="X",VLOOKUP(EE$10,'VK-Hooned-Soojus'!$C:$X,2+$C96,FALSE),0)+IF(EE$6="X",VLOOKUP(EE$10,'VK-Transport'!$C:$X,2+$B96,0))+IF(EE$8="X",VLOOKUP(EE$10,'VK-Elekter'!$C:$X,2+$D96,0))+IF(EE$9="X",VLOOKUP(EE$10,'VK-Biokütused'!$C:$U,2+$E96,0))+IF(EE$5="X",VLOOKUP(EE$10,'VK-Põlevkivi'!$C:$X,2+$G96,0))+IF(EE$4="X",VLOOKUP(EE$10,'VK-Võrgud'!$C:$X,2+$F96,0)))</f>
        <v>8044.3568164098524</v>
      </c>
      <c r="EF96" s="235">
        <f>(IF(EF$7="X",VLOOKUP(EF$10,'VK-Hooned-Soojus'!$C:$X,2+$C96,FALSE),0)+IF(EF$6="X",VLOOKUP(EF$10,'VK-Transport'!$C:$X,2+$B96,0))+IF(EF$8="X",VLOOKUP(EF$10,'VK-Elekter'!$C:$X,2+$D96,0))+IF(EF$9="X",VLOOKUP(EF$10,'VK-Biokütused'!$C:$U,2+$E96,0)))/1000</f>
        <v>3.0813823271229701</v>
      </c>
      <c r="EG96" s="209">
        <f>(IF(EG$7="X",VLOOKUP(EG$10,'VK-Hooned-Soojus'!$C:$X,2+$C96,FALSE),0)+IF(EG$6="X",VLOOKUP(EG$10,'VK-Transport'!$C:$X,2+$B96,0))+IF(EG$8="X",VLOOKUP(EG$10,'VK-Elekter'!$C:$X,2+$D96,0))+IF(EG$9="X",VLOOKUP(EG$10,'VK-Biokütused'!$C:$U,2+$E96,0))+IF(EG$5="X",VLOOKUP(EG$10,'VK-Põlevkivi'!$C:$X,2+$G96,0))+IF(EG$4="X",VLOOKUP(EG$10,'VK-Võrgud'!$C:$X,2+$F96,0)))</f>
        <v>0.81</v>
      </c>
      <c r="EH96" s="209">
        <f>(IF(EH$7="X",VLOOKUP(EH$10,'VK-Hooned-Soojus'!$C:$X,2+$C96,FALSE),0)+IF(EH$6="X",VLOOKUP(EH$10,'VK-Transport'!$C:$X,2+$B96,0))+IF(EH$8="X",VLOOKUP(EH$10,'VK-Elekter'!$C:$X,2+$D96,0))+IF(EH$9="X",VLOOKUP(EH$10,'VK-Biokütused'!$C:$U,2+$E96,0)))+AR96+AS96+AU96+AX96</f>
        <v>42.459434507632331</v>
      </c>
      <c r="EI96" s="320">
        <f t="shared" si="53"/>
        <v>42.044166666666669</v>
      </c>
      <c r="EJ96" s="322">
        <f t="shared" si="54"/>
        <v>2.3391437578713474E-2</v>
      </c>
      <c r="EK96" s="323">
        <f t="shared" si="77"/>
        <v>0.49544473229417074</v>
      </c>
      <c r="EM96" s="209"/>
      <c r="EN96" s="209">
        <f t="shared" ca="1" si="55"/>
        <v>0</v>
      </c>
      <c r="EO96" s="209"/>
      <c r="EP96" s="234"/>
      <c r="EQ96" s="209">
        <f>(IF(EQ$7="X",VLOOKUP(EQ$10,'VK-Hooned-Soojus'!$C:$X,2+$C96,FALSE),0)+IF(EQ$6="X",VLOOKUP(EQ$10,'VK-Transport'!$C:$X,2+$B96,0))+IF(EQ$8="X",VLOOKUP(EQ$10,'VK-Elekter'!$C:$X,2+$D96,0))+IF(EQ$9="X",VLOOKUP(EQ$10,'VK-Biokütused'!$C:$U,2+$E96,0))+IF(EQ$5="X",VLOOKUP(EQ$10,'VK-Põlevkivi'!$C:$X,2+$G96,0))+IF(EQ$4="X",VLOOKUP(EQ$10,'VK-Võrgud'!$C:$X,2+$F96,0)))/1000</f>
        <v>0.19900000000000001</v>
      </c>
      <c r="ER96" s="209">
        <f>(IF(ER$7="X",VLOOKUP(ER$10,'VK-Hooned-Soojus'!$C:$X,2+$C96,FALSE),0)+IF(ER$6="X",VLOOKUP(ER$10,'VK-Transport'!$C:$X,2+$B96,0))+IF(ER$8="X",VLOOKUP(ER$10,'VK-Elekter'!$C:$X,2+$D96,0))+IF(ER$9="X",VLOOKUP(ER$10,'VK-Biokütused'!$C:$U,2+$E96,0))+IF(ER$5="X",VLOOKUP(ER$10,'VK-Põlevkivi'!$C:$X,2+$G96,0))+IF(ER$4="X",VLOOKUP(ER$10,'VK-Võrgud'!$C:$X,2+$F96,0)))</f>
        <v>0.72299999999999998</v>
      </c>
      <c r="ES96" s="209">
        <f>(IF(ES$7="X",VLOOKUP(ES$10,'VK-Hooned-Soojus'!$C:$X,2+$C96,FALSE),0)+IF(ES$6="X",VLOOKUP(ES$10,'VK-Transport'!$C:$X,2+$B96,0))+IF(ES$8="X",VLOOKUP(ES$10,'VK-Elekter'!$C:$X,2+$D96,0))+IF(ES$9="X",VLOOKUP(ES$10,'VK-Biokütused'!$C:$U,2+$E96,0))+IF(ES$5="X",VLOOKUP(ES$10,'VK-Põlevkivi'!$C:$X,2+$G96,0))+IF(ES$4="X",VLOOKUP(ES$10,'VK-Võrgud'!$C:$X,2+$F96,0)))</f>
        <v>10.67</v>
      </c>
      <c r="ET96" s="209"/>
      <c r="EU96" s="209"/>
      <c r="EV96" s="87">
        <f>'KSH järjestus'!AS89</f>
        <v>977</v>
      </c>
      <c r="EX96" s="236"/>
      <c r="EY96" s="236"/>
      <c r="EZ96" s="237">
        <f t="shared" si="56"/>
        <v>0.36609829488465395</v>
      </c>
      <c r="FA96" s="209">
        <f>IF(FA$7="X",VLOOKUP(FA$10,'VK-Hooned-Soojus'!$C:$X,2+$C96,FALSE),0)+IF(FA$6="X",VLOOKUP(FA$10,'VK-Transport'!$C:$X,2+$B96,0))+IF(FA$8="X",VLOOKUP(FA$10,'VK-Elekter'!$C:$X,2+$D96,0))+IF(FA$9="X",VLOOKUP(FA$10,'VK-Biokütused'!$C:$U,2+$E96,0))+IF(FA$5="X",VLOOKUP(FA$10,'VK-Põlevkivi'!$C:$X,2+$G96,0))+IF(FA$4="X",VLOOKUP(FA$10,'VK-Võrgud'!$C:$X,2+$F96,0))</f>
        <v>3221.346</v>
      </c>
      <c r="FB96" s="279">
        <f>(IF(FB$7="X",VLOOKUP(FB$10,'VK-Hooned-Soojus'!$C:$X,2+$C96,FALSE),0)+IF(FB$6="X",VLOOKUP(FB$10,'VK-Transport'!$C:$X,2+$B96,0))+IF(FB$8="X",VLOOKUP(FB$10,'VK-Elekter'!$C:$X,2+$D96,0))+IF(FB$9="X",VLOOKUP(FB$10,'VK-Biokütused'!$C:$U,2+$E96,0))+IF(FB$5="X",VLOOKUP(FB$10,'VK-Põlevkivi'!$C:$X,2+$G96,0))+IF(FB$4="X",VLOOKUP(FB$10,'VK-Võrgud'!$C:$X,2+$F96,0)))/16</f>
        <v>391.10754054108628</v>
      </c>
      <c r="FC96" s="209">
        <f>IF(FC$7="X",VLOOKUP(FC$10,'VK-Hooned-Soojus'!$C:$X,2+$C96,FALSE),0)+IF(FC$6="X",VLOOKUP(FC$10,'VK-Transport'!$C:$X,2+$B96,0))+IF(FC$8="X",VLOOKUP(FC$10,'VK-Elekter'!$C:$X,2+$D96,0))+IF(FC$9="X",VLOOKUP(FC$10,'VK-Biokütused'!$C:$U,2+$E96,0))+IF(FC$5="X",VLOOKUP(FC$10,'VK-Põlevkivi'!$C:$X,2+$G96,0))+IF(FC$4="X",VLOOKUP(FC$10,'VK-Võrgud'!$C:$X,2+$F96,0))</f>
        <v>297.14999999999998</v>
      </c>
      <c r="FD96" s="209">
        <f>(IF(FD$7="X",VLOOKUP(FD$10,'VK-Hooned-Soojus'!$C:$X,2+$C96,FALSE),0)+IF(FD$6="X",VLOOKUP(FD$10,'VK-Transport'!$C:$X,2+$B96,0))+IF(FD$8="X",VLOOKUP(FD$10,'VK-Elekter'!$C:$X,2+$D96,0))+IF(FD$9="X",VLOOKUP(FD$10,'VK-Biokütused'!$C:$U,2+$E96,0))+IF(FD$5="X",VLOOKUP(FD$10,'VK-Põlevkivi'!$C:$X,2+$G96,0))+IF(FD$4="X",VLOOKUP(FD$10,'VK-Võrgud'!$C:$X,2+$F96,0)))/16</f>
        <v>391.10754054108628</v>
      </c>
      <c r="FE96" s="209">
        <f>(IF(FE$7="X",VLOOKUP(FE$10,'VK-Hooned-Soojus'!$C:$X,2+$C96,FALSE),0)+IF(FE$6="X",VLOOKUP(FE$10,'VK-Transport'!$C:$X,2+$B96,0))+IF(FE$8="X",VLOOKUP(FE$10,'VK-Elekter'!$C:$X,2+$D96,0))+IF(FE$9="X",VLOOKUP(FE$10,'VK-Biokütused'!$C:$U,2+$E96,0))+IF(FE$5="X",VLOOKUP(FE$10,'VK-Põlevkivi'!$C:$X,2+$G96,0))+IF(FE$4="X",VLOOKUP(FE$10,'VK-Võrgud'!$C:$X,2+$F96,0)))/16</f>
        <v>-162.7344698806321</v>
      </c>
      <c r="FF96" s="209">
        <f>(IF(FF$7="X",VLOOKUP(FF$10,'VK-Hooned-Soojus'!$C:$X,2+$C96,FALSE),0)+IF(FF$6="X",VLOOKUP(FF$10,'VK-Transport'!$C:$X,2+$B96,0))+IF(FF$8="X",VLOOKUP(FF$10,'VK-Elekter'!$C:$X,2+$D96,0))+IF(FF$9="X",VLOOKUP(FF$10,'VK-Biokütused'!$C:$U,2+$E96,0))+IF(FF$5="X",VLOOKUP(FF$10,'VK-Põlevkivi'!$C:$X,2+$G96,0))+IF(FF$4="X",VLOOKUP(FF$10,'VK-Võrgud'!$C:$X,2+$F96,0)))/16</f>
        <v>171.70187869509454</v>
      </c>
      <c r="FG96" s="88">
        <f t="shared" ca="1" si="78"/>
        <v>8.9674088144624307</v>
      </c>
      <c r="FH96" s="88"/>
      <c r="FI96" s="88"/>
      <c r="FJ96" s="88">
        <f>VLOOKUP(Tulemused!$BN$12,data!M$7:N$12,2,FALSE)-SUM(L96,M96)</f>
        <v>-0.77386666666667736</v>
      </c>
      <c r="FK96" s="209" t="str">
        <f>IF(AZ96&lt;=VLOOKUP(Tulemused!$BN$15,data!$E$36:$F$39,2,FALSE),"JAH","EI")</f>
        <v>JAH</v>
      </c>
      <c r="FL96" s="235">
        <f ca="1">IF(ISNA(MATCH($A96,INDIRECT(VLOOKUP(Tulemused!$BF$11,data!$J$57:$M$71,4,FALSE)))),0,MATCH($A96,INDIRECT(VLOOKUP(Tulemused!$BF$11,data!$J$57:$M$71,4,FALSE))))</f>
        <v>0</v>
      </c>
      <c r="FM96" s="235" t="str">
        <f t="shared" ca="1" si="57"/>
        <v>JAH</v>
      </c>
      <c r="FN96" s="209">
        <f>VLOOKUP(Tulemused!$BN$13,data!$C$132:$D$137,2,FALSE)-KOMBI!R96</f>
        <v>3.4690876728770306</v>
      </c>
      <c r="FO96" s="209"/>
      <c r="FP96" s="209">
        <f>VLOOKUP(Tulemused!$BN$17,NO_x,2,FALSE)-CJ96</f>
        <v>12.391278206757182</v>
      </c>
      <c r="FQ96" s="209">
        <f>VLOOKUP(Tulemused!$BN$18,SO_2,2,FALSE)-CK96</f>
        <v>45.875054537227363</v>
      </c>
      <c r="FR96" s="209">
        <f>VLOOKUP(Tulemused!$BN$19,LOU,2,FALSE)-CN96</f>
        <v>34.182000000000002</v>
      </c>
      <c r="FS96" s="209">
        <f>VLOOKUP(Tulemused!$BN$20,PM_2.5,2,FALSE)-CM96</f>
        <v>9.2851686429099036</v>
      </c>
      <c r="FT96" s="209">
        <f>VLOOKUP(Tulemused!$BN$13,data!$C$132:$D$137,2,FALSE)-FA96/1000</f>
        <v>3.0246240000000006</v>
      </c>
      <c r="FU96" s="209">
        <f>VLOOKUP(Tulemused!$BN$17,NO_x,2,FALSE)-CO96</f>
        <v>6.8264247892027186</v>
      </c>
      <c r="FV96" s="209">
        <f>VLOOKUP(Tulemused!$BN$18,SO_2,2,FALSE)-CP96</f>
        <v>45.262005169650173</v>
      </c>
      <c r="FW96" s="209">
        <f>VLOOKUP(Tulemused!$BN$19,LOU,2,FALSE)-CS96</f>
        <v>33.285665509940173</v>
      </c>
      <c r="FX96" s="209">
        <f>VLOOKUP(Tulemused!$BN$20,PM_2.5,2,FALSE)-CR96</f>
        <v>9.2289127215424251</v>
      </c>
      <c r="FY96" s="209">
        <f>VLOOKUP(Tulemused!$BN$14,KHG_2050,2,FALSE)-EF96</f>
        <v>96.918617672877033</v>
      </c>
      <c r="FZ96" s="231" t="str">
        <f t="shared" ca="1" si="79"/>
        <v>EI</v>
      </c>
      <c r="GA96" s="209"/>
      <c r="GB96" s="209"/>
      <c r="GC96" s="209"/>
      <c r="GD96" s="231"/>
      <c r="GE96" s="87">
        <f t="shared" si="58"/>
        <v>977</v>
      </c>
      <c r="GF96" s="232" t="str">
        <f t="shared" ca="1" si="80"/>
        <v/>
      </c>
      <c r="GH96" s="238" t="e">
        <f t="shared" ca="1" si="59"/>
        <v>#NUM!</v>
      </c>
      <c r="GI96" s="87" t="e">
        <f t="array" aca="1" ref="GI96" ca="1">INDEX($A$11:$A$145, SMALL(IF(GH96=$GF$11:$GF$145, MATCH(ROW($GF$11:$GF$145), ROW($GF$11:$GF$145))), SUM(--(GH96=$GH$11:GH96))))</f>
        <v>#NUM!</v>
      </c>
      <c r="GM96" s="209">
        <f>IF(GM$7="X",VLOOKUP(GM$10,'VK-Hooned-Soojus'!$C:$X,2+$C96,FALSE),0)+IF(GM$6="X",VLOOKUP(GM$10,'VK-Transport'!$C:$X,2+$B96,0))+IF(GM$8="X",VLOOKUP(GM$10,'VK-Elekter'!$C:$X,2+$D96,0))+IF(GM$9="X",VLOOKUP(GM$10,'VK-Biokütused'!$C:$U,2+$E96,0))+IF(GM$5="X",VLOOKUP(GM$10,'VK-Põlevkivi'!$C:$X,2+$G96,0))+IF(GM$4="X",VLOOKUP(GM$10,'VK-Võrgud'!$C:$X,2+$F96,0))</f>
        <v>0</v>
      </c>
      <c r="GN96" s="209">
        <f>IF(GN$7="X",VLOOKUP(GN$10,'VK-Hooned-Soojus'!$C:$X,2+$C96,FALSE),0)+IF(GN$6="X",VLOOKUP(GN$10,'VK-Transport'!$C:$X,2+$B96,0))+IF(GN$8="X",VLOOKUP(GN$10,'VK-Elekter'!$C:$X,2+$D96,0))+IF(GN$9="X",VLOOKUP(GN$10,'VK-Biokütused'!$C:$U,2+$E96,0))+IF(GN$5="X",VLOOKUP(GN$10,'VK-Põlevkivi'!$C:$X,2+$G96,0))+IF(GN$4="X",VLOOKUP(GN$10,'VK-Võrgud'!$C:$X,2+$F96,0))</f>
        <v>7.5434676424145266</v>
      </c>
      <c r="GO96" s="209">
        <f>IF(GO$7="X",VLOOKUP(GO$10,'VK-Hooned-Soojus'!$C:$X,2+$C96,FALSE),0)+IF(GO$6="X",VLOOKUP(GO$10,'VK-Transport'!$C:$X,2+$B96,0))+IF(GO$8="X",VLOOKUP(GO$10,'VK-Elekter'!$C:$X,2+$D96,0))+IF(GO$9="X",VLOOKUP(GO$10,'VK-Biokütused'!$C:$U,2+$E96,0))+IF(GO$5="X",VLOOKUP(GO$10,'VK-Põlevkivi'!$C:$X,2+$G96,0))+IF(GO$4="X",VLOOKUP(GO$10,'VK-Võrgud'!$C:$X,2+$F96,0))</f>
        <v>7.5763700102722566</v>
      </c>
      <c r="GP96" s="209">
        <f>IF(GP$7="X",VLOOKUP(GP$10,'VK-Hooned-Soojus'!$C:$X,2+$C96,FALSE),0)+IF(GP$6="X",VLOOKUP(GP$10,'VK-Transport'!$C:$X,2+$B96,0))+IF(GP$8="X",VLOOKUP(GP$10,'VK-Elekter'!$C:$X,2+$D96,0))+IF(GP$9="X",VLOOKUP(GP$10,'VK-Biokütused'!$C:$U,2+$E96,0))+IF(GP$5="X",VLOOKUP(GP$10,'VK-Põlevkivi'!$C:$X,2+$G96,0))+IF(GP$4="X",VLOOKUP(GP$10,'VK-Võrgud'!$C:$X,2+$F96,0))</f>
        <v>8.9326558040707589</v>
      </c>
      <c r="GQ96" s="88">
        <f>IF(GQ$7="X",VLOOKUP(GQ$10,'VK-Hooned-Soojus'!$C:$X,2+$C96,FALSE),0)+IF(GQ$6="X",VLOOKUP(GQ$10,'VK-Transport'!$C:$X,2+$B96,0))+IF(GQ$8="X",VLOOKUP(GQ$10,'VK-Elekter'!$C:$X,2+$D96,0))+IF(GQ$9="X",VLOOKUP(GQ$10,'VK-Biokütused'!$C:$U,2+$E96,0))+IF(GQ$5="X",VLOOKUP(GQ$10,'VK-Põlevkivi'!$C:$X,2+$G96,0))+IF(GQ$4="X",VLOOKUP(GQ$10,'VK-Võrgud'!$C:$X,2+$F96,0))</f>
        <v>0.90618397335647782</v>
      </c>
      <c r="GR96" s="186">
        <f t="shared" si="81"/>
        <v>0.51722795337755689</v>
      </c>
    </row>
    <row r="97" spans="1:200" x14ac:dyDescent="0.2">
      <c r="A97" s="184">
        <v>87</v>
      </c>
      <c r="B97" s="87">
        <v>2</v>
      </c>
      <c r="C97" s="87">
        <v>3</v>
      </c>
      <c r="D97" s="87">
        <v>4</v>
      </c>
      <c r="E97" s="87">
        <v>3</v>
      </c>
      <c r="F97" s="87">
        <f>VLOOKUP(Tulemused!$BF$7,data!$J$6:$K$8,2,FALSE)</f>
        <v>2</v>
      </c>
      <c r="G97" s="87">
        <f>VLOOKUP(data!$H$2,data!$J$12:$K$14,2,FALSE)</f>
        <v>2</v>
      </c>
      <c r="I97" s="209">
        <f>IF(I$7="X",VLOOKUP(I$10,'VK-Hooned-Soojus'!$C:$X,2+$C97,FALSE),0)+IF(I$6="X",VLOOKUP(I$10,'VK-Transport'!$C:$X,2+$B97,0))+IF(I$8="X",VLOOKUP(I$10,'VK-Elekter'!$C:$X,2+$D97,0))+IF(I$9="X",VLOOKUP(I$10,'VK-Biokütused'!$C:$U,2+$E97,0))+IF(I$5="X",VLOOKUP(I$10,'VK-Põlevkivi'!$C:$X,2+$G97,0))+IF(I$4="X",VLOOKUP(I$10,'VK-Võrgud'!$C:$X,2+$F97,0))</f>
        <v>23.490000000000002</v>
      </c>
      <c r="J97" s="209">
        <f>IF(J$7="X",VLOOKUP(J$10,'VK-Hooned-Soojus'!$C:$X,2+$C97,FALSE),0)+IF(J$6="X",VLOOKUP(J$10,'VK-Transport'!$C:$X,2+$B97,0))+IF(J$8="X",VLOOKUP(J$10,'VK-Elekter'!$C:$X,2+$D97,0))+IF(J$9="X",VLOOKUP(J$10,'VK-Biokütused'!$C:$U,2+$E97,0))+IF(J$5="X",VLOOKUP(J$10,'VK-Põlevkivi'!$C:$X,2+$G97,0))+IF(J$4="X",VLOOKUP(J$10,'VK-Võrgud'!$C:$X,2+$F97,0))</f>
        <v>11.138055555555555</v>
      </c>
      <c r="K97" s="209">
        <f>IF(K$7="X",VLOOKUP(K$10,'VK-Hooned-Soojus'!$C:$X,2+$C97,FALSE),0)+IF(K$6="X",VLOOKUP(K$10,'VK-Transport'!$C:$X,2+$B97,0))+IF(K$8="X",VLOOKUP(K$10,'VK-Elekter'!$C:$X,2+$D97,0))+IF(K$9="X",VLOOKUP(K$10,'VK-Biokütused'!$C:$U,2+$E97,0))+IF(K$5="X",VLOOKUP(K$10,'VK-Põlevkivi'!$C:$X,2+$G97,0))+IF(K$4="X",VLOOKUP(K$10,'VK-Võrgud'!$C:$X,2+$F97,0))</f>
        <v>13.780000000000001</v>
      </c>
      <c r="L97" s="209">
        <f>IF(L$7="X",VLOOKUP(L$10,'VK-Hooned-Soojus'!$C:$X,2+$C97,FALSE),0)+IF(L$6="X",VLOOKUP(L$10,'VK-Transport'!$C:$X,2+$B97,0))+IF(L$8="X",VLOOKUP(L$10,'VK-Elekter'!$C:$X,2+$D97,0))+IF(L$9="X",VLOOKUP(L$10,'VK-Biokütused'!$C:$U,2+$E97,0))+IF(L$5="X",VLOOKUP(L$10,'VK-Põlevkivi'!$C:$X,2+$G97,0))+IF(L$4="X",VLOOKUP(L$10,'VK-Võrgud'!$C:$X,2+$F97,0))</f>
        <v>23.75</v>
      </c>
      <c r="M97" s="209">
        <f>IF(M$7="X",VLOOKUP(M$10,'VK-Hooned-Soojus'!$C:$X,2+$C97,FALSE),0)+IF(M$6="X",VLOOKUP(M$10,'VK-Transport'!$C:$X,2+$B97,0))+IF(M$8="X",VLOOKUP(M$10,'VK-Elekter'!$C:$X,2+$D97,0))+IF(M$9="X",VLOOKUP(M$10,'VK-Biokütused'!$C:$U,2+$E97,0))+IF(M$5="X",VLOOKUP(M$10,'VK-Põlevkivi'!$C:$X,2+$G97,0))+IF(M$4="X",VLOOKUP(M$10,'VK-Võrgud'!$C:$X,2+$F97,0))</f>
        <v>9.8566666666666674</v>
      </c>
      <c r="N97" s="209">
        <f>IF(N$7="X",VLOOKUP(N$10,'VK-Hooned-Soojus'!$C:$X,2+$C97,FALSE),0)+IF(N$6="X",VLOOKUP(N$10,'VK-Transport'!$C:$X,2+$B97,0))+IF(N$8="X",VLOOKUP(N$10,'VK-Elekter'!$C:$X,2+$D97,0))+IF(N$9="X",VLOOKUP(N$10,'VK-Biokütused'!$C:$U,2+$E97,0))+IF(N$5="X",VLOOKUP(N$10,'VK-Põlevkivi'!$C:$X,2+$G97,0))+IF(N$4="X",VLOOKUP(N$10,'VK-Võrgud'!$C:$X,2+$F97,0))</f>
        <v>15.25</v>
      </c>
      <c r="O97" s="209">
        <f t="shared" si="60"/>
        <v>34.628055555555555</v>
      </c>
      <c r="P97" s="209"/>
      <c r="Q97" s="209">
        <f>(IF(Q$7="X",VLOOKUP(Q$10,'VK-Hooned-Soojus'!$C:$X,2+$C97,FALSE),0)+IF(Q$6="X",VLOOKUP(Q$10,'VK-Transport'!$C:$X,2+$B97,0))+IF(Q$8="X",VLOOKUP(Q$10,'VK-Elekter'!$C:$X,2+$D97,0))+IF(Q$9="X",VLOOKUP(Q$10,'VK-Biokütused'!$C:$U,2+$E97,0))+IF(Q$5="X",VLOOKUP(Q$10,'VK-Põlevkivi'!$C:$X,2+$G97,0))+IF(Q$4="X",VLOOKUP(Q$10,'VK-Võrgud'!$C:$X,2+$F97,0)))/1000</f>
        <v>1.177</v>
      </c>
      <c r="R97" s="209">
        <f>(IF(R$7="X",VLOOKUP(R$10,'VK-Hooned-Soojus'!$C:$X,2+$C97,FALSE),0)+IF(R$6="X",VLOOKUP(R$10,'VK-Transport'!$C:$X,2+$B97,0))+IF(R$8="X",VLOOKUP(R$10,'VK-Elekter'!$C:$X,2+$D97,0))+IF(R$9="X",VLOOKUP(R$10,'VK-Biokütused'!$C:$U,2+$E97,0))+IF(R$5="X",VLOOKUP(R$10,'VK-Põlevkivi'!$C:$X,2+$G97,0))+IF(R$4="X",VLOOKUP(R$10,'VK-Võrgud'!$C:$X,2+$F97,0)))/1000</f>
        <v>2.98558232712297</v>
      </c>
      <c r="S97" s="226">
        <f>VLOOKUP(S$10,'VK-Hooned-Soojus'!$C:$I,2+$C97,FALSE) + VLOOKUP(S$10,'VK-Transport'!$C:$I,2+$B97,FALSE)+ VLOOKUP(S$10,'VK-Biokütused'!$C:$G,2+$E97,FALSE)+ VLOOKUP(S$10,'VK-Elekter'!$C:$I,2+$D97,FALSE)+ VLOOKUP(S$10,'VK-Põlevkivi'!$C:$I,2+$G97,FALSE)+ VLOOKUP(S$10,'VK-Võrgud'!$C:$I,2+$F97,FALSE)</f>
        <v>1.988846641673624E-2</v>
      </c>
      <c r="T97" s="226">
        <f>VLOOKUP(T$10,'VK-Hooned-Soojus'!$C:$I,2+$C97,FALSE) + VLOOKUP(T$10,'VK-Transport'!$C:$I,2+$B97,FALSE)+ VLOOKUP(T$10,'VK-Biokütused'!$C:$G,2+$E97,FALSE)+ VLOOKUP(T$10,'VK-Elekter'!$C:$I,2+$D97,FALSE)+ VLOOKUP(T$10,'VK-Põlevkivi'!$C:$I,2+$G97,FALSE)+ VLOOKUP(T$10,'VK-Võrgud'!$C:$I,2+$F97,FALSE)</f>
        <v>-2.162258204355207E-3</v>
      </c>
      <c r="U97" s="226">
        <f>VLOOKUP(U$10,'VK-Hooned-Soojus'!$C:$I,2+$C97,FALSE) + VLOOKUP(U$10,'VK-Transport'!$C:$I,2+$B97,FALSE)+ VLOOKUP(U$10,'VK-Biokütused'!$C:$G,2+$E97,FALSE)+ VLOOKUP(U$10,'VK-Elekter'!$C:$I,2+$D97,FALSE)+ VLOOKUP(U$10,'VK-Põlevkivi'!$C:$I,2+$G97,FALSE)+ VLOOKUP(U$10,'VK-Võrgud'!$C:$I,2+$F97,FALSE)</f>
        <v>2.1315385745516724E-3</v>
      </c>
      <c r="V97" s="226">
        <f>VLOOKUP(V$10,'VK-Hooned-Soojus'!$C:$I,2+$C97,FALSE) + VLOOKUP(V$10,'VK-Transport'!$C:$I,2+$B97,FALSE)+ VLOOKUP(V$10,'VK-Biokütused'!$C:$G,2+$E97,FALSE)+ VLOOKUP(V$10,'VK-Elekter'!$C:$I,2+$D97,FALSE)+ VLOOKUP(V$10,'VK-Põlevkivi'!$C:$I,2+$G97,FALSE)+ VLOOKUP(V$10,'VK-Võrgud'!$C:$I,2+$F97,FALSE)</f>
        <v>1.791500396792426E-2</v>
      </c>
      <c r="W97" s="226">
        <f>VLOOKUP(W$10,'VK-Hooned-Soojus'!$C:$I,2+$C97,FALSE) + VLOOKUP(W$10,'VK-Transport'!$C:$I,2+$B97,FALSE)+ VLOOKUP(W$10,'VK-Biokütused'!$C:$G,2+$E97,FALSE)+ VLOOKUP(W$10,'VK-Elekter'!$C:$I,2+$D97,FALSE)+ VLOOKUP(W$10,'VK-Põlevkivi'!$C:$I,2+$G97,FALSE)+ VLOOKUP(W$10,'VK-Võrgud'!$C:$I,2+$F97,FALSE)</f>
        <v>-4.9590816421071604E-2</v>
      </c>
      <c r="X97" s="226">
        <f>VLOOKUP(X$10,'VK-Hooned-Soojus'!$C:$I,2+$C97,FALSE) + VLOOKUP(X$10,'VK-Transport'!$C:$I,2+$B97,FALSE)+ VLOOKUP(X$10,'VK-Biokütused'!$C:$G,2+$E97,FALSE)+ VLOOKUP(X$10,'VK-Elekter'!$C:$I,2+$D97,FALSE)+ VLOOKUP(X$10,'VK-Põlevkivi'!$C:$I,2+$G97,FALSE)+ VLOOKUP(X$10,'VK-Võrgud'!$C:$I,2+$F97,FALSE)</f>
        <v>-0.17706160021153791</v>
      </c>
      <c r="Y97" s="226">
        <f>VLOOKUP(Y$10,'VK-Hooned-Soojus'!$C:$I,2+$C97,FALSE) + VLOOKUP(Y$10,'VK-Transport'!$C:$I,2+$B97,FALSE)+ VLOOKUP(Y$10,'VK-Biokütused'!$C:$G,2+$E97,FALSE)+ VLOOKUP(Y$10,'VK-Elekter'!$C:$I,2+$D97,FALSE)+ VLOOKUP(Y$10,'VK-Põlevkivi'!$C:$I,2+$G97,FALSE)+ VLOOKUP(Y$10,'VK-Võrgud'!$C:$I,2+$F97,FALSE)</f>
        <v>-0.10373429581114225</v>
      </c>
      <c r="Z97" s="227">
        <f>(S97*Tulemused!$Q$9*10+T97*Tulemused!$Q$10*10+KOMBI!U97*Tulemused!$Q$11*10+KOMBI!V97*Tulemused!$Q$12*10)*Tulemused!$Q$8+-(W97*Tulemused!$Q$14*10+KOMBI!X97*Tulemused!$Q$15*10+KOMBI!Y97*Tulemused!$Q$16*10)*Tulemused!$Q$13</f>
        <v>9.7343477010932205</v>
      </c>
      <c r="AA97" s="228">
        <f>(IF(AA$7="X",VLOOKUP(AA$10,'VK-Hooned-Soojus'!$C:$X,2+$C97,FALSE),0)+IF(AA$6="X",VLOOKUP(AA$10,'VK-Transport'!$C:$X,2+$B97,0))+IF(AA$8="X",VLOOKUP(AA$10,'VK-Elekter'!$C:$X,2+$D97,0))+IF(AA$9="X",VLOOKUP(AA$10,'VK-Biokütused'!$C:$U,2+$E97,0))+IF(AA$5="X",VLOOKUP(AA$10,'VK-Põlevkivi'!$C:$X,2+$G97,0))+IF(AA$4="X",VLOOKUP(AA$10,'VK-Võrgud'!$C:$X,2+$F97,0)))</f>
        <v>0</v>
      </c>
      <c r="AB97" s="228">
        <f>(IF(AB$7="X",VLOOKUP(AB$10,'VK-Hooned-Soojus'!$C:$X,2+$C97,FALSE),0)+IF(AB$6="X",VLOOKUP(AB$10,'VK-Transport'!$C:$X,2+$B97,0))+IF(AB$8="X",VLOOKUP(AB$10,'VK-Elekter'!$C:$X,2+$D97,0))+IF(AB$9="X",VLOOKUP(AB$10,'VK-Biokütused'!$C:$U,2+$E97,0))+IF(AB$5="X",VLOOKUP(AB$10,'VK-Põlevkivi'!$C:$X,2+$G97,0))+IF(AB$4="X",VLOOKUP(AB$10,'VK-Võrgud'!$C:$X,2+$F97,0)))</f>
        <v>1177</v>
      </c>
      <c r="AC97" s="228">
        <f>(IF(AC$7="X",VLOOKUP(AC$10,'VK-Hooned-Soojus'!$C:$X,2+$C97,FALSE),0)+IF(AC$6="X",VLOOKUP(AC$10,'VK-Transport'!$C:$X,2+$B97,0))+IF(AC$8="X",VLOOKUP(AC$10,'VK-Elekter'!$C:$X,2+$D97,0))+IF(AC$9="X",VLOOKUP(AC$10,'VK-Biokütused'!$C:$U,2+$E97,0))+IF(AC$5="X",VLOOKUP(AC$10,'VK-Põlevkivi'!$C:$X,2+$G97,0))+IF(AC$4="X",VLOOKUP(AC$10,'VK-Võrgud'!$C:$X,2+$F97,0)))</f>
        <v>2346</v>
      </c>
      <c r="AD97" s="228">
        <f>(IF(AD$7="X",VLOOKUP(AD$10,'VK-Hooned-Soojus'!$C:$X,2+$C97,FALSE),0)+IF(AD$6="X",VLOOKUP(AD$10,'VK-Transport'!$C:$X,2+$B97,0))+IF(AD$8="X",VLOOKUP(AD$10,'VK-Elekter'!$C:$X,2+$D97,0))+IF(AD$9="X",VLOOKUP(AD$10,'VK-Biokütused'!$C:$U,2+$E97,0))+IF(AD$5="X",VLOOKUP(AD$10,'VK-Põlevkivi'!$C:$X,2+$G97,0))+IF(AD$4="X",VLOOKUP(AD$10,'VK-Võrgud'!$C:$X,2+$F97,0)))</f>
        <v>586.20000000000005</v>
      </c>
      <c r="AE97" s="228">
        <f>(IF(AE$7="X",VLOOKUP(AE$10,'VK-Hooned-Soojus'!$C:$X,2+$C97,FALSE),0)+IF(AE$6="X",VLOOKUP(AE$10,'VK-Transport'!$C:$X,2+$B97,0))+IF(AE$8="X",VLOOKUP(AE$10,'VK-Elekter'!$C:$X,2+$D97,0))+IF(AE$9="X",VLOOKUP(AE$10,'VK-Biokütused'!$C:$U,2+$E97,0))+IF(AE$5="X",VLOOKUP(AE$10,'VK-Põlevkivi'!$C:$X,2+$G97,0))+IF(AE$4="X",VLOOKUP(AE$10,'VK-Võrgud'!$C:$X,2+$F97,0)))</f>
        <v>507</v>
      </c>
      <c r="AF97" s="228">
        <f>(IF(AF$7="X",VLOOKUP(AF$10,'VK-Hooned-Soojus'!$C:$X,2+$C97,FALSE),0)+IF(AF$6="X",VLOOKUP(AF$10,'VK-Transport'!$C:$X,2+$B97,0))+IF(AF$8="X",VLOOKUP(AF$10,'VK-Elekter'!$C:$X,2+$D97,0))+IF(AF$9="X",VLOOKUP(AF$10,'VK-Biokütused'!$C:$U,2+$E97,0))+IF(AF$5="X",VLOOKUP(AF$10,'VK-Põlevkivi'!$C:$X,2+$G97,0))+IF(AF$4="X",VLOOKUP(AF$10,'VK-Võrgud'!$C:$X,2+$F97,0)))</f>
        <v>1892.3823271229701</v>
      </c>
      <c r="AG97" s="209"/>
      <c r="AH97" s="209">
        <f>IF(AH$7="X",VLOOKUP(AH$10,'VK-Hooned-Soojus'!$C:$X,2+$C97,FALSE),0)+IF(AH$6="X",VLOOKUP(AH$10,'VK-Transport'!$C:$X,2+$B97,0))+IF(AH$8="X",VLOOKUP(AH$10,'VK-Elekter'!$C:$X,2+$D97,0))+IF(AH$9="X",VLOOKUP(AH$10,'VK-Biokütused'!$C:$U,2+$E97,0))+IF(AH$5="X",VLOOKUP(AH$10,'VK-Põlevkivi'!$C:$X,2+$G97,0))+IF(AH$4="X",VLOOKUP(AH$10,'VK-Võrgud'!$C:$X,2+$F97,0))</f>
        <v>0</v>
      </c>
      <c r="AI97" s="209">
        <f>IF(AI$7="X",VLOOKUP(AI$10,'VK-Hooned-Soojus'!$C:$X,2+$C97,FALSE),0)+IF(AI$6="X",VLOOKUP(AI$10,'VK-Transport'!$C:$X,2+$B97,0))+IF(AI$8="X",VLOOKUP(AI$10,'VK-Elekter'!$C:$X,2+$D97,0))+IF(AI$9="X",VLOOKUP(AI$10,'VK-Biokütused'!$C:$U,2+$E97,0))+IF(AI$5="X",VLOOKUP(AI$10,'VK-Põlevkivi'!$C:$X,2+$G97,0))+IF(AI$4="X",VLOOKUP(AI$10,'VK-Võrgud'!$C:$X,2+$F97,0))</f>
        <v>11.489999999999998</v>
      </c>
      <c r="AJ97" s="209">
        <f>IF(AJ$7="X",VLOOKUP(AJ$10,'VK-Hooned-Soojus'!$C:$X,2+$C97,FALSE),0)+IF(AJ$6="X",VLOOKUP(AJ$10,'VK-Transport'!$C:$X,2+$B97,0))+IF(AJ$8="X",VLOOKUP(AJ$10,'VK-Elekter'!$C:$X,2+$D97,0))+IF(AJ$9="X",VLOOKUP(AJ$10,'VK-Biokütused'!$C:$U,2+$E97,0))+IF(AJ$5="X",VLOOKUP(AJ$10,'VK-Põlevkivi'!$C:$X,2+$G97,0))+IF(AJ$4="X",VLOOKUP(AJ$10,'VK-Võrgud'!$C:$X,2+$F97,0))</f>
        <v>0</v>
      </c>
      <c r="AK97" s="209">
        <f>IF(AK$7="X",VLOOKUP(AK$10,'VK-Hooned-Soojus'!$C:$X,2+$C97,FALSE),0)+IF(AK$6="X",VLOOKUP(AK$10,'VK-Transport'!$C:$X,2+$B97,0))+IF(AK$8="X",VLOOKUP(AK$10,'VK-Elekter'!$C:$X,2+$D97,0))+IF(AK$9="X",VLOOKUP(AK$10,'VK-Biokütused'!$C:$U,2+$E97,0))+IF(AK$5="X",VLOOKUP(AK$10,'VK-Põlevkivi'!$C:$X,2+$G97,0))+IF(AK$4="X",VLOOKUP(AK$10,'VK-Võrgud'!$C:$X,2+$F97,0))</f>
        <v>3.65</v>
      </c>
      <c r="AL97" s="209">
        <f>IF(AL$7="X",VLOOKUP(AL$10,'VK-Hooned-Soojus'!$C:$X,2+$C97,FALSE),0)+IF(AL$6="X",VLOOKUP(AL$10,'VK-Transport'!$C:$X,2+$B97,0))+IF(AL$8="X",VLOOKUP(AL$10,'VK-Elekter'!$C:$X,2+$D97,0))+IF(AL$9="X",VLOOKUP(AL$10,'VK-Biokütused'!$C:$U,2+$E97,0))+IF(AL$5="X",VLOOKUP(AL$10,'VK-Põlevkivi'!$C:$X,2+$G97,0))+IF(AL$4="X",VLOOKUP(AL$10,'VK-Võrgud'!$C:$X,2+$F97,0))</f>
        <v>7.1</v>
      </c>
      <c r="AM97" s="209">
        <f>IF(AM$7="X",VLOOKUP(AM$10,'VK-Hooned-Soojus'!$C:$X,2+$C97,FALSE),0)+IF(AM$6="X",VLOOKUP(AM$10,'VK-Transport'!$C:$X,2+$B97,0))+IF(AM$8="X",VLOOKUP(AM$10,'VK-Elekter'!$C:$X,2+$D97,0))+IF(AM$9="X",VLOOKUP(AM$10,'VK-Biokütused'!$C:$U,2+$E97,0))+IF(AM$5="X",VLOOKUP(AM$10,'VK-Põlevkivi'!$C:$X,2+$G97,0))+IF(AM$4="X",VLOOKUP(AM$10,'VK-Võrgud'!$C:$X,2+$F97,0))</f>
        <v>11.5</v>
      </c>
      <c r="AN97" s="209">
        <f>IF(AN$7="X",VLOOKUP(AN$10,'VK-Hooned-Soojus'!$C:$X,2+$C97,FALSE),0)+IF(AN$6="X",VLOOKUP(AN$10,'VK-Transport'!$C:$X,2+$B97,0))+IF(AN$8="X",VLOOKUP(AN$10,'VK-Elekter'!$C:$X,2+$D97,0))+IF(AN$9="X",VLOOKUP(AN$10,'VK-Biokütused'!$C:$U,2+$E97,0))+IF(AN$5="X",VLOOKUP(AN$10,'VK-Põlevkivi'!$C:$X,2+$G97,0))+IF(AN$4="X",VLOOKUP(AN$10,'VK-Võrgud'!$C:$X,2+$F97,0))</f>
        <v>4.0999999999999996</v>
      </c>
      <c r="AO97" s="209">
        <f>IF(AO$7="X",VLOOKUP(AO$10,'VK-Hooned-Soojus'!$C:$X,2+$C97,FALSE),0)+IF(AO$6="X",VLOOKUP(AO$10,'VK-Transport'!$C:$X,2+$B97,0))+IF(AO$8="X",VLOOKUP(AO$10,'VK-Elekter'!$C:$X,2+$D97,0))+IF(AO$9="X",VLOOKUP(AO$10,'VK-Biokütused'!$C:$U,2+$E97,0))+IF(AO$5="X",VLOOKUP(AO$10,'VK-Põlevkivi'!$C:$X,2+$G97,0))+IF(AO$4="X",VLOOKUP(AO$10,'VK-Võrgud'!$C:$X,2+$F97,0))</f>
        <v>21.34</v>
      </c>
      <c r="AP97" s="209">
        <f>IF(AP$7="X",VLOOKUP(AP$10,'VK-Hooned-Soojus'!$C:$X,2+$C97,FALSE),0)+IF(AP$6="X",VLOOKUP(AP$10,'VK-Transport'!$C:$X,2+$B97,0))+IF(AP$8="X",VLOOKUP(AP$10,'VK-Elekter'!$C:$X,2+$D97,0))+IF(AP$9="X",VLOOKUP(AP$10,'VK-Biokütused'!$C:$U,2+$E97,0))+IF(AP$5="X",VLOOKUP(AP$10,'VK-Põlevkivi'!$C:$X,2+$G97,0))+IF(AP$4="X",VLOOKUP(AP$10,'VK-Võrgud'!$C:$X,2+$F97,0))</f>
        <v>10.67</v>
      </c>
      <c r="AQ97" s="320">
        <f t="shared" si="61"/>
        <v>9.0399999999999991</v>
      </c>
      <c r="AR97" s="209">
        <f>IF(AR$7="X",VLOOKUP(AR$10,'VK-Hooned-Soojus'!$C:$X,2+$C97,FALSE),0)+IF(AR$6="X",VLOOKUP(AR$10,'VK-Transport'!$C:$X,2+$B97,0))+IF(AR$8="X",VLOOKUP(AR$10,'VK-Elekter'!$C:$X,2+$D97,0))+IF(AR$9="X",VLOOKUP(AR$10,'VK-Biokütused'!$C:$U,2+$E97,0))+IF(AR$5="X",VLOOKUP(AR$10,'VK-Põlevkivi'!$C:$X,2+$G97,0))+IF(AR$4="X",VLOOKUP(AR$10,'VK-Võrgud'!$C:$X,2+$F97,0))</f>
        <v>0</v>
      </c>
      <c r="AS97" s="320">
        <f>VLOOKUP("Kütuste tarbimine @ 2030 - UTTEGAAS",'VK-Hooned-Soojus'!$C:$X,2+$C97,FALSE)/0.172+VLOOKUP("Kütuste tarbimine @ 2030 - UTTEGAAS",'VK-Elekter'!$C:$X,2+$D97,FALSE)/0.172-AR97-AU97</f>
        <v>0</v>
      </c>
      <c r="AT97" s="209">
        <f>IF(AT$7="X",VLOOKUP(AT$10,'VK-Hooned-Soojus'!$C:$X,2+$C97,FALSE),0)+IF(AT$6="X",VLOOKUP(AT$10,'VK-Transport'!$C:$X,2+$B97,0))+IF(AT$8="X",VLOOKUP(AT$10,'VK-Elekter'!$C:$X,2+$D97,0))+IF(AT$9="X",VLOOKUP(AT$10,'VK-Biokütused'!$C:$U,2+$E97,0))+IF(AT$5="X",VLOOKUP(AT$10,'VK-Põlevkivi'!$C:$X,2+$G97,0))+IF(AT$4="X",VLOOKUP(AT$10,'VK-Võrgud'!$C:$X,2+$F97,0))</f>
        <v>9.2784458909544707</v>
      </c>
      <c r="AU97" s="229">
        <f>MAX(0,(VLOOKUP("Kütuste tarbimine @ 2030 - UTTEGAAS",'VK-Hooned-Soojus'!$C:$X,2+$C97,FALSE)/0.172+VLOOKUP("Kütuste tarbimine @ 2030 - UTTEGAAS",'VK-Elekter'!$C:$X,2+$D97,FALSE)/0.172)*0.52-VLOOKUP("Kütuste tarbimine @ 2030 - PÕLEVKIVIÕLI",'VK-Hooned-Soojus'!$C:$X,2+$C97,FALSE))</f>
        <v>0</v>
      </c>
      <c r="AV97" s="209">
        <f>IF(AV$7="X",VLOOKUP(AV$10,'VK-Hooned-Soojus'!$C:$X,2+$C97,FALSE),0)+IF(AV$6="X",VLOOKUP(AV$10,'VK-Transport'!$C:$X,2+$B97,0))+IF(AV$8="X",VLOOKUP(AV$10,'VK-Elekter'!$C:$X,2+$D97,0))+IF(AV$9="X",VLOOKUP(AV$10,'VK-Biokütused'!$C:$U,2+$E97,0))+IF(AV$5="X",VLOOKUP(AV$10,'VK-Põlevkivi'!$C:$X,2+$G97,0))+IF(AV$4="X",VLOOKUP(AV$10,'VK-Võrgud'!$C:$X,2+$F97,0))</f>
        <v>1.7257321590343366</v>
      </c>
      <c r="AW97" s="209">
        <f>IF(AW$7="X",VLOOKUP(AW$10,'VK-Hooned-Soojus'!$C:$X,2+$C97,FALSE),0)+IF(AW$6="X",VLOOKUP(AW$10,'VK-Transport'!$C:$X,2+$B97,0))+IF(AW$8="X",VLOOKUP(AW$10,'VK-Elekter'!$C:$X,2+$D97,0))+IF(AW$9="X",VLOOKUP(AW$10,'VK-Biokütused'!$C:$U,2+$E97,0))+IF(AW$5="X",VLOOKUP(AW$10,'VK-Põlevkivi'!$C:$X,2+$G97,0))+IF(AW$4="X",VLOOKUP(AW$10,'VK-Võrgud'!$C:$X,2+$F97,0))</f>
        <v>4.2799999999999994</v>
      </c>
      <c r="AX97" s="229">
        <f t="shared" si="62"/>
        <v>2.5542678409656627</v>
      </c>
      <c r="AY97" s="229">
        <f t="shared" si="63"/>
        <v>0</v>
      </c>
      <c r="AZ97" s="230">
        <f t="shared" si="48"/>
        <v>0.62002527241482897</v>
      </c>
      <c r="BA97" s="209">
        <f>IF(BA$7="X",VLOOKUP(BA$10,'VK-Hooned-Soojus'!$C:$X,2+$C97,FALSE),0)+IF(BA$6="X",VLOOKUP(BA$10,'VK-Transport'!$C:$X,2+$B97,0))+IF(BA$8="X",VLOOKUP(BA$10,'VK-Elekter'!$C:$X,2+$D97,0))+IF(BA$9="X",VLOOKUP(BA$10,'VK-Biokütused'!$C:$U,2+$E97,0))+IF(BA$5="X",VLOOKUP(BA$10,'VK-Põlevkivi'!$C:$X,2+$G97,0))+IF(BA$4="X",VLOOKUP(BA$10,'VK-Võrgud'!$C:$X,2+$F97,0))</f>
        <v>0</v>
      </c>
      <c r="BB97" s="209">
        <f>IF(BB$7="X",VLOOKUP(BB$10,'VK-Hooned-Soojus'!$C:$X,2+$C97,FALSE),0)+IF(BB$6="X",VLOOKUP(BB$10,'VK-Transport'!$C:$X,2+$B97,0))+IF(BB$8="X",VLOOKUP(BB$10,'VK-Elekter'!$C:$X,2+$D97,0))+IF(BB$9="X",VLOOKUP(BB$10,'VK-Biokütused'!$C:$U,2+$E97,0))+IF(BB$5="X",VLOOKUP(BB$10,'VK-Põlevkivi'!$C:$X,2+$G97,0))+IF(BB$4="X",VLOOKUP(BB$10,'VK-Võrgud'!$C:$X,2+$F97,0))</f>
        <v>6.32</v>
      </c>
      <c r="BC97" s="209">
        <f>IF(BC$7="X",VLOOKUP(BC$10,'VK-Hooned-Soojus'!$C:$X,2+$C97,FALSE),0)+IF(BC$6="X",VLOOKUP(BC$10,'VK-Transport'!$C:$X,2+$B97,0))+IF(BC$8="X",VLOOKUP(BC$10,'VK-Elekter'!$C:$X,2+$D97,0))+IF(BC$9="X",VLOOKUP(BC$10,'VK-Biokütused'!$C:$U,2+$E97,0))+IF(BC$5="X",VLOOKUP(BC$10,'VK-Põlevkivi'!$C:$X,2+$G97,0))+IF(BC$4="X",VLOOKUP(BC$10,'VK-Võrgud'!$C:$X,2+$F97,0))</f>
        <v>5.2376666666666667</v>
      </c>
      <c r="BD97" s="209">
        <f>IF(BD$7="X",VLOOKUP(BD$10,'VK-Hooned-Soojus'!$C:$X,2+$C97,FALSE),0)+IF(BD$6="X",VLOOKUP(BD$10,'VK-Transport'!$C:$X,2+$B97,0))+IF(BD$8="X",VLOOKUP(BD$10,'VK-Elekter'!$C:$X,2+$D97,0))+IF(BD$9="X",VLOOKUP(BD$10,'VK-Biokütused'!$C:$U,2+$E97,0))+IF(BD$5="X",VLOOKUP(BD$10,'VK-Põlevkivi'!$C:$X,2+$G97,0))+IF(BD$4="X",VLOOKUP(BD$10,'VK-Võrgud'!$C:$X,2+$F97,0))</f>
        <v>9.1105555555555569</v>
      </c>
      <c r="BE97" s="230"/>
      <c r="BF97" s="229">
        <f t="shared" si="64"/>
        <v>0.58785163599471191</v>
      </c>
      <c r="BG97" s="209" t="e">
        <f>(IF(BG$7="X",VLOOKUP(BG$10,'VK-Hooned-Soojus'!$C:$X,2+$C97,FALSE),0)+IF(BG$6="X",VLOOKUP(BG$10,'VK-Transport'!$C:$X,2+$B97,0))+IF(BG$8="X",VLOOKUP(BG$10,'VK-Elekter'!$C:$X,2+$D97,0))+IF(BG$9="X",VLOOKUP(BG$10,'VK-Biokütused'!$C:$U,2+$E97,0))+IF(BG$5="X",VLOOKUP(BG$10,'VK-Põlevkivi'!$C:$X,2+$G97,0))+IF(BG$4="X",VLOOKUP(BG$10,'VK-Võrgud'!$C:$X,2+$F97,0)))/20</f>
        <v>#N/A</v>
      </c>
      <c r="BH97" s="209">
        <f>(IF(BH$7="X",VLOOKUP(BH$10,'VK-Hooned-Soojus'!$C:$X,2+$C97,FALSE),0)+IF(BH$6="X",VLOOKUP(BH$10,'VK-Transport'!$C:$X,2+$B97,0))+IF(BH$8="X",VLOOKUP(BH$10,'VK-Elekter'!$C:$X,2+$D97,0))+IF(BH$9="X",VLOOKUP(BH$10,'VK-Biokütused'!$C:$U,2+$E97,0))+IF(BH$5="X",VLOOKUP(BH$10,'VK-Põlevkivi'!$C:$X,2+$G97,0))+IF(BH$4="X",VLOOKUP(BH$10,'VK-Võrgud'!$C:$X,2+$F97,0)))/20</f>
        <v>84.204999999999998</v>
      </c>
      <c r="BI97" s="209">
        <f>(IF(BI$7="X",VLOOKUP(BI$10,'VK-Hooned-Soojus'!$C:$X,2+$C97,FALSE),0)+IF(BI$6="X",VLOOKUP(BI$10,'VK-Transport'!$C:$X,2+$B97,0))+IF(BI$8="X",VLOOKUP(BI$10,'VK-Elekter'!$C:$X,2+$D97,0))+IF(BI$9="X",VLOOKUP(BI$10,'VK-Biokütused'!$C:$U,2+$E97,0))+IF(BI$5="X",VLOOKUP(BI$10,'VK-Põlevkivi'!$C:$X,2+$G97,0))+IF(BI$4="X",VLOOKUP(BI$10,'VK-Võrgud'!$C:$X,2+$F97,0)))/16</f>
        <v>8.9375</v>
      </c>
      <c r="BJ97" s="209">
        <f>(IF(BJ$7="X",VLOOKUP(BJ$10,'VK-Hooned-Soojus'!$C:$X,2+$C97,FALSE),0)+IF(BJ$6="X",VLOOKUP(BJ$10,'VK-Transport'!$C:$X,2+$B97,0))+IF(BJ$8="X",VLOOKUP(BJ$10,'VK-Elekter'!$C:$X,2+$D97,0))+IF(BJ$9="X",VLOOKUP(BJ$10,'VK-Biokütused'!$C:$U,2+$E97,0))+IF(BJ$5="X",VLOOKUP(BJ$10,'VK-Põlevkivi'!$C:$X,2+$G97,0))+IF(BJ$4="X",VLOOKUP(BJ$10,'VK-Võrgud'!$C:$X,2+$F97,0)))/20</f>
        <v>5.33</v>
      </c>
      <c r="BK97" s="209"/>
      <c r="BL97" s="209"/>
      <c r="BM97" s="209"/>
      <c r="BN97" s="209" t="e">
        <f>(IF(BN$7="X",VLOOKUP(BN$10,'VK-Hooned-Soojus'!$C:$X,2+$C97,FALSE),0)+IF(BN$6="X",VLOOKUP(BN$10,'VK-Transport'!$C:$X,2+$B97,0))+IF(BN$8="X",VLOOKUP(BN$10,'VK-Elekter'!$C:$X,2+$D97,0))+IF(BN$9="X",VLOOKUP(BN$10,'VK-Biokütused'!$C:$U,2+$E97,0))+IF(BN$5="X",VLOOKUP(BN$10,'VK-Põlevkivi'!$C:$X,2+$G97,0))+IF(BN$4="X",VLOOKUP(BN$10,'VK-Võrgud'!$C:$X,2+$F97,0)))/16</f>
        <v>#N/A</v>
      </c>
      <c r="BO97" s="209">
        <f>(IF(BO$7="X",VLOOKUP(BO$10,'VK-Hooned-Soojus'!$C:$X,2+$C97,FALSE),0)+IF(BO$6="X",VLOOKUP(BO$10,'VK-Transport'!$C:$X,2+$B97,0))+IF(BO$8="X",VLOOKUP(BO$10,'VK-Elekter'!$C:$X,2+$D97,0))+IF(BO$9="X",VLOOKUP(BO$10,'VK-Biokütused'!$C:$U,2+$E97,0))+IF(BO$5="X",VLOOKUP(BO$10,'VK-Põlevkivi'!$C:$X,2+$G97,0))+IF(BO$4="X",VLOOKUP(BO$10,'VK-Võrgud'!$C:$X,2+$F97,0)))/16</f>
        <v>405.45</v>
      </c>
      <c r="BP97" s="209"/>
      <c r="BQ97" s="209">
        <f>(IF(BQ$7="X",VLOOKUP(BQ$10,'VK-Hooned-Soojus'!$C:$X,2+$C97,FALSE),0)+IF(BQ$6="X",VLOOKUP(BQ$10,'VK-Transport'!$C:$X,2+$B97,0))+IF(BQ$8="X",VLOOKUP(BQ$10,'VK-Elekter'!$C:$X,2+$D97,0))+IF(BQ$9="X",VLOOKUP(BQ$10,'VK-Biokütused'!$C:$U,2+$E97,0))+IF(BQ$5="X",VLOOKUP(BQ$10,'VK-Põlevkivi'!$C:$X,2+$G97,0))+IF(BQ$4="X",VLOOKUP(BQ$10,'VK-Võrgud'!$C:$X,2+$F97,0)))/16</f>
        <v>127.6</v>
      </c>
      <c r="BR97" s="209">
        <f>(IF(BR$7="X",VLOOKUP(BR$10,'VK-Hooned-Soojus'!$C:$X,2+$C97,FALSE),0)+IF(BR$6="X",VLOOKUP(BR$10,'VK-Transport'!$C:$X,2+$B97,0))+IF(BR$8="X",VLOOKUP(BR$10,'VK-Elekter'!$C:$X,2+$D97,0))+IF(BR$9="X",VLOOKUP(BR$10,'VK-Biokütused'!$C:$U,2+$E97,0))+IF(BR$5="X",VLOOKUP(BR$10,'VK-Põlevkivi'!$C:$X,2+$G97,0))+IF(BR$4="X",VLOOKUP(BR$10,'VK-Võrgud'!$C:$X,2+$F97,0)))/16</f>
        <v>27.475000000000001</v>
      </c>
      <c r="BS97" s="209">
        <f>(IF(BS$7="X",VLOOKUP(BS$10,'VK-Hooned-Soojus'!$C:$X,2+$C97,FALSE),0)+IF(BS$6="X",VLOOKUP(BS$10,'VK-Transport'!$C:$X,2+$B97,0))+IF(BS$8="X",VLOOKUP(BS$10,'VK-Elekter'!$C:$X,2+$D97,0))+IF(BS$9="X",VLOOKUP(BS$10,'VK-Biokütused'!$C:$U,2+$E97,0))+IF(BS$5="X",VLOOKUP(BS$10,'VK-Põlevkivi'!$C:$X,2+$G97,0))+IF(BS$4="X",VLOOKUP(BS$10,'VK-Võrgud'!$C:$X,2+$F97,0)))/16</f>
        <v>-23.293749999999999</v>
      </c>
      <c r="BT97" s="209"/>
      <c r="BU97" s="209"/>
      <c r="BV97" s="209">
        <f>(IF(BV$7="X",VLOOKUP(BV$10,'VK-Hooned-Soojus'!$C:$X,2+$C97,FALSE),0)+IF(BV$6="X",VLOOKUP(BV$10,'VK-Transport'!$C:$X,2+$B97,0))+IF(BV$8="X",VLOOKUP(BV$10,'VK-Elekter'!$C:$X,2+$D97,0))+IF(BV$9="X",VLOOKUP(BV$10,'VK-Biokütused'!$C:$U,2+$E97,0))+IF(BV$5="X",VLOOKUP(BV$10,'VK-Põlevkivi'!$C:$X,2+$G97,0))+IF(BV$4="X",VLOOKUP(BV$10,'VK-Võrgud'!$C:$X,2+$F97,0)))/16</f>
        <v>0</v>
      </c>
      <c r="BW97" s="209"/>
      <c r="BX97" s="209">
        <f>(IF(BX$7="X",VLOOKUP(BX$10,'VK-Hooned-Soojus'!$C:$X,2+$C97,FALSE),0)+IF(BX$6="X",VLOOKUP(BX$10,'VK-Transport'!$C:$X,2+$B97,0))+IF(BX$8="X",VLOOKUP(BX$10,'VK-Elekter'!$C:$X,2+$D97,0))+IF(BX$9="X",VLOOKUP(BX$10,'VK-Biokütused'!$C:$U,2+$E97,0))+IF(BX$5="X",VLOOKUP(BX$10,'VK-Põlevkivi'!$C:$X,2+$G97,0))+IF(BX$4="X",VLOOKUP(BX$10,'VK-Võrgud'!$C:$X,2+$F97,0)))/16</f>
        <v>-19.25</v>
      </c>
      <c r="BY97" s="209"/>
      <c r="BZ97" s="209"/>
      <c r="CA97" s="209" t="e">
        <f>(IF(CA$7="X",VLOOKUP(CA$10,'VK-Hooned-Soojus'!$C:$X,2+$C97,FALSE),0)+IF(CA$6="X",VLOOKUP(CA$10,'VK-Transport'!$C:$X,2+$B97,0))+IF(CA$8="X",VLOOKUP(CA$10,'VK-Elekter'!$C:$X,2+$D97,0))+IF(CA$9="X",VLOOKUP(CA$10,'VK-Biokütused'!$C:$U,2+$E97,0))+IF(CA$5="X",VLOOKUP(CA$10,'VK-Põlevkivi'!$C:$X,2+$G97,0))+IF(CA$4="X",VLOOKUP(CA$10,'VK-Võrgud'!$C:$X,2+$F97,0)))/16</f>
        <v>#N/A</v>
      </c>
      <c r="CB97" s="209">
        <f>(IF(CB$7="X",VLOOKUP(CB$10,'VK-Hooned-Soojus'!$C:$X,2+$C97,FALSE),0)+IF(CB$6="X",VLOOKUP(CB$10,'VK-Transport'!$C:$X,2+$B97,0))+IF(CB$8="X",VLOOKUP(CB$10,'VK-Elekter'!$C:$X,2+$D97,0))+IF(CB$9="X",VLOOKUP(CB$10,'VK-Biokütused'!$C:$U,2+$E97,0))+IF(CB$5="X",VLOOKUP(CB$10,'VK-Põlevkivi'!$C:$X,2+$G97,0))+IF(CB$4="X",VLOOKUP(CB$10,'VK-Võrgud'!$C:$X,2+$F97,0)))/16</f>
        <v>0</v>
      </c>
      <c r="CC97" s="209">
        <f>(IF(CC$7="X",VLOOKUP(CC$10,'VK-Hooned-Soojus'!$C:$X,2+$C97,FALSE),0)+IF(CC$6="X",VLOOKUP(CC$10,'VK-Transport'!$C:$X,2+$B97,0))+IF(CC$8="X",VLOOKUP(CC$10,'VK-Elekter'!$C:$X,2+$D97,0))+IF(CC$9="X",VLOOKUP(CC$10,'VK-Biokütused'!$C:$U,2+$E97,0))+IF(CC$5="X",VLOOKUP(CC$10,'VK-Põlevkivi'!$C:$X,2+$G97,0))+IF(CC$4="X",VLOOKUP(CC$10,'VK-Võrgud'!$C:$X,2+$F97,0)))/16</f>
        <v>0</v>
      </c>
      <c r="CD97" s="209"/>
      <c r="CE97" s="209">
        <f>(IF(CE$7="X",VLOOKUP(CE$10,'VK-Hooned-Soojus'!$C:$X,2+$C97,FALSE),0)+IF(CE$6="X",VLOOKUP(CE$10,'VK-Transport'!$C:$X,2+$B97,0))+IF(CE$8="X",VLOOKUP(CE$10,'VK-Elekter'!$C:$X,2+$D97,0))+IF(CE$9="X",VLOOKUP(CE$10,'VK-Biokütused'!$C:$U,2+$E97,0))+IF(CE$5="X",VLOOKUP(CE$10,'VK-Põlevkivi'!$C:$X,2+$G97,0))+IF(CE$4="X",VLOOKUP(CE$10,'VK-Võrgud'!$C:$X,2+$F97,0)))/16</f>
        <v>24.15625</v>
      </c>
      <c r="CF97" s="209"/>
      <c r="CG97" s="209">
        <f>(IF(CG$7="X",VLOOKUP(CG$10,'VK-Hooned-Soojus'!$C:$X,2+$C97,FALSE),0)+IF(CG$6="X",VLOOKUP(CG$10,'VK-Transport'!$C:$X,2+$B97,0))+IF(CG$8="X",VLOOKUP(CG$10,'VK-Elekter'!$C:$X,2+$D97,0))+IF(CG$9="X",VLOOKUP(CG$10,'VK-Biokütused'!$C:$U,2+$E97,0))+IF(CG$5="X",VLOOKUP(CG$10,'VK-Põlevkivi'!$C:$X,2+$G97,0))+IF(CG$4="X",VLOOKUP(CG$10,'VK-Võrgud'!$C:$X,2+$F97,0)))/16</f>
        <v>0</v>
      </c>
      <c r="CH97" s="209">
        <f>(IF(CH$7="X",VLOOKUP(CH$10,'VK-Hooned-Soojus'!$C:$X,2+$C97,FALSE),0)+IF(CH$6="X",VLOOKUP(CH$10,'VK-Transport'!$C:$X,2+$B97,0))+IF(CH$8="X",VLOOKUP(CH$10,'VK-Elekter'!$C:$X,2+$D97,0))+IF(CH$9="X",VLOOKUP(CH$10,'VK-Biokütused'!$C:$U,2+$E97,0))+IF(CH$5="X",VLOOKUP(CH$10,'VK-Põlevkivi'!$C:$X,2+$G97,0))+IF(CH$4="X",VLOOKUP(CH$10,'VK-Võrgud'!$C:$X,2+$F97,0)))/20*0.21</f>
        <v>26.9178</v>
      </c>
      <c r="CI97" s="209"/>
      <c r="CJ97" s="209">
        <f>(IF(CJ$7="X",VLOOKUP(CJ$10,'VK-Hooned-Soojus'!$C:$X,2+$C97,FALSE),0)+IF(CJ$6="X",VLOOKUP(CJ$10,'VK-Transport'!$C:$X,2+$B97,0))+IF(CJ$8="X",VLOOKUP(CJ$10,'VK-Elekter'!$C:$X,2+$D97,0))+IF(CJ$9="X",VLOOKUP(CJ$10,'VK-Biokütused'!$C:$U,2+$E97,0))+IF(CJ$5="X",VLOOKUP(CJ$10,'VK-Põlevkivi'!$C:$X,2+$G97,0))+IF(CJ$4="X",VLOOKUP(CJ$10,'VK-Võrgud'!$C:$X,2+$F97,0)))/1000</f>
        <v>17.046721793242817</v>
      </c>
      <c r="CK97" s="209">
        <f>(IF(CK$7="X",VLOOKUP(CK$10,'VK-Hooned-Soojus'!$C:$X,2+$C97,FALSE),0)+IF(CK$6="X",VLOOKUP(CK$10,'VK-Transport'!$C:$X,2+$B97,0))+IF(CK$8="X",VLOOKUP(CK$10,'VK-Elekter'!$C:$X,2+$D97,0))+IF(CK$9="X",VLOOKUP(CK$10,'VK-Biokütused'!$C:$U,2+$E97,0))+IF(CK$5="X",VLOOKUP(CK$10,'VK-Põlevkivi'!$C:$X,2+$G97,0))+IF(CK$4="X",VLOOKUP(CK$10,'VK-Võrgud'!$C:$X,2+$F97,0)))/1000</f>
        <v>6.0089454627726342</v>
      </c>
      <c r="CL97" s="235">
        <f>(IF(CL$7="X",VLOOKUP(CL$10,'VK-Hooned-Soojus'!$C:$X,2+$C97,FALSE),0)+IF(CL$6="X",VLOOKUP(CL$10,'VK-Transport'!$C:$X,2+$B97,0))+IF(CL$8="X",VLOOKUP(CL$10,'VK-Elekter'!$C:$X,2+$D97,0))+IF(CL$9="X",VLOOKUP(CL$10,'VK-Biokütused'!$C:$U,2+$E97,0)))/1000</f>
        <v>4.4050567987315112</v>
      </c>
      <c r="CM97" s="209">
        <f>(IF(CM$7="X",VLOOKUP(CM$10,'VK-Hooned-Soojus'!$C:$X,2+$C97,FALSE),0)+IF(CM$6="X",VLOOKUP(CM$10,'VK-Transport'!$C:$X,2+$B97,0))+IF(CM$8="X",VLOOKUP(CM$10,'VK-Elekter'!$C:$X,2+$D97,0))+IF(CM$9="X",VLOOKUP(CM$10,'VK-Biokütused'!$C:$U,2+$E97,0))+IF(CM$5="X",VLOOKUP(CM$10,'VK-Põlevkivi'!$C:$X,2+$G97,0))+IF(CM$4="X",VLOOKUP(CM$10,'VK-Võrgud'!$C:$X,2+$F97,0)))/1000</f>
        <v>7.6298313570900955</v>
      </c>
      <c r="CN97" s="209">
        <f>(IF(CN$7="X",VLOOKUP(CN$10,'VK-Hooned-Soojus'!$C:$X,2+$C97,FALSE),0)+IF(CN$6="X",VLOOKUP(CN$10,'VK-Transport'!$C:$X,2+$B97,0))+IF(CN$8="X",VLOOKUP(CN$10,'VK-Elekter'!$C:$X,2+$D97,0))+IF(CN$9="X",VLOOKUP(CN$10,'VK-Biokütused'!$C:$U,2+$E97,0))+IF(CN$5="X",VLOOKUP(CN$10,'VK-Põlevkivi'!$C:$X,2+$G97,0))+IF(CN$4="X",VLOOKUP(CN$10,'VK-Võrgud'!$C:$X,2+$F97,0)))/1000</f>
        <v>2.8980000000000001</v>
      </c>
      <c r="CO97" s="209">
        <f>(IF(CO$7="X",VLOOKUP(CO$10,'VK-Hooned-Soojus'!$C:$X,2+$C97,FALSE),0)+IF(CO$6="X",VLOOKUP(CO$10,'VK-Transport'!$C:$X,2+$B97,0))+IF(CO$8="X",VLOOKUP(CO$10,'VK-Elekter'!$C:$X,2+$D97,0))+IF(CO$9="X",VLOOKUP(CO$10,'VK-Biokütused'!$C:$U,2+$E97,0))+IF(CO$5="X",VLOOKUP(CO$10,'VK-Põlevkivi'!$C:$X,2+$G97,0))+IF(CO$4="X",VLOOKUP(CO$10,'VK-Võrgud'!$C:$X,2+$F97,0)))/1000</f>
        <v>22.61157521079728</v>
      </c>
      <c r="CP97" s="209">
        <f>(IF(CP$7="X",VLOOKUP(CP$10,'VK-Hooned-Soojus'!$C:$X,2+$C97,FALSE),0)+IF(CP$6="X",VLOOKUP(CP$10,'VK-Transport'!$C:$X,2+$B97,0))+IF(CP$8="X",VLOOKUP(CP$10,'VK-Elekter'!$C:$X,2+$D97,0))+IF(CP$9="X",VLOOKUP(CP$10,'VK-Biokütused'!$C:$U,2+$E97,0))+IF(CP$5="X",VLOOKUP(CP$10,'VK-Põlevkivi'!$C:$X,2+$G97,0))+IF(CP$4="X",VLOOKUP(CP$10,'VK-Võrgud'!$C:$X,2+$F97,0)))/1000</f>
        <v>6.6219948303498244</v>
      </c>
      <c r="CQ97" s="235">
        <f>(IF(CQ$7="X",VLOOKUP(CQ$10,'VK-Hooned-Soojus'!$C:$X,2+$C97,FALSE),0)+IF(CQ$6="X",VLOOKUP(CQ$10,'VK-Transport'!$C:$X,2+$B97,0))+IF(CQ$8="X",VLOOKUP(CQ$10,'VK-Elekter'!$C:$X,2+$D97,0))+IF(CQ$9="X",VLOOKUP(CQ$10,'VK-Biokütused'!$C:$U,2+$E97,0)))/1000</f>
        <v>4.9543459999999993</v>
      </c>
      <c r="CR97" s="209">
        <f>(IF(CR$7="X",VLOOKUP(CR$10,'VK-Hooned-Soojus'!$C:$X,2+$C97,FALSE),0)+IF(CR$6="X",VLOOKUP(CR$10,'VK-Transport'!$C:$X,2+$B97,0))+IF(CR$8="X",VLOOKUP(CR$10,'VK-Elekter'!$C:$X,2+$D97,0))+IF(CR$9="X",VLOOKUP(CR$10,'VK-Biokütused'!$C:$U,2+$E97,0))+IF(CR$5="X",VLOOKUP(CR$10,'VK-Põlevkivi'!$C:$X,2+$G97,0))+IF(CR$4="X",VLOOKUP(CR$10,'VK-Võrgud'!$C:$X,2+$F97,0)))/1000</f>
        <v>7.6860872784575749</v>
      </c>
      <c r="CS97" s="209">
        <f>(IF(CS$7="X",VLOOKUP(CS$10,'VK-Hooned-Soojus'!$C:$X,2+$C97,FALSE),0)+IF(CS$6="X",VLOOKUP(CS$10,'VK-Transport'!$C:$X,2+$B97,0))+IF(CS$8="X",VLOOKUP(CS$10,'VK-Elekter'!$C:$X,2+$D97,0))+IF(CS$9="X",VLOOKUP(CS$10,'VK-Biokütused'!$C:$U,2+$E97,0))+IF(CS$5="X",VLOOKUP(CS$10,'VK-Põlevkivi'!$C:$X,2+$G97,0))+IF(CS$4="X",VLOOKUP(CS$10,'VK-Võrgud'!$C:$X,2+$F97,0)))/1000</f>
        <v>3.7943344900598324</v>
      </c>
      <c r="CT97" s="209">
        <f>IF(CT$7="X",VLOOKUP(CT$10,'VK-Hooned-Soojus'!$C:$X,2+$C97,FALSE),0)+IF(CT$6="X",VLOOKUP(CT$10,'VK-Transport'!$C:$X,2+$B97,0))+IF(CT$8="X",VLOOKUP(CT$10,'VK-Elekter'!$C:$X,2+$D97,0))+IF(CT$9="X",VLOOKUP(CT$10,'VK-Biokütused'!$C:$U,2+$E97,0))+IF(CT$5="X",VLOOKUP(CT$10,'VK-Põlevkivi'!$C:$X,2+$G97,0))+IF(CT$4="X",VLOOKUP(CT$10,'VK-Võrgud'!$C:$X,2+$F97,0))</f>
        <v>90</v>
      </c>
      <c r="CU97" s="209">
        <f>IF(CU$7="X",VLOOKUP(CU$10,'VK-Hooned-Soojus'!$C:$X,2+$C97,FALSE),0)+IF(CU$6="X",VLOOKUP(CU$10,'VK-Transport'!$C:$X,2+$B97,0))+IF(CU$8="X",VLOOKUP(CU$10,'VK-Elekter'!$C:$X,2+$D97,0))+IF(CU$9="X",VLOOKUP(CU$10,'VK-Biokütused'!$C:$U,2+$E97,0))+IF(CU$5="X",VLOOKUP(CU$10,'VK-Põlevkivi'!$C:$X,2+$G97,0))+IF(CU$4="X",VLOOKUP(CU$10,'VK-Võrgud'!$C:$X,2+$F97,0))</f>
        <v>0.63390170511534605</v>
      </c>
      <c r="CV97" s="209">
        <f t="shared" si="49"/>
        <v>0.84317482403548605</v>
      </c>
      <c r="CW97" s="209">
        <f>(IF(CW$7="X",VLOOKUP(CW$10,'VK-Hooned-Soojus'!$C:$X,2+$C97,FALSE),0)+IF(CW$6="X",VLOOKUP(CW$10,'VK-Transport'!$C:$X,2+$B97,0))+IF(CW$8="X",VLOOKUP(CW$10,'VK-Elekter'!$C:$X,2+$D97,0))+IF(CW$9="X",VLOOKUP(CW$10,'VK-Biokütused'!$C:$U,2+$E97,0))+IF(CW$5="X",VLOOKUP(CW$10,'VK-Põlevkivi'!$C:$X,2+$G97,0))+IF(CW$4="X",VLOOKUP(CW$10,'VK-Võrgud'!$C:$X,2+$F97,0)))/16</f>
        <v>126.01875</v>
      </c>
      <c r="CY97" s="209">
        <f>(IF(CY$7="X",VLOOKUP(CY$10,'VK-Hooned-Soojus'!$C:$X,2+$C97,FALSE),0)+IF(CY$6="X",VLOOKUP(CY$10,'VK-Transport'!$C:$X,2+$B97,0))+IF(CY$8="X",VLOOKUP(CY$10,'VK-Elekter'!$C:$X,2+$D97,0))+IF(CY$9="X",VLOOKUP(CY$10,'VK-Biokütused'!$C:$U,2+$E97,0))+IF(CY$5="X",VLOOKUP(CY$10,'VK-Põlevkivi'!$C:$X,2+$G97,0))+IF(CY$4="X",VLOOKUP(CY$10,'VK-Võrgud'!$C:$X,2+$F97,0)))/1000</f>
        <v>10.065</v>
      </c>
      <c r="CZ97" s="209">
        <f>(IF(CZ$7="X",VLOOKUP(CZ$10,'VK-Hooned-Soojus'!$C:$X,2+$C97,FALSE),0)+IF(CZ$6="X",VLOOKUP(CZ$10,'VK-Transport'!$C:$X,2+$B97,0))+IF(CZ$8="X",VLOOKUP(CZ$10,'VK-Elekter'!$C:$X,2+$D97,0))+IF(CZ$9="X",VLOOKUP(CZ$10,'VK-Biokütused'!$C:$U,2+$E97,0))+IF(CZ$5="X",VLOOKUP(CZ$10,'VK-Põlevkivi'!$C:$X,2+$G97,0))+IF(CZ$4="X",VLOOKUP(CZ$10,'VK-Võrgud'!$C:$X,2+$F97,0)))</f>
        <v>79</v>
      </c>
      <c r="DA97" s="209">
        <f>(IF(DA$7="X",VLOOKUP(DA$10,'VK-Hooned-Soojus'!$C:$X,2+$C97,FALSE),0)+IF(DA$6="X",VLOOKUP(DA$10,'VK-Transport'!$C:$X,2+$B97,0))+IF(DA$8="X",VLOOKUP(DA$10,'VK-Elekter'!$C:$X,2+$D97,0))+IF(DA$9="X",VLOOKUP(DA$10,'VK-Biokütused'!$C:$U,2+$E97,0))+IF(DA$5="X",VLOOKUP(DA$10,'VK-Põlevkivi'!$C:$X,2+$G97,0))+IF(DA$4="X",VLOOKUP(DA$10,'VK-Võrgud'!$C:$X,2+$F97,0)))/1000</f>
        <v>10.018000000000001</v>
      </c>
      <c r="DB97" s="209">
        <f>(IF(DB$7="X",VLOOKUP(DB$10,'VK-Hooned-Soojus'!$C:$X,2+$C97,FALSE),0)+IF(DB$6="X",VLOOKUP(DB$10,'VK-Transport'!$C:$X,2+$B97,0))+IF(DB$8="X",VLOOKUP(DB$10,'VK-Elekter'!$C:$X,2+$D97,0))+IF(DB$9="X",VLOOKUP(DB$10,'VK-Biokütused'!$C:$U,2+$E97,0))+IF(DB$5="X",VLOOKUP(DB$10,'VK-Põlevkivi'!$C:$X,2+$G97,0))+IF(DB$4="X",VLOOKUP(DB$10,'VK-Võrgud'!$C:$X,2+$F97,0)))/1000/3.6</f>
        <v>39.471944444444439</v>
      </c>
      <c r="DC97" s="209">
        <f>(IF(DC$7="X",VLOOKUP(DC$10,'VK-Hooned-Soojus'!$C:$X,2+$C97,FALSE),0)+IF(DC$6="X",VLOOKUP(DC$10,'VK-Transport'!$C:$X,2+$B97,0))+IF(DC$8="X",VLOOKUP(DC$10,'VK-Elekter'!$C:$X,2+$D97,0))+IF(DC$9="X",VLOOKUP(DC$10,'VK-Biokütused'!$C:$U,2+$E97,0))+IF(DC$5="X",VLOOKUP(DC$10,'VK-Põlevkivi'!$C:$X,2+$G97,0))+IF(DC$4="X",VLOOKUP(DC$10,'VK-Võrgud'!$C:$X,2+$F97,0)))/1000000</f>
        <v>4.0844610000000001</v>
      </c>
      <c r="DD97" s="209"/>
      <c r="DE97" s="88">
        <f>VLOOKUP(Tulemused!$BN$12,data!M$7:N$12,2,FALSE)-SUM(L97,M97)</f>
        <v>-0.77386666666667736</v>
      </c>
      <c r="DF97" s="209" t="str">
        <f>IF(AZ97&lt;=VLOOKUP(Tulemused!$BN$15,data!$E$36:$F$39,2,FALSE),"JAH","EI")</f>
        <v>JAH</v>
      </c>
      <c r="DG97" s="209"/>
      <c r="DH97" s="209">
        <f t="shared" si="50"/>
        <v>10.67</v>
      </c>
      <c r="DI97" s="231" t="str">
        <f t="shared" si="65"/>
        <v>EI</v>
      </c>
      <c r="DK97" s="232">
        <f t="shared" si="51"/>
        <v>-990.26565229890673</v>
      </c>
      <c r="DM97" s="233">
        <f t="shared" si="52"/>
        <v>-996.03533527969694</v>
      </c>
      <c r="DN97" s="87">
        <f t="array" ref="DN97">INDEX($A$11:$A$145, SMALL(IF(DM97=$DK$11:$DK$145, MATCH(ROW($DK$11:$DK$145), ROW($DK$11:$DK$145))), SUM(--(DM97=$DM$11:DM97))))</f>
        <v>51</v>
      </c>
      <c r="DP97" s="87" t="e">
        <f t="shared" ca="1" si="66"/>
        <v>#N/A</v>
      </c>
      <c r="DQ97" s="87" t="e">
        <f t="shared" ca="1" si="67"/>
        <v>#N/A</v>
      </c>
      <c r="DR97" s="87">
        <f t="shared" ca="1" si="68"/>
        <v>0</v>
      </c>
      <c r="DS97" s="87" t="e">
        <f t="shared" ca="1" si="69"/>
        <v>#N/A</v>
      </c>
      <c r="DT97" s="87">
        <f t="shared" ca="1" si="70"/>
        <v>0</v>
      </c>
      <c r="DU97" s="87" t="e">
        <f t="shared" ca="1" si="71"/>
        <v>#N/A</v>
      </c>
      <c r="DV97" s="87" t="e">
        <f t="shared" ca="1" si="72"/>
        <v>#N/A</v>
      </c>
      <c r="DW97" s="87">
        <f t="shared" ca="1" si="73"/>
        <v>0</v>
      </c>
      <c r="DX97" s="87">
        <f t="shared" ca="1" si="74"/>
        <v>0</v>
      </c>
      <c r="DZ97" s="87">
        <f t="shared" ca="1" si="82"/>
        <v>0</v>
      </c>
      <c r="EB97" s="87">
        <f t="shared" ca="1" si="75"/>
        <v>0</v>
      </c>
      <c r="EC97" s="87" t="e">
        <f t="shared" ca="1" si="76"/>
        <v>#N/A</v>
      </c>
      <c r="EE97" s="228">
        <f>(IF(EE$7="X",VLOOKUP(EE$10,'VK-Hooned-Soojus'!$C:$X,2+$C97,FALSE),0)+IF(EE$6="X",VLOOKUP(EE$10,'VK-Transport'!$C:$X,2+$B97,0))+IF(EE$8="X",VLOOKUP(EE$10,'VK-Elekter'!$C:$X,2+$D97,0))+IF(EE$9="X",VLOOKUP(EE$10,'VK-Biokütused'!$C:$U,2+$E97,0))+IF(EE$5="X",VLOOKUP(EE$10,'VK-Põlevkivi'!$C:$X,2+$G97,0))+IF(EE$4="X",VLOOKUP(EE$10,'VK-Võrgud'!$C:$X,2+$F97,0)))</f>
        <v>11115.946757608703</v>
      </c>
      <c r="EF97" s="235">
        <f>(IF(EF$7="X",VLOOKUP(EF$10,'VK-Hooned-Soojus'!$C:$X,2+$C97,FALSE),0)+IF(EF$6="X",VLOOKUP(EF$10,'VK-Transport'!$C:$X,2+$B97,0))+IF(EF$8="X",VLOOKUP(EF$10,'VK-Elekter'!$C:$X,2+$D97,0))+IF(EF$9="X",VLOOKUP(EF$10,'VK-Biokütused'!$C:$U,2+$E97,0)))/1000</f>
        <v>3.0813823271229701</v>
      </c>
      <c r="EG97" s="209">
        <f>(IF(EG$7="X",VLOOKUP(EG$10,'VK-Hooned-Soojus'!$C:$X,2+$C97,FALSE),0)+IF(EG$6="X",VLOOKUP(EG$10,'VK-Transport'!$C:$X,2+$B97,0))+IF(EG$8="X",VLOOKUP(EG$10,'VK-Elekter'!$C:$X,2+$D97,0))+IF(EG$9="X",VLOOKUP(EG$10,'VK-Biokütused'!$C:$U,2+$E97,0))+IF(EG$5="X",VLOOKUP(EG$10,'VK-Põlevkivi'!$C:$X,2+$G97,0))+IF(EG$4="X",VLOOKUP(EG$10,'VK-Võrgud'!$C:$X,2+$F97,0)))</f>
        <v>0.81</v>
      </c>
      <c r="EH97" s="209">
        <f>(IF(EH$7="X",VLOOKUP(EH$10,'VK-Hooned-Soojus'!$C:$X,2+$C97,FALSE),0)+IF(EH$6="X",VLOOKUP(EH$10,'VK-Transport'!$C:$X,2+$B97,0))+IF(EH$8="X",VLOOKUP(EH$10,'VK-Elekter'!$C:$X,2+$D97,0))+IF(EH$9="X",VLOOKUP(EH$10,'VK-Biokütused'!$C:$U,2+$E97,0)))+AR97+AS97+AU97+AX97</f>
        <v>44.598434507632334</v>
      </c>
      <c r="EI97" s="320">
        <f t="shared" si="53"/>
        <v>42.044166666666669</v>
      </c>
      <c r="EJ97" s="322">
        <f t="shared" si="54"/>
        <v>2.3391437578713474E-2</v>
      </c>
      <c r="EK97" s="323">
        <f t="shared" si="77"/>
        <v>0.49544473229417074</v>
      </c>
      <c r="EM97" s="209"/>
      <c r="EN97" s="209">
        <f t="shared" ca="1" si="55"/>
        <v>0</v>
      </c>
      <c r="EO97" s="209"/>
      <c r="EP97" s="234"/>
      <c r="EQ97" s="209">
        <f>(IF(EQ$7="X",VLOOKUP(EQ$10,'VK-Hooned-Soojus'!$C:$X,2+$C97,FALSE),0)+IF(EQ$6="X",VLOOKUP(EQ$10,'VK-Transport'!$C:$X,2+$B97,0))+IF(EQ$8="X",VLOOKUP(EQ$10,'VK-Elekter'!$C:$X,2+$D97,0))+IF(EQ$9="X",VLOOKUP(EQ$10,'VK-Biokütused'!$C:$U,2+$E97,0))+IF(EQ$5="X",VLOOKUP(EQ$10,'VK-Põlevkivi'!$C:$X,2+$G97,0))+IF(EQ$4="X",VLOOKUP(EQ$10,'VK-Võrgud'!$C:$X,2+$F97,0)))/1000</f>
        <v>0.19900000000000001</v>
      </c>
      <c r="ER97" s="209">
        <f>(IF(ER$7="X",VLOOKUP(ER$10,'VK-Hooned-Soojus'!$C:$X,2+$C97,FALSE),0)+IF(ER$6="X",VLOOKUP(ER$10,'VK-Transport'!$C:$X,2+$B97,0))+IF(ER$8="X",VLOOKUP(ER$10,'VK-Elekter'!$C:$X,2+$D97,0))+IF(ER$9="X",VLOOKUP(ER$10,'VK-Biokütused'!$C:$U,2+$E97,0))+IF(ER$5="X",VLOOKUP(ER$10,'VK-Põlevkivi'!$C:$X,2+$G97,0))+IF(ER$4="X",VLOOKUP(ER$10,'VK-Võrgud'!$C:$X,2+$F97,0)))</f>
        <v>0.72299999999999998</v>
      </c>
      <c r="ES97" s="209">
        <f>(IF(ES$7="X",VLOOKUP(ES$10,'VK-Hooned-Soojus'!$C:$X,2+$C97,FALSE),0)+IF(ES$6="X",VLOOKUP(ES$10,'VK-Transport'!$C:$X,2+$B97,0))+IF(ES$8="X",VLOOKUP(ES$10,'VK-Elekter'!$C:$X,2+$D97,0))+IF(ES$9="X",VLOOKUP(ES$10,'VK-Biokütused'!$C:$U,2+$E97,0))+IF(ES$5="X",VLOOKUP(ES$10,'VK-Põlevkivi'!$C:$X,2+$G97,0))+IF(ES$4="X",VLOOKUP(ES$10,'VK-Võrgud'!$C:$X,2+$F97,0)))</f>
        <v>10.67</v>
      </c>
      <c r="ET97" s="209"/>
      <c r="EU97" s="209"/>
      <c r="EV97" s="87">
        <f>'KSH järjestus'!AS90</f>
        <v>891</v>
      </c>
      <c r="EX97" s="236"/>
      <c r="EY97" s="236"/>
      <c r="EZ97" s="237">
        <f t="shared" si="56"/>
        <v>0.36609829488465395</v>
      </c>
      <c r="FA97" s="209">
        <f>IF(FA$7="X",VLOOKUP(FA$10,'VK-Hooned-Soojus'!$C:$X,2+$C97,FALSE),0)+IF(FA$6="X",VLOOKUP(FA$10,'VK-Transport'!$C:$X,2+$B97,0))+IF(FA$8="X",VLOOKUP(FA$10,'VK-Elekter'!$C:$X,2+$D97,0))+IF(FA$9="X",VLOOKUP(FA$10,'VK-Biokütused'!$C:$U,2+$E97,0))+IF(FA$5="X",VLOOKUP(FA$10,'VK-Põlevkivi'!$C:$X,2+$G97,0))+IF(FA$4="X",VLOOKUP(FA$10,'VK-Võrgud'!$C:$X,2+$F97,0))</f>
        <v>3298.346</v>
      </c>
      <c r="FB97" s="279">
        <f>(IF(FB$7="X",VLOOKUP(FB$10,'VK-Hooned-Soojus'!$C:$X,2+$C97,FALSE),0)+IF(FB$6="X",VLOOKUP(FB$10,'VK-Transport'!$C:$X,2+$B97,0))+IF(FB$8="X",VLOOKUP(FB$10,'VK-Elekter'!$C:$X,2+$D97,0))+IF(FB$9="X",VLOOKUP(FB$10,'VK-Biokütused'!$C:$U,2+$E97,0))+IF(FB$5="X",VLOOKUP(FB$10,'VK-Põlevkivi'!$C:$X,2+$G97,0))+IF(FB$4="X",VLOOKUP(FB$10,'VK-Võrgud'!$C:$X,2+$F97,0)))/16</f>
        <v>507.71833155856558</v>
      </c>
      <c r="FC97" s="209">
        <f>IF(FC$7="X",VLOOKUP(FC$10,'VK-Hooned-Soojus'!$C:$X,2+$C97,FALSE),0)+IF(FC$6="X",VLOOKUP(FC$10,'VK-Transport'!$C:$X,2+$B97,0))+IF(FC$8="X",VLOOKUP(FC$10,'VK-Elekter'!$C:$X,2+$D97,0))+IF(FC$9="X",VLOOKUP(FC$10,'VK-Biokütused'!$C:$U,2+$E97,0))+IF(FC$5="X",VLOOKUP(FC$10,'VK-Põlevkivi'!$C:$X,2+$G97,0))+IF(FC$4="X",VLOOKUP(FC$10,'VK-Võrgud'!$C:$X,2+$F97,0))</f>
        <v>297.14999999999998</v>
      </c>
      <c r="FD97" s="209">
        <f>(IF(FD$7="X",VLOOKUP(FD$10,'VK-Hooned-Soojus'!$C:$X,2+$C97,FALSE),0)+IF(FD$6="X",VLOOKUP(FD$10,'VK-Transport'!$C:$X,2+$B97,0))+IF(FD$8="X",VLOOKUP(FD$10,'VK-Elekter'!$C:$X,2+$D97,0))+IF(FD$9="X",VLOOKUP(FD$10,'VK-Biokütused'!$C:$U,2+$E97,0))+IF(FD$5="X",VLOOKUP(FD$10,'VK-Põlevkivi'!$C:$X,2+$G97,0))+IF(FD$4="X",VLOOKUP(FD$10,'VK-Võrgud'!$C:$X,2+$F97,0)))/16</f>
        <v>507.71833155856558</v>
      </c>
      <c r="FE97" s="209">
        <f>(IF(FE$7="X",VLOOKUP(FE$10,'VK-Hooned-Soojus'!$C:$X,2+$C97,FALSE),0)+IF(FE$6="X",VLOOKUP(FE$10,'VK-Transport'!$C:$X,2+$B97,0))+IF(FE$8="X",VLOOKUP(FE$10,'VK-Elekter'!$C:$X,2+$D97,0))+IF(FE$9="X",VLOOKUP(FE$10,'VK-Biokütused'!$C:$U,2+$E97,0))+IF(FE$5="X",VLOOKUP(FE$10,'VK-Põlevkivi'!$C:$X,2+$G97,0))+IF(FE$4="X",VLOOKUP(FE$10,'VK-Võrgud'!$C:$X,2+$F97,0)))/16</f>
        <v>-181.84206369909103</v>
      </c>
      <c r="FF97" s="209">
        <f>(IF(FF$7="X",VLOOKUP(FF$10,'VK-Hooned-Soojus'!$C:$X,2+$C97,FALSE),0)+IF(FF$6="X",VLOOKUP(FF$10,'VK-Transport'!$C:$X,2+$B97,0))+IF(FF$8="X",VLOOKUP(FF$10,'VK-Elekter'!$C:$X,2+$D97,0))+IF(FF$9="X",VLOOKUP(FF$10,'VK-Biokütused'!$C:$U,2+$E97,0))+IF(FF$5="X",VLOOKUP(FF$10,'VK-Põlevkivi'!$C:$X,2+$G97,0))+IF(FF$4="X",VLOOKUP(FF$10,'VK-Võrgud'!$C:$X,2+$F97,0)))/16</f>
        <v>207.3638868726384</v>
      </c>
      <c r="FG97" s="88">
        <f t="shared" ca="1" si="78"/>
        <v>25.521823173547375</v>
      </c>
      <c r="FH97" s="88"/>
      <c r="FI97" s="88"/>
      <c r="FJ97" s="88">
        <f>VLOOKUP(Tulemused!$BN$12,data!M$7:N$12,2,FALSE)-SUM(L97,M97)</f>
        <v>-0.77386666666667736</v>
      </c>
      <c r="FK97" s="209" t="str">
        <f>IF(AZ97&lt;=VLOOKUP(Tulemused!$BN$15,data!$E$36:$F$39,2,FALSE),"JAH","EI")</f>
        <v>JAH</v>
      </c>
      <c r="FL97" s="235">
        <f ca="1">IF(ISNA(MATCH($A97,INDIRECT(VLOOKUP(Tulemused!$BF$11,data!$J$57:$M$71,4,FALSE)))),0,MATCH($A97,INDIRECT(VLOOKUP(Tulemused!$BF$11,data!$J$57:$M$71,4,FALSE))))</f>
        <v>0</v>
      </c>
      <c r="FM97" s="235" t="str">
        <f t="shared" ca="1" si="57"/>
        <v>JAH</v>
      </c>
      <c r="FN97" s="209">
        <f>VLOOKUP(Tulemused!$BN$13,data!$C$132:$D$137,2,FALSE)-KOMBI!R97</f>
        <v>3.2603876728770307</v>
      </c>
      <c r="FO97" s="209"/>
      <c r="FP97" s="209">
        <f>VLOOKUP(Tulemused!$BN$17,NO_x,2,FALSE)-CJ97</f>
        <v>12.391278206757182</v>
      </c>
      <c r="FQ97" s="209">
        <f>VLOOKUP(Tulemused!$BN$18,SO_2,2,FALSE)-CK97</f>
        <v>45.875054537227363</v>
      </c>
      <c r="FR97" s="209">
        <f>VLOOKUP(Tulemused!$BN$19,LOU,2,FALSE)-CN97</f>
        <v>34.182000000000002</v>
      </c>
      <c r="FS97" s="209">
        <f>VLOOKUP(Tulemused!$BN$20,PM_2.5,2,FALSE)-CM97</f>
        <v>9.2851686429099036</v>
      </c>
      <c r="FT97" s="209">
        <f>VLOOKUP(Tulemused!$BN$13,data!$C$132:$D$137,2,FALSE)-FA97/1000</f>
        <v>2.9476240000000007</v>
      </c>
      <c r="FU97" s="209">
        <f>VLOOKUP(Tulemused!$BN$17,NO_x,2,FALSE)-CO97</f>
        <v>6.8264247892027186</v>
      </c>
      <c r="FV97" s="209">
        <f>VLOOKUP(Tulemused!$BN$18,SO_2,2,FALSE)-CP97</f>
        <v>45.262005169650173</v>
      </c>
      <c r="FW97" s="209">
        <f>VLOOKUP(Tulemused!$BN$19,LOU,2,FALSE)-CS97</f>
        <v>33.285665509940173</v>
      </c>
      <c r="FX97" s="209">
        <f>VLOOKUP(Tulemused!$BN$20,PM_2.5,2,FALSE)-CR97</f>
        <v>9.2289127215424251</v>
      </c>
      <c r="FY97" s="209">
        <f>VLOOKUP(Tulemused!$BN$14,KHG_2050,2,FALSE)-EF97</f>
        <v>96.918617672877033</v>
      </c>
      <c r="FZ97" s="231" t="str">
        <f t="shared" ca="1" si="79"/>
        <v>EI</v>
      </c>
      <c r="GA97" s="209"/>
      <c r="GB97" s="209"/>
      <c r="GC97" s="209"/>
      <c r="GD97" s="231"/>
      <c r="GE97" s="87">
        <f t="shared" si="58"/>
        <v>891</v>
      </c>
      <c r="GF97" s="232" t="str">
        <f t="shared" ca="1" si="80"/>
        <v/>
      </c>
      <c r="GH97" s="238" t="e">
        <f t="shared" ca="1" si="59"/>
        <v>#NUM!</v>
      </c>
      <c r="GI97" s="87" t="e">
        <f t="array" aca="1" ref="GI97" ca="1">INDEX($A$11:$A$145, SMALL(IF(GH97=$GF$11:$GF$145, MATCH(ROW($GF$11:$GF$145), ROW($GF$11:$GF$145))), SUM(--(GH97=$GH$11:GH97))))</f>
        <v>#NUM!</v>
      </c>
      <c r="GM97" s="209">
        <f>IF(GM$7="X",VLOOKUP(GM$10,'VK-Hooned-Soojus'!$C:$X,2+$C97,FALSE),0)+IF(GM$6="X",VLOOKUP(GM$10,'VK-Transport'!$C:$X,2+$B97,0))+IF(GM$8="X",VLOOKUP(GM$10,'VK-Elekter'!$C:$X,2+$D97,0))+IF(GM$9="X",VLOOKUP(GM$10,'VK-Biokütused'!$C:$U,2+$E97,0))+IF(GM$5="X",VLOOKUP(GM$10,'VK-Põlevkivi'!$C:$X,2+$G97,0))+IF(GM$4="X",VLOOKUP(GM$10,'VK-Võrgud'!$C:$X,2+$F97,0))</f>
        <v>0</v>
      </c>
      <c r="GN97" s="209">
        <f>IF(GN$7="X",VLOOKUP(GN$10,'VK-Hooned-Soojus'!$C:$X,2+$C97,FALSE),0)+IF(GN$6="X",VLOOKUP(GN$10,'VK-Transport'!$C:$X,2+$B97,0))+IF(GN$8="X",VLOOKUP(GN$10,'VK-Elekter'!$C:$X,2+$D97,0))+IF(GN$9="X",VLOOKUP(GN$10,'VK-Biokütused'!$C:$U,2+$E97,0))+IF(GN$5="X",VLOOKUP(GN$10,'VK-Põlevkivi'!$C:$X,2+$G97,0))+IF(GN$4="X",VLOOKUP(GN$10,'VK-Võrgud'!$C:$X,2+$F97,0))</f>
        <v>7.5434676424145266</v>
      </c>
      <c r="GO97" s="209">
        <f>IF(GO$7="X",VLOOKUP(GO$10,'VK-Hooned-Soojus'!$C:$X,2+$C97,FALSE),0)+IF(GO$6="X",VLOOKUP(GO$10,'VK-Transport'!$C:$X,2+$B97,0))+IF(GO$8="X",VLOOKUP(GO$10,'VK-Elekter'!$C:$X,2+$D97,0))+IF(GO$9="X",VLOOKUP(GO$10,'VK-Biokütused'!$C:$U,2+$E97,0))+IF(GO$5="X",VLOOKUP(GO$10,'VK-Põlevkivi'!$C:$X,2+$G97,0))+IF(GO$4="X",VLOOKUP(GO$10,'VK-Võrgud'!$C:$X,2+$F97,0))</f>
        <v>7.5763700102722566</v>
      </c>
      <c r="GP97" s="209">
        <f>IF(GP$7="X",VLOOKUP(GP$10,'VK-Hooned-Soojus'!$C:$X,2+$C97,FALSE),0)+IF(GP$6="X",VLOOKUP(GP$10,'VK-Transport'!$C:$X,2+$B97,0))+IF(GP$8="X",VLOOKUP(GP$10,'VK-Elekter'!$C:$X,2+$D97,0))+IF(GP$9="X",VLOOKUP(GP$10,'VK-Biokütused'!$C:$U,2+$E97,0))+IF(GP$5="X",VLOOKUP(GP$10,'VK-Põlevkivi'!$C:$X,2+$G97,0))+IF(GP$4="X",VLOOKUP(GP$10,'VK-Võrgud'!$C:$X,2+$F97,0))</f>
        <v>8.9326558040707589</v>
      </c>
      <c r="GQ97" s="88">
        <f>IF(GQ$7="X",VLOOKUP(GQ$10,'VK-Hooned-Soojus'!$C:$X,2+$C97,FALSE),0)+IF(GQ$6="X",VLOOKUP(GQ$10,'VK-Transport'!$C:$X,2+$B97,0))+IF(GQ$8="X",VLOOKUP(GQ$10,'VK-Elekter'!$C:$X,2+$D97,0))+IF(GQ$9="X",VLOOKUP(GQ$10,'VK-Biokütused'!$C:$U,2+$E97,0))+IF(GQ$5="X",VLOOKUP(GQ$10,'VK-Põlevkivi'!$C:$X,2+$G97,0))+IF(GQ$4="X",VLOOKUP(GQ$10,'VK-Võrgud'!$C:$X,2+$F97,0))</f>
        <v>0.90618397335647782</v>
      </c>
      <c r="GR97" s="186">
        <f t="shared" si="81"/>
        <v>0.51722795337755689</v>
      </c>
    </row>
    <row r="98" spans="1:200" x14ac:dyDescent="0.2">
      <c r="A98" s="184">
        <v>88</v>
      </c>
      <c r="B98" s="87">
        <v>2</v>
      </c>
      <c r="C98" s="87">
        <v>3</v>
      </c>
      <c r="D98" s="87">
        <v>5</v>
      </c>
      <c r="E98" s="87">
        <v>1</v>
      </c>
      <c r="F98" s="87">
        <f>VLOOKUP(Tulemused!$BF$7,data!$J$6:$K$8,2,FALSE)</f>
        <v>2</v>
      </c>
      <c r="G98" s="87">
        <f>VLOOKUP(data!$H$2,data!$J$12:$K$14,2,FALSE)</f>
        <v>2</v>
      </c>
      <c r="I98" s="209">
        <f>IF(I$7="X",VLOOKUP(I$10,'VK-Hooned-Soojus'!$C:$X,2+$C98,FALSE),0)+IF(I$6="X",VLOOKUP(I$10,'VK-Transport'!$C:$X,2+$B98,0))+IF(I$8="X",VLOOKUP(I$10,'VK-Elekter'!$C:$X,2+$D98,0))+IF(I$9="X",VLOOKUP(I$10,'VK-Biokütused'!$C:$U,2+$E98,0))+IF(I$5="X",VLOOKUP(I$10,'VK-Põlevkivi'!$C:$X,2+$G98,0))+IF(I$4="X",VLOOKUP(I$10,'VK-Võrgud'!$C:$X,2+$F98,0))</f>
        <v>23.490000000000002</v>
      </c>
      <c r="J98" s="209">
        <f>IF(J$7="X",VLOOKUP(J$10,'VK-Hooned-Soojus'!$C:$X,2+$C98,FALSE),0)+IF(J$6="X",VLOOKUP(J$10,'VK-Transport'!$C:$X,2+$B98,0))+IF(J$8="X",VLOOKUP(J$10,'VK-Elekter'!$C:$X,2+$D98,0))+IF(J$9="X",VLOOKUP(J$10,'VK-Biokütused'!$C:$U,2+$E98,0))+IF(J$5="X",VLOOKUP(J$10,'VK-Põlevkivi'!$C:$X,2+$G98,0))+IF(J$4="X",VLOOKUP(J$10,'VK-Võrgud'!$C:$X,2+$F98,0))</f>
        <v>11.138055555555555</v>
      </c>
      <c r="K98" s="209">
        <f>IF(K$7="X",VLOOKUP(K$10,'VK-Hooned-Soojus'!$C:$X,2+$C98,FALSE),0)+IF(K$6="X",VLOOKUP(K$10,'VK-Transport'!$C:$X,2+$B98,0))+IF(K$8="X",VLOOKUP(K$10,'VK-Elekter'!$C:$X,2+$D98,0))+IF(K$9="X",VLOOKUP(K$10,'VK-Biokütused'!$C:$U,2+$E98,0))+IF(K$5="X",VLOOKUP(K$10,'VK-Põlevkivi'!$C:$X,2+$G98,0))+IF(K$4="X",VLOOKUP(K$10,'VK-Võrgud'!$C:$X,2+$F98,0))</f>
        <v>13.780000000000001</v>
      </c>
      <c r="L98" s="209">
        <f>IF(L$7="X",VLOOKUP(L$10,'VK-Hooned-Soojus'!$C:$X,2+$C98,FALSE),0)+IF(L$6="X",VLOOKUP(L$10,'VK-Transport'!$C:$X,2+$B98,0))+IF(L$8="X",VLOOKUP(L$10,'VK-Elekter'!$C:$X,2+$D98,0))+IF(L$9="X",VLOOKUP(L$10,'VK-Biokütused'!$C:$U,2+$E98,0))+IF(L$5="X",VLOOKUP(L$10,'VK-Põlevkivi'!$C:$X,2+$G98,0))+IF(L$4="X",VLOOKUP(L$10,'VK-Võrgud'!$C:$X,2+$F98,0))</f>
        <v>23.75</v>
      </c>
      <c r="M98" s="209">
        <f>IF(M$7="X",VLOOKUP(M$10,'VK-Hooned-Soojus'!$C:$X,2+$C98,FALSE),0)+IF(M$6="X",VLOOKUP(M$10,'VK-Transport'!$C:$X,2+$B98,0))+IF(M$8="X",VLOOKUP(M$10,'VK-Elekter'!$C:$X,2+$D98,0))+IF(M$9="X",VLOOKUP(M$10,'VK-Biokütused'!$C:$U,2+$E98,0))+IF(M$5="X",VLOOKUP(M$10,'VK-Põlevkivi'!$C:$X,2+$G98,0))+IF(M$4="X",VLOOKUP(M$10,'VK-Võrgud'!$C:$X,2+$F98,0))</f>
        <v>9.8566666666666674</v>
      </c>
      <c r="N98" s="209">
        <f>IF(N$7="X",VLOOKUP(N$10,'VK-Hooned-Soojus'!$C:$X,2+$C98,FALSE),0)+IF(N$6="X",VLOOKUP(N$10,'VK-Transport'!$C:$X,2+$B98,0))+IF(N$8="X",VLOOKUP(N$10,'VK-Elekter'!$C:$X,2+$D98,0))+IF(N$9="X",VLOOKUP(N$10,'VK-Biokütused'!$C:$U,2+$E98,0))+IF(N$5="X",VLOOKUP(N$10,'VK-Põlevkivi'!$C:$X,2+$G98,0))+IF(N$4="X",VLOOKUP(N$10,'VK-Võrgud'!$C:$X,2+$F98,0))</f>
        <v>15.25</v>
      </c>
      <c r="O98" s="209">
        <f t="shared" si="60"/>
        <v>34.628055555555555</v>
      </c>
      <c r="P98" s="209"/>
      <c r="Q98" s="209">
        <f>(IF(Q$7="X",VLOOKUP(Q$10,'VK-Hooned-Soojus'!$C:$X,2+$C98,FALSE),0)+IF(Q$6="X",VLOOKUP(Q$10,'VK-Transport'!$C:$X,2+$B98,0))+IF(Q$8="X",VLOOKUP(Q$10,'VK-Elekter'!$C:$X,2+$D98,0))+IF(Q$9="X",VLOOKUP(Q$10,'VK-Biokütused'!$C:$U,2+$E98,0))+IF(Q$5="X",VLOOKUP(Q$10,'VK-Põlevkivi'!$C:$X,2+$G98,0))+IF(Q$4="X",VLOOKUP(Q$10,'VK-Võrgud'!$C:$X,2+$F98,0)))/1000</f>
        <v>5.9039999999999999</v>
      </c>
      <c r="R98" s="209">
        <f>(IF(R$7="X",VLOOKUP(R$10,'VK-Hooned-Soojus'!$C:$X,2+$C98,FALSE),0)+IF(R$6="X",VLOOKUP(R$10,'VK-Transport'!$C:$X,2+$B98,0))+IF(R$8="X",VLOOKUP(R$10,'VK-Elekter'!$C:$X,2+$D98,0))+IF(R$9="X",VLOOKUP(R$10,'VK-Biokütused'!$C:$U,2+$E98,0))+IF(R$5="X",VLOOKUP(R$10,'VK-Põlevkivi'!$C:$X,2+$G98,0))+IF(R$4="X",VLOOKUP(R$10,'VK-Võrgud'!$C:$X,2+$F98,0)))/1000</f>
        <v>2.3993823271229702</v>
      </c>
      <c r="S98" s="226">
        <f>VLOOKUP(S$10,'VK-Hooned-Soojus'!$C:$I,2+$C98,FALSE) + VLOOKUP(S$10,'VK-Transport'!$C:$I,2+$B98,FALSE)+ VLOOKUP(S$10,'VK-Biokütused'!$C:$G,2+$E98,FALSE)+ VLOOKUP(S$10,'VK-Elekter'!$C:$I,2+$D98,FALSE)+ VLOOKUP(S$10,'VK-Põlevkivi'!$C:$I,2+$G98,FALSE)+ VLOOKUP(S$10,'VK-Võrgud'!$C:$I,2+$F98,FALSE)</f>
        <v>2.3939698210037764E-2</v>
      </c>
      <c r="T98" s="226">
        <f>VLOOKUP(T$10,'VK-Hooned-Soojus'!$C:$I,2+$C98,FALSE) + VLOOKUP(T$10,'VK-Transport'!$C:$I,2+$B98,FALSE)+ VLOOKUP(T$10,'VK-Biokütused'!$C:$G,2+$E98,FALSE)+ VLOOKUP(T$10,'VK-Elekter'!$C:$I,2+$D98,FALSE)+ VLOOKUP(T$10,'VK-Põlevkivi'!$C:$I,2+$G98,FALSE)+ VLOOKUP(T$10,'VK-Võrgud'!$C:$I,2+$F98,FALSE)</f>
        <v>8.847382394383969E-3</v>
      </c>
      <c r="U98" s="226">
        <f>VLOOKUP(U$10,'VK-Hooned-Soojus'!$C:$I,2+$C98,FALSE) + VLOOKUP(U$10,'VK-Transport'!$C:$I,2+$B98,FALSE)+ VLOOKUP(U$10,'VK-Biokütused'!$C:$G,2+$E98,FALSE)+ VLOOKUP(U$10,'VK-Elekter'!$C:$I,2+$D98,FALSE)+ VLOOKUP(U$10,'VK-Põlevkivi'!$C:$I,2+$G98,FALSE)+ VLOOKUP(U$10,'VK-Võrgud'!$C:$I,2+$F98,FALSE)</f>
        <v>8.0465328095470356E-3</v>
      </c>
      <c r="V98" s="226">
        <f>VLOOKUP(V$10,'VK-Hooned-Soojus'!$C:$I,2+$C98,FALSE) + VLOOKUP(V$10,'VK-Transport'!$C:$I,2+$B98,FALSE)+ VLOOKUP(V$10,'VK-Biokütused'!$C:$G,2+$E98,FALSE)+ VLOOKUP(V$10,'VK-Elekter'!$C:$I,2+$D98,FALSE)+ VLOOKUP(V$10,'VK-Põlevkivi'!$C:$I,2+$G98,FALSE)+ VLOOKUP(V$10,'VK-Võrgud'!$C:$I,2+$F98,FALSE)</f>
        <v>1.6219265348181796E-2</v>
      </c>
      <c r="W98" s="226">
        <f>VLOOKUP(W$10,'VK-Hooned-Soojus'!$C:$I,2+$C98,FALSE) + VLOOKUP(W$10,'VK-Transport'!$C:$I,2+$B98,FALSE)+ VLOOKUP(W$10,'VK-Biokütused'!$C:$G,2+$E98,FALSE)+ VLOOKUP(W$10,'VK-Elekter'!$C:$I,2+$D98,FALSE)+ VLOOKUP(W$10,'VK-Põlevkivi'!$C:$I,2+$G98,FALSE)+ VLOOKUP(W$10,'VK-Võrgud'!$C:$I,2+$F98,FALSE)</f>
        <v>-2.7549287141503467E-2</v>
      </c>
      <c r="X98" s="226">
        <f>VLOOKUP(X$10,'VK-Hooned-Soojus'!$C:$I,2+$C98,FALSE) + VLOOKUP(X$10,'VK-Transport'!$C:$I,2+$B98,FALSE)+ VLOOKUP(X$10,'VK-Biokütused'!$C:$G,2+$E98,FALSE)+ VLOOKUP(X$10,'VK-Elekter'!$C:$I,2+$D98,FALSE)+ VLOOKUP(X$10,'VK-Põlevkivi'!$C:$I,2+$G98,FALSE)+ VLOOKUP(X$10,'VK-Võrgud'!$C:$I,2+$F98,FALSE)</f>
        <v>4.8735444307205472E-2</v>
      </c>
      <c r="Y98" s="226">
        <f>VLOOKUP(Y$10,'VK-Hooned-Soojus'!$C:$I,2+$C98,FALSE) + VLOOKUP(Y$10,'VK-Transport'!$C:$I,2+$B98,FALSE)+ VLOOKUP(Y$10,'VK-Biokütused'!$C:$G,2+$E98,FALSE)+ VLOOKUP(Y$10,'VK-Elekter'!$C:$I,2+$D98,FALSE)+ VLOOKUP(Y$10,'VK-Põlevkivi'!$C:$I,2+$G98,FALSE)+ VLOOKUP(Y$10,'VK-Võrgud'!$C:$I,2+$F98,FALSE)</f>
        <v>3.760122493775684E-2</v>
      </c>
      <c r="Z98" s="227">
        <f>(S98*Tulemused!$Q$9*10+T98*Tulemused!$Q$10*10+KOMBI!U98*Tulemused!$Q$11*10+KOMBI!V98*Tulemused!$Q$12*10)*Tulemused!$Q$8+-(W98*Tulemused!$Q$14*10+KOMBI!X98*Tulemused!$Q$15*10+KOMBI!Y98*Tulemused!$Q$16*10)*Tulemused!$Q$13</f>
        <v>4.9220180504943407</v>
      </c>
      <c r="AA98" s="228">
        <f>(IF(AA$7="X",VLOOKUP(AA$10,'VK-Hooned-Soojus'!$C:$X,2+$C98,FALSE),0)+IF(AA$6="X",VLOOKUP(AA$10,'VK-Transport'!$C:$X,2+$B98,0))+IF(AA$8="X",VLOOKUP(AA$10,'VK-Elekter'!$C:$X,2+$D98,0))+IF(AA$9="X",VLOOKUP(AA$10,'VK-Biokütused'!$C:$U,2+$E98,0))+IF(AA$5="X",VLOOKUP(AA$10,'VK-Põlevkivi'!$C:$X,2+$G98,0))+IF(AA$4="X",VLOOKUP(AA$10,'VK-Võrgud'!$C:$X,2+$F98,0)))</f>
        <v>4727</v>
      </c>
      <c r="AB98" s="228">
        <f>(IF(AB$7="X",VLOOKUP(AB$10,'VK-Hooned-Soojus'!$C:$X,2+$C98,FALSE),0)+IF(AB$6="X",VLOOKUP(AB$10,'VK-Transport'!$C:$X,2+$B98,0))+IF(AB$8="X",VLOOKUP(AB$10,'VK-Elekter'!$C:$X,2+$D98,0))+IF(AB$9="X",VLOOKUP(AB$10,'VK-Biokütused'!$C:$U,2+$E98,0))+IF(AB$5="X",VLOOKUP(AB$10,'VK-Põlevkivi'!$C:$X,2+$G98,0))+IF(AB$4="X",VLOOKUP(AB$10,'VK-Võrgud'!$C:$X,2+$F98,0)))</f>
        <v>1177</v>
      </c>
      <c r="AC98" s="228">
        <f>(IF(AC$7="X",VLOOKUP(AC$10,'VK-Hooned-Soojus'!$C:$X,2+$C98,FALSE),0)+IF(AC$6="X",VLOOKUP(AC$10,'VK-Transport'!$C:$X,2+$B98,0))+IF(AC$8="X",VLOOKUP(AC$10,'VK-Elekter'!$C:$X,2+$D98,0))+IF(AC$9="X",VLOOKUP(AC$10,'VK-Biokütused'!$C:$U,2+$E98,0))+IF(AC$5="X",VLOOKUP(AC$10,'VK-Põlevkivi'!$C:$X,2+$G98,0))+IF(AC$4="X",VLOOKUP(AC$10,'VK-Võrgud'!$C:$X,2+$F98,0)))</f>
        <v>2346</v>
      </c>
      <c r="AD98" s="228">
        <f>(IF(AD$7="X",VLOOKUP(AD$10,'VK-Hooned-Soojus'!$C:$X,2+$C98,FALSE),0)+IF(AD$6="X",VLOOKUP(AD$10,'VK-Transport'!$C:$X,2+$B98,0))+IF(AD$8="X",VLOOKUP(AD$10,'VK-Elekter'!$C:$X,2+$D98,0))+IF(AD$9="X",VLOOKUP(AD$10,'VK-Biokütused'!$C:$U,2+$E98,0))+IF(AD$5="X",VLOOKUP(AD$10,'VK-Põlevkivi'!$C:$X,2+$G98,0))+IF(AD$4="X",VLOOKUP(AD$10,'VK-Võrgud'!$C:$X,2+$F98,0)))</f>
        <v>0</v>
      </c>
      <c r="AE98" s="228">
        <f>(IF(AE$7="X",VLOOKUP(AE$10,'VK-Hooned-Soojus'!$C:$X,2+$C98,FALSE),0)+IF(AE$6="X",VLOOKUP(AE$10,'VK-Transport'!$C:$X,2+$B98,0))+IF(AE$8="X",VLOOKUP(AE$10,'VK-Elekter'!$C:$X,2+$D98,0))+IF(AE$9="X",VLOOKUP(AE$10,'VK-Biokütused'!$C:$U,2+$E98,0))+IF(AE$5="X",VLOOKUP(AE$10,'VK-Põlevkivi'!$C:$X,2+$G98,0))+IF(AE$4="X",VLOOKUP(AE$10,'VK-Võrgud'!$C:$X,2+$F98,0)))</f>
        <v>507</v>
      </c>
      <c r="AF98" s="228">
        <f>(IF(AF$7="X",VLOOKUP(AF$10,'VK-Hooned-Soojus'!$C:$X,2+$C98,FALSE),0)+IF(AF$6="X",VLOOKUP(AF$10,'VK-Transport'!$C:$X,2+$B98,0))+IF(AF$8="X",VLOOKUP(AF$10,'VK-Elekter'!$C:$X,2+$D98,0))+IF(AF$9="X",VLOOKUP(AF$10,'VK-Biokütused'!$C:$U,2+$E98,0))+IF(AF$5="X",VLOOKUP(AF$10,'VK-Põlevkivi'!$C:$X,2+$G98,0))+IF(AF$4="X",VLOOKUP(AF$10,'VK-Võrgud'!$C:$X,2+$F98,0)))</f>
        <v>1892.3823271229701</v>
      </c>
      <c r="AG98" s="209"/>
      <c r="AH98" s="209">
        <f>IF(AH$7="X",VLOOKUP(AH$10,'VK-Hooned-Soojus'!$C:$X,2+$C98,FALSE),0)+IF(AH$6="X",VLOOKUP(AH$10,'VK-Transport'!$C:$X,2+$B98,0))+IF(AH$8="X",VLOOKUP(AH$10,'VK-Elekter'!$C:$X,2+$D98,0))+IF(AH$9="X",VLOOKUP(AH$10,'VK-Biokütused'!$C:$U,2+$E98,0))+IF(AH$5="X",VLOOKUP(AH$10,'VK-Põlevkivi'!$C:$X,2+$G98,0))+IF(AH$4="X",VLOOKUP(AH$10,'VK-Võrgud'!$C:$X,2+$F98,0))</f>
        <v>17.400000000000002</v>
      </c>
      <c r="AI98" s="209">
        <f>IF(AI$7="X",VLOOKUP(AI$10,'VK-Hooned-Soojus'!$C:$X,2+$C98,FALSE),0)+IF(AI$6="X",VLOOKUP(AI$10,'VK-Transport'!$C:$X,2+$B98,0))+IF(AI$8="X",VLOOKUP(AI$10,'VK-Elekter'!$C:$X,2+$D98,0))+IF(AI$9="X",VLOOKUP(AI$10,'VK-Biokütused'!$C:$U,2+$E98,0))+IF(AI$5="X",VLOOKUP(AI$10,'VK-Põlevkivi'!$C:$X,2+$G98,0))+IF(AI$4="X",VLOOKUP(AI$10,'VK-Võrgud'!$C:$X,2+$F98,0))</f>
        <v>2.3100000000000005</v>
      </c>
      <c r="AJ98" s="209">
        <f>IF(AJ$7="X",VLOOKUP(AJ$10,'VK-Hooned-Soojus'!$C:$X,2+$C98,FALSE),0)+IF(AJ$6="X",VLOOKUP(AJ$10,'VK-Transport'!$C:$X,2+$B98,0))+IF(AJ$8="X",VLOOKUP(AJ$10,'VK-Elekter'!$C:$X,2+$D98,0))+IF(AJ$9="X",VLOOKUP(AJ$10,'VK-Biokütused'!$C:$U,2+$E98,0))+IF(AJ$5="X",VLOOKUP(AJ$10,'VK-Põlevkivi'!$C:$X,2+$G98,0))+IF(AJ$4="X",VLOOKUP(AJ$10,'VK-Võrgud'!$C:$X,2+$F98,0))</f>
        <v>4.59</v>
      </c>
      <c r="AK98" s="209">
        <f>IF(AK$7="X",VLOOKUP(AK$10,'VK-Hooned-Soojus'!$C:$X,2+$C98,FALSE),0)+IF(AK$6="X",VLOOKUP(AK$10,'VK-Transport'!$C:$X,2+$B98,0))+IF(AK$8="X",VLOOKUP(AK$10,'VK-Elekter'!$C:$X,2+$D98,0))+IF(AK$9="X",VLOOKUP(AK$10,'VK-Biokütused'!$C:$U,2+$E98,0))+IF(AK$5="X",VLOOKUP(AK$10,'VK-Põlevkivi'!$C:$X,2+$G98,0))+IF(AK$4="X",VLOOKUP(AK$10,'VK-Võrgud'!$C:$X,2+$F98,0))</f>
        <v>-0.41</v>
      </c>
      <c r="AL98" s="209">
        <f>IF(AL$7="X",VLOOKUP(AL$10,'VK-Hooned-Soojus'!$C:$X,2+$C98,FALSE),0)+IF(AL$6="X",VLOOKUP(AL$10,'VK-Transport'!$C:$X,2+$B98,0))+IF(AL$8="X",VLOOKUP(AL$10,'VK-Elekter'!$C:$X,2+$D98,0))+IF(AL$9="X",VLOOKUP(AL$10,'VK-Biokütused'!$C:$U,2+$E98,0))+IF(AL$5="X",VLOOKUP(AL$10,'VK-Põlevkivi'!$C:$X,2+$G98,0))+IF(AL$4="X",VLOOKUP(AL$10,'VK-Võrgud'!$C:$X,2+$F98,0))</f>
        <v>7.1</v>
      </c>
      <c r="AM98" s="209">
        <f>IF(AM$7="X",VLOOKUP(AM$10,'VK-Hooned-Soojus'!$C:$X,2+$C98,FALSE),0)+IF(AM$6="X",VLOOKUP(AM$10,'VK-Transport'!$C:$X,2+$B98,0))+IF(AM$8="X",VLOOKUP(AM$10,'VK-Elekter'!$C:$X,2+$D98,0))+IF(AM$9="X",VLOOKUP(AM$10,'VK-Biokütused'!$C:$U,2+$E98,0))+IF(AM$5="X",VLOOKUP(AM$10,'VK-Põlevkivi'!$C:$X,2+$G98,0))+IF(AM$4="X",VLOOKUP(AM$10,'VK-Võrgud'!$C:$X,2+$F98,0))</f>
        <v>11.5</v>
      </c>
      <c r="AN98" s="209">
        <f>IF(AN$7="X",VLOOKUP(AN$10,'VK-Hooned-Soojus'!$C:$X,2+$C98,FALSE),0)+IF(AN$6="X",VLOOKUP(AN$10,'VK-Transport'!$C:$X,2+$B98,0))+IF(AN$8="X",VLOOKUP(AN$10,'VK-Elekter'!$C:$X,2+$D98,0))+IF(AN$9="X",VLOOKUP(AN$10,'VK-Biokütused'!$C:$U,2+$E98,0))+IF(AN$5="X",VLOOKUP(AN$10,'VK-Põlevkivi'!$C:$X,2+$G98,0))+IF(AN$4="X",VLOOKUP(AN$10,'VK-Võrgud'!$C:$X,2+$F98,0))</f>
        <v>4.0999999999999996</v>
      </c>
      <c r="AO98" s="209">
        <f>IF(AO$7="X",VLOOKUP(AO$10,'VK-Hooned-Soojus'!$C:$X,2+$C98,FALSE),0)+IF(AO$6="X",VLOOKUP(AO$10,'VK-Transport'!$C:$X,2+$B98,0))+IF(AO$8="X",VLOOKUP(AO$10,'VK-Elekter'!$C:$X,2+$D98,0))+IF(AO$9="X",VLOOKUP(AO$10,'VK-Biokütused'!$C:$U,2+$E98,0))+IF(AO$5="X",VLOOKUP(AO$10,'VK-Põlevkivi'!$C:$X,2+$G98,0))+IF(AO$4="X",VLOOKUP(AO$10,'VK-Võrgud'!$C:$X,2+$F98,0))</f>
        <v>12.16</v>
      </c>
      <c r="AP98" s="209">
        <f>IF(AP$7="X",VLOOKUP(AP$10,'VK-Hooned-Soojus'!$C:$X,2+$C98,FALSE),0)+IF(AP$6="X",VLOOKUP(AP$10,'VK-Transport'!$C:$X,2+$B98,0))+IF(AP$8="X",VLOOKUP(AP$10,'VK-Elekter'!$C:$X,2+$D98,0))+IF(AP$9="X",VLOOKUP(AP$10,'VK-Biokütused'!$C:$U,2+$E98,0))+IF(AP$5="X",VLOOKUP(AP$10,'VK-Põlevkivi'!$C:$X,2+$G98,0))+IF(AP$4="X",VLOOKUP(AP$10,'VK-Võrgud'!$C:$X,2+$F98,0))</f>
        <v>6.08</v>
      </c>
      <c r="AQ98" s="320">
        <f t="shared" si="61"/>
        <v>0</v>
      </c>
      <c r="AR98" s="209">
        <f>IF(AR$7="X",VLOOKUP(AR$10,'VK-Hooned-Soojus'!$C:$X,2+$C98,FALSE),0)+IF(AR$6="X",VLOOKUP(AR$10,'VK-Transport'!$C:$X,2+$B98,0))+IF(AR$8="X",VLOOKUP(AR$10,'VK-Elekter'!$C:$X,2+$D98,0))+IF(AR$9="X",VLOOKUP(AR$10,'VK-Biokütused'!$C:$U,2+$E98,0))+IF(AR$5="X",VLOOKUP(AR$10,'VK-Põlevkivi'!$C:$X,2+$G98,0))+IF(AR$4="X",VLOOKUP(AR$10,'VK-Võrgud'!$C:$X,2+$F98,0))</f>
        <v>12.809999999999999</v>
      </c>
      <c r="AS98" s="235">
        <f>'VK-Põlevkivi'!$F$8-AR98-AU98</f>
        <v>14.298622986547709</v>
      </c>
      <c r="AT98" s="209">
        <f>IF(AT$7="X",VLOOKUP(AT$10,'VK-Hooned-Soojus'!$C:$X,2+$C98,FALSE),0)+IF(AT$6="X",VLOOKUP(AT$10,'VK-Transport'!$C:$X,2+$B98,0))+IF(AT$8="X",VLOOKUP(AT$10,'VK-Elekter'!$C:$X,2+$D98,0))+IF(AT$9="X",VLOOKUP(AT$10,'VK-Biokütused'!$C:$U,2+$E98,0))+IF(AT$5="X",VLOOKUP(AT$10,'VK-Põlevkivi'!$C:$X,2+$G98,0))+IF(AT$4="X",VLOOKUP(AT$10,'VK-Võrgud'!$C:$X,2+$F98,0))</f>
        <v>9.2784458909544707</v>
      </c>
      <c r="AU98" s="235">
        <f>'VK-Põlevkivi'!$F$9-VLOOKUP("Kütuste tarbimine @ 2030 - PÕLEVKIVIÕLI",'VK-Hooned-Soojus'!$C:$X,2+$C98,FALSE)</f>
        <v>29.428043680118964</v>
      </c>
      <c r="AV98" s="209">
        <f>IF(AV$7="X",VLOOKUP(AV$10,'VK-Hooned-Soojus'!$C:$X,2+$C98,FALSE),0)+IF(AV$6="X",VLOOKUP(AV$10,'VK-Transport'!$C:$X,2+$B98,0))+IF(AV$8="X",VLOOKUP(AV$10,'VK-Elekter'!$C:$X,2+$D98,0))+IF(AV$9="X",VLOOKUP(AV$10,'VK-Biokütused'!$C:$U,2+$E98,0))+IF(AV$5="X",VLOOKUP(AV$10,'VK-Põlevkivi'!$C:$X,2+$G98,0))+IF(AV$4="X",VLOOKUP(AV$10,'VK-Võrgud'!$C:$X,2+$F98,0))</f>
        <v>1.7257321590343366</v>
      </c>
      <c r="AW98" s="209">
        <f>IF(AW$7="X",VLOOKUP(AW$10,'VK-Hooned-Soojus'!$C:$X,2+$C98,FALSE),0)+IF(AW$6="X",VLOOKUP(AW$10,'VK-Transport'!$C:$X,2+$B98,0))+IF(AW$8="X",VLOOKUP(AW$10,'VK-Elekter'!$C:$X,2+$D98,0))+IF(AW$9="X",VLOOKUP(AW$10,'VK-Biokütused'!$C:$U,2+$E98,0))+IF(AW$5="X",VLOOKUP(AW$10,'VK-Põlevkivi'!$C:$X,2+$G98,0))+IF(AW$4="X",VLOOKUP(AW$10,'VK-Võrgud'!$C:$X,2+$F98,0))</f>
        <v>0</v>
      </c>
      <c r="AX98" s="229">
        <f t="shared" si="62"/>
        <v>0</v>
      </c>
      <c r="AY98" s="229">
        <f t="shared" si="63"/>
        <v>1.7257321590343366</v>
      </c>
      <c r="AZ98" s="230">
        <f t="shared" si="48"/>
        <v>0.32331761789454577</v>
      </c>
      <c r="BA98" s="209">
        <f>IF(BA$7="X",VLOOKUP(BA$10,'VK-Hooned-Soojus'!$C:$X,2+$C98,FALSE),0)+IF(BA$6="X",VLOOKUP(BA$10,'VK-Transport'!$C:$X,2+$B98,0))+IF(BA$8="X",VLOOKUP(BA$10,'VK-Elekter'!$C:$X,2+$D98,0))+IF(BA$9="X",VLOOKUP(BA$10,'VK-Biokütused'!$C:$U,2+$E98,0))+IF(BA$5="X",VLOOKUP(BA$10,'VK-Põlevkivi'!$C:$X,2+$G98,0))+IF(BA$4="X",VLOOKUP(BA$10,'VK-Võrgud'!$C:$X,2+$F98,0))</f>
        <v>7.41</v>
      </c>
      <c r="BB98" s="209">
        <f>IF(BB$7="X",VLOOKUP(BB$10,'VK-Hooned-Soojus'!$C:$X,2+$C98,FALSE),0)+IF(BB$6="X",VLOOKUP(BB$10,'VK-Transport'!$C:$X,2+$B98,0))+IF(BB$8="X",VLOOKUP(BB$10,'VK-Elekter'!$C:$X,2+$D98,0))+IF(BB$9="X",VLOOKUP(BB$10,'VK-Biokütused'!$C:$U,2+$E98,0))+IF(BB$5="X",VLOOKUP(BB$10,'VK-Põlevkivi'!$C:$X,2+$G98,0))+IF(BB$4="X",VLOOKUP(BB$10,'VK-Võrgud'!$C:$X,2+$F98,0))</f>
        <v>2.96</v>
      </c>
      <c r="BC98" s="209">
        <f>IF(BC$7="X",VLOOKUP(BC$10,'VK-Hooned-Soojus'!$C:$X,2+$C98,FALSE),0)+IF(BC$6="X",VLOOKUP(BC$10,'VK-Transport'!$C:$X,2+$B98,0))+IF(BC$8="X",VLOOKUP(BC$10,'VK-Elekter'!$C:$X,2+$D98,0))+IF(BC$9="X",VLOOKUP(BC$10,'VK-Biokütused'!$C:$U,2+$E98,0))+IF(BC$5="X",VLOOKUP(BC$10,'VK-Põlevkivi'!$C:$X,2+$G98,0))+IF(BC$4="X",VLOOKUP(BC$10,'VK-Võrgud'!$C:$X,2+$F98,0))</f>
        <v>5.2376666666666667</v>
      </c>
      <c r="BD98" s="209">
        <f>IF(BD$7="X",VLOOKUP(BD$10,'VK-Hooned-Soojus'!$C:$X,2+$C98,FALSE),0)+IF(BD$6="X",VLOOKUP(BD$10,'VK-Transport'!$C:$X,2+$B98,0))+IF(BD$8="X",VLOOKUP(BD$10,'VK-Elekter'!$C:$X,2+$D98,0))+IF(BD$9="X",VLOOKUP(BD$10,'VK-Biokütused'!$C:$U,2+$E98,0))+IF(BD$5="X",VLOOKUP(BD$10,'VK-Põlevkivi'!$C:$X,2+$G98,0))+IF(BD$4="X",VLOOKUP(BD$10,'VK-Võrgud'!$C:$X,2+$F98,0))</f>
        <v>9.1105555555555569</v>
      </c>
      <c r="BE98" s="230"/>
      <c r="BF98" s="229">
        <f t="shared" si="64"/>
        <v>0.25504877132506298</v>
      </c>
      <c r="BG98" s="209" t="e">
        <f>(IF(BG$7="X",VLOOKUP(BG$10,'VK-Hooned-Soojus'!$C:$X,2+$C98,FALSE),0)+IF(BG$6="X",VLOOKUP(BG$10,'VK-Transport'!$C:$X,2+$B98,0))+IF(BG$8="X",VLOOKUP(BG$10,'VK-Elekter'!$C:$X,2+$D98,0))+IF(BG$9="X",VLOOKUP(BG$10,'VK-Biokütused'!$C:$U,2+$E98,0))+IF(BG$5="X",VLOOKUP(BG$10,'VK-Põlevkivi'!$C:$X,2+$G98,0))+IF(BG$4="X",VLOOKUP(BG$10,'VK-Võrgud'!$C:$X,2+$F98,0)))/20</f>
        <v>#N/A</v>
      </c>
      <c r="BH98" s="209">
        <f>(IF(BH$7="X",VLOOKUP(BH$10,'VK-Hooned-Soojus'!$C:$X,2+$C98,FALSE),0)+IF(BH$6="X",VLOOKUP(BH$10,'VK-Transport'!$C:$X,2+$B98,0))+IF(BH$8="X",VLOOKUP(BH$10,'VK-Elekter'!$C:$X,2+$D98,0))+IF(BH$9="X",VLOOKUP(BH$10,'VK-Biokütused'!$C:$U,2+$E98,0))+IF(BH$5="X",VLOOKUP(BH$10,'VK-Põlevkivi'!$C:$X,2+$G98,0))+IF(BH$4="X",VLOOKUP(BH$10,'VK-Võrgud'!$C:$X,2+$F98,0)))/20</f>
        <v>84.204999999999998</v>
      </c>
      <c r="BI98" s="209">
        <f>(IF(BI$7="X",VLOOKUP(BI$10,'VK-Hooned-Soojus'!$C:$X,2+$C98,FALSE),0)+IF(BI$6="X",VLOOKUP(BI$10,'VK-Transport'!$C:$X,2+$B98,0))+IF(BI$8="X",VLOOKUP(BI$10,'VK-Elekter'!$C:$X,2+$D98,0))+IF(BI$9="X",VLOOKUP(BI$10,'VK-Biokütused'!$C:$U,2+$E98,0))+IF(BI$5="X",VLOOKUP(BI$10,'VK-Põlevkivi'!$C:$X,2+$G98,0))+IF(BI$4="X",VLOOKUP(BI$10,'VK-Võrgud'!$C:$X,2+$F98,0)))/16</f>
        <v>8.9375</v>
      </c>
      <c r="BJ98" s="209">
        <f>(IF(BJ$7="X",VLOOKUP(BJ$10,'VK-Hooned-Soojus'!$C:$X,2+$C98,FALSE),0)+IF(BJ$6="X",VLOOKUP(BJ$10,'VK-Transport'!$C:$X,2+$B98,0))+IF(BJ$8="X",VLOOKUP(BJ$10,'VK-Elekter'!$C:$X,2+$D98,0))+IF(BJ$9="X",VLOOKUP(BJ$10,'VK-Biokütused'!$C:$U,2+$E98,0))+IF(BJ$5="X",VLOOKUP(BJ$10,'VK-Põlevkivi'!$C:$X,2+$G98,0))+IF(BJ$4="X",VLOOKUP(BJ$10,'VK-Võrgud'!$C:$X,2+$F98,0)))/20</f>
        <v>5.33</v>
      </c>
      <c r="BK98" s="209"/>
      <c r="BL98" s="209"/>
      <c r="BM98" s="209"/>
      <c r="BN98" s="209" t="e">
        <f>(IF(BN$7="X",VLOOKUP(BN$10,'VK-Hooned-Soojus'!$C:$X,2+$C98,FALSE),0)+IF(BN$6="X",VLOOKUP(BN$10,'VK-Transport'!$C:$X,2+$B98,0))+IF(BN$8="X",VLOOKUP(BN$10,'VK-Elekter'!$C:$X,2+$D98,0))+IF(BN$9="X",VLOOKUP(BN$10,'VK-Biokütused'!$C:$U,2+$E98,0))+IF(BN$5="X",VLOOKUP(BN$10,'VK-Põlevkivi'!$C:$X,2+$G98,0))+IF(BN$4="X",VLOOKUP(BN$10,'VK-Võrgud'!$C:$X,2+$F98,0)))/16</f>
        <v>#N/A</v>
      </c>
      <c r="BO98" s="209">
        <f>(IF(BO$7="X",VLOOKUP(BO$10,'VK-Hooned-Soojus'!$C:$X,2+$C98,FALSE),0)+IF(BO$6="X",VLOOKUP(BO$10,'VK-Transport'!$C:$X,2+$B98,0))+IF(BO$8="X",VLOOKUP(BO$10,'VK-Elekter'!$C:$X,2+$D98,0))+IF(BO$9="X",VLOOKUP(BO$10,'VK-Biokütused'!$C:$U,2+$E98,0))+IF(BO$5="X",VLOOKUP(BO$10,'VK-Põlevkivi'!$C:$X,2+$G98,0))+IF(BO$4="X",VLOOKUP(BO$10,'VK-Võrgud'!$C:$X,2+$F98,0)))/16</f>
        <v>405.45</v>
      </c>
      <c r="BP98" s="209"/>
      <c r="BQ98" s="209">
        <f>(IF(BQ$7="X",VLOOKUP(BQ$10,'VK-Hooned-Soojus'!$C:$X,2+$C98,FALSE),0)+IF(BQ$6="X",VLOOKUP(BQ$10,'VK-Transport'!$C:$X,2+$B98,0))+IF(BQ$8="X",VLOOKUP(BQ$10,'VK-Elekter'!$C:$X,2+$D98,0))+IF(BQ$9="X",VLOOKUP(BQ$10,'VK-Biokütused'!$C:$U,2+$E98,0))+IF(BQ$5="X",VLOOKUP(BQ$10,'VK-Põlevkivi'!$C:$X,2+$G98,0))+IF(BQ$4="X",VLOOKUP(BQ$10,'VK-Võrgud'!$C:$X,2+$F98,0)))/16</f>
        <v>127.6</v>
      </c>
      <c r="BR98" s="209">
        <f>(IF(BR$7="X",VLOOKUP(BR$10,'VK-Hooned-Soojus'!$C:$X,2+$C98,FALSE),0)+IF(BR$6="X",VLOOKUP(BR$10,'VK-Transport'!$C:$X,2+$B98,0))+IF(BR$8="X",VLOOKUP(BR$10,'VK-Elekter'!$C:$X,2+$D98,0))+IF(BR$9="X",VLOOKUP(BR$10,'VK-Biokütused'!$C:$U,2+$E98,0))+IF(BR$5="X",VLOOKUP(BR$10,'VK-Põlevkivi'!$C:$X,2+$G98,0))+IF(BR$4="X",VLOOKUP(BR$10,'VK-Võrgud'!$C:$X,2+$F98,0)))/16</f>
        <v>27.475000000000001</v>
      </c>
      <c r="BS98" s="209">
        <f>(IF(BS$7="X",VLOOKUP(BS$10,'VK-Hooned-Soojus'!$C:$X,2+$C98,FALSE),0)+IF(BS$6="X",VLOOKUP(BS$10,'VK-Transport'!$C:$X,2+$B98,0))+IF(BS$8="X",VLOOKUP(BS$10,'VK-Elekter'!$C:$X,2+$D98,0))+IF(BS$9="X",VLOOKUP(BS$10,'VK-Biokütused'!$C:$U,2+$E98,0))+IF(BS$5="X",VLOOKUP(BS$10,'VK-Põlevkivi'!$C:$X,2+$G98,0))+IF(BS$4="X",VLOOKUP(BS$10,'VK-Võrgud'!$C:$X,2+$F98,0)))/16</f>
        <v>-23.293749999999999</v>
      </c>
      <c r="BT98" s="209"/>
      <c r="BU98" s="209"/>
      <c r="BV98" s="209">
        <f>(IF(BV$7="X",VLOOKUP(BV$10,'VK-Hooned-Soojus'!$C:$X,2+$C98,FALSE),0)+IF(BV$6="X",VLOOKUP(BV$10,'VK-Transport'!$C:$X,2+$B98,0))+IF(BV$8="X",VLOOKUP(BV$10,'VK-Elekter'!$C:$X,2+$D98,0))+IF(BV$9="X",VLOOKUP(BV$10,'VK-Biokütused'!$C:$U,2+$E98,0))+IF(BV$5="X",VLOOKUP(BV$10,'VK-Põlevkivi'!$C:$X,2+$G98,0))+IF(BV$4="X",VLOOKUP(BV$10,'VK-Võrgud'!$C:$X,2+$F98,0)))/16</f>
        <v>0</v>
      </c>
      <c r="BW98" s="209"/>
      <c r="BX98" s="209">
        <f>(IF(BX$7="X",VLOOKUP(BX$10,'VK-Hooned-Soojus'!$C:$X,2+$C98,FALSE),0)+IF(BX$6="X",VLOOKUP(BX$10,'VK-Transport'!$C:$X,2+$B98,0))+IF(BX$8="X",VLOOKUP(BX$10,'VK-Elekter'!$C:$X,2+$D98,0))+IF(BX$9="X",VLOOKUP(BX$10,'VK-Biokütused'!$C:$U,2+$E98,0))+IF(BX$5="X",VLOOKUP(BX$10,'VK-Põlevkivi'!$C:$X,2+$G98,0))+IF(BX$4="X",VLOOKUP(BX$10,'VK-Võrgud'!$C:$X,2+$F98,0)))/16</f>
        <v>-145.125</v>
      </c>
      <c r="BY98" s="209"/>
      <c r="BZ98" s="209"/>
      <c r="CA98" s="209" t="e">
        <f>(IF(CA$7="X",VLOOKUP(CA$10,'VK-Hooned-Soojus'!$C:$X,2+$C98,FALSE),0)+IF(CA$6="X",VLOOKUP(CA$10,'VK-Transport'!$C:$X,2+$B98,0))+IF(CA$8="X",VLOOKUP(CA$10,'VK-Elekter'!$C:$X,2+$D98,0))+IF(CA$9="X",VLOOKUP(CA$10,'VK-Biokütused'!$C:$U,2+$E98,0))+IF(CA$5="X",VLOOKUP(CA$10,'VK-Põlevkivi'!$C:$X,2+$G98,0))+IF(CA$4="X",VLOOKUP(CA$10,'VK-Võrgud'!$C:$X,2+$F98,0)))/16</f>
        <v>#N/A</v>
      </c>
      <c r="CB98" s="209">
        <f>(IF(CB$7="X",VLOOKUP(CB$10,'VK-Hooned-Soojus'!$C:$X,2+$C98,FALSE),0)+IF(CB$6="X",VLOOKUP(CB$10,'VK-Transport'!$C:$X,2+$B98,0))+IF(CB$8="X",VLOOKUP(CB$10,'VK-Elekter'!$C:$X,2+$D98,0))+IF(CB$9="X",VLOOKUP(CB$10,'VK-Biokütused'!$C:$U,2+$E98,0))+IF(CB$5="X",VLOOKUP(CB$10,'VK-Põlevkivi'!$C:$X,2+$G98,0))+IF(CB$4="X",VLOOKUP(CB$10,'VK-Võrgud'!$C:$X,2+$F98,0)))/16</f>
        <v>0</v>
      </c>
      <c r="CC98" s="209">
        <f>(IF(CC$7="X",VLOOKUP(CC$10,'VK-Hooned-Soojus'!$C:$X,2+$C98,FALSE),0)+IF(CC$6="X",VLOOKUP(CC$10,'VK-Transport'!$C:$X,2+$B98,0))+IF(CC$8="X",VLOOKUP(CC$10,'VK-Elekter'!$C:$X,2+$D98,0))+IF(CC$9="X",VLOOKUP(CC$10,'VK-Biokütused'!$C:$U,2+$E98,0))+IF(CC$5="X",VLOOKUP(CC$10,'VK-Põlevkivi'!$C:$X,2+$G98,0))+IF(CC$4="X",VLOOKUP(CC$10,'VK-Võrgud'!$C:$X,2+$F98,0)))/16</f>
        <v>0</v>
      </c>
      <c r="CD98" s="209"/>
      <c r="CE98" s="209">
        <f>(IF(CE$7="X",VLOOKUP(CE$10,'VK-Hooned-Soojus'!$C:$X,2+$C98,FALSE),0)+IF(CE$6="X",VLOOKUP(CE$10,'VK-Transport'!$C:$X,2+$B98,0))+IF(CE$8="X",VLOOKUP(CE$10,'VK-Elekter'!$C:$X,2+$D98,0))+IF(CE$9="X",VLOOKUP(CE$10,'VK-Biokütused'!$C:$U,2+$E98,0))+IF(CE$5="X",VLOOKUP(CE$10,'VK-Põlevkivi'!$C:$X,2+$G98,0))+IF(CE$4="X",VLOOKUP(CE$10,'VK-Võrgud'!$C:$X,2+$F98,0)))/16</f>
        <v>24.15625</v>
      </c>
      <c r="CF98" s="209"/>
      <c r="CG98" s="209">
        <f>(IF(CG$7="X",VLOOKUP(CG$10,'VK-Hooned-Soojus'!$C:$X,2+$C98,FALSE),0)+IF(CG$6="X",VLOOKUP(CG$10,'VK-Transport'!$C:$X,2+$B98,0))+IF(CG$8="X",VLOOKUP(CG$10,'VK-Elekter'!$C:$X,2+$D98,0))+IF(CG$9="X",VLOOKUP(CG$10,'VK-Biokütused'!$C:$U,2+$E98,0))+IF(CG$5="X",VLOOKUP(CG$10,'VK-Põlevkivi'!$C:$X,2+$G98,0))+IF(CG$4="X",VLOOKUP(CG$10,'VK-Võrgud'!$C:$X,2+$F98,0)))/16</f>
        <v>0</v>
      </c>
      <c r="CH98" s="209">
        <f>(IF(CH$7="X",VLOOKUP(CH$10,'VK-Hooned-Soojus'!$C:$X,2+$C98,FALSE),0)+IF(CH$6="X",VLOOKUP(CH$10,'VK-Transport'!$C:$X,2+$B98,0))+IF(CH$8="X",VLOOKUP(CH$10,'VK-Elekter'!$C:$X,2+$D98,0))+IF(CH$9="X",VLOOKUP(CH$10,'VK-Biokütused'!$C:$U,2+$E98,0))+IF(CH$5="X",VLOOKUP(CH$10,'VK-Põlevkivi'!$C:$X,2+$G98,0))+IF(CH$4="X",VLOOKUP(CH$10,'VK-Võrgud'!$C:$X,2+$F98,0)))/20*0.21</f>
        <v>26.9178</v>
      </c>
      <c r="CI98" s="209"/>
      <c r="CJ98" s="209">
        <f>(IF(CJ$7="X",VLOOKUP(CJ$10,'VK-Hooned-Soojus'!$C:$X,2+$C98,FALSE),0)+IF(CJ$6="X",VLOOKUP(CJ$10,'VK-Transport'!$C:$X,2+$B98,0))+IF(CJ$8="X",VLOOKUP(CJ$10,'VK-Elekter'!$C:$X,2+$D98,0))+IF(CJ$9="X",VLOOKUP(CJ$10,'VK-Biokütused'!$C:$U,2+$E98,0))+IF(CJ$5="X",VLOOKUP(CJ$10,'VK-Põlevkivi'!$C:$X,2+$G98,0))+IF(CJ$4="X",VLOOKUP(CJ$10,'VK-Võrgud'!$C:$X,2+$F98,0)))/1000</f>
        <v>21.945</v>
      </c>
      <c r="CK98" s="209">
        <f>(IF(CK$7="X",VLOOKUP(CK$10,'VK-Hooned-Soojus'!$C:$X,2+$C98,FALSE),0)+IF(CK$6="X",VLOOKUP(CK$10,'VK-Transport'!$C:$X,2+$B98,0))+IF(CK$8="X",VLOOKUP(CK$10,'VK-Elekter'!$C:$X,2+$D98,0))+IF(CK$9="X",VLOOKUP(CK$10,'VK-Biokütused'!$C:$U,2+$E98,0))+IF(CK$5="X",VLOOKUP(CK$10,'VK-Põlevkivi'!$C:$X,2+$G98,0))+IF(CK$4="X",VLOOKUP(CK$10,'VK-Võrgud'!$C:$X,2+$F98,0)))/1000</f>
        <v>37.840916215793229</v>
      </c>
      <c r="CL98" s="209">
        <f>(IF(CL$7="X",VLOOKUP(CL$10,'VK-Hooned-Soojus'!$C:$X,2+$C98,FALSE),0)+IF(CL$6="X",VLOOKUP(CL$10,'VK-Transport'!$C:$X,2+$B98,0))+IF(CL$8="X",VLOOKUP(CL$10,'VK-Elekter'!$C:$X,2+$D98,0))+IF(CL$9="X",VLOOKUP(CL$10,'VK-Biokütused'!$C:$U,2+$E98,0))+IF(CL$5="X",VLOOKUP(CL$10,'VK-Põlevkivi'!$C:$X,2+$G98,0))+IF(CL$4="X",VLOOKUP(CL$10,'VK-Võrgud'!$C:$X,2+$F98,0)))/1000</f>
        <v>11.414289559723789</v>
      </c>
      <c r="CM98" s="209">
        <f>(IF(CM$7="X",VLOOKUP(CM$10,'VK-Hooned-Soojus'!$C:$X,2+$C98,FALSE),0)+IF(CM$6="X",VLOOKUP(CM$10,'VK-Transport'!$C:$X,2+$B98,0))+IF(CM$8="X",VLOOKUP(CM$10,'VK-Elekter'!$C:$X,2+$D98,0))+IF(CM$9="X",VLOOKUP(CM$10,'VK-Biokütused'!$C:$U,2+$E98,0))+IF(CM$5="X",VLOOKUP(CM$10,'VK-Põlevkivi'!$C:$X,2+$G98,0))+IF(CM$4="X",VLOOKUP(CM$10,'VK-Võrgud'!$C:$X,2+$F98,0)))/1000</f>
        <v>7.545989615604916</v>
      </c>
      <c r="CN98" s="209">
        <f>(IF(CN$7="X",VLOOKUP(CN$10,'VK-Hooned-Soojus'!$C:$X,2+$C98,FALSE),0)+IF(CN$6="X",VLOOKUP(CN$10,'VK-Transport'!$C:$X,2+$B98,0))+IF(CN$8="X",VLOOKUP(CN$10,'VK-Elekter'!$C:$X,2+$D98,0))+IF(CN$9="X",VLOOKUP(CN$10,'VK-Biokütused'!$C:$U,2+$E98,0))+IF(CN$5="X",VLOOKUP(CN$10,'VK-Põlevkivi'!$C:$X,2+$G98,0))+IF(CN$4="X",VLOOKUP(CN$10,'VK-Võrgud'!$C:$X,2+$F98,0)))/1000</f>
        <v>2.8980000000000001</v>
      </c>
      <c r="CO98" s="209">
        <f>(IF(CO$7="X",VLOOKUP(CO$10,'VK-Hooned-Soojus'!$C:$X,2+$C98,FALSE),0)+IF(CO$6="X",VLOOKUP(CO$10,'VK-Transport'!$C:$X,2+$B98,0))+IF(CO$8="X",VLOOKUP(CO$10,'VK-Elekter'!$C:$X,2+$D98,0))+IF(CO$9="X",VLOOKUP(CO$10,'VK-Biokütused'!$C:$U,2+$E98,0))+IF(CO$5="X",VLOOKUP(CO$10,'VK-Põlevkivi'!$C:$X,2+$G98,0))+IF(CO$4="X",VLOOKUP(CO$10,'VK-Võrgud'!$C:$X,2+$F98,0)))/1000</f>
        <v>29.187575210797281</v>
      </c>
      <c r="CP98" s="209">
        <f>(IF(CP$7="X",VLOOKUP(CP$10,'VK-Hooned-Soojus'!$C:$X,2+$C98,FALSE),0)+IF(CP$6="X",VLOOKUP(CP$10,'VK-Transport'!$C:$X,2+$B98,0))+IF(CP$8="X",VLOOKUP(CP$10,'VK-Elekter'!$C:$X,2+$D98,0))+IF(CP$9="X",VLOOKUP(CP$10,'VK-Biokütused'!$C:$U,2+$E98,0))+IF(CP$5="X",VLOOKUP(CP$10,'VK-Põlevkivi'!$C:$X,2+$G98,0))+IF(CP$4="X",VLOOKUP(CP$10,'VK-Võrgud'!$C:$X,2+$F98,0)))/1000</f>
        <v>32.302476724654099</v>
      </c>
      <c r="CQ98" s="209">
        <f>(IF(CQ$7="X",VLOOKUP(CQ$10,'VK-Hooned-Soojus'!$C:$X,2+$C98,FALSE),0)+IF(CQ$6="X",VLOOKUP(CQ$10,'VK-Transport'!$C:$X,2+$B98,0))+IF(CQ$8="X",VLOOKUP(CQ$10,'VK-Elekter'!$C:$X,2+$D98,0))+IF(CQ$9="X",VLOOKUP(CQ$10,'VK-Biokütused'!$C:$U,2+$E98,0))+IF(CQ$5="X",VLOOKUP(CQ$10,'VK-Põlevkivi'!$C:$X,2+$G98,0))+IF(CQ$4="X",VLOOKUP(CQ$10,'VK-Võrgud'!$C:$X,2+$F98,0)))/1000</f>
        <v>16.929345999999999</v>
      </c>
      <c r="CR98" s="209">
        <f>(IF(CR$7="X",VLOOKUP(CR$10,'VK-Hooned-Soojus'!$C:$X,2+$C98,FALSE),0)+IF(CR$6="X",VLOOKUP(CR$10,'VK-Transport'!$C:$X,2+$B98,0))+IF(CR$8="X",VLOOKUP(CR$10,'VK-Elekter'!$C:$X,2+$D98,0))+IF(CR$9="X",VLOOKUP(CR$10,'VK-Biokütused'!$C:$U,2+$E98,0))+IF(CR$5="X",VLOOKUP(CR$10,'VK-Põlevkivi'!$C:$X,2+$G98,0))+IF(CR$4="X",VLOOKUP(CR$10,'VK-Võrgud'!$C:$X,2+$F98,0)))/1000</f>
        <v>8.0170872784575753</v>
      </c>
      <c r="CS98" s="209">
        <f>(IF(CS$7="X",VLOOKUP(CS$10,'VK-Hooned-Soojus'!$C:$X,2+$C98,FALSE),0)+IF(CS$6="X",VLOOKUP(CS$10,'VK-Transport'!$C:$X,2+$B98,0))+IF(CS$8="X",VLOOKUP(CS$10,'VK-Elekter'!$C:$X,2+$D98,0))+IF(CS$9="X",VLOOKUP(CS$10,'VK-Biokütused'!$C:$U,2+$E98,0))+IF(CS$5="X",VLOOKUP(CS$10,'VK-Põlevkivi'!$C:$X,2+$G98,0))+IF(CS$4="X",VLOOKUP(CS$10,'VK-Võrgud'!$C:$X,2+$F98,0)))/1000</f>
        <v>3.7943344900598324</v>
      </c>
      <c r="CT98" s="209">
        <f>IF(CT$7="X",VLOOKUP(CT$10,'VK-Hooned-Soojus'!$C:$X,2+$C98,FALSE),0)+IF(CT$6="X",VLOOKUP(CT$10,'VK-Transport'!$C:$X,2+$B98,0))+IF(CT$8="X",VLOOKUP(CT$10,'VK-Elekter'!$C:$X,2+$D98,0))+IF(CT$9="X",VLOOKUP(CT$10,'VK-Biokütused'!$C:$U,2+$E98,0))+IF(CT$5="X",VLOOKUP(CT$10,'VK-Põlevkivi'!$C:$X,2+$G98,0))+IF(CT$4="X",VLOOKUP(CT$10,'VK-Võrgud'!$C:$X,2+$F98,0))</f>
        <v>90</v>
      </c>
      <c r="CU98" s="209">
        <f>IF(CU$7="X",VLOOKUP(CU$10,'VK-Hooned-Soojus'!$C:$X,2+$C98,FALSE),0)+IF(CU$6="X",VLOOKUP(CU$10,'VK-Transport'!$C:$X,2+$B98,0))+IF(CU$8="X",VLOOKUP(CU$10,'VK-Elekter'!$C:$X,2+$D98,0))+IF(CU$9="X",VLOOKUP(CU$10,'VK-Biokütused'!$C:$U,2+$E98,0))+IF(CU$5="X",VLOOKUP(CU$10,'VK-Põlevkivi'!$C:$X,2+$G98,0))+IF(CU$4="X",VLOOKUP(CU$10,'VK-Võrgud'!$C:$X,2+$F98,0))</f>
        <v>1</v>
      </c>
      <c r="CV98" s="209">
        <f t="shared" si="49"/>
        <v>1</v>
      </c>
      <c r="CW98" s="209">
        <f>(IF(CW$7="X",VLOOKUP(CW$10,'VK-Hooned-Soojus'!$C:$X,2+$C98,FALSE),0)+IF(CW$6="X",VLOOKUP(CW$10,'VK-Transport'!$C:$X,2+$B98,0))+IF(CW$8="X",VLOOKUP(CW$10,'VK-Elekter'!$C:$X,2+$D98,0))+IF(CW$9="X",VLOOKUP(CW$10,'VK-Biokütused'!$C:$U,2+$E98,0))+IF(CW$5="X",VLOOKUP(CW$10,'VK-Põlevkivi'!$C:$X,2+$G98,0))+IF(CW$4="X",VLOOKUP(CW$10,'VK-Võrgud'!$C:$X,2+$F98,0)))/16</f>
        <v>0</v>
      </c>
      <c r="CY98" s="209">
        <f>(IF(CY$7="X",VLOOKUP(CY$10,'VK-Hooned-Soojus'!$C:$X,2+$C98,FALSE),0)+IF(CY$6="X",VLOOKUP(CY$10,'VK-Transport'!$C:$X,2+$B98,0))+IF(CY$8="X",VLOOKUP(CY$10,'VK-Elekter'!$C:$X,2+$D98,0))+IF(CY$9="X",VLOOKUP(CY$10,'VK-Biokütused'!$C:$U,2+$E98,0))+IF(CY$5="X",VLOOKUP(CY$10,'VK-Põlevkivi'!$C:$X,2+$G98,0))+IF(CY$4="X",VLOOKUP(CY$10,'VK-Võrgud'!$C:$X,2+$F98,0)))/1000</f>
        <v>11.247999999999999</v>
      </c>
      <c r="CZ98" s="209">
        <f>(IF(CZ$7="X",VLOOKUP(CZ$10,'VK-Hooned-Soojus'!$C:$X,2+$C98,FALSE),0)+IF(CZ$6="X",VLOOKUP(CZ$10,'VK-Transport'!$C:$X,2+$B98,0))+IF(CZ$8="X",VLOOKUP(CZ$10,'VK-Elekter'!$C:$X,2+$D98,0))+IF(CZ$9="X",VLOOKUP(CZ$10,'VK-Biokütused'!$C:$U,2+$E98,0))+IF(CZ$5="X",VLOOKUP(CZ$10,'VK-Põlevkivi'!$C:$X,2+$G98,0))+IF(CZ$4="X",VLOOKUP(CZ$10,'VK-Võrgud'!$C:$X,2+$F98,0)))</f>
        <v>93</v>
      </c>
      <c r="DA98" s="209">
        <f>(IF(DA$7="X",VLOOKUP(DA$10,'VK-Hooned-Soojus'!$C:$X,2+$C98,FALSE),0)+IF(DA$6="X",VLOOKUP(DA$10,'VK-Transport'!$C:$X,2+$B98,0))+IF(DA$8="X",VLOOKUP(DA$10,'VK-Elekter'!$C:$X,2+$D98,0))+IF(DA$9="X",VLOOKUP(DA$10,'VK-Biokütused'!$C:$U,2+$E98,0))+IF(DA$5="X",VLOOKUP(DA$10,'VK-Põlevkivi'!$C:$X,2+$G98,0))+IF(DA$4="X",VLOOKUP(DA$10,'VK-Võrgud'!$C:$X,2+$F98,0)))/1000</f>
        <v>16.338000000000001</v>
      </c>
      <c r="DB98" s="209">
        <f>(IF(DB$7="X",VLOOKUP(DB$10,'VK-Hooned-Soojus'!$C:$X,2+$C98,FALSE),0)+IF(DB$6="X",VLOOKUP(DB$10,'VK-Transport'!$C:$X,2+$B98,0))+IF(DB$8="X",VLOOKUP(DB$10,'VK-Elekter'!$C:$X,2+$D98,0))+IF(DB$9="X",VLOOKUP(DB$10,'VK-Biokütused'!$C:$U,2+$E98,0))+IF(DB$5="X",VLOOKUP(DB$10,'VK-Põlevkivi'!$C:$X,2+$G98,0))+IF(DB$4="X",VLOOKUP(DB$10,'VK-Võrgud'!$C:$X,2+$F98,0)))/1000/3.6</f>
        <v>134.98333333333332</v>
      </c>
      <c r="DC98" s="209">
        <f>(IF(DC$7="X",VLOOKUP(DC$10,'VK-Hooned-Soojus'!$C:$X,2+$C98,FALSE),0)+IF(DC$6="X",VLOOKUP(DC$10,'VK-Transport'!$C:$X,2+$B98,0))+IF(DC$8="X",VLOOKUP(DC$10,'VK-Elekter'!$C:$X,2+$D98,0))+IF(DC$9="X",VLOOKUP(DC$10,'VK-Biokütused'!$C:$U,2+$E98,0))+IF(DC$5="X",VLOOKUP(DC$10,'VK-Põlevkivi'!$C:$X,2+$G98,0))+IF(DC$4="X",VLOOKUP(DC$10,'VK-Võrgud'!$C:$X,2+$F98,0)))/1000000</f>
        <v>7.2706559999999998</v>
      </c>
      <c r="DD98" s="209"/>
      <c r="DE98" s="88">
        <f>VLOOKUP(Tulemused!$BN$12,data!M$7:N$12,2,FALSE)-SUM(L98,M98)</f>
        <v>-0.77386666666667736</v>
      </c>
      <c r="DF98" s="209" t="str">
        <f>IF(AZ98&lt;=VLOOKUP(Tulemused!$BN$15,data!$E$36:$F$39,2,FALSE),"JAH","EI")</f>
        <v>JAH</v>
      </c>
      <c r="DG98" s="209"/>
      <c r="DH98" s="209">
        <f t="shared" si="50"/>
        <v>6.08</v>
      </c>
      <c r="DI98" s="231" t="str">
        <f t="shared" si="65"/>
        <v>EI</v>
      </c>
      <c r="DK98" s="232">
        <f t="shared" si="51"/>
        <v>-995.07798194950567</v>
      </c>
      <c r="DM98" s="233">
        <f t="shared" si="52"/>
        <v>-996.03796021417281</v>
      </c>
      <c r="DN98" s="87">
        <f t="array" ref="DN98">INDEX($A$11:$A$145, SMALL(IF(DM98=$DK$11:$DK$145, MATCH(ROW($DK$11:$DK$145), ROW($DK$11:$DK$145))), SUM(--(DM98=$DM$11:DM98))))</f>
        <v>62</v>
      </c>
      <c r="DP98" s="87" t="e">
        <f t="shared" ca="1" si="66"/>
        <v>#N/A</v>
      </c>
      <c r="DQ98" s="87" t="e">
        <f t="shared" ca="1" si="67"/>
        <v>#N/A</v>
      </c>
      <c r="DR98" s="87">
        <f t="shared" ca="1" si="68"/>
        <v>0</v>
      </c>
      <c r="DS98" s="87" t="e">
        <f t="shared" ca="1" si="69"/>
        <v>#N/A</v>
      </c>
      <c r="DT98" s="87">
        <f t="shared" ca="1" si="70"/>
        <v>0</v>
      </c>
      <c r="DU98" s="87" t="e">
        <f t="shared" ca="1" si="71"/>
        <v>#N/A</v>
      </c>
      <c r="DV98" s="87" t="e">
        <f t="shared" ca="1" si="72"/>
        <v>#N/A</v>
      </c>
      <c r="DW98" s="87">
        <f t="shared" ca="1" si="73"/>
        <v>0</v>
      </c>
      <c r="DX98" s="87">
        <f t="shared" ca="1" si="74"/>
        <v>0</v>
      </c>
      <c r="DZ98" s="87">
        <f t="shared" ca="1" si="82"/>
        <v>0</v>
      </c>
      <c r="EB98" s="87">
        <f t="shared" ca="1" si="75"/>
        <v>0</v>
      </c>
      <c r="EC98" s="87" t="e">
        <f t="shared" ca="1" si="76"/>
        <v>#N/A</v>
      </c>
      <c r="EE98" s="228">
        <f>(IF(EE$7="X",VLOOKUP(EE$10,'VK-Hooned-Soojus'!$C:$X,2+$C98,FALSE),0)+IF(EE$6="X",VLOOKUP(EE$10,'VK-Transport'!$C:$X,2+$B98,0))+IF(EE$8="X",VLOOKUP(EE$10,'VK-Elekter'!$C:$X,2+$D98,0))+IF(EE$9="X",VLOOKUP(EE$10,'VK-Biokütused'!$C:$U,2+$E98,0))+IF(EE$5="X",VLOOKUP(EE$10,'VK-Põlevkivi'!$C:$X,2+$G98,0))+IF(EE$4="X",VLOOKUP(EE$10,'VK-Võrgud'!$C:$X,2+$F98,0)))</f>
        <v>7704.8656298250016</v>
      </c>
      <c r="EF98" s="209">
        <f>(IF(EF$7="X",VLOOKUP(EF$10,'VK-Hooned-Soojus'!$C:$X,2+$C98,FALSE),0)+IF(EF$6="X",VLOOKUP(EF$10,'VK-Transport'!$C:$X,2+$B98,0))+IF(EF$8="X",VLOOKUP(EF$10,'VK-Elekter'!$C:$X,2+$D98,0))+IF(EF$9="X",VLOOKUP(EF$10,'VK-Biokütused'!$C:$U,2+$E98,0))+IF(EF$5="X",VLOOKUP(EF$10,'VK-Põlevkivi'!$C:$X,2+$G98,0))+IF(EF$4="X",VLOOKUP(EF$10,'VK-Võrgud'!$C:$X,2+$F98,0)))/1000</f>
        <v>8.5853823271229697</v>
      </c>
      <c r="EG98" s="209">
        <f>(IF(EG$7="X",VLOOKUP(EG$10,'VK-Hooned-Soojus'!$C:$X,2+$C98,FALSE),0)+IF(EG$6="X",VLOOKUP(EG$10,'VK-Transport'!$C:$X,2+$B98,0))+IF(EG$8="X",VLOOKUP(EG$10,'VK-Elekter'!$C:$X,2+$D98,0))+IF(EG$9="X",VLOOKUP(EG$10,'VK-Biokütused'!$C:$U,2+$E98,0))+IF(EG$5="X",VLOOKUP(EG$10,'VK-Põlevkivi'!$C:$X,2+$G98,0))+IF(EG$4="X",VLOOKUP(EG$10,'VK-Võrgud'!$C:$X,2+$F98,0)))</f>
        <v>0.81</v>
      </c>
      <c r="EH98" s="209">
        <f>(IF(EH$7="X",VLOOKUP(EH$10,'VK-Hooned-Soojus'!$C:$X,2+$C98,FALSE),0)+IF(EH$6="X",VLOOKUP(EH$10,'VK-Transport'!$C:$X,2+$B98,0))+IF(EH$8="X",VLOOKUP(EH$10,'VK-Elekter'!$C:$X,2+$D98,0))+IF(EH$9="X",VLOOKUP(EH$10,'VK-Biokütused'!$C:$U,2+$E98,0)))+AR98+AS98+AU98+AX98</f>
        <v>90.340833333333336</v>
      </c>
      <c r="EI98" s="320">
        <f t="shared" si="53"/>
        <v>60.912789653214375</v>
      </c>
      <c r="EJ98" s="322">
        <f t="shared" si="54"/>
        <v>2.3391437578713474E-2</v>
      </c>
      <c r="EK98" s="323">
        <f t="shared" si="77"/>
        <v>0.39841358381950748</v>
      </c>
      <c r="EM98" s="209"/>
      <c r="EN98" s="209">
        <f t="shared" ca="1" si="55"/>
        <v>0</v>
      </c>
      <c r="EO98" s="209"/>
      <c r="EP98" s="234"/>
      <c r="EQ98" s="209">
        <f>(IF(EQ$7="X",VLOOKUP(EQ$10,'VK-Hooned-Soojus'!$C:$X,2+$C98,FALSE),0)+IF(EQ$6="X",VLOOKUP(EQ$10,'VK-Transport'!$C:$X,2+$B98,0))+IF(EQ$8="X",VLOOKUP(EQ$10,'VK-Elekter'!$C:$X,2+$D98,0))+IF(EQ$9="X",VLOOKUP(EQ$10,'VK-Biokütused'!$C:$U,2+$E98,0))+IF(EQ$5="X",VLOOKUP(EQ$10,'VK-Põlevkivi'!$C:$X,2+$G98,0))+IF(EQ$4="X",VLOOKUP(EQ$10,'VK-Võrgud'!$C:$X,2+$F98,0)))/1000</f>
        <v>0.19900000000000001</v>
      </c>
      <c r="ER98" s="209">
        <f>(IF(ER$7="X",VLOOKUP(ER$10,'VK-Hooned-Soojus'!$C:$X,2+$C98,FALSE),0)+IF(ER$6="X",VLOOKUP(ER$10,'VK-Transport'!$C:$X,2+$B98,0))+IF(ER$8="X",VLOOKUP(ER$10,'VK-Elekter'!$C:$X,2+$D98,0))+IF(ER$9="X",VLOOKUP(ER$10,'VK-Biokütused'!$C:$U,2+$E98,0))+IF(ER$5="X",VLOOKUP(ER$10,'VK-Põlevkivi'!$C:$X,2+$G98,0))+IF(ER$4="X",VLOOKUP(ER$10,'VK-Võrgud'!$C:$X,2+$F98,0)))</f>
        <v>0.72299999999999998</v>
      </c>
      <c r="ES98" s="209">
        <f>(IF(ES$7="X",VLOOKUP(ES$10,'VK-Hooned-Soojus'!$C:$X,2+$C98,FALSE),0)+IF(ES$6="X",VLOOKUP(ES$10,'VK-Transport'!$C:$X,2+$B98,0))+IF(ES$8="X",VLOOKUP(ES$10,'VK-Elekter'!$C:$X,2+$D98,0))+IF(ES$9="X",VLOOKUP(ES$10,'VK-Biokütused'!$C:$U,2+$E98,0))+IF(ES$5="X",VLOOKUP(ES$10,'VK-Põlevkivi'!$C:$X,2+$G98,0))+IF(ES$4="X",VLOOKUP(ES$10,'VK-Võrgud'!$C:$X,2+$F98,0)))</f>
        <v>6.08</v>
      </c>
      <c r="ET98" s="209"/>
      <c r="EU98" s="209"/>
      <c r="EV98" s="87">
        <f>'KSH järjestus'!AS91</f>
        <v>1376</v>
      </c>
      <c r="EX98" s="236"/>
      <c r="EY98" s="236"/>
      <c r="EZ98" s="237">
        <f t="shared" si="56"/>
        <v>0</v>
      </c>
      <c r="FA98" s="209">
        <f>IF(FA$7="X",VLOOKUP(FA$10,'VK-Hooned-Soojus'!$C:$X,2+$C98,FALSE),0)+IF(FA$6="X",VLOOKUP(FA$10,'VK-Transport'!$C:$X,2+$B98,0))+IF(FA$8="X",VLOOKUP(FA$10,'VK-Elekter'!$C:$X,2+$D98,0))+IF(FA$9="X",VLOOKUP(FA$10,'VK-Biokütused'!$C:$U,2+$E98,0))+IF(FA$5="X",VLOOKUP(FA$10,'VK-Põlevkivi'!$C:$X,2+$G98,0))+IF(FA$4="X",VLOOKUP(FA$10,'VK-Võrgud'!$C:$X,2+$F98,0))</f>
        <v>3009.346</v>
      </c>
      <c r="FB98" s="279">
        <f>(IF(FB$7="X",VLOOKUP(FB$10,'VK-Hooned-Soojus'!$C:$X,2+$C98,FALSE),0)+IF(FB$6="X",VLOOKUP(FB$10,'VK-Transport'!$C:$X,2+$B98,0))+IF(FB$8="X",VLOOKUP(FB$10,'VK-Elekter'!$C:$X,2+$D98,0))+IF(FB$9="X",VLOOKUP(FB$10,'VK-Biokütused'!$C:$U,2+$E98,0))+IF(FB$5="X",VLOOKUP(FB$10,'VK-Põlevkivi'!$C:$X,2+$G98,0))+IF(FB$4="X",VLOOKUP(FB$10,'VK-Võrgud'!$C:$X,2+$F98,0)))/16</f>
        <v>650.84098296562524</v>
      </c>
      <c r="FC98" s="209">
        <f>IF(FC$7="X",VLOOKUP(FC$10,'VK-Hooned-Soojus'!$C:$X,2+$C98,FALSE),0)+IF(FC$6="X",VLOOKUP(FC$10,'VK-Transport'!$C:$X,2+$B98,0))+IF(FC$8="X",VLOOKUP(FC$10,'VK-Elekter'!$C:$X,2+$D98,0))+IF(FC$9="X",VLOOKUP(FC$10,'VK-Biokütused'!$C:$U,2+$E98,0))+IF(FC$5="X",VLOOKUP(FC$10,'VK-Põlevkivi'!$C:$X,2+$G98,0))+IF(FC$4="X",VLOOKUP(FC$10,'VK-Võrgud'!$C:$X,2+$F98,0))</f>
        <v>296.95</v>
      </c>
      <c r="FD98" s="209">
        <f>(IF(FD$7="X",VLOOKUP(FD$10,'VK-Hooned-Soojus'!$C:$X,2+$C98,FALSE),0)+IF(FD$6="X",VLOOKUP(FD$10,'VK-Transport'!$C:$X,2+$B98,0))+IF(FD$8="X",VLOOKUP(FD$10,'VK-Elekter'!$C:$X,2+$D98,0))+IF(FD$9="X",VLOOKUP(FD$10,'VK-Biokütused'!$C:$U,2+$E98,0))+IF(FD$5="X",VLOOKUP(FD$10,'VK-Põlevkivi'!$C:$X,2+$G98,0))+IF(FD$4="X",VLOOKUP(FD$10,'VK-Võrgud'!$C:$X,2+$F98,0)))/16</f>
        <v>650.84098296562524</v>
      </c>
      <c r="FE98" s="209">
        <f>(IF(FE$7="X",VLOOKUP(FE$10,'VK-Hooned-Soojus'!$C:$X,2+$C98,FALSE),0)+IF(FE$6="X",VLOOKUP(FE$10,'VK-Transport'!$C:$X,2+$B98,0))+IF(FE$8="X",VLOOKUP(FE$10,'VK-Elekter'!$C:$X,2+$D98,0))+IF(FE$9="X",VLOOKUP(FE$10,'VK-Biokütused'!$C:$U,2+$E98,0))+IF(FE$5="X",VLOOKUP(FE$10,'VK-Põlevkivi'!$C:$X,2+$G98,0))+IF(FE$4="X",VLOOKUP(FE$10,'VK-Võrgud'!$C:$X,2+$F98,0)))/16</f>
        <v>-147.50125</v>
      </c>
      <c r="FF98" s="209">
        <f>(IF(FF$7="X",VLOOKUP(FF$10,'VK-Hooned-Soojus'!$C:$X,2+$C98,FALSE),0)+IF(FF$6="X",VLOOKUP(FF$10,'VK-Transport'!$C:$X,2+$B98,0))+IF(FF$8="X",VLOOKUP(FF$10,'VK-Elekter'!$C:$X,2+$D98,0))+IF(FF$9="X",VLOOKUP(FF$10,'VK-Biokütused'!$C:$U,2+$E98,0))+IF(FF$5="X",VLOOKUP(FF$10,'VK-Põlevkivi'!$C:$X,2+$G98,0))+IF(FF$4="X",VLOOKUP(FF$10,'VK-Võrgud'!$C:$X,2+$F98,0)))/16</f>
        <v>220.14115758164883</v>
      </c>
      <c r="FG98" s="88">
        <f t="shared" ca="1" si="78"/>
        <v>72.639907581648828</v>
      </c>
      <c r="FH98" s="88"/>
      <c r="FI98" s="88"/>
      <c r="FJ98" s="88">
        <f>VLOOKUP(Tulemused!$BN$12,data!M$7:N$12,2,FALSE)-SUM(L98,M98)</f>
        <v>-0.77386666666667736</v>
      </c>
      <c r="FK98" s="209" t="str">
        <f>IF(AZ98&lt;=VLOOKUP(Tulemused!$BN$15,data!$E$36:$F$39,2,FALSE),"JAH","EI")</f>
        <v>JAH</v>
      </c>
      <c r="FL98" s="235">
        <f ca="1">IF(ISNA(MATCH($A98,INDIRECT(VLOOKUP(Tulemused!$BF$11,data!$J$57:$M$71,4,FALSE)))),0,MATCH($A98,INDIRECT(VLOOKUP(Tulemused!$BF$11,data!$J$57:$M$71,4,FALSE))))</f>
        <v>0</v>
      </c>
      <c r="FM98" s="235" t="str">
        <f t="shared" ca="1" si="57"/>
        <v>JAH</v>
      </c>
      <c r="FN98" s="209">
        <f>VLOOKUP(Tulemused!$BN$13,data!$C$132:$D$137,2,FALSE)-KOMBI!R98</f>
        <v>3.8465876728770305</v>
      </c>
      <c r="FO98" s="209"/>
      <c r="FP98" s="209">
        <f>VLOOKUP(Tulemused!$BN$17,NO_x,2,FALSE)-CJ98</f>
        <v>7.4929999999999986</v>
      </c>
      <c r="FQ98" s="209">
        <f>VLOOKUP(Tulemused!$BN$18,SO_2,2,FALSE)-CK98</f>
        <v>14.043083784206772</v>
      </c>
      <c r="FR98" s="209">
        <f>VLOOKUP(Tulemused!$BN$19,LOU,2,FALSE)-CN98</f>
        <v>34.182000000000002</v>
      </c>
      <c r="FS98" s="209">
        <f>VLOOKUP(Tulemused!$BN$20,PM_2.5,2,FALSE)-CM98</f>
        <v>9.3690103843950823</v>
      </c>
      <c r="FT98" s="209">
        <f>VLOOKUP(Tulemused!$BN$13,data!$C$132:$D$137,2,FALSE)-FA98/1000</f>
        <v>3.2366240000000008</v>
      </c>
      <c r="FU98" s="209">
        <f>VLOOKUP(Tulemused!$BN$17,NO_x,2,FALSE)-CO98</f>
        <v>0.25042478920271805</v>
      </c>
      <c r="FV98" s="209">
        <f>VLOOKUP(Tulemused!$BN$18,SO_2,2,FALSE)-CP98</f>
        <v>19.581523275345901</v>
      </c>
      <c r="FW98" s="209">
        <f>VLOOKUP(Tulemused!$BN$19,LOU,2,FALSE)-CS98</f>
        <v>33.285665509940173</v>
      </c>
      <c r="FX98" s="209">
        <f>VLOOKUP(Tulemused!$BN$20,PM_2.5,2,FALSE)-CR98</f>
        <v>8.8979127215424239</v>
      </c>
      <c r="FY98" s="209">
        <f>VLOOKUP(Tulemused!$BN$14,KHG_2050,2,FALSE)-EF98</f>
        <v>91.414617672877029</v>
      </c>
      <c r="FZ98" s="231" t="str">
        <f t="shared" ca="1" si="79"/>
        <v>EI</v>
      </c>
      <c r="GA98" s="209"/>
      <c r="GB98" s="209"/>
      <c r="GC98" s="209"/>
      <c r="GD98" s="231"/>
      <c r="GE98" s="87">
        <f t="shared" si="58"/>
        <v>1376</v>
      </c>
      <c r="GF98" s="232" t="str">
        <f t="shared" ca="1" si="80"/>
        <v/>
      </c>
      <c r="GH98" s="238" t="e">
        <f t="shared" ca="1" si="59"/>
        <v>#NUM!</v>
      </c>
      <c r="GI98" s="87" t="e">
        <f t="array" aca="1" ref="GI98" ca="1">INDEX($A$11:$A$145, SMALL(IF(GH98=$GF$11:$GF$145, MATCH(ROW($GF$11:$GF$145), ROW($GF$11:$GF$145))), SUM(--(GH98=$GH$11:GH98))))</f>
        <v>#NUM!</v>
      </c>
      <c r="GM98" s="209">
        <f>IF(GM$7="X",VLOOKUP(GM$10,'VK-Hooned-Soojus'!$C:$X,2+$C98,FALSE),0)+IF(GM$6="X",VLOOKUP(GM$10,'VK-Transport'!$C:$X,2+$B98,0))+IF(GM$8="X",VLOOKUP(GM$10,'VK-Elekter'!$C:$X,2+$D98,0))+IF(GM$9="X",VLOOKUP(GM$10,'VK-Biokütused'!$C:$U,2+$E98,0))+IF(GM$5="X",VLOOKUP(GM$10,'VK-Põlevkivi'!$C:$X,2+$G98,0))+IF(GM$4="X",VLOOKUP(GM$10,'VK-Võrgud'!$C:$X,2+$F98,0))</f>
        <v>11.189888530766083</v>
      </c>
      <c r="GN98" s="209">
        <f>IF(GN$7="X",VLOOKUP(GN$10,'VK-Hooned-Soojus'!$C:$X,2+$C98,FALSE),0)+IF(GN$6="X",VLOOKUP(GN$10,'VK-Transport'!$C:$X,2+$B98,0))+IF(GN$8="X",VLOOKUP(GN$10,'VK-Elekter'!$C:$X,2+$D98,0))+IF(GN$9="X",VLOOKUP(GN$10,'VK-Biokütused'!$C:$U,2+$E98,0))+IF(GN$5="X",VLOOKUP(GN$10,'VK-Põlevkivi'!$C:$X,2+$G98,0))+IF(GN$4="X",VLOOKUP(GN$10,'VK-Võrgud'!$C:$X,2+$F98,0))</f>
        <v>2.9930837725682502</v>
      </c>
      <c r="GO98" s="209">
        <f>IF(GO$7="X",VLOOKUP(GO$10,'VK-Hooned-Soojus'!$C:$X,2+$C98,FALSE),0)+IF(GO$6="X",VLOOKUP(GO$10,'VK-Transport'!$C:$X,2+$B98,0))+IF(GO$8="X",VLOOKUP(GO$10,'VK-Elekter'!$C:$X,2+$D98,0))+IF(GO$9="X",VLOOKUP(GO$10,'VK-Biokütused'!$C:$U,2+$E98,0))+IF(GO$5="X",VLOOKUP(GO$10,'VK-Põlevkivi'!$C:$X,2+$G98,0))+IF(GO$4="X",VLOOKUP(GO$10,'VK-Võrgud'!$C:$X,2+$F98,0))</f>
        <v>7.5763700102722566</v>
      </c>
      <c r="GP98" s="209">
        <f>IF(GP$7="X",VLOOKUP(GP$10,'VK-Hooned-Soojus'!$C:$X,2+$C98,FALSE),0)+IF(GP$6="X",VLOOKUP(GP$10,'VK-Transport'!$C:$X,2+$B98,0))+IF(GP$8="X",VLOOKUP(GP$10,'VK-Elekter'!$C:$X,2+$D98,0))+IF(GP$9="X",VLOOKUP(GP$10,'VK-Biokütused'!$C:$U,2+$E98,0))+IF(GP$5="X",VLOOKUP(GP$10,'VK-Põlevkivi'!$C:$X,2+$G98,0))+IF(GP$4="X",VLOOKUP(GP$10,'VK-Võrgud'!$C:$X,2+$F98,0))</f>
        <v>8.9326558040707589</v>
      </c>
      <c r="GQ98" s="88">
        <f>IF(GQ$7="X",VLOOKUP(GQ$10,'VK-Hooned-Soojus'!$C:$X,2+$C98,FALSE),0)+IF(GQ$6="X",VLOOKUP(GQ$10,'VK-Transport'!$C:$X,2+$B98,0))+IF(GQ$8="X",VLOOKUP(GQ$10,'VK-Elekter'!$C:$X,2+$D98,0))+IF(GQ$9="X",VLOOKUP(GQ$10,'VK-Biokütused'!$C:$U,2+$E98,0))+IF(GQ$5="X",VLOOKUP(GQ$10,'VK-Põlevkivi'!$C:$X,2+$G98,0))+IF(GQ$4="X",VLOOKUP(GQ$10,'VK-Võrgud'!$C:$X,2+$F98,0))</f>
        <v>0.90618397335647782</v>
      </c>
      <c r="GR98" s="186">
        <f t="shared" si="81"/>
        <v>0.38182672733571177</v>
      </c>
    </row>
    <row r="99" spans="1:200" x14ac:dyDescent="0.2">
      <c r="A99" s="184">
        <v>89</v>
      </c>
      <c r="B99" s="87">
        <v>2</v>
      </c>
      <c r="C99" s="87">
        <v>3</v>
      </c>
      <c r="D99" s="87">
        <v>5</v>
      </c>
      <c r="E99" s="87">
        <v>2</v>
      </c>
      <c r="F99" s="87">
        <f>VLOOKUP(Tulemused!$BF$7,data!$J$6:$K$8,2,FALSE)</f>
        <v>2</v>
      </c>
      <c r="G99" s="87">
        <f>VLOOKUP(data!$H$2,data!$J$12:$K$14,2,FALSE)</f>
        <v>2</v>
      </c>
      <c r="I99" s="209">
        <f>IF(I$7="X",VLOOKUP(I$10,'VK-Hooned-Soojus'!$C:$X,2+$C99,FALSE),0)+IF(I$6="X",VLOOKUP(I$10,'VK-Transport'!$C:$X,2+$B99,0))+IF(I$8="X",VLOOKUP(I$10,'VK-Elekter'!$C:$X,2+$D99,0))+IF(I$9="X",VLOOKUP(I$10,'VK-Biokütused'!$C:$U,2+$E99,0))+IF(I$5="X",VLOOKUP(I$10,'VK-Põlevkivi'!$C:$X,2+$G99,0))+IF(I$4="X",VLOOKUP(I$10,'VK-Võrgud'!$C:$X,2+$F99,0))</f>
        <v>23.490000000000002</v>
      </c>
      <c r="J99" s="209">
        <f>IF(J$7="X",VLOOKUP(J$10,'VK-Hooned-Soojus'!$C:$X,2+$C99,FALSE),0)+IF(J$6="X",VLOOKUP(J$10,'VK-Transport'!$C:$X,2+$B99,0))+IF(J$8="X",VLOOKUP(J$10,'VK-Elekter'!$C:$X,2+$D99,0))+IF(J$9="X",VLOOKUP(J$10,'VK-Biokütused'!$C:$U,2+$E99,0))+IF(J$5="X",VLOOKUP(J$10,'VK-Põlevkivi'!$C:$X,2+$G99,0))+IF(J$4="X",VLOOKUP(J$10,'VK-Võrgud'!$C:$X,2+$F99,0))</f>
        <v>11.138055555555555</v>
      </c>
      <c r="K99" s="209">
        <f>IF(K$7="X",VLOOKUP(K$10,'VK-Hooned-Soojus'!$C:$X,2+$C99,FALSE),0)+IF(K$6="X",VLOOKUP(K$10,'VK-Transport'!$C:$X,2+$B99,0))+IF(K$8="X",VLOOKUP(K$10,'VK-Elekter'!$C:$X,2+$D99,0))+IF(K$9="X",VLOOKUP(K$10,'VK-Biokütused'!$C:$U,2+$E99,0))+IF(K$5="X",VLOOKUP(K$10,'VK-Põlevkivi'!$C:$X,2+$G99,0))+IF(K$4="X",VLOOKUP(K$10,'VK-Võrgud'!$C:$X,2+$F99,0))</f>
        <v>13.780000000000001</v>
      </c>
      <c r="L99" s="209">
        <f>IF(L$7="X",VLOOKUP(L$10,'VK-Hooned-Soojus'!$C:$X,2+$C99,FALSE),0)+IF(L$6="X",VLOOKUP(L$10,'VK-Transport'!$C:$X,2+$B99,0))+IF(L$8="X",VLOOKUP(L$10,'VK-Elekter'!$C:$X,2+$D99,0))+IF(L$9="X",VLOOKUP(L$10,'VK-Biokütused'!$C:$U,2+$E99,0))+IF(L$5="X",VLOOKUP(L$10,'VK-Põlevkivi'!$C:$X,2+$G99,0))+IF(L$4="X",VLOOKUP(L$10,'VK-Võrgud'!$C:$X,2+$F99,0))</f>
        <v>23.75</v>
      </c>
      <c r="M99" s="209">
        <f>IF(M$7="X",VLOOKUP(M$10,'VK-Hooned-Soojus'!$C:$X,2+$C99,FALSE),0)+IF(M$6="X",VLOOKUP(M$10,'VK-Transport'!$C:$X,2+$B99,0))+IF(M$8="X",VLOOKUP(M$10,'VK-Elekter'!$C:$X,2+$D99,0))+IF(M$9="X",VLOOKUP(M$10,'VK-Biokütused'!$C:$U,2+$E99,0))+IF(M$5="X",VLOOKUP(M$10,'VK-Põlevkivi'!$C:$X,2+$G99,0))+IF(M$4="X",VLOOKUP(M$10,'VK-Võrgud'!$C:$X,2+$F99,0))</f>
        <v>9.8566666666666674</v>
      </c>
      <c r="N99" s="209">
        <f>IF(N$7="X",VLOOKUP(N$10,'VK-Hooned-Soojus'!$C:$X,2+$C99,FALSE),0)+IF(N$6="X",VLOOKUP(N$10,'VK-Transport'!$C:$X,2+$B99,0))+IF(N$8="X",VLOOKUP(N$10,'VK-Elekter'!$C:$X,2+$D99,0))+IF(N$9="X",VLOOKUP(N$10,'VK-Biokütused'!$C:$U,2+$E99,0))+IF(N$5="X",VLOOKUP(N$10,'VK-Põlevkivi'!$C:$X,2+$G99,0))+IF(N$4="X",VLOOKUP(N$10,'VK-Võrgud'!$C:$X,2+$F99,0))</f>
        <v>15.25</v>
      </c>
      <c r="O99" s="209">
        <f t="shared" si="60"/>
        <v>34.628055555555555</v>
      </c>
      <c r="P99" s="209"/>
      <c r="Q99" s="209">
        <f>(IF(Q$7="X",VLOOKUP(Q$10,'VK-Hooned-Soojus'!$C:$X,2+$C99,FALSE),0)+IF(Q$6="X",VLOOKUP(Q$10,'VK-Transport'!$C:$X,2+$B99,0))+IF(Q$8="X",VLOOKUP(Q$10,'VK-Elekter'!$C:$X,2+$D99,0))+IF(Q$9="X",VLOOKUP(Q$10,'VK-Biokütused'!$C:$U,2+$E99,0))+IF(Q$5="X",VLOOKUP(Q$10,'VK-Põlevkivi'!$C:$X,2+$G99,0))+IF(Q$4="X",VLOOKUP(Q$10,'VK-Võrgud'!$C:$X,2+$F99,0)))/1000</f>
        <v>5.9039999999999999</v>
      </c>
      <c r="R99" s="209">
        <f>(IF(R$7="X",VLOOKUP(R$10,'VK-Hooned-Soojus'!$C:$X,2+$C99,FALSE),0)+IF(R$6="X",VLOOKUP(R$10,'VK-Transport'!$C:$X,2+$B99,0))+IF(R$8="X",VLOOKUP(R$10,'VK-Elekter'!$C:$X,2+$D99,0))+IF(R$9="X",VLOOKUP(R$10,'VK-Biokütused'!$C:$U,2+$E99,0))+IF(R$5="X",VLOOKUP(R$10,'VK-Põlevkivi'!$C:$X,2+$G99,0))+IF(R$4="X",VLOOKUP(R$10,'VK-Võrgud'!$C:$X,2+$F99,0)))/1000</f>
        <v>2.7768823271229701</v>
      </c>
      <c r="S99" s="226">
        <f>VLOOKUP(S$10,'VK-Hooned-Soojus'!$C:$I,2+$C99,FALSE) + VLOOKUP(S$10,'VK-Transport'!$C:$I,2+$B99,FALSE)+ VLOOKUP(S$10,'VK-Biokütused'!$C:$G,2+$E99,FALSE)+ VLOOKUP(S$10,'VK-Elekter'!$C:$I,2+$D99,FALSE)+ VLOOKUP(S$10,'VK-Põlevkivi'!$C:$I,2+$G99,FALSE)+ VLOOKUP(S$10,'VK-Võrgud'!$C:$I,2+$F99,FALSE)</f>
        <v>3.0222091296460092E-2</v>
      </c>
      <c r="T99" s="226">
        <f>VLOOKUP(T$10,'VK-Hooned-Soojus'!$C:$I,2+$C99,FALSE) + VLOOKUP(T$10,'VK-Transport'!$C:$I,2+$B99,FALSE)+ VLOOKUP(T$10,'VK-Biokütused'!$C:$G,2+$E99,FALSE)+ VLOOKUP(T$10,'VK-Elekter'!$C:$I,2+$D99,FALSE)+ VLOOKUP(T$10,'VK-Põlevkivi'!$C:$I,2+$G99,FALSE)+ VLOOKUP(T$10,'VK-Võrgud'!$C:$I,2+$F99,FALSE)</f>
        <v>6.1543295449683552E-3</v>
      </c>
      <c r="U99" s="226">
        <f>VLOOKUP(U$10,'VK-Hooned-Soojus'!$C:$I,2+$C99,FALSE) + VLOOKUP(U$10,'VK-Transport'!$C:$I,2+$B99,FALSE)+ VLOOKUP(U$10,'VK-Biokütused'!$C:$G,2+$E99,FALSE)+ VLOOKUP(U$10,'VK-Elekter'!$C:$I,2+$D99,FALSE)+ VLOOKUP(U$10,'VK-Põlevkivi'!$C:$I,2+$G99,FALSE)+ VLOOKUP(U$10,'VK-Võrgud'!$C:$I,2+$F99,FALSE)</f>
        <v>1.0539402670904863E-2</v>
      </c>
      <c r="V99" s="226">
        <f>VLOOKUP(V$10,'VK-Hooned-Soojus'!$C:$I,2+$C99,FALSE) + VLOOKUP(V$10,'VK-Transport'!$C:$I,2+$B99,FALSE)+ VLOOKUP(V$10,'VK-Biokütused'!$C:$G,2+$E99,FALSE)+ VLOOKUP(V$10,'VK-Elekter'!$C:$I,2+$D99,FALSE)+ VLOOKUP(V$10,'VK-Põlevkivi'!$C:$I,2+$G99,FALSE)+ VLOOKUP(V$10,'VK-Võrgud'!$C:$I,2+$F99,FALSE)</f>
        <v>2.0044151892058625E-2</v>
      </c>
      <c r="W99" s="226">
        <f>VLOOKUP(W$10,'VK-Hooned-Soojus'!$C:$I,2+$C99,FALSE) + VLOOKUP(W$10,'VK-Transport'!$C:$I,2+$B99,FALSE)+ VLOOKUP(W$10,'VK-Biokütused'!$C:$G,2+$E99,FALSE)+ VLOOKUP(W$10,'VK-Elekter'!$C:$I,2+$D99,FALSE)+ VLOOKUP(W$10,'VK-Põlevkivi'!$C:$I,2+$G99,FALSE)+ VLOOKUP(W$10,'VK-Võrgud'!$C:$I,2+$F99,FALSE)</f>
        <v>-2.3315488130238746E-2</v>
      </c>
      <c r="X99" s="226">
        <f>VLOOKUP(X$10,'VK-Hooned-Soojus'!$C:$I,2+$C99,FALSE) + VLOOKUP(X$10,'VK-Transport'!$C:$I,2+$B99,FALSE)+ VLOOKUP(X$10,'VK-Biokütused'!$C:$G,2+$E99,FALSE)+ VLOOKUP(X$10,'VK-Elekter'!$C:$I,2+$D99,FALSE)+ VLOOKUP(X$10,'VK-Põlevkivi'!$C:$I,2+$G99,FALSE)+ VLOOKUP(X$10,'VK-Võrgud'!$C:$I,2+$F99,FALSE)</f>
        <v>5.006905652684103E-2</v>
      </c>
      <c r="Y99" s="226">
        <f>VLOOKUP(Y$10,'VK-Hooned-Soojus'!$C:$I,2+$C99,FALSE) + VLOOKUP(Y$10,'VK-Transport'!$C:$I,2+$B99,FALSE)+ VLOOKUP(Y$10,'VK-Biokütused'!$C:$G,2+$E99,FALSE)+ VLOOKUP(Y$10,'VK-Elekter'!$C:$I,2+$D99,FALSE)+ VLOOKUP(Y$10,'VK-Põlevkivi'!$C:$I,2+$G99,FALSE)+ VLOOKUP(Y$10,'VK-Võrgud'!$C:$I,2+$F99,FALSE)</f>
        <v>3.8700187737150796E-2</v>
      </c>
      <c r="Z99" s="227">
        <f>(S99*Tulemused!$Q$9*10+T99*Tulemused!$Q$10*10+KOMBI!U99*Tulemused!$Q$11*10+KOMBI!V99*Tulemused!$Q$12*10)*Tulemused!$Q$8+-(W99*Tulemused!$Q$14*10+KOMBI!X99*Tulemused!$Q$15*10+KOMBI!Y99*Tulemused!$Q$16*10)*Tulemused!$Q$13</f>
        <v>5.8379296991401821</v>
      </c>
      <c r="AA99" s="228">
        <f>(IF(AA$7="X",VLOOKUP(AA$10,'VK-Hooned-Soojus'!$C:$X,2+$C99,FALSE),0)+IF(AA$6="X",VLOOKUP(AA$10,'VK-Transport'!$C:$X,2+$B99,0))+IF(AA$8="X",VLOOKUP(AA$10,'VK-Elekter'!$C:$X,2+$D99,0))+IF(AA$9="X",VLOOKUP(AA$10,'VK-Biokütused'!$C:$U,2+$E99,0))+IF(AA$5="X",VLOOKUP(AA$10,'VK-Põlevkivi'!$C:$X,2+$G99,0))+IF(AA$4="X",VLOOKUP(AA$10,'VK-Võrgud'!$C:$X,2+$F99,0)))</f>
        <v>4727</v>
      </c>
      <c r="AB99" s="228">
        <f>(IF(AB$7="X",VLOOKUP(AB$10,'VK-Hooned-Soojus'!$C:$X,2+$C99,FALSE),0)+IF(AB$6="X",VLOOKUP(AB$10,'VK-Transport'!$C:$X,2+$B99,0))+IF(AB$8="X",VLOOKUP(AB$10,'VK-Elekter'!$C:$X,2+$D99,0))+IF(AB$9="X",VLOOKUP(AB$10,'VK-Biokütused'!$C:$U,2+$E99,0))+IF(AB$5="X",VLOOKUP(AB$10,'VK-Põlevkivi'!$C:$X,2+$G99,0))+IF(AB$4="X",VLOOKUP(AB$10,'VK-Võrgud'!$C:$X,2+$F99,0)))</f>
        <v>1177</v>
      </c>
      <c r="AC99" s="228">
        <f>(IF(AC$7="X",VLOOKUP(AC$10,'VK-Hooned-Soojus'!$C:$X,2+$C99,FALSE),0)+IF(AC$6="X",VLOOKUP(AC$10,'VK-Transport'!$C:$X,2+$B99,0))+IF(AC$8="X",VLOOKUP(AC$10,'VK-Elekter'!$C:$X,2+$D99,0))+IF(AC$9="X",VLOOKUP(AC$10,'VK-Biokütused'!$C:$U,2+$E99,0))+IF(AC$5="X",VLOOKUP(AC$10,'VK-Põlevkivi'!$C:$X,2+$G99,0))+IF(AC$4="X",VLOOKUP(AC$10,'VK-Võrgud'!$C:$X,2+$F99,0)))</f>
        <v>2346</v>
      </c>
      <c r="AD99" s="228">
        <f>(IF(AD$7="X",VLOOKUP(AD$10,'VK-Hooned-Soojus'!$C:$X,2+$C99,FALSE),0)+IF(AD$6="X",VLOOKUP(AD$10,'VK-Transport'!$C:$X,2+$B99,0))+IF(AD$8="X",VLOOKUP(AD$10,'VK-Elekter'!$C:$X,2+$D99,0))+IF(AD$9="X",VLOOKUP(AD$10,'VK-Biokütused'!$C:$U,2+$E99,0))+IF(AD$5="X",VLOOKUP(AD$10,'VK-Põlevkivi'!$C:$X,2+$G99,0))+IF(AD$4="X",VLOOKUP(AD$10,'VK-Võrgud'!$C:$X,2+$F99,0)))</f>
        <v>377.5</v>
      </c>
      <c r="AE99" s="228">
        <f>(IF(AE$7="X",VLOOKUP(AE$10,'VK-Hooned-Soojus'!$C:$X,2+$C99,FALSE),0)+IF(AE$6="X",VLOOKUP(AE$10,'VK-Transport'!$C:$X,2+$B99,0))+IF(AE$8="X",VLOOKUP(AE$10,'VK-Elekter'!$C:$X,2+$D99,0))+IF(AE$9="X",VLOOKUP(AE$10,'VK-Biokütused'!$C:$U,2+$E99,0))+IF(AE$5="X",VLOOKUP(AE$10,'VK-Põlevkivi'!$C:$X,2+$G99,0))+IF(AE$4="X",VLOOKUP(AE$10,'VK-Võrgud'!$C:$X,2+$F99,0)))</f>
        <v>507</v>
      </c>
      <c r="AF99" s="228">
        <f>(IF(AF$7="X",VLOOKUP(AF$10,'VK-Hooned-Soojus'!$C:$X,2+$C99,FALSE),0)+IF(AF$6="X",VLOOKUP(AF$10,'VK-Transport'!$C:$X,2+$B99,0))+IF(AF$8="X",VLOOKUP(AF$10,'VK-Elekter'!$C:$X,2+$D99,0))+IF(AF$9="X",VLOOKUP(AF$10,'VK-Biokütused'!$C:$U,2+$E99,0))+IF(AF$5="X",VLOOKUP(AF$10,'VK-Põlevkivi'!$C:$X,2+$G99,0))+IF(AF$4="X",VLOOKUP(AF$10,'VK-Võrgud'!$C:$X,2+$F99,0)))</f>
        <v>1892.3823271229701</v>
      </c>
      <c r="AG99" s="209"/>
      <c r="AH99" s="209">
        <f>IF(AH$7="X",VLOOKUP(AH$10,'VK-Hooned-Soojus'!$C:$X,2+$C99,FALSE),0)+IF(AH$6="X",VLOOKUP(AH$10,'VK-Transport'!$C:$X,2+$B99,0))+IF(AH$8="X",VLOOKUP(AH$10,'VK-Elekter'!$C:$X,2+$D99,0))+IF(AH$9="X",VLOOKUP(AH$10,'VK-Biokütused'!$C:$U,2+$E99,0))+IF(AH$5="X",VLOOKUP(AH$10,'VK-Põlevkivi'!$C:$X,2+$G99,0))+IF(AH$4="X",VLOOKUP(AH$10,'VK-Võrgud'!$C:$X,2+$F99,0))</f>
        <v>17.400000000000002</v>
      </c>
      <c r="AI99" s="209">
        <f>IF(AI$7="X",VLOOKUP(AI$10,'VK-Hooned-Soojus'!$C:$X,2+$C99,FALSE),0)+IF(AI$6="X",VLOOKUP(AI$10,'VK-Transport'!$C:$X,2+$B99,0))+IF(AI$8="X",VLOOKUP(AI$10,'VK-Elekter'!$C:$X,2+$D99,0))+IF(AI$9="X",VLOOKUP(AI$10,'VK-Biokütused'!$C:$U,2+$E99,0))+IF(AI$5="X",VLOOKUP(AI$10,'VK-Põlevkivi'!$C:$X,2+$G99,0))+IF(AI$4="X",VLOOKUP(AI$10,'VK-Võrgud'!$C:$X,2+$F99,0))</f>
        <v>2.3100000000000005</v>
      </c>
      <c r="AJ99" s="209">
        <f>IF(AJ$7="X",VLOOKUP(AJ$10,'VK-Hooned-Soojus'!$C:$X,2+$C99,FALSE),0)+IF(AJ$6="X",VLOOKUP(AJ$10,'VK-Transport'!$C:$X,2+$B99,0))+IF(AJ$8="X",VLOOKUP(AJ$10,'VK-Elekter'!$C:$X,2+$D99,0))+IF(AJ$9="X",VLOOKUP(AJ$10,'VK-Biokütused'!$C:$U,2+$E99,0))+IF(AJ$5="X",VLOOKUP(AJ$10,'VK-Põlevkivi'!$C:$X,2+$G99,0))+IF(AJ$4="X",VLOOKUP(AJ$10,'VK-Võrgud'!$C:$X,2+$F99,0))</f>
        <v>4.59</v>
      </c>
      <c r="AK99" s="209">
        <f>IF(AK$7="X",VLOOKUP(AK$10,'VK-Hooned-Soojus'!$C:$X,2+$C99,FALSE),0)+IF(AK$6="X",VLOOKUP(AK$10,'VK-Transport'!$C:$X,2+$B99,0))+IF(AK$8="X",VLOOKUP(AK$10,'VK-Elekter'!$C:$X,2+$D99,0))+IF(AK$9="X",VLOOKUP(AK$10,'VK-Biokütused'!$C:$U,2+$E99,0))+IF(AK$5="X",VLOOKUP(AK$10,'VK-Põlevkivi'!$C:$X,2+$G99,0))+IF(AK$4="X",VLOOKUP(AK$10,'VK-Võrgud'!$C:$X,2+$F99,0))</f>
        <v>-0.41</v>
      </c>
      <c r="AL99" s="209">
        <f>IF(AL$7="X",VLOOKUP(AL$10,'VK-Hooned-Soojus'!$C:$X,2+$C99,FALSE),0)+IF(AL$6="X",VLOOKUP(AL$10,'VK-Transport'!$C:$X,2+$B99,0))+IF(AL$8="X",VLOOKUP(AL$10,'VK-Elekter'!$C:$X,2+$D99,0))+IF(AL$9="X",VLOOKUP(AL$10,'VK-Biokütused'!$C:$U,2+$E99,0))+IF(AL$5="X",VLOOKUP(AL$10,'VK-Põlevkivi'!$C:$X,2+$G99,0))+IF(AL$4="X",VLOOKUP(AL$10,'VK-Võrgud'!$C:$X,2+$F99,0))</f>
        <v>7.1</v>
      </c>
      <c r="AM99" s="209">
        <f>IF(AM$7="X",VLOOKUP(AM$10,'VK-Hooned-Soojus'!$C:$X,2+$C99,FALSE),0)+IF(AM$6="X",VLOOKUP(AM$10,'VK-Transport'!$C:$X,2+$B99,0))+IF(AM$8="X",VLOOKUP(AM$10,'VK-Elekter'!$C:$X,2+$D99,0))+IF(AM$9="X",VLOOKUP(AM$10,'VK-Biokütused'!$C:$U,2+$E99,0))+IF(AM$5="X",VLOOKUP(AM$10,'VK-Põlevkivi'!$C:$X,2+$G99,0))+IF(AM$4="X",VLOOKUP(AM$10,'VK-Võrgud'!$C:$X,2+$F99,0))</f>
        <v>11.5</v>
      </c>
      <c r="AN99" s="209">
        <f>IF(AN$7="X",VLOOKUP(AN$10,'VK-Hooned-Soojus'!$C:$X,2+$C99,FALSE),0)+IF(AN$6="X",VLOOKUP(AN$10,'VK-Transport'!$C:$X,2+$B99,0))+IF(AN$8="X",VLOOKUP(AN$10,'VK-Elekter'!$C:$X,2+$D99,0))+IF(AN$9="X",VLOOKUP(AN$10,'VK-Biokütused'!$C:$U,2+$E99,0))+IF(AN$5="X",VLOOKUP(AN$10,'VK-Põlevkivi'!$C:$X,2+$G99,0))+IF(AN$4="X",VLOOKUP(AN$10,'VK-Võrgud'!$C:$X,2+$F99,0))</f>
        <v>4.0999999999999996</v>
      </c>
      <c r="AO99" s="209">
        <f>IF(AO$7="X",VLOOKUP(AO$10,'VK-Hooned-Soojus'!$C:$X,2+$C99,FALSE),0)+IF(AO$6="X",VLOOKUP(AO$10,'VK-Transport'!$C:$X,2+$B99,0))+IF(AO$8="X",VLOOKUP(AO$10,'VK-Elekter'!$C:$X,2+$D99,0))+IF(AO$9="X",VLOOKUP(AO$10,'VK-Biokütused'!$C:$U,2+$E99,0))+IF(AO$5="X",VLOOKUP(AO$10,'VK-Põlevkivi'!$C:$X,2+$G99,0))+IF(AO$4="X",VLOOKUP(AO$10,'VK-Võrgud'!$C:$X,2+$F99,0))</f>
        <v>12.16</v>
      </c>
      <c r="AP99" s="209">
        <f>IF(AP$7="X",VLOOKUP(AP$10,'VK-Hooned-Soojus'!$C:$X,2+$C99,FALSE),0)+IF(AP$6="X",VLOOKUP(AP$10,'VK-Transport'!$C:$X,2+$B99,0))+IF(AP$8="X",VLOOKUP(AP$10,'VK-Elekter'!$C:$X,2+$D99,0))+IF(AP$9="X",VLOOKUP(AP$10,'VK-Biokütused'!$C:$U,2+$E99,0))+IF(AP$5="X",VLOOKUP(AP$10,'VK-Põlevkivi'!$C:$X,2+$G99,0))+IF(AP$4="X",VLOOKUP(AP$10,'VK-Võrgud'!$C:$X,2+$F99,0))</f>
        <v>6.08</v>
      </c>
      <c r="AQ99" s="320">
        <f t="shared" si="61"/>
        <v>0</v>
      </c>
      <c r="AR99" s="209">
        <f>IF(AR$7="X",VLOOKUP(AR$10,'VK-Hooned-Soojus'!$C:$X,2+$C99,FALSE),0)+IF(AR$6="X",VLOOKUP(AR$10,'VK-Transport'!$C:$X,2+$B99,0))+IF(AR$8="X",VLOOKUP(AR$10,'VK-Elekter'!$C:$X,2+$D99,0))+IF(AR$9="X",VLOOKUP(AR$10,'VK-Biokütused'!$C:$U,2+$E99,0))+IF(AR$5="X",VLOOKUP(AR$10,'VK-Põlevkivi'!$C:$X,2+$G99,0))+IF(AR$4="X",VLOOKUP(AR$10,'VK-Võrgud'!$C:$X,2+$F99,0))</f>
        <v>12.809999999999999</v>
      </c>
      <c r="AS99" s="235">
        <f>'VK-Põlevkivi'!$F$8-AR99-AU99</f>
        <v>14.298622986547709</v>
      </c>
      <c r="AT99" s="209">
        <f>IF(AT$7="X",VLOOKUP(AT$10,'VK-Hooned-Soojus'!$C:$X,2+$C99,FALSE),0)+IF(AT$6="X",VLOOKUP(AT$10,'VK-Transport'!$C:$X,2+$B99,0))+IF(AT$8="X",VLOOKUP(AT$10,'VK-Elekter'!$C:$X,2+$D99,0))+IF(AT$9="X",VLOOKUP(AT$10,'VK-Biokütused'!$C:$U,2+$E99,0))+IF(AT$5="X",VLOOKUP(AT$10,'VK-Põlevkivi'!$C:$X,2+$G99,0))+IF(AT$4="X",VLOOKUP(AT$10,'VK-Võrgud'!$C:$X,2+$F99,0))</f>
        <v>9.2784458909544707</v>
      </c>
      <c r="AU99" s="235">
        <f>'VK-Põlevkivi'!$F$9-VLOOKUP("Kütuste tarbimine @ 2030 - PÕLEVKIVIÕLI",'VK-Hooned-Soojus'!$C:$X,2+$C99,FALSE)</f>
        <v>29.428043680118964</v>
      </c>
      <c r="AV99" s="209">
        <f>IF(AV$7="X",VLOOKUP(AV$10,'VK-Hooned-Soojus'!$C:$X,2+$C99,FALSE),0)+IF(AV$6="X",VLOOKUP(AV$10,'VK-Transport'!$C:$X,2+$B99,0))+IF(AV$8="X",VLOOKUP(AV$10,'VK-Elekter'!$C:$X,2+$D99,0))+IF(AV$9="X",VLOOKUP(AV$10,'VK-Biokütused'!$C:$U,2+$E99,0))+IF(AV$5="X",VLOOKUP(AV$10,'VK-Põlevkivi'!$C:$X,2+$G99,0))+IF(AV$4="X",VLOOKUP(AV$10,'VK-Võrgud'!$C:$X,2+$F99,0))</f>
        <v>1.7257321590343366</v>
      </c>
      <c r="AW99" s="209">
        <f>IF(AW$7="X",VLOOKUP(AW$10,'VK-Hooned-Soojus'!$C:$X,2+$C99,FALSE),0)+IF(AW$6="X",VLOOKUP(AW$10,'VK-Transport'!$C:$X,2+$B99,0))+IF(AW$8="X",VLOOKUP(AW$10,'VK-Elekter'!$C:$X,2+$D99,0))+IF(AW$9="X",VLOOKUP(AW$10,'VK-Biokütused'!$C:$U,2+$E99,0))+IF(AW$5="X",VLOOKUP(AW$10,'VK-Põlevkivi'!$C:$X,2+$G99,0))+IF(AW$4="X",VLOOKUP(AW$10,'VK-Võrgud'!$C:$X,2+$F99,0))</f>
        <v>2.141</v>
      </c>
      <c r="AX99" s="229">
        <f t="shared" si="62"/>
        <v>0.41526784096566338</v>
      </c>
      <c r="AY99" s="229">
        <f t="shared" si="63"/>
        <v>0</v>
      </c>
      <c r="AZ99" s="230">
        <f t="shared" si="48"/>
        <v>0.29498642228096134</v>
      </c>
      <c r="BA99" s="209">
        <f>IF(BA$7="X",VLOOKUP(BA$10,'VK-Hooned-Soojus'!$C:$X,2+$C99,FALSE),0)+IF(BA$6="X",VLOOKUP(BA$10,'VK-Transport'!$C:$X,2+$B99,0))+IF(BA$8="X",VLOOKUP(BA$10,'VK-Elekter'!$C:$X,2+$D99,0))+IF(BA$9="X",VLOOKUP(BA$10,'VK-Biokütused'!$C:$U,2+$E99,0))+IF(BA$5="X",VLOOKUP(BA$10,'VK-Põlevkivi'!$C:$X,2+$G99,0))+IF(BA$4="X",VLOOKUP(BA$10,'VK-Võrgud'!$C:$X,2+$F99,0))</f>
        <v>7.41</v>
      </c>
      <c r="BB99" s="209">
        <f>IF(BB$7="X",VLOOKUP(BB$10,'VK-Hooned-Soojus'!$C:$X,2+$C99,FALSE),0)+IF(BB$6="X",VLOOKUP(BB$10,'VK-Transport'!$C:$X,2+$B99,0))+IF(BB$8="X",VLOOKUP(BB$10,'VK-Elekter'!$C:$X,2+$D99,0))+IF(BB$9="X",VLOOKUP(BB$10,'VK-Biokütused'!$C:$U,2+$E99,0))+IF(BB$5="X",VLOOKUP(BB$10,'VK-Põlevkivi'!$C:$X,2+$G99,0))+IF(BB$4="X",VLOOKUP(BB$10,'VK-Võrgud'!$C:$X,2+$F99,0))</f>
        <v>2.96</v>
      </c>
      <c r="BC99" s="209">
        <f>IF(BC$7="X",VLOOKUP(BC$10,'VK-Hooned-Soojus'!$C:$X,2+$C99,FALSE),0)+IF(BC$6="X",VLOOKUP(BC$10,'VK-Transport'!$C:$X,2+$B99,0))+IF(BC$8="X",VLOOKUP(BC$10,'VK-Elekter'!$C:$X,2+$D99,0))+IF(BC$9="X",VLOOKUP(BC$10,'VK-Biokütused'!$C:$U,2+$E99,0))+IF(BC$5="X",VLOOKUP(BC$10,'VK-Põlevkivi'!$C:$X,2+$G99,0))+IF(BC$4="X",VLOOKUP(BC$10,'VK-Võrgud'!$C:$X,2+$F99,0))</f>
        <v>5.2376666666666667</v>
      </c>
      <c r="BD99" s="209">
        <f>IF(BD$7="X",VLOOKUP(BD$10,'VK-Hooned-Soojus'!$C:$X,2+$C99,FALSE),0)+IF(BD$6="X",VLOOKUP(BD$10,'VK-Transport'!$C:$X,2+$B99,0))+IF(BD$8="X",VLOOKUP(BD$10,'VK-Elekter'!$C:$X,2+$D99,0))+IF(BD$9="X",VLOOKUP(BD$10,'VK-Biokütused'!$C:$U,2+$E99,0))+IF(BD$5="X",VLOOKUP(BD$10,'VK-Põlevkivi'!$C:$X,2+$G99,0))+IF(BD$4="X",VLOOKUP(BD$10,'VK-Võrgud'!$C:$X,2+$F99,0))</f>
        <v>9.1105555555555569</v>
      </c>
      <c r="BE99" s="230"/>
      <c r="BF99" s="229">
        <f t="shared" si="64"/>
        <v>0.25504877132506298</v>
      </c>
      <c r="BG99" s="209" t="e">
        <f>(IF(BG$7="X",VLOOKUP(BG$10,'VK-Hooned-Soojus'!$C:$X,2+$C99,FALSE),0)+IF(BG$6="X",VLOOKUP(BG$10,'VK-Transport'!$C:$X,2+$B99,0))+IF(BG$8="X",VLOOKUP(BG$10,'VK-Elekter'!$C:$X,2+$D99,0))+IF(BG$9="X",VLOOKUP(BG$10,'VK-Biokütused'!$C:$U,2+$E99,0))+IF(BG$5="X",VLOOKUP(BG$10,'VK-Põlevkivi'!$C:$X,2+$G99,0))+IF(BG$4="X",VLOOKUP(BG$10,'VK-Võrgud'!$C:$X,2+$F99,0)))/20</f>
        <v>#N/A</v>
      </c>
      <c r="BH99" s="209">
        <f>(IF(BH$7="X",VLOOKUP(BH$10,'VK-Hooned-Soojus'!$C:$X,2+$C99,FALSE),0)+IF(BH$6="X",VLOOKUP(BH$10,'VK-Transport'!$C:$X,2+$B99,0))+IF(BH$8="X",VLOOKUP(BH$10,'VK-Elekter'!$C:$X,2+$D99,0))+IF(BH$9="X",VLOOKUP(BH$10,'VK-Biokütused'!$C:$U,2+$E99,0))+IF(BH$5="X",VLOOKUP(BH$10,'VK-Põlevkivi'!$C:$X,2+$G99,0))+IF(BH$4="X",VLOOKUP(BH$10,'VK-Võrgud'!$C:$X,2+$F99,0)))/20</f>
        <v>84.204999999999998</v>
      </c>
      <c r="BI99" s="209">
        <f>(IF(BI$7="X",VLOOKUP(BI$10,'VK-Hooned-Soojus'!$C:$X,2+$C99,FALSE),0)+IF(BI$6="X",VLOOKUP(BI$10,'VK-Transport'!$C:$X,2+$B99,0))+IF(BI$8="X",VLOOKUP(BI$10,'VK-Elekter'!$C:$X,2+$D99,0))+IF(BI$9="X",VLOOKUP(BI$10,'VK-Biokütused'!$C:$U,2+$E99,0))+IF(BI$5="X",VLOOKUP(BI$10,'VK-Põlevkivi'!$C:$X,2+$G99,0))+IF(BI$4="X",VLOOKUP(BI$10,'VK-Võrgud'!$C:$X,2+$F99,0)))/16</f>
        <v>8.9375</v>
      </c>
      <c r="BJ99" s="209">
        <f>(IF(BJ$7="X",VLOOKUP(BJ$10,'VK-Hooned-Soojus'!$C:$X,2+$C99,FALSE),0)+IF(BJ$6="X",VLOOKUP(BJ$10,'VK-Transport'!$C:$X,2+$B99,0))+IF(BJ$8="X",VLOOKUP(BJ$10,'VK-Elekter'!$C:$X,2+$D99,0))+IF(BJ$9="X",VLOOKUP(BJ$10,'VK-Biokütused'!$C:$U,2+$E99,0))+IF(BJ$5="X",VLOOKUP(BJ$10,'VK-Põlevkivi'!$C:$X,2+$G99,0))+IF(BJ$4="X",VLOOKUP(BJ$10,'VK-Võrgud'!$C:$X,2+$F99,0)))/20</f>
        <v>5.33</v>
      </c>
      <c r="BK99" s="209"/>
      <c r="BL99" s="209"/>
      <c r="BM99" s="209"/>
      <c r="BN99" s="209" t="e">
        <f>(IF(BN$7="X",VLOOKUP(BN$10,'VK-Hooned-Soojus'!$C:$X,2+$C99,FALSE),0)+IF(BN$6="X",VLOOKUP(BN$10,'VK-Transport'!$C:$X,2+$B99,0))+IF(BN$8="X",VLOOKUP(BN$10,'VK-Elekter'!$C:$X,2+$D99,0))+IF(BN$9="X",VLOOKUP(BN$10,'VK-Biokütused'!$C:$U,2+$E99,0))+IF(BN$5="X",VLOOKUP(BN$10,'VK-Põlevkivi'!$C:$X,2+$G99,0))+IF(BN$4="X",VLOOKUP(BN$10,'VK-Võrgud'!$C:$X,2+$F99,0)))/16</f>
        <v>#N/A</v>
      </c>
      <c r="BO99" s="209">
        <f>(IF(BO$7="X",VLOOKUP(BO$10,'VK-Hooned-Soojus'!$C:$X,2+$C99,FALSE),0)+IF(BO$6="X",VLOOKUP(BO$10,'VK-Transport'!$C:$X,2+$B99,0))+IF(BO$8="X",VLOOKUP(BO$10,'VK-Elekter'!$C:$X,2+$D99,0))+IF(BO$9="X",VLOOKUP(BO$10,'VK-Biokütused'!$C:$U,2+$E99,0))+IF(BO$5="X",VLOOKUP(BO$10,'VK-Põlevkivi'!$C:$X,2+$G99,0))+IF(BO$4="X",VLOOKUP(BO$10,'VK-Võrgud'!$C:$X,2+$F99,0)))/16</f>
        <v>405.45</v>
      </c>
      <c r="BP99" s="209"/>
      <c r="BQ99" s="209">
        <f>(IF(BQ$7="X",VLOOKUP(BQ$10,'VK-Hooned-Soojus'!$C:$X,2+$C99,FALSE),0)+IF(BQ$6="X",VLOOKUP(BQ$10,'VK-Transport'!$C:$X,2+$B99,0))+IF(BQ$8="X",VLOOKUP(BQ$10,'VK-Elekter'!$C:$X,2+$D99,0))+IF(BQ$9="X",VLOOKUP(BQ$10,'VK-Biokütused'!$C:$U,2+$E99,0))+IF(BQ$5="X",VLOOKUP(BQ$10,'VK-Põlevkivi'!$C:$X,2+$G99,0))+IF(BQ$4="X",VLOOKUP(BQ$10,'VK-Võrgud'!$C:$X,2+$F99,0)))/16</f>
        <v>127.6</v>
      </c>
      <c r="BR99" s="209">
        <f>(IF(BR$7="X",VLOOKUP(BR$10,'VK-Hooned-Soojus'!$C:$X,2+$C99,FALSE),0)+IF(BR$6="X",VLOOKUP(BR$10,'VK-Transport'!$C:$X,2+$B99,0))+IF(BR$8="X",VLOOKUP(BR$10,'VK-Elekter'!$C:$X,2+$D99,0))+IF(BR$9="X",VLOOKUP(BR$10,'VK-Biokütused'!$C:$U,2+$E99,0))+IF(BR$5="X",VLOOKUP(BR$10,'VK-Põlevkivi'!$C:$X,2+$G99,0))+IF(BR$4="X",VLOOKUP(BR$10,'VK-Võrgud'!$C:$X,2+$F99,0)))/16</f>
        <v>27.475000000000001</v>
      </c>
      <c r="BS99" s="209">
        <f>(IF(BS$7="X",VLOOKUP(BS$10,'VK-Hooned-Soojus'!$C:$X,2+$C99,FALSE),0)+IF(BS$6="X",VLOOKUP(BS$10,'VK-Transport'!$C:$X,2+$B99,0))+IF(BS$8="X",VLOOKUP(BS$10,'VK-Elekter'!$C:$X,2+$D99,0))+IF(BS$9="X",VLOOKUP(BS$10,'VK-Biokütused'!$C:$U,2+$E99,0))+IF(BS$5="X",VLOOKUP(BS$10,'VK-Põlevkivi'!$C:$X,2+$G99,0))+IF(BS$4="X",VLOOKUP(BS$10,'VK-Võrgud'!$C:$X,2+$F99,0)))/16</f>
        <v>-23.293749999999999</v>
      </c>
      <c r="BT99" s="209"/>
      <c r="BU99" s="209"/>
      <c r="BV99" s="209">
        <f>(IF(BV$7="X",VLOOKUP(BV$10,'VK-Hooned-Soojus'!$C:$X,2+$C99,FALSE),0)+IF(BV$6="X",VLOOKUP(BV$10,'VK-Transport'!$C:$X,2+$B99,0))+IF(BV$8="X",VLOOKUP(BV$10,'VK-Elekter'!$C:$X,2+$D99,0))+IF(BV$9="X",VLOOKUP(BV$10,'VK-Biokütused'!$C:$U,2+$E99,0))+IF(BV$5="X",VLOOKUP(BV$10,'VK-Põlevkivi'!$C:$X,2+$G99,0))+IF(BV$4="X",VLOOKUP(BV$10,'VK-Võrgud'!$C:$X,2+$F99,0)))/16</f>
        <v>0</v>
      </c>
      <c r="BW99" s="209"/>
      <c r="BX99" s="209">
        <f>(IF(BX$7="X",VLOOKUP(BX$10,'VK-Hooned-Soojus'!$C:$X,2+$C99,FALSE),0)+IF(BX$6="X",VLOOKUP(BX$10,'VK-Transport'!$C:$X,2+$B99,0))+IF(BX$8="X",VLOOKUP(BX$10,'VK-Elekter'!$C:$X,2+$D99,0))+IF(BX$9="X",VLOOKUP(BX$10,'VK-Biokütused'!$C:$U,2+$E99,0))+IF(BX$5="X",VLOOKUP(BX$10,'VK-Põlevkivi'!$C:$X,2+$G99,0))+IF(BX$4="X",VLOOKUP(BX$10,'VK-Võrgud'!$C:$X,2+$F99,0)))/16</f>
        <v>-145.125</v>
      </c>
      <c r="BY99" s="209"/>
      <c r="BZ99" s="209"/>
      <c r="CA99" s="209" t="e">
        <f>(IF(CA$7="X",VLOOKUP(CA$10,'VK-Hooned-Soojus'!$C:$X,2+$C99,FALSE),0)+IF(CA$6="X",VLOOKUP(CA$10,'VK-Transport'!$C:$X,2+$B99,0))+IF(CA$8="X",VLOOKUP(CA$10,'VK-Elekter'!$C:$X,2+$D99,0))+IF(CA$9="X",VLOOKUP(CA$10,'VK-Biokütused'!$C:$U,2+$E99,0))+IF(CA$5="X",VLOOKUP(CA$10,'VK-Põlevkivi'!$C:$X,2+$G99,0))+IF(CA$4="X",VLOOKUP(CA$10,'VK-Võrgud'!$C:$X,2+$F99,0)))/16</f>
        <v>#N/A</v>
      </c>
      <c r="CB99" s="209">
        <f>(IF(CB$7="X",VLOOKUP(CB$10,'VK-Hooned-Soojus'!$C:$X,2+$C99,FALSE),0)+IF(CB$6="X",VLOOKUP(CB$10,'VK-Transport'!$C:$X,2+$B99,0))+IF(CB$8="X",VLOOKUP(CB$10,'VK-Elekter'!$C:$X,2+$D99,0))+IF(CB$9="X",VLOOKUP(CB$10,'VK-Biokütused'!$C:$U,2+$E99,0))+IF(CB$5="X",VLOOKUP(CB$10,'VK-Põlevkivi'!$C:$X,2+$G99,0))+IF(CB$4="X",VLOOKUP(CB$10,'VK-Võrgud'!$C:$X,2+$F99,0)))/16</f>
        <v>0</v>
      </c>
      <c r="CC99" s="209">
        <f>(IF(CC$7="X",VLOOKUP(CC$10,'VK-Hooned-Soojus'!$C:$X,2+$C99,FALSE),0)+IF(CC$6="X",VLOOKUP(CC$10,'VK-Transport'!$C:$X,2+$B99,0))+IF(CC$8="X",VLOOKUP(CC$10,'VK-Elekter'!$C:$X,2+$D99,0))+IF(CC$9="X",VLOOKUP(CC$10,'VK-Biokütused'!$C:$U,2+$E99,0))+IF(CC$5="X",VLOOKUP(CC$10,'VK-Põlevkivi'!$C:$X,2+$G99,0))+IF(CC$4="X",VLOOKUP(CC$10,'VK-Võrgud'!$C:$X,2+$F99,0)))/16</f>
        <v>0</v>
      </c>
      <c r="CD99" s="209"/>
      <c r="CE99" s="209">
        <f>(IF(CE$7="X",VLOOKUP(CE$10,'VK-Hooned-Soojus'!$C:$X,2+$C99,FALSE),0)+IF(CE$6="X",VLOOKUP(CE$10,'VK-Transport'!$C:$X,2+$B99,0))+IF(CE$8="X",VLOOKUP(CE$10,'VK-Elekter'!$C:$X,2+$D99,0))+IF(CE$9="X",VLOOKUP(CE$10,'VK-Biokütused'!$C:$U,2+$E99,0))+IF(CE$5="X",VLOOKUP(CE$10,'VK-Põlevkivi'!$C:$X,2+$G99,0))+IF(CE$4="X",VLOOKUP(CE$10,'VK-Võrgud'!$C:$X,2+$F99,0)))/16</f>
        <v>24.15625</v>
      </c>
      <c r="CF99" s="209"/>
      <c r="CG99" s="209">
        <f>(IF(CG$7="X",VLOOKUP(CG$10,'VK-Hooned-Soojus'!$C:$X,2+$C99,FALSE),0)+IF(CG$6="X",VLOOKUP(CG$10,'VK-Transport'!$C:$X,2+$B99,0))+IF(CG$8="X",VLOOKUP(CG$10,'VK-Elekter'!$C:$X,2+$D99,0))+IF(CG$9="X",VLOOKUP(CG$10,'VK-Biokütused'!$C:$U,2+$E99,0))+IF(CG$5="X",VLOOKUP(CG$10,'VK-Põlevkivi'!$C:$X,2+$G99,0))+IF(CG$4="X",VLOOKUP(CG$10,'VK-Võrgud'!$C:$X,2+$F99,0)))/16</f>
        <v>0</v>
      </c>
      <c r="CH99" s="209">
        <f>(IF(CH$7="X",VLOOKUP(CH$10,'VK-Hooned-Soojus'!$C:$X,2+$C99,FALSE),0)+IF(CH$6="X",VLOOKUP(CH$10,'VK-Transport'!$C:$X,2+$B99,0))+IF(CH$8="X",VLOOKUP(CH$10,'VK-Elekter'!$C:$X,2+$D99,0))+IF(CH$9="X",VLOOKUP(CH$10,'VK-Biokütused'!$C:$U,2+$E99,0))+IF(CH$5="X",VLOOKUP(CH$10,'VK-Põlevkivi'!$C:$X,2+$G99,0))+IF(CH$4="X",VLOOKUP(CH$10,'VK-Võrgud'!$C:$X,2+$F99,0)))/20*0.21</f>
        <v>26.9178</v>
      </c>
      <c r="CI99" s="209"/>
      <c r="CJ99" s="209">
        <f>(IF(CJ$7="X",VLOOKUP(CJ$10,'VK-Hooned-Soojus'!$C:$X,2+$C99,FALSE),0)+IF(CJ$6="X",VLOOKUP(CJ$10,'VK-Transport'!$C:$X,2+$B99,0))+IF(CJ$8="X",VLOOKUP(CJ$10,'VK-Elekter'!$C:$X,2+$D99,0))+IF(CJ$9="X",VLOOKUP(CJ$10,'VK-Biokütused'!$C:$U,2+$E99,0))+IF(CJ$5="X",VLOOKUP(CJ$10,'VK-Põlevkivi'!$C:$X,2+$G99,0))+IF(CJ$4="X",VLOOKUP(CJ$10,'VK-Võrgud'!$C:$X,2+$F99,0)))/1000</f>
        <v>21.945</v>
      </c>
      <c r="CK99" s="209">
        <f>(IF(CK$7="X",VLOOKUP(CK$10,'VK-Hooned-Soojus'!$C:$X,2+$C99,FALSE),0)+IF(CK$6="X",VLOOKUP(CK$10,'VK-Transport'!$C:$X,2+$B99,0))+IF(CK$8="X",VLOOKUP(CK$10,'VK-Elekter'!$C:$X,2+$D99,0))+IF(CK$9="X",VLOOKUP(CK$10,'VK-Biokütused'!$C:$U,2+$E99,0))+IF(CK$5="X",VLOOKUP(CK$10,'VK-Põlevkivi'!$C:$X,2+$G99,0))+IF(CK$4="X",VLOOKUP(CK$10,'VK-Võrgud'!$C:$X,2+$F99,0)))/1000</f>
        <v>37.840916215793229</v>
      </c>
      <c r="CL99" s="209">
        <f>(IF(CL$7="X",VLOOKUP(CL$10,'VK-Hooned-Soojus'!$C:$X,2+$C99,FALSE),0)+IF(CL$6="X",VLOOKUP(CL$10,'VK-Transport'!$C:$X,2+$B99,0))+IF(CL$8="X",VLOOKUP(CL$10,'VK-Elekter'!$C:$X,2+$D99,0))+IF(CL$9="X",VLOOKUP(CL$10,'VK-Biokütused'!$C:$U,2+$E99,0))+IF(CL$5="X",VLOOKUP(CL$10,'VK-Põlevkivi'!$C:$X,2+$G99,0))+IF(CL$4="X",VLOOKUP(CL$10,'VK-Võrgud'!$C:$X,2+$F99,0)))/1000</f>
        <v>11.414289559723789</v>
      </c>
      <c r="CM99" s="209">
        <f>(IF(CM$7="X",VLOOKUP(CM$10,'VK-Hooned-Soojus'!$C:$X,2+$C99,FALSE),0)+IF(CM$6="X",VLOOKUP(CM$10,'VK-Transport'!$C:$X,2+$B99,0))+IF(CM$8="X",VLOOKUP(CM$10,'VK-Elekter'!$C:$X,2+$D99,0))+IF(CM$9="X",VLOOKUP(CM$10,'VK-Biokütused'!$C:$U,2+$E99,0))+IF(CM$5="X",VLOOKUP(CM$10,'VK-Põlevkivi'!$C:$X,2+$G99,0))+IF(CM$4="X",VLOOKUP(CM$10,'VK-Võrgud'!$C:$X,2+$F99,0)))/1000</f>
        <v>7.545989615604916</v>
      </c>
      <c r="CN99" s="209">
        <f>(IF(CN$7="X",VLOOKUP(CN$10,'VK-Hooned-Soojus'!$C:$X,2+$C99,FALSE),0)+IF(CN$6="X",VLOOKUP(CN$10,'VK-Transport'!$C:$X,2+$B99,0))+IF(CN$8="X",VLOOKUP(CN$10,'VK-Elekter'!$C:$X,2+$D99,0))+IF(CN$9="X",VLOOKUP(CN$10,'VK-Biokütused'!$C:$U,2+$E99,0))+IF(CN$5="X",VLOOKUP(CN$10,'VK-Põlevkivi'!$C:$X,2+$G99,0))+IF(CN$4="X",VLOOKUP(CN$10,'VK-Võrgud'!$C:$X,2+$F99,0)))/1000</f>
        <v>2.8980000000000001</v>
      </c>
      <c r="CO99" s="209">
        <f>(IF(CO$7="X",VLOOKUP(CO$10,'VK-Hooned-Soojus'!$C:$X,2+$C99,FALSE),0)+IF(CO$6="X",VLOOKUP(CO$10,'VK-Transport'!$C:$X,2+$B99,0))+IF(CO$8="X",VLOOKUP(CO$10,'VK-Elekter'!$C:$X,2+$D99,0))+IF(CO$9="X",VLOOKUP(CO$10,'VK-Biokütused'!$C:$U,2+$E99,0))+IF(CO$5="X",VLOOKUP(CO$10,'VK-Põlevkivi'!$C:$X,2+$G99,0))+IF(CO$4="X",VLOOKUP(CO$10,'VK-Võrgud'!$C:$X,2+$F99,0)))/1000</f>
        <v>29.187575210797281</v>
      </c>
      <c r="CP99" s="209">
        <f>(IF(CP$7="X",VLOOKUP(CP$10,'VK-Hooned-Soojus'!$C:$X,2+$C99,FALSE),0)+IF(CP$6="X",VLOOKUP(CP$10,'VK-Transport'!$C:$X,2+$B99,0))+IF(CP$8="X",VLOOKUP(CP$10,'VK-Elekter'!$C:$X,2+$D99,0))+IF(CP$9="X",VLOOKUP(CP$10,'VK-Biokütused'!$C:$U,2+$E99,0))+IF(CP$5="X",VLOOKUP(CP$10,'VK-Põlevkivi'!$C:$X,2+$G99,0))+IF(CP$4="X",VLOOKUP(CP$10,'VK-Võrgud'!$C:$X,2+$F99,0)))/1000</f>
        <v>32.302476724654099</v>
      </c>
      <c r="CQ99" s="209">
        <f>(IF(CQ$7="X",VLOOKUP(CQ$10,'VK-Hooned-Soojus'!$C:$X,2+$C99,FALSE),0)+IF(CQ$6="X",VLOOKUP(CQ$10,'VK-Transport'!$C:$X,2+$B99,0))+IF(CQ$8="X",VLOOKUP(CQ$10,'VK-Elekter'!$C:$X,2+$D99,0))+IF(CQ$9="X",VLOOKUP(CQ$10,'VK-Biokütused'!$C:$U,2+$E99,0))+IF(CQ$5="X",VLOOKUP(CQ$10,'VK-Põlevkivi'!$C:$X,2+$G99,0))+IF(CQ$4="X",VLOOKUP(CQ$10,'VK-Võrgud'!$C:$X,2+$F99,0)))/1000</f>
        <v>16.929345999999999</v>
      </c>
      <c r="CR99" s="209">
        <f>(IF(CR$7="X",VLOOKUP(CR$10,'VK-Hooned-Soojus'!$C:$X,2+$C99,FALSE),0)+IF(CR$6="X",VLOOKUP(CR$10,'VK-Transport'!$C:$X,2+$B99,0))+IF(CR$8="X",VLOOKUP(CR$10,'VK-Elekter'!$C:$X,2+$D99,0))+IF(CR$9="X",VLOOKUP(CR$10,'VK-Biokütused'!$C:$U,2+$E99,0))+IF(CR$5="X",VLOOKUP(CR$10,'VK-Põlevkivi'!$C:$X,2+$G99,0))+IF(CR$4="X",VLOOKUP(CR$10,'VK-Võrgud'!$C:$X,2+$F99,0)))/1000</f>
        <v>8.0170872784575753</v>
      </c>
      <c r="CS99" s="209">
        <f>(IF(CS$7="X",VLOOKUP(CS$10,'VK-Hooned-Soojus'!$C:$X,2+$C99,FALSE),0)+IF(CS$6="X",VLOOKUP(CS$10,'VK-Transport'!$C:$X,2+$B99,0))+IF(CS$8="X",VLOOKUP(CS$10,'VK-Elekter'!$C:$X,2+$D99,0))+IF(CS$9="X",VLOOKUP(CS$10,'VK-Biokütused'!$C:$U,2+$E99,0))+IF(CS$5="X",VLOOKUP(CS$10,'VK-Põlevkivi'!$C:$X,2+$G99,0))+IF(CS$4="X",VLOOKUP(CS$10,'VK-Võrgud'!$C:$X,2+$F99,0)))/1000</f>
        <v>3.7943344900598324</v>
      </c>
      <c r="CT99" s="209">
        <f>IF(CT$7="X",VLOOKUP(CT$10,'VK-Hooned-Soojus'!$C:$X,2+$C99,FALSE),0)+IF(CT$6="X",VLOOKUP(CT$10,'VK-Transport'!$C:$X,2+$B99,0))+IF(CT$8="X",VLOOKUP(CT$10,'VK-Elekter'!$C:$X,2+$D99,0))+IF(CT$9="X",VLOOKUP(CT$10,'VK-Biokütused'!$C:$U,2+$E99,0))+IF(CT$5="X",VLOOKUP(CT$10,'VK-Põlevkivi'!$C:$X,2+$G99,0))+IF(CT$4="X",VLOOKUP(CT$10,'VK-Võrgud'!$C:$X,2+$F99,0))</f>
        <v>90</v>
      </c>
      <c r="CU99" s="209">
        <f>IF(CU$7="X",VLOOKUP(CU$10,'VK-Hooned-Soojus'!$C:$X,2+$C99,FALSE),0)+IF(CU$6="X",VLOOKUP(CU$10,'VK-Transport'!$C:$X,2+$B99,0))+IF(CU$8="X",VLOOKUP(CU$10,'VK-Elekter'!$C:$X,2+$D99,0))+IF(CU$9="X",VLOOKUP(CU$10,'VK-Biokütused'!$C:$U,2+$E99,0))+IF(CU$5="X",VLOOKUP(CU$10,'VK-Põlevkivi'!$C:$X,2+$G99,0))+IF(CU$4="X",VLOOKUP(CU$10,'VK-Võrgud'!$C:$X,2+$F99,0))</f>
        <v>1</v>
      </c>
      <c r="CV99" s="209">
        <f t="shared" si="49"/>
        <v>0.84317482403548605</v>
      </c>
      <c r="CW99" s="209">
        <f>(IF(CW$7="X",VLOOKUP(CW$10,'VK-Hooned-Soojus'!$C:$X,2+$C99,FALSE),0)+IF(CW$6="X",VLOOKUP(CW$10,'VK-Transport'!$C:$X,2+$B99,0))+IF(CW$8="X",VLOOKUP(CW$10,'VK-Elekter'!$C:$X,2+$D99,0))+IF(CW$9="X",VLOOKUP(CW$10,'VK-Biokütused'!$C:$U,2+$E99,0))+IF(CW$5="X",VLOOKUP(CW$10,'VK-Põlevkivi'!$C:$X,2+$G99,0))+IF(CW$4="X",VLOOKUP(CW$10,'VK-Võrgud'!$C:$X,2+$F99,0)))/16</f>
        <v>59.743749999999999</v>
      </c>
      <c r="CY99" s="209">
        <f>(IF(CY$7="X",VLOOKUP(CY$10,'VK-Hooned-Soojus'!$C:$X,2+$C99,FALSE),0)+IF(CY$6="X",VLOOKUP(CY$10,'VK-Transport'!$C:$X,2+$B99,0))+IF(CY$8="X",VLOOKUP(CY$10,'VK-Elekter'!$C:$X,2+$D99,0))+IF(CY$9="X",VLOOKUP(CY$10,'VK-Biokütused'!$C:$U,2+$E99,0))+IF(CY$5="X",VLOOKUP(CY$10,'VK-Põlevkivi'!$C:$X,2+$G99,0))+IF(CY$4="X",VLOOKUP(CY$10,'VK-Võrgud'!$C:$X,2+$F99,0)))/1000</f>
        <v>11.339</v>
      </c>
      <c r="CZ99" s="209">
        <f>(IF(CZ$7="X",VLOOKUP(CZ$10,'VK-Hooned-Soojus'!$C:$X,2+$C99,FALSE),0)+IF(CZ$6="X",VLOOKUP(CZ$10,'VK-Transport'!$C:$X,2+$B99,0))+IF(CZ$8="X",VLOOKUP(CZ$10,'VK-Elekter'!$C:$X,2+$D99,0))+IF(CZ$9="X",VLOOKUP(CZ$10,'VK-Biokütused'!$C:$U,2+$E99,0))+IF(CZ$5="X",VLOOKUP(CZ$10,'VK-Põlevkivi'!$C:$X,2+$G99,0))+IF(CZ$4="X",VLOOKUP(CZ$10,'VK-Võrgud'!$C:$X,2+$F99,0)))</f>
        <v>93.4</v>
      </c>
      <c r="DA99" s="209">
        <f>(IF(DA$7="X",VLOOKUP(DA$10,'VK-Hooned-Soojus'!$C:$X,2+$C99,FALSE),0)+IF(DA$6="X",VLOOKUP(DA$10,'VK-Transport'!$C:$X,2+$B99,0))+IF(DA$8="X",VLOOKUP(DA$10,'VK-Elekter'!$C:$X,2+$D99,0))+IF(DA$9="X",VLOOKUP(DA$10,'VK-Biokütused'!$C:$U,2+$E99,0))+IF(DA$5="X",VLOOKUP(DA$10,'VK-Põlevkivi'!$C:$X,2+$G99,0))+IF(DA$4="X",VLOOKUP(DA$10,'VK-Võrgud'!$C:$X,2+$F99,0)))/1000</f>
        <v>16.427</v>
      </c>
      <c r="DB99" s="209">
        <f>(IF(DB$7="X",VLOOKUP(DB$10,'VK-Hooned-Soojus'!$C:$X,2+$C99,FALSE),0)+IF(DB$6="X",VLOOKUP(DB$10,'VK-Transport'!$C:$X,2+$B99,0))+IF(DB$8="X",VLOOKUP(DB$10,'VK-Elekter'!$C:$X,2+$D99,0))+IF(DB$9="X",VLOOKUP(DB$10,'VK-Biokütused'!$C:$U,2+$E99,0))+IF(DB$5="X",VLOOKUP(DB$10,'VK-Põlevkivi'!$C:$X,2+$G99,0))+IF(DB$4="X",VLOOKUP(DB$10,'VK-Võrgud'!$C:$X,2+$F99,0)))/1000/3.6</f>
        <v>135.32361111111112</v>
      </c>
      <c r="DC99" s="209">
        <f>(IF(DC$7="X",VLOOKUP(DC$10,'VK-Hooned-Soojus'!$C:$X,2+$C99,FALSE),0)+IF(DC$6="X",VLOOKUP(DC$10,'VK-Transport'!$C:$X,2+$B99,0))+IF(DC$8="X",VLOOKUP(DC$10,'VK-Elekter'!$C:$X,2+$D99,0))+IF(DC$9="X",VLOOKUP(DC$10,'VK-Biokütused'!$C:$U,2+$E99,0))+IF(DC$5="X",VLOOKUP(DC$10,'VK-Põlevkivi'!$C:$X,2+$G99,0))+IF(DC$4="X",VLOOKUP(DC$10,'VK-Võrgud'!$C:$X,2+$F99,0)))/1000000</f>
        <v>7.3039480000000001</v>
      </c>
      <c r="DD99" s="209"/>
      <c r="DE99" s="88">
        <f>VLOOKUP(Tulemused!$BN$12,data!M$7:N$12,2,FALSE)-SUM(L99,M99)</f>
        <v>-0.77386666666667736</v>
      </c>
      <c r="DF99" s="209" t="str">
        <f>IF(AZ99&lt;=VLOOKUP(Tulemused!$BN$15,data!$E$36:$F$39,2,FALSE),"JAH","EI")</f>
        <v>JAH</v>
      </c>
      <c r="DG99" s="209"/>
      <c r="DH99" s="209">
        <f t="shared" si="50"/>
        <v>6.08</v>
      </c>
      <c r="DI99" s="231" t="str">
        <f t="shared" si="65"/>
        <v>EI</v>
      </c>
      <c r="DK99" s="232">
        <f t="shared" si="51"/>
        <v>-994.1620703008598</v>
      </c>
      <c r="DM99" s="233">
        <f t="shared" si="52"/>
        <v>-996.03875511231638</v>
      </c>
      <c r="DN99" s="87">
        <f t="array" ref="DN99">INDEX($A$11:$A$145, SMALL(IF(DM99=$DK$11:$DK$145, MATCH(ROW($DK$11:$DK$145), ROW($DK$11:$DK$145))), SUM(--(DM99=$DM$11:DM99))))</f>
        <v>48</v>
      </c>
      <c r="DP99" s="87" t="e">
        <f t="shared" ca="1" si="66"/>
        <v>#N/A</v>
      </c>
      <c r="DQ99" s="87" t="e">
        <f t="shared" ca="1" si="67"/>
        <v>#N/A</v>
      </c>
      <c r="DR99" s="87">
        <f t="shared" ca="1" si="68"/>
        <v>0</v>
      </c>
      <c r="DS99" s="87" t="e">
        <f t="shared" ca="1" si="69"/>
        <v>#N/A</v>
      </c>
      <c r="DT99" s="87">
        <f t="shared" ca="1" si="70"/>
        <v>0</v>
      </c>
      <c r="DU99" s="87" t="e">
        <f t="shared" ca="1" si="71"/>
        <v>#N/A</v>
      </c>
      <c r="DV99" s="87" t="e">
        <f t="shared" ca="1" si="72"/>
        <v>#N/A</v>
      </c>
      <c r="DW99" s="87">
        <f t="shared" ca="1" si="73"/>
        <v>0</v>
      </c>
      <c r="DX99" s="87">
        <f t="shared" ca="1" si="74"/>
        <v>0</v>
      </c>
      <c r="DZ99" s="87">
        <f t="shared" ca="1" si="82"/>
        <v>0</v>
      </c>
      <c r="EB99" s="87">
        <f t="shared" ca="1" si="75"/>
        <v>0</v>
      </c>
      <c r="EC99" s="87" t="e">
        <f t="shared" ca="1" si="76"/>
        <v>#N/A</v>
      </c>
      <c r="EE99" s="228">
        <f>(IF(EE$7="X",VLOOKUP(EE$10,'VK-Hooned-Soojus'!$C:$X,2+$C99,FALSE),0)+IF(EE$6="X",VLOOKUP(EE$10,'VK-Transport'!$C:$X,2+$B99,0))+IF(EE$8="X",VLOOKUP(EE$10,'VK-Elekter'!$C:$X,2+$D99,0))+IF(EE$9="X",VLOOKUP(EE$10,'VK-Biokütused'!$C:$U,2+$E99,0))+IF(EE$5="X",VLOOKUP(EE$10,'VK-Põlevkivi'!$C:$X,2+$G99,0))+IF(EE$4="X",VLOOKUP(EE$10,'VK-Võrgud'!$C:$X,2+$F99,0)))</f>
        <v>10818.354875645871</v>
      </c>
      <c r="EF99" s="209">
        <f>(IF(EF$7="X",VLOOKUP(EF$10,'VK-Hooned-Soojus'!$C:$X,2+$C99,FALSE),0)+IF(EF$6="X",VLOOKUP(EF$10,'VK-Transport'!$C:$X,2+$B99,0))+IF(EF$8="X",VLOOKUP(EF$10,'VK-Elekter'!$C:$X,2+$D99,0))+IF(EF$9="X",VLOOKUP(EF$10,'VK-Biokütused'!$C:$U,2+$E99,0))+IF(EF$5="X",VLOOKUP(EF$10,'VK-Põlevkivi'!$C:$X,2+$G99,0))+IF(EF$4="X",VLOOKUP(EF$10,'VK-Võrgud'!$C:$X,2+$F99,0)))/1000</f>
        <v>8.5853823271229697</v>
      </c>
      <c r="EG99" s="209">
        <f>(IF(EG$7="X",VLOOKUP(EG$10,'VK-Hooned-Soojus'!$C:$X,2+$C99,FALSE),0)+IF(EG$6="X",VLOOKUP(EG$10,'VK-Transport'!$C:$X,2+$B99,0))+IF(EG$8="X",VLOOKUP(EG$10,'VK-Elekter'!$C:$X,2+$D99,0))+IF(EG$9="X",VLOOKUP(EG$10,'VK-Biokütused'!$C:$U,2+$E99,0))+IF(EG$5="X",VLOOKUP(EG$10,'VK-Põlevkivi'!$C:$X,2+$G99,0))+IF(EG$4="X",VLOOKUP(EG$10,'VK-Võrgud'!$C:$X,2+$F99,0)))</f>
        <v>0.81</v>
      </c>
      <c r="EH99" s="209">
        <f>(IF(EH$7="X",VLOOKUP(EH$10,'VK-Hooned-Soojus'!$C:$X,2+$C99,FALSE),0)+IF(EH$6="X",VLOOKUP(EH$10,'VK-Transport'!$C:$X,2+$B99,0))+IF(EH$8="X",VLOOKUP(EH$10,'VK-Elekter'!$C:$X,2+$D99,0))+IF(EH$9="X",VLOOKUP(EH$10,'VK-Biokütused'!$C:$U,2+$E99,0)))+AR99+AS99+AU99+AX99</f>
        <v>90.756101174299005</v>
      </c>
      <c r="EI99" s="320">
        <f t="shared" si="53"/>
        <v>60.912789653214382</v>
      </c>
      <c r="EJ99" s="322">
        <f t="shared" si="54"/>
        <v>2.3391437578713474E-2</v>
      </c>
      <c r="EK99" s="323">
        <f t="shared" si="77"/>
        <v>0.39841358381950748</v>
      </c>
      <c r="EM99" s="209"/>
      <c r="EN99" s="209">
        <f t="shared" ca="1" si="55"/>
        <v>0</v>
      </c>
      <c r="EO99" s="209"/>
      <c r="EP99" s="234"/>
      <c r="EQ99" s="209">
        <f>(IF(EQ$7="X",VLOOKUP(EQ$10,'VK-Hooned-Soojus'!$C:$X,2+$C99,FALSE),0)+IF(EQ$6="X",VLOOKUP(EQ$10,'VK-Transport'!$C:$X,2+$B99,0))+IF(EQ$8="X",VLOOKUP(EQ$10,'VK-Elekter'!$C:$X,2+$D99,0))+IF(EQ$9="X",VLOOKUP(EQ$10,'VK-Biokütused'!$C:$U,2+$E99,0))+IF(EQ$5="X",VLOOKUP(EQ$10,'VK-Põlevkivi'!$C:$X,2+$G99,0))+IF(EQ$4="X",VLOOKUP(EQ$10,'VK-Võrgud'!$C:$X,2+$F99,0)))/1000</f>
        <v>0.19900000000000001</v>
      </c>
      <c r="ER99" s="209">
        <f>(IF(ER$7="X",VLOOKUP(ER$10,'VK-Hooned-Soojus'!$C:$X,2+$C99,FALSE),0)+IF(ER$6="X",VLOOKUP(ER$10,'VK-Transport'!$C:$X,2+$B99,0))+IF(ER$8="X",VLOOKUP(ER$10,'VK-Elekter'!$C:$X,2+$D99,0))+IF(ER$9="X",VLOOKUP(ER$10,'VK-Biokütused'!$C:$U,2+$E99,0))+IF(ER$5="X",VLOOKUP(ER$10,'VK-Põlevkivi'!$C:$X,2+$G99,0))+IF(ER$4="X",VLOOKUP(ER$10,'VK-Võrgud'!$C:$X,2+$F99,0)))</f>
        <v>0.72299999999999998</v>
      </c>
      <c r="ES99" s="209">
        <f>(IF(ES$7="X",VLOOKUP(ES$10,'VK-Hooned-Soojus'!$C:$X,2+$C99,FALSE),0)+IF(ES$6="X",VLOOKUP(ES$10,'VK-Transport'!$C:$X,2+$B99,0))+IF(ES$8="X",VLOOKUP(ES$10,'VK-Elekter'!$C:$X,2+$D99,0))+IF(ES$9="X",VLOOKUP(ES$10,'VK-Biokütused'!$C:$U,2+$E99,0))+IF(ES$5="X",VLOOKUP(ES$10,'VK-Põlevkivi'!$C:$X,2+$G99,0))+IF(ES$4="X",VLOOKUP(ES$10,'VK-Võrgud'!$C:$X,2+$F99,0)))</f>
        <v>6.08</v>
      </c>
      <c r="ET99" s="209"/>
      <c r="EU99" s="209"/>
      <c r="EV99" s="87">
        <f>'KSH järjestus'!AS92</f>
        <v>1332</v>
      </c>
      <c r="EX99" s="236"/>
      <c r="EY99" s="236"/>
      <c r="EZ99" s="237">
        <f t="shared" si="56"/>
        <v>0</v>
      </c>
      <c r="FA99" s="209">
        <f>IF(FA$7="X",VLOOKUP(FA$10,'VK-Hooned-Soojus'!$C:$X,2+$C99,FALSE),0)+IF(FA$6="X",VLOOKUP(FA$10,'VK-Transport'!$C:$X,2+$B99,0))+IF(FA$8="X",VLOOKUP(FA$10,'VK-Elekter'!$C:$X,2+$D99,0))+IF(FA$9="X",VLOOKUP(FA$10,'VK-Biokütused'!$C:$U,2+$E99,0))+IF(FA$5="X",VLOOKUP(FA$10,'VK-Põlevkivi'!$C:$X,2+$G99,0))+IF(FA$4="X",VLOOKUP(FA$10,'VK-Võrgud'!$C:$X,2+$F99,0))</f>
        <v>3221.346</v>
      </c>
      <c r="FB99" s="279">
        <f>(IF(FB$7="X",VLOOKUP(FB$10,'VK-Hooned-Soojus'!$C:$X,2+$C99,FALSE),0)+IF(FB$6="X",VLOOKUP(FB$10,'VK-Transport'!$C:$X,2+$B99,0))+IF(FB$8="X",VLOOKUP(FB$10,'VK-Elekter'!$C:$X,2+$D99,0))+IF(FB$9="X",VLOOKUP(FB$10,'VK-Biokütused'!$C:$U,2+$E99,0))+IF(FB$5="X",VLOOKUP(FB$10,'VK-Põlevkivi'!$C:$X,2+$G99,0))+IF(FB$4="X",VLOOKUP(FB$10,'VK-Võrgud'!$C:$X,2+$F99,0)))/16</f>
        <v>811.32101523488848</v>
      </c>
      <c r="FC99" s="209">
        <f>IF(FC$7="X",VLOOKUP(FC$10,'VK-Hooned-Soojus'!$C:$X,2+$C99,FALSE),0)+IF(FC$6="X",VLOOKUP(FC$10,'VK-Transport'!$C:$X,2+$B99,0))+IF(FC$8="X",VLOOKUP(FC$10,'VK-Elekter'!$C:$X,2+$D99,0))+IF(FC$9="X",VLOOKUP(FC$10,'VK-Biokütused'!$C:$U,2+$E99,0))+IF(FC$5="X",VLOOKUP(FC$10,'VK-Põlevkivi'!$C:$X,2+$G99,0))+IF(FC$4="X",VLOOKUP(FC$10,'VK-Võrgud'!$C:$X,2+$F99,0))</f>
        <v>296.95</v>
      </c>
      <c r="FD99" s="209">
        <f>(IF(FD$7="X",VLOOKUP(FD$10,'VK-Hooned-Soojus'!$C:$X,2+$C99,FALSE),0)+IF(FD$6="X",VLOOKUP(FD$10,'VK-Transport'!$C:$X,2+$B99,0))+IF(FD$8="X",VLOOKUP(FD$10,'VK-Elekter'!$C:$X,2+$D99,0))+IF(FD$9="X",VLOOKUP(FD$10,'VK-Biokütused'!$C:$U,2+$E99,0))+IF(FD$5="X",VLOOKUP(FD$10,'VK-Põlevkivi'!$C:$X,2+$G99,0))+IF(FD$4="X",VLOOKUP(FD$10,'VK-Võrgud'!$C:$X,2+$F99,0)))/16</f>
        <v>811.32101523488848</v>
      </c>
      <c r="FE99" s="209">
        <f>(IF(FE$7="X",VLOOKUP(FE$10,'VK-Hooned-Soojus'!$C:$X,2+$C99,FALSE),0)+IF(FE$6="X",VLOOKUP(FE$10,'VK-Transport'!$C:$X,2+$B99,0))+IF(FE$8="X",VLOOKUP(FE$10,'VK-Elekter'!$C:$X,2+$D99,0))+IF(FE$9="X",VLOOKUP(FE$10,'VK-Biokütused'!$C:$U,2+$E99,0))+IF(FE$5="X",VLOOKUP(FE$10,'VK-Põlevkivi'!$C:$X,2+$G99,0))+IF(FE$4="X",VLOOKUP(FE$10,'VK-Võrgud'!$C:$X,2+$F99,0)))/16</f>
        <v>-162.7344698806321</v>
      </c>
      <c r="FF99" s="209">
        <f>(IF(FF$7="X",VLOOKUP(FF$10,'VK-Hooned-Soojus'!$C:$X,2+$C99,FALSE),0)+IF(FF$6="X",VLOOKUP(FF$10,'VK-Transport'!$C:$X,2+$B99,0))+IF(FF$8="X",VLOOKUP(FF$10,'VK-Elekter'!$C:$X,2+$D99,0))+IF(FF$9="X",VLOOKUP(FF$10,'VK-Biokütused'!$C:$U,2+$E99,0))+IF(FF$5="X",VLOOKUP(FF$10,'VK-Põlevkivi'!$C:$X,2+$G99,0))+IF(FF$4="X",VLOOKUP(FF$10,'VK-Võrgud'!$C:$X,2+$F99,0)))/16</f>
        <v>264.53969949081602</v>
      </c>
      <c r="FG99" s="88">
        <f t="shared" ca="1" si="78"/>
        <v>101.80522961018391</v>
      </c>
      <c r="FH99" s="88"/>
      <c r="FI99" s="88"/>
      <c r="FJ99" s="88">
        <f>VLOOKUP(Tulemused!$BN$12,data!M$7:N$12,2,FALSE)-SUM(L99,M99)</f>
        <v>-0.77386666666667736</v>
      </c>
      <c r="FK99" s="209" t="str">
        <f>IF(AZ99&lt;=VLOOKUP(Tulemused!$BN$15,data!$E$36:$F$39,2,FALSE),"JAH","EI")</f>
        <v>JAH</v>
      </c>
      <c r="FL99" s="235">
        <f ca="1">IF(ISNA(MATCH($A99,INDIRECT(VLOOKUP(Tulemused!$BF$11,data!$J$57:$M$71,4,FALSE)))),0,MATCH($A99,INDIRECT(VLOOKUP(Tulemused!$BF$11,data!$J$57:$M$71,4,FALSE))))</f>
        <v>0</v>
      </c>
      <c r="FM99" s="235" t="str">
        <f t="shared" ca="1" si="57"/>
        <v>JAH</v>
      </c>
      <c r="FN99" s="209">
        <f>VLOOKUP(Tulemused!$BN$13,data!$C$132:$D$137,2,FALSE)-KOMBI!R99</f>
        <v>3.4690876728770306</v>
      </c>
      <c r="FO99" s="209"/>
      <c r="FP99" s="209">
        <f>VLOOKUP(Tulemused!$BN$17,NO_x,2,FALSE)-CJ99</f>
        <v>7.4929999999999986</v>
      </c>
      <c r="FQ99" s="209">
        <f>VLOOKUP(Tulemused!$BN$18,SO_2,2,FALSE)-CK99</f>
        <v>14.043083784206772</v>
      </c>
      <c r="FR99" s="209">
        <f>VLOOKUP(Tulemused!$BN$19,LOU,2,FALSE)-CN99</f>
        <v>34.182000000000002</v>
      </c>
      <c r="FS99" s="209">
        <f>VLOOKUP(Tulemused!$BN$20,PM_2.5,2,FALSE)-CM99</f>
        <v>9.3690103843950823</v>
      </c>
      <c r="FT99" s="209">
        <f>VLOOKUP(Tulemused!$BN$13,data!$C$132:$D$137,2,FALSE)-FA99/1000</f>
        <v>3.0246240000000006</v>
      </c>
      <c r="FU99" s="209">
        <f>VLOOKUP(Tulemused!$BN$17,NO_x,2,FALSE)-CO99</f>
        <v>0.25042478920271805</v>
      </c>
      <c r="FV99" s="209">
        <f>VLOOKUP(Tulemused!$BN$18,SO_2,2,FALSE)-CP99</f>
        <v>19.581523275345901</v>
      </c>
      <c r="FW99" s="209">
        <f>VLOOKUP(Tulemused!$BN$19,LOU,2,FALSE)-CS99</f>
        <v>33.285665509940173</v>
      </c>
      <c r="FX99" s="209">
        <f>VLOOKUP(Tulemused!$BN$20,PM_2.5,2,FALSE)-CR99</f>
        <v>8.8979127215424239</v>
      </c>
      <c r="FY99" s="209">
        <f>VLOOKUP(Tulemused!$BN$14,KHG_2050,2,FALSE)-EF99</f>
        <v>91.414617672877029</v>
      </c>
      <c r="FZ99" s="231" t="str">
        <f t="shared" ca="1" si="79"/>
        <v>EI</v>
      </c>
      <c r="GA99" s="209"/>
      <c r="GB99" s="209"/>
      <c r="GC99" s="209"/>
      <c r="GD99" s="231"/>
      <c r="GE99" s="87">
        <f t="shared" si="58"/>
        <v>1332</v>
      </c>
      <c r="GF99" s="232" t="str">
        <f t="shared" ca="1" si="80"/>
        <v/>
      </c>
      <c r="GH99" s="238" t="e">
        <f t="shared" ca="1" si="59"/>
        <v>#NUM!</v>
      </c>
      <c r="GI99" s="87" t="e">
        <f t="array" aca="1" ref="GI99" ca="1">INDEX($A$11:$A$145, SMALL(IF(GH99=$GF$11:$GF$145, MATCH(ROW($GF$11:$GF$145), ROW($GF$11:$GF$145))), SUM(--(GH99=$GH$11:GH99))))</f>
        <v>#NUM!</v>
      </c>
      <c r="GM99" s="209">
        <f>IF(GM$7="X",VLOOKUP(GM$10,'VK-Hooned-Soojus'!$C:$X,2+$C99,FALSE),0)+IF(GM$6="X",VLOOKUP(GM$10,'VK-Transport'!$C:$X,2+$B99,0))+IF(GM$8="X",VLOOKUP(GM$10,'VK-Elekter'!$C:$X,2+$D99,0))+IF(GM$9="X",VLOOKUP(GM$10,'VK-Biokütused'!$C:$U,2+$E99,0))+IF(GM$5="X",VLOOKUP(GM$10,'VK-Põlevkivi'!$C:$X,2+$G99,0))+IF(GM$4="X",VLOOKUP(GM$10,'VK-Võrgud'!$C:$X,2+$F99,0))</f>
        <v>11.189888530766083</v>
      </c>
      <c r="GN99" s="209">
        <f>IF(GN$7="X",VLOOKUP(GN$10,'VK-Hooned-Soojus'!$C:$X,2+$C99,FALSE),0)+IF(GN$6="X",VLOOKUP(GN$10,'VK-Transport'!$C:$X,2+$B99,0))+IF(GN$8="X",VLOOKUP(GN$10,'VK-Elekter'!$C:$X,2+$D99,0))+IF(GN$9="X",VLOOKUP(GN$10,'VK-Biokütused'!$C:$U,2+$E99,0))+IF(GN$5="X",VLOOKUP(GN$10,'VK-Põlevkivi'!$C:$X,2+$G99,0))+IF(GN$4="X",VLOOKUP(GN$10,'VK-Võrgud'!$C:$X,2+$F99,0))</f>
        <v>2.9930837725682502</v>
      </c>
      <c r="GO99" s="209">
        <f>IF(GO$7="X",VLOOKUP(GO$10,'VK-Hooned-Soojus'!$C:$X,2+$C99,FALSE),0)+IF(GO$6="X",VLOOKUP(GO$10,'VK-Transport'!$C:$X,2+$B99,0))+IF(GO$8="X",VLOOKUP(GO$10,'VK-Elekter'!$C:$X,2+$D99,0))+IF(GO$9="X",VLOOKUP(GO$10,'VK-Biokütused'!$C:$U,2+$E99,0))+IF(GO$5="X",VLOOKUP(GO$10,'VK-Põlevkivi'!$C:$X,2+$G99,0))+IF(GO$4="X",VLOOKUP(GO$10,'VK-Võrgud'!$C:$X,2+$F99,0))</f>
        <v>7.5763700102722566</v>
      </c>
      <c r="GP99" s="209">
        <f>IF(GP$7="X",VLOOKUP(GP$10,'VK-Hooned-Soojus'!$C:$X,2+$C99,FALSE),0)+IF(GP$6="X",VLOOKUP(GP$10,'VK-Transport'!$C:$X,2+$B99,0))+IF(GP$8="X",VLOOKUP(GP$10,'VK-Elekter'!$C:$X,2+$D99,0))+IF(GP$9="X",VLOOKUP(GP$10,'VK-Biokütused'!$C:$U,2+$E99,0))+IF(GP$5="X",VLOOKUP(GP$10,'VK-Põlevkivi'!$C:$X,2+$G99,0))+IF(GP$4="X",VLOOKUP(GP$10,'VK-Võrgud'!$C:$X,2+$F99,0))</f>
        <v>8.9326558040707589</v>
      </c>
      <c r="GQ99" s="88">
        <f>IF(GQ$7="X",VLOOKUP(GQ$10,'VK-Hooned-Soojus'!$C:$X,2+$C99,FALSE),0)+IF(GQ$6="X",VLOOKUP(GQ$10,'VK-Transport'!$C:$X,2+$B99,0))+IF(GQ$8="X",VLOOKUP(GQ$10,'VK-Elekter'!$C:$X,2+$D99,0))+IF(GQ$9="X",VLOOKUP(GQ$10,'VK-Biokütused'!$C:$U,2+$E99,0))+IF(GQ$5="X",VLOOKUP(GQ$10,'VK-Põlevkivi'!$C:$X,2+$G99,0))+IF(GQ$4="X",VLOOKUP(GQ$10,'VK-Võrgud'!$C:$X,2+$F99,0))</f>
        <v>0.90618397335647782</v>
      </c>
      <c r="GR99" s="186">
        <f t="shared" si="81"/>
        <v>0.38182672733571177</v>
      </c>
    </row>
    <row r="100" spans="1:200" x14ac:dyDescent="0.2">
      <c r="A100" s="184">
        <v>90</v>
      </c>
      <c r="B100" s="87">
        <v>2</v>
      </c>
      <c r="C100" s="87">
        <v>3</v>
      </c>
      <c r="D100" s="87">
        <v>5</v>
      </c>
      <c r="E100" s="87">
        <v>3</v>
      </c>
      <c r="F100" s="87">
        <f>VLOOKUP(Tulemused!$BF$7,data!$J$6:$K$8,2,FALSE)</f>
        <v>2</v>
      </c>
      <c r="G100" s="87">
        <f>VLOOKUP(data!$H$2,data!$J$12:$K$14,2,FALSE)</f>
        <v>2</v>
      </c>
      <c r="I100" s="209">
        <f>IF(I$7="X",VLOOKUP(I$10,'VK-Hooned-Soojus'!$C:$X,2+$C100,FALSE),0)+IF(I$6="X",VLOOKUP(I$10,'VK-Transport'!$C:$X,2+$B100,0))+IF(I$8="X",VLOOKUP(I$10,'VK-Elekter'!$C:$X,2+$D100,0))+IF(I$9="X",VLOOKUP(I$10,'VK-Biokütused'!$C:$U,2+$E100,0))+IF(I$5="X",VLOOKUP(I$10,'VK-Põlevkivi'!$C:$X,2+$G100,0))+IF(I$4="X",VLOOKUP(I$10,'VK-Võrgud'!$C:$X,2+$F100,0))</f>
        <v>23.490000000000002</v>
      </c>
      <c r="J100" s="209">
        <f>IF(J$7="X",VLOOKUP(J$10,'VK-Hooned-Soojus'!$C:$X,2+$C100,FALSE),0)+IF(J$6="X",VLOOKUP(J$10,'VK-Transport'!$C:$X,2+$B100,0))+IF(J$8="X",VLOOKUP(J$10,'VK-Elekter'!$C:$X,2+$D100,0))+IF(J$9="X",VLOOKUP(J$10,'VK-Biokütused'!$C:$U,2+$E100,0))+IF(J$5="X",VLOOKUP(J$10,'VK-Põlevkivi'!$C:$X,2+$G100,0))+IF(J$4="X",VLOOKUP(J$10,'VK-Võrgud'!$C:$X,2+$F100,0))</f>
        <v>11.138055555555555</v>
      </c>
      <c r="K100" s="209">
        <f>IF(K$7="X",VLOOKUP(K$10,'VK-Hooned-Soojus'!$C:$X,2+$C100,FALSE),0)+IF(K$6="X",VLOOKUP(K$10,'VK-Transport'!$C:$X,2+$B100,0))+IF(K$8="X",VLOOKUP(K$10,'VK-Elekter'!$C:$X,2+$D100,0))+IF(K$9="X",VLOOKUP(K$10,'VK-Biokütused'!$C:$U,2+$E100,0))+IF(K$5="X",VLOOKUP(K$10,'VK-Põlevkivi'!$C:$X,2+$G100,0))+IF(K$4="X",VLOOKUP(K$10,'VK-Võrgud'!$C:$X,2+$F100,0))</f>
        <v>13.780000000000001</v>
      </c>
      <c r="L100" s="209">
        <f>IF(L$7="X",VLOOKUP(L$10,'VK-Hooned-Soojus'!$C:$X,2+$C100,FALSE),0)+IF(L$6="X",VLOOKUP(L$10,'VK-Transport'!$C:$X,2+$B100,0))+IF(L$8="X",VLOOKUP(L$10,'VK-Elekter'!$C:$X,2+$D100,0))+IF(L$9="X",VLOOKUP(L$10,'VK-Biokütused'!$C:$U,2+$E100,0))+IF(L$5="X",VLOOKUP(L$10,'VK-Põlevkivi'!$C:$X,2+$G100,0))+IF(L$4="X",VLOOKUP(L$10,'VK-Võrgud'!$C:$X,2+$F100,0))</f>
        <v>23.75</v>
      </c>
      <c r="M100" s="209">
        <f>IF(M$7="X",VLOOKUP(M$10,'VK-Hooned-Soojus'!$C:$X,2+$C100,FALSE),0)+IF(M$6="X",VLOOKUP(M$10,'VK-Transport'!$C:$X,2+$B100,0))+IF(M$8="X",VLOOKUP(M$10,'VK-Elekter'!$C:$X,2+$D100,0))+IF(M$9="X",VLOOKUP(M$10,'VK-Biokütused'!$C:$U,2+$E100,0))+IF(M$5="X",VLOOKUP(M$10,'VK-Põlevkivi'!$C:$X,2+$G100,0))+IF(M$4="X",VLOOKUP(M$10,'VK-Võrgud'!$C:$X,2+$F100,0))</f>
        <v>9.8566666666666674</v>
      </c>
      <c r="N100" s="209">
        <f>IF(N$7="X",VLOOKUP(N$10,'VK-Hooned-Soojus'!$C:$X,2+$C100,FALSE),0)+IF(N$6="X",VLOOKUP(N$10,'VK-Transport'!$C:$X,2+$B100,0))+IF(N$8="X",VLOOKUP(N$10,'VK-Elekter'!$C:$X,2+$D100,0))+IF(N$9="X",VLOOKUP(N$10,'VK-Biokütused'!$C:$U,2+$E100,0))+IF(N$5="X",VLOOKUP(N$10,'VK-Põlevkivi'!$C:$X,2+$G100,0))+IF(N$4="X",VLOOKUP(N$10,'VK-Võrgud'!$C:$X,2+$F100,0))</f>
        <v>15.25</v>
      </c>
      <c r="O100" s="209">
        <f t="shared" si="60"/>
        <v>34.628055555555555</v>
      </c>
      <c r="P100" s="209"/>
      <c r="Q100" s="209">
        <f>(IF(Q$7="X",VLOOKUP(Q$10,'VK-Hooned-Soojus'!$C:$X,2+$C100,FALSE),0)+IF(Q$6="X",VLOOKUP(Q$10,'VK-Transport'!$C:$X,2+$B100,0))+IF(Q$8="X",VLOOKUP(Q$10,'VK-Elekter'!$C:$X,2+$D100,0))+IF(Q$9="X",VLOOKUP(Q$10,'VK-Biokütused'!$C:$U,2+$E100,0))+IF(Q$5="X",VLOOKUP(Q$10,'VK-Põlevkivi'!$C:$X,2+$G100,0))+IF(Q$4="X",VLOOKUP(Q$10,'VK-Võrgud'!$C:$X,2+$F100,0)))/1000</f>
        <v>5.9039999999999999</v>
      </c>
      <c r="R100" s="209">
        <f>(IF(R$7="X",VLOOKUP(R$10,'VK-Hooned-Soojus'!$C:$X,2+$C100,FALSE),0)+IF(R$6="X",VLOOKUP(R$10,'VK-Transport'!$C:$X,2+$B100,0))+IF(R$8="X",VLOOKUP(R$10,'VK-Elekter'!$C:$X,2+$D100,0))+IF(R$9="X",VLOOKUP(R$10,'VK-Biokütused'!$C:$U,2+$E100,0))+IF(R$5="X",VLOOKUP(R$10,'VK-Põlevkivi'!$C:$X,2+$G100,0))+IF(R$4="X",VLOOKUP(R$10,'VK-Võrgud'!$C:$X,2+$F100,0)))/1000</f>
        <v>2.98558232712297</v>
      </c>
      <c r="S100" s="226">
        <f>VLOOKUP(S$10,'VK-Hooned-Soojus'!$C:$I,2+$C100,FALSE) + VLOOKUP(S$10,'VK-Transport'!$C:$I,2+$B100,FALSE)+ VLOOKUP(S$10,'VK-Biokütused'!$C:$G,2+$E100,FALSE)+ VLOOKUP(S$10,'VK-Elekter'!$C:$I,2+$D100,FALSE)+ VLOOKUP(S$10,'VK-Põlevkivi'!$C:$I,2+$G100,FALSE)+ VLOOKUP(S$10,'VK-Võrgud'!$C:$I,2+$F100,FALSE)</f>
        <v>3.4873146674706611E-2</v>
      </c>
      <c r="T100" s="226">
        <f>VLOOKUP(T$10,'VK-Hooned-Soojus'!$C:$I,2+$C100,FALSE) + VLOOKUP(T$10,'VK-Transport'!$C:$I,2+$B100,FALSE)+ VLOOKUP(T$10,'VK-Biokütused'!$C:$G,2+$E100,FALSE)+ VLOOKUP(T$10,'VK-Elekter'!$C:$I,2+$D100,FALSE)+ VLOOKUP(T$10,'VK-Põlevkivi'!$C:$I,2+$G100,FALSE)+ VLOOKUP(T$10,'VK-Võrgud'!$C:$I,2+$F100,FALSE)</f>
        <v>6.167095272009742E-3</v>
      </c>
      <c r="U100" s="226">
        <f>VLOOKUP(U$10,'VK-Hooned-Soojus'!$C:$I,2+$C100,FALSE) + VLOOKUP(U$10,'VK-Transport'!$C:$I,2+$B100,FALSE)+ VLOOKUP(U$10,'VK-Biokütused'!$C:$G,2+$E100,FALSE)+ VLOOKUP(U$10,'VK-Elekter'!$C:$I,2+$D100,FALSE)+ VLOOKUP(U$10,'VK-Põlevkivi'!$C:$I,2+$G100,FALSE)+ VLOOKUP(U$10,'VK-Võrgud'!$C:$I,2+$F100,FALSE)</f>
        <v>1.1870192506951593E-2</v>
      </c>
      <c r="V100" s="226">
        <f>VLOOKUP(V$10,'VK-Hooned-Soojus'!$C:$I,2+$C100,FALSE) + VLOOKUP(V$10,'VK-Transport'!$C:$I,2+$B100,FALSE)+ VLOOKUP(V$10,'VK-Biokütused'!$C:$G,2+$E100,FALSE)+ VLOOKUP(V$10,'VK-Elekter'!$C:$I,2+$D100,FALSE)+ VLOOKUP(V$10,'VK-Põlevkivi'!$C:$I,2+$G100,FALSE)+ VLOOKUP(V$10,'VK-Võrgud'!$C:$I,2+$F100,FALSE)</f>
        <v>2.3438015340223477E-2</v>
      </c>
      <c r="W100" s="226">
        <f>VLOOKUP(W$10,'VK-Hooned-Soojus'!$C:$I,2+$C100,FALSE) + VLOOKUP(W$10,'VK-Transport'!$C:$I,2+$B100,FALSE)+ VLOOKUP(W$10,'VK-Biokütused'!$C:$G,2+$E100,FALSE)+ VLOOKUP(W$10,'VK-Elekter'!$C:$I,2+$D100,FALSE)+ VLOOKUP(W$10,'VK-Põlevkivi'!$C:$I,2+$G100,FALSE)+ VLOOKUP(W$10,'VK-Võrgud'!$C:$I,2+$F100,FALSE)</f>
        <v>-1.9336000999792845E-2</v>
      </c>
      <c r="X100" s="226">
        <f>VLOOKUP(X$10,'VK-Hooned-Soojus'!$C:$I,2+$C100,FALSE) + VLOOKUP(X$10,'VK-Transport'!$C:$I,2+$B100,FALSE)+ VLOOKUP(X$10,'VK-Biokütused'!$C:$G,2+$E100,FALSE)+ VLOOKUP(X$10,'VK-Elekter'!$C:$I,2+$D100,FALSE)+ VLOOKUP(X$10,'VK-Põlevkivi'!$C:$I,2+$G100,FALSE)+ VLOOKUP(X$10,'VK-Võrgud'!$C:$I,2+$F100,FALSE)</f>
        <v>5.132821644312948E-2</v>
      </c>
      <c r="Y100" s="226">
        <f>VLOOKUP(Y$10,'VK-Hooned-Soojus'!$C:$I,2+$C100,FALSE) + VLOOKUP(Y$10,'VK-Transport'!$C:$I,2+$B100,FALSE)+ VLOOKUP(Y$10,'VK-Biokütused'!$C:$G,2+$E100,FALSE)+ VLOOKUP(Y$10,'VK-Elekter'!$C:$I,2+$D100,FALSE)+ VLOOKUP(Y$10,'VK-Põlevkivi'!$C:$I,2+$G100,FALSE)+ VLOOKUP(Y$10,'VK-Võrgud'!$C:$I,2+$F100,FALSE)</f>
        <v>4.0160906710377052E-2</v>
      </c>
      <c r="Z100" s="227">
        <f>(S100*Tulemused!$Q$9*10+T100*Tulemused!$Q$10*10+KOMBI!U100*Tulemused!$Q$11*10+KOMBI!V100*Tulemused!$Q$12*10)*Tulemused!$Q$8+-(W100*Tulemused!$Q$14*10+KOMBI!X100*Tulemused!$Q$15*10+KOMBI!Y100*Tulemused!$Q$16*10)*Tulemused!$Q$13</f>
        <v>6.743029421381709</v>
      </c>
      <c r="AA100" s="228">
        <f>(IF(AA$7="X",VLOOKUP(AA$10,'VK-Hooned-Soojus'!$C:$X,2+$C100,FALSE),0)+IF(AA$6="X",VLOOKUP(AA$10,'VK-Transport'!$C:$X,2+$B100,0))+IF(AA$8="X",VLOOKUP(AA$10,'VK-Elekter'!$C:$X,2+$D100,0))+IF(AA$9="X",VLOOKUP(AA$10,'VK-Biokütused'!$C:$U,2+$E100,0))+IF(AA$5="X",VLOOKUP(AA$10,'VK-Põlevkivi'!$C:$X,2+$G100,0))+IF(AA$4="X",VLOOKUP(AA$10,'VK-Võrgud'!$C:$X,2+$F100,0)))</f>
        <v>4727</v>
      </c>
      <c r="AB100" s="228">
        <f>(IF(AB$7="X",VLOOKUP(AB$10,'VK-Hooned-Soojus'!$C:$X,2+$C100,FALSE),0)+IF(AB$6="X",VLOOKUP(AB$10,'VK-Transport'!$C:$X,2+$B100,0))+IF(AB$8="X",VLOOKUP(AB$10,'VK-Elekter'!$C:$X,2+$D100,0))+IF(AB$9="X",VLOOKUP(AB$10,'VK-Biokütused'!$C:$U,2+$E100,0))+IF(AB$5="X",VLOOKUP(AB$10,'VK-Põlevkivi'!$C:$X,2+$G100,0))+IF(AB$4="X",VLOOKUP(AB$10,'VK-Võrgud'!$C:$X,2+$F100,0)))</f>
        <v>1177</v>
      </c>
      <c r="AC100" s="228">
        <f>(IF(AC$7="X",VLOOKUP(AC$10,'VK-Hooned-Soojus'!$C:$X,2+$C100,FALSE),0)+IF(AC$6="X",VLOOKUP(AC$10,'VK-Transport'!$C:$X,2+$B100,0))+IF(AC$8="X",VLOOKUP(AC$10,'VK-Elekter'!$C:$X,2+$D100,0))+IF(AC$9="X",VLOOKUP(AC$10,'VK-Biokütused'!$C:$U,2+$E100,0))+IF(AC$5="X",VLOOKUP(AC$10,'VK-Põlevkivi'!$C:$X,2+$G100,0))+IF(AC$4="X",VLOOKUP(AC$10,'VK-Võrgud'!$C:$X,2+$F100,0)))</f>
        <v>2346</v>
      </c>
      <c r="AD100" s="228">
        <f>(IF(AD$7="X",VLOOKUP(AD$10,'VK-Hooned-Soojus'!$C:$X,2+$C100,FALSE),0)+IF(AD$6="X",VLOOKUP(AD$10,'VK-Transport'!$C:$X,2+$B100,0))+IF(AD$8="X",VLOOKUP(AD$10,'VK-Elekter'!$C:$X,2+$D100,0))+IF(AD$9="X",VLOOKUP(AD$10,'VK-Biokütused'!$C:$U,2+$E100,0))+IF(AD$5="X",VLOOKUP(AD$10,'VK-Põlevkivi'!$C:$X,2+$G100,0))+IF(AD$4="X",VLOOKUP(AD$10,'VK-Võrgud'!$C:$X,2+$F100,0)))</f>
        <v>586.20000000000005</v>
      </c>
      <c r="AE100" s="228">
        <f>(IF(AE$7="X",VLOOKUP(AE$10,'VK-Hooned-Soojus'!$C:$X,2+$C100,FALSE),0)+IF(AE$6="X",VLOOKUP(AE$10,'VK-Transport'!$C:$X,2+$B100,0))+IF(AE$8="X",VLOOKUP(AE$10,'VK-Elekter'!$C:$X,2+$D100,0))+IF(AE$9="X",VLOOKUP(AE$10,'VK-Biokütused'!$C:$U,2+$E100,0))+IF(AE$5="X",VLOOKUP(AE$10,'VK-Põlevkivi'!$C:$X,2+$G100,0))+IF(AE$4="X",VLOOKUP(AE$10,'VK-Võrgud'!$C:$X,2+$F100,0)))</f>
        <v>507</v>
      </c>
      <c r="AF100" s="228">
        <f>(IF(AF$7="X",VLOOKUP(AF$10,'VK-Hooned-Soojus'!$C:$X,2+$C100,FALSE),0)+IF(AF$6="X",VLOOKUP(AF$10,'VK-Transport'!$C:$X,2+$B100,0))+IF(AF$8="X",VLOOKUP(AF$10,'VK-Elekter'!$C:$X,2+$D100,0))+IF(AF$9="X",VLOOKUP(AF$10,'VK-Biokütused'!$C:$U,2+$E100,0))+IF(AF$5="X",VLOOKUP(AF$10,'VK-Põlevkivi'!$C:$X,2+$G100,0))+IF(AF$4="X",VLOOKUP(AF$10,'VK-Võrgud'!$C:$X,2+$F100,0)))</f>
        <v>1892.3823271229701</v>
      </c>
      <c r="AG100" s="209"/>
      <c r="AH100" s="209">
        <f>IF(AH$7="X",VLOOKUP(AH$10,'VK-Hooned-Soojus'!$C:$X,2+$C100,FALSE),0)+IF(AH$6="X",VLOOKUP(AH$10,'VK-Transport'!$C:$X,2+$B100,0))+IF(AH$8="X",VLOOKUP(AH$10,'VK-Elekter'!$C:$X,2+$D100,0))+IF(AH$9="X",VLOOKUP(AH$10,'VK-Biokütused'!$C:$U,2+$E100,0))+IF(AH$5="X",VLOOKUP(AH$10,'VK-Põlevkivi'!$C:$X,2+$G100,0))+IF(AH$4="X",VLOOKUP(AH$10,'VK-Võrgud'!$C:$X,2+$F100,0))</f>
        <v>17.400000000000002</v>
      </c>
      <c r="AI100" s="209">
        <f>IF(AI$7="X",VLOOKUP(AI$10,'VK-Hooned-Soojus'!$C:$X,2+$C100,FALSE),0)+IF(AI$6="X",VLOOKUP(AI$10,'VK-Transport'!$C:$X,2+$B100,0))+IF(AI$8="X",VLOOKUP(AI$10,'VK-Elekter'!$C:$X,2+$D100,0))+IF(AI$9="X",VLOOKUP(AI$10,'VK-Biokütused'!$C:$U,2+$E100,0))+IF(AI$5="X",VLOOKUP(AI$10,'VK-Põlevkivi'!$C:$X,2+$G100,0))+IF(AI$4="X",VLOOKUP(AI$10,'VK-Võrgud'!$C:$X,2+$F100,0))</f>
        <v>2.3100000000000005</v>
      </c>
      <c r="AJ100" s="209">
        <f>IF(AJ$7="X",VLOOKUP(AJ$10,'VK-Hooned-Soojus'!$C:$X,2+$C100,FALSE),0)+IF(AJ$6="X",VLOOKUP(AJ$10,'VK-Transport'!$C:$X,2+$B100,0))+IF(AJ$8="X",VLOOKUP(AJ$10,'VK-Elekter'!$C:$X,2+$D100,0))+IF(AJ$9="X",VLOOKUP(AJ$10,'VK-Biokütused'!$C:$U,2+$E100,0))+IF(AJ$5="X",VLOOKUP(AJ$10,'VK-Põlevkivi'!$C:$X,2+$G100,0))+IF(AJ$4="X",VLOOKUP(AJ$10,'VK-Võrgud'!$C:$X,2+$F100,0))</f>
        <v>4.59</v>
      </c>
      <c r="AK100" s="209">
        <f>IF(AK$7="X",VLOOKUP(AK$10,'VK-Hooned-Soojus'!$C:$X,2+$C100,FALSE),0)+IF(AK$6="X",VLOOKUP(AK$10,'VK-Transport'!$C:$X,2+$B100,0))+IF(AK$8="X",VLOOKUP(AK$10,'VK-Elekter'!$C:$X,2+$D100,0))+IF(AK$9="X",VLOOKUP(AK$10,'VK-Biokütused'!$C:$U,2+$E100,0))+IF(AK$5="X",VLOOKUP(AK$10,'VK-Põlevkivi'!$C:$X,2+$G100,0))+IF(AK$4="X",VLOOKUP(AK$10,'VK-Võrgud'!$C:$X,2+$F100,0))</f>
        <v>-0.41</v>
      </c>
      <c r="AL100" s="209">
        <f>IF(AL$7="X",VLOOKUP(AL$10,'VK-Hooned-Soojus'!$C:$X,2+$C100,FALSE),0)+IF(AL$6="X",VLOOKUP(AL$10,'VK-Transport'!$C:$X,2+$B100,0))+IF(AL$8="X",VLOOKUP(AL$10,'VK-Elekter'!$C:$X,2+$D100,0))+IF(AL$9="X",VLOOKUP(AL$10,'VK-Biokütused'!$C:$U,2+$E100,0))+IF(AL$5="X",VLOOKUP(AL$10,'VK-Põlevkivi'!$C:$X,2+$G100,0))+IF(AL$4="X",VLOOKUP(AL$10,'VK-Võrgud'!$C:$X,2+$F100,0))</f>
        <v>7.1</v>
      </c>
      <c r="AM100" s="209">
        <f>IF(AM$7="X",VLOOKUP(AM$10,'VK-Hooned-Soojus'!$C:$X,2+$C100,FALSE),0)+IF(AM$6="X",VLOOKUP(AM$10,'VK-Transport'!$C:$X,2+$B100,0))+IF(AM$8="X",VLOOKUP(AM$10,'VK-Elekter'!$C:$X,2+$D100,0))+IF(AM$9="X",VLOOKUP(AM$10,'VK-Biokütused'!$C:$U,2+$E100,0))+IF(AM$5="X",VLOOKUP(AM$10,'VK-Põlevkivi'!$C:$X,2+$G100,0))+IF(AM$4="X",VLOOKUP(AM$10,'VK-Võrgud'!$C:$X,2+$F100,0))</f>
        <v>11.5</v>
      </c>
      <c r="AN100" s="209">
        <f>IF(AN$7="X",VLOOKUP(AN$10,'VK-Hooned-Soojus'!$C:$X,2+$C100,FALSE),0)+IF(AN$6="X",VLOOKUP(AN$10,'VK-Transport'!$C:$X,2+$B100,0))+IF(AN$8="X",VLOOKUP(AN$10,'VK-Elekter'!$C:$X,2+$D100,0))+IF(AN$9="X",VLOOKUP(AN$10,'VK-Biokütused'!$C:$U,2+$E100,0))+IF(AN$5="X",VLOOKUP(AN$10,'VK-Põlevkivi'!$C:$X,2+$G100,0))+IF(AN$4="X",VLOOKUP(AN$10,'VK-Võrgud'!$C:$X,2+$F100,0))</f>
        <v>4.0999999999999996</v>
      </c>
      <c r="AO100" s="209">
        <f>IF(AO$7="X",VLOOKUP(AO$10,'VK-Hooned-Soojus'!$C:$X,2+$C100,FALSE),0)+IF(AO$6="X",VLOOKUP(AO$10,'VK-Transport'!$C:$X,2+$B100,0))+IF(AO$8="X",VLOOKUP(AO$10,'VK-Elekter'!$C:$X,2+$D100,0))+IF(AO$9="X",VLOOKUP(AO$10,'VK-Biokütused'!$C:$U,2+$E100,0))+IF(AO$5="X",VLOOKUP(AO$10,'VK-Põlevkivi'!$C:$X,2+$G100,0))+IF(AO$4="X",VLOOKUP(AO$10,'VK-Võrgud'!$C:$X,2+$F100,0))</f>
        <v>12.16</v>
      </c>
      <c r="AP100" s="209">
        <f>IF(AP$7="X",VLOOKUP(AP$10,'VK-Hooned-Soojus'!$C:$X,2+$C100,FALSE),0)+IF(AP$6="X",VLOOKUP(AP$10,'VK-Transport'!$C:$X,2+$B100,0))+IF(AP$8="X",VLOOKUP(AP$10,'VK-Elekter'!$C:$X,2+$D100,0))+IF(AP$9="X",VLOOKUP(AP$10,'VK-Biokütused'!$C:$U,2+$E100,0))+IF(AP$5="X",VLOOKUP(AP$10,'VK-Põlevkivi'!$C:$X,2+$G100,0))+IF(AP$4="X",VLOOKUP(AP$10,'VK-Võrgud'!$C:$X,2+$F100,0))</f>
        <v>6.08</v>
      </c>
      <c r="AQ100" s="320">
        <f t="shared" si="61"/>
        <v>0</v>
      </c>
      <c r="AR100" s="209">
        <f>IF(AR$7="X",VLOOKUP(AR$10,'VK-Hooned-Soojus'!$C:$X,2+$C100,FALSE),0)+IF(AR$6="X",VLOOKUP(AR$10,'VK-Transport'!$C:$X,2+$B100,0))+IF(AR$8="X",VLOOKUP(AR$10,'VK-Elekter'!$C:$X,2+$D100,0))+IF(AR$9="X",VLOOKUP(AR$10,'VK-Biokütused'!$C:$U,2+$E100,0))+IF(AR$5="X",VLOOKUP(AR$10,'VK-Põlevkivi'!$C:$X,2+$G100,0))+IF(AR$4="X",VLOOKUP(AR$10,'VK-Võrgud'!$C:$X,2+$F100,0))</f>
        <v>12.809999999999999</v>
      </c>
      <c r="AS100" s="235">
        <f>'VK-Põlevkivi'!$F$8-AR100-AU100</f>
        <v>14.298622986547709</v>
      </c>
      <c r="AT100" s="209">
        <f>IF(AT$7="X",VLOOKUP(AT$10,'VK-Hooned-Soojus'!$C:$X,2+$C100,FALSE),0)+IF(AT$6="X",VLOOKUP(AT$10,'VK-Transport'!$C:$X,2+$B100,0))+IF(AT$8="X",VLOOKUP(AT$10,'VK-Elekter'!$C:$X,2+$D100,0))+IF(AT$9="X",VLOOKUP(AT$10,'VK-Biokütused'!$C:$U,2+$E100,0))+IF(AT$5="X",VLOOKUP(AT$10,'VK-Põlevkivi'!$C:$X,2+$G100,0))+IF(AT$4="X",VLOOKUP(AT$10,'VK-Võrgud'!$C:$X,2+$F100,0))</f>
        <v>9.2784458909544707</v>
      </c>
      <c r="AU100" s="235">
        <f>'VK-Põlevkivi'!$F$9-VLOOKUP("Kütuste tarbimine @ 2030 - PÕLEVKIVIÕLI",'VK-Hooned-Soojus'!$C:$X,2+$C100,FALSE)</f>
        <v>29.428043680118964</v>
      </c>
      <c r="AV100" s="209">
        <f>IF(AV$7="X",VLOOKUP(AV$10,'VK-Hooned-Soojus'!$C:$X,2+$C100,FALSE),0)+IF(AV$6="X",VLOOKUP(AV$10,'VK-Transport'!$C:$X,2+$B100,0))+IF(AV$8="X",VLOOKUP(AV$10,'VK-Elekter'!$C:$X,2+$D100,0))+IF(AV$9="X",VLOOKUP(AV$10,'VK-Biokütused'!$C:$U,2+$E100,0))+IF(AV$5="X",VLOOKUP(AV$10,'VK-Põlevkivi'!$C:$X,2+$G100,0))+IF(AV$4="X",VLOOKUP(AV$10,'VK-Võrgud'!$C:$X,2+$F100,0))</f>
        <v>1.7257321590343366</v>
      </c>
      <c r="AW100" s="209">
        <f>IF(AW$7="X",VLOOKUP(AW$10,'VK-Hooned-Soojus'!$C:$X,2+$C100,FALSE),0)+IF(AW$6="X",VLOOKUP(AW$10,'VK-Transport'!$C:$X,2+$B100,0))+IF(AW$8="X",VLOOKUP(AW$10,'VK-Elekter'!$C:$X,2+$D100,0))+IF(AW$9="X",VLOOKUP(AW$10,'VK-Biokütused'!$C:$U,2+$E100,0))+IF(AW$5="X",VLOOKUP(AW$10,'VK-Põlevkivi'!$C:$X,2+$G100,0))+IF(AW$4="X",VLOOKUP(AW$10,'VK-Võrgud'!$C:$X,2+$F100,0))</f>
        <v>4.2799999999999994</v>
      </c>
      <c r="AX100" s="229">
        <f t="shared" si="62"/>
        <v>2.5542678409656627</v>
      </c>
      <c r="AY100" s="229">
        <f t="shared" si="63"/>
        <v>0</v>
      </c>
      <c r="AZ100" s="230">
        <f t="shared" si="48"/>
        <v>0.29498642228096139</v>
      </c>
      <c r="BA100" s="209">
        <f>IF(BA$7="X",VLOOKUP(BA$10,'VK-Hooned-Soojus'!$C:$X,2+$C100,FALSE),0)+IF(BA$6="X",VLOOKUP(BA$10,'VK-Transport'!$C:$X,2+$B100,0))+IF(BA$8="X",VLOOKUP(BA$10,'VK-Elekter'!$C:$X,2+$D100,0))+IF(BA$9="X",VLOOKUP(BA$10,'VK-Biokütused'!$C:$U,2+$E100,0))+IF(BA$5="X",VLOOKUP(BA$10,'VK-Põlevkivi'!$C:$X,2+$G100,0))+IF(BA$4="X",VLOOKUP(BA$10,'VK-Võrgud'!$C:$X,2+$F100,0))</f>
        <v>7.41</v>
      </c>
      <c r="BB100" s="209">
        <f>IF(BB$7="X",VLOOKUP(BB$10,'VK-Hooned-Soojus'!$C:$X,2+$C100,FALSE),0)+IF(BB$6="X",VLOOKUP(BB$10,'VK-Transport'!$C:$X,2+$B100,0))+IF(BB$8="X",VLOOKUP(BB$10,'VK-Elekter'!$C:$X,2+$D100,0))+IF(BB$9="X",VLOOKUP(BB$10,'VK-Biokütused'!$C:$U,2+$E100,0))+IF(BB$5="X",VLOOKUP(BB$10,'VK-Põlevkivi'!$C:$X,2+$G100,0))+IF(BB$4="X",VLOOKUP(BB$10,'VK-Võrgud'!$C:$X,2+$F100,0))</f>
        <v>2.96</v>
      </c>
      <c r="BC100" s="209">
        <f>IF(BC$7="X",VLOOKUP(BC$10,'VK-Hooned-Soojus'!$C:$X,2+$C100,FALSE),0)+IF(BC$6="X",VLOOKUP(BC$10,'VK-Transport'!$C:$X,2+$B100,0))+IF(BC$8="X",VLOOKUP(BC$10,'VK-Elekter'!$C:$X,2+$D100,0))+IF(BC$9="X",VLOOKUP(BC$10,'VK-Biokütused'!$C:$U,2+$E100,0))+IF(BC$5="X",VLOOKUP(BC$10,'VK-Põlevkivi'!$C:$X,2+$G100,0))+IF(BC$4="X",VLOOKUP(BC$10,'VK-Võrgud'!$C:$X,2+$F100,0))</f>
        <v>5.2376666666666667</v>
      </c>
      <c r="BD100" s="209">
        <f>IF(BD$7="X",VLOOKUP(BD$10,'VK-Hooned-Soojus'!$C:$X,2+$C100,FALSE),0)+IF(BD$6="X",VLOOKUP(BD$10,'VK-Transport'!$C:$X,2+$B100,0))+IF(BD$8="X",VLOOKUP(BD$10,'VK-Elekter'!$C:$X,2+$D100,0))+IF(BD$9="X",VLOOKUP(BD$10,'VK-Biokütused'!$C:$U,2+$E100,0))+IF(BD$5="X",VLOOKUP(BD$10,'VK-Põlevkivi'!$C:$X,2+$G100,0))+IF(BD$4="X",VLOOKUP(BD$10,'VK-Võrgud'!$C:$X,2+$F100,0))</f>
        <v>9.1105555555555569</v>
      </c>
      <c r="BE100" s="230"/>
      <c r="BF100" s="229">
        <f t="shared" si="64"/>
        <v>0.25504877132506298</v>
      </c>
      <c r="BG100" s="209" t="e">
        <f>(IF(BG$7="X",VLOOKUP(BG$10,'VK-Hooned-Soojus'!$C:$X,2+$C100,FALSE),0)+IF(BG$6="X",VLOOKUP(BG$10,'VK-Transport'!$C:$X,2+$B100,0))+IF(BG$8="X",VLOOKUP(BG$10,'VK-Elekter'!$C:$X,2+$D100,0))+IF(BG$9="X",VLOOKUP(BG$10,'VK-Biokütused'!$C:$U,2+$E100,0))+IF(BG$5="X",VLOOKUP(BG$10,'VK-Põlevkivi'!$C:$X,2+$G100,0))+IF(BG$4="X",VLOOKUP(BG$10,'VK-Võrgud'!$C:$X,2+$F100,0)))/20</f>
        <v>#N/A</v>
      </c>
      <c r="BH100" s="209">
        <f>(IF(BH$7="X",VLOOKUP(BH$10,'VK-Hooned-Soojus'!$C:$X,2+$C100,FALSE),0)+IF(BH$6="X",VLOOKUP(BH$10,'VK-Transport'!$C:$X,2+$B100,0))+IF(BH$8="X",VLOOKUP(BH$10,'VK-Elekter'!$C:$X,2+$D100,0))+IF(BH$9="X",VLOOKUP(BH$10,'VK-Biokütused'!$C:$U,2+$E100,0))+IF(BH$5="X",VLOOKUP(BH$10,'VK-Põlevkivi'!$C:$X,2+$G100,0))+IF(BH$4="X",VLOOKUP(BH$10,'VK-Võrgud'!$C:$X,2+$F100,0)))/20</f>
        <v>84.204999999999998</v>
      </c>
      <c r="BI100" s="209">
        <f>(IF(BI$7="X",VLOOKUP(BI$10,'VK-Hooned-Soojus'!$C:$X,2+$C100,FALSE),0)+IF(BI$6="X",VLOOKUP(BI$10,'VK-Transport'!$C:$X,2+$B100,0))+IF(BI$8="X",VLOOKUP(BI$10,'VK-Elekter'!$C:$X,2+$D100,0))+IF(BI$9="X",VLOOKUP(BI$10,'VK-Biokütused'!$C:$U,2+$E100,0))+IF(BI$5="X",VLOOKUP(BI$10,'VK-Põlevkivi'!$C:$X,2+$G100,0))+IF(BI$4="X",VLOOKUP(BI$10,'VK-Võrgud'!$C:$X,2+$F100,0)))/16</f>
        <v>8.9375</v>
      </c>
      <c r="BJ100" s="209">
        <f>(IF(BJ$7="X",VLOOKUP(BJ$10,'VK-Hooned-Soojus'!$C:$X,2+$C100,FALSE),0)+IF(BJ$6="X",VLOOKUP(BJ$10,'VK-Transport'!$C:$X,2+$B100,0))+IF(BJ$8="X",VLOOKUP(BJ$10,'VK-Elekter'!$C:$X,2+$D100,0))+IF(BJ$9="X",VLOOKUP(BJ$10,'VK-Biokütused'!$C:$U,2+$E100,0))+IF(BJ$5="X",VLOOKUP(BJ$10,'VK-Põlevkivi'!$C:$X,2+$G100,0))+IF(BJ$4="X",VLOOKUP(BJ$10,'VK-Võrgud'!$C:$X,2+$F100,0)))/20</f>
        <v>5.33</v>
      </c>
      <c r="BK100" s="209"/>
      <c r="BL100" s="209"/>
      <c r="BM100" s="209"/>
      <c r="BN100" s="209" t="e">
        <f>(IF(BN$7="X",VLOOKUP(BN$10,'VK-Hooned-Soojus'!$C:$X,2+$C100,FALSE),0)+IF(BN$6="X",VLOOKUP(BN$10,'VK-Transport'!$C:$X,2+$B100,0))+IF(BN$8="X",VLOOKUP(BN$10,'VK-Elekter'!$C:$X,2+$D100,0))+IF(BN$9="X",VLOOKUP(BN$10,'VK-Biokütused'!$C:$U,2+$E100,0))+IF(BN$5="X",VLOOKUP(BN$10,'VK-Põlevkivi'!$C:$X,2+$G100,0))+IF(BN$4="X",VLOOKUP(BN$10,'VK-Võrgud'!$C:$X,2+$F100,0)))/16</f>
        <v>#N/A</v>
      </c>
      <c r="BO100" s="209">
        <f>(IF(BO$7="X",VLOOKUP(BO$10,'VK-Hooned-Soojus'!$C:$X,2+$C100,FALSE),0)+IF(BO$6="X",VLOOKUP(BO$10,'VK-Transport'!$C:$X,2+$B100,0))+IF(BO$8="X",VLOOKUP(BO$10,'VK-Elekter'!$C:$X,2+$D100,0))+IF(BO$9="X",VLOOKUP(BO$10,'VK-Biokütused'!$C:$U,2+$E100,0))+IF(BO$5="X",VLOOKUP(BO$10,'VK-Põlevkivi'!$C:$X,2+$G100,0))+IF(BO$4="X",VLOOKUP(BO$10,'VK-Võrgud'!$C:$X,2+$F100,0)))/16</f>
        <v>405.45</v>
      </c>
      <c r="BP100" s="209"/>
      <c r="BQ100" s="209">
        <f>(IF(BQ$7="X",VLOOKUP(BQ$10,'VK-Hooned-Soojus'!$C:$X,2+$C100,FALSE),0)+IF(BQ$6="X",VLOOKUP(BQ$10,'VK-Transport'!$C:$X,2+$B100,0))+IF(BQ$8="X",VLOOKUP(BQ$10,'VK-Elekter'!$C:$X,2+$D100,0))+IF(BQ$9="X",VLOOKUP(BQ$10,'VK-Biokütused'!$C:$U,2+$E100,0))+IF(BQ$5="X",VLOOKUP(BQ$10,'VK-Põlevkivi'!$C:$X,2+$G100,0))+IF(BQ$4="X",VLOOKUP(BQ$10,'VK-Võrgud'!$C:$X,2+$F100,0)))/16</f>
        <v>127.6</v>
      </c>
      <c r="BR100" s="209">
        <f>(IF(BR$7="X",VLOOKUP(BR$10,'VK-Hooned-Soojus'!$C:$X,2+$C100,FALSE),0)+IF(BR$6="X",VLOOKUP(BR$10,'VK-Transport'!$C:$X,2+$B100,0))+IF(BR$8="X",VLOOKUP(BR$10,'VK-Elekter'!$C:$X,2+$D100,0))+IF(BR$9="X",VLOOKUP(BR$10,'VK-Biokütused'!$C:$U,2+$E100,0))+IF(BR$5="X",VLOOKUP(BR$10,'VK-Põlevkivi'!$C:$X,2+$G100,0))+IF(BR$4="X",VLOOKUP(BR$10,'VK-Võrgud'!$C:$X,2+$F100,0)))/16</f>
        <v>27.475000000000001</v>
      </c>
      <c r="BS100" s="209">
        <f>(IF(BS$7="X",VLOOKUP(BS$10,'VK-Hooned-Soojus'!$C:$X,2+$C100,FALSE),0)+IF(BS$6="X",VLOOKUP(BS$10,'VK-Transport'!$C:$X,2+$B100,0))+IF(BS$8="X",VLOOKUP(BS$10,'VK-Elekter'!$C:$X,2+$D100,0))+IF(BS$9="X",VLOOKUP(BS$10,'VK-Biokütused'!$C:$U,2+$E100,0))+IF(BS$5="X",VLOOKUP(BS$10,'VK-Põlevkivi'!$C:$X,2+$G100,0))+IF(BS$4="X",VLOOKUP(BS$10,'VK-Võrgud'!$C:$X,2+$F100,0)))/16</f>
        <v>-23.293749999999999</v>
      </c>
      <c r="BT100" s="209"/>
      <c r="BU100" s="209"/>
      <c r="BV100" s="209">
        <f>(IF(BV$7="X",VLOOKUP(BV$10,'VK-Hooned-Soojus'!$C:$X,2+$C100,FALSE),0)+IF(BV$6="X",VLOOKUP(BV$10,'VK-Transport'!$C:$X,2+$B100,0))+IF(BV$8="X",VLOOKUP(BV$10,'VK-Elekter'!$C:$X,2+$D100,0))+IF(BV$9="X",VLOOKUP(BV$10,'VK-Biokütused'!$C:$U,2+$E100,0))+IF(BV$5="X",VLOOKUP(BV$10,'VK-Põlevkivi'!$C:$X,2+$G100,0))+IF(BV$4="X",VLOOKUP(BV$10,'VK-Võrgud'!$C:$X,2+$F100,0)))/16</f>
        <v>0</v>
      </c>
      <c r="BW100" s="209"/>
      <c r="BX100" s="209">
        <f>(IF(BX$7="X",VLOOKUP(BX$10,'VK-Hooned-Soojus'!$C:$X,2+$C100,FALSE),0)+IF(BX$6="X",VLOOKUP(BX$10,'VK-Transport'!$C:$X,2+$B100,0))+IF(BX$8="X",VLOOKUP(BX$10,'VK-Elekter'!$C:$X,2+$D100,0))+IF(BX$9="X",VLOOKUP(BX$10,'VK-Biokütused'!$C:$U,2+$E100,0))+IF(BX$5="X",VLOOKUP(BX$10,'VK-Põlevkivi'!$C:$X,2+$G100,0))+IF(BX$4="X",VLOOKUP(BX$10,'VK-Võrgud'!$C:$X,2+$F100,0)))/16</f>
        <v>-145.125</v>
      </c>
      <c r="BY100" s="209"/>
      <c r="BZ100" s="209"/>
      <c r="CA100" s="209" t="e">
        <f>(IF(CA$7="X",VLOOKUP(CA$10,'VK-Hooned-Soojus'!$C:$X,2+$C100,FALSE),0)+IF(CA$6="X",VLOOKUP(CA$10,'VK-Transport'!$C:$X,2+$B100,0))+IF(CA$8="X",VLOOKUP(CA$10,'VK-Elekter'!$C:$X,2+$D100,0))+IF(CA$9="X",VLOOKUP(CA$10,'VK-Biokütused'!$C:$U,2+$E100,0))+IF(CA$5="X",VLOOKUP(CA$10,'VK-Põlevkivi'!$C:$X,2+$G100,0))+IF(CA$4="X",VLOOKUP(CA$10,'VK-Võrgud'!$C:$X,2+$F100,0)))/16</f>
        <v>#N/A</v>
      </c>
      <c r="CB100" s="209">
        <f>(IF(CB$7="X",VLOOKUP(CB$10,'VK-Hooned-Soojus'!$C:$X,2+$C100,FALSE),0)+IF(CB$6="X",VLOOKUP(CB$10,'VK-Transport'!$C:$X,2+$B100,0))+IF(CB$8="X",VLOOKUP(CB$10,'VK-Elekter'!$C:$X,2+$D100,0))+IF(CB$9="X",VLOOKUP(CB$10,'VK-Biokütused'!$C:$U,2+$E100,0))+IF(CB$5="X",VLOOKUP(CB$10,'VK-Põlevkivi'!$C:$X,2+$G100,0))+IF(CB$4="X",VLOOKUP(CB$10,'VK-Võrgud'!$C:$X,2+$F100,0)))/16</f>
        <v>0</v>
      </c>
      <c r="CC100" s="209">
        <f>(IF(CC$7="X",VLOOKUP(CC$10,'VK-Hooned-Soojus'!$C:$X,2+$C100,FALSE),0)+IF(CC$6="X",VLOOKUP(CC$10,'VK-Transport'!$C:$X,2+$B100,0))+IF(CC$8="X",VLOOKUP(CC$10,'VK-Elekter'!$C:$X,2+$D100,0))+IF(CC$9="X",VLOOKUP(CC$10,'VK-Biokütused'!$C:$U,2+$E100,0))+IF(CC$5="X",VLOOKUP(CC$10,'VK-Põlevkivi'!$C:$X,2+$G100,0))+IF(CC$4="X",VLOOKUP(CC$10,'VK-Võrgud'!$C:$X,2+$F100,0)))/16</f>
        <v>0</v>
      </c>
      <c r="CD100" s="209"/>
      <c r="CE100" s="209">
        <f>(IF(CE$7="X",VLOOKUP(CE$10,'VK-Hooned-Soojus'!$C:$X,2+$C100,FALSE),0)+IF(CE$6="X",VLOOKUP(CE$10,'VK-Transport'!$C:$X,2+$B100,0))+IF(CE$8="X",VLOOKUP(CE$10,'VK-Elekter'!$C:$X,2+$D100,0))+IF(CE$9="X",VLOOKUP(CE$10,'VK-Biokütused'!$C:$U,2+$E100,0))+IF(CE$5="X",VLOOKUP(CE$10,'VK-Põlevkivi'!$C:$X,2+$G100,0))+IF(CE$4="X",VLOOKUP(CE$10,'VK-Võrgud'!$C:$X,2+$F100,0)))/16</f>
        <v>24.15625</v>
      </c>
      <c r="CF100" s="209"/>
      <c r="CG100" s="209">
        <f>(IF(CG$7="X",VLOOKUP(CG$10,'VK-Hooned-Soojus'!$C:$X,2+$C100,FALSE),0)+IF(CG$6="X",VLOOKUP(CG$10,'VK-Transport'!$C:$X,2+$B100,0))+IF(CG$8="X",VLOOKUP(CG$10,'VK-Elekter'!$C:$X,2+$D100,0))+IF(CG$9="X",VLOOKUP(CG$10,'VK-Biokütused'!$C:$U,2+$E100,0))+IF(CG$5="X",VLOOKUP(CG$10,'VK-Põlevkivi'!$C:$X,2+$G100,0))+IF(CG$4="X",VLOOKUP(CG$10,'VK-Võrgud'!$C:$X,2+$F100,0)))/16</f>
        <v>0</v>
      </c>
      <c r="CH100" s="209">
        <f>(IF(CH$7="X",VLOOKUP(CH$10,'VK-Hooned-Soojus'!$C:$X,2+$C100,FALSE),0)+IF(CH$6="X",VLOOKUP(CH$10,'VK-Transport'!$C:$X,2+$B100,0))+IF(CH$8="X",VLOOKUP(CH$10,'VK-Elekter'!$C:$X,2+$D100,0))+IF(CH$9="X",VLOOKUP(CH$10,'VK-Biokütused'!$C:$U,2+$E100,0))+IF(CH$5="X",VLOOKUP(CH$10,'VK-Põlevkivi'!$C:$X,2+$G100,0))+IF(CH$4="X",VLOOKUP(CH$10,'VK-Võrgud'!$C:$X,2+$F100,0)))/20*0.21</f>
        <v>26.9178</v>
      </c>
      <c r="CI100" s="209"/>
      <c r="CJ100" s="209">
        <f>(IF(CJ$7="X",VLOOKUP(CJ$10,'VK-Hooned-Soojus'!$C:$X,2+$C100,FALSE),0)+IF(CJ$6="X",VLOOKUP(CJ$10,'VK-Transport'!$C:$X,2+$B100,0))+IF(CJ$8="X",VLOOKUP(CJ$10,'VK-Elekter'!$C:$X,2+$D100,0))+IF(CJ$9="X",VLOOKUP(CJ$10,'VK-Biokütused'!$C:$U,2+$E100,0))+IF(CJ$5="X",VLOOKUP(CJ$10,'VK-Põlevkivi'!$C:$X,2+$G100,0))+IF(CJ$4="X",VLOOKUP(CJ$10,'VK-Võrgud'!$C:$X,2+$F100,0)))/1000</f>
        <v>21.945</v>
      </c>
      <c r="CK100" s="209">
        <f>(IF(CK$7="X",VLOOKUP(CK$10,'VK-Hooned-Soojus'!$C:$X,2+$C100,FALSE),0)+IF(CK$6="X",VLOOKUP(CK$10,'VK-Transport'!$C:$X,2+$B100,0))+IF(CK$8="X",VLOOKUP(CK$10,'VK-Elekter'!$C:$X,2+$D100,0))+IF(CK$9="X",VLOOKUP(CK$10,'VK-Biokütused'!$C:$U,2+$E100,0))+IF(CK$5="X",VLOOKUP(CK$10,'VK-Põlevkivi'!$C:$X,2+$G100,0))+IF(CK$4="X",VLOOKUP(CK$10,'VK-Võrgud'!$C:$X,2+$F100,0)))/1000</f>
        <v>37.840916215793229</v>
      </c>
      <c r="CL100" s="209">
        <f>(IF(CL$7="X",VLOOKUP(CL$10,'VK-Hooned-Soojus'!$C:$X,2+$C100,FALSE),0)+IF(CL$6="X",VLOOKUP(CL$10,'VK-Transport'!$C:$X,2+$B100,0))+IF(CL$8="X",VLOOKUP(CL$10,'VK-Elekter'!$C:$X,2+$D100,0))+IF(CL$9="X",VLOOKUP(CL$10,'VK-Biokütused'!$C:$U,2+$E100,0))+IF(CL$5="X",VLOOKUP(CL$10,'VK-Põlevkivi'!$C:$X,2+$G100,0))+IF(CL$4="X",VLOOKUP(CL$10,'VK-Võrgud'!$C:$X,2+$F100,0)))/1000</f>
        <v>11.414289559723789</v>
      </c>
      <c r="CM100" s="209">
        <f>(IF(CM$7="X",VLOOKUP(CM$10,'VK-Hooned-Soojus'!$C:$X,2+$C100,FALSE),0)+IF(CM$6="X",VLOOKUP(CM$10,'VK-Transport'!$C:$X,2+$B100,0))+IF(CM$8="X",VLOOKUP(CM$10,'VK-Elekter'!$C:$X,2+$D100,0))+IF(CM$9="X",VLOOKUP(CM$10,'VK-Biokütused'!$C:$U,2+$E100,0))+IF(CM$5="X",VLOOKUP(CM$10,'VK-Põlevkivi'!$C:$X,2+$G100,0))+IF(CM$4="X",VLOOKUP(CM$10,'VK-Võrgud'!$C:$X,2+$F100,0)))/1000</f>
        <v>7.545989615604916</v>
      </c>
      <c r="CN100" s="209">
        <f>(IF(CN$7="X",VLOOKUP(CN$10,'VK-Hooned-Soojus'!$C:$X,2+$C100,FALSE),0)+IF(CN$6="X",VLOOKUP(CN$10,'VK-Transport'!$C:$X,2+$B100,0))+IF(CN$8="X",VLOOKUP(CN$10,'VK-Elekter'!$C:$X,2+$D100,0))+IF(CN$9="X",VLOOKUP(CN$10,'VK-Biokütused'!$C:$U,2+$E100,0))+IF(CN$5="X",VLOOKUP(CN$10,'VK-Põlevkivi'!$C:$X,2+$G100,0))+IF(CN$4="X",VLOOKUP(CN$10,'VK-Võrgud'!$C:$X,2+$F100,0)))/1000</f>
        <v>2.8980000000000001</v>
      </c>
      <c r="CO100" s="209">
        <f>(IF(CO$7="X",VLOOKUP(CO$10,'VK-Hooned-Soojus'!$C:$X,2+$C100,FALSE),0)+IF(CO$6="X",VLOOKUP(CO$10,'VK-Transport'!$C:$X,2+$B100,0))+IF(CO$8="X",VLOOKUP(CO$10,'VK-Elekter'!$C:$X,2+$D100,0))+IF(CO$9="X",VLOOKUP(CO$10,'VK-Biokütused'!$C:$U,2+$E100,0))+IF(CO$5="X",VLOOKUP(CO$10,'VK-Põlevkivi'!$C:$X,2+$G100,0))+IF(CO$4="X",VLOOKUP(CO$10,'VK-Võrgud'!$C:$X,2+$F100,0)))/1000</f>
        <v>29.187575210797281</v>
      </c>
      <c r="CP100" s="209">
        <f>(IF(CP$7="X",VLOOKUP(CP$10,'VK-Hooned-Soojus'!$C:$X,2+$C100,FALSE),0)+IF(CP$6="X",VLOOKUP(CP$10,'VK-Transport'!$C:$X,2+$B100,0))+IF(CP$8="X",VLOOKUP(CP$10,'VK-Elekter'!$C:$X,2+$D100,0))+IF(CP$9="X",VLOOKUP(CP$10,'VK-Biokütused'!$C:$U,2+$E100,0))+IF(CP$5="X",VLOOKUP(CP$10,'VK-Põlevkivi'!$C:$X,2+$G100,0))+IF(CP$4="X",VLOOKUP(CP$10,'VK-Võrgud'!$C:$X,2+$F100,0)))/1000</f>
        <v>32.302476724654099</v>
      </c>
      <c r="CQ100" s="209">
        <f>(IF(CQ$7="X",VLOOKUP(CQ$10,'VK-Hooned-Soojus'!$C:$X,2+$C100,FALSE),0)+IF(CQ$6="X",VLOOKUP(CQ$10,'VK-Transport'!$C:$X,2+$B100,0))+IF(CQ$8="X",VLOOKUP(CQ$10,'VK-Elekter'!$C:$X,2+$D100,0))+IF(CQ$9="X",VLOOKUP(CQ$10,'VK-Biokütused'!$C:$U,2+$E100,0))+IF(CQ$5="X",VLOOKUP(CQ$10,'VK-Põlevkivi'!$C:$X,2+$G100,0))+IF(CQ$4="X",VLOOKUP(CQ$10,'VK-Võrgud'!$C:$X,2+$F100,0)))/1000</f>
        <v>16.929345999999999</v>
      </c>
      <c r="CR100" s="209">
        <f>(IF(CR$7="X",VLOOKUP(CR$10,'VK-Hooned-Soojus'!$C:$X,2+$C100,FALSE),0)+IF(CR$6="X",VLOOKUP(CR$10,'VK-Transport'!$C:$X,2+$B100,0))+IF(CR$8="X",VLOOKUP(CR$10,'VK-Elekter'!$C:$X,2+$D100,0))+IF(CR$9="X",VLOOKUP(CR$10,'VK-Biokütused'!$C:$U,2+$E100,0))+IF(CR$5="X",VLOOKUP(CR$10,'VK-Põlevkivi'!$C:$X,2+$G100,0))+IF(CR$4="X",VLOOKUP(CR$10,'VK-Võrgud'!$C:$X,2+$F100,0)))/1000</f>
        <v>8.0170872784575753</v>
      </c>
      <c r="CS100" s="209">
        <f>(IF(CS$7="X",VLOOKUP(CS$10,'VK-Hooned-Soojus'!$C:$X,2+$C100,FALSE),0)+IF(CS$6="X",VLOOKUP(CS$10,'VK-Transport'!$C:$X,2+$B100,0))+IF(CS$8="X",VLOOKUP(CS$10,'VK-Elekter'!$C:$X,2+$D100,0))+IF(CS$9="X",VLOOKUP(CS$10,'VK-Biokütused'!$C:$U,2+$E100,0))+IF(CS$5="X",VLOOKUP(CS$10,'VK-Põlevkivi'!$C:$X,2+$G100,0))+IF(CS$4="X",VLOOKUP(CS$10,'VK-Võrgud'!$C:$X,2+$F100,0)))/1000</f>
        <v>3.7943344900598324</v>
      </c>
      <c r="CT100" s="209">
        <f>IF(CT$7="X",VLOOKUP(CT$10,'VK-Hooned-Soojus'!$C:$X,2+$C100,FALSE),0)+IF(CT$6="X",VLOOKUP(CT$10,'VK-Transport'!$C:$X,2+$B100,0))+IF(CT$8="X",VLOOKUP(CT$10,'VK-Elekter'!$C:$X,2+$D100,0))+IF(CT$9="X",VLOOKUP(CT$10,'VK-Biokütused'!$C:$U,2+$E100,0))+IF(CT$5="X",VLOOKUP(CT$10,'VK-Põlevkivi'!$C:$X,2+$G100,0))+IF(CT$4="X",VLOOKUP(CT$10,'VK-Võrgud'!$C:$X,2+$F100,0))</f>
        <v>90</v>
      </c>
      <c r="CU100" s="209">
        <f>IF(CU$7="X",VLOOKUP(CU$10,'VK-Hooned-Soojus'!$C:$X,2+$C100,FALSE),0)+IF(CU$6="X",VLOOKUP(CU$10,'VK-Transport'!$C:$X,2+$B100,0))+IF(CU$8="X",VLOOKUP(CU$10,'VK-Elekter'!$C:$X,2+$D100,0))+IF(CU$9="X",VLOOKUP(CU$10,'VK-Biokütused'!$C:$U,2+$E100,0))+IF(CU$5="X",VLOOKUP(CU$10,'VK-Põlevkivi'!$C:$X,2+$G100,0))+IF(CU$4="X",VLOOKUP(CU$10,'VK-Võrgud'!$C:$X,2+$F100,0))</f>
        <v>1</v>
      </c>
      <c r="CV100" s="209">
        <f t="shared" si="49"/>
        <v>0.84317482403548605</v>
      </c>
      <c r="CW100" s="209">
        <f>(IF(CW$7="X",VLOOKUP(CW$10,'VK-Hooned-Soojus'!$C:$X,2+$C100,FALSE),0)+IF(CW$6="X",VLOOKUP(CW$10,'VK-Transport'!$C:$X,2+$B100,0))+IF(CW$8="X",VLOOKUP(CW$10,'VK-Elekter'!$C:$X,2+$D100,0))+IF(CW$9="X",VLOOKUP(CW$10,'VK-Biokütused'!$C:$U,2+$E100,0))+IF(CW$5="X",VLOOKUP(CW$10,'VK-Põlevkivi'!$C:$X,2+$G100,0))+IF(CW$4="X",VLOOKUP(CW$10,'VK-Võrgud'!$C:$X,2+$F100,0)))/16</f>
        <v>126.01875</v>
      </c>
      <c r="CY100" s="209">
        <f>(IF(CY$7="X",VLOOKUP(CY$10,'VK-Hooned-Soojus'!$C:$X,2+$C100,FALSE),0)+IF(CY$6="X",VLOOKUP(CY$10,'VK-Transport'!$C:$X,2+$B100,0))+IF(CY$8="X",VLOOKUP(CY$10,'VK-Elekter'!$C:$X,2+$D100,0))+IF(CY$9="X",VLOOKUP(CY$10,'VK-Biokütused'!$C:$U,2+$E100,0))+IF(CY$5="X",VLOOKUP(CY$10,'VK-Põlevkivi'!$C:$X,2+$G100,0))+IF(CY$4="X",VLOOKUP(CY$10,'VK-Võrgud'!$C:$X,2+$F100,0)))/1000</f>
        <v>11.563000000000001</v>
      </c>
      <c r="CZ100" s="209">
        <f>(IF(CZ$7="X",VLOOKUP(CZ$10,'VK-Hooned-Soojus'!$C:$X,2+$C100,FALSE),0)+IF(CZ$6="X",VLOOKUP(CZ$10,'VK-Transport'!$C:$X,2+$B100,0))+IF(CZ$8="X",VLOOKUP(CZ$10,'VK-Elekter'!$C:$X,2+$D100,0))+IF(CZ$9="X",VLOOKUP(CZ$10,'VK-Biokütused'!$C:$U,2+$E100,0))+IF(CZ$5="X",VLOOKUP(CZ$10,'VK-Põlevkivi'!$C:$X,2+$G100,0))+IF(CZ$4="X",VLOOKUP(CZ$10,'VK-Võrgud'!$C:$X,2+$F100,0)))</f>
        <v>95</v>
      </c>
      <c r="DA100" s="209">
        <f>(IF(DA$7="X",VLOOKUP(DA$10,'VK-Hooned-Soojus'!$C:$X,2+$C100,FALSE),0)+IF(DA$6="X",VLOOKUP(DA$10,'VK-Transport'!$C:$X,2+$B100,0))+IF(DA$8="X",VLOOKUP(DA$10,'VK-Elekter'!$C:$X,2+$D100,0))+IF(DA$9="X",VLOOKUP(DA$10,'VK-Biokütused'!$C:$U,2+$E100,0))+IF(DA$5="X",VLOOKUP(DA$10,'VK-Põlevkivi'!$C:$X,2+$G100,0))+IF(DA$4="X",VLOOKUP(DA$10,'VK-Võrgud'!$C:$X,2+$F100,0)))/1000</f>
        <v>16.678999999999998</v>
      </c>
      <c r="DB100" s="209">
        <f>(IF(DB$7="X",VLOOKUP(DB$10,'VK-Hooned-Soojus'!$C:$X,2+$C100,FALSE),0)+IF(DB$6="X",VLOOKUP(DB$10,'VK-Transport'!$C:$X,2+$B100,0))+IF(DB$8="X",VLOOKUP(DB$10,'VK-Elekter'!$C:$X,2+$D100,0))+IF(DB$9="X",VLOOKUP(DB$10,'VK-Biokütused'!$C:$U,2+$E100,0))+IF(DB$5="X",VLOOKUP(DB$10,'VK-Põlevkivi'!$C:$X,2+$G100,0))+IF(DB$4="X",VLOOKUP(DB$10,'VK-Võrgud'!$C:$X,2+$F100,0)))/1000/3.6</f>
        <v>136.23166666666668</v>
      </c>
      <c r="DC100" s="209">
        <f>(IF(DC$7="X",VLOOKUP(DC$10,'VK-Hooned-Soojus'!$C:$X,2+$C100,FALSE),0)+IF(DC$6="X",VLOOKUP(DC$10,'VK-Transport'!$C:$X,2+$B100,0))+IF(DC$8="X",VLOOKUP(DC$10,'VK-Elekter'!$C:$X,2+$D100,0))+IF(DC$9="X",VLOOKUP(DC$10,'VK-Biokütused'!$C:$U,2+$E100,0))+IF(DC$5="X",VLOOKUP(DC$10,'VK-Põlevkivi'!$C:$X,2+$G100,0))+IF(DC$4="X",VLOOKUP(DC$10,'VK-Võrgud'!$C:$X,2+$F100,0)))/1000000</f>
        <v>7.3972930000000003</v>
      </c>
      <c r="DD100" s="209"/>
      <c r="DE100" s="88">
        <f>VLOOKUP(Tulemused!$BN$12,data!M$7:N$12,2,FALSE)-SUM(L100,M100)</f>
        <v>-0.77386666666667736</v>
      </c>
      <c r="DF100" s="209" t="str">
        <f>IF(AZ100&lt;=VLOOKUP(Tulemused!$BN$15,data!$E$36:$F$39,2,FALSE),"JAH","EI")</f>
        <v>JAH</v>
      </c>
      <c r="DG100" s="209"/>
      <c r="DH100" s="209">
        <f t="shared" si="50"/>
        <v>6.08</v>
      </c>
      <c r="DI100" s="231" t="str">
        <f t="shared" si="65"/>
        <v>EI</v>
      </c>
      <c r="DK100" s="232">
        <f t="shared" si="51"/>
        <v>-993.25697057861828</v>
      </c>
      <c r="DM100" s="233">
        <f t="shared" si="52"/>
        <v>-996.24164189553301</v>
      </c>
      <c r="DN100" s="87">
        <f t="array" ref="DN100">INDEX($A$11:$A$145, SMALL(IF(DM100=$DK$11:$DK$145, MATCH(ROW($DK$11:$DK$145), ROW($DK$11:$DK$145))), SUM(--(DM100=$DM$11:DM100))))</f>
        <v>39</v>
      </c>
      <c r="DP100" s="87" t="e">
        <f t="shared" ca="1" si="66"/>
        <v>#N/A</v>
      </c>
      <c r="DQ100" s="87" t="e">
        <f t="shared" ca="1" si="67"/>
        <v>#N/A</v>
      </c>
      <c r="DR100" s="87">
        <f t="shared" ca="1" si="68"/>
        <v>0</v>
      </c>
      <c r="DS100" s="87" t="e">
        <f t="shared" ca="1" si="69"/>
        <v>#N/A</v>
      </c>
      <c r="DT100" s="87">
        <f t="shared" ca="1" si="70"/>
        <v>0</v>
      </c>
      <c r="DU100" s="87" t="e">
        <f t="shared" ca="1" si="71"/>
        <v>#N/A</v>
      </c>
      <c r="DV100" s="87" t="e">
        <f t="shared" ca="1" si="72"/>
        <v>#N/A</v>
      </c>
      <c r="DW100" s="87">
        <f t="shared" ca="1" si="73"/>
        <v>0</v>
      </c>
      <c r="DX100" s="87">
        <f t="shared" ca="1" si="74"/>
        <v>0</v>
      </c>
      <c r="DZ100" s="87">
        <f t="shared" ca="1" si="82"/>
        <v>0</v>
      </c>
      <c r="EB100" s="87">
        <f t="shared" ca="1" si="75"/>
        <v>0</v>
      </c>
      <c r="EC100" s="87" t="e">
        <f t="shared" ca="1" si="76"/>
        <v>#N/A</v>
      </c>
      <c r="EE100" s="228">
        <f>(IF(EE$7="X",VLOOKUP(EE$10,'VK-Hooned-Soojus'!$C:$X,2+$C100,FALSE),0)+IF(EE$6="X",VLOOKUP(EE$10,'VK-Transport'!$C:$X,2+$B100,0))+IF(EE$8="X",VLOOKUP(EE$10,'VK-Elekter'!$C:$X,2+$D100,0))+IF(EE$9="X",VLOOKUP(EE$10,'VK-Biokütused'!$C:$U,2+$E100,0))+IF(EE$5="X",VLOOKUP(EE$10,'VK-Põlevkivi'!$C:$X,2+$G100,0))+IF(EE$4="X",VLOOKUP(EE$10,'VK-Võrgud'!$C:$X,2+$F100,0)))</f>
        <v>13889.944816844722</v>
      </c>
      <c r="EF100" s="209">
        <f>(IF(EF$7="X",VLOOKUP(EF$10,'VK-Hooned-Soojus'!$C:$X,2+$C100,FALSE),0)+IF(EF$6="X",VLOOKUP(EF$10,'VK-Transport'!$C:$X,2+$B100,0))+IF(EF$8="X",VLOOKUP(EF$10,'VK-Elekter'!$C:$X,2+$D100,0))+IF(EF$9="X",VLOOKUP(EF$10,'VK-Biokütused'!$C:$U,2+$E100,0))+IF(EF$5="X",VLOOKUP(EF$10,'VK-Põlevkivi'!$C:$X,2+$G100,0))+IF(EF$4="X",VLOOKUP(EF$10,'VK-Võrgud'!$C:$X,2+$F100,0)))/1000</f>
        <v>8.5853823271229697</v>
      </c>
      <c r="EG100" s="209">
        <f>(IF(EG$7="X",VLOOKUP(EG$10,'VK-Hooned-Soojus'!$C:$X,2+$C100,FALSE),0)+IF(EG$6="X",VLOOKUP(EG$10,'VK-Transport'!$C:$X,2+$B100,0))+IF(EG$8="X",VLOOKUP(EG$10,'VK-Elekter'!$C:$X,2+$D100,0))+IF(EG$9="X",VLOOKUP(EG$10,'VK-Biokütused'!$C:$U,2+$E100,0))+IF(EG$5="X",VLOOKUP(EG$10,'VK-Põlevkivi'!$C:$X,2+$G100,0))+IF(EG$4="X",VLOOKUP(EG$10,'VK-Võrgud'!$C:$X,2+$F100,0)))</f>
        <v>0.81</v>
      </c>
      <c r="EH100" s="209">
        <f>(IF(EH$7="X",VLOOKUP(EH$10,'VK-Hooned-Soojus'!$C:$X,2+$C100,FALSE),0)+IF(EH$6="X",VLOOKUP(EH$10,'VK-Transport'!$C:$X,2+$B100,0))+IF(EH$8="X",VLOOKUP(EH$10,'VK-Elekter'!$C:$X,2+$D100,0))+IF(EH$9="X",VLOOKUP(EH$10,'VK-Biokütused'!$C:$U,2+$E100,0)))+AR100+AS100+AU100+AX100</f>
        <v>92.895101174299</v>
      </c>
      <c r="EI100" s="320">
        <f t="shared" si="53"/>
        <v>60.912789653214375</v>
      </c>
      <c r="EJ100" s="322">
        <f t="shared" si="54"/>
        <v>2.3391437578713474E-2</v>
      </c>
      <c r="EK100" s="323">
        <f t="shared" si="77"/>
        <v>0.39841358381950748</v>
      </c>
      <c r="EM100" s="209"/>
      <c r="EN100" s="209">
        <f t="shared" ca="1" si="55"/>
        <v>0</v>
      </c>
      <c r="EO100" s="209"/>
      <c r="EP100" s="234"/>
      <c r="EQ100" s="209">
        <f>(IF(EQ$7="X",VLOOKUP(EQ$10,'VK-Hooned-Soojus'!$C:$X,2+$C100,FALSE),0)+IF(EQ$6="X",VLOOKUP(EQ$10,'VK-Transport'!$C:$X,2+$B100,0))+IF(EQ$8="X",VLOOKUP(EQ$10,'VK-Elekter'!$C:$X,2+$D100,0))+IF(EQ$9="X",VLOOKUP(EQ$10,'VK-Biokütused'!$C:$U,2+$E100,0))+IF(EQ$5="X",VLOOKUP(EQ$10,'VK-Põlevkivi'!$C:$X,2+$G100,0))+IF(EQ$4="X",VLOOKUP(EQ$10,'VK-Võrgud'!$C:$X,2+$F100,0)))/1000</f>
        <v>0.19900000000000001</v>
      </c>
      <c r="ER100" s="209">
        <f>(IF(ER$7="X",VLOOKUP(ER$10,'VK-Hooned-Soojus'!$C:$X,2+$C100,FALSE),0)+IF(ER$6="X",VLOOKUP(ER$10,'VK-Transport'!$C:$X,2+$B100,0))+IF(ER$8="X",VLOOKUP(ER$10,'VK-Elekter'!$C:$X,2+$D100,0))+IF(ER$9="X",VLOOKUP(ER$10,'VK-Biokütused'!$C:$U,2+$E100,0))+IF(ER$5="X",VLOOKUP(ER$10,'VK-Põlevkivi'!$C:$X,2+$G100,0))+IF(ER$4="X",VLOOKUP(ER$10,'VK-Võrgud'!$C:$X,2+$F100,0)))</f>
        <v>0.72299999999999998</v>
      </c>
      <c r="ES100" s="209">
        <f>(IF(ES$7="X",VLOOKUP(ES$10,'VK-Hooned-Soojus'!$C:$X,2+$C100,FALSE),0)+IF(ES$6="X",VLOOKUP(ES$10,'VK-Transport'!$C:$X,2+$B100,0))+IF(ES$8="X",VLOOKUP(ES$10,'VK-Elekter'!$C:$X,2+$D100,0))+IF(ES$9="X",VLOOKUP(ES$10,'VK-Biokütused'!$C:$U,2+$E100,0))+IF(ES$5="X",VLOOKUP(ES$10,'VK-Põlevkivi'!$C:$X,2+$G100,0))+IF(ES$4="X",VLOOKUP(ES$10,'VK-Võrgud'!$C:$X,2+$F100,0)))</f>
        <v>6.08</v>
      </c>
      <c r="ET100" s="209"/>
      <c r="EU100" s="209"/>
      <c r="EV100" s="87">
        <f>'KSH järjestus'!AS93</f>
        <v>1324</v>
      </c>
      <c r="EX100" s="236"/>
      <c r="EY100" s="236"/>
      <c r="EZ100" s="237">
        <f t="shared" si="56"/>
        <v>0</v>
      </c>
      <c r="FA100" s="209">
        <f>IF(FA$7="X",VLOOKUP(FA$10,'VK-Hooned-Soojus'!$C:$X,2+$C100,FALSE),0)+IF(FA$6="X",VLOOKUP(FA$10,'VK-Transport'!$C:$X,2+$B100,0))+IF(FA$8="X",VLOOKUP(FA$10,'VK-Elekter'!$C:$X,2+$D100,0))+IF(FA$9="X",VLOOKUP(FA$10,'VK-Biokütused'!$C:$U,2+$E100,0))+IF(FA$5="X",VLOOKUP(FA$10,'VK-Põlevkivi'!$C:$X,2+$G100,0))+IF(FA$4="X",VLOOKUP(FA$10,'VK-Võrgud'!$C:$X,2+$F100,0))</f>
        <v>3298.346</v>
      </c>
      <c r="FB100" s="279">
        <f>(IF(FB$7="X",VLOOKUP(FB$10,'VK-Hooned-Soojus'!$C:$X,2+$C100,FALSE),0)+IF(FB$6="X",VLOOKUP(FB$10,'VK-Transport'!$C:$X,2+$B100,0))+IF(FB$8="X",VLOOKUP(FB$10,'VK-Elekter'!$C:$X,2+$D100,0))+IF(FB$9="X",VLOOKUP(FB$10,'VK-Biokütused'!$C:$U,2+$E100,0))+IF(FB$5="X",VLOOKUP(FB$10,'VK-Põlevkivi'!$C:$X,2+$G100,0))+IF(FB$4="X",VLOOKUP(FB$10,'VK-Võrgud'!$C:$X,2+$F100,0)))/16</f>
        <v>927.93180625236778</v>
      </c>
      <c r="FC100" s="209">
        <f>IF(FC$7="X",VLOOKUP(FC$10,'VK-Hooned-Soojus'!$C:$X,2+$C100,FALSE),0)+IF(FC$6="X",VLOOKUP(FC$10,'VK-Transport'!$C:$X,2+$B100,0))+IF(FC$8="X",VLOOKUP(FC$10,'VK-Elekter'!$C:$X,2+$D100,0))+IF(FC$9="X",VLOOKUP(FC$10,'VK-Biokütused'!$C:$U,2+$E100,0))+IF(FC$5="X",VLOOKUP(FC$10,'VK-Põlevkivi'!$C:$X,2+$G100,0))+IF(FC$4="X",VLOOKUP(FC$10,'VK-Võrgud'!$C:$X,2+$F100,0))</f>
        <v>296.95</v>
      </c>
      <c r="FD100" s="209">
        <f>(IF(FD$7="X",VLOOKUP(FD$10,'VK-Hooned-Soojus'!$C:$X,2+$C100,FALSE),0)+IF(FD$6="X",VLOOKUP(FD$10,'VK-Transport'!$C:$X,2+$B100,0))+IF(FD$8="X",VLOOKUP(FD$10,'VK-Elekter'!$C:$X,2+$D100,0))+IF(FD$9="X",VLOOKUP(FD$10,'VK-Biokütused'!$C:$U,2+$E100,0))+IF(FD$5="X",VLOOKUP(FD$10,'VK-Põlevkivi'!$C:$X,2+$G100,0))+IF(FD$4="X",VLOOKUP(FD$10,'VK-Võrgud'!$C:$X,2+$F100,0)))/16</f>
        <v>927.93180625236778</v>
      </c>
      <c r="FE100" s="209">
        <f>(IF(FE$7="X",VLOOKUP(FE$10,'VK-Hooned-Soojus'!$C:$X,2+$C100,FALSE),0)+IF(FE$6="X",VLOOKUP(FE$10,'VK-Transport'!$C:$X,2+$B100,0))+IF(FE$8="X",VLOOKUP(FE$10,'VK-Elekter'!$C:$X,2+$D100,0))+IF(FE$9="X",VLOOKUP(FE$10,'VK-Biokütused'!$C:$U,2+$E100,0))+IF(FE$5="X",VLOOKUP(FE$10,'VK-Põlevkivi'!$C:$X,2+$G100,0))+IF(FE$4="X",VLOOKUP(FE$10,'VK-Võrgud'!$C:$X,2+$F100,0)))/16</f>
        <v>-181.84206369909103</v>
      </c>
      <c r="FF100" s="209">
        <f>(IF(FF$7="X",VLOOKUP(FF$10,'VK-Hooned-Soojus'!$C:$X,2+$C100,FALSE),0)+IF(FF$6="X",VLOOKUP(FF$10,'VK-Transport'!$C:$X,2+$B100,0))+IF(FF$8="X",VLOOKUP(FF$10,'VK-Elekter'!$C:$X,2+$D100,0))+IF(FF$9="X",VLOOKUP(FF$10,'VK-Biokütused'!$C:$U,2+$E100,0))+IF(FF$5="X",VLOOKUP(FF$10,'VK-Põlevkivi'!$C:$X,2+$G100,0))+IF(FF$4="X",VLOOKUP(FF$10,'VK-Võrgud'!$C:$X,2+$F100,0)))/16</f>
        <v>300.20170766835986</v>
      </c>
      <c r="FG100" s="88">
        <f t="shared" ca="1" si="78"/>
        <v>118.35964396926883</v>
      </c>
      <c r="FH100" s="88"/>
      <c r="FI100" s="88"/>
      <c r="FJ100" s="88">
        <f>VLOOKUP(Tulemused!$BN$12,data!M$7:N$12,2,FALSE)-SUM(L100,M100)</f>
        <v>-0.77386666666667736</v>
      </c>
      <c r="FK100" s="209" t="str">
        <f>IF(AZ100&lt;=VLOOKUP(Tulemused!$BN$15,data!$E$36:$F$39,2,FALSE),"JAH","EI")</f>
        <v>JAH</v>
      </c>
      <c r="FL100" s="235">
        <f ca="1">IF(ISNA(MATCH($A100,INDIRECT(VLOOKUP(Tulemused!$BF$11,data!$J$57:$M$71,4,FALSE)))),0,MATCH($A100,INDIRECT(VLOOKUP(Tulemused!$BF$11,data!$J$57:$M$71,4,FALSE))))</f>
        <v>0</v>
      </c>
      <c r="FM100" s="235" t="str">
        <f t="shared" ca="1" si="57"/>
        <v>JAH</v>
      </c>
      <c r="FN100" s="209">
        <f>VLOOKUP(Tulemused!$BN$13,data!$C$132:$D$137,2,FALSE)-KOMBI!R100</f>
        <v>3.2603876728770307</v>
      </c>
      <c r="FO100" s="209"/>
      <c r="FP100" s="209">
        <f>VLOOKUP(Tulemused!$BN$17,NO_x,2,FALSE)-CJ100</f>
        <v>7.4929999999999986</v>
      </c>
      <c r="FQ100" s="209">
        <f>VLOOKUP(Tulemused!$BN$18,SO_2,2,FALSE)-CK100</f>
        <v>14.043083784206772</v>
      </c>
      <c r="FR100" s="209">
        <f>VLOOKUP(Tulemused!$BN$19,LOU,2,FALSE)-CN100</f>
        <v>34.182000000000002</v>
      </c>
      <c r="FS100" s="209">
        <f>VLOOKUP(Tulemused!$BN$20,PM_2.5,2,FALSE)-CM100</f>
        <v>9.3690103843950823</v>
      </c>
      <c r="FT100" s="209">
        <f>VLOOKUP(Tulemused!$BN$13,data!$C$132:$D$137,2,FALSE)-FA100/1000</f>
        <v>2.9476240000000007</v>
      </c>
      <c r="FU100" s="209">
        <f>VLOOKUP(Tulemused!$BN$17,NO_x,2,FALSE)-CO100</f>
        <v>0.25042478920271805</v>
      </c>
      <c r="FV100" s="209">
        <f>VLOOKUP(Tulemused!$BN$18,SO_2,2,FALSE)-CP100</f>
        <v>19.581523275345901</v>
      </c>
      <c r="FW100" s="209">
        <f>VLOOKUP(Tulemused!$BN$19,LOU,2,FALSE)-CS100</f>
        <v>33.285665509940173</v>
      </c>
      <c r="FX100" s="209">
        <f>VLOOKUP(Tulemused!$BN$20,PM_2.5,2,FALSE)-CR100</f>
        <v>8.8979127215424239</v>
      </c>
      <c r="FY100" s="209">
        <f>VLOOKUP(Tulemused!$BN$14,KHG_2050,2,FALSE)-EF100</f>
        <v>91.414617672877029</v>
      </c>
      <c r="FZ100" s="231" t="str">
        <f t="shared" ca="1" si="79"/>
        <v>EI</v>
      </c>
      <c r="GA100" s="209"/>
      <c r="GB100" s="209"/>
      <c r="GC100" s="209"/>
      <c r="GD100" s="231"/>
      <c r="GE100" s="87">
        <f t="shared" si="58"/>
        <v>1324</v>
      </c>
      <c r="GF100" s="232" t="str">
        <f t="shared" ca="1" si="80"/>
        <v/>
      </c>
      <c r="GH100" s="238" t="e">
        <f t="shared" ca="1" si="59"/>
        <v>#NUM!</v>
      </c>
      <c r="GI100" s="87" t="e">
        <f t="array" aca="1" ref="GI100" ca="1">INDEX($A$11:$A$145, SMALL(IF(GH100=$GF$11:$GF$145, MATCH(ROW($GF$11:$GF$145), ROW($GF$11:$GF$145))), SUM(--(GH100=$GH$11:GH100))))</f>
        <v>#NUM!</v>
      </c>
      <c r="GM100" s="209">
        <f>IF(GM$7="X",VLOOKUP(GM$10,'VK-Hooned-Soojus'!$C:$X,2+$C100,FALSE),0)+IF(GM$6="X",VLOOKUP(GM$10,'VK-Transport'!$C:$X,2+$B100,0))+IF(GM$8="X",VLOOKUP(GM$10,'VK-Elekter'!$C:$X,2+$D100,0))+IF(GM$9="X",VLOOKUP(GM$10,'VK-Biokütused'!$C:$U,2+$E100,0))+IF(GM$5="X",VLOOKUP(GM$10,'VK-Põlevkivi'!$C:$X,2+$G100,0))+IF(GM$4="X",VLOOKUP(GM$10,'VK-Võrgud'!$C:$X,2+$F100,0))</f>
        <v>11.189888530766083</v>
      </c>
      <c r="GN100" s="209">
        <f>IF(GN$7="X",VLOOKUP(GN$10,'VK-Hooned-Soojus'!$C:$X,2+$C100,FALSE),0)+IF(GN$6="X",VLOOKUP(GN$10,'VK-Transport'!$C:$X,2+$B100,0))+IF(GN$8="X",VLOOKUP(GN$10,'VK-Elekter'!$C:$X,2+$D100,0))+IF(GN$9="X",VLOOKUP(GN$10,'VK-Biokütused'!$C:$U,2+$E100,0))+IF(GN$5="X",VLOOKUP(GN$10,'VK-Põlevkivi'!$C:$X,2+$G100,0))+IF(GN$4="X",VLOOKUP(GN$10,'VK-Võrgud'!$C:$X,2+$F100,0))</f>
        <v>2.9930837725682502</v>
      </c>
      <c r="GO100" s="209">
        <f>IF(GO$7="X",VLOOKUP(GO$10,'VK-Hooned-Soojus'!$C:$X,2+$C100,FALSE),0)+IF(GO$6="X",VLOOKUP(GO$10,'VK-Transport'!$C:$X,2+$B100,0))+IF(GO$8="X",VLOOKUP(GO$10,'VK-Elekter'!$C:$X,2+$D100,0))+IF(GO$9="X",VLOOKUP(GO$10,'VK-Biokütused'!$C:$U,2+$E100,0))+IF(GO$5="X",VLOOKUP(GO$10,'VK-Põlevkivi'!$C:$X,2+$G100,0))+IF(GO$4="X",VLOOKUP(GO$10,'VK-Võrgud'!$C:$X,2+$F100,0))</f>
        <v>7.5763700102722566</v>
      </c>
      <c r="GP100" s="209">
        <f>IF(GP$7="X",VLOOKUP(GP$10,'VK-Hooned-Soojus'!$C:$X,2+$C100,FALSE),0)+IF(GP$6="X",VLOOKUP(GP$10,'VK-Transport'!$C:$X,2+$B100,0))+IF(GP$8="X",VLOOKUP(GP$10,'VK-Elekter'!$C:$X,2+$D100,0))+IF(GP$9="X",VLOOKUP(GP$10,'VK-Biokütused'!$C:$U,2+$E100,0))+IF(GP$5="X",VLOOKUP(GP$10,'VK-Põlevkivi'!$C:$X,2+$G100,0))+IF(GP$4="X",VLOOKUP(GP$10,'VK-Võrgud'!$C:$X,2+$F100,0))</f>
        <v>8.9326558040707589</v>
      </c>
      <c r="GQ100" s="88">
        <f>IF(GQ$7="X",VLOOKUP(GQ$10,'VK-Hooned-Soojus'!$C:$X,2+$C100,FALSE),0)+IF(GQ$6="X",VLOOKUP(GQ$10,'VK-Transport'!$C:$X,2+$B100,0))+IF(GQ$8="X",VLOOKUP(GQ$10,'VK-Elekter'!$C:$X,2+$D100,0))+IF(GQ$9="X",VLOOKUP(GQ$10,'VK-Biokütused'!$C:$U,2+$E100,0))+IF(GQ$5="X",VLOOKUP(GQ$10,'VK-Põlevkivi'!$C:$X,2+$G100,0))+IF(GQ$4="X",VLOOKUP(GQ$10,'VK-Võrgud'!$C:$X,2+$F100,0))</f>
        <v>0.90618397335647782</v>
      </c>
      <c r="GR100" s="186">
        <f t="shared" si="81"/>
        <v>0.38182672733571177</v>
      </c>
    </row>
    <row r="101" spans="1:200" x14ac:dyDescent="0.2">
      <c r="A101" s="184">
        <v>91</v>
      </c>
      <c r="B101" s="87">
        <v>3</v>
      </c>
      <c r="C101" s="87">
        <v>1</v>
      </c>
      <c r="D101" s="87">
        <v>1</v>
      </c>
      <c r="E101" s="87">
        <v>1</v>
      </c>
      <c r="F101" s="87">
        <f>VLOOKUP(Tulemused!$BF$7,data!$J$6:$K$8,2,FALSE)</f>
        <v>2</v>
      </c>
      <c r="G101" s="87">
        <f>VLOOKUP(data!$H$2,data!$J$12:$K$14,2,FALSE)</f>
        <v>2</v>
      </c>
      <c r="I101" s="209">
        <f>IF(I$7="X",VLOOKUP(I$10,'VK-Hooned-Soojus'!$C:$X,2+$C101,FALSE),0)+IF(I$6="X",VLOOKUP(I$10,'VK-Transport'!$C:$X,2+$B101,0))+IF(I$8="X",VLOOKUP(I$10,'VK-Elekter'!$C:$X,2+$D101,0))+IF(I$9="X",VLOOKUP(I$10,'VK-Biokütused'!$C:$U,2+$E101,0))+IF(I$5="X",VLOOKUP(I$10,'VK-Põlevkivi'!$C:$X,2+$G101,0))+IF(I$4="X",VLOOKUP(I$10,'VK-Võrgud'!$C:$X,2+$F101,0))</f>
        <v>26.89</v>
      </c>
      <c r="J101" s="209">
        <f>IF(J$7="X",VLOOKUP(J$10,'VK-Hooned-Soojus'!$C:$X,2+$C101,FALSE),0)+IF(J$6="X",VLOOKUP(J$10,'VK-Transport'!$C:$X,2+$B101,0))+IF(J$8="X",VLOOKUP(J$10,'VK-Elekter'!$C:$X,2+$D101,0))+IF(J$9="X",VLOOKUP(J$10,'VK-Biokütused'!$C:$U,2+$E101,0))+IF(J$5="X",VLOOKUP(J$10,'VK-Põlevkivi'!$C:$X,2+$G101,0))+IF(J$4="X",VLOOKUP(J$10,'VK-Võrgud'!$C:$X,2+$F101,0))</f>
        <v>8.1258333333333344</v>
      </c>
      <c r="K101" s="209">
        <f>IF(K$7="X",VLOOKUP(K$10,'VK-Hooned-Soojus'!$C:$X,2+$C101,FALSE),0)+IF(K$6="X",VLOOKUP(K$10,'VK-Transport'!$C:$X,2+$B101,0))+IF(K$8="X",VLOOKUP(K$10,'VK-Elekter'!$C:$X,2+$D101,0))+IF(K$9="X",VLOOKUP(K$10,'VK-Biokütused'!$C:$U,2+$E101,0))+IF(K$5="X",VLOOKUP(K$10,'VK-Põlevkivi'!$C:$X,2+$G101,0))+IF(K$4="X",VLOOKUP(K$10,'VK-Võrgud'!$C:$X,2+$F101,0))</f>
        <v>16.75</v>
      </c>
      <c r="L101" s="209">
        <f>IF(L$7="X",VLOOKUP(L$10,'VK-Hooned-Soojus'!$C:$X,2+$C101,FALSE),0)+IF(L$6="X",VLOOKUP(L$10,'VK-Transport'!$C:$X,2+$B101,0))+IF(L$8="X",VLOOKUP(L$10,'VK-Elekter'!$C:$X,2+$D101,0))+IF(L$9="X",VLOOKUP(L$10,'VK-Biokütused'!$C:$U,2+$E101,0))+IF(L$5="X",VLOOKUP(L$10,'VK-Põlevkivi'!$C:$X,2+$G101,0))+IF(L$4="X",VLOOKUP(L$10,'VK-Võrgud'!$C:$X,2+$F101,0))</f>
        <v>24.95</v>
      </c>
      <c r="M101" s="209">
        <f>IF(M$7="X",VLOOKUP(M$10,'VK-Hooned-Soojus'!$C:$X,2+$C101,FALSE),0)+IF(M$6="X",VLOOKUP(M$10,'VK-Transport'!$C:$X,2+$B101,0))+IF(M$8="X",VLOOKUP(M$10,'VK-Elekter'!$C:$X,2+$D101,0))+IF(M$9="X",VLOOKUP(M$10,'VK-Biokütused'!$C:$U,2+$E101,0))+IF(M$5="X",VLOOKUP(M$10,'VK-Põlevkivi'!$C:$X,2+$G101,0))+IF(M$4="X",VLOOKUP(M$10,'VK-Võrgud'!$C:$X,2+$F101,0))</f>
        <v>8.68530937302436</v>
      </c>
      <c r="N101" s="209">
        <f>IF(N$7="X",VLOOKUP(N$10,'VK-Hooned-Soojus'!$C:$X,2+$C101,FALSE),0)+IF(N$6="X",VLOOKUP(N$10,'VK-Transport'!$C:$X,2+$B101,0))+IF(N$8="X",VLOOKUP(N$10,'VK-Elekter'!$C:$X,2+$D101,0))+IF(N$9="X",VLOOKUP(N$10,'VK-Biokütused'!$C:$U,2+$E101,0))+IF(N$5="X",VLOOKUP(N$10,'VK-Põlevkivi'!$C:$X,2+$G101,0))+IF(N$4="X",VLOOKUP(N$10,'VK-Võrgud'!$C:$X,2+$F101,0))</f>
        <v>16.75</v>
      </c>
      <c r="O101" s="209">
        <f t="shared" si="60"/>
        <v>35.015833333333333</v>
      </c>
      <c r="P101" s="209"/>
      <c r="Q101" s="209">
        <f>(IF(Q$7="X",VLOOKUP(Q$10,'VK-Hooned-Soojus'!$C:$X,2+$C101,FALSE),0)+IF(Q$6="X",VLOOKUP(Q$10,'VK-Transport'!$C:$X,2+$B101,0))+IF(Q$8="X",VLOOKUP(Q$10,'VK-Elekter'!$C:$X,2+$D101,0))+IF(Q$9="X",VLOOKUP(Q$10,'VK-Biokütused'!$C:$U,2+$E101,0))+IF(Q$5="X",VLOOKUP(Q$10,'VK-Põlevkivi'!$C:$X,2+$G101,0))+IF(Q$4="X",VLOOKUP(Q$10,'VK-Võrgud'!$C:$X,2+$F101,0)))/1000</f>
        <v>5.3310000000000004</v>
      </c>
      <c r="R101" s="209">
        <f>(IF(R$7="X",VLOOKUP(R$10,'VK-Hooned-Soojus'!$C:$X,2+$C101,FALSE),0)+IF(R$6="X",VLOOKUP(R$10,'VK-Transport'!$C:$X,2+$B101,0))+IF(R$8="X",VLOOKUP(R$10,'VK-Elekter'!$C:$X,2+$D101,0))+IF(R$9="X",VLOOKUP(R$10,'VK-Biokütused'!$C:$U,2+$E101,0))+IF(R$5="X",VLOOKUP(R$10,'VK-Põlevkivi'!$C:$X,2+$G101,0))+IF(R$4="X",VLOOKUP(R$10,'VK-Võrgud'!$C:$X,2+$F101,0)))/1000</f>
        <v>1.3428849906373199</v>
      </c>
      <c r="S101" s="226">
        <f>VLOOKUP(S$10,'VK-Hooned-Soojus'!$C:$I,2+$C101,FALSE) + VLOOKUP(S$10,'VK-Transport'!$C:$I,2+$B101,FALSE)+ VLOOKUP(S$10,'VK-Biokütused'!$C:$G,2+$E101,FALSE)+ VLOOKUP(S$10,'VK-Elekter'!$C:$I,2+$D101,FALSE)+ VLOOKUP(S$10,'VK-Põlevkivi'!$C:$I,2+$G101,FALSE)+ VLOOKUP(S$10,'VK-Võrgud'!$C:$I,2+$F101,FALSE)</f>
        <v>9.0777076109825848E-3</v>
      </c>
      <c r="T101" s="226">
        <f>VLOOKUP(T$10,'VK-Hooned-Soojus'!$C:$I,2+$C101,FALSE) + VLOOKUP(T$10,'VK-Transport'!$C:$I,2+$B101,FALSE)+ VLOOKUP(T$10,'VK-Biokütused'!$C:$G,2+$E101,FALSE)+ VLOOKUP(T$10,'VK-Elekter'!$C:$I,2+$D101,FALSE)+ VLOOKUP(T$10,'VK-Põlevkivi'!$C:$I,2+$G101,FALSE)+ VLOOKUP(T$10,'VK-Võrgud'!$C:$I,2+$F101,FALSE)</f>
        <v>8.3004132122661972E-3</v>
      </c>
      <c r="U101" s="226">
        <f>VLOOKUP(U$10,'VK-Hooned-Soojus'!$C:$I,2+$C101,FALSE) + VLOOKUP(U$10,'VK-Transport'!$C:$I,2+$B101,FALSE)+ VLOOKUP(U$10,'VK-Biokütused'!$C:$G,2+$E101,FALSE)+ VLOOKUP(U$10,'VK-Elekter'!$C:$I,2+$D101,FALSE)+ VLOOKUP(U$10,'VK-Põlevkivi'!$C:$I,2+$G101,FALSE)+ VLOOKUP(U$10,'VK-Võrgud'!$C:$I,2+$F101,FALSE)</f>
        <v>4.1599634173371813E-3</v>
      </c>
      <c r="V101" s="226">
        <f>VLOOKUP(V$10,'VK-Hooned-Soojus'!$C:$I,2+$C101,FALSE) + VLOOKUP(V$10,'VK-Transport'!$C:$I,2+$B101,FALSE)+ VLOOKUP(V$10,'VK-Biokütused'!$C:$G,2+$E101,FALSE)+ VLOOKUP(V$10,'VK-Elekter'!$C:$I,2+$D101,FALSE)+ VLOOKUP(V$10,'VK-Põlevkivi'!$C:$I,2+$G101,FALSE)+ VLOOKUP(V$10,'VK-Võrgud'!$C:$I,2+$F101,FALSE)</f>
        <v>4.9794191624419649E-3</v>
      </c>
      <c r="W101" s="226">
        <f>VLOOKUP(W$10,'VK-Hooned-Soojus'!$C:$I,2+$C101,FALSE) + VLOOKUP(W$10,'VK-Transport'!$C:$I,2+$B101,FALSE)+ VLOOKUP(W$10,'VK-Biokütused'!$C:$G,2+$E101,FALSE)+ VLOOKUP(W$10,'VK-Elekter'!$C:$I,2+$D101,FALSE)+ VLOOKUP(W$10,'VK-Põlevkivi'!$C:$I,2+$G101,FALSE)+ VLOOKUP(W$10,'VK-Võrgud'!$C:$I,2+$F101,FALSE)</f>
        <v>-3.1286753025420624E-2</v>
      </c>
      <c r="X101" s="226">
        <f>VLOOKUP(X$10,'VK-Hooned-Soojus'!$C:$I,2+$C101,FALSE) + VLOOKUP(X$10,'VK-Transport'!$C:$I,2+$B101,FALSE)+ VLOOKUP(X$10,'VK-Biokütused'!$C:$G,2+$E101,FALSE)+ VLOOKUP(X$10,'VK-Elekter'!$C:$I,2+$D101,FALSE)+ VLOOKUP(X$10,'VK-Põlevkivi'!$C:$I,2+$G101,FALSE)+ VLOOKUP(X$10,'VK-Võrgud'!$C:$I,2+$F101,FALSE)</f>
        <v>-4.0800981783396348E-2</v>
      </c>
      <c r="Y101" s="226">
        <f>VLOOKUP(Y$10,'VK-Hooned-Soojus'!$C:$I,2+$C101,FALSE) + VLOOKUP(Y$10,'VK-Transport'!$C:$I,2+$B101,FALSE)+ VLOOKUP(Y$10,'VK-Biokütused'!$C:$G,2+$E101,FALSE)+ VLOOKUP(Y$10,'VK-Elekter'!$C:$I,2+$D101,FALSE)+ VLOOKUP(Y$10,'VK-Põlevkivi'!$C:$I,2+$G101,FALSE)+ VLOOKUP(Y$10,'VK-Võrgud'!$C:$I,2+$F101,FALSE)</f>
        <v>-4.9878868907418432E-2</v>
      </c>
      <c r="Z101" s="227">
        <f>(S101*Tulemused!$Q$9*10+T101*Tulemused!$Q$10*10+KOMBI!U101*Tulemused!$Q$11*10+KOMBI!V101*Tulemused!$Q$12*10)*Tulemused!$Q$8+-(W101*Tulemused!$Q$14*10+KOMBI!X101*Tulemused!$Q$15*10+KOMBI!Y101*Tulemused!$Q$16*10)*Tulemused!$Q$13</f>
        <v>4.442965665662177</v>
      </c>
      <c r="AA101" s="228">
        <f>(IF(AA$7="X",VLOOKUP(AA$10,'VK-Hooned-Soojus'!$C:$X,2+$C101,FALSE),0)+IF(AA$6="X",VLOOKUP(AA$10,'VK-Transport'!$C:$X,2+$B101,0))+IF(AA$8="X",VLOOKUP(AA$10,'VK-Elekter'!$C:$X,2+$D101,0))+IF(AA$9="X",VLOOKUP(AA$10,'VK-Biokütused'!$C:$U,2+$E101,0))+IF(AA$5="X",VLOOKUP(AA$10,'VK-Põlevkivi'!$C:$X,2+$G101,0))+IF(AA$4="X",VLOOKUP(AA$10,'VK-Võrgud'!$C:$X,2+$F101,0)))</f>
        <v>3729</v>
      </c>
      <c r="AB101" s="228">
        <f>(IF(AB$7="X",VLOOKUP(AB$10,'VK-Hooned-Soojus'!$C:$X,2+$C101,FALSE),0)+IF(AB$6="X",VLOOKUP(AB$10,'VK-Transport'!$C:$X,2+$B101,0))+IF(AB$8="X",VLOOKUP(AB$10,'VK-Elekter'!$C:$X,2+$D101,0))+IF(AB$9="X",VLOOKUP(AB$10,'VK-Biokütused'!$C:$U,2+$E101,0))+IF(AB$5="X",VLOOKUP(AB$10,'VK-Põlevkivi'!$C:$X,2+$G101,0))+IF(AB$4="X",VLOOKUP(AB$10,'VK-Võrgud'!$C:$X,2+$F101,0)))</f>
        <v>1602</v>
      </c>
      <c r="AC101" s="228">
        <f>(IF(AC$7="X",VLOOKUP(AC$10,'VK-Hooned-Soojus'!$C:$X,2+$C101,FALSE),0)+IF(AC$6="X",VLOOKUP(AC$10,'VK-Transport'!$C:$X,2+$B101,0))+IF(AC$8="X",VLOOKUP(AC$10,'VK-Elekter'!$C:$X,2+$D101,0))+IF(AC$9="X",VLOOKUP(AC$10,'VK-Biokütused'!$C:$U,2+$E101,0))+IF(AC$5="X",VLOOKUP(AC$10,'VK-Põlevkivi'!$C:$X,2+$G101,0))+IF(AC$4="X",VLOOKUP(AC$10,'VK-Võrgud'!$C:$X,2+$F101,0)))</f>
        <v>2346</v>
      </c>
      <c r="AD101" s="228">
        <f>(IF(AD$7="X",VLOOKUP(AD$10,'VK-Hooned-Soojus'!$C:$X,2+$C101,FALSE),0)+IF(AD$6="X",VLOOKUP(AD$10,'VK-Transport'!$C:$X,2+$B101,0))+IF(AD$8="X",VLOOKUP(AD$10,'VK-Elekter'!$C:$X,2+$D101,0))+IF(AD$9="X",VLOOKUP(AD$10,'VK-Biokütused'!$C:$U,2+$E101,0))+IF(AD$5="X",VLOOKUP(AD$10,'VK-Põlevkivi'!$C:$X,2+$G101,0))+IF(AD$4="X",VLOOKUP(AD$10,'VK-Võrgud'!$C:$X,2+$F101,0)))</f>
        <v>0</v>
      </c>
      <c r="AE101" s="228">
        <f>(IF(AE$7="X",VLOOKUP(AE$10,'VK-Hooned-Soojus'!$C:$X,2+$C101,FALSE),0)+IF(AE$6="X",VLOOKUP(AE$10,'VK-Transport'!$C:$X,2+$B101,0))+IF(AE$8="X",VLOOKUP(AE$10,'VK-Elekter'!$C:$X,2+$D101,0))+IF(AE$9="X",VLOOKUP(AE$10,'VK-Biokütused'!$C:$U,2+$E101,0))+IF(AE$5="X",VLOOKUP(AE$10,'VK-Põlevkivi'!$C:$X,2+$G101,0))+IF(AE$4="X",VLOOKUP(AE$10,'VK-Võrgud'!$C:$X,2+$F101,0)))</f>
        <v>812</v>
      </c>
      <c r="AF101" s="228">
        <f>(IF(AF$7="X",VLOOKUP(AF$10,'VK-Hooned-Soojus'!$C:$X,2+$C101,FALSE),0)+IF(AF$6="X",VLOOKUP(AF$10,'VK-Transport'!$C:$X,2+$B101,0))+IF(AF$8="X",VLOOKUP(AF$10,'VK-Elekter'!$C:$X,2+$D101,0))+IF(AF$9="X",VLOOKUP(AF$10,'VK-Biokütused'!$C:$U,2+$E101,0))+IF(AF$5="X",VLOOKUP(AF$10,'VK-Põlevkivi'!$C:$X,2+$G101,0))+IF(AF$4="X",VLOOKUP(AF$10,'VK-Võrgud'!$C:$X,2+$F101,0)))</f>
        <v>530.88499063732002</v>
      </c>
      <c r="AG101" s="209"/>
      <c r="AH101" s="209">
        <f>IF(AH$7="X",VLOOKUP(AH$10,'VK-Hooned-Soojus'!$C:$X,2+$C101,FALSE),0)+IF(AH$6="X",VLOOKUP(AH$10,'VK-Transport'!$C:$X,2+$B101,0))+IF(AH$8="X",VLOOKUP(AH$10,'VK-Elekter'!$C:$X,2+$D101,0))+IF(AH$9="X",VLOOKUP(AH$10,'VK-Biokütused'!$C:$U,2+$E101,0))+IF(AH$5="X",VLOOKUP(AH$10,'VK-Põlevkivi'!$C:$X,2+$G101,0))+IF(AH$4="X",VLOOKUP(AH$10,'VK-Võrgud'!$C:$X,2+$F101,0))</f>
        <v>11.629999999999999</v>
      </c>
      <c r="AI101" s="209">
        <f>IF(AI$7="X",VLOOKUP(AI$10,'VK-Hooned-Soojus'!$C:$X,2+$C101,FALSE),0)+IF(AI$6="X",VLOOKUP(AI$10,'VK-Transport'!$C:$X,2+$B101,0))+IF(AI$8="X",VLOOKUP(AI$10,'VK-Elekter'!$C:$X,2+$D101,0))+IF(AI$9="X",VLOOKUP(AI$10,'VK-Biokütused'!$C:$U,2+$E101,0))+IF(AI$5="X",VLOOKUP(AI$10,'VK-Põlevkivi'!$C:$X,2+$G101,0))+IF(AI$4="X",VLOOKUP(AI$10,'VK-Võrgud'!$C:$X,2+$F101,0))</f>
        <v>2.3100000000000005</v>
      </c>
      <c r="AJ101" s="209">
        <f>IF(AJ$7="X",VLOOKUP(AJ$10,'VK-Hooned-Soojus'!$C:$X,2+$C101,FALSE),0)+IF(AJ$6="X",VLOOKUP(AJ$10,'VK-Transport'!$C:$X,2+$B101,0))+IF(AJ$8="X",VLOOKUP(AJ$10,'VK-Elekter'!$C:$X,2+$D101,0))+IF(AJ$9="X",VLOOKUP(AJ$10,'VK-Biokütused'!$C:$U,2+$E101,0))+IF(AJ$5="X",VLOOKUP(AJ$10,'VK-Põlevkivi'!$C:$X,2+$G101,0))+IF(AJ$4="X",VLOOKUP(AJ$10,'VK-Võrgud'!$C:$X,2+$F101,0))</f>
        <v>9.24</v>
      </c>
      <c r="AK101" s="209">
        <f>IF(AK$7="X",VLOOKUP(AK$10,'VK-Hooned-Soojus'!$C:$X,2+$C101,FALSE),0)+IF(AK$6="X",VLOOKUP(AK$10,'VK-Transport'!$C:$X,2+$B101,0))+IF(AK$8="X",VLOOKUP(AK$10,'VK-Elekter'!$C:$X,2+$D101,0))+IF(AK$9="X",VLOOKUP(AK$10,'VK-Biokütused'!$C:$U,2+$E101,0))+IF(AK$5="X",VLOOKUP(AK$10,'VK-Põlevkivi'!$C:$X,2+$G101,0))+IF(AK$4="X",VLOOKUP(AK$10,'VK-Võrgud'!$C:$X,2+$F101,0))</f>
        <v>2.78</v>
      </c>
      <c r="AL101" s="209">
        <f>IF(AL$7="X",VLOOKUP(AL$10,'VK-Hooned-Soojus'!$C:$X,2+$C101,FALSE),0)+IF(AL$6="X",VLOOKUP(AL$10,'VK-Transport'!$C:$X,2+$B101,0))+IF(AL$8="X",VLOOKUP(AL$10,'VK-Elekter'!$C:$X,2+$D101,0))+IF(AL$9="X",VLOOKUP(AL$10,'VK-Biokütused'!$C:$U,2+$E101,0))+IF(AL$5="X",VLOOKUP(AL$10,'VK-Põlevkivi'!$C:$X,2+$G101,0))+IF(AL$4="X",VLOOKUP(AL$10,'VK-Võrgud'!$C:$X,2+$F101,0))</f>
        <v>7.1999999999999993</v>
      </c>
      <c r="AM101" s="209">
        <f>IF(AM$7="X",VLOOKUP(AM$10,'VK-Hooned-Soojus'!$C:$X,2+$C101,FALSE),0)+IF(AM$6="X",VLOOKUP(AM$10,'VK-Transport'!$C:$X,2+$B101,0))+IF(AM$8="X",VLOOKUP(AM$10,'VK-Elekter'!$C:$X,2+$D101,0))+IF(AM$9="X",VLOOKUP(AM$10,'VK-Biokütused'!$C:$U,2+$E101,0))+IF(AM$5="X",VLOOKUP(AM$10,'VK-Põlevkivi'!$C:$X,2+$G101,0))+IF(AM$4="X",VLOOKUP(AM$10,'VK-Võrgud'!$C:$X,2+$F101,0))</f>
        <v>12.9</v>
      </c>
      <c r="AN101" s="209">
        <f>IF(AN$7="X",VLOOKUP(AN$10,'VK-Hooned-Soojus'!$C:$X,2+$C101,FALSE),0)+IF(AN$6="X",VLOOKUP(AN$10,'VK-Transport'!$C:$X,2+$B101,0))+IF(AN$8="X",VLOOKUP(AN$10,'VK-Elekter'!$C:$X,2+$D101,0))+IF(AN$9="X",VLOOKUP(AN$10,'VK-Biokütused'!$C:$U,2+$E101,0))+IF(AN$5="X",VLOOKUP(AN$10,'VK-Põlevkivi'!$C:$X,2+$G101,0))+IF(AN$4="X",VLOOKUP(AN$10,'VK-Võrgud'!$C:$X,2+$F101,0))</f>
        <v>5.6999999999999993</v>
      </c>
      <c r="AO101" s="209">
        <f>IF(AO$7="X",VLOOKUP(AO$10,'VK-Hooned-Soojus'!$C:$X,2+$C101,FALSE),0)+IF(AO$6="X",VLOOKUP(AO$10,'VK-Transport'!$C:$X,2+$B101,0))+IF(AO$8="X",VLOOKUP(AO$10,'VK-Elekter'!$C:$X,2+$D101,0))+IF(AO$9="X",VLOOKUP(AO$10,'VK-Biokütused'!$C:$U,2+$E101,0))+IF(AO$5="X",VLOOKUP(AO$10,'VK-Põlevkivi'!$C:$X,2+$G101,0))+IF(AO$4="X",VLOOKUP(AO$10,'VK-Võrgud'!$C:$X,2+$F101,0))</f>
        <v>13.56</v>
      </c>
      <c r="AP101" s="209">
        <f>IF(AP$7="X",VLOOKUP(AP$10,'VK-Hooned-Soojus'!$C:$X,2+$C101,FALSE),0)+IF(AP$6="X",VLOOKUP(AP$10,'VK-Transport'!$C:$X,2+$B101,0))+IF(AP$8="X",VLOOKUP(AP$10,'VK-Elekter'!$C:$X,2+$D101,0))+IF(AP$9="X",VLOOKUP(AP$10,'VK-Biokütused'!$C:$U,2+$E101,0))+IF(AP$5="X",VLOOKUP(AP$10,'VK-Põlevkivi'!$C:$X,2+$G101,0))+IF(AP$4="X",VLOOKUP(AP$10,'VK-Võrgud'!$C:$X,2+$F101,0))</f>
        <v>6.78</v>
      </c>
      <c r="AQ101" s="320">
        <f t="shared" si="61"/>
        <v>1.2599999999999998</v>
      </c>
      <c r="AR101" s="209">
        <f>IF(AR$7="X",VLOOKUP(AR$10,'VK-Hooned-Soojus'!$C:$X,2+$C101,FALSE),0)+IF(AR$6="X",VLOOKUP(AR$10,'VK-Transport'!$C:$X,2+$B101,0))+IF(AR$8="X",VLOOKUP(AR$10,'VK-Elekter'!$C:$X,2+$D101,0))+IF(AR$9="X",VLOOKUP(AR$10,'VK-Biokütused'!$C:$U,2+$E101,0))+IF(AR$5="X",VLOOKUP(AR$10,'VK-Põlevkivi'!$C:$X,2+$G101,0))+IF(AR$4="X",VLOOKUP(AR$10,'VK-Võrgud'!$C:$X,2+$F101,0))</f>
        <v>3.4899999999999998</v>
      </c>
      <c r="AS101" s="320">
        <f>VLOOKUP("Kütuste tarbimine @ 2030 - UTTEGAAS",'VK-Hooned-Soojus'!$C:$X,2+$C101,FALSE)/0.172+VLOOKUP("Kütuste tarbimine @ 2030 - UTTEGAAS",'VK-Elekter'!$C:$X,2+$D101,FALSE)/0.172-AR101-AU101</f>
        <v>2.7565116279069759</v>
      </c>
      <c r="AT101" s="209">
        <f>IF(AT$7="X",VLOOKUP(AT$10,'VK-Hooned-Soojus'!$C:$X,2+$C101,FALSE),0)+IF(AT$6="X",VLOOKUP(AT$10,'VK-Transport'!$C:$X,2+$B101,0))+IF(AT$8="X",VLOOKUP(AT$10,'VK-Elekter'!$C:$X,2+$D101,0))+IF(AT$9="X",VLOOKUP(AT$10,'VK-Biokütused'!$C:$U,2+$E101,0))+IF(AT$5="X",VLOOKUP(AT$10,'VK-Põlevkivi'!$C:$X,2+$G101,0))+IF(AT$4="X",VLOOKUP(AT$10,'VK-Võrgud'!$C:$X,2+$F101,0))</f>
        <v>5.7045296564339489</v>
      </c>
      <c r="AU101" s="229">
        <f>MAX(0,(VLOOKUP("Kütuste tarbimine @ 2030 - UTTEGAAS",'VK-Hooned-Soojus'!$C:$X,2+$C101,FALSE)/0.172+VLOOKUP("Kütuste tarbimine @ 2030 - UTTEGAAS",'VK-Elekter'!$C:$X,2+$D101,FALSE)/0.172)*0.52-VLOOKUP("Kütuste tarbimine @ 2030 - PÕLEVKIVIÕLI",'VK-Hooned-Soojus'!$C:$X,2+$C101,FALSE))</f>
        <v>4.6837209302325586</v>
      </c>
      <c r="AV101" s="209">
        <f>IF(AV$7="X",VLOOKUP(AV$10,'VK-Hooned-Soojus'!$C:$X,2+$C101,FALSE),0)+IF(AV$6="X",VLOOKUP(AV$10,'VK-Transport'!$C:$X,2+$B101,0))+IF(AV$8="X",VLOOKUP(AV$10,'VK-Elekter'!$C:$X,2+$D101,0))+IF(AV$9="X",VLOOKUP(AV$10,'VK-Biokütused'!$C:$U,2+$E101,0))+IF(AV$5="X",VLOOKUP(AV$10,'VK-Põlevkivi'!$C:$X,2+$G101,0))+IF(AV$4="X",VLOOKUP(AV$10,'VK-Võrgud'!$C:$X,2+$F101,0))</f>
        <v>2.1219844082566364</v>
      </c>
      <c r="AW101" s="209">
        <f>IF(AW$7="X",VLOOKUP(AW$10,'VK-Hooned-Soojus'!$C:$X,2+$C101,FALSE),0)+IF(AW$6="X",VLOOKUP(AW$10,'VK-Transport'!$C:$X,2+$B101,0))+IF(AW$8="X",VLOOKUP(AW$10,'VK-Elekter'!$C:$X,2+$D101,0))+IF(AW$9="X",VLOOKUP(AW$10,'VK-Biokütused'!$C:$U,2+$E101,0))+IF(AW$5="X",VLOOKUP(AW$10,'VK-Põlevkivi'!$C:$X,2+$G101,0))+IF(AW$4="X",VLOOKUP(AW$10,'VK-Võrgud'!$C:$X,2+$F101,0))</f>
        <v>0</v>
      </c>
      <c r="AX101" s="229">
        <f t="shared" si="62"/>
        <v>0</v>
      </c>
      <c r="AY101" s="229">
        <f t="shared" si="63"/>
        <v>2.1219844082566364</v>
      </c>
      <c r="AZ101" s="230">
        <f t="shared" si="48"/>
        <v>0.56550366691575049</v>
      </c>
      <c r="BA101" s="209">
        <f>IF(BA$7="X",VLOOKUP(BA$10,'VK-Hooned-Soojus'!$C:$X,2+$C101,FALSE),0)+IF(BA$6="X",VLOOKUP(BA$10,'VK-Transport'!$C:$X,2+$B101,0))+IF(BA$8="X",VLOOKUP(BA$10,'VK-Elekter'!$C:$X,2+$D101,0))+IF(BA$9="X",VLOOKUP(BA$10,'VK-Biokütused'!$C:$U,2+$E101,0))+IF(BA$5="X",VLOOKUP(BA$10,'VK-Põlevkivi'!$C:$X,2+$G101,0))+IF(BA$4="X",VLOOKUP(BA$10,'VK-Võrgud'!$C:$X,2+$F101,0))</f>
        <v>4.25</v>
      </c>
      <c r="BB101" s="209">
        <f>IF(BB$7="X",VLOOKUP(BB$10,'VK-Hooned-Soojus'!$C:$X,2+$C101,FALSE),0)+IF(BB$6="X",VLOOKUP(BB$10,'VK-Transport'!$C:$X,2+$B101,0))+IF(BB$8="X",VLOOKUP(BB$10,'VK-Elekter'!$C:$X,2+$D101,0))+IF(BB$9="X",VLOOKUP(BB$10,'VK-Biokütused'!$C:$U,2+$E101,0))+IF(BB$5="X",VLOOKUP(BB$10,'VK-Põlevkivi'!$C:$X,2+$G101,0))+IF(BB$4="X",VLOOKUP(BB$10,'VK-Võrgud'!$C:$X,2+$F101,0))</f>
        <v>2.93</v>
      </c>
      <c r="BC101" s="209">
        <f>IF(BC$7="X",VLOOKUP(BC$10,'VK-Hooned-Soojus'!$C:$X,2+$C101,FALSE),0)+IF(BC$6="X",VLOOKUP(BC$10,'VK-Transport'!$C:$X,2+$B101,0))+IF(BC$8="X",VLOOKUP(BC$10,'VK-Elekter'!$C:$X,2+$D101,0))+IF(BC$9="X",VLOOKUP(BC$10,'VK-Biokütused'!$C:$U,2+$E101,0))+IF(BC$5="X",VLOOKUP(BC$10,'VK-Põlevkivi'!$C:$X,2+$G101,0))+IF(BC$4="X",VLOOKUP(BC$10,'VK-Võrgud'!$C:$X,2+$F101,0))</f>
        <v>8.0523611111111126</v>
      </c>
      <c r="BD101" s="209">
        <f>IF(BD$7="X",VLOOKUP(BD$10,'VK-Hooned-Soojus'!$C:$X,2+$C101,FALSE),0)+IF(BD$6="X",VLOOKUP(BD$10,'VK-Transport'!$C:$X,2+$B101,0))+IF(BD$8="X",VLOOKUP(BD$10,'VK-Elekter'!$C:$X,2+$D101,0))+IF(BD$9="X",VLOOKUP(BD$10,'VK-Biokütused'!$C:$U,2+$E101,0))+IF(BD$5="X",VLOOKUP(BD$10,'VK-Põlevkivi'!$C:$X,2+$G101,0))+IF(BD$4="X",VLOOKUP(BD$10,'VK-Võrgud'!$C:$X,2+$F101,0))</f>
        <v>10.42138888888889</v>
      </c>
      <c r="BE101" s="230"/>
      <c r="BF101" s="229">
        <f t="shared" si="64"/>
        <v>0.36563130566484103</v>
      </c>
      <c r="BG101" s="209" t="e">
        <f>(IF(BG$7="X",VLOOKUP(BG$10,'VK-Hooned-Soojus'!$C:$X,2+$C101,FALSE),0)+IF(BG$6="X",VLOOKUP(BG$10,'VK-Transport'!$C:$X,2+$B101,0))+IF(BG$8="X",VLOOKUP(BG$10,'VK-Elekter'!$C:$X,2+$D101,0))+IF(BG$9="X",VLOOKUP(BG$10,'VK-Biokütused'!$C:$U,2+$E101,0))+IF(BG$5="X",VLOOKUP(BG$10,'VK-Põlevkivi'!$C:$X,2+$G101,0))+IF(BG$4="X",VLOOKUP(BG$10,'VK-Võrgud'!$C:$X,2+$F101,0)))/20</f>
        <v>#N/A</v>
      </c>
      <c r="BH101" s="209">
        <f>(IF(BH$7="X",VLOOKUP(BH$10,'VK-Hooned-Soojus'!$C:$X,2+$C101,FALSE),0)+IF(BH$6="X",VLOOKUP(BH$10,'VK-Transport'!$C:$X,2+$B101,0))+IF(BH$8="X",VLOOKUP(BH$10,'VK-Elekter'!$C:$X,2+$D101,0))+IF(BH$9="X",VLOOKUP(BH$10,'VK-Biokütused'!$C:$U,2+$E101,0))+IF(BH$5="X",VLOOKUP(BH$10,'VK-Põlevkivi'!$C:$X,2+$G101,0))+IF(BH$4="X",VLOOKUP(BH$10,'VK-Võrgud'!$C:$X,2+$F101,0)))/20</f>
        <v>13.99</v>
      </c>
      <c r="BI101" s="209">
        <f>(IF(BI$7="X",VLOOKUP(BI$10,'VK-Hooned-Soojus'!$C:$X,2+$C101,FALSE),0)+IF(BI$6="X",VLOOKUP(BI$10,'VK-Transport'!$C:$X,2+$B101,0))+IF(BI$8="X",VLOOKUP(BI$10,'VK-Elekter'!$C:$X,2+$D101,0))+IF(BI$9="X",VLOOKUP(BI$10,'VK-Biokütused'!$C:$U,2+$E101,0))+IF(BI$5="X",VLOOKUP(BI$10,'VK-Põlevkivi'!$C:$X,2+$G101,0))+IF(BI$4="X",VLOOKUP(BI$10,'VK-Võrgud'!$C:$X,2+$F101,0)))/16</f>
        <v>17.75</v>
      </c>
      <c r="BJ101" s="209">
        <f>(IF(BJ$7="X",VLOOKUP(BJ$10,'VK-Hooned-Soojus'!$C:$X,2+$C101,FALSE),0)+IF(BJ$6="X",VLOOKUP(BJ$10,'VK-Transport'!$C:$X,2+$B101,0))+IF(BJ$8="X",VLOOKUP(BJ$10,'VK-Elekter'!$C:$X,2+$D101,0))+IF(BJ$9="X",VLOOKUP(BJ$10,'VK-Biokütused'!$C:$U,2+$E101,0))+IF(BJ$5="X",VLOOKUP(BJ$10,'VK-Põlevkivi'!$C:$X,2+$G101,0))+IF(BJ$4="X",VLOOKUP(BJ$10,'VK-Võrgud'!$C:$X,2+$F101,0)))/20</f>
        <v>1.85</v>
      </c>
      <c r="BK101" s="209"/>
      <c r="BL101" s="209"/>
      <c r="BM101" s="209"/>
      <c r="BN101" s="209" t="e">
        <f>(IF(BN$7="X",VLOOKUP(BN$10,'VK-Hooned-Soojus'!$C:$X,2+$C101,FALSE),0)+IF(BN$6="X",VLOOKUP(BN$10,'VK-Transport'!$C:$X,2+$B101,0))+IF(BN$8="X",VLOOKUP(BN$10,'VK-Elekter'!$C:$X,2+$D101,0))+IF(BN$9="X",VLOOKUP(BN$10,'VK-Biokütused'!$C:$U,2+$E101,0))+IF(BN$5="X",VLOOKUP(BN$10,'VK-Põlevkivi'!$C:$X,2+$G101,0))+IF(BN$4="X",VLOOKUP(BN$10,'VK-Võrgud'!$C:$X,2+$F101,0)))/16</f>
        <v>#N/A</v>
      </c>
      <c r="BO101" s="209">
        <f>(IF(BO$7="X",VLOOKUP(BO$10,'VK-Hooned-Soojus'!$C:$X,2+$C101,FALSE),0)+IF(BO$6="X",VLOOKUP(BO$10,'VK-Transport'!$C:$X,2+$B101,0))+IF(BO$8="X",VLOOKUP(BO$10,'VK-Elekter'!$C:$X,2+$D101,0))+IF(BO$9="X",VLOOKUP(BO$10,'VK-Biokütused'!$C:$U,2+$E101,0))+IF(BO$5="X",VLOOKUP(BO$10,'VK-Põlevkivi'!$C:$X,2+$G101,0))+IF(BO$4="X",VLOOKUP(BO$10,'VK-Võrgud'!$C:$X,2+$F101,0)))/16</f>
        <v>322.79374999999999</v>
      </c>
      <c r="BP101" s="209"/>
      <c r="BQ101" s="209">
        <f>(IF(BQ$7="X",VLOOKUP(BQ$10,'VK-Hooned-Soojus'!$C:$X,2+$C101,FALSE),0)+IF(BQ$6="X",VLOOKUP(BQ$10,'VK-Transport'!$C:$X,2+$B101,0))+IF(BQ$8="X",VLOOKUP(BQ$10,'VK-Elekter'!$C:$X,2+$D101,0))+IF(BQ$9="X",VLOOKUP(BQ$10,'VK-Biokütused'!$C:$U,2+$E101,0))+IF(BQ$5="X",VLOOKUP(BQ$10,'VK-Põlevkivi'!$C:$X,2+$G101,0))+IF(BQ$4="X",VLOOKUP(BQ$10,'VK-Võrgud'!$C:$X,2+$F101,0)))/16</f>
        <v>233.20625000000001</v>
      </c>
      <c r="BR101" s="209">
        <f>(IF(BR$7="X",VLOOKUP(BR$10,'VK-Hooned-Soojus'!$C:$X,2+$C101,FALSE),0)+IF(BR$6="X",VLOOKUP(BR$10,'VK-Transport'!$C:$X,2+$B101,0))+IF(BR$8="X",VLOOKUP(BR$10,'VK-Elekter'!$C:$X,2+$D101,0))+IF(BR$9="X",VLOOKUP(BR$10,'VK-Biokütused'!$C:$U,2+$E101,0))+IF(BR$5="X",VLOOKUP(BR$10,'VK-Põlevkivi'!$C:$X,2+$G101,0))+IF(BR$4="X",VLOOKUP(BR$10,'VK-Võrgud'!$C:$X,2+$F101,0)))/16</f>
        <v>74.512500000000003</v>
      </c>
      <c r="BS101" s="209">
        <f>(IF(BS$7="X",VLOOKUP(BS$10,'VK-Hooned-Soojus'!$C:$X,2+$C101,FALSE),0)+IF(BS$6="X",VLOOKUP(BS$10,'VK-Transport'!$C:$X,2+$B101,0))+IF(BS$8="X",VLOOKUP(BS$10,'VK-Elekter'!$C:$X,2+$D101,0))+IF(BS$9="X",VLOOKUP(BS$10,'VK-Biokütused'!$C:$U,2+$E101,0))+IF(BS$5="X",VLOOKUP(BS$10,'VK-Põlevkivi'!$C:$X,2+$G101,0))+IF(BS$4="X",VLOOKUP(BS$10,'VK-Võrgud'!$C:$X,2+$F101,0)))/16</f>
        <v>-21.475000000000001</v>
      </c>
      <c r="BT101" s="209"/>
      <c r="BU101" s="209"/>
      <c r="BV101" s="209">
        <f>(IF(BV$7="X",VLOOKUP(BV$10,'VK-Hooned-Soojus'!$C:$X,2+$C101,FALSE),0)+IF(BV$6="X",VLOOKUP(BV$10,'VK-Transport'!$C:$X,2+$B101,0))+IF(BV$8="X",VLOOKUP(BV$10,'VK-Elekter'!$C:$X,2+$D101,0))+IF(BV$9="X",VLOOKUP(BV$10,'VK-Biokütused'!$C:$U,2+$E101,0))+IF(BV$5="X",VLOOKUP(BV$10,'VK-Põlevkivi'!$C:$X,2+$G101,0))+IF(BV$4="X",VLOOKUP(BV$10,'VK-Võrgud'!$C:$X,2+$F101,0)))/16</f>
        <v>0</v>
      </c>
      <c r="BW101" s="209"/>
      <c r="BX101" s="209">
        <f>(IF(BX$7="X",VLOOKUP(BX$10,'VK-Hooned-Soojus'!$C:$X,2+$C101,FALSE),0)+IF(BX$6="X",VLOOKUP(BX$10,'VK-Transport'!$C:$X,2+$B101,0))+IF(BX$8="X",VLOOKUP(BX$10,'VK-Elekter'!$C:$X,2+$D101,0))+IF(BX$9="X",VLOOKUP(BX$10,'VK-Biokütused'!$C:$U,2+$E101,0))+IF(BX$5="X",VLOOKUP(BX$10,'VK-Põlevkivi'!$C:$X,2+$G101,0))+IF(BX$4="X",VLOOKUP(BX$10,'VK-Võrgud'!$C:$X,2+$F101,0)))/16</f>
        <v>-99.6875</v>
      </c>
      <c r="BY101" s="209"/>
      <c r="BZ101" s="209"/>
      <c r="CA101" s="209" t="e">
        <f>(IF(CA$7="X",VLOOKUP(CA$10,'VK-Hooned-Soojus'!$C:$X,2+$C101,FALSE),0)+IF(CA$6="X",VLOOKUP(CA$10,'VK-Transport'!$C:$X,2+$B101,0))+IF(CA$8="X",VLOOKUP(CA$10,'VK-Elekter'!$C:$X,2+$D101,0))+IF(CA$9="X",VLOOKUP(CA$10,'VK-Biokütused'!$C:$U,2+$E101,0))+IF(CA$5="X",VLOOKUP(CA$10,'VK-Põlevkivi'!$C:$X,2+$G101,0))+IF(CA$4="X",VLOOKUP(CA$10,'VK-Võrgud'!$C:$X,2+$F101,0)))/16</f>
        <v>#N/A</v>
      </c>
      <c r="CB101" s="209">
        <f>(IF(CB$7="X",VLOOKUP(CB$10,'VK-Hooned-Soojus'!$C:$X,2+$C101,FALSE),0)+IF(CB$6="X",VLOOKUP(CB$10,'VK-Transport'!$C:$X,2+$B101,0))+IF(CB$8="X",VLOOKUP(CB$10,'VK-Elekter'!$C:$X,2+$D101,0))+IF(CB$9="X",VLOOKUP(CB$10,'VK-Biokütused'!$C:$U,2+$E101,0))+IF(CB$5="X",VLOOKUP(CB$10,'VK-Põlevkivi'!$C:$X,2+$G101,0))+IF(CB$4="X",VLOOKUP(CB$10,'VK-Võrgud'!$C:$X,2+$F101,0)))/16</f>
        <v>0</v>
      </c>
      <c r="CC101" s="209">
        <f>(IF(CC$7="X",VLOOKUP(CC$10,'VK-Hooned-Soojus'!$C:$X,2+$C101,FALSE),0)+IF(CC$6="X",VLOOKUP(CC$10,'VK-Transport'!$C:$X,2+$B101,0))+IF(CC$8="X",VLOOKUP(CC$10,'VK-Elekter'!$C:$X,2+$D101,0))+IF(CC$9="X",VLOOKUP(CC$10,'VK-Biokütused'!$C:$U,2+$E101,0))+IF(CC$5="X",VLOOKUP(CC$10,'VK-Põlevkivi'!$C:$X,2+$G101,0))+IF(CC$4="X",VLOOKUP(CC$10,'VK-Võrgud'!$C:$X,2+$F101,0)))/16</f>
        <v>0</v>
      </c>
      <c r="CD101" s="209"/>
      <c r="CE101" s="209">
        <f>(IF(CE$7="X",VLOOKUP(CE$10,'VK-Hooned-Soojus'!$C:$X,2+$C101,FALSE),0)+IF(CE$6="X",VLOOKUP(CE$10,'VK-Transport'!$C:$X,2+$B101,0))+IF(CE$8="X",VLOOKUP(CE$10,'VK-Elekter'!$C:$X,2+$D101,0))+IF(CE$9="X",VLOOKUP(CE$10,'VK-Biokütused'!$C:$U,2+$E101,0))+IF(CE$5="X",VLOOKUP(CE$10,'VK-Põlevkivi'!$C:$X,2+$G101,0))+IF(CE$4="X",VLOOKUP(CE$10,'VK-Võrgud'!$C:$X,2+$F101,0)))/16</f>
        <v>24.15625</v>
      </c>
      <c r="CF101" s="209"/>
      <c r="CG101" s="209">
        <f>(IF(CG$7="X",VLOOKUP(CG$10,'VK-Hooned-Soojus'!$C:$X,2+$C101,FALSE),0)+IF(CG$6="X",VLOOKUP(CG$10,'VK-Transport'!$C:$X,2+$B101,0))+IF(CG$8="X",VLOOKUP(CG$10,'VK-Elekter'!$C:$X,2+$D101,0))+IF(CG$9="X",VLOOKUP(CG$10,'VK-Biokütused'!$C:$U,2+$E101,0))+IF(CG$5="X",VLOOKUP(CG$10,'VK-Põlevkivi'!$C:$X,2+$G101,0))+IF(CG$4="X",VLOOKUP(CG$10,'VK-Võrgud'!$C:$X,2+$F101,0)))/16</f>
        <v>0</v>
      </c>
      <c r="CH101" s="209">
        <f>(IF(CH$7="X",VLOOKUP(CH$10,'VK-Hooned-Soojus'!$C:$X,2+$C101,FALSE),0)+IF(CH$6="X",VLOOKUP(CH$10,'VK-Transport'!$C:$X,2+$B101,0))+IF(CH$8="X",VLOOKUP(CH$10,'VK-Elekter'!$C:$X,2+$D101,0))+IF(CH$9="X",VLOOKUP(CH$10,'VK-Biokütused'!$C:$U,2+$E101,0))+IF(CH$5="X",VLOOKUP(CH$10,'VK-Põlevkivi'!$C:$X,2+$G101,0))+IF(CH$4="X",VLOOKUP(CH$10,'VK-Võrgud'!$C:$X,2+$F101,0)))/20*0.21</f>
        <v>5.6122500000000004</v>
      </c>
      <c r="CI101" s="209"/>
      <c r="CJ101" s="209">
        <f>(IF(CJ$7="X",VLOOKUP(CJ$10,'VK-Hooned-Soojus'!$C:$X,2+$C101,FALSE),0)+IF(CJ$6="X",VLOOKUP(CJ$10,'VK-Transport'!$C:$X,2+$B101,0))+IF(CJ$8="X",VLOOKUP(CJ$10,'VK-Elekter'!$C:$X,2+$D101,0))+IF(CJ$9="X",VLOOKUP(CJ$10,'VK-Biokütused'!$C:$U,2+$E101,0))+IF(CJ$5="X",VLOOKUP(CJ$10,'VK-Põlevkivi'!$C:$X,2+$G101,0))+IF(CJ$4="X",VLOOKUP(CJ$10,'VK-Võrgud'!$C:$X,2+$F101,0)))/1000</f>
        <v>18.081</v>
      </c>
      <c r="CK101" s="209">
        <f>(IF(CK$7="X",VLOOKUP(CK$10,'VK-Hooned-Soojus'!$C:$X,2+$C101,FALSE),0)+IF(CK$6="X",VLOOKUP(CK$10,'VK-Transport'!$C:$X,2+$B101,0))+IF(CK$8="X",VLOOKUP(CK$10,'VK-Elekter'!$C:$X,2+$D101,0))+IF(CK$9="X",VLOOKUP(CK$10,'VK-Biokütused'!$C:$U,2+$E101,0))+IF(CK$5="X",VLOOKUP(CK$10,'VK-Põlevkivi'!$C:$X,2+$G101,0))+IF(CK$4="X",VLOOKUP(CK$10,'VK-Võrgud'!$C:$X,2+$F101,0)))/1000</f>
        <v>12.802496548433506</v>
      </c>
      <c r="CL101" s="235">
        <f>(IF(CL$7="X",VLOOKUP(CL$10,'VK-Hooned-Soojus'!$C:$X,2+$C101,FALSE),0)+IF(CL$6="X",VLOOKUP(CL$10,'VK-Transport'!$C:$X,2+$B101,0))+IF(CL$8="X",VLOOKUP(CL$10,'VK-Elekter'!$C:$X,2+$D101,0))+IF(CL$9="X",VLOOKUP(CL$10,'VK-Biokütused'!$C:$U,2+$E101,0)))/1000</f>
        <v>7.90663031159868</v>
      </c>
      <c r="CM101" s="209">
        <f>(IF(CM$7="X",VLOOKUP(CM$10,'VK-Hooned-Soojus'!$C:$X,2+$C101,FALSE),0)+IF(CM$6="X",VLOOKUP(CM$10,'VK-Transport'!$C:$X,2+$B101,0))+IF(CM$8="X",VLOOKUP(CM$10,'VK-Elekter'!$C:$X,2+$D101,0))+IF(CM$9="X",VLOOKUP(CM$10,'VK-Biokütused'!$C:$U,2+$E101,0))+IF(CM$5="X",VLOOKUP(CM$10,'VK-Põlevkivi'!$C:$X,2+$G101,0))+IF(CM$4="X",VLOOKUP(CM$10,'VK-Võrgud'!$C:$X,2+$F101,0)))/1000</f>
        <v>8.5060000000000002</v>
      </c>
      <c r="CN101" s="209">
        <f>(IF(CN$7="X",VLOOKUP(CN$10,'VK-Hooned-Soojus'!$C:$X,2+$C101,FALSE),0)+IF(CN$6="X",VLOOKUP(CN$10,'VK-Transport'!$C:$X,2+$B101,0))+IF(CN$8="X",VLOOKUP(CN$10,'VK-Elekter'!$C:$X,2+$D101,0))+IF(CN$9="X",VLOOKUP(CN$10,'VK-Biokütused'!$C:$U,2+$E101,0))+IF(CN$5="X",VLOOKUP(CN$10,'VK-Põlevkivi'!$C:$X,2+$G101,0))+IF(CN$4="X",VLOOKUP(CN$10,'VK-Võrgud'!$C:$X,2+$F101,0)))/1000</f>
        <v>3.0510000000000002</v>
      </c>
      <c r="CO101" s="209">
        <f>(IF(CO$7="X",VLOOKUP(CO$10,'VK-Hooned-Soojus'!$C:$X,2+$C101,FALSE),0)+IF(CO$6="X",VLOOKUP(CO$10,'VK-Transport'!$C:$X,2+$B101,0))+IF(CO$8="X",VLOOKUP(CO$10,'VK-Elekter'!$C:$X,2+$D101,0))+IF(CO$9="X",VLOOKUP(CO$10,'VK-Biokütused'!$C:$U,2+$E101,0))+IF(CO$5="X",VLOOKUP(CO$10,'VK-Põlevkivi'!$C:$X,2+$G101,0))+IF(CO$4="X",VLOOKUP(CO$10,'VK-Võrgud'!$C:$X,2+$F101,0)))/1000</f>
        <v>24.109362337356995</v>
      </c>
      <c r="CP101" s="209">
        <f>(IF(CP$7="X",VLOOKUP(CP$10,'VK-Hooned-Soojus'!$C:$X,2+$C101,FALSE),0)+IF(CP$6="X",VLOOKUP(CP$10,'VK-Transport'!$C:$X,2+$B101,0))+IF(CP$8="X",VLOOKUP(CP$10,'VK-Elekter'!$C:$X,2+$D101,0))+IF(CP$9="X",VLOOKUP(CP$10,'VK-Biokütused'!$C:$U,2+$E101,0))+IF(CP$5="X",VLOOKUP(CP$10,'VK-Põlevkivi'!$C:$X,2+$G101,0))+IF(CP$4="X",VLOOKUP(CP$10,'VK-Võrgud'!$C:$X,2+$F101,0)))/1000</f>
        <v>13.823392120693661</v>
      </c>
      <c r="CQ101" s="235">
        <f>(IF(CQ$7="X",VLOOKUP(CQ$10,'VK-Hooned-Soojus'!$C:$X,2+$C101,FALSE),0)+IF(CQ$6="X",VLOOKUP(CQ$10,'VK-Transport'!$C:$X,2+$B101,0))+IF(CQ$8="X",VLOOKUP(CQ$10,'VK-Elekter'!$C:$X,2+$D101,0))+IF(CQ$9="X",VLOOKUP(CQ$10,'VK-Biokütused'!$C:$U,2+$E101,0)))/1000</f>
        <v>10.519919</v>
      </c>
      <c r="CR101" s="209">
        <f>(IF(CR$7="X",VLOOKUP(CR$10,'VK-Hooned-Soojus'!$C:$X,2+$C101,FALSE),0)+IF(CR$6="X",VLOOKUP(CR$10,'VK-Transport'!$C:$X,2+$B101,0))+IF(CR$8="X",VLOOKUP(CR$10,'VK-Elekter'!$C:$X,2+$D101,0))+IF(CR$9="X",VLOOKUP(CR$10,'VK-Biokütused'!$C:$U,2+$E101,0))+IF(CR$5="X",VLOOKUP(CR$10,'VK-Põlevkivi'!$C:$X,2+$G101,0))+IF(CR$4="X",VLOOKUP(CR$10,'VK-Võrgud'!$C:$X,2+$F101,0)))/1000</f>
        <v>8.0717518373996899</v>
      </c>
      <c r="CS101" s="209">
        <f>(IF(CS$7="X",VLOOKUP(CS$10,'VK-Hooned-Soojus'!$C:$X,2+$C101,FALSE),0)+IF(CS$6="X",VLOOKUP(CS$10,'VK-Transport'!$C:$X,2+$B101,0))+IF(CS$8="X",VLOOKUP(CS$10,'VK-Elekter'!$C:$X,2+$D101,0))+IF(CS$9="X",VLOOKUP(CS$10,'VK-Biokütused'!$C:$U,2+$E101,0))+IF(CS$5="X",VLOOKUP(CS$10,'VK-Põlevkivi'!$C:$X,2+$G101,0))+IF(CS$4="X",VLOOKUP(CS$10,'VK-Võrgud'!$C:$X,2+$F101,0)))/1000</f>
        <v>3.838649509862238</v>
      </c>
      <c r="CT101" s="209">
        <f>IF(CT$7="X",VLOOKUP(CT$10,'VK-Hooned-Soojus'!$C:$X,2+$C101,FALSE),0)+IF(CT$6="X",VLOOKUP(CT$10,'VK-Transport'!$C:$X,2+$B101,0))+IF(CT$8="X",VLOOKUP(CT$10,'VK-Elekter'!$C:$X,2+$D101,0))+IF(CT$9="X",VLOOKUP(CT$10,'VK-Biokütused'!$C:$U,2+$E101,0))+IF(CT$5="X",VLOOKUP(CT$10,'VK-Põlevkivi'!$C:$X,2+$G101,0))+IF(CT$4="X",VLOOKUP(CT$10,'VK-Võrgud'!$C:$X,2+$F101,0))</f>
        <v>90</v>
      </c>
      <c r="CU101" s="209">
        <f>IF(CU$7="X",VLOOKUP(CU$10,'VK-Hooned-Soojus'!$C:$X,2+$C101,FALSE),0)+IF(CU$6="X",VLOOKUP(CU$10,'VK-Transport'!$C:$X,2+$B101,0))+IF(CU$8="X",VLOOKUP(CU$10,'VK-Elekter'!$C:$X,2+$D101,0))+IF(CU$9="X",VLOOKUP(CU$10,'VK-Biokütused'!$C:$U,2+$E101,0))+IF(CU$5="X",VLOOKUP(CU$10,'VK-Põlevkivi'!$C:$X,2+$G101,0))+IF(CU$4="X",VLOOKUP(CU$10,'VK-Võrgud'!$C:$X,2+$F101,0))</f>
        <v>0.72088353413654627</v>
      </c>
      <c r="CV101" s="209">
        <f t="shared" si="49"/>
        <v>1</v>
      </c>
      <c r="CW101" s="209">
        <f>(IF(CW$7="X",VLOOKUP(CW$10,'VK-Hooned-Soojus'!$C:$X,2+$C101,FALSE),0)+IF(CW$6="X",VLOOKUP(CW$10,'VK-Transport'!$C:$X,2+$B101,0))+IF(CW$8="X",VLOOKUP(CW$10,'VK-Elekter'!$C:$X,2+$D101,0))+IF(CW$9="X",VLOOKUP(CW$10,'VK-Biokütused'!$C:$U,2+$E101,0))+IF(CW$5="X",VLOOKUP(CW$10,'VK-Põlevkivi'!$C:$X,2+$G101,0))+IF(CW$4="X",VLOOKUP(CW$10,'VK-Võrgud'!$C:$X,2+$F101,0)))/16</f>
        <v>0</v>
      </c>
      <c r="CY101" s="209">
        <f>(IF(CY$7="X",VLOOKUP(CY$10,'VK-Hooned-Soojus'!$C:$X,2+$C101,FALSE),0)+IF(CY$6="X",VLOOKUP(CY$10,'VK-Transport'!$C:$X,2+$B101,0))+IF(CY$8="X",VLOOKUP(CY$10,'VK-Elekter'!$C:$X,2+$D101,0))+IF(CY$9="X",VLOOKUP(CY$10,'VK-Biokütused'!$C:$U,2+$E101,0))+IF(CY$5="X",VLOOKUP(CY$10,'VK-Põlevkivi'!$C:$X,2+$G101,0))+IF(CY$4="X",VLOOKUP(CY$10,'VK-Võrgud'!$C:$X,2+$F101,0)))/1000</f>
        <v>10.369</v>
      </c>
      <c r="CZ101" s="209">
        <f>(IF(CZ$7="X",VLOOKUP(CZ$10,'VK-Hooned-Soojus'!$C:$X,2+$C101,FALSE),0)+IF(CZ$6="X",VLOOKUP(CZ$10,'VK-Transport'!$C:$X,2+$B101,0))+IF(CZ$8="X",VLOOKUP(CZ$10,'VK-Elekter'!$C:$X,2+$D101,0))+IF(CZ$9="X",VLOOKUP(CZ$10,'VK-Biokütused'!$C:$U,2+$E101,0))+IF(CZ$5="X",VLOOKUP(CZ$10,'VK-Põlevkivi'!$C:$X,2+$G101,0))+IF(CZ$4="X",VLOOKUP(CZ$10,'VK-Võrgud'!$C:$X,2+$F101,0)))</f>
        <v>71</v>
      </c>
      <c r="DA101" s="209">
        <f>(IF(DA$7="X",VLOOKUP(DA$10,'VK-Hooned-Soojus'!$C:$X,2+$C101,FALSE),0)+IF(DA$6="X",VLOOKUP(DA$10,'VK-Transport'!$C:$X,2+$B101,0))+IF(DA$8="X",VLOOKUP(DA$10,'VK-Elekter'!$C:$X,2+$D101,0))+IF(DA$9="X",VLOOKUP(DA$10,'VK-Biokütused'!$C:$U,2+$E101,0))+IF(DA$5="X",VLOOKUP(DA$10,'VK-Põlevkivi'!$C:$X,2+$G101,0))+IF(DA$4="X",VLOOKUP(DA$10,'VK-Võrgud'!$C:$X,2+$F101,0)))/1000</f>
        <v>13.724</v>
      </c>
      <c r="DB101" s="209">
        <f>(IF(DB$7="X",VLOOKUP(DB$10,'VK-Hooned-Soojus'!$C:$X,2+$C101,FALSE),0)+IF(DB$6="X",VLOOKUP(DB$10,'VK-Transport'!$C:$X,2+$B101,0))+IF(DB$8="X",VLOOKUP(DB$10,'VK-Elekter'!$C:$X,2+$D101,0))+IF(DB$9="X",VLOOKUP(DB$10,'VK-Biokütused'!$C:$U,2+$E101,0))+IF(DB$5="X",VLOOKUP(DB$10,'VK-Põlevkivi'!$C:$X,2+$G101,0))+IF(DB$4="X",VLOOKUP(DB$10,'VK-Võrgud'!$C:$X,2+$F101,0)))/1000/3.6</f>
        <v>61.856388888888887</v>
      </c>
      <c r="DC101" s="209">
        <f>(IF(DC$7="X",VLOOKUP(DC$10,'VK-Hooned-Soojus'!$C:$X,2+$C101,FALSE),0)+IF(DC$6="X",VLOOKUP(DC$10,'VK-Transport'!$C:$X,2+$B101,0))+IF(DC$8="X",VLOOKUP(DC$10,'VK-Elekter'!$C:$X,2+$D101,0))+IF(DC$9="X",VLOOKUP(DC$10,'VK-Biokütused'!$C:$U,2+$E101,0))+IF(DC$5="X",VLOOKUP(DC$10,'VK-Põlevkivi'!$C:$X,2+$G101,0))+IF(DC$4="X",VLOOKUP(DC$10,'VK-Võrgud'!$C:$X,2+$F101,0)))/1000000</f>
        <v>4.9477659999999997</v>
      </c>
      <c r="DD101" s="209"/>
      <c r="DE101" s="88">
        <f>VLOOKUP(Tulemused!$BN$12,data!M$7:N$12,2,FALSE)-SUM(L101,M101)</f>
        <v>-0.80250937302436398</v>
      </c>
      <c r="DF101" s="209" t="str">
        <f>IF(AZ101&lt;=VLOOKUP(Tulemused!$BN$15,data!$E$36:$F$39,2,FALSE),"JAH","EI")</f>
        <v>JAH</v>
      </c>
      <c r="DG101" s="209"/>
      <c r="DH101" s="209">
        <f t="shared" si="50"/>
        <v>6.78</v>
      </c>
      <c r="DI101" s="231" t="str">
        <f t="shared" si="65"/>
        <v>EI</v>
      </c>
      <c r="DK101" s="232">
        <f t="shared" si="51"/>
        <v>-995.5570343343378</v>
      </c>
      <c r="DM101" s="233">
        <f t="shared" si="52"/>
        <v>-996.24335864854959</v>
      </c>
      <c r="DN101" s="87">
        <f t="array" ref="DN101">INDEX($A$11:$A$145, SMALL(IF(DM101=$DK$11:$DK$145, MATCH(ROW($DK$11:$DK$145), ROW($DK$11:$DK$145))), SUM(--(DM101=$DM$11:DM101))))</f>
        <v>44</v>
      </c>
      <c r="DP101" s="87" t="e">
        <f t="shared" ca="1" si="66"/>
        <v>#N/A</v>
      </c>
      <c r="DQ101" s="87" t="e">
        <f t="shared" ca="1" si="67"/>
        <v>#N/A</v>
      </c>
      <c r="DR101" s="87">
        <f t="shared" ca="1" si="68"/>
        <v>0</v>
      </c>
      <c r="DS101" s="87" t="e">
        <f t="shared" ca="1" si="69"/>
        <v>#N/A</v>
      </c>
      <c r="DT101" s="87">
        <f t="shared" ca="1" si="70"/>
        <v>0</v>
      </c>
      <c r="DU101" s="87" t="e">
        <f t="shared" ca="1" si="71"/>
        <v>#N/A</v>
      </c>
      <c r="DV101" s="87" t="e">
        <f t="shared" ca="1" si="72"/>
        <v>#N/A</v>
      </c>
      <c r="DW101" s="87">
        <f t="shared" ca="1" si="73"/>
        <v>0</v>
      </c>
      <c r="DX101" s="87">
        <f t="shared" ca="1" si="74"/>
        <v>0</v>
      </c>
      <c r="DZ101" s="87">
        <f t="shared" ca="1" si="82"/>
        <v>0</v>
      </c>
      <c r="EB101" s="87">
        <f t="shared" ca="1" si="75"/>
        <v>0</v>
      </c>
      <c r="EC101" s="87" t="e">
        <f t="shared" ca="1" si="76"/>
        <v>#N/A</v>
      </c>
      <c r="EE101" s="228">
        <f>(IF(EE$7="X",VLOOKUP(EE$10,'VK-Hooned-Soojus'!$C:$X,2+$C101,FALSE),0)+IF(EE$6="X",VLOOKUP(EE$10,'VK-Transport'!$C:$X,2+$B101,0))+IF(EE$8="X",VLOOKUP(EE$10,'VK-Elekter'!$C:$X,2+$D101,0))+IF(EE$9="X",VLOOKUP(EE$10,'VK-Biokütused'!$C:$U,2+$E101,0))+IF(EE$5="X",VLOOKUP(EE$10,'VK-Põlevkivi'!$C:$X,2+$G101,0))+IF(EE$4="X",VLOOKUP(EE$10,'VK-Võrgud'!$C:$X,2+$F101,0)))</f>
        <v>3595.6020153188169</v>
      </c>
      <c r="EF101" s="235">
        <f>(IF(EF$7="X",VLOOKUP(EF$10,'VK-Hooned-Soojus'!$C:$X,2+$C101,FALSE),0)+IF(EF$6="X",VLOOKUP(EF$10,'VK-Transport'!$C:$X,2+$B101,0))+IF(EF$8="X",VLOOKUP(EF$10,'VK-Elekter'!$C:$X,2+$D101,0))+IF(EF$9="X",VLOOKUP(EF$10,'VK-Biokütused'!$C:$U,2+$E101,0)))/1000</f>
        <v>3.9978849906373197</v>
      </c>
      <c r="EG101" s="209">
        <f>(IF(EG$7="X",VLOOKUP(EG$10,'VK-Hooned-Soojus'!$C:$X,2+$C101,FALSE),0)+IF(EG$6="X",VLOOKUP(EG$10,'VK-Transport'!$C:$X,2+$B101,0))+IF(EG$8="X",VLOOKUP(EG$10,'VK-Elekter'!$C:$X,2+$D101,0))+IF(EG$9="X",VLOOKUP(EG$10,'VK-Biokütused'!$C:$U,2+$E101,0))+IF(EG$5="X",VLOOKUP(EG$10,'VK-Põlevkivi'!$C:$X,2+$G101,0))+IF(EG$4="X",VLOOKUP(EG$10,'VK-Võrgud'!$C:$X,2+$F101,0)))</f>
        <v>0.81</v>
      </c>
      <c r="EH101" s="209">
        <f>(IF(EH$7="X",VLOOKUP(EH$10,'VK-Hooned-Soojus'!$C:$X,2+$C101,FALSE),0)+IF(EH$6="X",VLOOKUP(EH$10,'VK-Transport'!$C:$X,2+$B101,0))+IF(EH$8="X",VLOOKUP(EH$10,'VK-Elekter'!$C:$X,2+$D101,0))+IF(EH$9="X",VLOOKUP(EH$10,'VK-Biokütused'!$C:$U,2+$E101,0)))+AR101+AS101+AU101+AX101</f>
        <v>52.086621447028421</v>
      </c>
      <c r="EI101" s="320">
        <f t="shared" si="53"/>
        <v>47.40290051679586</v>
      </c>
      <c r="EJ101" s="322">
        <f t="shared" si="54"/>
        <v>2.3132392489112068E-2</v>
      </c>
      <c r="EK101" s="323">
        <f t="shared" si="77"/>
        <v>0.4418964743705141</v>
      </c>
      <c r="EM101" s="209"/>
      <c r="EN101" s="209">
        <f t="shared" ca="1" si="55"/>
        <v>0</v>
      </c>
      <c r="EO101" s="209"/>
      <c r="EP101" s="234"/>
      <c r="EQ101" s="209">
        <f>(IF(EQ$7="X",VLOOKUP(EQ$10,'VK-Hooned-Soojus'!$C:$X,2+$C101,FALSE),0)+IF(EQ$6="X",VLOOKUP(EQ$10,'VK-Transport'!$C:$X,2+$B101,0))+IF(EQ$8="X",VLOOKUP(EQ$10,'VK-Elekter'!$C:$X,2+$D101,0))+IF(EQ$9="X",VLOOKUP(EQ$10,'VK-Biokütused'!$C:$U,2+$E101,0))+IF(EQ$5="X",VLOOKUP(EQ$10,'VK-Põlevkivi'!$C:$X,2+$G101,0))+IF(EQ$4="X",VLOOKUP(EQ$10,'VK-Võrgud'!$C:$X,2+$F101,0)))/1000</f>
        <v>0.22900000000000001</v>
      </c>
      <c r="ER101" s="209">
        <f>(IF(ER$7="X",VLOOKUP(ER$10,'VK-Hooned-Soojus'!$C:$X,2+$C101,FALSE),0)+IF(ER$6="X",VLOOKUP(ER$10,'VK-Transport'!$C:$X,2+$B101,0))+IF(ER$8="X",VLOOKUP(ER$10,'VK-Elekter'!$C:$X,2+$D101,0))+IF(ER$9="X",VLOOKUP(ER$10,'VK-Biokütused'!$C:$U,2+$E101,0))+IF(ER$5="X",VLOOKUP(ER$10,'VK-Põlevkivi'!$C:$X,2+$G101,0))+IF(ER$4="X",VLOOKUP(ER$10,'VK-Võrgud'!$C:$X,2+$F101,0)))</f>
        <v>0.82899999999999996</v>
      </c>
      <c r="ES101" s="209">
        <f>(IF(ES$7="X",VLOOKUP(ES$10,'VK-Hooned-Soojus'!$C:$X,2+$C101,FALSE),0)+IF(ES$6="X",VLOOKUP(ES$10,'VK-Transport'!$C:$X,2+$B101,0))+IF(ES$8="X",VLOOKUP(ES$10,'VK-Elekter'!$C:$X,2+$D101,0))+IF(ES$9="X",VLOOKUP(ES$10,'VK-Biokütused'!$C:$U,2+$E101,0))+IF(ES$5="X",VLOOKUP(ES$10,'VK-Põlevkivi'!$C:$X,2+$G101,0))+IF(ES$4="X",VLOOKUP(ES$10,'VK-Võrgud'!$C:$X,2+$F101,0)))</f>
        <v>6.78</v>
      </c>
      <c r="ET101" s="209"/>
      <c r="EU101" s="209"/>
      <c r="EV101" s="87">
        <f>'KSH järjestus'!AS94</f>
        <v>1602</v>
      </c>
      <c r="EX101" s="236"/>
      <c r="EY101" s="236"/>
      <c r="EZ101" s="237">
        <f t="shared" si="56"/>
        <v>0.27911646586345373</v>
      </c>
      <c r="FA101" s="209">
        <f>IF(FA$7="X",VLOOKUP(FA$10,'VK-Hooned-Soojus'!$C:$X,2+$C101,FALSE),0)+IF(FA$6="X",VLOOKUP(FA$10,'VK-Transport'!$C:$X,2+$B101,0))+IF(FA$8="X",VLOOKUP(FA$10,'VK-Elekter'!$C:$X,2+$D101,0))+IF(FA$9="X",VLOOKUP(FA$10,'VK-Biokütused'!$C:$U,2+$E101,0))+IF(FA$5="X",VLOOKUP(FA$10,'VK-Põlevkivi'!$C:$X,2+$G101,0))+IF(FA$4="X",VLOOKUP(FA$10,'VK-Võrgud'!$C:$X,2+$F101,0))</f>
        <v>2814.9189999999999</v>
      </c>
      <c r="FB101" s="279">
        <f>(IF(FB$7="X",VLOOKUP(FB$10,'VK-Hooned-Soojus'!$C:$X,2+$C101,FALSE),0)+IF(FB$6="X",VLOOKUP(FB$10,'VK-Transport'!$C:$X,2+$B101,0))+IF(FB$8="X",VLOOKUP(FB$10,'VK-Elekter'!$C:$X,2+$D101,0))+IF(FB$9="X",VLOOKUP(FB$10,'VK-Biokütused'!$C:$U,2+$E101,0))+IF(FB$5="X",VLOOKUP(FB$10,'VK-Põlevkivi'!$C:$X,2+$G101,0))+IF(FB$4="X",VLOOKUP(FB$10,'VK-Võrgud'!$C:$X,2+$F101,0)))/16</f>
        <v>236.46039502201307</v>
      </c>
      <c r="FC101" s="209">
        <f>IF(FC$7="X",VLOOKUP(FC$10,'VK-Hooned-Soojus'!$C:$X,2+$C101,FALSE),0)+IF(FC$6="X",VLOOKUP(FC$10,'VK-Transport'!$C:$X,2+$B101,0))+IF(FC$8="X",VLOOKUP(FC$10,'VK-Elekter'!$C:$X,2+$D101,0))+IF(FC$9="X",VLOOKUP(FC$10,'VK-Biokütused'!$C:$U,2+$E101,0))+IF(FC$5="X",VLOOKUP(FC$10,'VK-Põlevkivi'!$C:$X,2+$G101,0))+IF(FC$4="X",VLOOKUP(FC$10,'VK-Võrgud'!$C:$X,2+$F101,0))</f>
        <v>315.49999999999994</v>
      </c>
      <c r="FD101" s="209">
        <f>(IF(FD$7="X",VLOOKUP(FD$10,'VK-Hooned-Soojus'!$C:$X,2+$C101,FALSE),0)+IF(FD$6="X",VLOOKUP(FD$10,'VK-Transport'!$C:$X,2+$B101,0))+IF(FD$8="X",VLOOKUP(FD$10,'VK-Elekter'!$C:$X,2+$D101,0))+IF(FD$9="X",VLOOKUP(FD$10,'VK-Biokütused'!$C:$U,2+$E101,0))+IF(FD$5="X",VLOOKUP(FD$10,'VK-Põlevkivi'!$C:$X,2+$G101,0))+IF(FD$4="X",VLOOKUP(FD$10,'VK-Võrgud'!$C:$X,2+$F101,0)))/16</f>
        <v>236.46039502201307</v>
      </c>
      <c r="FE101" s="209">
        <f>(IF(FE$7="X",VLOOKUP(FE$10,'VK-Hooned-Soojus'!$C:$X,2+$C101,FALSE),0)+IF(FE$6="X",VLOOKUP(FE$10,'VK-Transport'!$C:$X,2+$B101,0))+IF(FE$8="X",VLOOKUP(FE$10,'VK-Elekter'!$C:$X,2+$D101,0))+IF(FE$9="X",VLOOKUP(FE$10,'VK-Biokütused'!$C:$U,2+$E101,0))+IF(FE$5="X",VLOOKUP(FE$10,'VK-Põlevkivi'!$C:$X,2+$G101,0))+IF(FE$4="X",VLOOKUP(FE$10,'VK-Võrgud'!$C:$X,2+$F101,0)))/16</f>
        <v>-40.537500000000001</v>
      </c>
      <c r="FF101" s="209">
        <f>(IF(FF$7="X",VLOOKUP(FF$10,'VK-Hooned-Soojus'!$C:$X,2+$C101,FALSE),0)+IF(FF$6="X",VLOOKUP(FF$10,'VK-Transport'!$C:$X,2+$B101,0))+IF(FF$8="X",VLOOKUP(FF$10,'VK-Elekter'!$C:$X,2+$D101,0))+IF(FF$9="X",VLOOKUP(FF$10,'VK-Biokütused'!$C:$U,2+$E101,0))+IF(FF$5="X",VLOOKUP(FF$10,'VK-Põlevkivi'!$C:$X,2+$G101,0))+IF(FF$4="X",VLOOKUP(FF$10,'VK-Võrgud'!$C:$X,2+$F101,0)))/16</f>
        <v>127.76050474668497</v>
      </c>
      <c r="FG101" s="88">
        <f t="shared" ca="1" si="78"/>
        <v>87.223004746684978</v>
      </c>
      <c r="FH101" s="88"/>
      <c r="FI101" s="88"/>
      <c r="FJ101" s="88">
        <f>VLOOKUP(Tulemused!$BN$12,data!M$7:N$12,2,FALSE)-SUM(L101,M101)</f>
        <v>-0.80250937302436398</v>
      </c>
      <c r="FK101" s="209" t="str">
        <f>IF(AZ101&lt;=VLOOKUP(Tulemused!$BN$15,data!$E$36:$F$39,2,FALSE),"JAH","EI")</f>
        <v>JAH</v>
      </c>
      <c r="FL101" s="235">
        <f ca="1">IF(ISNA(MATCH($A101,INDIRECT(VLOOKUP(Tulemused!$BF$11,data!$J$57:$M$71,4,FALSE)))),0,MATCH($A101,INDIRECT(VLOOKUP(Tulemused!$BF$11,data!$J$57:$M$71,4,FALSE))))</f>
        <v>0</v>
      </c>
      <c r="FM101" s="235" t="str">
        <f t="shared" ca="1" si="57"/>
        <v>JAH</v>
      </c>
      <c r="FN101" s="209">
        <f>VLOOKUP(Tulemused!$BN$13,data!$C$132:$D$137,2,FALSE)-KOMBI!R101</f>
        <v>4.9030850093626803</v>
      </c>
      <c r="FO101" s="209"/>
      <c r="FP101" s="209">
        <f>VLOOKUP(Tulemused!$BN$17,NO_x,2,FALSE)-CJ101</f>
        <v>11.356999999999999</v>
      </c>
      <c r="FQ101" s="209">
        <f>VLOOKUP(Tulemused!$BN$18,SO_2,2,FALSE)-CK101</f>
        <v>39.081503451566491</v>
      </c>
      <c r="FR101" s="209">
        <f>VLOOKUP(Tulemused!$BN$19,LOU,2,FALSE)-CN101</f>
        <v>34.029000000000003</v>
      </c>
      <c r="FS101" s="209">
        <f>VLOOKUP(Tulemused!$BN$20,PM_2.5,2,FALSE)-CM101</f>
        <v>8.4089999999999989</v>
      </c>
      <c r="FT101" s="209">
        <f>VLOOKUP(Tulemused!$BN$13,data!$C$132:$D$137,2,FALSE)-FA101/1000</f>
        <v>3.431051000000001</v>
      </c>
      <c r="FU101" s="209">
        <f>VLOOKUP(Tulemused!$BN$17,NO_x,2,FALSE)-CO101</f>
        <v>5.3286376626430041</v>
      </c>
      <c r="FV101" s="209">
        <f>VLOOKUP(Tulemused!$BN$18,SO_2,2,FALSE)-CP101</f>
        <v>38.060607879306339</v>
      </c>
      <c r="FW101" s="209">
        <f>VLOOKUP(Tulemused!$BN$19,LOU,2,FALSE)-CS101</f>
        <v>33.241350490137769</v>
      </c>
      <c r="FX101" s="209">
        <f>VLOOKUP(Tulemused!$BN$20,PM_2.5,2,FALSE)-CR101</f>
        <v>8.8432481626003092</v>
      </c>
      <c r="FY101" s="209">
        <f>VLOOKUP(Tulemused!$BN$14,KHG_2050,2,FALSE)-EF101</f>
        <v>96.002115009362683</v>
      </c>
      <c r="FZ101" s="231" t="str">
        <f t="shared" ca="1" si="79"/>
        <v>EI</v>
      </c>
      <c r="GA101" s="209"/>
      <c r="GB101" s="209"/>
      <c r="GC101" s="209"/>
      <c r="GD101" s="231"/>
      <c r="GE101" s="87">
        <f t="shared" si="58"/>
        <v>1602</v>
      </c>
      <c r="GF101" s="232" t="str">
        <f t="shared" ca="1" si="80"/>
        <v/>
      </c>
      <c r="GH101" s="238" t="e">
        <f t="shared" ca="1" si="59"/>
        <v>#NUM!</v>
      </c>
      <c r="GI101" s="87" t="e">
        <f t="array" aca="1" ref="GI101" ca="1">INDEX($A$11:$A$145, SMALL(IF(GH101=$GF$11:$GF$145, MATCH(ROW($GF$11:$GF$145), ROW($GF$11:$GF$145))), SUM(--(GH101=$GH$11:GH101))))</f>
        <v>#NUM!</v>
      </c>
      <c r="GM101" s="209">
        <f>IF(GM$7="X",VLOOKUP(GM$10,'VK-Hooned-Soojus'!$C:$X,2+$C101,FALSE),0)+IF(GM$6="X",VLOOKUP(GM$10,'VK-Transport'!$C:$X,2+$B101,0))+IF(GM$8="X",VLOOKUP(GM$10,'VK-Elekter'!$C:$X,2+$D101,0))+IF(GM$9="X",VLOOKUP(GM$10,'VK-Biokütused'!$C:$U,2+$E101,0))+IF(GM$5="X",VLOOKUP(GM$10,'VK-Põlevkivi'!$C:$X,2+$G101,0))+IF(GM$4="X",VLOOKUP(GM$10,'VK-Võrgud'!$C:$X,2+$F101,0))</f>
        <v>6.012827991027228</v>
      </c>
      <c r="GN101" s="209">
        <f>IF(GN$7="X",VLOOKUP(GN$10,'VK-Hooned-Soojus'!$C:$X,2+$C101,FALSE),0)+IF(GN$6="X",VLOOKUP(GN$10,'VK-Transport'!$C:$X,2+$B101,0))+IF(GN$8="X",VLOOKUP(GN$10,'VK-Elekter'!$C:$X,2+$D101,0))+IF(GN$9="X",VLOOKUP(GN$10,'VK-Biokütused'!$C:$U,2+$E101,0))+IF(GN$5="X",VLOOKUP(GN$10,'VK-Põlevkivi'!$C:$X,2+$G101,0))+IF(GN$4="X",VLOOKUP(GN$10,'VK-Võrgud'!$C:$X,2+$F101,0))</f>
        <v>3.4467619395011728</v>
      </c>
      <c r="GO101" s="209">
        <f>IF(GO$7="X",VLOOKUP(GO$10,'VK-Hooned-Soojus'!$C:$X,2+$C101,FALSE),0)+IF(GO$6="X",VLOOKUP(GO$10,'VK-Transport'!$C:$X,2+$B101,0))+IF(GO$8="X",VLOOKUP(GO$10,'VK-Elekter'!$C:$X,2+$D101,0))+IF(GO$9="X",VLOOKUP(GO$10,'VK-Biokütused'!$C:$U,2+$E101,0))+IF(GO$5="X",VLOOKUP(GO$10,'VK-Põlevkivi'!$C:$X,2+$G101,0))+IF(GO$4="X",VLOOKUP(GO$10,'VK-Võrgud'!$C:$X,2+$F101,0))</f>
        <v>8.7471755658278116</v>
      </c>
      <c r="GP101" s="209">
        <f>IF(GP$7="X",VLOOKUP(GP$10,'VK-Hooned-Soojus'!$C:$X,2+$C101,FALSE),0)+IF(GP$6="X",VLOOKUP(GP$10,'VK-Transport'!$C:$X,2+$B101,0))+IF(GP$8="X",VLOOKUP(GP$10,'VK-Elekter'!$C:$X,2+$D101,0))+IF(GP$9="X",VLOOKUP(GP$10,'VK-Biokütused'!$C:$U,2+$E101,0))+IF(GP$5="X",VLOOKUP(GP$10,'VK-Põlevkivi'!$C:$X,2+$G101,0))+IF(GP$4="X",VLOOKUP(GP$10,'VK-Võrgud'!$C:$X,2+$F101,0))</f>
        <v>9.3279335818485372</v>
      </c>
      <c r="GQ101" s="88">
        <f>IF(GQ$7="X",VLOOKUP(GQ$10,'VK-Hooned-Soojus'!$C:$X,2+$C101,FALSE),0)+IF(GQ$6="X",VLOOKUP(GQ$10,'VK-Transport'!$C:$X,2+$B101,0))+IF(GQ$8="X",VLOOKUP(GQ$10,'VK-Elekter'!$C:$X,2+$D101,0))+IF(GQ$9="X",VLOOKUP(GQ$10,'VK-Biokütused'!$C:$U,2+$E101,0))+IF(GQ$5="X",VLOOKUP(GQ$10,'VK-Põlevkivi'!$C:$X,2+$G101,0))+IF(GQ$4="X",VLOOKUP(GQ$10,'VK-Võrgud'!$C:$X,2+$F101,0))</f>
        <v>0.89042766952822527</v>
      </c>
      <c r="GR101" s="186">
        <f t="shared" si="81"/>
        <v>0.40627315299312855</v>
      </c>
    </row>
    <row r="102" spans="1:200" x14ac:dyDescent="0.2">
      <c r="A102" s="184">
        <v>92</v>
      </c>
      <c r="B102" s="87">
        <v>3</v>
      </c>
      <c r="C102" s="87">
        <v>1</v>
      </c>
      <c r="D102" s="87">
        <v>1</v>
      </c>
      <c r="E102" s="87">
        <v>2</v>
      </c>
      <c r="F102" s="87">
        <f>VLOOKUP(Tulemused!$BF$7,data!$J$6:$K$8,2,FALSE)</f>
        <v>2</v>
      </c>
      <c r="G102" s="87">
        <f>VLOOKUP(data!$H$2,data!$J$12:$K$14,2,FALSE)</f>
        <v>2</v>
      </c>
      <c r="I102" s="209">
        <f>IF(I$7="X",VLOOKUP(I$10,'VK-Hooned-Soojus'!$C:$X,2+$C102,FALSE),0)+IF(I$6="X",VLOOKUP(I$10,'VK-Transport'!$C:$X,2+$B102,0))+IF(I$8="X",VLOOKUP(I$10,'VK-Elekter'!$C:$X,2+$D102,0))+IF(I$9="X",VLOOKUP(I$10,'VK-Biokütused'!$C:$U,2+$E102,0))+IF(I$5="X",VLOOKUP(I$10,'VK-Põlevkivi'!$C:$X,2+$G102,0))+IF(I$4="X",VLOOKUP(I$10,'VK-Võrgud'!$C:$X,2+$F102,0))</f>
        <v>26.89</v>
      </c>
      <c r="J102" s="209">
        <f>IF(J$7="X",VLOOKUP(J$10,'VK-Hooned-Soojus'!$C:$X,2+$C102,FALSE),0)+IF(J$6="X",VLOOKUP(J$10,'VK-Transport'!$C:$X,2+$B102,0))+IF(J$8="X",VLOOKUP(J$10,'VK-Elekter'!$C:$X,2+$D102,0))+IF(J$9="X",VLOOKUP(J$10,'VK-Biokütused'!$C:$U,2+$E102,0))+IF(J$5="X",VLOOKUP(J$10,'VK-Põlevkivi'!$C:$X,2+$G102,0))+IF(J$4="X",VLOOKUP(J$10,'VK-Võrgud'!$C:$X,2+$F102,0))</f>
        <v>8.1258333333333344</v>
      </c>
      <c r="K102" s="209">
        <f>IF(K$7="X",VLOOKUP(K$10,'VK-Hooned-Soojus'!$C:$X,2+$C102,FALSE),0)+IF(K$6="X",VLOOKUP(K$10,'VK-Transport'!$C:$X,2+$B102,0))+IF(K$8="X",VLOOKUP(K$10,'VK-Elekter'!$C:$X,2+$D102,0))+IF(K$9="X",VLOOKUP(K$10,'VK-Biokütused'!$C:$U,2+$E102,0))+IF(K$5="X",VLOOKUP(K$10,'VK-Põlevkivi'!$C:$X,2+$G102,0))+IF(K$4="X",VLOOKUP(K$10,'VK-Võrgud'!$C:$X,2+$F102,0))</f>
        <v>16.75</v>
      </c>
      <c r="L102" s="209">
        <f>IF(L$7="X",VLOOKUP(L$10,'VK-Hooned-Soojus'!$C:$X,2+$C102,FALSE),0)+IF(L$6="X",VLOOKUP(L$10,'VK-Transport'!$C:$X,2+$B102,0))+IF(L$8="X",VLOOKUP(L$10,'VK-Elekter'!$C:$X,2+$D102,0))+IF(L$9="X",VLOOKUP(L$10,'VK-Biokütused'!$C:$U,2+$E102,0))+IF(L$5="X",VLOOKUP(L$10,'VK-Põlevkivi'!$C:$X,2+$G102,0))+IF(L$4="X",VLOOKUP(L$10,'VK-Võrgud'!$C:$X,2+$F102,0))</f>
        <v>24.95</v>
      </c>
      <c r="M102" s="209">
        <f>IF(M$7="X",VLOOKUP(M$10,'VK-Hooned-Soojus'!$C:$X,2+$C102,FALSE),0)+IF(M$6="X",VLOOKUP(M$10,'VK-Transport'!$C:$X,2+$B102,0))+IF(M$8="X",VLOOKUP(M$10,'VK-Elekter'!$C:$X,2+$D102,0))+IF(M$9="X",VLOOKUP(M$10,'VK-Biokütused'!$C:$U,2+$E102,0))+IF(M$5="X",VLOOKUP(M$10,'VK-Põlevkivi'!$C:$X,2+$G102,0))+IF(M$4="X",VLOOKUP(M$10,'VK-Võrgud'!$C:$X,2+$F102,0))</f>
        <v>8.68530937302436</v>
      </c>
      <c r="N102" s="209">
        <f>IF(N$7="X",VLOOKUP(N$10,'VK-Hooned-Soojus'!$C:$X,2+$C102,FALSE),0)+IF(N$6="X",VLOOKUP(N$10,'VK-Transport'!$C:$X,2+$B102,0))+IF(N$8="X",VLOOKUP(N$10,'VK-Elekter'!$C:$X,2+$D102,0))+IF(N$9="X",VLOOKUP(N$10,'VK-Biokütused'!$C:$U,2+$E102,0))+IF(N$5="X",VLOOKUP(N$10,'VK-Põlevkivi'!$C:$X,2+$G102,0))+IF(N$4="X",VLOOKUP(N$10,'VK-Võrgud'!$C:$X,2+$F102,0))</f>
        <v>16.75</v>
      </c>
      <c r="O102" s="209">
        <f t="shared" si="60"/>
        <v>35.015833333333333</v>
      </c>
      <c r="P102" s="209"/>
      <c r="Q102" s="209">
        <f>(IF(Q$7="X",VLOOKUP(Q$10,'VK-Hooned-Soojus'!$C:$X,2+$C102,FALSE),0)+IF(Q$6="X",VLOOKUP(Q$10,'VK-Transport'!$C:$X,2+$B102,0))+IF(Q$8="X",VLOOKUP(Q$10,'VK-Elekter'!$C:$X,2+$D102,0))+IF(Q$9="X",VLOOKUP(Q$10,'VK-Biokütused'!$C:$U,2+$E102,0))+IF(Q$5="X",VLOOKUP(Q$10,'VK-Põlevkivi'!$C:$X,2+$G102,0))+IF(Q$4="X",VLOOKUP(Q$10,'VK-Võrgud'!$C:$X,2+$F102,0)))/1000</f>
        <v>5.3310000000000004</v>
      </c>
      <c r="R102" s="209">
        <f>(IF(R$7="X",VLOOKUP(R$10,'VK-Hooned-Soojus'!$C:$X,2+$C102,FALSE),0)+IF(R$6="X",VLOOKUP(R$10,'VK-Transport'!$C:$X,2+$B102,0))+IF(R$8="X",VLOOKUP(R$10,'VK-Elekter'!$C:$X,2+$D102,0))+IF(R$9="X",VLOOKUP(R$10,'VK-Biokütused'!$C:$U,2+$E102,0))+IF(R$5="X",VLOOKUP(R$10,'VK-Põlevkivi'!$C:$X,2+$G102,0))+IF(R$4="X",VLOOKUP(R$10,'VK-Võrgud'!$C:$X,2+$F102,0)))/1000</f>
        <v>1.7203849906373201</v>
      </c>
      <c r="S102" s="226">
        <f>VLOOKUP(S$10,'VK-Hooned-Soojus'!$C:$I,2+$C102,FALSE) + VLOOKUP(S$10,'VK-Transport'!$C:$I,2+$B102,FALSE)+ VLOOKUP(S$10,'VK-Biokütused'!$C:$G,2+$E102,FALSE)+ VLOOKUP(S$10,'VK-Elekter'!$C:$I,2+$D102,FALSE)+ VLOOKUP(S$10,'VK-Põlevkivi'!$C:$I,2+$G102,FALSE)+ VLOOKUP(S$10,'VK-Võrgud'!$C:$I,2+$F102,FALSE)</f>
        <v>1.5360100697404913E-2</v>
      </c>
      <c r="T102" s="226">
        <f>VLOOKUP(T$10,'VK-Hooned-Soojus'!$C:$I,2+$C102,FALSE) + VLOOKUP(T$10,'VK-Transport'!$C:$I,2+$B102,FALSE)+ VLOOKUP(T$10,'VK-Biokütused'!$C:$G,2+$E102,FALSE)+ VLOOKUP(T$10,'VK-Elekter'!$C:$I,2+$D102,FALSE)+ VLOOKUP(T$10,'VK-Põlevkivi'!$C:$I,2+$G102,FALSE)+ VLOOKUP(T$10,'VK-Võrgud'!$C:$I,2+$F102,FALSE)</f>
        <v>5.6073603628505834E-3</v>
      </c>
      <c r="U102" s="226">
        <f>VLOOKUP(U$10,'VK-Hooned-Soojus'!$C:$I,2+$C102,FALSE) + VLOOKUP(U$10,'VK-Transport'!$C:$I,2+$B102,FALSE)+ VLOOKUP(U$10,'VK-Biokütused'!$C:$G,2+$E102,FALSE)+ VLOOKUP(U$10,'VK-Elekter'!$C:$I,2+$D102,FALSE)+ VLOOKUP(U$10,'VK-Põlevkivi'!$C:$I,2+$G102,FALSE)+ VLOOKUP(U$10,'VK-Võrgud'!$C:$I,2+$F102,FALSE)</f>
        <v>6.6528332786950084E-3</v>
      </c>
      <c r="V102" s="226">
        <f>VLOOKUP(V$10,'VK-Hooned-Soojus'!$C:$I,2+$C102,FALSE) + VLOOKUP(V$10,'VK-Transport'!$C:$I,2+$B102,FALSE)+ VLOOKUP(V$10,'VK-Biokütused'!$C:$G,2+$E102,FALSE)+ VLOOKUP(V$10,'VK-Elekter'!$C:$I,2+$D102,FALSE)+ VLOOKUP(V$10,'VK-Põlevkivi'!$C:$I,2+$G102,FALSE)+ VLOOKUP(V$10,'VK-Võrgud'!$C:$I,2+$F102,FALSE)</f>
        <v>8.8043057063187935E-3</v>
      </c>
      <c r="W102" s="226">
        <f>VLOOKUP(W$10,'VK-Hooned-Soojus'!$C:$I,2+$C102,FALSE) + VLOOKUP(W$10,'VK-Transport'!$C:$I,2+$B102,FALSE)+ VLOOKUP(W$10,'VK-Biokütused'!$C:$G,2+$E102,FALSE)+ VLOOKUP(W$10,'VK-Elekter'!$C:$I,2+$D102,FALSE)+ VLOOKUP(W$10,'VK-Põlevkivi'!$C:$I,2+$G102,FALSE)+ VLOOKUP(W$10,'VK-Võrgud'!$C:$I,2+$F102,FALSE)</f>
        <v>-2.7052954014155903E-2</v>
      </c>
      <c r="X102" s="226">
        <f>VLOOKUP(X$10,'VK-Hooned-Soojus'!$C:$I,2+$C102,FALSE) + VLOOKUP(X$10,'VK-Transport'!$C:$I,2+$B102,FALSE)+ VLOOKUP(X$10,'VK-Biokütused'!$C:$G,2+$E102,FALSE)+ VLOOKUP(X$10,'VK-Elekter'!$C:$I,2+$D102,FALSE)+ VLOOKUP(X$10,'VK-Põlevkivi'!$C:$I,2+$G102,FALSE)+ VLOOKUP(X$10,'VK-Võrgud'!$C:$I,2+$F102,FALSE)</f>
        <v>-3.946736956376079E-2</v>
      </c>
      <c r="Y102" s="226">
        <f>VLOOKUP(Y$10,'VK-Hooned-Soojus'!$C:$I,2+$C102,FALSE) + VLOOKUP(Y$10,'VK-Transport'!$C:$I,2+$B102,FALSE)+ VLOOKUP(Y$10,'VK-Biokütused'!$C:$G,2+$E102,FALSE)+ VLOOKUP(Y$10,'VK-Elekter'!$C:$I,2+$D102,FALSE)+ VLOOKUP(Y$10,'VK-Põlevkivi'!$C:$I,2+$G102,FALSE)+ VLOOKUP(Y$10,'VK-Võrgud'!$C:$I,2+$F102,FALSE)</f>
        <v>-4.8779906108024476E-2</v>
      </c>
      <c r="Z102" s="227">
        <f>(S102*Tulemused!$Q$9*10+T102*Tulemused!$Q$10*10+KOMBI!U102*Tulemused!$Q$11*10+KOMBI!V102*Tulemused!$Q$12*10)*Tulemused!$Q$8+-(W102*Tulemused!$Q$14*10+KOMBI!X102*Tulemused!$Q$15*10+KOMBI!Y102*Tulemused!$Q$16*10)*Tulemused!$Q$13</f>
        <v>5.3588773143080184</v>
      </c>
      <c r="AA102" s="228">
        <f>(IF(AA$7="X",VLOOKUP(AA$10,'VK-Hooned-Soojus'!$C:$X,2+$C102,FALSE),0)+IF(AA$6="X",VLOOKUP(AA$10,'VK-Transport'!$C:$X,2+$B102,0))+IF(AA$8="X",VLOOKUP(AA$10,'VK-Elekter'!$C:$X,2+$D102,0))+IF(AA$9="X",VLOOKUP(AA$10,'VK-Biokütused'!$C:$U,2+$E102,0))+IF(AA$5="X",VLOOKUP(AA$10,'VK-Põlevkivi'!$C:$X,2+$G102,0))+IF(AA$4="X",VLOOKUP(AA$10,'VK-Võrgud'!$C:$X,2+$F102,0)))</f>
        <v>3729</v>
      </c>
      <c r="AB102" s="228">
        <f>(IF(AB$7="X",VLOOKUP(AB$10,'VK-Hooned-Soojus'!$C:$X,2+$C102,FALSE),0)+IF(AB$6="X",VLOOKUP(AB$10,'VK-Transport'!$C:$X,2+$B102,0))+IF(AB$8="X",VLOOKUP(AB$10,'VK-Elekter'!$C:$X,2+$D102,0))+IF(AB$9="X",VLOOKUP(AB$10,'VK-Biokütused'!$C:$U,2+$E102,0))+IF(AB$5="X",VLOOKUP(AB$10,'VK-Põlevkivi'!$C:$X,2+$G102,0))+IF(AB$4="X",VLOOKUP(AB$10,'VK-Võrgud'!$C:$X,2+$F102,0)))</f>
        <v>1602</v>
      </c>
      <c r="AC102" s="228">
        <f>(IF(AC$7="X",VLOOKUP(AC$10,'VK-Hooned-Soojus'!$C:$X,2+$C102,FALSE),0)+IF(AC$6="X",VLOOKUP(AC$10,'VK-Transport'!$C:$X,2+$B102,0))+IF(AC$8="X",VLOOKUP(AC$10,'VK-Elekter'!$C:$X,2+$D102,0))+IF(AC$9="X",VLOOKUP(AC$10,'VK-Biokütused'!$C:$U,2+$E102,0))+IF(AC$5="X",VLOOKUP(AC$10,'VK-Põlevkivi'!$C:$X,2+$G102,0))+IF(AC$4="X",VLOOKUP(AC$10,'VK-Võrgud'!$C:$X,2+$F102,0)))</f>
        <v>2346</v>
      </c>
      <c r="AD102" s="228">
        <f>(IF(AD$7="X",VLOOKUP(AD$10,'VK-Hooned-Soojus'!$C:$X,2+$C102,FALSE),0)+IF(AD$6="X",VLOOKUP(AD$10,'VK-Transport'!$C:$X,2+$B102,0))+IF(AD$8="X",VLOOKUP(AD$10,'VK-Elekter'!$C:$X,2+$D102,0))+IF(AD$9="X",VLOOKUP(AD$10,'VK-Biokütused'!$C:$U,2+$E102,0))+IF(AD$5="X",VLOOKUP(AD$10,'VK-Põlevkivi'!$C:$X,2+$G102,0))+IF(AD$4="X",VLOOKUP(AD$10,'VK-Võrgud'!$C:$X,2+$F102,0)))</f>
        <v>377.5</v>
      </c>
      <c r="AE102" s="228">
        <f>(IF(AE$7="X",VLOOKUP(AE$10,'VK-Hooned-Soojus'!$C:$X,2+$C102,FALSE),0)+IF(AE$6="X",VLOOKUP(AE$10,'VK-Transport'!$C:$X,2+$B102,0))+IF(AE$8="X",VLOOKUP(AE$10,'VK-Elekter'!$C:$X,2+$D102,0))+IF(AE$9="X",VLOOKUP(AE$10,'VK-Biokütused'!$C:$U,2+$E102,0))+IF(AE$5="X",VLOOKUP(AE$10,'VK-Põlevkivi'!$C:$X,2+$G102,0))+IF(AE$4="X",VLOOKUP(AE$10,'VK-Võrgud'!$C:$X,2+$F102,0)))</f>
        <v>812</v>
      </c>
      <c r="AF102" s="228">
        <f>(IF(AF$7="X",VLOOKUP(AF$10,'VK-Hooned-Soojus'!$C:$X,2+$C102,FALSE),0)+IF(AF$6="X",VLOOKUP(AF$10,'VK-Transport'!$C:$X,2+$B102,0))+IF(AF$8="X",VLOOKUP(AF$10,'VK-Elekter'!$C:$X,2+$D102,0))+IF(AF$9="X",VLOOKUP(AF$10,'VK-Biokütused'!$C:$U,2+$E102,0))+IF(AF$5="X",VLOOKUP(AF$10,'VK-Põlevkivi'!$C:$X,2+$G102,0))+IF(AF$4="X",VLOOKUP(AF$10,'VK-Võrgud'!$C:$X,2+$F102,0)))</f>
        <v>530.88499063732002</v>
      </c>
      <c r="AG102" s="209"/>
      <c r="AH102" s="209">
        <f>IF(AH$7="X",VLOOKUP(AH$10,'VK-Hooned-Soojus'!$C:$X,2+$C102,FALSE),0)+IF(AH$6="X",VLOOKUP(AH$10,'VK-Transport'!$C:$X,2+$B102,0))+IF(AH$8="X",VLOOKUP(AH$10,'VK-Elekter'!$C:$X,2+$D102,0))+IF(AH$9="X",VLOOKUP(AH$10,'VK-Biokütused'!$C:$U,2+$E102,0))+IF(AH$5="X",VLOOKUP(AH$10,'VK-Põlevkivi'!$C:$X,2+$G102,0))+IF(AH$4="X",VLOOKUP(AH$10,'VK-Võrgud'!$C:$X,2+$F102,0))</f>
        <v>11.629999999999999</v>
      </c>
      <c r="AI102" s="209">
        <f>IF(AI$7="X",VLOOKUP(AI$10,'VK-Hooned-Soojus'!$C:$X,2+$C102,FALSE),0)+IF(AI$6="X",VLOOKUP(AI$10,'VK-Transport'!$C:$X,2+$B102,0))+IF(AI$8="X",VLOOKUP(AI$10,'VK-Elekter'!$C:$X,2+$D102,0))+IF(AI$9="X",VLOOKUP(AI$10,'VK-Biokütused'!$C:$U,2+$E102,0))+IF(AI$5="X",VLOOKUP(AI$10,'VK-Põlevkivi'!$C:$X,2+$G102,0))+IF(AI$4="X",VLOOKUP(AI$10,'VK-Võrgud'!$C:$X,2+$F102,0))</f>
        <v>2.3100000000000005</v>
      </c>
      <c r="AJ102" s="209">
        <f>IF(AJ$7="X",VLOOKUP(AJ$10,'VK-Hooned-Soojus'!$C:$X,2+$C102,FALSE),0)+IF(AJ$6="X",VLOOKUP(AJ$10,'VK-Transport'!$C:$X,2+$B102,0))+IF(AJ$8="X",VLOOKUP(AJ$10,'VK-Elekter'!$C:$X,2+$D102,0))+IF(AJ$9="X",VLOOKUP(AJ$10,'VK-Biokütused'!$C:$U,2+$E102,0))+IF(AJ$5="X",VLOOKUP(AJ$10,'VK-Põlevkivi'!$C:$X,2+$G102,0))+IF(AJ$4="X",VLOOKUP(AJ$10,'VK-Võrgud'!$C:$X,2+$F102,0))</f>
        <v>9.24</v>
      </c>
      <c r="AK102" s="209">
        <f>IF(AK$7="X",VLOOKUP(AK$10,'VK-Hooned-Soojus'!$C:$X,2+$C102,FALSE),0)+IF(AK$6="X",VLOOKUP(AK$10,'VK-Transport'!$C:$X,2+$B102,0))+IF(AK$8="X",VLOOKUP(AK$10,'VK-Elekter'!$C:$X,2+$D102,0))+IF(AK$9="X",VLOOKUP(AK$10,'VK-Biokütused'!$C:$U,2+$E102,0))+IF(AK$5="X",VLOOKUP(AK$10,'VK-Põlevkivi'!$C:$X,2+$G102,0))+IF(AK$4="X",VLOOKUP(AK$10,'VK-Võrgud'!$C:$X,2+$F102,0))</f>
        <v>2.78</v>
      </c>
      <c r="AL102" s="209">
        <f>IF(AL$7="X",VLOOKUP(AL$10,'VK-Hooned-Soojus'!$C:$X,2+$C102,FALSE),0)+IF(AL$6="X",VLOOKUP(AL$10,'VK-Transport'!$C:$X,2+$B102,0))+IF(AL$8="X",VLOOKUP(AL$10,'VK-Elekter'!$C:$X,2+$D102,0))+IF(AL$9="X",VLOOKUP(AL$10,'VK-Biokütused'!$C:$U,2+$E102,0))+IF(AL$5="X",VLOOKUP(AL$10,'VK-Põlevkivi'!$C:$X,2+$G102,0))+IF(AL$4="X",VLOOKUP(AL$10,'VK-Võrgud'!$C:$X,2+$F102,0))</f>
        <v>7.1999999999999993</v>
      </c>
      <c r="AM102" s="209">
        <f>IF(AM$7="X",VLOOKUP(AM$10,'VK-Hooned-Soojus'!$C:$X,2+$C102,FALSE),0)+IF(AM$6="X",VLOOKUP(AM$10,'VK-Transport'!$C:$X,2+$B102,0))+IF(AM$8="X",VLOOKUP(AM$10,'VK-Elekter'!$C:$X,2+$D102,0))+IF(AM$9="X",VLOOKUP(AM$10,'VK-Biokütused'!$C:$U,2+$E102,0))+IF(AM$5="X",VLOOKUP(AM$10,'VK-Põlevkivi'!$C:$X,2+$G102,0))+IF(AM$4="X",VLOOKUP(AM$10,'VK-Võrgud'!$C:$X,2+$F102,0))</f>
        <v>12.9</v>
      </c>
      <c r="AN102" s="209">
        <f>IF(AN$7="X",VLOOKUP(AN$10,'VK-Hooned-Soojus'!$C:$X,2+$C102,FALSE),0)+IF(AN$6="X",VLOOKUP(AN$10,'VK-Transport'!$C:$X,2+$B102,0))+IF(AN$8="X",VLOOKUP(AN$10,'VK-Elekter'!$C:$X,2+$D102,0))+IF(AN$9="X",VLOOKUP(AN$10,'VK-Biokütused'!$C:$U,2+$E102,0))+IF(AN$5="X",VLOOKUP(AN$10,'VK-Põlevkivi'!$C:$X,2+$G102,0))+IF(AN$4="X",VLOOKUP(AN$10,'VK-Võrgud'!$C:$X,2+$F102,0))</f>
        <v>5.6999999999999993</v>
      </c>
      <c r="AO102" s="209">
        <f>IF(AO$7="X",VLOOKUP(AO$10,'VK-Hooned-Soojus'!$C:$X,2+$C102,FALSE),0)+IF(AO$6="X",VLOOKUP(AO$10,'VK-Transport'!$C:$X,2+$B102,0))+IF(AO$8="X",VLOOKUP(AO$10,'VK-Elekter'!$C:$X,2+$D102,0))+IF(AO$9="X",VLOOKUP(AO$10,'VK-Biokütused'!$C:$U,2+$E102,0))+IF(AO$5="X",VLOOKUP(AO$10,'VK-Põlevkivi'!$C:$X,2+$G102,0))+IF(AO$4="X",VLOOKUP(AO$10,'VK-Võrgud'!$C:$X,2+$F102,0))</f>
        <v>13.56</v>
      </c>
      <c r="AP102" s="209">
        <f>IF(AP$7="X",VLOOKUP(AP$10,'VK-Hooned-Soojus'!$C:$X,2+$C102,FALSE),0)+IF(AP$6="X",VLOOKUP(AP$10,'VK-Transport'!$C:$X,2+$B102,0))+IF(AP$8="X",VLOOKUP(AP$10,'VK-Elekter'!$C:$X,2+$D102,0))+IF(AP$9="X",VLOOKUP(AP$10,'VK-Biokütused'!$C:$U,2+$E102,0))+IF(AP$5="X",VLOOKUP(AP$10,'VK-Põlevkivi'!$C:$X,2+$G102,0))+IF(AP$4="X",VLOOKUP(AP$10,'VK-Võrgud'!$C:$X,2+$F102,0))</f>
        <v>6.78</v>
      </c>
      <c r="AQ102" s="320">
        <f t="shared" si="61"/>
        <v>1.2599999999999998</v>
      </c>
      <c r="AR102" s="209">
        <f>IF(AR$7="X",VLOOKUP(AR$10,'VK-Hooned-Soojus'!$C:$X,2+$C102,FALSE),0)+IF(AR$6="X",VLOOKUP(AR$10,'VK-Transport'!$C:$X,2+$B102,0))+IF(AR$8="X",VLOOKUP(AR$10,'VK-Elekter'!$C:$X,2+$D102,0))+IF(AR$9="X",VLOOKUP(AR$10,'VK-Biokütused'!$C:$U,2+$E102,0))+IF(AR$5="X",VLOOKUP(AR$10,'VK-Põlevkivi'!$C:$X,2+$G102,0))+IF(AR$4="X",VLOOKUP(AR$10,'VK-Võrgud'!$C:$X,2+$F102,0))</f>
        <v>3.4899999999999998</v>
      </c>
      <c r="AS102" s="320">
        <f>VLOOKUP("Kütuste tarbimine @ 2030 - UTTEGAAS",'VK-Hooned-Soojus'!$C:$X,2+$C102,FALSE)/0.172+VLOOKUP("Kütuste tarbimine @ 2030 - UTTEGAAS",'VK-Elekter'!$C:$X,2+$D102,FALSE)/0.172-AR102-AU102</f>
        <v>2.7565116279069759</v>
      </c>
      <c r="AT102" s="209">
        <f>IF(AT$7="X",VLOOKUP(AT$10,'VK-Hooned-Soojus'!$C:$X,2+$C102,FALSE),0)+IF(AT$6="X",VLOOKUP(AT$10,'VK-Transport'!$C:$X,2+$B102,0))+IF(AT$8="X",VLOOKUP(AT$10,'VK-Elekter'!$C:$X,2+$D102,0))+IF(AT$9="X",VLOOKUP(AT$10,'VK-Biokütused'!$C:$U,2+$E102,0))+IF(AT$5="X",VLOOKUP(AT$10,'VK-Põlevkivi'!$C:$X,2+$G102,0))+IF(AT$4="X",VLOOKUP(AT$10,'VK-Võrgud'!$C:$X,2+$F102,0))</f>
        <v>5.7045296564339489</v>
      </c>
      <c r="AU102" s="229">
        <f>MAX(0,(VLOOKUP("Kütuste tarbimine @ 2030 - UTTEGAAS",'VK-Hooned-Soojus'!$C:$X,2+$C102,FALSE)/0.172+VLOOKUP("Kütuste tarbimine @ 2030 - UTTEGAAS",'VK-Elekter'!$C:$X,2+$D102,FALSE)/0.172)*0.52-VLOOKUP("Kütuste tarbimine @ 2030 - PÕLEVKIVIÕLI",'VK-Hooned-Soojus'!$C:$X,2+$C102,FALSE))</f>
        <v>4.6837209302325586</v>
      </c>
      <c r="AV102" s="209">
        <f>IF(AV$7="X",VLOOKUP(AV$10,'VK-Hooned-Soojus'!$C:$X,2+$C102,FALSE),0)+IF(AV$6="X",VLOOKUP(AV$10,'VK-Transport'!$C:$X,2+$B102,0))+IF(AV$8="X",VLOOKUP(AV$10,'VK-Elekter'!$C:$X,2+$D102,0))+IF(AV$9="X",VLOOKUP(AV$10,'VK-Biokütused'!$C:$U,2+$E102,0))+IF(AV$5="X",VLOOKUP(AV$10,'VK-Põlevkivi'!$C:$X,2+$G102,0))+IF(AV$4="X",VLOOKUP(AV$10,'VK-Võrgud'!$C:$X,2+$F102,0))</f>
        <v>2.1219844082566364</v>
      </c>
      <c r="AW102" s="209">
        <f>IF(AW$7="X",VLOOKUP(AW$10,'VK-Hooned-Soojus'!$C:$X,2+$C102,FALSE),0)+IF(AW$6="X",VLOOKUP(AW$10,'VK-Transport'!$C:$X,2+$B102,0))+IF(AW$8="X",VLOOKUP(AW$10,'VK-Elekter'!$C:$X,2+$D102,0))+IF(AW$9="X",VLOOKUP(AW$10,'VK-Biokütused'!$C:$U,2+$E102,0))+IF(AW$5="X",VLOOKUP(AW$10,'VK-Põlevkivi'!$C:$X,2+$G102,0))+IF(AW$4="X",VLOOKUP(AW$10,'VK-Võrgud'!$C:$X,2+$F102,0))</f>
        <v>2.141</v>
      </c>
      <c r="AX102" s="229">
        <f t="shared" si="62"/>
        <v>1.9015591743363647E-2</v>
      </c>
      <c r="AY102" s="229">
        <f t="shared" si="63"/>
        <v>0</v>
      </c>
      <c r="AZ102" s="230">
        <f t="shared" si="48"/>
        <v>0.52073880263271421</v>
      </c>
      <c r="BA102" s="209">
        <f>IF(BA$7="X",VLOOKUP(BA$10,'VK-Hooned-Soojus'!$C:$X,2+$C102,FALSE),0)+IF(BA$6="X",VLOOKUP(BA$10,'VK-Transport'!$C:$X,2+$B102,0))+IF(BA$8="X",VLOOKUP(BA$10,'VK-Elekter'!$C:$X,2+$D102,0))+IF(BA$9="X",VLOOKUP(BA$10,'VK-Biokütused'!$C:$U,2+$E102,0))+IF(BA$5="X",VLOOKUP(BA$10,'VK-Põlevkivi'!$C:$X,2+$G102,0))+IF(BA$4="X",VLOOKUP(BA$10,'VK-Võrgud'!$C:$X,2+$F102,0))</f>
        <v>4.25</v>
      </c>
      <c r="BB102" s="209">
        <f>IF(BB$7="X",VLOOKUP(BB$10,'VK-Hooned-Soojus'!$C:$X,2+$C102,FALSE),0)+IF(BB$6="X",VLOOKUP(BB$10,'VK-Transport'!$C:$X,2+$B102,0))+IF(BB$8="X",VLOOKUP(BB$10,'VK-Elekter'!$C:$X,2+$D102,0))+IF(BB$9="X",VLOOKUP(BB$10,'VK-Biokütused'!$C:$U,2+$E102,0))+IF(BB$5="X",VLOOKUP(BB$10,'VK-Põlevkivi'!$C:$X,2+$G102,0))+IF(BB$4="X",VLOOKUP(BB$10,'VK-Võrgud'!$C:$X,2+$F102,0))</f>
        <v>2.93</v>
      </c>
      <c r="BC102" s="209">
        <f>IF(BC$7="X",VLOOKUP(BC$10,'VK-Hooned-Soojus'!$C:$X,2+$C102,FALSE),0)+IF(BC$6="X",VLOOKUP(BC$10,'VK-Transport'!$C:$X,2+$B102,0))+IF(BC$8="X",VLOOKUP(BC$10,'VK-Elekter'!$C:$X,2+$D102,0))+IF(BC$9="X",VLOOKUP(BC$10,'VK-Biokütused'!$C:$U,2+$E102,0))+IF(BC$5="X",VLOOKUP(BC$10,'VK-Põlevkivi'!$C:$X,2+$G102,0))+IF(BC$4="X",VLOOKUP(BC$10,'VK-Võrgud'!$C:$X,2+$F102,0))</f>
        <v>8.0523611111111126</v>
      </c>
      <c r="BD102" s="209">
        <f>IF(BD$7="X",VLOOKUP(BD$10,'VK-Hooned-Soojus'!$C:$X,2+$C102,FALSE),0)+IF(BD$6="X",VLOOKUP(BD$10,'VK-Transport'!$C:$X,2+$B102,0))+IF(BD$8="X",VLOOKUP(BD$10,'VK-Elekter'!$C:$X,2+$D102,0))+IF(BD$9="X",VLOOKUP(BD$10,'VK-Biokütused'!$C:$U,2+$E102,0))+IF(BD$5="X",VLOOKUP(BD$10,'VK-Põlevkivi'!$C:$X,2+$G102,0))+IF(BD$4="X",VLOOKUP(BD$10,'VK-Võrgud'!$C:$X,2+$F102,0))</f>
        <v>10.42138888888889</v>
      </c>
      <c r="BE102" s="230"/>
      <c r="BF102" s="229">
        <f t="shared" si="64"/>
        <v>0.36563130566484103</v>
      </c>
      <c r="BG102" s="209" t="e">
        <f>(IF(BG$7="X",VLOOKUP(BG$10,'VK-Hooned-Soojus'!$C:$X,2+$C102,FALSE),0)+IF(BG$6="X",VLOOKUP(BG$10,'VK-Transport'!$C:$X,2+$B102,0))+IF(BG$8="X",VLOOKUP(BG$10,'VK-Elekter'!$C:$X,2+$D102,0))+IF(BG$9="X",VLOOKUP(BG$10,'VK-Biokütused'!$C:$U,2+$E102,0))+IF(BG$5="X",VLOOKUP(BG$10,'VK-Põlevkivi'!$C:$X,2+$G102,0))+IF(BG$4="X",VLOOKUP(BG$10,'VK-Võrgud'!$C:$X,2+$F102,0)))/20</f>
        <v>#N/A</v>
      </c>
      <c r="BH102" s="209">
        <f>(IF(BH$7="X",VLOOKUP(BH$10,'VK-Hooned-Soojus'!$C:$X,2+$C102,FALSE),0)+IF(BH$6="X",VLOOKUP(BH$10,'VK-Transport'!$C:$X,2+$B102,0))+IF(BH$8="X",VLOOKUP(BH$10,'VK-Elekter'!$C:$X,2+$D102,0))+IF(BH$9="X",VLOOKUP(BH$10,'VK-Biokütused'!$C:$U,2+$E102,0))+IF(BH$5="X",VLOOKUP(BH$10,'VK-Põlevkivi'!$C:$X,2+$G102,0))+IF(BH$4="X",VLOOKUP(BH$10,'VK-Võrgud'!$C:$X,2+$F102,0)))/20</f>
        <v>13.99</v>
      </c>
      <c r="BI102" s="209">
        <f>(IF(BI$7="X",VLOOKUP(BI$10,'VK-Hooned-Soojus'!$C:$X,2+$C102,FALSE),0)+IF(BI$6="X",VLOOKUP(BI$10,'VK-Transport'!$C:$X,2+$B102,0))+IF(BI$8="X",VLOOKUP(BI$10,'VK-Elekter'!$C:$X,2+$D102,0))+IF(BI$9="X",VLOOKUP(BI$10,'VK-Biokütused'!$C:$U,2+$E102,0))+IF(BI$5="X",VLOOKUP(BI$10,'VK-Põlevkivi'!$C:$X,2+$G102,0))+IF(BI$4="X",VLOOKUP(BI$10,'VK-Võrgud'!$C:$X,2+$F102,0)))/16</f>
        <v>17.75</v>
      </c>
      <c r="BJ102" s="209">
        <f>(IF(BJ$7="X",VLOOKUP(BJ$10,'VK-Hooned-Soojus'!$C:$X,2+$C102,FALSE),0)+IF(BJ$6="X",VLOOKUP(BJ$10,'VK-Transport'!$C:$X,2+$B102,0))+IF(BJ$8="X",VLOOKUP(BJ$10,'VK-Elekter'!$C:$X,2+$D102,0))+IF(BJ$9="X",VLOOKUP(BJ$10,'VK-Biokütused'!$C:$U,2+$E102,0))+IF(BJ$5="X",VLOOKUP(BJ$10,'VK-Põlevkivi'!$C:$X,2+$G102,0))+IF(BJ$4="X",VLOOKUP(BJ$10,'VK-Võrgud'!$C:$X,2+$F102,0)))/20</f>
        <v>1.85</v>
      </c>
      <c r="BK102" s="209"/>
      <c r="BL102" s="209"/>
      <c r="BM102" s="209"/>
      <c r="BN102" s="209" t="e">
        <f>(IF(BN$7="X",VLOOKUP(BN$10,'VK-Hooned-Soojus'!$C:$X,2+$C102,FALSE),0)+IF(BN$6="X",VLOOKUP(BN$10,'VK-Transport'!$C:$X,2+$B102,0))+IF(BN$8="X",VLOOKUP(BN$10,'VK-Elekter'!$C:$X,2+$D102,0))+IF(BN$9="X",VLOOKUP(BN$10,'VK-Biokütused'!$C:$U,2+$E102,0))+IF(BN$5="X",VLOOKUP(BN$10,'VK-Põlevkivi'!$C:$X,2+$G102,0))+IF(BN$4="X",VLOOKUP(BN$10,'VK-Võrgud'!$C:$X,2+$F102,0)))/16</f>
        <v>#N/A</v>
      </c>
      <c r="BO102" s="209">
        <f>(IF(BO$7="X",VLOOKUP(BO$10,'VK-Hooned-Soojus'!$C:$X,2+$C102,FALSE),0)+IF(BO$6="X",VLOOKUP(BO$10,'VK-Transport'!$C:$X,2+$B102,0))+IF(BO$8="X",VLOOKUP(BO$10,'VK-Elekter'!$C:$X,2+$D102,0))+IF(BO$9="X",VLOOKUP(BO$10,'VK-Biokütused'!$C:$U,2+$E102,0))+IF(BO$5="X",VLOOKUP(BO$10,'VK-Põlevkivi'!$C:$X,2+$G102,0))+IF(BO$4="X",VLOOKUP(BO$10,'VK-Võrgud'!$C:$X,2+$F102,0)))/16</f>
        <v>322.79374999999999</v>
      </c>
      <c r="BP102" s="209"/>
      <c r="BQ102" s="209">
        <f>(IF(BQ$7="X",VLOOKUP(BQ$10,'VK-Hooned-Soojus'!$C:$X,2+$C102,FALSE),0)+IF(BQ$6="X",VLOOKUP(BQ$10,'VK-Transport'!$C:$X,2+$B102,0))+IF(BQ$8="X",VLOOKUP(BQ$10,'VK-Elekter'!$C:$X,2+$D102,0))+IF(BQ$9="X",VLOOKUP(BQ$10,'VK-Biokütused'!$C:$U,2+$E102,0))+IF(BQ$5="X",VLOOKUP(BQ$10,'VK-Põlevkivi'!$C:$X,2+$G102,0))+IF(BQ$4="X",VLOOKUP(BQ$10,'VK-Võrgud'!$C:$X,2+$F102,0)))/16</f>
        <v>233.20625000000001</v>
      </c>
      <c r="BR102" s="209">
        <f>(IF(BR$7="X",VLOOKUP(BR$10,'VK-Hooned-Soojus'!$C:$X,2+$C102,FALSE),0)+IF(BR$6="X",VLOOKUP(BR$10,'VK-Transport'!$C:$X,2+$B102,0))+IF(BR$8="X",VLOOKUP(BR$10,'VK-Elekter'!$C:$X,2+$D102,0))+IF(BR$9="X",VLOOKUP(BR$10,'VK-Biokütused'!$C:$U,2+$E102,0))+IF(BR$5="X",VLOOKUP(BR$10,'VK-Põlevkivi'!$C:$X,2+$G102,0))+IF(BR$4="X",VLOOKUP(BR$10,'VK-Võrgud'!$C:$X,2+$F102,0)))/16</f>
        <v>74.512500000000003</v>
      </c>
      <c r="BS102" s="209">
        <f>(IF(BS$7="X",VLOOKUP(BS$10,'VK-Hooned-Soojus'!$C:$X,2+$C102,FALSE),0)+IF(BS$6="X",VLOOKUP(BS$10,'VK-Transport'!$C:$X,2+$B102,0))+IF(BS$8="X",VLOOKUP(BS$10,'VK-Elekter'!$C:$X,2+$D102,0))+IF(BS$9="X",VLOOKUP(BS$10,'VK-Biokütused'!$C:$U,2+$E102,0))+IF(BS$5="X",VLOOKUP(BS$10,'VK-Põlevkivi'!$C:$X,2+$G102,0))+IF(BS$4="X",VLOOKUP(BS$10,'VK-Võrgud'!$C:$X,2+$F102,0)))/16</f>
        <v>-21.475000000000001</v>
      </c>
      <c r="BT102" s="209"/>
      <c r="BU102" s="209"/>
      <c r="BV102" s="209">
        <f>(IF(BV$7="X",VLOOKUP(BV$10,'VK-Hooned-Soojus'!$C:$X,2+$C102,FALSE),0)+IF(BV$6="X",VLOOKUP(BV$10,'VK-Transport'!$C:$X,2+$B102,0))+IF(BV$8="X",VLOOKUP(BV$10,'VK-Elekter'!$C:$X,2+$D102,0))+IF(BV$9="X",VLOOKUP(BV$10,'VK-Biokütused'!$C:$U,2+$E102,0))+IF(BV$5="X",VLOOKUP(BV$10,'VK-Põlevkivi'!$C:$X,2+$G102,0))+IF(BV$4="X",VLOOKUP(BV$10,'VK-Võrgud'!$C:$X,2+$F102,0)))/16</f>
        <v>0</v>
      </c>
      <c r="BW102" s="209"/>
      <c r="BX102" s="209">
        <f>(IF(BX$7="X",VLOOKUP(BX$10,'VK-Hooned-Soojus'!$C:$X,2+$C102,FALSE),0)+IF(BX$6="X",VLOOKUP(BX$10,'VK-Transport'!$C:$X,2+$B102,0))+IF(BX$8="X",VLOOKUP(BX$10,'VK-Elekter'!$C:$X,2+$D102,0))+IF(BX$9="X",VLOOKUP(BX$10,'VK-Biokütused'!$C:$U,2+$E102,0))+IF(BX$5="X",VLOOKUP(BX$10,'VK-Põlevkivi'!$C:$X,2+$G102,0))+IF(BX$4="X",VLOOKUP(BX$10,'VK-Võrgud'!$C:$X,2+$F102,0)))/16</f>
        <v>-99.6875</v>
      </c>
      <c r="BY102" s="209"/>
      <c r="BZ102" s="209"/>
      <c r="CA102" s="209" t="e">
        <f>(IF(CA$7="X",VLOOKUP(CA$10,'VK-Hooned-Soojus'!$C:$X,2+$C102,FALSE),0)+IF(CA$6="X",VLOOKUP(CA$10,'VK-Transport'!$C:$X,2+$B102,0))+IF(CA$8="X",VLOOKUP(CA$10,'VK-Elekter'!$C:$X,2+$D102,0))+IF(CA$9="X",VLOOKUP(CA$10,'VK-Biokütused'!$C:$U,2+$E102,0))+IF(CA$5="X",VLOOKUP(CA$10,'VK-Põlevkivi'!$C:$X,2+$G102,0))+IF(CA$4="X",VLOOKUP(CA$10,'VK-Võrgud'!$C:$X,2+$F102,0)))/16</f>
        <v>#N/A</v>
      </c>
      <c r="CB102" s="209">
        <f>(IF(CB$7="X",VLOOKUP(CB$10,'VK-Hooned-Soojus'!$C:$X,2+$C102,FALSE),0)+IF(CB$6="X",VLOOKUP(CB$10,'VK-Transport'!$C:$X,2+$B102,0))+IF(CB$8="X",VLOOKUP(CB$10,'VK-Elekter'!$C:$X,2+$D102,0))+IF(CB$9="X",VLOOKUP(CB$10,'VK-Biokütused'!$C:$U,2+$E102,0))+IF(CB$5="X",VLOOKUP(CB$10,'VK-Põlevkivi'!$C:$X,2+$G102,0))+IF(CB$4="X",VLOOKUP(CB$10,'VK-Võrgud'!$C:$X,2+$F102,0)))/16</f>
        <v>0</v>
      </c>
      <c r="CC102" s="209">
        <f>(IF(CC$7="X",VLOOKUP(CC$10,'VK-Hooned-Soojus'!$C:$X,2+$C102,FALSE),0)+IF(CC$6="X",VLOOKUP(CC$10,'VK-Transport'!$C:$X,2+$B102,0))+IF(CC$8="X",VLOOKUP(CC$10,'VK-Elekter'!$C:$X,2+$D102,0))+IF(CC$9="X",VLOOKUP(CC$10,'VK-Biokütused'!$C:$U,2+$E102,0))+IF(CC$5="X",VLOOKUP(CC$10,'VK-Põlevkivi'!$C:$X,2+$G102,0))+IF(CC$4="X",VLOOKUP(CC$10,'VK-Võrgud'!$C:$X,2+$F102,0)))/16</f>
        <v>0</v>
      </c>
      <c r="CD102" s="209"/>
      <c r="CE102" s="209">
        <f>(IF(CE$7="X",VLOOKUP(CE$10,'VK-Hooned-Soojus'!$C:$X,2+$C102,FALSE),0)+IF(CE$6="X",VLOOKUP(CE$10,'VK-Transport'!$C:$X,2+$B102,0))+IF(CE$8="X",VLOOKUP(CE$10,'VK-Elekter'!$C:$X,2+$D102,0))+IF(CE$9="X",VLOOKUP(CE$10,'VK-Biokütused'!$C:$U,2+$E102,0))+IF(CE$5="X",VLOOKUP(CE$10,'VK-Põlevkivi'!$C:$X,2+$G102,0))+IF(CE$4="X",VLOOKUP(CE$10,'VK-Võrgud'!$C:$X,2+$F102,0)))/16</f>
        <v>24.15625</v>
      </c>
      <c r="CF102" s="209"/>
      <c r="CG102" s="209">
        <f>(IF(CG$7="X",VLOOKUP(CG$10,'VK-Hooned-Soojus'!$C:$X,2+$C102,FALSE),0)+IF(CG$6="X",VLOOKUP(CG$10,'VK-Transport'!$C:$X,2+$B102,0))+IF(CG$8="X",VLOOKUP(CG$10,'VK-Elekter'!$C:$X,2+$D102,0))+IF(CG$9="X",VLOOKUP(CG$10,'VK-Biokütused'!$C:$U,2+$E102,0))+IF(CG$5="X",VLOOKUP(CG$10,'VK-Põlevkivi'!$C:$X,2+$G102,0))+IF(CG$4="X",VLOOKUP(CG$10,'VK-Võrgud'!$C:$X,2+$F102,0)))/16</f>
        <v>0</v>
      </c>
      <c r="CH102" s="209">
        <f>(IF(CH$7="X",VLOOKUP(CH$10,'VK-Hooned-Soojus'!$C:$X,2+$C102,FALSE),0)+IF(CH$6="X",VLOOKUP(CH$10,'VK-Transport'!$C:$X,2+$B102,0))+IF(CH$8="X",VLOOKUP(CH$10,'VK-Elekter'!$C:$X,2+$D102,0))+IF(CH$9="X",VLOOKUP(CH$10,'VK-Biokütused'!$C:$U,2+$E102,0))+IF(CH$5="X",VLOOKUP(CH$10,'VK-Põlevkivi'!$C:$X,2+$G102,0))+IF(CH$4="X",VLOOKUP(CH$10,'VK-Võrgud'!$C:$X,2+$F102,0)))/20*0.21</f>
        <v>5.6122500000000004</v>
      </c>
      <c r="CI102" s="209"/>
      <c r="CJ102" s="209">
        <f>(IF(CJ$7="X",VLOOKUP(CJ$10,'VK-Hooned-Soojus'!$C:$X,2+$C102,FALSE),0)+IF(CJ$6="X",VLOOKUP(CJ$10,'VK-Transport'!$C:$X,2+$B102,0))+IF(CJ$8="X",VLOOKUP(CJ$10,'VK-Elekter'!$C:$X,2+$D102,0))+IF(CJ$9="X",VLOOKUP(CJ$10,'VK-Biokütused'!$C:$U,2+$E102,0))+IF(CJ$5="X",VLOOKUP(CJ$10,'VK-Põlevkivi'!$C:$X,2+$G102,0))+IF(CJ$4="X",VLOOKUP(CJ$10,'VK-Võrgud'!$C:$X,2+$F102,0)))/1000</f>
        <v>18.081</v>
      </c>
      <c r="CK102" s="209">
        <f>(IF(CK$7="X",VLOOKUP(CK$10,'VK-Hooned-Soojus'!$C:$X,2+$C102,FALSE),0)+IF(CK$6="X",VLOOKUP(CK$10,'VK-Transport'!$C:$X,2+$B102,0))+IF(CK$8="X",VLOOKUP(CK$10,'VK-Elekter'!$C:$X,2+$D102,0))+IF(CK$9="X",VLOOKUP(CK$10,'VK-Biokütused'!$C:$U,2+$E102,0))+IF(CK$5="X",VLOOKUP(CK$10,'VK-Põlevkivi'!$C:$X,2+$G102,0))+IF(CK$4="X",VLOOKUP(CK$10,'VK-Võrgud'!$C:$X,2+$F102,0)))/1000</f>
        <v>12.802496548433506</v>
      </c>
      <c r="CL102" s="235">
        <f>(IF(CL$7="X",VLOOKUP(CL$10,'VK-Hooned-Soojus'!$C:$X,2+$C102,FALSE),0)+IF(CL$6="X",VLOOKUP(CL$10,'VK-Transport'!$C:$X,2+$B102,0))+IF(CL$8="X",VLOOKUP(CL$10,'VK-Elekter'!$C:$X,2+$D102,0))+IF(CL$9="X",VLOOKUP(CL$10,'VK-Biokütused'!$C:$U,2+$E102,0)))/1000</f>
        <v>7.90663031159868</v>
      </c>
      <c r="CM102" s="209">
        <f>(IF(CM$7="X",VLOOKUP(CM$10,'VK-Hooned-Soojus'!$C:$X,2+$C102,FALSE),0)+IF(CM$6="X",VLOOKUP(CM$10,'VK-Transport'!$C:$X,2+$B102,0))+IF(CM$8="X",VLOOKUP(CM$10,'VK-Elekter'!$C:$X,2+$D102,0))+IF(CM$9="X",VLOOKUP(CM$10,'VK-Biokütused'!$C:$U,2+$E102,0))+IF(CM$5="X",VLOOKUP(CM$10,'VK-Põlevkivi'!$C:$X,2+$G102,0))+IF(CM$4="X",VLOOKUP(CM$10,'VK-Võrgud'!$C:$X,2+$F102,0)))/1000</f>
        <v>8.5060000000000002</v>
      </c>
      <c r="CN102" s="209">
        <f>(IF(CN$7="X",VLOOKUP(CN$10,'VK-Hooned-Soojus'!$C:$X,2+$C102,FALSE),0)+IF(CN$6="X",VLOOKUP(CN$10,'VK-Transport'!$C:$X,2+$B102,0))+IF(CN$8="X",VLOOKUP(CN$10,'VK-Elekter'!$C:$X,2+$D102,0))+IF(CN$9="X",VLOOKUP(CN$10,'VK-Biokütused'!$C:$U,2+$E102,0))+IF(CN$5="X",VLOOKUP(CN$10,'VK-Põlevkivi'!$C:$X,2+$G102,0))+IF(CN$4="X",VLOOKUP(CN$10,'VK-Võrgud'!$C:$X,2+$F102,0)))/1000</f>
        <v>3.0510000000000002</v>
      </c>
      <c r="CO102" s="209">
        <f>(IF(CO$7="X",VLOOKUP(CO$10,'VK-Hooned-Soojus'!$C:$X,2+$C102,FALSE),0)+IF(CO$6="X",VLOOKUP(CO$10,'VK-Transport'!$C:$X,2+$B102,0))+IF(CO$8="X",VLOOKUP(CO$10,'VK-Elekter'!$C:$X,2+$D102,0))+IF(CO$9="X",VLOOKUP(CO$10,'VK-Biokütused'!$C:$U,2+$E102,0))+IF(CO$5="X",VLOOKUP(CO$10,'VK-Põlevkivi'!$C:$X,2+$G102,0))+IF(CO$4="X",VLOOKUP(CO$10,'VK-Võrgud'!$C:$X,2+$F102,0)))/1000</f>
        <v>24.109362337356995</v>
      </c>
      <c r="CP102" s="209">
        <f>(IF(CP$7="X",VLOOKUP(CP$10,'VK-Hooned-Soojus'!$C:$X,2+$C102,FALSE),0)+IF(CP$6="X",VLOOKUP(CP$10,'VK-Transport'!$C:$X,2+$B102,0))+IF(CP$8="X",VLOOKUP(CP$10,'VK-Elekter'!$C:$X,2+$D102,0))+IF(CP$9="X",VLOOKUP(CP$10,'VK-Biokütused'!$C:$U,2+$E102,0))+IF(CP$5="X",VLOOKUP(CP$10,'VK-Põlevkivi'!$C:$X,2+$G102,0))+IF(CP$4="X",VLOOKUP(CP$10,'VK-Võrgud'!$C:$X,2+$F102,0)))/1000</f>
        <v>13.823392120693661</v>
      </c>
      <c r="CQ102" s="235">
        <f>(IF(CQ$7="X",VLOOKUP(CQ$10,'VK-Hooned-Soojus'!$C:$X,2+$C102,FALSE),0)+IF(CQ$6="X",VLOOKUP(CQ$10,'VK-Transport'!$C:$X,2+$B102,0))+IF(CQ$8="X",VLOOKUP(CQ$10,'VK-Elekter'!$C:$X,2+$D102,0))+IF(CQ$9="X",VLOOKUP(CQ$10,'VK-Biokütused'!$C:$U,2+$E102,0)))/1000</f>
        <v>10.519919</v>
      </c>
      <c r="CR102" s="209">
        <f>(IF(CR$7="X",VLOOKUP(CR$10,'VK-Hooned-Soojus'!$C:$X,2+$C102,FALSE),0)+IF(CR$6="X",VLOOKUP(CR$10,'VK-Transport'!$C:$X,2+$B102,0))+IF(CR$8="X",VLOOKUP(CR$10,'VK-Elekter'!$C:$X,2+$D102,0))+IF(CR$9="X",VLOOKUP(CR$10,'VK-Biokütused'!$C:$U,2+$E102,0))+IF(CR$5="X",VLOOKUP(CR$10,'VK-Põlevkivi'!$C:$X,2+$G102,0))+IF(CR$4="X",VLOOKUP(CR$10,'VK-Võrgud'!$C:$X,2+$F102,0)))/1000</f>
        <v>8.0717518373996899</v>
      </c>
      <c r="CS102" s="209">
        <f>(IF(CS$7="X",VLOOKUP(CS$10,'VK-Hooned-Soojus'!$C:$X,2+$C102,FALSE),0)+IF(CS$6="X",VLOOKUP(CS$10,'VK-Transport'!$C:$X,2+$B102,0))+IF(CS$8="X",VLOOKUP(CS$10,'VK-Elekter'!$C:$X,2+$D102,0))+IF(CS$9="X",VLOOKUP(CS$10,'VK-Biokütused'!$C:$U,2+$E102,0))+IF(CS$5="X",VLOOKUP(CS$10,'VK-Põlevkivi'!$C:$X,2+$G102,0))+IF(CS$4="X",VLOOKUP(CS$10,'VK-Võrgud'!$C:$X,2+$F102,0)))/1000</f>
        <v>3.838649509862238</v>
      </c>
      <c r="CT102" s="209">
        <f>IF(CT$7="X",VLOOKUP(CT$10,'VK-Hooned-Soojus'!$C:$X,2+$C102,FALSE),0)+IF(CT$6="X",VLOOKUP(CT$10,'VK-Transport'!$C:$X,2+$B102,0))+IF(CT$8="X",VLOOKUP(CT$10,'VK-Elekter'!$C:$X,2+$D102,0))+IF(CT$9="X",VLOOKUP(CT$10,'VK-Biokütused'!$C:$U,2+$E102,0))+IF(CT$5="X",VLOOKUP(CT$10,'VK-Põlevkivi'!$C:$X,2+$G102,0))+IF(CT$4="X",VLOOKUP(CT$10,'VK-Võrgud'!$C:$X,2+$F102,0))</f>
        <v>90</v>
      </c>
      <c r="CU102" s="209">
        <f>IF(CU$7="X",VLOOKUP(CU$10,'VK-Hooned-Soojus'!$C:$X,2+$C102,FALSE),0)+IF(CU$6="X",VLOOKUP(CU$10,'VK-Transport'!$C:$X,2+$B102,0))+IF(CU$8="X",VLOOKUP(CU$10,'VK-Elekter'!$C:$X,2+$D102,0))+IF(CU$9="X",VLOOKUP(CU$10,'VK-Biokütused'!$C:$U,2+$E102,0))+IF(CU$5="X",VLOOKUP(CU$10,'VK-Põlevkivi'!$C:$X,2+$G102,0))+IF(CU$4="X",VLOOKUP(CU$10,'VK-Võrgud'!$C:$X,2+$F102,0))</f>
        <v>0.72088353413654627</v>
      </c>
      <c r="CV102" s="209">
        <f t="shared" si="49"/>
        <v>0.72887234460741657</v>
      </c>
      <c r="CW102" s="209">
        <f>(IF(CW$7="X",VLOOKUP(CW$10,'VK-Hooned-Soojus'!$C:$X,2+$C102,FALSE),0)+IF(CW$6="X",VLOOKUP(CW$10,'VK-Transport'!$C:$X,2+$B102,0))+IF(CW$8="X",VLOOKUP(CW$10,'VK-Elekter'!$C:$X,2+$D102,0))+IF(CW$9="X",VLOOKUP(CW$10,'VK-Biokütused'!$C:$U,2+$E102,0))+IF(CW$5="X",VLOOKUP(CW$10,'VK-Põlevkivi'!$C:$X,2+$G102,0))+IF(CW$4="X",VLOOKUP(CW$10,'VK-Võrgud'!$C:$X,2+$F102,0)))/16</f>
        <v>59.743749999999999</v>
      </c>
      <c r="CY102" s="209">
        <f>(IF(CY$7="X",VLOOKUP(CY$10,'VK-Hooned-Soojus'!$C:$X,2+$C102,FALSE),0)+IF(CY$6="X",VLOOKUP(CY$10,'VK-Transport'!$C:$X,2+$B102,0))+IF(CY$8="X",VLOOKUP(CY$10,'VK-Elekter'!$C:$X,2+$D102,0))+IF(CY$9="X",VLOOKUP(CY$10,'VK-Biokütused'!$C:$U,2+$E102,0))+IF(CY$5="X",VLOOKUP(CY$10,'VK-Põlevkivi'!$C:$X,2+$G102,0))+IF(CY$4="X",VLOOKUP(CY$10,'VK-Võrgud'!$C:$X,2+$F102,0)))/1000</f>
        <v>10.46</v>
      </c>
      <c r="CZ102" s="209">
        <f>(IF(CZ$7="X",VLOOKUP(CZ$10,'VK-Hooned-Soojus'!$C:$X,2+$C102,FALSE),0)+IF(CZ$6="X",VLOOKUP(CZ$10,'VK-Transport'!$C:$X,2+$B102,0))+IF(CZ$8="X",VLOOKUP(CZ$10,'VK-Elekter'!$C:$X,2+$D102,0))+IF(CZ$9="X",VLOOKUP(CZ$10,'VK-Biokütused'!$C:$U,2+$E102,0))+IF(CZ$5="X",VLOOKUP(CZ$10,'VK-Põlevkivi'!$C:$X,2+$G102,0))+IF(CZ$4="X",VLOOKUP(CZ$10,'VK-Võrgud'!$C:$X,2+$F102,0)))</f>
        <v>71.400000000000006</v>
      </c>
      <c r="DA102" s="209">
        <f>(IF(DA$7="X",VLOOKUP(DA$10,'VK-Hooned-Soojus'!$C:$X,2+$C102,FALSE),0)+IF(DA$6="X",VLOOKUP(DA$10,'VK-Transport'!$C:$X,2+$B102,0))+IF(DA$8="X",VLOOKUP(DA$10,'VK-Elekter'!$C:$X,2+$D102,0))+IF(DA$9="X",VLOOKUP(DA$10,'VK-Biokütused'!$C:$U,2+$E102,0))+IF(DA$5="X",VLOOKUP(DA$10,'VK-Põlevkivi'!$C:$X,2+$G102,0))+IF(DA$4="X",VLOOKUP(DA$10,'VK-Võrgud'!$C:$X,2+$F102,0)))/1000</f>
        <v>13.813000000000001</v>
      </c>
      <c r="DB102" s="209">
        <f>(IF(DB$7="X",VLOOKUP(DB$10,'VK-Hooned-Soojus'!$C:$X,2+$C102,FALSE),0)+IF(DB$6="X",VLOOKUP(DB$10,'VK-Transport'!$C:$X,2+$B102,0))+IF(DB$8="X",VLOOKUP(DB$10,'VK-Elekter'!$C:$X,2+$D102,0))+IF(DB$9="X",VLOOKUP(DB$10,'VK-Biokütused'!$C:$U,2+$E102,0))+IF(DB$5="X",VLOOKUP(DB$10,'VK-Põlevkivi'!$C:$X,2+$G102,0))+IF(DB$4="X",VLOOKUP(DB$10,'VK-Võrgud'!$C:$X,2+$F102,0)))/1000/3.6</f>
        <v>62.196666666666658</v>
      </c>
      <c r="DC102" s="209">
        <f>(IF(DC$7="X",VLOOKUP(DC$10,'VK-Hooned-Soojus'!$C:$X,2+$C102,FALSE),0)+IF(DC$6="X",VLOOKUP(DC$10,'VK-Transport'!$C:$X,2+$B102,0))+IF(DC$8="X",VLOOKUP(DC$10,'VK-Elekter'!$C:$X,2+$D102,0))+IF(DC$9="X",VLOOKUP(DC$10,'VK-Biokütused'!$C:$U,2+$E102,0))+IF(DC$5="X",VLOOKUP(DC$10,'VK-Põlevkivi'!$C:$X,2+$G102,0))+IF(DC$4="X",VLOOKUP(DC$10,'VK-Võrgud'!$C:$X,2+$F102,0)))/1000000</f>
        <v>4.981058</v>
      </c>
      <c r="DD102" s="209"/>
      <c r="DE102" s="88">
        <f>VLOOKUP(Tulemused!$BN$12,data!M$7:N$12,2,FALSE)-SUM(L102,M102)</f>
        <v>-0.80250937302436398</v>
      </c>
      <c r="DF102" s="209" t="str">
        <f>IF(AZ102&lt;=VLOOKUP(Tulemused!$BN$15,data!$E$36:$F$39,2,FALSE),"JAH","EI")</f>
        <v>JAH</v>
      </c>
      <c r="DG102" s="209"/>
      <c r="DH102" s="209">
        <f t="shared" si="50"/>
        <v>6.78</v>
      </c>
      <c r="DI102" s="231" t="str">
        <f t="shared" si="65"/>
        <v>EI</v>
      </c>
      <c r="DK102" s="232">
        <f t="shared" si="51"/>
        <v>-994.64112268569193</v>
      </c>
      <c r="DM102" s="233">
        <f t="shared" si="52"/>
        <v>-996.26545560538932</v>
      </c>
      <c r="DN102" s="87">
        <f t="array" ref="DN102">INDEX($A$11:$A$145, SMALL(IF(DM102=$DK$11:$DK$145, MATCH(ROW($DK$11:$DK$145), ROW($DK$11:$DK$145))), SUM(--(DM102=$DM$11:DM102))))</f>
        <v>53</v>
      </c>
      <c r="DP102" s="87" t="e">
        <f t="shared" ca="1" si="66"/>
        <v>#N/A</v>
      </c>
      <c r="DQ102" s="87" t="e">
        <f t="shared" ca="1" si="67"/>
        <v>#N/A</v>
      </c>
      <c r="DR102" s="87">
        <f t="shared" ca="1" si="68"/>
        <v>0</v>
      </c>
      <c r="DS102" s="87" t="e">
        <f t="shared" ca="1" si="69"/>
        <v>#N/A</v>
      </c>
      <c r="DT102" s="87">
        <f t="shared" ca="1" si="70"/>
        <v>0</v>
      </c>
      <c r="DU102" s="87" t="e">
        <f t="shared" ca="1" si="71"/>
        <v>#N/A</v>
      </c>
      <c r="DV102" s="87" t="e">
        <f t="shared" ca="1" si="72"/>
        <v>#N/A</v>
      </c>
      <c r="DW102" s="87">
        <f t="shared" ca="1" si="73"/>
        <v>0</v>
      </c>
      <c r="DX102" s="87">
        <f t="shared" ca="1" si="74"/>
        <v>0</v>
      </c>
      <c r="DZ102" s="87">
        <f t="shared" ca="1" si="82"/>
        <v>0</v>
      </c>
      <c r="EB102" s="87">
        <f t="shared" ca="1" si="75"/>
        <v>0</v>
      </c>
      <c r="EC102" s="87" t="e">
        <f t="shared" ca="1" si="76"/>
        <v>#N/A</v>
      </c>
      <c r="EE102" s="228">
        <f>(IF(EE$7="X",VLOOKUP(EE$10,'VK-Hooned-Soojus'!$C:$X,2+$C102,FALSE),0)+IF(EE$6="X",VLOOKUP(EE$10,'VK-Transport'!$C:$X,2+$B102,0))+IF(EE$8="X",VLOOKUP(EE$10,'VK-Elekter'!$C:$X,2+$D102,0))+IF(EE$9="X",VLOOKUP(EE$10,'VK-Biokütused'!$C:$U,2+$E102,0))+IF(EE$5="X",VLOOKUP(EE$10,'VK-Põlevkivi'!$C:$X,2+$G102,0))+IF(EE$4="X",VLOOKUP(EE$10,'VK-Võrgud'!$C:$X,2+$F102,0)))</f>
        <v>6709.091261139687</v>
      </c>
      <c r="EF102" s="235">
        <f>(IF(EF$7="X",VLOOKUP(EF$10,'VK-Hooned-Soojus'!$C:$X,2+$C102,FALSE),0)+IF(EF$6="X",VLOOKUP(EF$10,'VK-Transport'!$C:$X,2+$B102,0))+IF(EF$8="X",VLOOKUP(EF$10,'VK-Elekter'!$C:$X,2+$D102,0))+IF(EF$9="X",VLOOKUP(EF$10,'VK-Biokütused'!$C:$U,2+$E102,0)))/1000</f>
        <v>3.9978849906373197</v>
      </c>
      <c r="EG102" s="209">
        <f>(IF(EG$7="X",VLOOKUP(EG$10,'VK-Hooned-Soojus'!$C:$X,2+$C102,FALSE),0)+IF(EG$6="X",VLOOKUP(EG$10,'VK-Transport'!$C:$X,2+$B102,0))+IF(EG$8="X",VLOOKUP(EG$10,'VK-Elekter'!$C:$X,2+$D102,0))+IF(EG$9="X",VLOOKUP(EG$10,'VK-Biokütused'!$C:$U,2+$E102,0))+IF(EG$5="X",VLOOKUP(EG$10,'VK-Põlevkivi'!$C:$X,2+$G102,0))+IF(EG$4="X",VLOOKUP(EG$10,'VK-Võrgud'!$C:$X,2+$F102,0)))</f>
        <v>0.81</v>
      </c>
      <c r="EH102" s="209">
        <f>(IF(EH$7="X",VLOOKUP(EH$10,'VK-Hooned-Soojus'!$C:$X,2+$C102,FALSE),0)+IF(EH$6="X",VLOOKUP(EH$10,'VK-Transport'!$C:$X,2+$B102,0))+IF(EH$8="X",VLOOKUP(EH$10,'VK-Elekter'!$C:$X,2+$D102,0))+IF(EH$9="X",VLOOKUP(EH$10,'VK-Biokütused'!$C:$U,2+$E102,0)))+AR102+AS102+AU102+AX102</f>
        <v>52.105637038771782</v>
      </c>
      <c r="EI102" s="320">
        <f t="shared" si="53"/>
        <v>47.40290051679586</v>
      </c>
      <c r="EJ102" s="322">
        <f t="shared" si="54"/>
        <v>2.3132392489112068E-2</v>
      </c>
      <c r="EK102" s="323">
        <f t="shared" si="77"/>
        <v>0.4418964743705141</v>
      </c>
      <c r="EM102" s="209"/>
      <c r="EN102" s="209">
        <f t="shared" ca="1" si="55"/>
        <v>0</v>
      </c>
      <c r="EO102" s="209"/>
      <c r="EP102" s="234"/>
      <c r="EQ102" s="209">
        <f>(IF(EQ$7="X",VLOOKUP(EQ$10,'VK-Hooned-Soojus'!$C:$X,2+$C102,FALSE),0)+IF(EQ$6="X",VLOOKUP(EQ$10,'VK-Transport'!$C:$X,2+$B102,0))+IF(EQ$8="X",VLOOKUP(EQ$10,'VK-Elekter'!$C:$X,2+$D102,0))+IF(EQ$9="X",VLOOKUP(EQ$10,'VK-Biokütused'!$C:$U,2+$E102,0))+IF(EQ$5="X",VLOOKUP(EQ$10,'VK-Põlevkivi'!$C:$X,2+$G102,0))+IF(EQ$4="X",VLOOKUP(EQ$10,'VK-Võrgud'!$C:$X,2+$F102,0)))/1000</f>
        <v>0.22900000000000001</v>
      </c>
      <c r="ER102" s="209">
        <f>(IF(ER$7="X",VLOOKUP(ER$10,'VK-Hooned-Soojus'!$C:$X,2+$C102,FALSE),0)+IF(ER$6="X",VLOOKUP(ER$10,'VK-Transport'!$C:$X,2+$B102,0))+IF(ER$8="X",VLOOKUP(ER$10,'VK-Elekter'!$C:$X,2+$D102,0))+IF(ER$9="X",VLOOKUP(ER$10,'VK-Biokütused'!$C:$U,2+$E102,0))+IF(ER$5="X",VLOOKUP(ER$10,'VK-Põlevkivi'!$C:$X,2+$G102,0))+IF(ER$4="X",VLOOKUP(ER$10,'VK-Võrgud'!$C:$X,2+$F102,0)))</f>
        <v>0.82899999999999996</v>
      </c>
      <c r="ES102" s="209">
        <f>(IF(ES$7="X",VLOOKUP(ES$10,'VK-Hooned-Soojus'!$C:$X,2+$C102,FALSE),0)+IF(ES$6="X",VLOOKUP(ES$10,'VK-Transport'!$C:$X,2+$B102,0))+IF(ES$8="X",VLOOKUP(ES$10,'VK-Elekter'!$C:$X,2+$D102,0))+IF(ES$9="X",VLOOKUP(ES$10,'VK-Biokütused'!$C:$U,2+$E102,0))+IF(ES$5="X",VLOOKUP(ES$10,'VK-Põlevkivi'!$C:$X,2+$G102,0))+IF(ES$4="X",VLOOKUP(ES$10,'VK-Võrgud'!$C:$X,2+$F102,0)))</f>
        <v>6.78</v>
      </c>
      <c r="ET102" s="209"/>
      <c r="EU102" s="209"/>
      <c r="EV102" s="87">
        <f>'KSH järjestus'!AS95</f>
        <v>1495</v>
      </c>
      <c r="EX102" s="236"/>
      <c r="EY102" s="236"/>
      <c r="EZ102" s="237">
        <f t="shared" si="56"/>
        <v>0.27911646586345373</v>
      </c>
      <c r="FA102" s="209">
        <f>IF(FA$7="X",VLOOKUP(FA$10,'VK-Hooned-Soojus'!$C:$X,2+$C102,FALSE),0)+IF(FA$6="X",VLOOKUP(FA$10,'VK-Transport'!$C:$X,2+$B102,0))+IF(FA$8="X",VLOOKUP(FA$10,'VK-Elekter'!$C:$X,2+$D102,0))+IF(FA$9="X",VLOOKUP(FA$10,'VK-Biokütused'!$C:$U,2+$E102,0))+IF(FA$5="X",VLOOKUP(FA$10,'VK-Põlevkivi'!$C:$X,2+$G102,0))+IF(FA$4="X",VLOOKUP(FA$10,'VK-Võrgud'!$C:$X,2+$F102,0))</f>
        <v>3026.9189999999999</v>
      </c>
      <c r="FB102" s="279">
        <f>(IF(FB$7="X",VLOOKUP(FB$10,'VK-Hooned-Soojus'!$C:$X,2+$C102,FALSE),0)+IF(FB$6="X",VLOOKUP(FB$10,'VK-Transport'!$C:$X,2+$B102,0))+IF(FB$8="X",VLOOKUP(FB$10,'VK-Elekter'!$C:$X,2+$D102,0))+IF(FB$9="X",VLOOKUP(FB$10,'VK-Biokütused'!$C:$U,2+$E102,0))+IF(FB$5="X",VLOOKUP(FB$10,'VK-Põlevkivi'!$C:$X,2+$G102,0))+IF(FB$4="X",VLOOKUP(FB$10,'VK-Võrgud'!$C:$X,2+$F102,0)))/16</f>
        <v>396.94042729127631</v>
      </c>
      <c r="FC102" s="209">
        <f>IF(FC$7="X",VLOOKUP(FC$10,'VK-Hooned-Soojus'!$C:$X,2+$C102,FALSE),0)+IF(FC$6="X",VLOOKUP(FC$10,'VK-Transport'!$C:$X,2+$B102,0))+IF(FC$8="X",VLOOKUP(FC$10,'VK-Elekter'!$C:$X,2+$D102,0))+IF(FC$9="X",VLOOKUP(FC$10,'VK-Biokütused'!$C:$U,2+$E102,0))+IF(FC$5="X",VLOOKUP(FC$10,'VK-Põlevkivi'!$C:$X,2+$G102,0))+IF(FC$4="X",VLOOKUP(FC$10,'VK-Võrgud'!$C:$X,2+$F102,0))</f>
        <v>315.49999999999994</v>
      </c>
      <c r="FD102" s="209">
        <f>(IF(FD$7="X",VLOOKUP(FD$10,'VK-Hooned-Soojus'!$C:$X,2+$C102,FALSE),0)+IF(FD$6="X",VLOOKUP(FD$10,'VK-Transport'!$C:$X,2+$B102,0))+IF(FD$8="X",VLOOKUP(FD$10,'VK-Elekter'!$C:$X,2+$D102,0))+IF(FD$9="X",VLOOKUP(FD$10,'VK-Biokütused'!$C:$U,2+$E102,0))+IF(FD$5="X",VLOOKUP(FD$10,'VK-Põlevkivi'!$C:$X,2+$G102,0))+IF(FD$4="X",VLOOKUP(FD$10,'VK-Võrgud'!$C:$X,2+$F102,0)))/16</f>
        <v>396.94042729127631</v>
      </c>
      <c r="FE102" s="209">
        <f>(IF(FE$7="X",VLOOKUP(FE$10,'VK-Hooned-Soojus'!$C:$X,2+$C102,FALSE),0)+IF(FE$6="X",VLOOKUP(FE$10,'VK-Transport'!$C:$X,2+$B102,0))+IF(FE$8="X",VLOOKUP(FE$10,'VK-Elekter'!$C:$X,2+$D102,0))+IF(FE$9="X",VLOOKUP(FE$10,'VK-Biokütused'!$C:$U,2+$E102,0))+IF(FE$5="X",VLOOKUP(FE$10,'VK-Põlevkivi'!$C:$X,2+$G102,0))+IF(FE$4="X",VLOOKUP(FE$10,'VK-Võrgud'!$C:$X,2+$F102,0)))/16</f>
        <v>-55.7707198806321</v>
      </c>
      <c r="FF102" s="209">
        <f>(IF(FF$7="X",VLOOKUP(FF$10,'VK-Hooned-Soojus'!$C:$X,2+$C102,FALSE),0)+IF(FF$6="X",VLOOKUP(FF$10,'VK-Transport'!$C:$X,2+$B102,0))+IF(FF$8="X",VLOOKUP(FF$10,'VK-Elekter'!$C:$X,2+$D102,0))+IF(FF$9="X",VLOOKUP(FF$10,'VK-Biokütused'!$C:$U,2+$E102,0))+IF(FF$5="X",VLOOKUP(FF$10,'VK-Põlevkivi'!$C:$X,2+$G102,0))+IF(FF$4="X",VLOOKUP(FF$10,'VK-Võrgud'!$C:$X,2+$F102,0)))/16</f>
        <v>172.15904665585217</v>
      </c>
      <c r="FG102" s="88">
        <f t="shared" ca="1" si="78"/>
        <v>116.38832677522007</v>
      </c>
      <c r="FH102" s="88"/>
      <c r="FI102" s="88"/>
      <c r="FJ102" s="88">
        <f>VLOOKUP(Tulemused!$BN$12,data!M$7:N$12,2,FALSE)-SUM(L102,M102)</f>
        <v>-0.80250937302436398</v>
      </c>
      <c r="FK102" s="209" t="str">
        <f>IF(AZ102&lt;=VLOOKUP(Tulemused!$BN$15,data!$E$36:$F$39,2,FALSE),"JAH","EI")</f>
        <v>JAH</v>
      </c>
      <c r="FL102" s="235">
        <f ca="1">IF(ISNA(MATCH($A102,INDIRECT(VLOOKUP(Tulemused!$BF$11,data!$J$57:$M$71,4,FALSE)))),0,MATCH($A102,INDIRECT(VLOOKUP(Tulemused!$BF$11,data!$J$57:$M$71,4,FALSE))))</f>
        <v>0</v>
      </c>
      <c r="FM102" s="235" t="str">
        <f t="shared" ca="1" si="57"/>
        <v>JAH</v>
      </c>
      <c r="FN102" s="209">
        <f>VLOOKUP(Tulemused!$BN$13,data!$C$132:$D$137,2,FALSE)-KOMBI!R102</f>
        <v>4.5255850093626808</v>
      </c>
      <c r="FO102" s="209"/>
      <c r="FP102" s="209">
        <f>VLOOKUP(Tulemused!$BN$17,NO_x,2,FALSE)-CJ102</f>
        <v>11.356999999999999</v>
      </c>
      <c r="FQ102" s="209">
        <f>VLOOKUP(Tulemused!$BN$18,SO_2,2,FALSE)-CK102</f>
        <v>39.081503451566491</v>
      </c>
      <c r="FR102" s="209">
        <f>VLOOKUP(Tulemused!$BN$19,LOU,2,FALSE)-CN102</f>
        <v>34.029000000000003</v>
      </c>
      <c r="FS102" s="209">
        <f>VLOOKUP(Tulemused!$BN$20,PM_2.5,2,FALSE)-CM102</f>
        <v>8.4089999999999989</v>
      </c>
      <c r="FT102" s="209">
        <f>VLOOKUP(Tulemused!$BN$13,data!$C$132:$D$137,2,FALSE)-FA102/1000</f>
        <v>3.2190510000000008</v>
      </c>
      <c r="FU102" s="209">
        <f>VLOOKUP(Tulemused!$BN$17,NO_x,2,FALSE)-CO102</f>
        <v>5.3286376626430041</v>
      </c>
      <c r="FV102" s="209">
        <f>VLOOKUP(Tulemused!$BN$18,SO_2,2,FALSE)-CP102</f>
        <v>38.060607879306339</v>
      </c>
      <c r="FW102" s="209">
        <f>VLOOKUP(Tulemused!$BN$19,LOU,2,FALSE)-CS102</f>
        <v>33.241350490137769</v>
      </c>
      <c r="FX102" s="209">
        <f>VLOOKUP(Tulemused!$BN$20,PM_2.5,2,FALSE)-CR102</f>
        <v>8.8432481626003092</v>
      </c>
      <c r="FY102" s="209">
        <f>VLOOKUP(Tulemused!$BN$14,KHG_2050,2,FALSE)-EF102</f>
        <v>96.002115009362683</v>
      </c>
      <c r="FZ102" s="231" t="str">
        <f t="shared" ca="1" si="79"/>
        <v>EI</v>
      </c>
      <c r="GA102" s="209"/>
      <c r="GB102" s="209"/>
      <c r="GC102" s="209"/>
      <c r="GD102" s="231"/>
      <c r="GE102" s="87">
        <f t="shared" si="58"/>
        <v>1495</v>
      </c>
      <c r="GF102" s="232" t="str">
        <f t="shared" ca="1" si="80"/>
        <v/>
      </c>
      <c r="GH102" s="238" t="e">
        <f t="shared" ca="1" si="59"/>
        <v>#NUM!</v>
      </c>
      <c r="GI102" s="87" t="e">
        <f t="array" aca="1" ref="GI102" ca="1">INDEX($A$11:$A$145, SMALL(IF(GH102=$GF$11:$GF$145, MATCH(ROW($GF$11:$GF$145), ROW($GF$11:$GF$145))), SUM(--(GH102=$GH$11:GH102))))</f>
        <v>#NUM!</v>
      </c>
      <c r="GM102" s="209">
        <f>IF(GM$7="X",VLOOKUP(GM$10,'VK-Hooned-Soojus'!$C:$X,2+$C102,FALSE),0)+IF(GM$6="X",VLOOKUP(GM$10,'VK-Transport'!$C:$X,2+$B102,0))+IF(GM$8="X",VLOOKUP(GM$10,'VK-Elekter'!$C:$X,2+$D102,0))+IF(GM$9="X",VLOOKUP(GM$10,'VK-Biokütused'!$C:$U,2+$E102,0))+IF(GM$5="X",VLOOKUP(GM$10,'VK-Põlevkivi'!$C:$X,2+$G102,0))+IF(GM$4="X",VLOOKUP(GM$10,'VK-Võrgud'!$C:$X,2+$F102,0))</f>
        <v>6.012827991027228</v>
      </c>
      <c r="GN102" s="209">
        <f>IF(GN$7="X",VLOOKUP(GN$10,'VK-Hooned-Soojus'!$C:$X,2+$C102,FALSE),0)+IF(GN$6="X",VLOOKUP(GN$10,'VK-Transport'!$C:$X,2+$B102,0))+IF(GN$8="X",VLOOKUP(GN$10,'VK-Elekter'!$C:$X,2+$D102,0))+IF(GN$9="X",VLOOKUP(GN$10,'VK-Biokütused'!$C:$U,2+$E102,0))+IF(GN$5="X",VLOOKUP(GN$10,'VK-Põlevkivi'!$C:$X,2+$G102,0))+IF(GN$4="X",VLOOKUP(GN$10,'VK-Võrgud'!$C:$X,2+$F102,0))</f>
        <v>3.4467619395011728</v>
      </c>
      <c r="GO102" s="209">
        <f>IF(GO$7="X",VLOOKUP(GO$10,'VK-Hooned-Soojus'!$C:$X,2+$C102,FALSE),0)+IF(GO$6="X",VLOOKUP(GO$10,'VK-Transport'!$C:$X,2+$B102,0))+IF(GO$8="X",VLOOKUP(GO$10,'VK-Elekter'!$C:$X,2+$D102,0))+IF(GO$9="X",VLOOKUP(GO$10,'VK-Biokütused'!$C:$U,2+$E102,0))+IF(GO$5="X",VLOOKUP(GO$10,'VK-Põlevkivi'!$C:$X,2+$G102,0))+IF(GO$4="X",VLOOKUP(GO$10,'VK-Võrgud'!$C:$X,2+$F102,0))</f>
        <v>8.7471755658278116</v>
      </c>
      <c r="GP102" s="209">
        <f>IF(GP$7="X",VLOOKUP(GP$10,'VK-Hooned-Soojus'!$C:$X,2+$C102,FALSE),0)+IF(GP$6="X",VLOOKUP(GP$10,'VK-Transport'!$C:$X,2+$B102,0))+IF(GP$8="X",VLOOKUP(GP$10,'VK-Elekter'!$C:$X,2+$D102,0))+IF(GP$9="X",VLOOKUP(GP$10,'VK-Biokütused'!$C:$U,2+$E102,0))+IF(GP$5="X",VLOOKUP(GP$10,'VK-Põlevkivi'!$C:$X,2+$G102,0))+IF(GP$4="X",VLOOKUP(GP$10,'VK-Võrgud'!$C:$X,2+$F102,0))</f>
        <v>9.3279335818485372</v>
      </c>
      <c r="GQ102" s="88">
        <f>IF(GQ$7="X",VLOOKUP(GQ$10,'VK-Hooned-Soojus'!$C:$X,2+$C102,FALSE),0)+IF(GQ$6="X",VLOOKUP(GQ$10,'VK-Transport'!$C:$X,2+$B102,0))+IF(GQ$8="X",VLOOKUP(GQ$10,'VK-Elekter'!$C:$X,2+$D102,0))+IF(GQ$9="X",VLOOKUP(GQ$10,'VK-Biokütused'!$C:$U,2+$E102,0))+IF(GQ$5="X",VLOOKUP(GQ$10,'VK-Põlevkivi'!$C:$X,2+$G102,0))+IF(GQ$4="X",VLOOKUP(GQ$10,'VK-Võrgud'!$C:$X,2+$F102,0))</f>
        <v>0.89042766952822527</v>
      </c>
      <c r="GR102" s="186">
        <f t="shared" si="81"/>
        <v>0.40627315299312855</v>
      </c>
    </row>
    <row r="103" spans="1:200" x14ac:dyDescent="0.2">
      <c r="A103" s="184">
        <v>93</v>
      </c>
      <c r="B103" s="87">
        <v>3</v>
      </c>
      <c r="C103" s="87">
        <v>1</v>
      </c>
      <c r="D103" s="87">
        <v>1</v>
      </c>
      <c r="E103" s="87">
        <v>3</v>
      </c>
      <c r="F103" s="87">
        <f>VLOOKUP(Tulemused!$BF$7,data!$J$6:$K$8,2,FALSE)</f>
        <v>2</v>
      </c>
      <c r="G103" s="87">
        <f>VLOOKUP(data!$H$2,data!$J$12:$K$14,2,FALSE)</f>
        <v>2</v>
      </c>
      <c r="I103" s="209">
        <f>IF(I$7="X",VLOOKUP(I$10,'VK-Hooned-Soojus'!$C:$X,2+$C103,FALSE),0)+IF(I$6="X",VLOOKUP(I$10,'VK-Transport'!$C:$X,2+$B103,0))+IF(I$8="X",VLOOKUP(I$10,'VK-Elekter'!$C:$X,2+$D103,0))+IF(I$9="X",VLOOKUP(I$10,'VK-Biokütused'!$C:$U,2+$E103,0))+IF(I$5="X",VLOOKUP(I$10,'VK-Põlevkivi'!$C:$X,2+$G103,0))+IF(I$4="X",VLOOKUP(I$10,'VK-Võrgud'!$C:$X,2+$F103,0))</f>
        <v>26.89</v>
      </c>
      <c r="J103" s="209">
        <f>IF(J$7="X",VLOOKUP(J$10,'VK-Hooned-Soojus'!$C:$X,2+$C103,FALSE),0)+IF(J$6="X",VLOOKUP(J$10,'VK-Transport'!$C:$X,2+$B103,0))+IF(J$8="X",VLOOKUP(J$10,'VK-Elekter'!$C:$X,2+$D103,0))+IF(J$9="X",VLOOKUP(J$10,'VK-Biokütused'!$C:$U,2+$E103,0))+IF(J$5="X",VLOOKUP(J$10,'VK-Põlevkivi'!$C:$X,2+$G103,0))+IF(J$4="X",VLOOKUP(J$10,'VK-Võrgud'!$C:$X,2+$F103,0))</f>
        <v>8.1258333333333344</v>
      </c>
      <c r="K103" s="209">
        <f>IF(K$7="X",VLOOKUP(K$10,'VK-Hooned-Soojus'!$C:$X,2+$C103,FALSE),0)+IF(K$6="X",VLOOKUP(K$10,'VK-Transport'!$C:$X,2+$B103,0))+IF(K$8="X",VLOOKUP(K$10,'VK-Elekter'!$C:$X,2+$D103,0))+IF(K$9="X",VLOOKUP(K$10,'VK-Biokütused'!$C:$U,2+$E103,0))+IF(K$5="X",VLOOKUP(K$10,'VK-Põlevkivi'!$C:$X,2+$G103,0))+IF(K$4="X",VLOOKUP(K$10,'VK-Võrgud'!$C:$X,2+$F103,0))</f>
        <v>16.75</v>
      </c>
      <c r="L103" s="209">
        <f>IF(L$7="X",VLOOKUP(L$10,'VK-Hooned-Soojus'!$C:$X,2+$C103,FALSE),0)+IF(L$6="X",VLOOKUP(L$10,'VK-Transport'!$C:$X,2+$B103,0))+IF(L$8="X",VLOOKUP(L$10,'VK-Elekter'!$C:$X,2+$D103,0))+IF(L$9="X",VLOOKUP(L$10,'VK-Biokütused'!$C:$U,2+$E103,0))+IF(L$5="X",VLOOKUP(L$10,'VK-Põlevkivi'!$C:$X,2+$G103,0))+IF(L$4="X",VLOOKUP(L$10,'VK-Võrgud'!$C:$X,2+$F103,0))</f>
        <v>24.95</v>
      </c>
      <c r="M103" s="209">
        <f>IF(M$7="X",VLOOKUP(M$10,'VK-Hooned-Soojus'!$C:$X,2+$C103,FALSE),0)+IF(M$6="X",VLOOKUP(M$10,'VK-Transport'!$C:$X,2+$B103,0))+IF(M$8="X",VLOOKUP(M$10,'VK-Elekter'!$C:$X,2+$D103,0))+IF(M$9="X",VLOOKUP(M$10,'VK-Biokütused'!$C:$U,2+$E103,0))+IF(M$5="X",VLOOKUP(M$10,'VK-Põlevkivi'!$C:$X,2+$G103,0))+IF(M$4="X",VLOOKUP(M$10,'VK-Võrgud'!$C:$X,2+$F103,0))</f>
        <v>8.68530937302436</v>
      </c>
      <c r="N103" s="209">
        <f>IF(N$7="X",VLOOKUP(N$10,'VK-Hooned-Soojus'!$C:$X,2+$C103,FALSE),0)+IF(N$6="X",VLOOKUP(N$10,'VK-Transport'!$C:$X,2+$B103,0))+IF(N$8="X",VLOOKUP(N$10,'VK-Elekter'!$C:$X,2+$D103,0))+IF(N$9="X",VLOOKUP(N$10,'VK-Biokütused'!$C:$U,2+$E103,0))+IF(N$5="X",VLOOKUP(N$10,'VK-Põlevkivi'!$C:$X,2+$G103,0))+IF(N$4="X",VLOOKUP(N$10,'VK-Võrgud'!$C:$X,2+$F103,0))</f>
        <v>16.75</v>
      </c>
      <c r="O103" s="209">
        <f t="shared" si="60"/>
        <v>35.015833333333333</v>
      </c>
      <c r="P103" s="209"/>
      <c r="Q103" s="209">
        <f>(IF(Q$7="X",VLOOKUP(Q$10,'VK-Hooned-Soojus'!$C:$X,2+$C103,FALSE),0)+IF(Q$6="X",VLOOKUP(Q$10,'VK-Transport'!$C:$X,2+$B103,0))+IF(Q$8="X",VLOOKUP(Q$10,'VK-Elekter'!$C:$X,2+$D103,0))+IF(Q$9="X",VLOOKUP(Q$10,'VK-Biokütused'!$C:$U,2+$E103,0))+IF(Q$5="X",VLOOKUP(Q$10,'VK-Põlevkivi'!$C:$X,2+$G103,0))+IF(Q$4="X",VLOOKUP(Q$10,'VK-Võrgud'!$C:$X,2+$F103,0)))/1000</f>
        <v>5.3310000000000004</v>
      </c>
      <c r="R103" s="209">
        <f>(IF(R$7="X",VLOOKUP(R$10,'VK-Hooned-Soojus'!$C:$X,2+$C103,FALSE),0)+IF(R$6="X",VLOOKUP(R$10,'VK-Transport'!$C:$X,2+$B103,0))+IF(R$8="X",VLOOKUP(R$10,'VK-Elekter'!$C:$X,2+$D103,0))+IF(R$9="X",VLOOKUP(R$10,'VK-Biokütused'!$C:$U,2+$E103,0))+IF(R$5="X",VLOOKUP(R$10,'VK-Põlevkivi'!$C:$X,2+$G103,0))+IF(R$4="X",VLOOKUP(R$10,'VK-Võrgud'!$C:$X,2+$F103,0)))/1000</f>
        <v>1.92908499063732</v>
      </c>
      <c r="S103" s="226">
        <f>VLOOKUP(S$10,'VK-Hooned-Soojus'!$C:$I,2+$C103,FALSE) + VLOOKUP(S$10,'VK-Transport'!$C:$I,2+$B103,FALSE)+ VLOOKUP(S$10,'VK-Biokütused'!$C:$G,2+$E103,FALSE)+ VLOOKUP(S$10,'VK-Elekter'!$C:$I,2+$D103,FALSE)+ VLOOKUP(S$10,'VK-Põlevkivi'!$C:$I,2+$G103,FALSE)+ VLOOKUP(S$10,'VK-Võrgud'!$C:$I,2+$F103,FALSE)</f>
        <v>2.0011156075651435E-2</v>
      </c>
      <c r="T103" s="226">
        <f>VLOOKUP(T$10,'VK-Hooned-Soojus'!$C:$I,2+$C103,FALSE) + VLOOKUP(T$10,'VK-Transport'!$C:$I,2+$B103,FALSE)+ VLOOKUP(T$10,'VK-Biokütused'!$C:$G,2+$E103,FALSE)+ VLOOKUP(T$10,'VK-Elekter'!$C:$I,2+$D103,FALSE)+ VLOOKUP(T$10,'VK-Põlevkivi'!$C:$I,2+$G103,FALSE)+ VLOOKUP(T$10,'VK-Võrgud'!$C:$I,2+$F103,FALSE)</f>
        <v>5.6201260898919702E-3</v>
      </c>
      <c r="U103" s="226">
        <f>VLOOKUP(U$10,'VK-Hooned-Soojus'!$C:$I,2+$C103,FALSE) + VLOOKUP(U$10,'VK-Transport'!$C:$I,2+$B103,FALSE)+ VLOOKUP(U$10,'VK-Biokütused'!$C:$G,2+$E103,FALSE)+ VLOOKUP(U$10,'VK-Elekter'!$C:$I,2+$D103,FALSE)+ VLOOKUP(U$10,'VK-Põlevkivi'!$C:$I,2+$G103,FALSE)+ VLOOKUP(U$10,'VK-Võrgud'!$C:$I,2+$F103,FALSE)</f>
        <v>7.9836231147417391E-3</v>
      </c>
      <c r="V103" s="226">
        <f>VLOOKUP(V$10,'VK-Hooned-Soojus'!$C:$I,2+$C103,FALSE) + VLOOKUP(V$10,'VK-Transport'!$C:$I,2+$B103,FALSE)+ VLOOKUP(V$10,'VK-Biokütused'!$C:$G,2+$E103,FALSE)+ VLOOKUP(V$10,'VK-Elekter'!$C:$I,2+$D103,FALSE)+ VLOOKUP(V$10,'VK-Põlevkivi'!$C:$I,2+$G103,FALSE)+ VLOOKUP(V$10,'VK-Võrgud'!$C:$I,2+$F103,FALSE)</f>
        <v>1.2198169154483648E-2</v>
      </c>
      <c r="W103" s="226">
        <f>VLOOKUP(W$10,'VK-Hooned-Soojus'!$C:$I,2+$C103,FALSE) + VLOOKUP(W$10,'VK-Transport'!$C:$I,2+$B103,FALSE)+ VLOOKUP(W$10,'VK-Biokütused'!$C:$G,2+$E103,FALSE)+ VLOOKUP(W$10,'VK-Elekter'!$C:$I,2+$D103,FALSE)+ VLOOKUP(W$10,'VK-Põlevkivi'!$C:$I,2+$G103,FALSE)+ VLOOKUP(W$10,'VK-Võrgud'!$C:$I,2+$F103,FALSE)</f>
        <v>-2.3073466883710005E-2</v>
      </c>
      <c r="X103" s="226">
        <f>VLOOKUP(X$10,'VK-Hooned-Soojus'!$C:$I,2+$C103,FALSE) + VLOOKUP(X$10,'VK-Transport'!$C:$I,2+$B103,FALSE)+ VLOOKUP(X$10,'VK-Biokütused'!$C:$G,2+$E103,FALSE)+ VLOOKUP(X$10,'VK-Elekter'!$C:$I,2+$D103,FALSE)+ VLOOKUP(X$10,'VK-Põlevkivi'!$C:$I,2+$G103,FALSE)+ VLOOKUP(X$10,'VK-Võrgud'!$C:$I,2+$F103,FALSE)</f>
        <v>-3.820820964747234E-2</v>
      </c>
      <c r="Y103" s="226">
        <f>VLOOKUP(Y$10,'VK-Hooned-Soojus'!$C:$I,2+$C103,FALSE) + VLOOKUP(Y$10,'VK-Transport'!$C:$I,2+$B103,FALSE)+ VLOOKUP(Y$10,'VK-Biokütused'!$C:$G,2+$E103,FALSE)+ VLOOKUP(Y$10,'VK-Elekter'!$C:$I,2+$D103,FALSE)+ VLOOKUP(Y$10,'VK-Põlevkivi'!$C:$I,2+$G103,FALSE)+ VLOOKUP(Y$10,'VK-Võrgud'!$C:$I,2+$F103,FALSE)</f>
        <v>-4.731918713479822E-2</v>
      </c>
      <c r="Z103" s="227">
        <f>(S103*Tulemused!$Q$9*10+T103*Tulemused!$Q$10*10+KOMBI!U103*Tulemused!$Q$11*10+KOMBI!V103*Tulemused!$Q$12*10)*Tulemused!$Q$8+-(W103*Tulemused!$Q$14*10+KOMBI!X103*Tulemused!$Q$15*10+KOMBI!Y103*Tulemused!$Q$16*10)*Tulemused!$Q$13</f>
        <v>6.2639770365495444</v>
      </c>
      <c r="AA103" s="228">
        <f>(IF(AA$7="X",VLOOKUP(AA$10,'VK-Hooned-Soojus'!$C:$X,2+$C103,FALSE),0)+IF(AA$6="X",VLOOKUP(AA$10,'VK-Transport'!$C:$X,2+$B103,0))+IF(AA$8="X",VLOOKUP(AA$10,'VK-Elekter'!$C:$X,2+$D103,0))+IF(AA$9="X",VLOOKUP(AA$10,'VK-Biokütused'!$C:$U,2+$E103,0))+IF(AA$5="X",VLOOKUP(AA$10,'VK-Põlevkivi'!$C:$X,2+$G103,0))+IF(AA$4="X",VLOOKUP(AA$10,'VK-Võrgud'!$C:$X,2+$F103,0)))</f>
        <v>3729</v>
      </c>
      <c r="AB103" s="228">
        <f>(IF(AB$7="X",VLOOKUP(AB$10,'VK-Hooned-Soojus'!$C:$X,2+$C103,FALSE),0)+IF(AB$6="X",VLOOKUP(AB$10,'VK-Transport'!$C:$X,2+$B103,0))+IF(AB$8="X",VLOOKUP(AB$10,'VK-Elekter'!$C:$X,2+$D103,0))+IF(AB$9="X",VLOOKUP(AB$10,'VK-Biokütused'!$C:$U,2+$E103,0))+IF(AB$5="X",VLOOKUP(AB$10,'VK-Põlevkivi'!$C:$X,2+$G103,0))+IF(AB$4="X",VLOOKUP(AB$10,'VK-Võrgud'!$C:$X,2+$F103,0)))</f>
        <v>1602</v>
      </c>
      <c r="AC103" s="228">
        <f>(IF(AC$7="X",VLOOKUP(AC$10,'VK-Hooned-Soojus'!$C:$X,2+$C103,FALSE),0)+IF(AC$6="X",VLOOKUP(AC$10,'VK-Transport'!$C:$X,2+$B103,0))+IF(AC$8="X",VLOOKUP(AC$10,'VK-Elekter'!$C:$X,2+$D103,0))+IF(AC$9="X",VLOOKUP(AC$10,'VK-Biokütused'!$C:$U,2+$E103,0))+IF(AC$5="X",VLOOKUP(AC$10,'VK-Põlevkivi'!$C:$X,2+$G103,0))+IF(AC$4="X",VLOOKUP(AC$10,'VK-Võrgud'!$C:$X,2+$F103,0)))</f>
        <v>2346</v>
      </c>
      <c r="AD103" s="228">
        <f>(IF(AD$7="X",VLOOKUP(AD$10,'VK-Hooned-Soojus'!$C:$X,2+$C103,FALSE),0)+IF(AD$6="X",VLOOKUP(AD$10,'VK-Transport'!$C:$X,2+$B103,0))+IF(AD$8="X",VLOOKUP(AD$10,'VK-Elekter'!$C:$X,2+$D103,0))+IF(AD$9="X",VLOOKUP(AD$10,'VK-Biokütused'!$C:$U,2+$E103,0))+IF(AD$5="X",VLOOKUP(AD$10,'VK-Põlevkivi'!$C:$X,2+$G103,0))+IF(AD$4="X",VLOOKUP(AD$10,'VK-Võrgud'!$C:$X,2+$F103,0)))</f>
        <v>586.20000000000005</v>
      </c>
      <c r="AE103" s="228">
        <f>(IF(AE$7="X",VLOOKUP(AE$10,'VK-Hooned-Soojus'!$C:$X,2+$C103,FALSE),0)+IF(AE$6="X",VLOOKUP(AE$10,'VK-Transport'!$C:$X,2+$B103,0))+IF(AE$8="X",VLOOKUP(AE$10,'VK-Elekter'!$C:$X,2+$D103,0))+IF(AE$9="X",VLOOKUP(AE$10,'VK-Biokütused'!$C:$U,2+$E103,0))+IF(AE$5="X",VLOOKUP(AE$10,'VK-Põlevkivi'!$C:$X,2+$G103,0))+IF(AE$4="X",VLOOKUP(AE$10,'VK-Võrgud'!$C:$X,2+$F103,0)))</f>
        <v>812</v>
      </c>
      <c r="AF103" s="228">
        <f>(IF(AF$7="X",VLOOKUP(AF$10,'VK-Hooned-Soojus'!$C:$X,2+$C103,FALSE),0)+IF(AF$6="X",VLOOKUP(AF$10,'VK-Transport'!$C:$X,2+$B103,0))+IF(AF$8="X",VLOOKUP(AF$10,'VK-Elekter'!$C:$X,2+$D103,0))+IF(AF$9="X",VLOOKUP(AF$10,'VK-Biokütused'!$C:$U,2+$E103,0))+IF(AF$5="X",VLOOKUP(AF$10,'VK-Põlevkivi'!$C:$X,2+$G103,0))+IF(AF$4="X",VLOOKUP(AF$10,'VK-Võrgud'!$C:$X,2+$F103,0)))</f>
        <v>530.88499063732002</v>
      </c>
      <c r="AG103" s="209"/>
      <c r="AH103" s="209">
        <f>IF(AH$7="X",VLOOKUP(AH$10,'VK-Hooned-Soojus'!$C:$X,2+$C103,FALSE),0)+IF(AH$6="X",VLOOKUP(AH$10,'VK-Transport'!$C:$X,2+$B103,0))+IF(AH$8="X",VLOOKUP(AH$10,'VK-Elekter'!$C:$X,2+$D103,0))+IF(AH$9="X",VLOOKUP(AH$10,'VK-Biokütused'!$C:$U,2+$E103,0))+IF(AH$5="X",VLOOKUP(AH$10,'VK-Põlevkivi'!$C:$X,2+$G103,0))+IF(AH$4="X",VLOOKUP(AH$10,'VK-Võrgud'!$C:$X,2+$F103,0))</f>
        <v>11.629999999999999</v>
      </c>
      <c r="AI103" s="209">
        <f>IF(AI$7="X",VLOOKUP(AI$10,'VK-Hooned-Soojus'!$C:$X,2+$C103,FALSE),0)+IF(AI$6="X",VLOOKUP(AI$10,'VK-Transport'!$C:$X,2+$B103,0))+IF(AI$8="X",VLOOKUP(AI$10,'VK-Elekter'!$C:$X,2+$D103,0))+IF(AI$9="X",VLOOKUP(AI$10,'VK-Biokütused'!$C:$U,2+$E103,0))+IF(AI$5="X",VLOOKUP(AI$10,'VK-Põlevkivi'!$C:$X,2+$G103,0))+IF(AI$4="X",VLOOKUP(AI$10,'VK-Võrgud'!$C:$X,2+$F103,0))</f>
        <v>2.3100000000000005</v>
      </c>
      <c r="AJ103" s="209">
        <f>IF(AJ$7="X",VLOOKUP(AJ$10,'VK-Hooned-Soojus'!$C:$X,2+$C103,FALSE),0)+IF(AJ$6="X",VLOOKUP(AJ$10,'VK-Transport'!$C:$X,2+$B103,0))+IF(AJ$8="X",VLOOKUP(AJ$10,'VK-Elekter'!$C:$X,2+$D103,0))+IF(AJ$9="X",VLOOKUP(AJ$10,'VK-Biokütused'!$C:$U,2+$E103,0))+IF(AJ$5="X",VLOOKUP(AJ$10,'VK-Põlevkivi'!$C:$X,2+$G103,0))+IF(AJ$4="X",VLOOKUP(AJ$10,'VK-Võrgud'!$C:$X,2+$F103,0))</f>
        <v>9.24</v>
      </c>
      <c r="AK103" s="209">
        <f>IF(AK$7="X",VLOOKUP(AK$10,'VK-Hooned-Soojus'!$C:$X,2+$C103,FALSE),0)+IF(AK$6="X",VLOOKUP(AK$10,'VK-Transport'!$C:$X,2+$B103,0))+IF(AK$8="X",VLOOKUP(AK$10,'VK-Elekter'!$C:$X,2+$D103,0))+IF(AK$9="X",VLOOKUP(AK$10,'VK-Biokütused'!$C:$U,2+$E103,0))+IF(AK$5="X",VLOOKUP(AK$10,'VK-Põlevkivi'!$C:$X,2+$G103,0))+IF(AK$4="X",VLOOKUP(AK$10,'VK-Võrgud'!$C:$X,2+$F103,0))</f>
        <v>2.78</v>
      </c>
      <c r="AL103" s="209">
        <f>IF(AL$7="X",VLOOKUP(AL$10,'VK-Hooned-Soojus'!$C:$X,2+$C103,FALSE),0)+IF(AL$6="X",VLOOKUP(AL$10,'VK-Transport'!$C:$X,2+$B103,0))+IF(AL$8="X",VLOOKUP(AL$10,'VK-Elekter'!$C:$X,2+$D103,0))+IF(AL$9="X",VLOOKUP(AL$10,'VK-Biokütused'!$C:$U,2+$E103,0))+IF(AL$5="X",VLOOKUP(AL$10,'VK-Põlevkivi'!$C:$X,2+$G103,0))+IF(AL$4="X",VLOOKUP(AL$10,'VK-Võrgud'!$C:$X,2+$F103,0))</f>
        <v>7.1999999999999993</v>
      </c>
      <c r="AM103" s="209">
        <f>IF(AM$7="X",VLOOKUP(AM$10,'VK-Hooned-Soojus'!$C:$X,2+$C103,FALSE),0)+IF(AM$6="X",VLOOKUP(AM$10,'VK-Transport'!$C:$X,2+$B103,0))+IF(AM$8="X",VLOOKUP(AM$10,'VK-Elekter'!$C:$X,2+$D103,0))+IF(AM$9="X",VLOOKUP(AM$10,'VK-Biokütused'!$C:$U,2+$E103,0))+IF(AM$5="X",VLOOKUP(AM$10,'VK-Põlevkivi'!$C:$X,2+$G103,0))+IF(AM$4="X",VLOOKUP(AM$10,'VK-Võrgud'!$C:$X,2+$F103,0))</f>
        <v>12.9</v>
      </c>
      <c r="AN103" s="209">
        <f>IF(AN$7="X",VLOOKUP(AN$10,'VK-Hooned-Soojus'!$C:$X,2+$C103,FALSE),0)+IF(AN$6="X",VLOOKUP(AN$10,'VK-Transport'!$C:$X,2+$B103,0))+IF(AN$8="X",VLOOKUP(AN$10,'VK-Elekter'!$C:$X,2+$D103,0))+IF(AN$9="X",VLOOKUP(AN$10,'VK-Biokütused'!$C:$U,2+$E103,0))+IF(AN$5="X",VLOOKUP(AN$10,'VK-Põlevkivi'!$C:$X,2+$G103,0))+IF(AN$4="X",VLOOKUP(AN$10,'VK-Võrgud'!$C:$X,2+$F103,0))</f>
        <v>5.6999999999999993</v>
      </c>
      <c r="AO103" s="209">
        <f>IF(AO$7="X",VLOOKUP(AO$10,'VK-Hooned-Soojus'!$C:$X,2+$C103,FALSE),0)+IF(AO$6="X",VLOOKUP(AO$10,'VK-Transport'!$C:$X,2+$B103,0))+IF(AO$8="X",VLOOKUP(AO$10,'VK-Elekter'!$C:$X,2+$D103,0))+IF(AO$9="X",VLOOKUP(AO$10,'VK-Biokütused'!$C:$U,2+$E103,0))+IF(AO$5="X",VLOOKUP(AO$10,'VK-Põlevkivi'!$C:$X,2+$G103,0))+IF(AO$4="X",VLOOKUP(AO$10,'VK-Võrgud'!$C:$X,2+$F103,0))</f>
        <v>13.56</v>
      </c>
      <c r="AP103" s="209">
        <f>IF(AP$7="X",VLOOKUP(AP$10,'VK-Hooned-Soojus'!$C:$X,2+$C103,FALSE),0)+IF(AP$6="X",VLOOKUP(AP$10,'VK-Transport'!$C:$X,2+$B103,0))+IF(AP$8="X",VLOOKUP(AP$10,'VK-Elekter'!$C:$X,2+$D103,0))+IF(AP$9="X",VLOOKUP(AP$10,'VK-Biokütused'!$C:$U,2+$E103,0))+IF(AP$5="X",VLOOKUP(AP$10,'VK-Põlevkivi'!$C:$X,2+$G103,0))+IF(AP$4="X",VLOOKUP(AP$10,'VK-Võrgud'!$C:$X,2+$F103,0))</f>
        <v>6.78</v>
      </c>
      <c r="AQ103" s="320">
        <f t="shared" si="61"/>
        <v>1.2599999999999998</v>
      </c>
      <c r="AR103" s="209">
        <f>IF(AR$7="X",VLOOKUP(AR$10,'VK-Hooned-Soojus'!$C:$X,2+$C103,FALSE),0)+IF(AR$6="X",VLOOKUP(AR$10,'VK-Transport'!$C:$X,2+$B103,0))+IF(AR$8="X",VLOOKUP(AR$10,'VK-Elekter'!$C:$X,2+$D103,0))+IF(AR$9="X",VLOOKUP(AR$10,'VK-Biokütused'!$C:$U,2+$E103,0))+IF(AR$5="X",VLOOKUP(AR$10,'VK-Põlevkivi'!$C:$X,2+$G103,0))+IF(AR$4="X",VLOOKUP(AR$10,'VK-Võrgud'!$C:$X,2+$F103,0))</f>
        <v>3.4899999999999998</v>
      </c>
      <c r="AS103" s="320">
        <f>VLOOKUP("Kütuste tarbimine @ 2030 - UTTEGAAS",'VK-Hooned-Soojus'!$C:$X,2+$C103,FALSE)/0.172+VLOOKUP("Kütuste tarbimine @ 2030 - UTTEGAAS",'VK-Elekter'!$C:$X,2+$D103,FALSE)/0.172-AR103-AU103</f>
        <v>2.7565116279069759</v>
      </c>
      <c r="AT103" s="209">
        <f>IF(AT$7="X",VLOOKUP(AT$10,'VK-Hooned-Soojus'!$C:$X,2+$C103,FALSE),0)+IF(AT$6="X",VLOOKUP(AT$10,'VK-Transport'!$C:$X,2+$B103,0))+IF(AT$8="X",VLOOKUP(AT$10,'VK-Elekter'!$C:$X,2+$D103,0))+IF(AT$9="X",VLOOKUP(AT$10,'VK-Biokütused'!$C:$U,2+$E103,0))+IF(AT$5="X",VLOOKUP(AT$10,'VK-Põlevkivi'!$C:$X,2+$G103,0))+IF(AT$4="X",VLOOKUP(AT$10,'VK-Võrgud'!$C:$X,2+$F103,0))</f>
        <v>5.7045296564339489</v>
      </c>
      <c r="AU103" s="229">
        <f>MAX(0,(VLOOKUP("Kütuste tarbimine @ 2030 - UTTEGAAS",'VK-Hooned-Soojus'!$C:$X,2+$C103,FALSE)/0.172+VLOOKUP("Kütuste tarbimine @ 2030 - UTTEGAAS",'VK-Elekter'!$C:$X,2+$D103,FALSE)/0.172)*0.52-VLOOKUP("Kütuste tarbimine @ 2030 - PÕLEVKIVIÕLI",'VK-Hooned-Soojus'!$C:$X,2+$C103,FALSE))</f>
        <v>4.6837209302325586</v>
      </c>
      <c r="AV103" s="209">
        <f>IF(AV$7="X",VLOOKUP(AV$10,'VK-Hooned-Soojus'!$C:$X,2+$C103,FALSE),0)+IF(AV$6="X",VLOOKUP(AV$10,'VK-Transport'!$C:$X,2+$B103,0))+IF(AV$8="X",VLOOKUP(AV$10,'VK-Elekter'!$C:$X,2+$D103,0))+IF(AV$9="X",VLOOKUP(AV$10,'VK-Biokütused'!$C:$U,2+$E103,0))+IF(AV$5="X",VLOOKUP(AV$10,'VK-Põlevkivi'!$C:$X,2+$G103,0))+IF(AV$4="X",VLOOKUP(AV$10,'VK-Võrgud'!$C:$X,2+$F103,0))</f>
        <v>2.1219844082566364</v>
      </c>
      <c r="AW103" s="209">
        <f>IF(AW$7="X",VLOOKUP(AW$10,'VK-Hooned-Soojus'!$C:$X,2+$C103,FALSE),0)+IF(AW$6="X",VLOOKUP(AW$10,'VK-Transport'!$C:$X,2+$B103,0))+IF(AW$8="X",VLOOKUP(AW$10,'VK-Elekter'!$C:$X,2+$D103,0))+IF(AW$9="X",VLOOKUP(AW$10,'VK-Biokütused'!$C:$U,2+$E103,0))+IF(AW$5="X",VLOOKUP(AW$10,'VK-Põlevkivi'!$C:$X,2+$G103,0))+IF(AW$4="X",VLOOKUP(AW$10,'VK-Võrgud'!$C:$X,2+$F103,0))</f>
        <v>4.2799999999999994</v>
      </c>
      <c r="AX103" s="229">
        <f t="shared" si="62"/>
        <v>2.158015591743363</v>
      </c>
      <c r="AY103" s="229">
        <f t="shared" si="63"/>
        <v>0</v>
      </c>
      <c r="AZ103" s="230">
        <f t="shared" si="48"/>
        <v>0.52073880263271421</v>
      </c>
      <c r="BA103" s="209">
        <f>IF(BA$7="X",VLOOKUP(BA$10,'VK-Hooned-Soojus'!$C:$X,2+$C103,FALSE),0)+IF(BA$6="X",VLOOKUP(BA$10,'VK-Transport'!$C:$X,2+$B103,0))+IF(BA$8="X",VLOOKUP(BA$10,'VK-Elekter'!$C:$X,2+$D103,0))+IF(BA$9="X",VLOOKUP(BA$10,'VK-Biokütused'!$C:$U,2+$E103,0))+IF(BA$5="X",VLOOKUP(BA$10,'VK-Põlevkivi'!$C:$X,2+$G103,0))+IF(BA$4="X",VLOOKUP(BA$10,'VK-Võrgud'!$C:$X,2+$F103,0))</f>
        <v>4.25</v>
      </c>
      <c r="BB103" s="209">
        <f>IF(BB$7="X",VLOOKUP(BB$10,'VK-Hooned-Soojus'!$C:$X,2+$C103,FALSE),0)+IF(BB$6="X",VLOOKUP(BB$10,'VK-Transport'!$C:$X,2+$B103,0))+IF(BB$8="X",VLOOKUP(BB$10,'VK-Elekter'!$C:$X,2+$D103,0))+IF(BB$9="X",VLOOKUP(BB$10,'VK-Biokütused'!$C:$U,2+$E103,0))+IF(BB$5="X",VLOOKUP(BB$10,'VK-Põlevkivi'!$C:$X,2+$G103,0))+IF(BB$4="X",VLOOKUP(BB$10,'VK-Võrgud'!$C:$X,2+$F103,0))</f>
        <v>2.93</v>
      </c>
      <c r="BC103" s="209">
        <f>IF(BC$7="X",VLOOKUP(BC$10,'VK-Hooned-Soojus'!$C:$X,2+$C103,FALSE),0)+IF(BC$6="X",VLOOKUP(BC$10,'VK-Transport'!$C:$X,2+$B103,0))+IF(BC$8="X",VLOOKUP(BC$10,'VK-Elekter'!$C:$X,2+$D103,0))+IF(BC$9="X",VLOOKUP(BC$10,'VK-Biokütused'!$C:$U,2+$E103,0))+IF(BC$5="X",VLOOKUP(BC$10,'VK-Põlevkivi'!$C:$X,2+$G103,0))+IF(BC$4="X",VLOOKUP(BC$10,'VK-Võrgud'!$C:$X,2+$F103,0))</f>
        <v>8.0523611111111126</v>
      </c>
      <c r="BD103" s="209">
        <f>IF(BD$7="X",VLOOKUP(BD$10,'VK-Hooned-Soojus'!$C:$X,2+$C103,FALSE),0)+IF(BD$6="X",VLOOKUP(BD$10,'VK-Transport'!$C:$X,2+$B103,0))+IF(BD$8="X",VLOOKUP(BD$10,'VK-Elekter'!$C:$X,2+$D103,0))+IF(BD$9="X",VLOOKUP(BD$10,'VK-Biokütused'!$C:$U,2+$E103,0))+IF(BD$5="X",VLOOKUP(BD$10,'VK-Põlevkivi'!$C:$X,2+$G103,0))+IF(BD$4="X",VLOOKUP(BD$10,'VK-Võrgud'!$C:$X,2+$F103,0))</f>
        <v>10.42138888888889</v>
      </c>
      <c r="BE103" s="230"/>
      <c r="BF103" s="229">
        <f t="shared" si="64"/>
        <v>0.36563130566484103</v>
      </c>
      <c r="BG103" s="209" t="e">
        <f>(IF(BG$7="X",VLOOKUP(BG$10,'VK-Hooned-Soojus'!$C:$X,2+$C103,FALSE),0)+IF(BG$6="X",VLOOKUP(BG$10,'VK-Transport'!$C:$X,2+$B103,0))+IF(BG$8="X",VLOOKUP(BG$10,'VK-Elekter'!$C:$X,2+$D103,0))+IF(BG$9="X",VLOOKUP(BG$10,'VK-Biokütused'!$C:$U,2+$E103,0))+IF(BG$5="X",VLOOKUP(BG$10,'VK-Põlevkivi'!$C:$X,2+$G103,0))+IF(BG$4="X",VLOOKUP(BG$10,'VK-Võrgud'!$C:$X,2+$F103,0)))/20</f>
        <v>#N/A</v>
      </c>
      <c r="BH103" s="209">
        <f>(IF(BH$7="X",VLOOKUP(BH$10,'VK-Hooned-Soojus'!$C:$X,2+$C103,FALSE),0)+IF(BH$6="X",VLOOKUP(BH$10,'VK-Transport'!$C:$X,2+$B103,0))+IF(BH$8="X",VLOOKUP(BH$10,'VK-Elekter'!$C:$X,2+$D103,0))+IF(BH$9="X",VLOOKUP(BH$10,'VK-Biokütused'!$C:$U,2+$E103,0))+IF(BH$5="X",VLOOKUP(BH$10,'VK-Põlevkivi'!$C:$X,2+$G103,0))+IF(BH$4="X",VLOOKUP(BH$10,'VK-Võrgud'!$C:$X,2+$F103,0)))/20</f>
        <v>13.99</v>
      </c>
      <c r="BI103" s="209">
        <f>(IF(BI$7="X",VLOOKUP(BI$10,'VK-Hooned-Soojus'!$C:$X,2+$C103,FALSE),0)+IF(BI$6="X",VLOOKUP(BI$10,'VK-Transport'!$C:$X,2+$B103,0))+IF(BI$8="X",VLOOKUP(BI$10,'VK-Elekter'!$C:$X,2+$D103,0))+IF(BI$9="X",VLOOKUP(BI$10,'VK-Biokütused'!$C:$U,2+$E103,0))+IF(BI$5="X",VLOOKUP(BI$10,'VK-Põlevkivi'!$C:$X,2+$G103,0))+IF(BI$4="X",VLOOKUP(BI$10,'VK-Võrgud'!$C:$X,2+$F103,0)))/16</f>
        <v>17.75</v>
      </c>
      <c r="BJ103" s="209">
        <f>(IF(BJ$7="X",VLOOKUP(BJ$10,'VK-Hooned-Soojus'!$C:$X,2+$C103,FALSE),0)+IF(BJ$6="X",VLOOKUP(BJ$10,'VK-Transport'!$C:$X,2+$B103,0))+IF(BJ$8="X",VLOOKUP(BJ$10,'VK-Elekter'!$C:$X,2+$D103,0))+IF(BJ$9="X",VLOOKUP(BJ$10,'VK-Biokütused'!$C:$U,2+$E103,0))+IF(BJ$5="X",VLOOKUP(BJ$10,'VK-Põlevkivi'!$C:$X,2+$G103,0))+IF(BJ$4="X",VLOOKUP(BJ$10,'VK-Võrgud'!$C:$X,2+$F103,0)))/20</f>
        <v>1.85</v>
      </c>
      <c r="BK103" s="209"/>
      <c r="BL103" s="209"/>
      <c r="BM103" s="209"/>
      <c r="BN103" s="209" t="e">
        <f>(IF(BN$7="X",VLOOKUP(BN$10,'VK-Hooned-Soojus'!$C:$X,2+$C103,FALSE),0)+IF(BN$6="X",VLOOKUP(BN$10,'VK-Transport'!$C:$X,2+$B103,0))+IF(BN$8="X",VLOOKUP(BN$10,'VK-Elekter'!$C:$X,2+$D103,0))+IF(BN$9="X",VLOOKUP(BN$10,'VK-Biokütused'!$C:$U,2+$E103,0))+IF(BN$5="X",VLOOKUP(BN$10,'VK-Põlevkivi'!$C:$X,2+$G103,0))+IF(BN$4="X",VLOOKUP(BN$10,'VK-Võrgud'!$C:$X,2+$F103,0)))/16</f>
        <v>#N/A</v>
      </c>
      <c r="BO103" s="209">
        <f>(IF(BO$7="X",VLOOKUP(BO$10,'VK-Hooned-Soojus'!$C:$X,2+$C103,FALSE),0)+IF(BO$6="X",VLOOKUP(BO$10,'VK-Transport'!$C:$X,2+$B103,0))+IF(BO$8="X",VLOOKUP(BO$10,'VK-Elekter'!$C:$X,2+$D103,0))+IF(BO$9="X",VLOOKUP(BO$10,'VK-Biokütused'!$C:$U,2+$E103,0))+IF(BO$5="X",VLOOKUP(BO$10,'VK-Põlevkivi'!$C:$X,2+$G103,0))+IF(BO$4="X",VLOOKUP(BO$10,'VK-Võrgud'!$C:$X,2+$F103,0)))/16</f>
        <v>322.79374999999999</v>
      </c>
      <c r="BP103" s="209"/>
      <c r="BQ103" s="209">
        <f>(IF(BQ$7="X",VLOOKUP(BQ$10,'VK-Hooned-Soojus'!$C:$X,2+$C103,FALSE),0)+IF(BQ$6="X",VLOOKUP(BQ$10,'VK-Transport'!$C:$X,2+$B103,0))+IF(BQ$8="X",VLOOKUP(BQ$10,'VK-Elekter'!$C:$X,2+$D103,0))+IF(BQ$9="X",VLOOKUP(BQ$10,'VK-Biokütused'!$C:$U,2+$E103,0))+IF(BQ$5="X",VLOOKUP(BQ$10,'VK-Põlevkivi'!$C:$X,2+$G103,0))+IF(BQ$4="X",VLOOKUP(BQ$10,'VK-Võrgud'!$C:$X,2+$F103,0)))/16</f>
        <v>233.20625000000001</v>
      </c>
      <c r="BR103" s="209">
        <f>(IF(BR$7="X",VLOOKUP(BR$10,'VK-Hooned-Soojus'!$C:$X,2+$C103,FALSE),0)+IF(BR$6="X",VLOOKUP(BR$10,'VK-Transport'!$C:$X,2+$B103,0))+IF(BR$8="X",VLOOKUP(BR$10,'VK-Elekter'!$C:$X,2+$D103,0))+IF(BR$9="X",VLOOKUP(BR$10,'VK-Biokütused'!$C:$U,2+$E103,0))+IF(BR$5="X",VLOOKUP(BR$10,'VK-Põlevkivi'!$C:$X,2+$G103,0))+IF(BR$4="X",VLOOKUP(BR$10,'VK-Võrgud'!$C:$X,2+$F103,0)))/16</f>
        <v>74.512500000000003</v>
      </c>
      <c r="BS103" s="209">
        <f>(IF(BS$7="X",VLOOKUP(BS$10,'VK-Hooned-Soojus'!$C:$X,2+$C103,FALSE),0)+IF(BS$6="X",VLOOKUP(BS$10,'VK-Transport'!$C:$X,2+$B103,0))+IF(BS$8="X",VLOOKUP(BS$10,'VK-Elekter'!$C:$X,2+$D103,0))+IF(BS$9="X",VLOOKUP(BS$10,'VK-Biokütused'!$C:$U,2+$E103,0))+IF(BS$5="X",VLOOKUP(BS$10,'VK-Põlevkivi'!$C:$X,2+$G103,0))+IF(BS$4="X",VLOOKUP(BS$10,'VK-Võrgud'!$C:$X,2+$F103,0)))/16</f>
        <v>-21.475000000000001</v>
      </c>
      <c r="BT103" s="209"/>
      <c r="BU103" s="209"/>
      <c r="BV103" s="209">
        <f>(IF(BV$7="X",VLOOKUP(BV$10,'VK-Hooned-Soojus'!$C:$X,2+$C103,FALSE),0)+IF(BV$6="X",VLOOKUP(BV$10,'VK-Transport'!$C:$X,2+$B103,0))+IF(BV$8="X",VLOOKUP(BV$10,'VK-Elekter'!$C:$X,2+$D103,0))+IF(BV$9="X",VLOOKUP(BV$10,'VK-Biokütused'!$C:$U,2+$E103,0))+IF(BV$5="X",VLOOKUP(BV$10,'VK-Põlevkivi'!$C:$X,2+$G103,0))+IF(BV$4="X",VLOOKUP(BV$10,'VK-Võrgud'!$C:$X,2+$F103,0)))/16</f>
        <v>0</v>
      </c>
      <c r="BW103" s="209"/>
      <c r="BX103" s="209">
        <f>(IF(BX$7="X",VLOOKUP(BX$10,'VK-Hooned-Soojus'!$C:$X,2+$C103,FALSE),0)+IF(BX$6="X",VLOOKUP(BX$10,'VK-Transport'!$C:$X,2+$B103,0))+IF(BX$8="X",VLOOKUP(BX$10,'VK-Elekter'!$C:$X,2+$D103,0))+IF(BX$9="X",VLOOKUP(BX$10,'VK-Biokütused'!$C:$U,2+$E103,0))+IF(BX$5="X",VLOOKUP(BX$10,'VK-Põlevkivi'!$C:$X,2+$G103,0))+IF(BX$4="X",VLOOKUP(BX$10,'VK-Võrgud'!$C:$X,2+$F103,0)))/16</f>
        <v>-99.6875</v>
      </c>
      <c r="BY103" s="209"/>
      <c r="BZ103" s="209"/>
      <c r="CA103" s="209" t="e">
        <f>(IF(CA$7="X",VLOOKUP(CA$10,'VK-Hooned-Soojus'!$C:$X,2+$C103,FALSE),0)+IF(CA$6="X",VLOOKUP(CA$10,'VK-Transport'!$C:$X,2+$B103,0))+IF(CA$8="X",VLOOKUP(CA$10,'VK-Elekter'!$C:$X,2+$D103,0))+IF(CA$9="X",VLOOKUP(CA$10,'VK-Biokütused'!$C:$U,2+$E103,0))+IF(CA$5="X",VLOOKUP(CA$10,'VK-Põlevkivi'!$C:$X,2+$G103,0))+IF(CA$4="X",VLOOKUP(CA$10,'VK-Võrgud'!$C:$X,2+$F103,0)))/16</f>
        <v>#N/A</v>
      </c>
      <c r="CB103" s="209">
        <f>(IF(CB$7="X",VLOOKUP(CB$10,'VK-Hooned-Soojus'!$C:$X,2+$C103,FALSE),0)+IF(CB$6="X",VLOOKUP(CB$10,'VK-Transport'!$C:$X,2+$B103,0))+IF(CB$8="X",VLOOKUP(CB$10,'VK-Elekter'!$C:$X,2+$D103,0))+IF(CB$9="X",VLOOKUP(CB$10,'VK-Biokütused'!$C:$U,2+$E103,0))+IF(CB$5="X",VLOOKUP(CB$10,'VK-Põlevkivi'!$C:$X,2+$G103,0))+IF(CB$4="X",VLOOKUP(CB$10,'VK-Võrgud'!$C:$X,2+$F103,0)))/16</f>
        <v>0</v>
      </c>
      <c r="CC103" s="209">
        <f>(IF(CC$7="X",VLOOKUP(CC$10,'VK-Hooned-Soojus'!$C:$X,2+$C103,FALSE),0)+IF(CC$6="X",VLOOKUP(CC$10,'VK-Transport'!$C:$X,2+$B103,0))+IF(CC$8="X",VLOOKUP(CC$10,'VK-Elekter'!$C:$X,2+$D103,0))+IF(CC$9="X",VLOOKUP(CC$10,'VK-Biokütused'!$C:$U,2+$E103,0))+IF(CC$5="X",VLOOKUP(CC$10,'VK-Põlevkivi'!$C:$X,2+$G103,0))+IF(CC$4="X",VLOOKUP(CC$10,'VK-Võrgud'!$C:$X,2+$F103,0)))/16</f>
        <v>0</v>
      </c>
      <c r="CD103" s="209"/>
      <c r="CE103" s="209">
        <f>(IF(CE$7="X",VLOOKUP(CE$10,'VK-Hooned-Soojus'!$C:$X,2+$C103,FALSE),0)+IF(CE$6="X",VLOOKUP(CE$10,'VK-Transport'!$C:$X,2+$B103,0))+IF(CE$8="X",VLOOKUP(CE$10,'VK-Elekter'!$C:$X,2+$D103,0))+IF(CE$9="X",VLOOKUP(CE$10,'VK-Biokütused'!$C:$U,2+$E103,0))+IF(CE$5="X",VLOOKUP(CE$10,'VK-Põlevkivi'!$C:$X,2+$G103,0))+IF(CE$4="X",VLOOKUP(CE$10,'VK-Võrgud'!$C:$X,2+$F103,0)))/16</f>
        <v>24.15625</v>
      </c>
      <c r="CF103" s="209"/>
      <c r="CG103" s="209">
        <f>(IF(CG$7="X",VLOOKUP(CG$10,'VK-Hooned-Soojus'!$C:$X,2+$C103,FALSE),0)+IF(CG$6="X",VLOOKUP(CG$10,'VK-Transport'!$C:$X,2+$B103,0))+IF(CG$8="X",VLOOKUP(CG$10,'VK-Elekter'!$C:$X,2+$D103,0))+IF(CG$9="X",VLOOKUP(CG$10,'VK-Biokütused'!$C:$U,2+$E103,0))+IF(CG$5="X",VLOOKUP(CG$10,'VK-Põlevkivi'!$C:$X,2+$G103,0))+IF(CG$4="X",VLOOKUP(CG$10,'VK-Võrgud'!$C:$X,2+$F103,0)))/16</f>
        <v>0</v>
      </c>
      <c r="CH103" s="209">
        <f>(IF(CH$7="X",VLOOKUP(CH$10,'VK-Hooned-Soojus'!$C:$X,2+$C103,FALSE),0)+IF(CH$6="X",VLOOKUP(CH$10,'VK-Transport'!$C:$X,2+$B103,0))+IF(CH$8="X",VLOOKUP(CH$10,'VK-Elekter'!$C:$X,2+$D103,0))+IF(CH$9="X",VLOOKUP(CH$10,'VK-Biokütused'!$C:$U,2+$E103,0))+IF(CH$5="X",VLOOKUP(CH$10,'VK-Põlevkivi'!$C:$X,2+$G103,0))+IF(CH$4="X",VLOOKUP(CH$10,'VK-Võrgud'!$C:$X,2+$F103,0)))/20*0.21</f>
        <v>5.6122500000000004</v>
      </c>
      <c r="CI103" s="209"/>
      <c r="CJ103" s="209">
        <f>(IF(CJ$7="X",VLOOKUP(CJ$10,'VK-Hooned-Soojus'!$C:$X,2+$C103,FALSE),0)+IF(CJ$6="X",VLOOKUP(CJ$10,'VK-Transport'!$C:$X,2+$B103,0))+IF(CJ$8="X",VLOOKUP(CJ$10,'VK-Elekter'!$C:$X,2+$D103,0))+IF(CJ$9="X",VLOOKUP(CJ$10,'VK-Biokütused'!$C:$U,2+$E103,0))+IF(CJ$5="X",VLOOKUP(CJ$10,'VK-Põlevkivi'!$C:$X,2+$G103,0))+IF(CJ$4="X",VLOOKUP(CJ$10,'VK-Võrgud'!$C:$X,2+$F103,0)))/1000</f>
        <v>18.081</v>
      </c>
      <c r="CK103" s="209">
        <f>(IF(CK$7="X",VLOOKUP(CK$10,'VK-Hooned-Soojus'!$C:$X,2+$C103,FALSE),0)+IF(CK$6="X",VLOOKUP(CK$10,'VK-Transport'!$C:$X,2+$B103,0))+IF(CK$8="X",VLOOKUP(CK$10,'VK-Elekter'!$C:$X,2+$D103,0))+IF(CK$9="X",VLOOKUP(CK$10,'VK-Biokütused'!$C:$U,2+$E103,0))+IF(CK$5="X",VLOOKUP(CK$10,'VK-Põlevkivi'!$C:$X,2+$G103,0))+IF(CK$4="X",VLOOKUP(CK$10,'VK-Võrgud'!$C:$X,2+$F103,0)))/1000</f>
        <v>12.802496548433506</v>
      </c>
      <c r="CL103" s="235">
        <f>(IF(CL$7="X",VLOOKUP(CL$10,'VK-Hooned-Soojus'!$C:$X,2+$C103,FALSE),0)+IF(CL$6="X",VLOOKUP(CL$10,'VK-Transport'!$C:$X,2+$B103,0))+IF(CL$8="X",VLOOKUP(CL$10,'VK-Elekter'!$C:$X,2+$D103,0))+IF(CL$9="X",VLOOKUP(CL$10,'VK-Biokütused'!$C:$U,2+$E103,0)))/1000</f>
        <v>7.90663031159868</v>
      </c>
      <c r="CM103" s="209">
        <f>(IF(CM$7="X",VLOOKUP(CM$10,'VK-Hooned-Soojus'!$C:$X,2+$C103,FALSE),0)+IF(CM$6="X",VLOOKUP(CM$10,'VK-Transport'!$C:$X,2+$B103,0))+IF(CM$8="X",VLOOKUP(CM$10,'VK-Elekter'!$C:$X,2+$D103,0))+IF(CM$9="X",VLOOKUP(CM$10,'VK-Biokütused'!$C:$U,2+$E103,0))+IF(CM$5="X",VLOOKUP(CM$10,'VK-Põlevkivi'!$C:$X,2+$G103,0))+IF(CM$4="X",VLOOKUP(CM$10,'VK-Võrgud'!$C:$X,2+$F103,0)))/1000</f>
        <v>8.5060000000000002</v>
      </c>
      <c r="CN103" s="209">
        <f>(IF(CN$7="X",VLOOKUP(CN$10,'VK-Hooned-Soojus'!$C:$X,2+$C103,FALSE),0)+IF(CN$6="X",VLOOKUP(CN$10,'VK-Transport'!$C:$X,2+$B103,0))+IF(CN$8="X",VLOOKUP(CN$10,'VK-Elekter'!$C:$X,2+$D103,0))+IF(CN$9="X",VLOOKUP(CN$10,'VK-Biokütused'!$C:$U,2+$E103,0))+IF(CN$5="X",VLOOKUP(CN$10,'VK-Põlevkivi'!$C:$X,2+$G103,0))+IF(CN$4="X",VLOOKUP(CN$10,'VK-Võrgud'!$C:$X,2+$F103,0)))/1000</f>
        <v>3.0510000000000002</v>
      </c>
      <c r="CO103" s="209">
        <f>(IF(CO$7="X",VLOOKUP(CO$10,'VK-Hooned-Soojus'!$C:$X,2+$C103,FALSE),0)+IF(CO$6="X",VLOOKUP(CO$10,'VK-Transport'!$C:$X,2+$B103,0))+IF(CO$8="X",VLOOKUP(CO$10,'VK-Elekter'!$C:$X,2+$D103,0))+IF(CO$9="X",VLOOKUP(CO$10,'VK-Biokütused'!$C:$U,2+$E103,0))+IF(CO$5="X",VLOOKUP(CO$10,'VK-Põlevkivi'!$C:$X,2+$G103,0))+IF(CO$4="X",VLOOKUP(CO$10,'VK-Võrgud'!$C:$X,2+$F103,0)))/1000</f>
        <v>24.109362337356995</v>
      </c>
      <c r="CP103" s="209">
        <f>(IF(CP$7="X",VLOOKUP(CP$10,'VK-Hooned-Soojus'!$C:$X,2+$C103,FALSE),0)+IF(CP$6="X",VLOOKUP(CP$10,'VK-Transport'!$C:$X,2+$B103,0))+IF(CP$8="X",VLOOKUP(CP$10,'VK-Elekter'!$C:$X,2+$D103,0))+IF(CP$9="X",VLOOKUP(CP$10,'VK-Biokütused'!$C:$U,2+$E103,0))+IF(CP$5="X",VLOOKUP(CP$10,'VK-Põlevkivi'!$C:$X,2+$G103,0))+IF(CP$4="X",VLOOKUP(CP$10,'VK-Võrgud'!$C:$X,2+$F103,0)))/1000</f>
        <v>13.823392120693661</v>
      </c>
      <c r="CQ103" s="235">
        <f>(IF(CQ$7="X",VLOOKUP(CQ$10,'VK-Hooned-Soojus'!$C:$X,2+$C103,FALSE),0)+IF(CQ$6="X",VLOOKUP(CQ$10,'VK-Transport'!$C:$X,2+$B103,0))+IF(CQ$8="X",VLOOKUP(CQ$10,'VK-Elekter'!$C:$X,2+$D103,0))+IF(CQ$9="X",VLOOKUP(CQ$10,'VK-Biokütused'!$C:$U,2+$E103,0)))/1000</f>
        <v>10.519919</v>
      </c>
      <c r="CR103" s="209">
        <f>(IF(CR$7="X",VLOOKUP(CR$10,'VK-Hooned-Soojus'!$C:$X,2+$C103,FALSE),0)+IF(CR$6="X",VLOOKUP(CR$10,'VK-Transport'!$C:$X,2+$B103,0))+IF(CR$8="X",VLOOKUP(CR$10,'VK-Elekter'!$C:$X,2+$D103,0))+IF(CR$9="X",VLOOKUP(CR$10,'VK-Biokütused'!$C:$U,2+$E103,0))+IF(CR$5="X",VLOOKUP(CR$10,'VK-Põlevkivi'!$C:$X,2+$G103,0))+IF(CR$4="X",VLOOKUP(CR$10,'VK-Võrgud'!$C:$X,2+$F103,0)))/1000</f>
        <v>8.0717518373996899</v>
      </c>
      <c r="CS103" s="209">
        <f>(IF(CS$7="X",VLOOKUP(CS$10,'VK-Hooned-Soojus'!$C:$X,2+$C103,FALSE),0)+IF(CS$6="X",VLOOKUP(CS$10,'VK-Transport'!$C:$X,2+$B103,0))+IF(CS$8="X",VLOOKUP(CS$10,'VK-Elekter'!$C:$X,2+$D103,0))+IF(CS$9="X",VLOOKUP(CS$10,'VK-Biokütused'!$C:$U,2+$E103,0))+IF(CS$5="X",VLOOKUP(CS$10,'VK-Põlevkivi'!$C:$X,2+$G103,0))+IF(CS$4="X",VLOOKUP(CS$10,'VK-Võrgud'!$C:$X,2+$F103,0)))/1000</f>
        <v>3.838649509862238</v>
      </c>
      <c r="CT103" s="209">
        <f>IF(CT$7="X",VLOOKUP(CT$10,'VK-Hooned-Soojus'!$C:$X,2+$C103,FALSE),0)+IF(CT$6="X",VLOOKUP(CT$10,'VK-Transport'!$C:$X,2+$B103,0))+IF(CT$8="X",VLOOKUP(CT$10,'VK-Elekter'!$C:$X,2+$D103,0))+IF(CT$9="X",VLOOKUP(CT$10,'VK-Biokütused'!$C:$U,2+$E103,0))+IF(CT$5="X",VLOOKUP(CT$10,'VK-Põlevkivi'!$C:$X,2+$G103,0))+IF(CT$4="X",VLOOKUP(CT$10,'VK-Võrgud'!$C:$X,2+$F103,0))</f>
        <v>90</v>
      </c>
      <c r="CU103" s="209">
        <f>IF(CU$7="X",VLOOKUP(CU$10,'VK-Hooned-Soojus'!$C:$X,2+$C103,FALSE),0)+IF(CU$6="X",VLOOKUP(CU$10,'VK-Transport'!$C:$X,2+$B103,0))+IF(CU$8="X",VLOOKUP(CU$10,'VK-Elekter'!$C:$X,2+$D103,0))+IF(CU$9="X",VLOOKUP(CU$10,'VK-Biokütused'!$C:$U,2+$E103,0))+IF(CU$5="X",VLOOKUP(CU$10,'VK-Põlevkivi'!$C:$X,2+$G103,0))+IF(CU$4="X",VLOOKUP(CU$10,'VK-Võrgud'!$C:$X,2+$F103,0))</f>
        <v>0.72088353413654627</v>
      </c>
      <c r="CV103" s="209">
        <f t="shared" si="49"/>
        <v>0.72887234460741646</v>
      </c>
      <c r="CW103" s="209">
        <f>(IF(CW$7="X",VLOOKUP(CW$10,'VK-Hooned-Soojus'!$C:$X,2+$C103,FALSE),0)+IF(CW$6="X",VLOOKUP(CW$10,'VK-Transport'!$C:$X,2+$B103,0))+IF(CW$8="X",VLOOKUP(CW$10,'VK-Elekter'!$C:$X,2+$D103,0))+IF(CW$9="X",VLOOKUP(CW$10,'VK-Biokütused'!$C:$U,2+$E103,0))+IF(CW$5="X",VLOOKUP(CW$10,'VK-Põlevkivi'!$C:$X,2+$G103,0))+IF(CW$4="X",VLOOKUP(CW$10,'VK-Võrgud'!$C:$X,2+$F103,0)))/16</f>
        <v>126.01875</v>
      </c>
      <c r="CY103" s="209">
        <f>(IF(CY$7="X",VLOOKUP(CY$10,'VK-Hooned-Soojus'!$C:$X,2+$C103,FALSE),0)+IF(CY$6="X",VLOOKUP(CY$10,'VK-Transport'!$C:$X,2+$B103,0))+IF(CY$8="X",VLOOKUP(CY$10,'VK-Elekter'!$C:$X,2+$D103,0))+IF(CY$9="X",VLOOKUP(CY$10,'VK-Biokütused'!$C:$U,2+$E103,0))+IF(CY$5="X",VLOOKUP(CY$10,'VK-Põlevkivi'!$C:$X,2+$G103,0))+IF(CY$4="X",VLOOKUP(CY$10,'VK-Võrgud'!$C:$X,2+$F103,0)))/1000</f>
        <v>10.683999999999999</v>
      </c>
      <c r="CZ103" s="209">
        <f>(IF(CZ$7="X",VLOOKUP(CZ$10,'VK-Hooned-Soojus'!$C:$X,2+$C103,FALSE),0)+IF(CZ$6="X",VLOOKUP(CZ$10,'VK-Transport'!$C:$X,2+$B103,0))+IF(CZ$8="X",VLOOKUP(CZ$10,'VK-Elekter'!$C:$X,2+$D103,0))+IF(CZ$9="X",VLOOKUP(CZ$10,'VK-Biokütused'!$C:$U,2+$E103,0))+IF(CZ$5="X",VLOOKUP(CZ$10,'VK-Põlevkivi'!$C:$X,2+$G103,0))+IF(CZ$4="X",VLOOKUP(CZ$10,'VK-Võrgud'!$C:$X,2+$F103,0)))</f>
        <v>73</v>
      </c>
      <c r="DA103" s="209">
        <f>(IF(DA$7="X",VLOOKUP(DA$10,'VK-Hooned-Soojus'!$C:$X,2+$C103,FALSE),0)+IF(DA$6="X",VLOOKUP(DA$10,'VK-Transport'!$C:$X,2+$B103,0))+IF(DA$8="X",VLOOKUP(DA$10,'VK-Elekter'!$C:$X,2+$D103,0))+IF(DA$9="X",VLOOKUP(DA$10,'VK-Biokütused'!$C:$U,2+$E103,0))+IF(DA$5="X",VLOOKUP(DA$10,'VK-Põlevkivi'!$C:$X,2+$G103,0))+IF(DA$4="X",VLOOKUP(DA$10,'VK-Võrgud'!$C:$X,2+$F103,0)))/1000</f>
        <v>14.065</v>
      </c>
      <c r="DB103" s="209">
        <f>(IF(DB$7="X",VLOOKUP(DB$10,'VK-Hooned-Soojus'!$C:$X,2+$C103,FALSE),0)+IF(DB$6="X",VLOOKUP(DB$10,'VK-Transport'!$C:$X,2+$B103,0))+IF(DB$8="X",VLOOKUP(DB$10,'VK-Elekter'!$C:$X,2+$D103,0))+IF(DB$9="X",VLOOKUP(DB$10,'VK-Biokütused'!$C:$U,2+$E103,0))+IF(DB$5="X",VLOOKUP(DB$10,'VK-Põlevkivi'!$C:$X,2+$G103,0))+IF(DB$4="X",VLOOKUP(DB$10,'VK-Võrgud'!$C:$X,2+$F103,0)))/1000/3.6</f>
        <v>63.104722222222222</v>
      </c>
      <c r="DC103" s="209">
        <f>(IF(DC$7="X",VLOOKUP(DC$10,'VK-Hooned-Soojus'!$C:$X,2+$C103,FALSE),0)+IF(DC$6="X",VLOOKUP(DC$10,'VK-Transport'!$C:$X,2+$B103,0))+IF(DC$8="X",VLOOKUP(DC$10,'VK-Elekter'!$C:$X,2+$D103,0))+IF(DC$9="X",VLOOKUP(DC$10,'VK-Biokütused'!$C:$U,2+$E103,0))+IF(DC$5="X",VLOOKUP(DC$10,'VK-Põlevkivi'!$C:$X,2+$G103,0))+IF(DC$4="X",VLOOKUP(DC$10,'VK-Võrgud'!$C:$X,2+$F103,0)))/1000000</f>
        <v>5.0744030000000002</v>
      </c>
      <c r="DD103" s="209"/>
      <c r="DE103" s="88">
        <f>VLOOKUP(Tulemused!$BN$12,data!M$7:N$12,2,FALSE)-SUM(L103,M103)</f>
        <v>-0.80250937302436398</v>
      </c>
      <c r="DF103" s="209" t="str">
        <f>IF(AZ103&lt;=VLOOKUP(Tulemused!$BN$15,data!$E$36:$F$39,2,FALSE),"JAH","EI")</f>
        <v>JAH</v>
      </c>
      <c r="DG103" s="209"/>
      <c r="DH103" s="209">
        <f t="shared" si="50"/>
        <v>6.78</v>
      </c>
      <c r="DI103" s="231" t="str">
        <f t="shared" si="65"/>
        <v>EI</v>
      </c>
      <c r="DK103" s="232">
        <f t="shared" si="51"/>
        <v>-993.73602296345041</v>
      </c>
      <c r="DM103" s="233">
        <f t="shared" si="52"/>
        <v>-996.27547263365011</v>
      </c>
      <c r="DN103" s="87">
        <f t="array" ref="DN103">INDEX($A$11:$A$145, SMALL(IF(DM103=$DK$11:$DK$145, MATCH(ROW($DK$11:$DK$145), ROW($DK$11:$DK$145))), SUM(--(DM103=$DM$11:DM103))))</f>
        <v>67</v>
      </c>
      <c r="DP103" s="87" t="e">
        <f t="shared" ca="1" si="66"/>
        <v>#N/A</v>
      </c>
      <c r="DQ103" s="87" t="e">
        <f t="shared" ca="1" si="67"/>
        <v>#N/A</v>
      </c>
      <c r="DR103" s="87">
        <f t="shared" ca="1" si="68"/>
        <v>0</v>
      </c>
      <c r="DS103" s="87" t="e">
        <f t="shared" ca="1" si="69"/>
        <v>#N/A</v>
      </c>
      <c r="DT103" s="87">
        <f t="shared" ca="1" si="70"/>
        <v>0</v>
      </c>
      <c r="DU103" s="87" t="e">
        <f t="shared" ca="1" si="71"/>
        <v>#N/A</v>
      </c>
      <c r="DV103" s="87" t="e">
        <f t="shared" ca="1" si="72"/>
        <v>#N/A</v>
      </c>
      <c r="DW103" s="87">
        <f t="shared" ca="1" si="73"/>
        <v>0</v>
      </c>
      <c r="DX103" s="87">
        <f t="shared" ca="1" si="74"/>
        <v>0</v>
      </c>
      <c r="DZ103" s="87">
        <f t="shared" ca="1" si="82"/>
        <v>0</v>
      </c>
      <c r="EB103" s="87">
        <f t="shared" ca="1" si="75"/>
        <v>0</v>
      </c>
      <c r="EC103" s="87" t="e">
        <f t="shared" ca="1" si="76"/>
        <v>#N/A</v>
      </c>
      <c r="EE103" s="228">
        <f>(IF(EE$7="X",VLOOKUP(EE$10,'VK-Hooned-Soojus'!$C:$X,2+$C103,FALSE),0)+IF(EE$6="X",VLOOKUP(EE$10,'VK-Transport'!$C:$X,2+$B103,0))+IF(EE$8="X",VLOOKUP(EE$10,'VK-Elekter'!$C:$X,2+$D103,0))+IF(EE$9="X",VLOOKUP(EE$10,'VK-Biokütused'!$C:$U,2+$E103,0))+IF(EE$5="X",VLOOKUP(EE$10,'VK-Põlevkivi'!$C:$X,2+$G103,0))+IF(EE$4="X",VLOOKUP(EE$10,'VK-Võrgud'!$C:$X,2+$F103,0)))</f>
        <v>9780.6812023385355</v>
      </c>
      <c r="EF103" s="235">
        <f>(IF(EF$7="X",VLOOKUP(EF$10,'VK-Hooned-Soojus'!$C:$X,2+$C103,FALSE),0)+IF(EF$6="X",VLOOKUP(EF$10,'VK-Transport'!$C:$X,2+$B103,0))+IF(EF$8="X",VLOOKUP(EF$10,'VK-Elekter'!$C:$X,2+$D103,0))+IF(EF$9="X",VLOOKUP(EF$10,'VK-Biokütused'!$C:$U,2+$E103,0)))/1000</f>
        <v>3.9978849906373197</v>
      </c>
      <c r="EG103" s="209">
        <f>(IF(EG$7="X",VLOOKUP(EG$10,'VK-Hooned-Soojus'!$C:$X,2+$C103,FALSE),0)+IF(EG$6="X",VLOOKUP(EG$10,'VK-Transport'!$C:$X,2+$B103,0))+IF(EG$8="X",VLOOKUP(EG$10,'VK-Elekter'!$C:$X,2+$D103,0))+IF(EG$9="X",VLOOKUP(EG$10,'VK-Biokütused'!$C:$U,2+$E103,0))+IF(EG$5="X",VLOOKUP(EG$10,'VK-Põlevkivi'!$C:$X,2+$G103,0))+IF(EG$4="X",VLOOKUP(EG$10,'VK-Võrgud'!$C:$X,2+$F103,0)))</f>
        <v>0.81</v>
      </c>
      <c r="EH103" s="209">
        <f>(IF(EH$7="X",VLOOKUP(EH$10,'VK-Hooned-Soojus'!$C:$X,2+$C103,FALSE),0)+IF(EH$6="X",VLOOKUP(EH$10,'VK-Transport'!$C:$X,2+$B103,0))+IF(EH$8="X",VLOOKUP(EH$10,'VK-Elekter'!$C:$X,2+$D103,0))+IF(EH$9="X",VLOOKUP(EH$10,'VK-Biokütused'!$C:$U,2+$E103,0)))+AR103+AS103+AU103+AX103</f>
        <v>54.244637038771785</v>
      </c>
      <c r="EI103" s="320">
        <f t="shared" si="53"/>
        <v>47.40290051679586</v>
      </c>
      <c r="EJ103" s="322">
        <f t="shared" si="54"/>
        <v>2.3132392489112068E-2</v>
      </c>
      <c r="EK103" s="323">
        <f t="shared" si="77"/>
        <v>0.4418964743705141</v>
      </c>
      <c r="EM103" s="209"/>
      <c r="EN103" s="209">
        <f t="shared" ca="1" si="55"/>
        <v>0</v>
      </c>
      <c r="EO103" s="209"/>
      <c r="EP103" s="234"/>
      <c r="EQ103" s="209">
        <f>(IF(EQ$7="X",VLOOKUP(EQ$10,'VK-Hooned-Soojus'!$C:$X,2+$C103,FALSE),0)+IF(EQ$6="X",VLOOKUP(EQ$10,'VK-Transport'!$C:$X,2+$B103,0))+IF(EQ$8="X",VLOOKUP(EQ$10,'VK-Elekter'!$C:$X,2+$D103,0))+IF(EQ$9="X",VLOOKUP(EQ$10,'VK-Biokütused'!$C:$U,2+$E103,0))+IF(EQ$5="X",VLOOKUP(EQ$10,'VK-Põlevkivi'!$C:$X,2+$G103,0))+IF(EQ$4="X",VLOOKUP(EQ$10,'VK-Võrgud'!$C:$X,2+$F103,0)))/1000</f>
        <v>0.22900000000000001</v>
      </c>
      <c r="ER103" s="209">
        <f>(IF(ER$7="X",VLOOKUP(ER$10,'VK-Hooned-Soojus'!$C:$X,2+$C103,FALSE),0)+IF(ER$6="X",VLOOKUP(ER$10,'VK-Transport'!$C:$X,2+$B103,0))+IF(ER$8="X",VLOOKUP(ER$10,'VK-Elekter'!$C:$X,2+$D103,0))+IF(ER$9="X",VLOOKUP(ER$10,'VK-Biokütused'!$C:$U,2+$E103,0))+IF(ER$5="X",VLOOKUP(ER$10,'VK-Põlevkivi'!$C:$X,2+$G103,0))+IF(ER$4="X",VLOOKUP(ER$10,'VK-Võrgud'!$C:$X,2+$F103,0)))</f>
        <v>0.82899999999999996</v>
      </c>
      <c r="ES103" s="209">
        <f>(IF(ES$7="X",VLOOKUP(ES$10,'VK-Hooned-Soojus'!$C:$X,2+$C103,FALSE),0)+IF(ES$6="X",VLOOKUP(ES$10,'VK-Transport'!$C:$X,2+$B103,0))+IF(ES$8="X",VLOOKUP(ES$10,'VK-Elekter'!$C:$X,2+$D103,0))+IF(ES$9="X",VLOOKUP(ES$10,'VK-Biokütused'!$C:$U,2+$E103,0))+IF(ES$5="X",VLOOKUP(ES$10,'VK-Põlevkivi'!$C:$X,2+$G103,0))+IF(ES$4="X",VLOOKUP(ES$10,'VK-Võrgud'!$C:$X,2+$F103,0)))</f>
        <v>6.78</v>
      </c>
      <c r="ET103" s="209"/>
      <c r="EU103" s="209"/>
      <c r="EV103" s="87">
        <f>'KSH järjestus'!AS96</f>
        <v>1422</v>
      </c>
      <c r="EX103" s="236"/>
      <c r="EY103" s="236"/>
      <c r="EZ103" s="237">
        <f t="shared" si="56"/>
        <v>0.27911646586345373</v>
      </c>
      <c r="FA103" s="209">
        <f>IF(FA$7="X",VLOOKUP(FA$10,'VK-Hooned-Soojus'!$C:$X,2+$C103,FALSE),0)+IF(FA$6="X",VLOOKUP(FA$10,'VK-Transport'!$C:$X,2+$B103,0))+IF(FA$8="X",VLOOKUP(FA$10,'VK-Elekter'!$C:$X,2+$D103,0))+IF(FA$9="X",VLOOKUP(FA$10,'VK-Biokütused'!$C:$U,2+$E103,0))+IF(FA$5="X",VLOOKUP(FA$10,'VK-Põlevkivi'!$C:$X,2+$G103,0))+IF(FA$4="X",VLOOKUP(FA$10,'VK-Võrgud'!$C:$X,2+$F103,0))</f>
        <v>3103.9189999999999</v>
      </c>
      <c r="FB103" s="279">
        <f>(IF(FB$7="X",VLOOKUP(FB$10,'VK-Hooned-Soojus'!$C:$X,2+$C103,FALSE),0)+IF(FB$6="X",VLOOKUP(FB$10,'VK-Transport'!$C:$X,2+$B103,0))+IF(FB$8="X",VLOOKUP(FB$10,'VK-Elekter'!$C:$X,2+$D103,0))+IF(FB$9="X",VLOOKUP(FB$10,'VK-Biokütused'!$C:$U,2+$E103,0))+IF(FB$5="X",VLOOKUP(FB$10,'VK-Põlevkivi'!$C:$X,2+$G103,0))+IF(FB$4="X",VLOOKUP(FB$10,'VK-Võrgud'!$C:$X,2+$F103,0)))/16</f>
        <v>513.55121830875555</v>
      </c>
      <c r="FC103" s="209">
        <f>IF(FC$7="X",VLOOKUP(FC$10,'VK-Hooned-Soojus'!$C:$X,2+$C103,FALSE),0)+IF(FC$6="X",VLOOKUP(FC$10,'VK-Transport'!$C:$X,2+$B103,0))+IF(FC$8="X",VLOOKUP(FC$10,'VK-Elekter'!$C:$X,2+$D103,0))+IF(FC$9="X",VLOOKUP(FC$10,'VK-Biokütused'!$C:$U,2+$E103,0))+IF(FC$5="X",VLOOKUP(FC$10,'VK-Põlevkivi'!$C:$X,2+$G103,0))+IF(FC$4="X",VLOOKUP(FC$10,'VK-Võrgud'!$C:$X,2+$F103,0))</f>
        <v>315.49999999999994</v>
      </c>
      <c r="FD103" s="209">
        <f>(IF(FD$7="X",VLOOKUP(FD$10,'VK-Hooned-Soojus'!$C:$X,2+$C103,FALSE),0)+IF(FD$6="X",VLOOKUP(FD$10,'VK-Transport'!$C:$X,2+$B103,0))+IF(FD$8="X",VLOOKUP(FD$10,'VK-Elekter'!$C:$X,2+$D103,0))+IF(FD$9="X",VLOOKUP(FD$10,'VK-Biokütused'!$C:$U,2+$E103,0))+IF(FD$5="X",VLOOKUP(FD$10,'VK-Põlevkivi'!$C:$X,2+$G103,0))+IF(FD$4="X",VLOOKUP(FD$10,'VK-Võrgud'!$C:$X,2+$F103,0)))/16</f>
        <v>513.55121830875555</v>
      </c>
      <c r="FE103" s="209">
        <f>(IF(FE$7="X",VLOOKUP(FE$10,'VK-Hooned-Soojus'!$C:$X,2+$C103,FALSE),0)+IF(FE$6="X",VLOOKUP(FE$10,'VK-Transport'!$C:$X,2+$B103,0))+IF(FE$8="X",VLOOKUP(FE$10,'VK-Elekter'!$C:$X,2+$D103,0))+IF(FE$9="X",VLOOKUP(FE$10,'VK-Biokütused'!$C:$U,2+$E103,0))+IF(FE$5="X",VLOOKUP(FE$10,'VK-Põlevkivi'!$C:$X,2+$G103,0))+IF(FE$4="X",VLOOKUP(FE$10,'VK-Võrgud'!$C:$X,2+$F103,0)))/16</f>
        <v>-74.878313699091038</v>
      </c>
      <c r="FF103" s="209">
        <f>(IF(FF$7="X",VLOOKUP(FF$10,'VK-Hooned-Soojus'!$C:$X,2+$C103,FALSE),0)+IF(FF$6="X",VLOOKUP(FF$10,'VK-Transport'!$C:$X,2+$B103,0))+IF(FF$8="X",VLOOKUP(FF$10,'VK-Elekter'!$C:$X,2+$D103,0))+IF(FF$9="X",VLOOKUP(FF$10,'VK-Biokütused'!$C:$U,2+$E103,0))+IF(FF$5="X",VLOOKUP(FF$10,'VK-Põlevkivi'!$C:$X,2+$G103,0))+IF(FF$4="X",VLOOKUP(FF$10,'VK-Võrgud'!$C:$X,2+$F103,0)))/16</f>
        <v>207.82105483339603</v>
      </c>
      <c r="FG103" s="88">
        <f t="shared" ca="1" si="78"/>
        <v>132.94274113430498</v>
      </c>
      <c r="FH103" s="88"/>
      <c r="FI103" s="88"/>
      <c r="FJ103" s="88">
        <f>VLOOKUP(Tulemused!$BN$12,data!M$7:N$12,2,FALSE)-SUM(L103,M103)</f>
        <v>-0.80250937302436398</v>
      </c>
      <c r="FK103" s="209" t="str">
        <f>IF(AZ103&lt;=VLOOKUP(Tulemused!$BN$15,data!$E$36:$F$39,2,FALSE),"JAH","EI")</f>
        <v>JAH</v>
      </c>
      <c r="FL103" s="235">
        <f ca="1">IF(ISNA(MATCH($A103,INDIRECT(VLOOKUP(Tulemused!$BF$11,data!$J$57:$M$71,4,FALSE)))),0,MATCH($A103,INDIRECT(VLOOKUP(Tulemused!$BF$11,data!$J$57:$M$71,4,FALSE))))</f>
        <v>0</v>
      </c>
      <c r="FM103" s="235" t="str">
        <f t="shared" ca="1" si="57"/>
        <v>JAH</v>
      </c>
      <c r="FN103" s="209">
        <f>VLOOKUP(Tulemused!$BN$13,data!$C$132:$D$137,2,FALSE)-KOMBI!R103</f>
        <v>4.3168850093626805</v>
      </c>
      <c r="FO103" s="209"/>
      <c r="FP103" s="209">
        <f>VLOOKUP(Tulemused!$BN$17,NO_x,2,FALSE)-CJ103</f>
        <v>11.356999999999999</v>
      </c>
      <c r="FQ103" s="209">
        <f>VLOOKUP(Tulemused!$BN$18,SO_2,2,FALSE)-CK103</f>
        <v>39.081503451566491</v>
      </c>
      <c r="FR103" s="209">
        <f>VLOOKUP(Tulemused!$BN$19,LOU,2,FALSE)-CN103</f>
        <v>34.029000000000003</v>
      </c>
      <c r="FS103" s="209">
        <f>VLOOKUP(Tulemused!$BN$20,PM_2.5,2,FALSE)-CM103</f>
        <v>8.4089999999999989</v>
      </c>
      <c r="FT103" s="209">
        <f>VLOOKUP(Tulemused!$BN$13,data!$C$132:$D$137,2,FALSE)-FA103/1000</f>
        <v>3.1420510000000008</v>
      </c>
      <c r="FU103" s="209">
        <f>VLOOKUP(Tulemused!$BN$17,NO_x,2,FALSE)-CO103</f>
        <v>5.3286376626430041</v>
      </c>
      <c r="FV103" s="209">
        <f>VLOOKUP(Tulemused!$BN$18,SO_2,2,FALSE)-CP103</f>
        <v>38.060607879306339</v>
      </c>
      <c r="FW103" s="209">
        <f>VLOOKUP(Tulemused!$BN$19,LOU,2,FALSE)-CS103</f>
        <v>33.241350490137769</v>
      </c>
      <c r="FX103" s="209">
        <f>VLOOKUP(Tulemused!$BN$20,PM_2.5,2,FALSE)-CR103</f>
        <v>8.8432481626003092</v>
      </c>
      <c r="FY103" s="209">
        <f>VLOOKUP(Tulemused!$BN$14,KHG_2050,2,FALSE)-EF103</f>
        <v>96.002115009362683</v>
      </c>
      <c r="FZ103" s="231" t="str">
        <f t="shared" ca="1" si="79"/>
        <v>EI</v>
      </c>
      <c r="GA103" s="209"/>
      <c r="GB103" s="209"/>
      <c r="GC103" s="209"/>
      <c r="GD103" s="231"/>
      <c r="GE103" s="87">
        <f t="shared" si="58"/>
        <v>1422</v>
      </c>
      <c r="GF103" s="232" t="str">
        <f t="shared" ca="1" si="80"/>
        <v/>
      </c>
      <c r="GH103" s="238" t="e">
        <f t="shared" ca="1" si="59"/>
        <v>#NUM!</v>
      </c>
      <c r="GI103" s="87" t="e">
        <f t="array" aca="1" ref="GI103" ca="1">INDEX($A$11:$A$145, SMALL(IF(GH103=$GF$11:$GF$145, MATCH(ROW($GF$11:$GF$145), ROW($GF$11:$GF$145))), SUM(--(GH103=$GH$11:GH103))))</f>
        <v>#NUM!</v>
      </c>
      <c r="GM103" s="209">
        <f>IF(GM$7="X",VLOOKUP(GM$10,'VK-Hooned-Soojus'!$C:$X,2+$C103,FALSE),0)+IF(GM$6="X",VLOOKUP(GM$10,'VK-Transport'!$C:$X,2+$B103,0))+IF(GM$8="X",VLOOKUP(GM$10,'VK-Elekter'!$C:$X,2+$D103,0))+IF(GM$9="X",VLOOKUP(GM$10,'VK-Biokütused'!$C:$U,2+$E103,0))+IF(GM$5="X",VLOOKUP(GM$10,'VK-Põlevkivi'!$C:$X,2+$G103,0))+IF(GM$4="X",VLOOKUP(GM$10,'VK-Võrgud'!$C:$X,2+$F103,0))</f>
        <v>6.012827991027228</v>
      </c>
      <c r="GN103" s="209">
        <f>IF(GN$7="X",VLOOKUP(GN$10,'VK-Hooned-Soojus'!$C:$X,2+$C103,FALSE),0)+IF(GN$6="X",VLOOKUP(GN$10,'VK-Transport'!$C:$X,2+$B103,0))+IF(GN$8="X",VLOOKUP(GN$10,'VK-Elekter'!$C:$X,2+$D103,0))+IF(GN$9="X",VLOOKUP(GN$10,'VK-Biokütused'!$C:$U,2+$E103,0))+IF(GN$5="X",VLOOKUP(GN$10,'VK-Põlevkivi'!$C:$X,2+$G103,0))+IF(GN$4="X",VLOOKUP(GN$10,'VK-Võrgud'!$C:$X,2+$F103,0))</f>
        <v>3.4467619395011728</v>
      </c>
      <c r="GO103" s="209">
        <f>IF(GO$7="X",VLOOKUP(GO$10,'VK-Hooned-Soojus'!$C:$X,2+$C103,FALSE),0)+IF(GO$6="X",VLOOKUP(GO$10,'VK-Transport'!$C:$X,2+$B103,0))+IF(GO$8="X",VLOOKUP(GO$10,'VK-Elekter'!$C:$X,2+$D103,0))+IF(GO$9="X",VLOOKUP(GO$10,'VK-Biokütused'!$C:$U,2+$E103,0))+IF(GO$5="X",VLOOKUP(GO$10,'VK-Põlevkivi'!$C:$X,2+$G103,0))+IF(GO$4="X",VLOOKUP(GO$10,'VK-Võrgud'!$C:$X,2+$F103,0))</f>
        <v>8.7471755658278116</v>
      </c>
      <c r="GP103" s="209">
        <f>IF(GP$7="X",VLOOKUP(GP$10,'VK-Hooned-Soojus'!$C:$X,2+$C103,FALSE),0)+IF(GP$6="X",VLOOKUP(GP$10,'VK-Transport'!$C:$X,2+$B103,0))+IF(GP$8="X",VLOOKUP(GP$10,'VK-Elekter'!$C:$X,2+$D103,0))+IF(GP$9="X",VLOOKUP(GP$10,'VK-Biokütused'!$C:$U,2+$E103,0))+IF(GP$5="X",VLOOKUP(GP$10,'VK-Põlevkivi'!$C:$X,2+$G103,0))+IF(GP$4="X",VLOOKUP(GP$10,'VK-Võrgud'!$C:$X,2+$F103,0))</f>
        <v>9.3279335818485372</v>
      </c>
      <c r="GQ103" s="88">
        <f>IF(GQ$7="X",VLOOKUP(GQ$10,'VK-Hooned-Soojus'!$C:$X,2+$C103,FALSE),0)+IF(GQ$6="X",VLOOKUP(GQ$10,'VK-Transport'!$C:$X,2+$B103,0))+IF(GQ$8="X",VLOOKUP(GQ$10,'VK-Elekter'!$C:$X,2+$D103,0))+IF(GQ$9="X",VLOOKUP(GQ$10,'VK-Biokütused'!$C:$U,2+$E103,0))+IF(GQ$5="X",VLOOKUP(GQ$10,'VK-Põlevkivi'!$C:$X,2+$G103,0))+IF(GQ$4="X",VLOOKUP(GQ$10,'VK-Võrgud'!$C:$X,2+$F103,0))</f>
        <v>0.89042766952822527</v>
      </c>
      <c r="GR103" s="186">
        <f t="shared" si="81"/>
        <v>0.40627315299312855</v>
      </c>
    </row>
    <row r="104" spans="1:200" x14ac:dyDescent="0.2">
      <c r="A104" s="184">
        <v>94</v>
      </c>
      <c r="B104" s="87">
        <v>3</v>
      </c>
      <c r="C104" s="87">
        <v>1</v>
      </c>
      <c r="D104" s="87">
        <v>2</v>
      </c>
      <c r="E104" s="87">
        <v>1</v>
      </c>
      <c r="F104" s="87">
        <f>VLOOKUP(Tulemused!$BF$7,data!$J$6:$K$8,2,FALSE)</f>
        <v>2</v>
      </c>
      <c r="G104" s="87">
        <f>VLOOKUP(data!$H$2,data!$J$12:$K$14,2,FALSE)</f>
        <v>2</v>
      </c>
      <c r="I104" s="209">
        <f>IF(I$7="X",VLOOKUP(I$10,'VK-Hooned-Soojus'!$C:$X,2+$C104,FALSE),0)+IF(I$6="X",VLOOKUP(I$10,'VK-Transport'!$C:$X,2+$B104,0))+IF(I$8="X",VLOOKUP(I$10,'VK-Elekter'!$C:$X,2+$D104,0))+IF(I$9="X",VLOOKUP(I$10,'VK-Biokütused'!$C:$U,2+$E104,0))+IF(I$5="X",VLOOKUP(I$10,'VK-Põlevkivi'!$C:$X,2+$G104,0))+IF(I$4="X",VLOOKUP(I$10,'VK-Võrgud'!$C:$X,2+$F104,0))</f>
        <v>26.89</v>
      </c>
      <c r="J104" s="209">
        <f>IF(J$7="X",VLOOKUP(J$10,'VK-Hooned-Soojus'!$C:$X,2+$C104,FALSE),0)+IF(J$6="X",VLOOKUP(J$10,'VK-Transport'!$C:$X,2+$B104,0))+IF(J$8="X",VLOOKUP(J$10,'VK-Elekter'!$C:$X,2+$D104,0))+IF(J$9="X",VLOOKUP(J$10,'VK-Biokütused'!$C:$U,2+$E104,0))+IF(J$5="X",VLOOKUP(J$10,'VK-Põlevkivi'!$C:$X,2+$G104,0))+IF(J$4="X",VLOOKUP(J$10,'VK-Võrgud'!$C:$X,2+$F104,0))</f>
        <v>8.1258333333333344</v>
      </c>
      <c r="K104" s="209">
        <f>IF(K$7="X",VLOOKUP(K$10,'VK-Hooned-Soojus'!$C:$X,2+$C104,FALSE),0)+IF(K$6="X",VLOOKUP(K$10,'VK-Transport'!$C:$X,2+$B104,0))+IF(K$8="X",VLOOKUP(K$10,'VK-Elekter'!$C:$X,2+$D104,0))+IF(K$9="X",VLOOKUP(K$10,'VK-Biokütused'!$C:$U,2+$E104,0))+IF(K$5="X",VLOOKUP(K$10,'VK-Põlevkivi'!$C:$X,2+$G104,0))+IF(K$4="X",VLOOKUP(K$10,'VK-Võrgud'!$C:$X,2+$F104,0))</f>
        <v>16.75</v>
      </c>
      <c r="L104" s="209">
        <f>IF(L$7="X",VLOOKUP(L$10,'VK-Hooned-Soojus'!$C:$X,2+$C104,FALSE),0)+IF(L$6="X",VLOOKUP(L$10,'VK-Transport'!$C:$X,2+$B104,0))+IF(L$8="X",VLOOKUP(L$10,'VK-Elekter'!$C:$X,2+$D104,0))+IF(L$9="X",VLOOKUP(L$10,'VK-Biokütused'!$C:$U,2+$E104,0))+IF(L$5="X",VLOOKUP(L$10,'VK-Põlevkivi'!$C:$X,2+$G104,0))+IF(L$4="X",VLOOKUP(L$10,'VK-Võrgud'!$C:$X,2+$F104,0))</f>
        <v>24.95</v>
      </c>
      <c r="M104" s="209">
        <f>IF(M$7="X",VLOOKUP(M$10,'VK-Hooned-Soojus'!$C:$X,2+$C104,FALSE),0)+IF(M$6="X",VLOOKUP(M$10,'VK-Transport'!$C:$X,2+$B104,0))+IF(M$8="X",VLOOKUP(M$10,'VK-Elekter'!$C:$X,2+$D104,0))+IF(M$9="X",VLOOKUP(M$10,'VK-Biokütused'!$C:$U,2+$E104,0))+IF(M$5="X",VLOOKUP(M$10,'VK-Põlevkivi'!$C:$X,2+$G104,0))+IF(M$4="X",VLOOKUP(M$10,'VK-Võrgud'!$C:$X,2+$F104,0))</f>
        <v>8.68530937302436</v>
      </c>
      <c r="N104" s="209">
        <f>IF(N$7="X",VLOOKUP(N$10,'VK-Hooned-Soojus'!$C:$X,2+$C104,FALSE),0)+IF(N$6="X",VLOOKUP(N$10,'VK-Transport'!$C:$X,2+$B104,0))+IF(N$8="X",VLOOKUP(N$10,'VK-Elekter'!$C:$X,2+$D104,0))+IF(N$9="X",VLOOKUP(N$10,'VK-Biokütused'!$C:$U,2+$E104,0))+IF(N$5="X",VLOOKUP(N$10,'VK-Põlevkivi'!$C:$X,2+$G104,0))+IF(N$4="X",VLOOKUP(N$10,'VK-Võrgud'!$C:$X,2+$F104,0))</f>
        <v>16.75</v>
      </c>
      <c r="O104" s="209">
        <f t="shared" si="60"/>
        <v>35.015833333333333</v>
      </c>
      <c r="P104" s="209"/>
      <c r="Q104" s="209">
        <f>(IF(Q$7="X",VLOOKUP(Q$10,'VK-Hooned-Soojus'!$C:$X,2+$C104,FALSE),0)+IF(Q$6="X",VLOOKUP(Q$10,'VK-Transport'!$C:$X,2+$B104,0))+IF(Q$8="X",VLOOKUP(Q$10,'VK-Elekter'!$C:$X,2+$D104,0))+IF(Q$9="X",VLOOKUP(Q$10,'VK-Biokütused'!$C:$U,2+$E104,0))+IF(Q$5="X",VLOOKUP(Q$10,'VK-Põlevkivi'!$C:$X,2+$G104,0))+IF(Q$4="X",VLOOKUP(Q$10,'VK-Võrgud'!$C:$X,2+$F104,0)))/1000</f>
        <v>5.3630000000000004</v>
      </c>
      <c r="R104" s="209">
        <f>(IF(R$7="X",VLOOKUP(R$10,'VK-Hooned-Soojus'!$C:$X,2+$C104,FALSE),0)+IF(R$6="X",VLOOKUP(R$10,'VK-Transport'!$C:$X,2+$B104,0))+IF(R$8="X",VLOOKUP(R$10,'VK-Elekter'!$C:$X,2+$D104,0))+IF(R$9="X",VLOOKUP(R$10,'VK-Biokütused'!$C:$U,2+$E104,0))+IF(R$5="X",VLOOKUP(R$10,'VK-Põlevkivi'!$C:$X,2+$G104,0))+IF(R$4="X",VLOOKUP(R$10,'VK-Võrgud'!$C:$X,2+$F104,0)))/1000</f>
        <v>1.3428849906373199</v>
      </c>
      <c r="S104" s="226">
        <f>VLOOKUP(S$10,'VK-Hooned-Soojus'!$C:$I,2+$C104,FALSE) + VLOOKUP(S$10,'VK-Transport'!$C:$I,2+$B104,FALSE)+ VLOOKUP(S$10,'VK-Biokütused'!$C:$G,2+$E104,FALSE)+ VLOOKUP(S$10,'VK-Elekter'!$C:$I,2+$D104,FALSE)+ VLOOKUP(S$10,'VK-Põlevkivi'!$C:$I,2+$G104,FALSE)+ VLOOKUP(S$10,'VK-Võrgud'!$C:$I,2+$F104,FALSE)</f>
        <v>9.1165683869144261E-3</v>
      </c>
      <c r="T104" s="226">
        <f>VLOOKUP(T$10,'VK-Hooned-Soojus'!$C:$I,2+$C104,FALSE) + VLOOKUP(T$10,'VK-Transport'!$C:$I,2+$B104,FALSE)+ VLOOKUP(T$10,'VK-Biokütused'!$C:$G,2+$E104,FALSE)+ VLOOKUP(T$10,'VK-Elekter'!$C:$I,2+$D104,FALSE)+ VLOOKUP(T$10,'VK-Põlevkivi'!$C:$I,2+$G104,FALSE)+ VLOOKUP(T$10,'VK-Võrgud'!$C:$I,2+$F104,FALSE)</f>
        <v>8.2676606803003868E-3</v>
      </c>
      <c r="U104" s="226">
        <f>VLOOKUP(U$10,'VK-Hooned-Soojus'!$C:$I,2+$C104,FALSE) + VLOOKUP(U$10,'VK-Transport'!$C:$I,2+$B104,FALSE)+ VLOOKUP(U$10,'VK-Biokütused'!$C:$G,2+$E104,FALSE)+ VLOOKUP(U$10,'VK-Elekter'!$C:$I,2+$D104,FALSE)+ VLOOKUP(U$10,'VK-Põlevkivi'!$C:$I,2+$G104,FALSE)+ VLOOKUP(U$10,'VK-Võrgud'!$C:$I,2+$F104,FALSE)</f>
        <v>4.1769609144746422E-3</v>
      </c>
      <c r="V104" s="226">
        <f>VLOOKUP(V$10,'VK-Hooned-Soojus'!$C:$I,2+$C104,FALSE) + VLOOKUP(V$10,'VK-Transport'!$C:$I,2+$B104,FALSE)+ VLOOKUP(V$10,'VK-Biokütused'!$C:$G,2+$E104,FALSE)+ VLOOKUP(V$10,'VK-Elekter'!$C:$I,2+$D104,FALSE)+ VLOOKUP(V$10,'VK-Põlevkivi'!$C:$I,2+$G104,FALSE)+ VLOOKUP(V$10,'VK-Võrgud'!$C:$I,2+$F104,FALSE)</f>
        <v>5.0012849507454762E-3</v>
      </c>
      <c r="W104" s="226">
        <f>VLOOKUP(W$10,'VK-Hooned-Soojus'!$C:$I,2+$C104,FALSE) + VLOOKUP(W$10,'VK-Transport'!$C:$I,2+$B104,FALSE)+ VLOOKUP(W$10,'VK-Biokütused'!$C:$G,2+$E104,FALSE)+ VLOOKUP(W$10,'VK-Elekter'!$C:$I,2+$D104,FALSE)+ VLOOKUP(W$10,'VK-Põlevkivi'!$C:$I,2+$G104,FALSE)+ VLOOKUP(W$10,'VK-Võrgud'!$C:$I,2+$F104,FALSE)</f>
        <v>-3.1268256174683595E-2</v>
      </c>
      <c r="X104" s="226">
        <f>VLOOKUP(X$10,'VK-Hooned-Soojus'!$C:$I,2+$C104,FALSE) + VLOOKUP(X$10,'VK-Transport'!$C:$I,2+$B104,FALSE)+ VLOOKUP(X$10,'VK-Biokütused'!$C:$G,2+$E104,FALSE)+ VLOOKUP(X$10,'VK-Elekter'!$C:$I,2+$D104,FALSE)+ VLOOKUP(X$10,'VK-Põlevkivi'!$C:$I,2+$G104,FALSE)+ VLOOKUP(X$10,'VK-Võrgud'!$C:$I,2+$F104,FALSE)</f>
        <v>-4.0780121498279386E-2</v>
      </c>
      <c r="Y104" s="226">
        <f>VLOOKUP(Y$10,'VK-Hooned-Soojus'!$C:$I,2+$C104,FALSE) + VLOOKUP(Y$10,'VK-Transport'!$C:$I,2+$B104,FALSE)+ VLOOKUP(Y$10,'VK-Biokütused'!$C:$G,2+$E104,FALSE)+ VLOOKUP(Y$10,'VK-Elekter'!$C:$I,2+$D104,FALSE)+ VLOOKUP(Y$10,'VK-Põlevkivi'!$C:$I,2+$G104,FALSE)+ VLOOKUP(Y$10,'VK-Võrgud'!$C:$I,2+$F104,FALSE)</f>
        <v>-4.9840806712681131E-2</v>
      </c>
      <c r="Z104" s="227">
        <f>(S104*Tulemused!$Q$9*10+T104*Tulemused!$Q$10*10+KOMBI!U104*Tulemused!$Q$11*10+KOMBI!V104*Tulemused!$Q$12*10)*Tulemused!$Q$8+-(W104*Tulemused!$Q$14*10+KOMBI!X104*Tulemused!$Q$15*10+KOMBI!Y104*Tulemused!$Q$16*10)*Tulemused!$Q$13</f>
        <v>4.4463854982816349</v>
      </c>
      <c r="AA104" s="228">
        <f>(IF(AA$7="X",VLOOKUP(AA$10,'VK-Hooned-Soojus'!$C:$X,2+$C104,FALSE),0)+IF(AA$6="X",VLOOKUP(AA$10,'VK-Transport'!$C:$X,2+$B104,0))+IF(AA$8="X",VLOOKUP(AA$10,'VK-Elekter'!$C:$X,2+$D104,0))+IF(AA$9="X",VLOOKUP(AA$10,'VK-Biokütused'!$C:$U,2+$E104,0))+IF(AA$5="X",VLOOKUP(AA$10,'VK-Põlevkivi'!$C:$X,2+$G104,0))+IF(AA$4="X",VLOOKUP(AA$10,'VK-Võrgud'!$C:$X,2+$F104,0)))</f>
        <v>3761</v>
      </c>
      <c r="AB104" s="228">
        <f>(IF(AB$7="X",VLOOKUP(AB$10,'VK-Hooned-Soojus'!$C:$X,2+$C104,FALSE),0)+IF(AB$6="X",VLOOKUP(AB$10,'VK-Transport'!$C:$X,2+$B104,0))+IF(AB$8="X",VLOOKUP(AB$10,'VK-Elekter'!$C:$X,2+$D104,0))+IF(AB$9="X",VLOOKUP(AB$10,'VK-Biokütused'!$C:$U,2+$E104,0))+IF(AB$5="X",VLOOKUP(AB$10,'VK-Põlevkivi'!$C:$X,2+$G104,0))+IF(AB$4="X",VLOOKUP(AB$10,'VK-Võrgud'!$C:$X,2+$F104,0)))</f>
        <v>1602</v>
      </c>
      <c r="AC104" s="228">
        <f>(IF(AC$7="X",VLOOKUP(AC$10,'VK-Hooned-Soojus'!$C:$X,2+$C104,FALSE),0)+IF(AC$6="X",VLOOKUP(AC$10,'VK-Transport'!$C:$X,2+$B104,0))+IF(AC$8="X",VLOOKUP(AC$10,'VK-Elekter'!$C:$X,2+$D104,0))+IF(AC$9="X",VLOOKUP(AC$10,'VK-Biokütused'!$C:$U,2+$E104,0))+IF(AC$5="X",VLOOKUP(AC$10,'VK-Põlevkivi'!$C:$X,2+$G104,0))+IF(AC$4="X",VLOOKUP(AC$10,'VK-Võrgud'!$C:$X,2+$F104,0)))</f>
        <v>2346</v>
      </c>
      <c r="AD104" s="228">
        <f>(IF(AD$7="X",VLOOKUP(AD$10,'VK-Hooned-Soojus'!$C:$X,2+$C104,FALSE),0)+IF(AD$6="X",VLOOKUP(AD$10,'VK-Transport'!$C:$X,2+$B104,0))+IF(AD$8="X",VLOOKUP(AD$10,'VK-Elekter'!$C:$X,2+$D104,0))+IF(AD$9="X",VLOOKUP(AD$10,'VK-Biokütused'!$C:$U,2+$E104,0))+IF(AD$5="X",VLOOKUP(AD$10,'VK-Põlevkivi'!$C:$X,2+$G104,0))+IF(AD$4="X",VLOOKUP(AD$10,'VK-Võrgud'!$C:$X,2+$F104,0)))</f>
        <v>0</v>
      </c>
      <c r="AE104" s="228">
        <f>(IF(AE$7="X",VLOOKUP(AE$10,'VK-Hooned-Soojus'!$C:$X,2+$C104,FALSE),0)+IF(AE$6="X",VLOOKUP(AE$10,'VK-Transport'!$C:$X,2+$B104,0))+IF(AE$8="X",VLOOKUP(AE$10,'VK-Elekter'!$C:$X,2+$D104,0))+IF(AE$9="X",VLOOKUP(AE$10,'VK-Biokütused'!$C:$U,2+$E104,0))+IF(AE$5="X",VLOOKUP(AE$10,'VK-Põlevkivi'!$C:$X,2+$G104,0))+IF(AE$4="X",VLOOKUP(AE$10,'VK-Võrgud'!$C:$X,2+$F104,0)))</f>
        <v>812</v>
      </c>
      <c r="AF104" s="228">
        <f>(IF(AF$7="X",VLOOKUP(AF$10,'VK-Hooned-Soojus'!$C:$X,2+$C104,FALSE),0)+IF(AF$6="X",VLOOKUP(AF$10,'VK-Transport'!$C:$X,2+$B104,0))+IF(AF$8="X",VLOOKUP(AF$10,'VK-Elekter'!$C:$X,2+$D104,0))+IF(AF$9="X",VLOOKUP(AF$10,'VK-Biokütused'!$C:$U,2+$E104,0))+IF(AF$5="X",VLOOKUP(AF$10,'VK-Põlevkivi'!$C:$X,2+$G104,0))+IF(AF$4="X",VLOOKUP(AF$10,'VK-Võrgud'!$C:$X,2+$F104,0)))</f>
        <v>530.88499063732002</v>
      </c>
      <c r="AG104" s="209"/>
      <c r="AH104" s="209">
        <f>IF(AH$7="X",VLOOKUP(AH$10,'VK-Hooned-Soojus'!$C:$X,2+$C104,FALSE),0)+IF(AH$6="X",VLOOKUP(AH$10,'VK-Transport'!$C:$X,2+$B104,0))+IF(AH$8="X",VLOOKUP(AH$10,'VK-Elekter'!$C:$X,2+$D104,0))+IF(AH$9="X",VLOOKUP(AH$10,'VK-Biokütused'!$C:$U,2+$E104,0))+IF(AH$5="X",VLOOKUP(AH$10,'VK-Põlevkivi'!$C:$X,2+$G104,0))+IF(AH$4="X",VLOOKUP(AH$10,'VK-Võrgud'!$C:$X,2+$F104,0))</f>
        <v>11.64</v>
      </c>
      <c r="AI104" s="209">
        <f>IF(AI$7="X",VLOOKUP(AI$10,'VK-Hooned-Soojus'!$C:$X,2+$C104,FALSE),0)+IF(AI$6="X",VLOOKUP(AI$10,'VK-Transport'!$C:$X,2+$B104,0))+IF(AI$8="X",VLOOKUP(AI$10,'VK-Elekter'!$C:$X,2+$D104,0))+IF(AI$9="X",VLOOKUP(AI$10,'VK-Biokütused'!$C:$U,2+$E104,0))+IF(AI$5="X",VLOOKUP(AI$10,'VK-Põlevkivi'!$C:$X,2+$G104,0))+IF(AI$4="X",VLOOKUP(AI$10,'VK-Võrgud'!$C:$X,2+$F104,0))</f>
        <v>2.3100000000000005</v>
      </c>
      <c r="AJ104" s="209">
        <f>IF(AJ$7="X",VLOOKUP(AJ$10,'VK-Hooned-Soojus'!$C:$X,2+$C104,FALSE),0)+IF(AJ$6="X",VLOOKUP(AJ$10,'VK-Transport'!$C:$X,2+$B104,0))+IF(AJ$8="X",VLOOKUP(AJ$10,'VK-Elekter'!$C:$X,2+$D104,0))+IF(AJ$9="X",VLOOKUP(AJ$10,'VK-Biokütused'!$C:$U,2+$E104,0))+IF(AJ$5="X",VLOOKUP(AJ$10,'VK-Põlevkivi'!$C:$X,2+$G104,0))+IF(AJ$4="X",VLOOKUP(AJ$10,'VK-Võrgud'!$C:$X,2+$F104,0))</f>
        <v>9.25</v>
      </c>
      <c r="AK104" s="209">
        <f>IF(AK$7="X",VLOOKUP(AK$10,'VK-Hooned-Soojus'!$C:$X,2+$C104,FALSE),0)+IF(AK$6="X",VLOOKUP(AK$10,'VK-Transport'!$C:$X,2+$B104,0))+IF(AK$8="X",VLOOKUP(AK$10,'VK-Elekter'!$C:$X,2+$D104,0))+IF(AK$9="X",VLOOKUP(AK$10,'VK-Biokütused'!$C:$U,2+$E104,0))+IF(AK$5="X",VLOOKUP(AK$10,'VK-Põlevkivi'!$C:$X,2+$G104,0))+IF(AK$4="X",VLOOKUP(AK$10,'VK-Võrgud'!$C:$X,2+$F104,0))</f>
        <v>2.78</v>
      </c>
      <c r="AL104" s="209">
        <f>IF(AL$7="X",VLOOKUP(AL$10,'VK-Hooned-Soojus'!$C:$X,2+$C104,FALSE),0)+IF(AL$6="X",VLOOKUP(AL$10,'VK-Transport'!$C:$X,2+$B104,0))+IF(AL$8="X",VLOOKUP(AL$10,'VK-Elekter'!$C:$X,2+$D104,0))+IF(AL$9="X",VLOOKUP(AL$10,'VK-Biokütused'!$C:$U,2+$E104,0))+IF(AL$5="X",VLOOKUP(AL$10,'VK-Põlevkivi'!$C:$X,2+$G104,0))+IF(AL$4="X",VLOOKUP(AL$10,'VK-Võrgud'!$C:$X,2+$F104,0))</f>
        <v>7.1999999999999993</v>
      </c>
      <c r="AM104" s="209">
        <f>IF(AM$7="X",VLOOKUP(AM$10,'VK-Hooned-Soojus'!$C:$X,2+$C104,FALSE),0)+IF(AM$6="X",VLOOKUP(AM$10,'VK-Transport'!$C:$X,2+$B104,0))+IF(AM$8="X",VLOOKUP(AM$10,'VK-Elekter'!$C:$X,2+$D104,0))+IF(AM$9="X",VLOOKUP(AM$10,'VK-Biokütused'!$C:$U,2+$E104,0))+IF(AM$5="X",VLOOKUP(AM$10,'VK-Põlevkivi'!$C:$X,2+$G104,0))+IF(AM$4="X",VLOOKUP(AM$10,'VK-Võrgud'!$C:$X,2+$F104,0))</f>
        <v>12.9</v>
      </c>
      <c r="AN104" s="209">
        <f>IF(AN$7="X",VLOOKUP(AN$10,'VK-Hooned-Soojus'!$C:$X,2+$C104,FALSE),0)+IF(AN$6="X",VLOOKUP(AN$10,'VK-Transport'!$C:$X,2+$B104,0))+IF(AN$8="X",VLOOKUP(AN$10,'VK-Elekter'!$C:$X,2+$D104,0))+IF(AN$9="X",VLOOKUP(AN$10,'VK-Biokütused'!$C:$U,2+$E104,0))+IF(AN$5="X",VLOOKUP(AN$10,'VK-Põlevkivi'!$C:$X,2+$G104,0))+IF(AN$4="X",VLOOKUP(AN$10,'VK-Võrgud'!$C:$X,2+$F104,0))</f>
        <v>5.6999999999999993</v>
      </c>
      <c r="AO104" s="209">
        <f>IF(AO$7="X",VLOOKUP(AO$10,'VK-Hooned-Soojus'!$C:$X,2+$C104,FALSE),0)+IF(AO$6="X",VLOOKUP(AO$10,'VK-Transport'!$C:$X,2+$B104,0))+IF(AO$8="X",VLOOKUP(AO$10,'VK-Elekter'!$C:$X,2+$D104,0))+IF(AO$9="X",VLOOKUP(AO$10,'VK-Biokütused'!$C:$U,2+$E104,0))+IF(AO$5="X",VLOOKUP(AO$10,'VK-Põlevkivi'!$C:$X,2+$G104,0))+IF(AO$4="X",VLOOKUP(AO$10,'VK-Võrgud'!$C:$X,2+$F104,0))</f>
        <v>13.56</v>
      </c>
      <c r="AP104" s="209">
        <f>IF(AP$7="X",VLOOKUP(AP$10,'VK-Hooned-Soojus'!$C:$X,2+$C104,FALSE),0)+IF(AP$6="X",VLOOKUP(AP$10,'VK-Transport'!$C:$X,2+$B104,0))+IF(AP$8="X",VLOOKUP(AP$10,'VK-Elekter'!$C:$X,2+$D104,0))+IF(AP$9="X",VLOOKUP(AP$10,'VK-Biokütused'!$C:$U,2+$E104,0))+IF(AP$5="X",VLOOKUP(AP$10,'VK-Põlevkivi'!$C:$X,2+$G104,0))+IF(AP$4="X",VLOOKUP(AP$10,'VK-Võrgud'!$C:$X,2+$F104,0))</f>
        <v>6.78</v>
      </c>
      <c r="AQ104" s="320">
        <f t="shared" si="61"/>
        <v>1.2599999999999998</v>
      </c>
      <c r="AR104" s="209">
        <f>IF(AR$7="X",VLOOKUP(AR$10,'VK-Hooned-Soojus'!$C:$X,2+$C104,FALSE),0)+IF(AR$6="X",VLOOKUP(AR$10,'VK-Transport'!$C:$X,2+$B104,0))+IF(AR$8="X",VLOOKUP(AR$10,'VK-Elekter'!$C:$X,2+$D104,0))+IF(AR$9="X",VLOOKUP(AR$10,'VK-Biokütused'!$C:$U,2+$E104,0))+IF(AR$5="X",VLOOKUP(AR$10,'VK-Põlevkivi'!$C:$X,2+$G104,0))+IF(AR$4="X",VLOOKUP(AR$10,'VK-Võrgud'!$C:$X,2+$F104,0))</f>
        <v>3.4899999999999998</v>
      </c>
      <c r="AS104" s="320">
        <f>VLOOKUP("Kütuste tarbimine @ 2030 - UTTEGAAS",'VK-Hooned-Soojus'!$C:$X,2+$C104,FALSE)/0.172+VLOOKUP("Kütuste tarbimine @ 2030 - UTTEGAAS",'VK-Elekter'!$C:$X,2+$D104,FALSE)/0.172-AR104-AU104</f>
        <v>2.7565116279069759</v>
      </c>
      <c r="AT104" s="209">
        <f>IF(AT$7="X",VLOOKUP(AT$10,'VK-Hooned-Soojus'!$C:$X,2+$C104,FALSE),0)+IF(AT$6="X",VLOOKUP(AT$10,'VK-Transport'!$C:$X,2+$B104,0))+IF(AT$8="X",VLOOKUP(AT$10,'VK-Elekter'!$C:$X,2+$D104,0))+IF(AT$9="X",VLOOKUP(AT$10,'VK-Biokütused'!$C:$U,2+$E104,0))+IF(AT$5="X",VLOOKUP(AT$10,'VK-Põlevkivi'!$C:$X,2+$G104,0))+IF(AT$4="X",VLOOKUP(AT$10,'VK-Võrgud'!$C:$X,2+$F104,0))</f>
        <v>5.7045296564339489</v>
      </c>
      <c r="AU104" s="229">
        <f>MAX(0,(VLOOKUP("Kütuste tarbimine @ 2030 - UTTEGAAS",'VK-Hooned-Soojus'!$C:$X,2+$C104,FALSE)/0.172+VLOOKUP("Kütuste tarbimine @ 2030 - UTTEGAAS",'VK-Elekter'!$C:$X,2+$D104,FALSE)/0.172)*0.52-VLOOKUP("Kütuste tarbimine @ 2030 - PÕLEVKIVIÕLI",'VK-Hooned-Soojus'!$C:$X,2+$C104,FALSE))</f>
        <v>4.6837209302325586</v>
      </c>
      <c r="AV104" s="209">
        <f>IF(AV$7="X",VLOOKUP(AV$10,'VK-Hooned-Soojus'!$C:$X,2+$C104,FALSE),0)+IF(AV$6="X",VLOOKUP(AV$10,'VK-Transport'!$C:$X,2+$B104,0))+IF(AV$8="X",VLOOKUP(AV$10,'VK-Elekter'!$C:$X,2+$D104,0))+IF(AV$9="X",VLOOKUP(AV$10,'VK-Biokütused'!$C:$U,2+$E104,0))+IF(AV$5="X",VLOOKUP(AV$10,'VK-Põlevkivi'!$C:$X,2+$G104,0))+IF(AV$4="X",VLOOKUP(AV$10,'VK-Võrgud'!$C:$X,2+$F104,0))</f>
        <v>2.1219844082566364</v>
      </c>
      <c r="AW104" s="209">
        <f>IF(AW$7="X",VLOOKUP(AW$10,'VK-Hooned-Soojus'!$C:$X,2+$C104,FALSE),0)+IF(AW$6="X",VLOOKUP(AW$10,'VK-Transport'!$C:$X,2+$B104,0))+IF(AW$8="X",VLOOKUP(AW$10,'VK-Elekter'!$C:$X,2+$D104,0))+IF(AW$9="X",VLOOKUP(AW$10,'VK-Biokütused'!$C:$U,2+$E104,0))+IF(AW$5="X",VLOOKUP(AW$10,'VK-Põlevkivi'!$C:$X,2+$G104,0))+IF(AW$4="X",VLOOKUP(AW$10,'VK-Võrgud'!$C:$X,2+$F104,0))</f>
        <v>0</v>
      </c>
      <c r="AX104" s="229">
        <f t="shared" si="62"/>
        <v>0</v>
      </c>
      <c r="AY104" s="229">
        <f t="shared" si="63"/>
        <v>2.1219844082566364</v>
      </c>
      <c r="AZ104" s="230">
        <f t="shared" si="48"/>
        <v>0.56559530786754797</v>
      </c>
      <c r="BA104" s="209">
        <f>IF(BA$7="X",VLOOKUP(BA$10,'VK-Hooned-Soojus'!$C:$X,2+$C104,FALSE),0)+IF(BA$6="X",VLOOKUP(BA$10,'VK-Transport'!$C:$X,2+$B104,0))+IF(BA$8="X",VLOOKUP(BA$10,'VK-Elekter'!$C:$X,2+$D104,0))+IF(BA$9="X",VLOOKUP(BA$10,'VK-Biokütused'!$C:$U,2+$E104,0))+IF(BA$5="X",VLOOKUP(BA$10,'VK-Põlevkivi'!$C:$X,2+$G104,0))+IF(BA$4="X",VLOOKUP(BA$10,'VK-Võrgud'!$C:$X,2+$F104,0))</f>
        <v>4.25</v>
      </c>
      <c r="BB104" s="209">
        <f>IF(BB$7="X",VLOOKUP(BB$10,'VK-Hooned-Soojus'!$C:$X,2+$C104,FALSE),0)+IF(BB$6="X",VLOOKUP(BB$10,'VK-Transport'!$C:$X,2+$B104,0))+IF(BB$8="X",VLOOKUP(BB$10,'VK-Elekter'!$C:$X,2+$D104,0))+IF(BB$9="X",VLOOKUP(BB$10,'VK-Biokütused'!$C:$U,2+$E104,0))+IF(BB$5="X",VLOOKUP(BB$10,'VK-Põlevkivi'!$C:$X,2+$G104,0))+IF(BB$4="X",VLOOKUP(BB$10,'VK-Võrgud'!$C:$X,2+$F104,0))</f>
        <v>2.93</v>
      </c>
      <c r="BC104" s="209">
        <f>IF(BC$7="X",VLOOKUP(BC$10,'VK-Hooned-Soojus'!$C:$X,2+$C104,FALSE),0)+IF(BC$6="X",VLOOKUP(BC$10,'VK-Transport'!$C:$X,2+$B104,0))+IF(BC$8="X",VLOOKUP(BC$10,'VK-Elekter'!$C:$X,2+$D104,0))+IF(BC$9="X",VLOOKUP(BC$10,'VK-Biokütused'!$C:$U,2+$E104,0))+IF(BC$5="X",VLOOKUP(BC$10,'VK-Põlevkivi'!$C:$X,2+$G104,0))+IF(BC$4="X",VLOOKUP(BC$10,'VK-Võrgud'!$C:$X,2+$F104,0))</f>
        <v>8.0523611111111126</v>
      </c>
      <c r="BD104" s="209">
        <f>IF(BD$7="X",VLOOKUP(BD$10,'VK-Hooned-Soojus'!$C:$X,2+$C104,FALSE),0)+IF(BD$6="X",VLOOKUP(BD$10,'VK-Transport'!$C:$X,2+$B104,0))+IF(BD$8="X",VLOOKUP(BD$10,'VK-Elekter'!$C:$X,2+$D104,0))+IF(BD$9="X",VLOOKUP(BD$10,'VK-Biokütused'!$C:$U,2+$E104,0))+IF(BD$5="X",VLOOKUP(BD$10,'VK-Põlevkivi'!$C:$X,2+$G104,0))+IF(BD$4="X",VLOOKUP(BD$10,'VK-Võrgud'!$C:$X,2+$F104,0))</f>
        <v>10.42138888888889</v>
      </c>
      <c r="BE104" s="230"/>
      <c r="BF104" s="229">
        <f t="shared" si="64"/>
        <v>0.365554189246803</v>
      </c>
      <c r="BG104" s="209" t="e">
        <f>(IF(BG$7="X",VLOOKUP(BG$10,'VK-Hooned-Soojus'!$C:$X,2+$C104,FALSE),0)+IF(BG$6="X",VLOOKUP(BG$10,'VK-Transport'!$C:$X,2+$B104,0))+IF(BG$8="X",VLOOKUP(BG$10,'VK-Elekter'!$C:$X,2+$D104,0))+IF(BG$9="X",VLOOKUP(BG$10,'VK-Biokütused'!$C:$U,2+$E104,0))+IF(BG$5="X",VLOOKUP(BG$10,'VK-Põlevkivi'!$C:$X,2+$G104,0))+IF(BG$4="X",VLOOKUP(BG$10,'VK-Võrgud'!$C:$X,2+$F104,0)))/20</f>
        <v>#N/A</v>
      </c>
      <c r="BH104" s="209">
        <f>(IF(BH$7="X",VLOOKUP(BH$10,'VK-Hooned-Soojus'!$C:$X,2+$C104,FALSE),0)+IF(BH$6="X",VLOOKUP(BH$10,'VK-Transport'!$C:$X,2+$B104,0))+IF(BH$8="X",VLOOKUP(BH$10,'VK-Elekter'!$C:$X,2+$D104,0))+IF(BH$9="X",VLOOKUP(BH$10,'VK-Biokütused'!$C:$U,2+$E104,0))+IF(BH$5="X",VLOOKUP(BH$10,'VK-Põlevkivi'!$C:$X,2+$G104,0))+IF(BH$4="X",VLOOKUP(BH$10,'VK-Võrgud'!$C:$X,2+$F104,0)))/20</f>
        <v>13.99</v>
      </c>
      <c r="BI104" s="209">
        <f>(IF(BI$7="X",VLOOKUP(BI$10,'VK-Hooned-Soojus'!$C:$X,2+$C104,FALSE),0)+IF(BI$6="X",VLOOKUP(BI$10,'VK-Transport'!$C:$X,2+$B104,0))+IF(BI$8="X",VLOOKUP(BI$10,'VK-Elekter'!$C:$X,2+$D104,0))+IF(BI$9="X",VLOOKUP(BI$10,'VK-Biokütused'!$C:$U,2+$E104,0))+IF(BI$5="X",VLOOKUP(BI$10,'VK-Põlevkivi'!$C:$X,2+$G104,0))+IF(BI$4="X",VLOOKUP(BI$10,'VK-Võrgud'!$C:$X,2+$F104,0)))/16</f>
        <v>17.75</v>
      </c>
      <c r="BJ104" s="209">
        <f>(IF(BJ$7="X",VLOOKUP(BJ$10,'VK-Hooned-Soojus'!$C:$X,2+$C104,FALSE),0)+IF(BJ$6="X",VLOOKUP(BJ$10,'VK-Transport'!$C:$X,2+$B104,0))+IF(BJ$8="X",VLOOKUP(BJ$10,'VK-Elekter'!$C:$X,2+$D104,0))+IF(BJ$9="X",VLOOKUP(BJ$10,'VK-Biokütused'!$C:$U,2+$E104,0))+IF(BJ$5="X",VLOOKUP(BJ$10,'VK-Põlevkivi'!$C:$X,2+$G104,0))+IF(BJ$4="X",VLOOKUP(BJ$10,'VK-Võrgud'!$C:$X,2+$F104,0)))/20</f>
        <v>1.85</v>
      </c>
      <c r="BK104" s="209"/>
      <c r="BL104" s="209"/>
      <c r="BM104" s="209"/>
      <c r="BN104" s="209" t="e">
        <f>(IF(BN$7="X",VLOOKUP(BN$10,'VK-Hooned-Soojus'!$C:$X,2+$C104,FALSE),0)+IF(BN$6="X",VLOOKUP(BN$10,'VK-Transport'!$C:$X,2+$B104,0))+IF(BN$8="X",VLOOKUP(BN$10,'VK-Elekter'!$C:$X,2+$D104,0))+IF(BN$9="X",VLOOKUP(BN$10,'VK-Biokütused'!$C:$U,2+$E104,0))+IF(BN$5="X",VLOOKUP(BN$10,'VK-Põlevkivi'!$C:$X,2+$G104,0))+IF(BN$4="X",VLOOKUP(BN$10,'VK-Võrgud'!$C:$X,2+$F104,0)))/16</f>
        <v>#N/A</v>
      </c>
      <c r="BO104" s="209">
        <f>(IF(BO$7="X",VLOOKUP(BO$10,'VK-Hooned-Soojus'!$C:$X,2+$C104,FALSE),0)+IF(BO$6="X",VLOOKUP(BO$10,'VK-Transport'!$C:$X,2+$B104,0))+IF(BO$8="X",VLOOKUP(BO$10,'VK-Elekter'!$C:$X,2+$D104,0))+IF(BO$9="X",VLOOKUP(BO$10,'VK-Biokütused'!$C:$U,2+$E104,0))+IF(BO$5="X",VLOOKUP(BO$10,'VK-Põlevkivi'!$C:$X,2+$G104,0))+IF(BO$4="X",VLOOKUP(BO$10,'VK-Võrgud'!$C:$X,2+$F104,0)))/16</f>
        <v>322.79374999999999</v>
      </c>
      <c r="BP104" s="209"/>
      <c r="BQ104" s="209">
        <f>(IF(BQ$7="X",VLOOKUP(BQ$10,'VK-Hooned-Soojus'!$C:$X,2+$C104,FALSE),0)+IF(BQ$6="X",VLOOKUP(BQ$10,'VK-Transport'!$C:$X,2+$B104,0))+IF(BQ$8="X",VLOOKUP(BQ$10,'VK-Elekter'!$C:$X,2+$D104,0))+IF(BQ$9="X",VLOOKUP(BQ$10,'VK-Biokütused'!$C:$U,2+$E104,0))+IF(BQ$5="X",VLOOKUP(BQ$10,'VK-Põlevkivi'!$C:$X,2+$G104,0))+IF(BQ$4="X",VLOOKUP(BQ$10,'VK-Võrgud'!$C:$X,2+$F104,0)))/16</f>
        <v>233.20625000000001</v>
      </c>
      <c r="BR104" s="209">
        <f>(IF(BR$7="X",VLOOKUP(BR$10,'VK-Hooned-Soojus'!$C:$X,2+$C104,FALSE),0)+IF(BR$6="X",VLOOKUP(BR$10,'VK-Transport'!$C:$X,2+$B104,0))+IF(BR$8="X",VLOOKUP(BR$10,'VK-Elekter'!$C:$X,2+$D104,0))+IF(BR$9="X",VLOOKUP(BR$10,'VK-Biokütused'!$C:$U,2+$E104,0))+IF(BR$5="X",VLOOKUP(BR$10,'VK-Põlevkivi'!$C:$X,2+$G104,0))+IF(BR$4="X",VLOOKUP(BR$10,'VK-Võrgud'!$C:$X,2+$F104,0)))/16</f>
        <v>74.512500000000003</v>
      </c>
      <c r="BS104" s="209">
        <f>(IF(BS$7="X",VLOOKUP(BS$10,'VK-Hooned-Soojus'!$C:$X,2+$C104,FALSE),0)+IF(BS$6="X",VLOOKUP(BS$10,'VK-Transport'!$C:$X,2+$B104,0))+IF(BS$8="X",VLOOKUP(BS$10,'VK-Elekter'!$C:$X,2+$D104,0))+IF(BS$9="X",VLOOKUP(BS$10,'VK-Biokütused'!$C:$U,2+$E104,0))+IF(BS$5="X",VLOOKUP(BS$10,'VK-Põlevkivi'!$C:$X,2+$G104,0))+IF(BS$4="X",VLOOKUP(BS$10,'VK-Võrgud'!$C:$X,2+$F104,0)))/16</f>
        <v>-21.475000000000001</v>
      </c>
      <c r="BT104" s="209"/>
      <c r="BU104" s="209"/>
      <c r="BV104" s="209">
        <f>(IF(BV$7="X",VLOOKUP(BV$10,'VK-Hooned-Soojus'!$C:$X,2+$C104,FALSE),0)+IF(BV$6="X",VLOOKUP(BV$10,'VK-Transport'!$C:$X,2+$B104,0))+IF(BV$8="X",VLOOKUP(BV$10,'VK-Elekter'!$C:$X,2+$D104,0))+IF(BV$9="X",VLOOKUP(BV$10,'VK-Biokütused'!$C:$U,2+$E104,0))+IF(BV$5="X",VLOOKUP(BV$10,'VK-Põlevkivi'!$C:$X,2+$G104,0))+IF(BV$4="X",VLOOKUP(BV$10,'VK-Võrgud'!$C:$X,2+$F104,0)))/16</f>
        <v>0</v>
      </c>
      <c r="BW104" s="209"/>
      <c r="BX104" s="209">
        <f>(IF(BX$7="X",VLOOKUP(BX$10,'VK-Hooned-Soojus'!$C:$X,2+$C104,FALSE),0)+IF(BX$6="X",VLOOKUP(BX$10,'VK-Transport'!$C:$X,2+$B104,0))+IF(BX$8="X",VLOOKUP(BX$10,'VK-Elekter'!$C:$X,2+$D104,0))+IF(BX$9="X",VLOOKUP(BX$10,'VK-Biokütused'!$C:$U,2+$E104,0))+IF(BX$5="X",VLOOKUP(BX$10,'VK-Põlevkivi'!$C:$X,2+$G104,0))+IF(BX$4="X",VLOOKUP(BX$10,'VK-Võrgud'!$C:$X,2+$F104,0)))/16</f>
        <v>-99.75</v>
      </c>
      <c r="BY104" s="209"/>
      <c r="BZ104" s="209"/>
      <c r="CA104" s="209" t="e">
        <f>(IF(CA$7="X",VLOOKUP(CA$10,'VK-Hooned-Soojus'!$C:$X,2+$C104,FALSE),0)+IF(CA$6="X",VLOOKUP(CA$10,'VK-Transport'!$C:$X,2+$B104,0))+IF(CA$8="X",VLOOKUP(CA$10,'VK-Elekter'!$C:$X,2+$D104,0))+IF(CA$9="X",VLOOKUP(CA$10,'VK-Biokütused'!$C:$U,2+$E104,0))+IF(CA$5="X",VLOOKUP(CA$10,'VK-Põlevkivi'!$C:$X,2+$G104,0))+IF(CA$4="X",VLOOKUP(CA$10,'VK-Võrgud'!$C:$X,2+$F104,0)))/16</f>
        <v>#N/A</v>
      </c>
      <c r="CB104" s="209">
        <f>(IF(CB$7="X",VLOOKUP(CB$10,'VK-Hooned-Soojus'!$C:$X,2+$C104,FALSE),0)+IF(CB$6="X",VLOOKUP(CB$10,'VK-Transport'!$C:$X,2+$B104,0))+IF(CB$8="X",VLOOKUP(CB$10,'VK-Elekter'!$C:$X,2+$D104,0))+IF(CB$9="X",VLOOKUP(CB$10,'VK-Biokütused'!$C:$U,2+$E104,0))+IF(CB$5="X",VLOOKUP(CB$10,'VK-Põlevkivi'!$C:$X,2+$G104,0))+IF(CB$4="X",VLOOKUP(CB$10,'VK-Võrgud'!$C:$X,2+$F104,0)))/16</f>
        <v>0</v>
      </c>
      <c r="CC104" s="209">
        <f>(IF(CC$7="X",VLOOKUP(CC$10,'VK-Hooned-Soojus'!$C:$X,2+$C104,FALSE),0)+IF(CC$6="X",VLOOKUP(CC$10,'VK-Transport'!$C:$X,2+$B104,0))+IF(CC$8="X",VLOOKUP(CC$10,'VK-Elekter'!$C:$X,2+$D104,0))+IF(CC$9="X",VLOOKUP(CC$10,'VK-Biokütused'!$C:$U,2+$E104,0))+IF(CC$5="X",VLOOKUP(CC$10,'VK-Põlevkivi'!$C:$X,2+$G104,0))+IF(CC$4="X",VLOOKUP(CC$10,'VK-Võrgud'!$C:$X,2+$F104,0)))/16</f>
        <v>0</v>
      </c>
      <c r="CD104" s="209"/>
      <c r="CE104" s="209">
        <f>(IF(CE$7="X",VLOOKUP(CE$10,'VK-Hooned-Soojus'!$C:$X,2+$C104,FALSE),0)+IF(CE$6="X",VLOOKUP(CE$10,'VK-Transport'!$C:$X,2+$B104,0))+IF(CE$8="X",VLOOKUP(CE$10,'VK-Elekter'!$C:$X,2+$D104,0))+IF(CE$9="X",VLOOKUP(CE$10,'VK-Biokütused'!$C:$U,2+$E104,0))+IF(CE$5="X",VLOOKUP(CE$10,'VK-Põlevkivi'!$C:$X,2+$G104,0))+IF(CE$4="X",VLOOKUP(CE$10,'VK-Võrgud'!$C:$X,2+$F104,0)))/16</f>
        <v>24.15625</v>
      </c>
      <c r="CF104" s="209"/>
      <c r="CG104" s="209">
        <f>(IF(CG$7="X",VLOOKUP(CG$10,'VK-Hooned-Soojus'!$C:$X,2+$C104,FALSE),0)+IF(CG$6="X",VLOOKUP(CG$10,'VK-Transport'!$C:$X,2+$B104,0))+IF(CG$8="X",VLOOKUP(CG$10,'VK-Elekter'!$C:$X,2+$D104,0))+IF(CG$9="X",VLOOKUP(CG$10,'VK-Biokütused'!$C:$U,2+$E104,0))+IF(CG$5="X",VLOOKUP(CG$10,'VK-Põlevkivi'!$C:$X,2+$G104,0))+IF(CG$4="X",VLOOKUP(CG$10,'VK-Võrgud'!$C:$X,2+$F104,0)))/16</f>
        <v>0</v>
      </c>
      <c r="CH104" s="209">
        <f>(IF(CH$7="X",VLOOKUP(CH$10,'VK-Hooned-Soojus'!$C:$X,2+$C104,FALSE),0)+IF(CH$6="X",VLOOKUP(CH$10,'VK-Transport'!$C:$X,2+$B104,0))+IF(CH$8="X",VLOOKUP(CH$10,'VK-Elekter'!$C:$X,2+$D104,0))+IF(CH$9="X",VLOOKUP(CH$10,'VK-Biokütused'!$C:$U,2+$E104,0))+IF(CH$5="X",VLOOKUP(CH$10,'VK-Põlevkivi'!$C:$X,2+$G104,0))+IF(CH$4="X",VLOOKUP(CH$10,'VK-Võrgud'!$C:$X,2+$F104,0)))/20*0.21</f>
        <v>5.6122500000000004</v>
      </c>
      <c r="CI104" s="209"/>
      <c r="CJ104" s="209">
        <f>(IF(CJ$7="X",VLOOKUP(CJ$10,'VK-Hooned-Soojus'!$C:$X,2+$C104,FALSE),0)+IF(CJ$6="X",VLOOKUP(CJ$10,'VK-Transport'!$C:$X,2+$B104,0))+IF(CJ$8="X",VLOOKUP(CJ$10,'VK-Elekter'!$C:$X,2+$D104,0))+IF(CJ$9="X",VLOOKUP(CJ$10,'VK-Biokütused'!$C:$U,2+$E104,0))+IF(CJ$5="X",VLOOKUP(CJ$10,'VK-Põlevkivi'!$C:$X,2+$G104,0))+IF(CJ$4="X",VLOOKUP(CJ$10,'VK-Võrgud'!$C:$X,2+$F104,0)))/1000</f>
        <v>18.083578011574538</v>
      </c>
      <c r="CK104" s="209">
        <f>(IF(CK$7="X",VLOOKUP(CK$10,'VK-Hooned-Soojus'!$C:$X,2+$C104,FALSE),0)+IF(CK$6="X",VLOOKUP(CK$10,'VK-Transport'!$C:$X,2+$B104,0))+IF(CK$8="X",VLOOKUP(CK$10,'VK-Elekter'!$C:$X,2+$D104,0))+IF(CK$9="X",VLOOKUP(CK$10,'VK-Biokütused'!$C:$U,2+$E104,0))+IF(CK$5="X",VLOOKUP(CK$10,'VK-Põlevkivi'!$C:$X,2+$G104,0))+IF(CK$4="X",VLOOKUP(CK$10,'VK-Võrgud'!$C:$X,2+$F104,0)))/1000</f>
        <v>12.801077976340796</v>
      </c>
      <c r="CL104" s="235">
        <f>(IF(CL$7="X",VLOOKUP(CL$10,'VK-Hooned-Soojus'!$C:$X,2+$C104,FALSE),0)+IF(CL$6="X",VLOOKUP(CL$10,'VK-Transport'!$C:$X,2+$B104,0))+IF(CL$8="X",VLOOKUP(CL$10,'VK-Elekter'!$C:$X,2+$D104,0))+IF(CL$9="X",VLOOKUP(CL$10,'VK-Biokütused'!$C:$U,2+$E104,0)))/1000</f>
        <v>7.9391111109201011</v>
      </c>
      <c r="CM104" s="209">
        <f>(IF(CM$7="X",VLOOKUP(CM$10,'VK-Hooned-Soojus'!$C:$X,2+$C104,FALSE),0)+IF(CM$6="X",VLOOKUP(CM$10,'VK-Transport'!$C:$X,2+$B104,0))+IF(CM$8="X",VLOOKUP(CM$10,'VK-Elekter'!$C:$X,2+$D104,0))+IF(CM$9="X",VLOOKUP(CM$10,'VK-Biokütused'!$C:$U,2+$E104,0))+IF(CM$5="X",VLOOKUP(CM$10,'VK-Põlevkivi'!$C:$X,2+$G104,0))+IF(CM$4="X",VLOOKUP(CM$10,'VK-Võrgud'!$C:$X,2+$F104,0)))/1000</f>
        <v>8.5167605777489079</v>
      </c>
      <c r="CN104" s="209">
        <f>(IF(CN$7="X",VLOOKUP(CN$10,'VK-Hooned-Soojus'!$C:$X,2+$C104,FALSE),0)+IF(CN$6="X",VLOOKUP(CN$10,'VK-Transport'!$C:$X,2+$B104,0))+IF(CN$8="X",VLOOKUP(CN$10,'VK-Elekter'!$C:$X,2+$D104,0))+IF(CN$9="X",VLOOKUP(CN$10,'VK-Biokütused'!$C:$U,2+$E104,0))+IF(CN$5="X",VLOOKUP(CN$10,'VK-Põlevkivi'!$C:$X,2+$G104,0))+IF(CN$4="X",VLOOKUP(CN$10,'VK-Võrgud'!$C:$X,2+$F104,0)))/1000</f>
        <v>3.0510000000000002</v>
      </c>
      <c r="CO104" s="209">
        <f>(IF(CO$7="X",VLOOKUP(CO$10,'VK-Hooned-Soojus'!$C:$X,2+$C104,FALSE),0)+IF(CO$6="X",VLOOKUP(CO$10,'VK-Transport'!$C:$X,2+$B104,0))+IF(CO$8="X",VLOOKUP(CO$10,'VK-Elekter'!$C:$X,2+$D104,0))+IF(CO$9="X",VLOOKUP(CO$10,'VK-Biokütused'!$C:$U,2+$E104,0))+IF(CO$5="X",VLOOKUP(CO$10,'VK-Põlevkivi'!$C:$X,2+$G104,0))+IF(CO$4="X",VLOOKUP(CO$10,'VK-Võrgud'!$C:$X,2+$F104,0)))/1000</f>
        <v>24.109362337356995</v>
      </c>
      <c r="CP104" s="209">
        <f>(IF(CP$7="X",VLOOKUP(CP$10,'VK-Hooned-Soojus'!$C:$X,2+$C104,FALSE),0)+IF(CP$6="X",VLOOKUP(CP$10,'VK-Transport'!$C:$X,2+$B104,0))+IF(CP$8="X",VLOOKUP(CP$10,'VK-Elekter'!$C:$X,2+$D104,0))+IF(CP$9="X",VLOOKUP(CP$10,'VK-Biokütused'!$C:$U,2+$E104,0))+IF(CP$5="X",VLOOKUP(CP$10,'VK-Põlevkivi'!$C:$X,2+$G104,0))+IF(CP$4="X",VLOOKUP(CP$10,'VK-Võrgud'!$C:$X,2+$F104,0)))/1000</f>
        <v>13.823392120693661</v>
      </c>
      <c r="CQ104" s="235">
        <f>(IF(CQ$7="X",VLOOKUP(CQ$10,'VK-Hooned-Soojus'!$C:$X,2+$C104,FALSE),0)+IF(CQ$6="X",VLOOKUP(CQ$10,'VK-Transport'!$C:$X,2+$B104,0))+IF(CQ$8="X",VLOOKUP(CQ$10,'VK-Elekter'!$C:$X,2+$D104,0))+IF(CQ$9="X",VLOOKUP(CQ$10,'VK-Biokütused'!$C:$U,2+$E104,0)))/1000</f>
        <v>10.549918999999999</v>
      </c>
      <c r="CR104" s="209">
        <f>(IF(CR$7="X",VLOOKUP(CR$10,'VK-Hooned-Soojus'!$C:$X,2+$C104,FALSE),0)+IF(CR$6="X",VLOOKUP(CR$10,'VK-Transport'!$C:$X,2+$B104,0))+IF(CR$8="X",VLOOKUP(CR$10,'VK-Elekter'!$C:$X,2+$D104,0))+IF(CR$9="X",VLOOKUP(CR$10,'VK-Biokütused'!$C:$U,2+$E104,0))+IF(CR$5="X",VLOOKUP(CR$10,'VK-Põlevkivi'!$C:$X,2+$G104,0))+IF(CR$4="X",VLOOKUP(CR$10,'VK-Võrgud'!$C:$X,2+$F104,0)))/1000</f>
        <v>8.0827518373996892</v>
      </c>
      <c r="CS104" s="209">
        <f>(IF(CS$7="X",VLOOKUP(CS$10,'VK-Hooned-Soojus'!$C:$X,2+$C104,FALSE),0)+IF(CS$6="X",VLOOKUP(CS$10,'VK-Transport'!$C:$X,2+$B104,0))+IF(CS$8="X",VLOOKUP(CS$10,'VK-Elekter'!$C:$X,2+$D104,0))+IF(CS$9="X",VLOOKUP(CS$10,'VK-Biokütused'!$C:$U,2+$E104,0))+IF(CS$5="X",VLOOKUP(CS$10,'VK-Põlevkivi'!$C:$X,2+$G104,0))+IF(CS$4="X",VLOOKUP(CS$10,'VK-Võrgud'!$C:$X,2+$F104,0)))/1000</f>
        <v>3.838649509862238</v>
      </c>
      <c r="CT104" s="209">
        <f>IF(CT$7="X",VLOOKUP(CT$10,'VK-Hooned-Soojus'!$C:$X,2+$C104,FALSE),0)+IF(CT$6="X",VLOOKUP(CT$10,'VK-Transport'!$C:$X,2+$B104,0))+IF(CT$8="X",VLOOKUP(CT$10,'VK-Elekter'!$C:$X,2+$D104,0))+IF(CT$9="X",VLOOKUP(CT$10,'VK-Biokütused'!$C:$U,2+$E104,0))+IF(CT$5="X",VLOOKUP(CT$10,'VK-Põlevkivi'!$C:$X,2+$G104,0))+IF(CT$4="X",VLOOKUP(CT$10,'VK-Võrgud'!$C:$X,2+$F104,0))</f>
        <v>90</v>
      </c>
      <c r="CU104" s="209">
        <f>IF(CU$7="X",VLOOKUP(CU$10,'VK-Hooned-Soojus'!$C:$X,2+$C104,FALSE),0)+IF(CU$6="X",VLOOKUP(CU$10,'VK-Transport'!$C:$X,2+$B104,0))+IF(CU$8="X",VLOOKUP(CU$10,'VK-Elekter'!$C:$X,2+$D104,0))+IF(CU$9="X",VLOOKUP(CU$10,'VK-Biokütused'!$C:$U,2+$E104,0))+IF(CU$5="X",VLOOKUP(CU$10,'VK-Põlevkivi'!$C:$X,2+$G104,0))+IF(CU$4="X",VLOOKUP(CU$10,'VK-Võrgud'!$C:$X,2+$F104,0))</f>
        <v>0.72088353413654627</v>
      </c>
      <c r="CV104" s="209">
        <f t="shared" si="49"/>
        <v>1</v>
      </c>
      <c r="CW104" s="209">
        <f>(IF(CW$7="X",VLOOKUP(CW$10,'VK-Hooned-Soojus'!$C:$X,2+$C104,FALSE),0)+IF(CW$6="X",VLOOKUP(CW$10,'VK-Transport'!$C:$X,2+$B104,0))+IF(CW$8="X",VLOOKUP(CW$10,'VK-Elekter'!$C:$X,2+$D104,0))+IF(CW$9="X",VLOOKUP(CW$10,'VK-Biokütused'!$C:$U,2+$E104,0))+IF(CW$5="X",VLOOKUP(CW$10,'VK-Põlevkivi'!$C:$X,2+$G104,0))+IF(CW$4="X",VLOOKUP(CW$10,'VK-Võrgud'!$C:$X,2+$F104,0)))/16</f>
        <v>0</v>
      </c>
      <c r="CY104" s="209">
        <f>(IF(CY$7="X",VLOOKUP(CY$10,'VK-Hooned-Soojus'!$C:$X,2+$C104,FALSE),0)+IF(CY$6="X",VLOOKUP(CY$10,'VK-Transport'!$C:$X,2+$B104,0))+IF(CY$8="X",VLOOKUP(CY$10,'VK-Elekter'!$C:$X,2+$D104,0))+IF(CY$9="X",VLOOKUP(CY$10,'VK-Biokütused'!$C:$U,2+$E104,0))+IF(CY$5="X",VLOOKUP(CY$10,'VK-Põlevkivi'!$C:$X,2+$G104,0))+IF(CY$4="X",VLOOKUP(CY$10,'VK-Võrgud'!$C:$X,2+$F104,0)))/1000</f>
        <v>10.369</v>
      </c>
      <c r="CZ104" s="209">
        <f>(IF(CZ$7="X",VLOOKUP(CZ$10,'VK-Hooned-Soojus'!$C:$X,2+$C104,FALSE),0)+IF(CZ$6="X",VLOOKUP(CZ$10,'VK-Transport'!$C:$X,2+$B104,0))+IF(CZ$8="X",VLOOKUP(CZ$10,'VK-Elekter'!$C:$X,2+$D104,0))+IF(CZ$9="X",VLOOKUP(CZ$10,'VK-Biokütused'!$C:$U,2+$E104,0))+IF(CZ$5="X",VLOOKUP(CZ$10,'VK-Põlevkivi'!$C:$X,2+$G104,0))+IF(CZ$4="X",VLOOKUP(CZ$10,'VK-Võrgud'!$C:$X,2+$F104,0)))</f>
        <v>71</v>
      </c>
      <c r="DA104" s="209">
        <f>(IF(DA$7="X",VLOOKUP(DA$10,'VK-Hooned-Soojus'!$C:$X,2+$C104,FALSE),0)+IF(DA$6="X",VLOOKUP(DA$10,'VK-Transport'!$C:$X,2+$B104,0))+IF(DA$8="X",VLOOKUP(DA$10,'VK-Elekter'!$C:$X,2+$D104,0))+IF(DA$9="X",VLOOKUP(DA$10,'VK-Biokütused'!$C:$U,2+$E104,0))+IF(DA$5="X",VLOOKUP(DA$10,'VK-Põlevkivi'!$C:$X,2+$G104,0))+IF(DA$4="X",VLOOKUP(DA$10,'VK-Võrgud'!$C:$X,2+$F104,0)))/1000</f>
        <v>13.726000000000001</v>
      </c>
      <c r="DB104" s="209">
        <f>(IF(DB$7="X",VLOOKUP(DB$10,'VK-Hooned-Soojus'!$C:$X,2+$C104,FALSE),0)+IF(DB$6="X",VLOOKUP(DB$10,'VK-Transport'!$C:$X,2+$B104,0))+IF(DB$8="X",VLOOKUP(DB$10,'VK-Elekter'!$C:$X,2+$D104,0))+IF(DB$9="X",VLOOKUP(DB$10,'VK-Biokütused'!$C:$U,2+$E104,0))+IF(DB$5="X",VLOOKUP(DB$10,'VK-Põlevkivi'!$C:$X,2+$G104,0))+IF(DB$4="X",VLOOKUP(DB$10,'VK-Võrgud'!$C:$X,2+$F104,0)))/1000/3.6</f>
        <v>61.863888888888887</v>
      </c>
      <c r="DC104" s="209">
        <f>(IF(DC$7="X",VLOOKUP(DC$10,'VK-Hooned-Soojus'!$C:$X,2+$C104,FALSE),0)+IF(DC$6="X",VLOOKUP(DC$10,'VK-Transport'!$C:$X,2+$B104,0))+IF(DC$8="X",VLOOKUP(DC$10,'VK-Elekter'!$C:$X,2+$D104,0))+IF(DC$9="X",VLOOKUP(DC$10,'VK-Biokütused'!$C:$U,2+$E104,0))+IF(DC$5="X",VLOOKUP(DC$10,'VK-Põlevkivi'!$C:$X,2+$G104,0))+IF(DC$4="X",VLOOKUP(DC$10,'VK-Võrgud'!$C:$X,2+$F104,0)))/1000000</f>
        <v>4.9483350000000002</v>
      </c>
      <c r="DD104" s="209"/>
      <c r="DE104" s="88">
        <f>VLOOKUP(Tulemused!$BN$12,data!M$7:N$12,2,FALSE)-SUM(L104,M104)</f>
        <v>-0.80250937302436398</v>
      </c>
      <c r="DF104" s="209" t="str">
        <f>IF(AZ104&lt;=VLOOKUP(Tulemused!$BN$15,data!$E$36:$F$39,2,FALSE),"JAH","EI")</f>
        <v>JAH</v>
      </c>
      <c r="DG104" s="209"/>
      <c r="DH104" s="209">
        <f t="shared" si="50"/>
        <v>6.78</v>
      </c>
      <c r="DI104" s="231" t="str">
        <f t="shared" si="65"/>
        <v>EI</v>
      </c>
      <c r="DK104" s="232">
        <f t="shared" si="51"/>
        <v>-995.55361450171836</v>
      </c>
      <c r="DM104" s="233">
        <f t="shared" si="52"/>
        <v>-996.27798428481026</v>
      </c>
      <c r="DN104" s="87">
        <f t="array" ref="DN104">INDEX($A$11:$A$145, SMALL(IF(DM104=$DK$11:$DK$145, MATCH(ROW($DK$11:$DK$145), ROW($DK$11:$DK$145))), SUM(--(DM104=$DM$11:DM104))))</f>
        <v>58</v>
      </c>
      <c r="DP104" s="87" t="e">
        <f t="shared" ca="1" si="66"/>
        <v>#N/A</v>
      </c>
      <c r="DQ104" s="87" t="e">
        <f t="shared" ca="1" si="67"/>
        <v>#N/A</v>
      </c>
      <c r="DR104" s="87">
        <f t="shared" ca="1" si="68"/>
        <v>0</v>
      </c>
      <c r="DS104" s="87" t="e">
        <f t="shared" ca="1" si="69"/>
        <v>#N/A</v>
      </c>
      <c r="DT104" s="87">
        <f t="shared" ca="1" si="70"/>
        <v>0</v>
      </c>
      <c r="DU104" s="87" t="e">
        <f t="shared" ca="1" si="71"/>
        <v>#N/A</v>
      </c>
      <c r="DV104" s="87" t="e">
        <f t="shared" ca="1" si="72"/>
        <v>#N/A</v>
      </c>
      <c r="DW104" s="87">
        <f t="shared" ca="1" si="73"/>
        <v>0</v>
      </c>
      <c r="DX104" s="87">
        <f t="shared" ca="1" si="74"/>
        <v>0</v>
      </c>
      <c r="DZ104" s="87">
        <f t="shared" ca="1" si="82"/>
        <v>0</v>
      </c>
      <c r="EB104" s="87">
        <f t="shared" ca="1" si="75"/>
        <v>0</v>
      </c>
      <c r="EC104" s="87" t="e">
        <f t="shared" ca="1" si="76"/>
        <v>#N/A</v>
      </c>
      <c r="EE104" s="228">
        <f>(IF(EE$7="X",VLOOKUP(EE$10,'VK-Hooned-Soojus'!$C:$X,2+$C104,FALSE),0)+IF(EE$6="X",VLOOKUP(EE$10,'VK-Transport'!$C:$X,2+$B104,0))+IF(EE$8="X",VLOOKUP(EE$10,'VK-Elekter'!$C:$X,2+$D104,0))+IF(EE$9="X",VLOOKUP(EE$10,'VK-Biokütused'!$C:$U,2+$E104,0))+IF(EE$5="X",VLOOKUP(EE$10,'VK-Põlevkivi'!$C:$X,2+$G104,0))+IF(EE$4="X",VLOOKUP(EE$10,'VK-Võrgud'!$C:$X,2+$F104,0)))</f>
        <v>3597.3859552134786</v>
      </c>
      <c r="EF104" s="235">
        <f>(IF(EF$7="X",VLOOKUP(EF$10,'VK-Hooned-Soojus'!$C:$X,2+$C104,FALSE),0)+IF(EF$6="X",VLOOKUP(EF$10,'VK-Transport'!$C:$X,2+$B104,0))+IF(EF$8="X",VLOOKUP(EF$10,'VK-Elekter'!$C:$X,2+$D104,0))+IF(EF$9="X",VLOOKUP(EF$10,'VK-Biokütused'!$C:$U,2+$E104,0)))/1000</f>
        <v>4.7128849906373196</v>
      </c>
      <c r="EG104" s="209">
        <f>(IF(EG$7="X",VLOOKUP(EG$10,'VK-Hooned-Soojus'!$C:$X,2+$C104,FALSE),0)+IF(EG$6="X",VLOOKUP(EG$10,'VK-Transport'!$C:$X,2+$B104,0))+IF(EG$8="X",VLOOKUP(EG$10,'VK-Elekter'!$C:$X,2+$D104,0))+IF(EG$9="X",VLOOKUP(EG$10,'VK-Biokütused'!$C:$U,2+$E104,0))+IF(EG$5="X",VLOOKUP(EG$10,'VK-Põlevkivi'!$C:$X,2+$G104,0))+IF(EG$4="X",VLOOKUP(EG$10,'VK-Võrgud'!$C:$X,2+$F104,0)))</f>
        <v>0.81</v>
      </c>
      <c r="EH104" s="209">
        <f>(IF(EH$7="X",VLOOKUP(EH$10,'VK-Hooned-Soojus'!$C:$X,2+$C104,FALSE),0)+IF(EH$6="X",VLOOKUP(EH$10,'VK-Transport'!$C:$X,2+$B104,0))+IF(EH$8="X",VLOOKUP(EH$10,'VK-Elekter'!$C:$X,2+$D104,0))+IF(EH$9="X",VLOOKUP(EH$10,'VK-Biokütused'!$C:$U,2+$E104,0)))+AR104+AS104+AU104+AX104</f>
        <v>52.096621447028419</v>
      </c>
      <c r="EI104" s="320">
        <f t="shared" si="53"/>
        <v>47.412900516795858</v>
      </c>
      <c r="EJ104" s="322">
        <f t="shared" si="54"/>
        <v>2.3132392489112068E-2</v>
      </c>
      <c r="EK104" s="323">
        <f t="shared" si="77"/>
        <v>0.4418964743705141</v>
      </c>
      <c r="EM104" s="209"/>
      <c r="EN104" s="209">
        <f t="shared" ca="1" si="55"/>
        <v>0</v>
      </c>
      <c r="EO104" s="209"/>
      <c r="EP104" s="234"/>
      <c r="EQ104" s="209">
        <f>(IF(EQ$7="X",VLOOKUP(EQ$10,'VK-Hooned-Soojus'!$C:$X,2+$C104,FALSE),0)+IF(EQ$6="X",VLOOKUP(EQ$10,'VK-Transport'!$C:$X,2+$B104,0))+IF(EQ$8="X",VLOOKUP(EQ$10,'VK-Elekter'!$C:$X,2+$D104,0))+IF(EQ$9="X",VLOOKUP(EQ$10,'VK-Biokütused'!$C:$U,2+$E104,0))+IF(EQ$5="X",VLOOKUP(EQ$10,'VK-Põlevkivi'!$C:$X,2+$G104,0))+IF(EQ$4="X",VLOOKUP(EQ$10,'VK-Võrgud'!$C:$X,2+$F104,0)))/1000</f>
        <v>0.22900000000000001</v>
      </c>
      <c r="ER104" s="209">
        <f>(IF(ER$7="X",VLOOKUP(ER$10,'VK-Hooned-Soojus'!$C:$X,2+$C104,FALSE),0)+IF(ER$6="X",VLOOKUP(ER$10,'VK-Transport'!$C:$X,2+$B104,0))+IF(ER$8="X",VLOOKUP(ER$10,'VK-Elekter'!$C:$X,2+$D104,0))+IF(ER$9="X",VLOOKUP(ER$10,'VK-Biokütused'!$C:$U,2+$E104,0))+IF(ER$5="X",VLOOKUP(ER$10,'VK-Põlevkivi'!$C:$X,2+$G104,0))+IF(ER$4="X",VLOOKUP(ER$10,'VK-Võrgud'!$C:$X,2+$F104,0)))</f>
        <v>0.82899999999999996</v>
      </c>
      <c r="ES104" s="209">
        <f>(IF(ES$7="X",VLOOKUP(ES$10,'VK-Hooned-Soojus'!$C:$X,2+$C104,FALSE),0)+IF(ES$6="X",VLOOKUP(ES$10,'VK-Transport'!$C:$X,2+$B104,0))+IF(ES$8="X",VLOOKUP(ES$10,'VK-Elekter'!$C:$X,2+$D104,0))+IF(ES$9="X",VLOOKUP(ES$10,'VK-Biokütused'!$C:$U,2+$E104,0))+IF(ES$5="X",VLOOKUP(ES$10,'VK-Põlevkivi'!$C:$X,2+$G104,0))+IF(ES$4="X",VLOOKUP(ES$10,'VK-Võrgud'!$C:$X,2+$F104,0)))</f>
        <v>6.78</v>
      </c>
      <c r="ET104" s="209"/>
      <c r="EU104" s="209"/>
      <c r="EV104" s="87">
        <f>'KSH järjestus'!AS97</f>
        <v>1603</v>
      </c>
      <c r="EX104" s="236"/>
      <c r="EY104" s="236"/>
      <c r="EZ104" s="237">
        <f t="shared" si="56"/>
        <v>0.27911646586345373</v>
      </c>
      <c r="FA104" s="209">
        <f>IF(FA$7="X",VLOOKUP(FA$10,'VK-Hooned-Soojus'!$C:$X,2+$C104,FALSE),0)+IF(FA$6="X",VLOOKUP(FA$10,'VK-Transport'!$C:$X,2+$B104,0))+IF(FA$8="X",VLOOKUP(FA$10,'VK-Elekter'!$C:$X,2+$D104,0))+IF(FA$9="X",VLOOKUP(FA$10,'VK-Biokütused'!$C:$U,2+$E104,0))+IF(FA$5="X",VLOOKUP(FA$10,'VK-Põlevkivi'!$C:$X,2+$G104,0))+IF(FA$4="X",VLOOKUP(FA$10,'VK-Võrgud'!$C:$X,2+$F104,0))</f>
        <v>2814.9189999999999</v>
      </c>
      <c r="FB104" s="279">
        <f>(IF(FB$7="X",VLOOKUP(FB$10,'VK-Hooned-Soojus'!$C:$X,2+$C104,FALSE),0)+IF(FB$6="X",VLOOKUP(FB$10,'VK-Transport'!$C:$X,2+$B104,0))+IF(FB$8="X",VLOOKUP(FB$10,'VK-Elekter'!$C:$X,2+$D104,0))+IF(FB$9="X",VLOOKUP(FB$10,'VK-Biokütused'!$C:$U,2+$E104,0))+IF(FB$5="X",VLOOKUP(FB$10,'VK-Põlevkivi'!$C:$X,2+$G104,0))+IF(FB$4="X",VLOOKUP(FB$10,'VK-Võrgud'!$C:$X,2+$F104,0)))/16</f>
        <v>237.04401433849702</v>
      </c>
      <c r="FC104" s="209">
        <f>IF(FC$7="X",VLOOKUP(FC$10,'VK-Hooned-Soojus'!$C:$X,2+$C104,FALSE),0)+IF(FC$6="X",VLOOKUP(FC$10,'VK-Transport'!$C:$X,2+$B104,0))+IF(FC$8="X",VLOOKUP(FC$10,'VK-Elekter'!$C:$X,2+$D104,0))+IF(FC$9="X",VLOOKUP(FC$10,'VK-Biokütused'!$C:$U,2+$E104,0))+IF(FC$5="X",VLOOKUP(FC$10,'VK-Põlevkivi'!$C:$X,2+$G104,0))+IF(FC$4="X",VLOOKUP(FC$10,'VK-Võrgud'!$C:$X,2+$F104,0))</f>
        <v>315.49999999999994</v>
      </c>
      <c r="FD104" s="209">
        <f>(IF(FD$7="X",VLOOKUP(FD$10,'VK-Hooned-Soojus'!$C:$X,2+$C104,FALSE),0)+IF(FD$6="X",VLOOKUP(FD$10,'VK-Transport'!$C:$X,2+$B104,0))+IF(FD$8="X",VLOOKUP(FD$10,'VK-Elekter'!$C:$X,2+$D104,0))+IF(FD$9="X",VLOOKUP(FD$10,'VK-Biokütused'!$C:$U,2+$E104,0))+IF(FD$5="X",VLOOKUP(FD$10,'VK-Põlevkivi'!$C:$X,2+$G104,0))+IF(FD$4="X",VLOOKUP(FD$10,'VK-Võrgud'!$C:$X,2+$F104,0)))/16</f>
        <v>237.04401433849702</v>
      </c>
      <c r="FE104" s="209">
        <f>(IF(FE$7="X",VLOOKUP(FE$10,'VK-Hooned-Soojus'!$C:$X,2+$C104,FALSE),0)+IF(FE$6="X",VLOOKUP(FE$10,'VK-Transport'!$C:$X,2+$B104,0))+IF(FE$8="X",VLOOKUP(FE$10,'VK-Elekter'!$C:$X,2+$D104,0))+IF(FE$9="X",VLOOKUP(FE$10,'VK-Biokütused'!$C:$U,2+$E104,0))+IF(FE$5="X",VLOOKUP(FE$10,'VK-Põlevkivi'!$C:$X,2+$G104,0))+IF(FE$4="X",VLOOKUP(FE$10,'VK-Võrgud'!$C:$X,2+$F104,0)))/16</f>
        <v>-40.537500000000001</v>
      </c>
      <c r="FF104" s="209">
        <f>(IF(FF$7="X",VLOOKUP(FF$10,'VK-Hooned-Soojus'!$C:$X,2+$C104,FALSE),0)+IF(FF$6="X",VLOOKUP(FF$10,'VK-Transport'!$C:$X,2+$B104,0))+IF(FF$8="X",VLOOKUP(FF$10,'VK-Elekter'!$C:$X,2+$D104,0))+IF(FF$9="X",VLOOKUP(FF$10,'VK-Biokütused'!$C:$U,2+$E104,0))+IF(FF$5="X",VLOOKUP(FF$10,'VK-Põlevkivi'!$C:$X,2+$G104,0))+IF(FF$4="X",VLOOKUP(FF$10,'VK-Võrgud'!$C:$X,2+$F104,0)))/16</f>
        <v>127.95790950135856</v>
      </c>
      <c r="FG104" s="88">
        <f t="shared" ca="1" si="78"/>
        <v>87.420409501358563</v>
      </c>
      <c r="FH104" s="88"/>
      <c r="FI104" s="88"/>
      <c r="FJ104" s="88">
        <f>VLOOKUP(Tulemused!$BN$12,data!M$7:N$12,2,FALSE)-SUM(L104,M104)</f>
        <v>-0.80250937302436398</v>
      </c>
      <c r="FK104" s="209" t="str">
        <f>IF(AZ104&lt;=VLOOKUP(Tulemused!$BN$15,data!$E$36:$F$39,2,FALSE),"JAH","EI")</f>
        <v>JAH</v>
      </c>
      <c r="FL104" s="235">
        <f ca="1">IF(ISNA(MATCH($A104,INDIRECT(VLOOKUP(Tulemused!$BF$11,data!$J$57:$M$71,4,FALSE)))),0,MATCH($A104,INDIRECT(VLOOKUP(Tulemused!$BF$11,data!$J$57:$M$71,4,FALSE))))</f>
        <v>0</v>
      </c>
      <c r="FM104" s="235" t="str">
        <f t="shared" ca="1" si="57"/>
        <v>JAH</v>
      </c>
      <c r="FN104" s="209">
        <f>VLOOKUP(Tulemused!$BN$13,data!$C$132:$D$137,2,FALSE)-KOMBI!R104</f>
        <v>4.9030850093626803</v>
      </c>
      <c r="FO104" s="209"/>
      <c r="FP104" s="209">
        <f>VLOOKUP(Tulemused!$BN$17,NO_x,2,FALSE)-CJ104</f>
        <v>11.354421988425461</v>
      </c>
      <c r="FQ104" s="209">
        <f>VLOOKUP(Tulemused!$BN$18,SO_2,2,FALSE)-CK104</f>
        <v>39.082922023659208</v>
      </c>
      <c r="FR104" s="209">
        <f>VLOOKUP(Tulemused!$BN$19,LOU,2,FALSE)-CN104</f>
        <v>34.029000000000003</v>
      </c>
      <c r="FS104" s="209">
        <f>VLOOKUP(Tulemused!$BN$20,PM_2.5,2,FALSE)-CM104</f>
        <v>8.3982394222510912</v>
      </c>
      <c r="FT104" s="209">
        <f>VLOOKUP(Tulemused!$BN$13,data!$C$132:$D$137,2,FALSE)-FA104/1000</f>
        <v>3.431051000000001</v>
      </c>
      <c r="FU104" s="209">
        <f>VLOOKUP(Tulemused!$BN$17,NO_x,2,FALSE)-CO104</f>
        <v>5.3286376626430041</v>
      </c>
      <c r="FV104" s="209">
        <f>VLOOKUP(Tulemused!$BN$18,SO_2,2,FALSE)-CP104</f>
        <v>38.060607879306339</v>
      </c>
      <c r="FW104" s="209">
        <f>VLOOKUP(Tulemused!$BN$19,LOU,2,FALSE)-CS104</f>
        <v>33.241350490137769</v>
      </c>
      <c r="FX104" s="209">
        <f>VLOOKUP(Tulemused!$BN$20,PM_2.5,2,FALSE)-CR104</f>
        <v>8.83224816260031</v>
      </c>
      <c r="FY104" s="209">
        <f>VLOOKUP(Tulemused!$BN$14,KHG_2050,2,FALSE)-EF104</f>
        <v>95.28711500936268</v>
      </c>
      <c r="FZ104" s="231" t="str">
        <f t="shared" ca="1" si="79"/>
        <v>EI</v>
      </c>
      <c r="GA104" s="209"/>
      <c r="GB104" s="209"/>
      <c r="GC104" s="209"/>
      <c r="GD104" s="231"/>
      <c r="GE104" s="87">
        <f t="shared" si="58"/>
        <v>1603</v>
      </c>
      <c r="GF104" s="232" t="str">
        <f t="shared" ca="1" si="80"/>
        <v/>
      </c>
      <c r="GH104" s="238" t="e">
        <f t="shared" ca="1" si="59"/>
        <v>#NUM!</v>
      </c>
      <c r="GI104" s="87" t="e">
        <f t="array" aca="1" ref="GI104" ca="1">INDEX($A$11:$A$145, SMALL(IF(GH104=$GF$11:$GF$145, MATCH(ROW($GF$11:$GF$145), ROW($GF$11:$GF$145))), SUM(--(GH104=$GH$11:GH104))))</f>
        <v>#NUM!</v>
      </c>
      <c r="GM104" s="209">
        <f>IF(GM$7="X",VLOOKUP(GM$10,'VK-Hooned-Soojus'!$C:$X,2+$C104,FALSE),0)+IF(GM$6="X",VLOOKUP(GM$10,'VK-Transport'!$C:$X,2+$B104,0))+IF(GM$8="X",VLOOKUP(GM$10,'VK-Elekter'!$C:$X,2+$D104,0))+IF(GM$9="X",VLOOKUP(GM$10,'VK-Biokütused'!$C:$U,2+$E104,0))+IF(GM$5="X",VLOOKUP(GM$10,'VK-Põlevkivi'!$C:$X,2+$G104,0))+IF(GM$4="X",VLOOKUP(GM$10,'VK-Võrgud'!$C:$X,2+$F104,0))</f>
        <v>6.0128279910272253</v>
      </c>
      <c r="GN104" s="209">
        <f>IF(GN$7="X",VLOOKUP(GN$10,'VK-Hooned-Soojus'!$C:$X,2+$C104,FALSE),0)+IF(GN$6="X",VLOOKUP(GN$10,'VK-Transport'!$C:$X,2+$B104,0))+IF(GN$8="X",VLOOKUP(GN$10,'VK-Elekter'!$C:$X,2+$D104,0))+IF(GN$9="X",VLOOKUP(GN$10,'VK-Biokütused'!$C:$U,2+$E104,0))+IF(GN$5="X",VLOOKUP(GN$10,'VK-Põlevkivi'!$C:$X,2+$G104,0))+IF(GN$4="X",VLOOKUP(GN$10,'VK-Võrgud'!$C:$X,2+$F104,0))</f>
        <v>3.4467619395011728</v>
      </c>
      <c r="GO104" s="209">
        <f>IF(GO$7="X",VLOOKUP(GO$10,'VK-Hooned-Soojus'!$C:$X,2+$C104,FALSE),0)+IF(GO$6="X",VLOOKUP(GO$10,'VK-Transport'!$C:$X,2+$B104,0))+IF(GO$8="X",VLOOKUP(GO$10,'VK-Elekter'!$C:$X,2+$D104,0))+IF(GO$9="X",VLOOKUP(GO$10,'VK-Biokütused'!$C:$U,2+$E104,0))+IF(GO$5="X",VLOOKUP(GO$10,'VK-Põlevkivi'!$C:$X,2+$G104,0))+IF(GO$4="X",VLOOKUP(GO$10,'VK-Võrgud'!$C:$X,2+$F104,0))</f>
        <v>8.7471755658278116</v>
      </c>
      <c r="GP104" s="209">
        <f>IF(GP$7="X",VLOOKUP(GP$10,'VK-Hooned-Soojus'!$C:$X,2+$C104,FALSE),0)+IF(GP$6="X",VLOOKUP(GP$10,'VK-Transport'!$C:$X,2+$B104,0))+IF(GP$8="X",VLOOKUP(GP$10,'VK-Elekter'!$C:$X,2+$D104,0))+IF(GP$9="X",VLOOKUP(GP$10,'VK-Biokütused'!$C:$U,2+$E104,0))+IF(GP$5="X",VLOOKUP(GP$10,'VK-Põlevkivi'!$C:$X,2+$G104,0))+IF(GP$4="X",VLOOKUP(GP$10,'VK-Võrgud'!$C:$X,2+$F104,0))</f>
        <v>9.3279335818485372</v>
      </c>
      <c r="GQ104" s="88">
        <f>IF(GQ$7="X",VLOOKUP(GQ$10,'VK-Hooned-Soojus'!$C:$X,2+$C104,FALSE),0)+IF(GQ$6="X",VLOOKUP(GQ$10,'VK-Transport'!$C:$X,2+$B104,0))+IF(GQ$8="X",VLOOKUP(GQ$10,'VK-Elekter'!$C:$X,2+$D104,0))+IF(GQ$9="X",VLOOKUP(GQ$10,'VK-Biokütused'!$C:$U,2+$E104,0))+IF(GQ$5="X",VLOOKUP(GQ$10,'VK-Põlevkivi'!$C:$X,2+$G104,0))+IF(GQ$4="X",VLOOKUP(GQ$10,'VK-Võrgud'!$C:$X,2+$F104,0))</f>
        <v>0.89042766952822527</v>
      </c>
      <c r="GR104" s="186">
        <f t="shared" si="81"/>
        <v>0.40627315299312855</v>
      </c>
    </row>
    <row r="105" spans="1:200" x14ac:dyDescent="0.2">
      <c r="A105" s="184">
        <v>95</v>
      </c>
      <c r="B105" s="87">
        <v>3</v>
      </c>
      <c r="C105" s="87">
        <v>1</v>
      </c>
      <c r="D105" s="87">
        <v>2</v>
      </c>
      <c r="E105" s="87">
        <v>2</v>
      </c>
      <c r="F105" s="87">
        <f>VLOOKUP(Tulemused!$BF$7,data!$J$6:$K$8,2,FALSE)</f>
        <v>2</v>
      </c>
      <c r="G105" s="87">
        <f>VLOOKUP(data!$H$2,data!$J$12:$K$14,2,FALSE)</f>
        <v>2</v>
      </c>
      <c r="I105" s="209">
        <f>IF(I$7="X",VLOOKUP(I$10,'VK-Hooned-Soojus'!$C:$X,2+$C105,FALSE),0)+IF(I$6="X",VLOOKUP(I$10,'VK-Transport'!$C:$X,2+$B105,0))+IF(I$8="X",VLOOKUP(I$10,'VK-Elekter'!$C:$X,2+$D105,0))+IF(I$9="X",VLOOKUP(I$10,'VK-Biokütused'!$C:$U,2+$E105,0))+IF(I$5="X",VLOOKUP(I$10,'VK-Põlevkivi'!$C:$X,2+$G105,0))+IF(I$4="X",VLOOKUP(I$10,'VK-Võrgud'!$C:$X,2+$F105,0))</f>
        <v>26.89</v>
      </c>
      <c r="J105" s="209">
        <f>IF(J$7="X",VLOOKUP(J$10,'VK-Hooned-Soojus'!$C:$X,2+$C105,FALSE),0)+IF(J$6="X",VLOOKUP(J$10,'VK-Transport'!$C:$X,2+$B105,0))+IF(J$8="X",VLOOKUP(J$10,'VK-Elekter'!$C:$X,2+$D105,0))+IF(J$9="X",VLOOKUP(J$10,'VK-Biokütused'!$C:$U,2+$E105,0))+IF(J$5="X",VLOOKUP(J$10,'VK-Põlevkivi'!$C:$X,2+$G105,0))+IF(J$4="X",VLOOKUP(J$10,'VK-Võrgud'!$C:$X,2+$F105,0))</f>
        <v>8.1258333333333344</v>
      </c>
      <c r="K105" s="209">
        <f>IF(K$7="X",VLOOKUP(K$10,'VK-Hooned-Soojus'!$C:$X,2+$C105,FALSE),0)+IF(K$6="X",VLOOKUP(K$10,'VK-Transport'!$C:$X,2+$B105,0))+IF(K$8="X",VLOOKUP(K$10,'VK-Elekter'!$C:$X,2+$D105,0))+IF(K$9="X",VLOOKUP(K$10,'VK-Biokütused'!$C:$U,2+$E105,0))+IF(K$5="X",VLOOKUP(K$10,'VK-Põlevkivi'!$C:$X,2+$G105,0))+IF(K$4="X",VLOOKUP(K$10,'VK-Võrgud'!$C:$X,2+$F105,0))</f>
        <v>16.75</v>
      </c>
      <c r="L105" s="209">
        <f>IF(L$7="X",VLOOKUP(L$10,'VK-Hooned-Soojus'!$C:$X,2+$C105,FALSE),0)+IF(L$6="X",VLOOKUP(L$10,'VK-Transport'!$C:$X,2+$B105,0))+IF(L$8="X",VLOOKUP(L$10,'VK-Elekter'!$C:$X,2+$D105,0))+IF(L$9="X",VLOOKUP(L$10,'VK-Biokütused'!$C:$U,2+$E105,0))+IF(L$5="X",VLOOKUP(L$10,'VK-Põlevkivi'!$C:$X,2+$G105,0))+IF(L$4="X",VLOOKUP(L$10,'VK-Võrgud'!$C:$X,2+$F105,0))</f>
        <v>24.95</v>
      </c>
      <c r="M105" s="209">
        <f>IF(M$7="X",VLOOKUP(M$10,'VK-Hooned-Soojus'!$C:$X,2+$C105,FALSE),0)+IF(M$6="X",VLOOKUP(M$10,'VK-Transport'!$C:$X,2+$B105,0))+IF(M$8="X",VLOOKUP(M$10,'VK-Elekter'!$C:$X,2+$D105,0))+IF(M$9="X",VLOOKUP(M$10,'VK-Biokütused'!$C:$U,2+$E105,0))+IF(M$5="X",VLOOKUP(M$10,'VK-Põlevkivi'!$C:$X,2+$G105,0))+IF(M$4="X",VLOOKUP(M$10,'VK-Võrgud'!$C:$X,2+$F105,0))</f>
        <v>8.68530937302436</v>
      </c>
      <c r="N105" s="209">
        <f>IF(N$7="X",VLOOKUP(N$10,'VK-Hooned-Soojus'!$C:$X,2+$C105,FALSE),0)+IF(N$6="X",VLOOKUP(N$10,'VK-Transport'!$C:$X,2+$B105,0))+IF(N$8="X",VLOOKUP(N$10,'VK-Elekter'!$C:$X,2+$D105,0))+IF(N$9="X",VLOOKUP(N$10,'VK-Biokütused'!$C:$U,2+$E105,0))+IF(N$5="X",VLOOKUP(N$10,'VK-Põlevkivi'!$C:$X,2+$G105,0))+IF(N$4="X",VLOOKUP(N$10,'VK-Võrgud'!$C:$X,2+$F105,0))</f>
        <v>16.75</v>
      </c>
      <c r="O105" s="209">
        <f t="shared" si="60"/>
        <v>35.015833333333333</v>
      </c>
      <c r="P105" s="209"/>
      <c r="Q105" s="209">
        <f>(IF(Q$7="X",VLOOKUP(Q$10,'VK-Hooned-Soojus'!$C:$X,2+$C105,FALSE),0)+IF(Q$6="X",VLOOKUP(Q$10,'VK-Transport'!$C:$X,2+$B105,0))+IF(Q$8="X",VLOOKUP(Q$10,'VK-Elekter'!$C:$X,2+$D105,0))+IF(Q$9="X",VLOOKUP(Q$10,'VK-Biokütused'!$C:$U,2+$E105,0))+IF(Q$5="X",VLOOKUP(Q$10,'VK-Põlevkivi'!$C:$X,2+$G105,0))+IF(Q$4="X",VLOOKUP(Q$10,'VK-Võrgud'!$C:$X,2+$F105,0)))/1000</f>
        <v>5.3630000000000004</v>
      </c>
      <c r="R105" s="209">
        <f>(IF(R$7="X",VLOOKUP(R$10,'VK-Hooned-Soojus'!$C:$X,2+$C105,FALSE),0)+IF(R$6="X",VLOOKUP(R$10,'VK-Transport'!$C:$X,2+$B105,0))+IF(R$8="X",VLOOKUP(R$10,'VK-Elekter'!$C:$X,2+$D105,0))+IF(R$9="X",VLOOKUP(R$10,'VK-Biokütused'!$C:$U,2+$E105,0))+IF(R$5="X",VLOOKUP(R$10,'VK-Põlevkivi'!$C:$X,2+$G105,0))+IF(R$4="X",VLOOKUP(R$10,'VK-Võrgud'!$C:$X,2+$F105,0)))/1000</f>
        <v>1.7203849906373201</v>
      </c>
      <c r="S105" s="226">
        <f>VLOOKUP(S$10,'VK-Hooned-Soojus'!$C:$I,2+$C105,FALSE) + VLOOKUP(S$10,'VK-Transport'!$C:$I,2+$B105,FALSE)+ VLOOKUP(S$10,'VK-Biokütused'!$C:$G,2+$E105,FALSE)+ VLOOKUP(S$10,'VK-Elekter'!$C:$I,2+$D105,FALSE)+ VLOOKUP(S$10,'VK-Põlevkivi'!$C:$I,2+$G105,FALSE)+ VLOOKUP(S$10,'VK-Võrgud'!$C:$I,2+$F105,FALSE)</f>
        <v>1.5398961473336754E-2</v>
      </c>
      <c r="T105" s="226">
        <f>VLOOKUP(T$10,'VK-Hooned-Soojus'!$C:$I,2+$C105,FALSE) + VLOOKUP(T$10,'VK-Transport'!$C:$I,2+$B105,FALSE)+ VLOOKUP(T$10,'VK-Biokütused'!$C:$G,2+$E105,FALSE)+ VLOOKUP(T$10,'VK-Elekter'!$C:$I,2+$D105,FALSE)+ VLOOKUP(T$10,'VK-Põlevkivi'!$C:$I,2+$G105,FALSE)+ VLOOKUP(T$10,'VK-Võrgud'!$C:$I,2+$F105,FALSE)</f>
        <v>5.574607830884773E-3</v>
      </c>
      <c r="U105" s="226">
        <f>VLOOKUP(U$10,'VK-Hooned-Soojus'!$C:$I,2+$C105,FALSE) + VLOOKUP(U$10,'VK-Transport'!$C:$I,2+$B105,FALSE)+ VLOOKUP(U$10,'VK-Biokütused'!$C:$G,2+$E105,FALSE)+ VLOOKUP(U$10,'VK-Elekter'!$C:$I,2+$D105,FALSE)+ VLOOKUP(U$10,'VK-Põlevkivi'!$C:$I,2+$G105,FALSE)+ VLOOKUP(U$10,'VK-Võrgud'!$C:$I,2+$F105,FALSE)</f>
        <v>6.6698307758324693E-3</v>
      </c>
      <c r="V105" s="226">
        <f>VLOOKUP(V$10,'VK-Hooned-Soojus'!$C:$I,2+$C105,FALSE) + VLOOKUP(V$10,'VK-Transport'!$C:$I,2+$B105,FALSE)+ VLOOKUP(V$10,'VK-Biokütused'!$C:$G,2+$E105,FALSE)+ VLOOKUP(V$10,'VK-Elekter'!$C:$I,2+$D105,FALSE)+ VLOOKUP(V$10,'VK-Põlevkivi'!$C:$I,2+$G105,FALSE)+ VLOOKUP(V$10,'VK-Võrgud'!$C:$I,2+$F105,FALSE)</f>
        <v>8.8261714946223039E-3</v>
      </c>
      <c r="W105" s="226">
        <f>VLOOKUP(W$10,'VK-Hooned-Soojus'!$C:$I,2+$C105,FALSE) + VLOOKUP(W$10,'VK-Transport'!$C:$I,2+$B105,FALSE)+ VLOOKUP(W$10,'VK-Biokütused'!$C:$G,2+$E105,FALSE)+ VLOOKUP(W$10,'VK-Elekter'!$C:$I,2+$D105,FALSE)+ VLOOKUP(W$10,'VK-Põlevkivi'!$C:$I,2+$G105,FALSE)+ VLOOKUP(W$10,'VK-Võrgud'!$C:$I,2+$F105,FALSE)</f>
        <v>-2.7034457163418877E-2</v>
      </c>
      <c r="X105" s="226">
        <f>VLOOKUP(X$10,'VK-Hooned-Soojus'!$C:$I,2+$C105,FALSE) + VLOOKUP(X$10,'VK-Transport'!$C:$I,2+$B105,FALSE)+ VLOOKUP(X$10,'VK-Biokütused'!$C:$G,2+$E105,FALSE)+ VLOOKUP(X$10,'VK-Elekter'!$C:$I,2+$D105,FALSE)+ VLOOKUP(X$10,'VK-Põlevkivi'!$C:$I,2+$G105,FALSE)+ VLOOKUP(X$10,'VK-Võrgud'!$C:$I,2+$F105,FALSE)</f>
        <v>-3.9446509278643828E-2</v>
      </c>
      <c r="Y105" s="226">
        <f>VLOOKUP(Y$10,'VK-Hooned-Soojus'!$C:$I,2+$C105,FALSE) + VLOOKUP(Y$10,'VK-Transport'!$C:$I,2+$B105,FALSE)+ VLOOKUP(Y$10,'VK-Biokütused'!$C:$G,2+$E105,FALSE)+ VLOOKUP(Y$10,'VK-Elekter'!$C:$I,2+$D105,FALSE)+ VLOOKUP(Y$10,'VK-Põlevkivi'!$C:$I,2+$G105,FALSE)+ VLOOKUP(Y$10,'VK-Võrgud'!$C:$I,2+$F105,FALSE)</f>
        <v>-4.8741843913287175E-2</v>
      </c>
      <c r="Z105" s="227">
        <f>(S105*Tulemused!$Q$9*10+T105*Tulemused!$Q$10*10+KOMBI!U105*Tulemused!$Q$11*10+KOMBI!V105*Tulemused!$Q$12*10)*Tulemused!$Q$8+-(W105*Tulemused!$Q$14*10+KOMBI!X105*Tulemused!$Q$15*10+KOMBI!Y105*Tulemused!$Q$16*10)*Tulemused!$Q$13</f>
        <v>5.3622971469274754</v>
      </c>
      <c r="AA105" s="228">
        <f>(IF(AA$7="X",VLOOKUP(AA$10,'VK-Hooned-Soojus'!$C:$X,2+$C105,FALSE),0)+IF(AA$6="X",VLOOKUP(AA$10,'VK-Transport'!$C:$X,2+$B105,0))+IF(AA$8="X",VLOOKUP(AA$10,'VK-Elekter'!$C:$X,2+$D105,0))+IF(AA$9="X",VLOOKUP(AA$10,'VK-Biokütused'!$C:$U,2+$E105,0))+IF(AA$5="X",VLOOKUP(AA$10,'VK-Põlevkivi'!$C:$X,2+$G105,0))+IF(AA$4="X",VLOOKUP(AA$10,'VK-Võrgud'!$C:$X,2+$F105,0)))</f>
        <v>3761</v>
      </c>
      <c r="AB105" s="228">
        <f>(IF(AB$7="X",VLOOKUP(AB$10,'VK-Hooned-Soojus'!$C:$X,2+$C105,FALSE),0)+IF(AB$6="X",VLOOKUP(AB$10,'VK-Transport'!$C:$X,2+$B105,0))+IF(AB$8="X",VLOOKUP(AB$10,'VK-Elekter'!$C:$X,2+$D105,0))+IF(AB$9="X",VLOOKUP(AB$10,'VK-Biokütused'!$C:$U,2+$E105,0))+IF(AB$5="X",VLOOKUP(AB$10,'VK-Põlevkivi'!$C:$X,2+$G105,0))+IF(AB$4="X",VLOOKUP(AB$10,'VK-Võrgud'!$C:$X,2+$F105,0)))</f>
        <v>1602</v>
      </c>
      <c r="AC105" s="228">
        <f>(IF(AC$7="X",VLOOKUP(AC$10,'VK-Hooned-Soojus'!$C:$X,2+$C105,FALSE),0)+IF(AC$6="X",VLOOKUP(AC$10,'VK-Transport'!$C:$X,2+$B105,0))+IF(AC$8="X",VLOOKUP(AC$10,'VK-Elekter'!$C:$X,2+$D105,0))+IF(AC$9="X",VLOOKUP(AC$10,'VK-Biokütused'!$C:$U,2+$E105,0))+IF(AC$5="X",VLOOKUP(AC$10,'VK-Põlevkivi'!$C:$X,2+$G105,0))+IF(AC$4="X",VLOOKUP(AC$10,'VK-Võrgud'!$C:$X,2+$F105,0)))</f>
        <v>2346</v>
      </c>
      <c r="AD105" s="228">
        <f>(IF(AD$7="X",VLOOKUP(AD$10,'VK-Hooned-Soojus'!$C:$X,2+$C105,FALSE),0)+IF(AD$6="X",VLOOKUP(AD$10,'VK-Transport'!$C:$X,2+$B105,0))+IF(AD$8="X",VLOOKUP(AD$10,'VK-Elekter'!$C:$X,2+$D105,0))+IF(AD$9="X",VLOOKUP(AD$10,'VK-Biokütused'!$C:$U,2+$E105,0))+IF(AD$5="X",VLOOKUP(AD$10,'VK-Põlevkivi'!$C:$X,2+$G105,0))+IF(AD$4="X",VLOOKUP(AD$10,'VK-Võrgud'!$C:$X,2+$F105,0)))</f>
        <v>377.5</v>
      </c>
      <c r="AE105" s="228">
        <f>(IF(AE$7="X",VLOOKUP(AE$10,'VK-Hooned-Soojus'!$C:$X,2+$C105,FALSE),0)+IF(AE$6="X",VLOOKUP(AE$10,'VK-Transport'!$C:$X,2+$B105,0))+IF(AE$8="X",VLOOKUP(AE$10,'VK-Elekter'!$C:$X,2+$D105,0))+IF(AE$9="X",VLOOKUP(AE$10,'VK-Biokütused'!$C:$U,2+$E105,0))+IF(AE$5="X",VLOOKUP(AE$10,'VK-Põlevkivi'!$C:$X,2+$G105,0))+IF(AE$4="X",VLOOKUP(AE$10,'VK-Võrgud'!$C:$X,2+$F105,0)))</f>
        <v>812</v>
      </c>
      <c r="AF105" s="228">
        <f>(IF(AF$7="X",VLOOKUP(AF$10,'VK-Hooned-Soojus'!$C:$X,2+$C105,FALSE),0)+IF(AF$6="X",VLOOKUP(AF$10,'VK-Transport'!$C:$X,2+$B105,0))+IF(AF$8="X",VLOOKUP(AF$10,'VK-Elekter'!$C:$X,2+$D105,0))+IF(AF$9="X",VLOOKUP(AF$10,'VK-Biokütused'!$C:$U,2+$E105,0))+IF(AF$5="X",VLOOKUP(AF$10,'VK-Põlevkivi'!$C:$X,2+$G105,0))+IF(AF$4="X",VLOOKUP(AF$10,'VK-Võrgud'!$C:$X,2+$F105,0)))</f>
        <v>530.88499063732002</v>
      </c>
      <c r="AG105" s="209"/>
      <c r="AH105" s="209">
        <f>IF(AH$7="X",VLOOKUP(AH$10,'VK-Hooned-Soojus'!$C:$X,2+$C105,FALSE),0)+IF(AH$6="X",VLOOKUP(AH$10,'VK-Transport'!$C:$X,2+$B105,0))+IF(AH$8="X",VLOOKUP(AH$10,'VK-Elekter'!$C:$X,2+$D105,0))+IF(AH$9="X",VLOOKUP(AH$10,'VK-Biokütused'!$C:$U,2+$E105,0))+IF(AH$5="X",VLOOKUP(AH$10,'VK-Põlevkivi'!$C:$X,2+$G105,0))+IF(AH$4="X",VLOOKUP(AH$10,'VK-Võrgud'!$C:$X,2+$F105,0))</f>
        <v>11.64</v>
      </c>
      <c r="AI105" s="209">
        <f>IF(AI$7="X",VLOOKUP(AI$10,'VK-Hooned-Soojus'!$C:$X,2+$C105,FALSE),0)+IF(AI$6="X",VLOOKUP(AI$10,'VK-Transport'!$C:$X,2+$B105,0))+IF(AI$8="X",VLOOKUP(AI$10,'VK-Elekter'!$C:$X,2+$D105,0))+IF(AI$9="X",VLOOKUP(AI$10,'VK-Biokütused'!$C:$U,2+$E105,0))+IF(AI$5="X",VLOOKUP(AI$10,'VK-Põlevkivi'!$C:$X,2+$G105,0))+IF(AI$4="X",VLOOKUP(AI$10,'VK-Võrgud'!$C:$X,2+$F105,0))</f>
        <v>2.3100000000000005</v>
      </c>
      <c r="AJ105" s="209">
        <f>IF(AJ$7="X",VLOOKUP(AJ$10,'VK-Hooned-Soojus'!$C:$X,2+$C105,FALSE),0)+IF(AJ$6="X",VLOOKUP(AJ$10,'VK-Transport'!$C:$X,2+$B105,0))+IF(AJ$8="X",VLOOKUP(AJ$10,'VK-Elekter'!$C:$X,2+$D105,0))+IF(AJ$9="X",VLOOKUP(AJ$10,'VK-Biokütused'!$C:$U,2+$E105,0))+IF(AJ$5="X",VLOOKUP(AJ$10,'VK-Põlevkivi'!$C:$X,2+$G105,0))+IF(AJ$4="X",VLOOKUP(AJ$10,'VK-Võrgud'!$C:$X,2+$F105,0))</f>
        <v>9.25</v>
      </c>
      <c r="AK105" s="209">
        <f>IF(AK$7="X",VLOOKUP(AK$10,'VK-Hooned-Soojus'!$C:$X,2+$C105,FALSE),0)+IF(AK$6="X",VLOOKUP(AK$10,'VK-Transport'!$C:$X,2+$B105,0))+IF(AK$8="X",VLOOKUP(AK$10,'VK-Elekter'!$C:$X,2+$D105,0))+IF(AK$9="X",VLOOKUP(AK$10,'VK-Biokütused'!$C:$U,2+$E105,0))+IF(AK$5="X",VLOOKUP(AK$10,'VK-Põlevkivi'!$C:$X,2+$G105,0))+IF(AK$4="X",VLOOKUP(AK$10,'VK-Võrgud'!$C:$X,2+$F105,0))</f>
        <v>2.78</v>
      </c>
      <c r="AL105" s="209">
        <f>IF(AL$7="X",VLOOKUP(AL$10,'VK-Hooned-Soojus'!$C:$X,2+$C105,FALSE),0)+IF(AL$6="X",VLOOKUP(AL$10,'VK-Transport'!$C:$X,2+$B105,0))+IF(AL$8="X",VLOOKUP(AL$10,'VK-Elekter'!$C:$X,2+$D105,0))+IF(AL$9="X",VLOOKUP(AL$10,'VK-Biokütused'!$C:$U,2+$E105,0))+IF(AL$5="X",VLOOKUP(AL$10,'VK-Põlevkivi'!$C:$X,2+$G105,0))+IF(AL$4="X",VLOOKUP(AL$10,'VK-Võrgud'!$C:$X,2+$F105,0))</f>
        <v>7.1999999999999993</v>
      </c>
      <c r="AM105" s="209">
        <f>IF(AM$7="X",VLOOKUP(AM$10,'VK-Hooned-Soojus'!$C:$X,2+$C105,FALSE),0)+IF(AM$6="X",VLOOKUP(AM$10,'VK-Transport'!$C:$X,2+$B105,0))+IF(AM$8="X",VLOOKUP(AM$10,'VK-Elekter'!$C:$X,2+$D105,0))+IF(AM$9="X",VLOOKUP(AM$10,'VK-Biokütused'!$C:$U,2+$E105,0))+IF(AM$5="X",VLOOKUP(AM$10,'VK-Põlevkivi'!$C:$X,2+$G105,0))+IF(AM$4="X",VLOOKUP(AM$10,'VK-Võrgud'!$C:$X,2+$F105,0))</f>
        <v>12.9</v>
      </c>
      <c r="AN105" s="209">
        <f>IF(AN$7="X",VLOOKUP(AN$10,'VK-Hooned-Soojus'!$C:$X,2+$C105,FALSE),0)+IF(AN$6="X",VLOOKUP(AN$10,'VK-Transport'!$C:$X,2+$B105,0))+IF(AN$8="X",VLOOKUP(AN$10,'VK-Elekter'!$C:$X,2+$D105,0))+IF(AN$9="X",VLOOKUP(AN$10,'VK-Biokütused'!$C:$U,2+$E105,0))+IF(AN$5="X",VLOOKUP(AN$10,'VK-Põlevkivi'!$C:$X,2+$G105,0))+IF(AN$4="X",VLOOKUP(AN$10,'VK-Võrgud'!$C:$X,2+$F105,0))</f>
        <v>5.6999999999999993</v>
      </c>
      <c r="AO105" s="209">
        <f>IF(AO$7="X",VLOOKUP(AO$10,'VK-Hooned-Soojus'!$C:$X,2+$C105,FALSE),0)+IF(AO$6="X",VLOOKUP(AO$10,'VK-Transport'!$C:$X,2+$B105,0))+IF(AO$8="X",VLOOKUP(AO$10,'VK-Elekter'!$C:$X,2+$D105,0))+IF(AO$9="X",VLOOKUP(AO$10,'VK-Biokütused'!$C:$U,2+$E105,0))+IF(AO$5="X",VLOOKUP(AO$10,'VK-Põlevkivi'!$C:$X,2+$G105,0))+IF(AO$4="X",VLOOKUP(AO$10,'VK-Võrgud'!$C:$X,2+$F105,0))</f>
        <v>13.56</v>
      </c>
      <c r="AP105" s="209">
        <f>IF(AP$7="X",VLOOKUP(AP$10,'VK-Hooned-Soojus'!$C:$X,2+$C105,FALSE),0)+IF(AP$6="X",VLOOKUP(AP$10,'VK-Transport'!$C:$X,2+$B105,0))+IF(AP$8="X",VLOOKUP(AP$10,'VK-Elekter'!$C:$X,2+$D105,0))+IF(AP$9="X",VLOOKUP(AP$10,'VK-Biokütused'!$C:$U,2+$E105,0))+IF(AP$5="X",VLOOKUP(AP$10,'VK-Põlevkivi'!$C:$X,2+$G105,0))+IF(AP$4="X",VLOOKUP(AP$10,'VK-Võrgud'!$C:$X,2+$F105,0))</f>
        <v>6.78</v>
      </c>
      <c r="AQ105" s="320">
        <f t="shared" si="61"/>
        <v>1.2599999999999998</v>
      </c>
      <c r="AR105" s="209">
        <f>IF(AR$7="X",VLOOKUP(AR$10,'VK-Hooned-Soojus'!$C:$X,2+$C105,FALSE),0)+IF(AR$6="X",VLOOKUP(AR$10,'VK-Transport'!$C:$X,2+$B105,0))+IF(AR$8="X",VLOOKUP(AR$10,'VK-Elekter'!$C:$X,2+$D105,0))+IF(AR$9="X",VLOOKUP(AR$10,'VK-Biokütused'!$C:$U,2+$E105,0))+IF(AR$5="X",VLOOKUP(AR$10,'VK-Põlevkivi'!$C:$X,2+$G105,0))+IF(AR$4="X",VLOOKUP(AR$10,'VK-Võrgud'!$C:$X,2+$F105,0))</f>
        <v>3.4899999999999998</v>
      </c>
      <c r="AS105" s="320">
        <f>VLOOKUP("Kütuste tarbimine @ 2030 - UTTEGAAS",'VK-Hooned-Soojus'!$C:$X,2+$C105,FALSE)/0.172+VLOOKUP("Kütuste tarbimine @ 2030 - UTTEGAAS",'VK-Elekter'!$C:$X,2+$D105,FALSE)/0.172-AR105-AU105</f>
        <v>2.7565116279069759</v>
      </c>
      <c r="AT105" s="209">
        <f>IF(AT$7="X",VLOOKUP(AT$10,'VK-Hooned-Soojus'!$C:$X,2+$C105,FALSE),0)+IF(AT$6="X",VLOOKUP(AT$10,'VK-Transport'!$C:$X,2+$B105,0))+IF(AT$8="X",VLOOKUP(AT$10,'VK-Elekter'!$C:$X,2+$D105,0))+IF(AT$9="X",VLOOKUP(AT$10,'VK-Biokütused'!$C:$U,2+$E105,0))+IF(AT$5="X",VLOOKUP(AT$10,'VK-Põlevkivi'!$C:$X,2+$G105,0))+IF(AT$4="X",VLOOKUP(AT$10,'VK-Võrgud'!$C:$X,2+$F105,0))</f>
        <v>5.7045296564339489</v>
      </c>
      <c r="AU105" s="229">
        <f>MAX(0,(VLOOKUP("Kütuste tarbimine @ 2030 - UTTEGAAS",'VK-Hooned-Soojus'!$C:$X,2+$C105,FALSE)/0.172+VLOOKUP("Kütuste tarbimine @ 2030 - UTTEGAAS",'VK-Elekter'!$C:$X,2+$D105,FALSE)/0.172)*0.52-VLOOKUP("Kütuste tarbimine @ 2030 - PÕLEVKIVIÕLI",'VK-Hooned-Soojus'!$C:$X,2+$C105,FALSE))</f>
        <v>4.6837209302325586</v>
      </c>
      <c r="AV105" s="209">
        <f>IF(AV$7="X",VLOOKUP(AV$10,'VK-Hooned-Soojus'!$C:$X,2+$C105,FALSE),0)+IF(AV$6="X",VLOOKUP(AV$10,'VK-Transport'!$C:$X,2+$B105,0))+IF(AV$8="X",VLOOKUP(AV$10,'VK-Elekter'!$C:$X,2+$D105,0))+IF(AV$9="X",VLOOKUP(AV$10,'VK-Biokütused'!$C:$U,2+$E105,0))+IF(AV$5="X",VLOOKUP(AV$10,'VK-Põlevkivi'!$C:$X,2+$G105,0))+IF(AV$4="X",VLOOKUP(AV$10,'VK-Võrgud'!$C:$X,2+$F105,0))</f>
        <v>2.1219844082566364</v>
      </c>
      <c r="AW105" s="209">
        <f>IF(AW$7="X",VLOOKUP(AW$10,'VK-Hooned-Soojus'!$C:$X,2+$C105,FALSE),0)+IF(AW$6="X",VLOOKUP(AW$10,'VK-Transport'!$C:$X,2+$B105,0))+IF(AW$8="X",VLOOKUP(AW$10,'VK-Elekter'!$C:$X,2+$D105,0))+IF(AW$9="X",VLOOKUP(AW$10,'VK-Biokütused'!$C:$U,2+$E105,0))+IF(AW$5="X",VLOOKUP(AW$10,'VK-Põlevkivi'!$C:$X,2+$G105,0))+IF(AW$4="X",VLOOKUP(AW$10,'VK-Võrgud'!$C:$X,2+$F105,0))</f>
        <v>2.141</v>
      </c>
      <c r="AX105" s="229">
        <f t="shared" si="62"/>
        <v>1.9015591743363647E-2</v>
      </c>
      <c r="AY105" s="229">
        <f t="shared" si="63"/>
        <v>0</v>
      </c>
      <c r="AZ105" s="230">
        <f t="shared" si="48"/>
        <v>0.52083988507908285</v>
      </c>
      <c r="BA105" s="209">
        <f>IF(BA$7="X",VLOOKUP(BA$10,'VK-Hooned-Soojus'!$C:$X,2+$C105,FALSE),0)+IF(BA$6="X",VLOOKUP(BA$10,'VK-Transport'!$C:$X,2+$B105,0))+IF(BA$8="X",VLOOKUP(BA$10,'VK-Elekter'!$C:$X,2+$D105,0))+IF(BA$9="X",VLOOKUP(BA$10,'VK-Biokütused'!$C:$U,2+$E105,0))+IF(BA$5="X",VLOOKUP(BA$10,'VK-Põlevkivi'!$C:$X,2+$G105,0))+IF(BA$4="X",VLOOKUP(BA$10,'VK-Võrgud'!$C:$X,2+$F105,0))</f>
        <v>4.25</v>
      </c>
      <c r="BB105" s="209">
        <f>IF(BB$7="X",VLOOKUP(BB$10,'VK-Hooned-Soojus'!$C:$X,2+$C105,FALSE),0)+IF(BB$6="X",VLOOKUP(BB$10,'VK-Transport'!$C:$X,2+$B105,0))+IF(BB$8="X",VLOOKUP(BB$10,'VK-Elekter'!$C:$X,2+$D105,0))+IF(BB$9="X",VLOOKUP(BB$10,'VK-Biokütused'!$C:$U,2+$E105,0))+IF(BB$5="X",VLOOKUP(BB$10,'VK-Põlevkivi'!$C:$X,2+$G105,0))+IF(BB$4="X",VLOOKUP(BB$10,'VK-Võrgud'!$C:$X,2+$F105,0))</f>
        <v>2.93</v>
      </c>
      <c r="BC105" s="209">
        <f>IF(BC$7="X",VLOOKUP(BC$10,'VK-Hooned-Soojus'!$C:$X,2+$C105,FALSE),0)+IF(BC$6="X",VLOOKUP(BC$10,'VK-Transport'!$C:$X,2+$B105,0))+IF(BC$8="X",VLOOKUP(BC$10,'VK-Elekter'!$C:$X,2+$D105,0))+IF(BC$9="X",VLOOKUP(BC$10,'VK-Biokütused'!$C:$U,2+$E105,0))+IF(BC$5="X",VLOOKUP(BC$10,'VK-Põlevkivi'!$C:$X,2+$G105,0))+IF(BC$4="X",VLOOKUP(BC$10,'VK-Võrgud'!$C:$X,2+$F105,0))</f>
        <v>8.0523611111111126</v>
      </c>
      <c r="BD105" s="209">
        <f>IF(BD$7="X",VLOOKUP(BD$10,'VK-Hooned-Soojus'!$C:$X,2+$C105,FALSE),0)+IF(BD$6="X",VLOOKUP(BD$10,'VK-Transport'!$C:$X,2+$B105,0))+IF(BD$8="X",VLOOKUP(BD$10,'VK-Elekter'!$C:$X,2+$D105,0))+IF(BD$9="X",VLOOKUP(BD$10,'VK-Biokütused'!$C:$U,2+$E105,0))+IF(BD$5="X",VLOOKUP(BD$10,'VK-Põlevkivi'!$C:$X,2+$G105,0))+IF(BD$4="X",VLOOKUP(BD$10,'VK-Võrgud'!$C:$X,2+$F105,0))</f>
        <v>10.42138888888889</v>
      </c>
      <c r="BE105" s="230"/>
      <c r="BF105" s="229">
        <f t="shared" si="64"/>
        <v>0.365554189246803</v>
      </c>
      <c r="BG105" s="209" t="e">
        <f>(IF(BG$7="X",VLOOKUP(BG$10,'VK-Hooned-Soojus'!$C:$X,2+$C105,FALSE),0)+IF(BG$6="X",VLOOKUP(BG$10,'VK-Transport'!$C:$X,2+$B105,0))+IF(BG$8="X",VLOOKUP(BG$10,'VK-Elekter'!$C:$X,2+$D105,0))+IF(BG$9="X",VLOOKUP(BG$10,'VK-Biokütused'!$C:$U,2+$E105,0))+IF(BG$5="X",VLOOKUP(BG$10,'VK-Põlevkivi'!$C:$X,2+$G105,0))+IF(BG$4="X",VLOOKUP(BG$10,'VK-Võrgud'!$C:$X,2+$F105,0)))/20</f>
        <v>#N/A</v>
      </c>
      <c r="BH105" s="209">
        <f>(IF(BH$7="X",VLOOKUP(BH$10,'VK-Hooned-Soojus'!$C:$X,2+$C105,FALSE),0)+IF(BH$6="X",VLOOKUP(BH$10,'VK-Transport'!$C:$X,2+$B105,0))+IF(BH$8="X",VLOOKUP(BH$10,'VK-Elekter'!$C:$X,2+$D105,0))+IF(BH$9="X",VLOOKUP(BH$10,'VK-Biokütused'!$C:$U,2+$E105,0))+IF(BH$5="X",VLOOKUP(BH$10,'VK-Põlevkivi'!$C:$X,2+$G105,0))+IF(BH$4="X",VLOOKUP(BH$10,'VK-Võrgud'!$C:$X,2+$F105,0)))/20</f>
        <v>13.99</v>
      </c>
      <c r="BI105" s="209">
        <f>(IF(BI$7="X",VLOOKUP(BI$10,'VK-Hooned-Soojus'!$C:$X,2+$C105,FALSE),0)+IF(BI$6="X",VLOOKUP(BI$10,'VK-Transport'!$C:$X,2+$B105,0))+IF(BI$8="X",VLOOKUP(BI$10,'VK-Elekter'!$C:$X,2+$D105,0))+IF(BI$9="X",VLOOKUP(BI$10,'VK-Biokütused'!$C:$U,2+$E105,0))+IF(BI$5="X",VLOOKUP(BI$10,'VK-Põlevkivi'!$C:$X,2+$G105,0))+IF(BI$4="X",VLOOKUP(BI$10,'VK-Võrgud'!$C:$X,2+$F105,0)))/16</f>
        <v>17.75</v>
      </c>
      <c r="BJ105" s="209">
        <f>(IF(BJ$7="X",VLOOKUP(BJ$10,'VK-Hooned-Soojus'!$C:$X,2+$C105,FALSE),0)+IF(BJ$6="X",VLOOKUP(BJ$10,'VK-Transport'!$C:$X,2+$B105,0))+IF(BJ$8="X",VLOOKUP(BJ$10,'VK-Elekter'!$C:$X,2+$D105,0))+IF(BJ$9="X",VLOOKUP(BJ$10,'VK-Biokütused'!$C:$U,2+$E105,0))+IF(BJ$5="X",VLOOKUP(BJ$10,'VK-Põlevkivi'!$C:$X,2+$G105,0))+IF(BJ$4="X",VLOOKUP(BJ$10,'VK-Võrgud'!$C:$X,2+$F105,0)))/20</f>
        <v>1.85</v>
      </c>
      <c r="BK105" s="209"/>
      <c r="BL105" s="209"/>
      <c r="BM105" s="209"/>
      <c r="BN105" s="209" t="e">
        <f>(IF(BN$7="X",VLOOKUP(BN$10,'VK-Hooned-Soojus'!$C:$X,2+$C105,FALSE),0)+IF(BN$6="X",VLOOKUP(BN$10,'VK-Transport'!$C:$X,2+$B105,0))+IF(BN$8="X",VLOOKUP(BN$10,'VK-Elekter'!$C:$X,2+$D105,0))+IF(BN$9="X",VLOOKUP(BN$10,'VK-Biokütused'!$C:$U,2+$E105,0))+IF(BN$5="X",VLOOKUP(BN$10,'VK-Põlevkivi'!$C:$X,2+$G105,0))+IF(BN$4="X",VLOOKUP(BN$10,'VK-Võrgud'!$C:$X,2+$F105,0)))/16</f>
        <v>#N/A</v>
      </c>
      <c r="BO105" s="209">
        <f>(IF(BO$7="X",VLOOKUP(BO$10,'VK-Hooned-Soojus'!$C:$X,2+$C105,FALSE),0)+IF(BO$6="X",VLOOKUP(BO$10,'VK-Transport'!$C:$X,2+$B105,0))+IF(BO$8="X",VLOOKUP(BO$10,'VK-Elekter'!$C:$X,2+$D105,0))+IF(BO$9="X",VLOOKUP(BO$10,'VK-Biokütused'!$C:$U,2+$E105,0))+IF(BO$5="X",VLOOKUP(BO$10,'VK-Põlevkivi'!$C:$X,2+$G105,0))+IF(BO$4="X",VLOOKUP(BO$10,'VK-Võrgud'!$C:$X,2+$F105,0)))/16</f>
        <v>322.79374999999999</v>
      </c>
      <c r="BP105" s="209"/>
      <c r="BQ105" s="209">
        <f>(IF(BQ$7="X",VLOOKUP(BQ$10,'VK-Hooned-Soojus'!$C:$X,2+$C105,FALSE),0)+IF(BQ$6="X",VLOOKUP(BQ$10,'VK-Transport'!$C:$X,2+$B105,0))+IF(BQ$8="X",VLOOKUP(BQ$10,'VK-Elekter'!$C:$X,2+$D105,0))+IF(BQ$9="X",VLOOKUP(BQ$10,'VK-Biokütused'!$C:$U,2+$E105,0))+IF(BQ$5="X",VLOOKUP(BQ$10,'VK-Põlevkivi'!$C:$X,2+$G105,0))+IF(BQ$4="X",VLOOKUP(BQ$10,'VK-Võrgud'!$C:$X,2+$F105,0)))/16</f>
        <v>233.20625000000001</v>
      </c>
      <c r="BR105" s="209">
        <f>(IF(BR$7="X",VLOOKUP(BR$10,'VK-Hooned-Soojus'!$C:$X,2+$C105,FALSE),0)+IF(BR$6="X",VLOOKUP(BR$10,'VK-Transport'!$C:$X,2+$B105,0))+IF(BR$8="X",VLOOKUP(BR$10,'VK-Elekter'!$C:$X,2+$D105,0))+IF(BR$9="X",VLOOKUP(BR$10,'VK-Biokütused'!$C:$U,2+$E105,0))+IF(BR$5="X",VLOOKUP(BR$10,'VK-Põlevkivi'!$C:$X,2+$G105,0))+IF(BR$4="X",VLOOKUP(BR$10,'VK-Võrgud'!$C:$X,2+$F105,0)))/16</f>
        <v>74.512500000000003</v>
      </c>
      <c r="BS105" s="209">
        <f>(IF(BS$7="X",VLOOKUP(BS$10,'VK-Hooned-Soojus'!$C:$X,2+$C105,FALSE),0)+IF(BS$6="X",VLOOKUP(BS$10,'VK-Transport'!$C:$X,2+$B105,0))+IF(BS$8="X",VLOOKUP(BS$10,'VK-Elekter'!$C:$X,2+$D105,0))+IF(BS$9="X",VLOOKUP(BS$10,'VK-Biokütused'!$C:$U,2+$E105,0))+IF(BS$5="X",VLOOKUP(BS$10,'VK-Põlevkivi'!$C:$X,2+$G105,0))+IF(BS$4="X",VLOOKUP(BS$10,'VK-Võrgud'!$C:$X,2+$F105,0)))/16</f>
        <v>-21.475000000000001</v>
      </c>
      <c r="BT105" s="209"/>
      <c r="BU105" s="209"/>
      <c r="BV105" s="209">
        <f>(IF(BV$7="X",VLOOKUP(BV$10,'VK-Hooned-Soojus'!$C:$X,2+$C105,FALSE),0)+IF(BV$6="X",VLOOKUP(BV$10,'VK-Transport'!$C:$X,2+$B105,0))+IF(BV$8="X",VLOOKUP(BV$10,'VK-Elekter'!$C:$X,2+$D105,0))+IF(BV$9="X",VLOOKUP(BV$10,'VK-Biokütused'!$C:$U,2+$E105,0))+IF(BV$5="X",VLOOKUP(BV$10,'VK-Põlevkivi'!$C:$X,2+$G105,0))+IF(BV$4="X",VLOOKUP(BV$10,'VK-Võrgud'!$C:$X,2+$F105,0)))/16</f>
        <v>0</v>
      </c>
      <c r="BW105" s="209"/>
      <c r="BX105" s="209">
        <f>(IF(BX$7="X",VLOOKUP(BX$10,'VK-Hooned-Soojus'!$C:$X,2+$C105,FALSE),0)+IF(BX$6="X",VLOOKUP(BX$10,'VK-Transport'!$C:$X,2+$B105,0))+IF(BX$8="X",VLOOKUP(BX$10,'VK-Elekter'!$C:$X,2+$D105,0))+IF(BX$9="X",VLOOKUP(BX$10,'VK-Biokütused'!$C:$U,2+$E105,0))+IF(BX$5="X",VLOOKUP(BX$10,'VK-Põlevkivi'!$C:$X,2+$G105,0))+IF(BX$4="X",VLOOKUP(BX$10,'VK-Võrgud'!$C:$X,2+$F105,0)))/16</f>
        <v>-99.75</v>
      </c>
      <c r="BY105" s="209"/>
      <c r="BZ105" s="209"/>
      <c r="CA105" s="209" t="e">
        <f>(IF(CA$7="X",VLOOKUP(CA$10,'VK-Hooned-Soojus'!$C:$X,2+$C105,FALSE),0)+IF(CA$6="X",VLOOKUP(CA$10,'VK-Transport'!$C:$X,2+$B105,0))+IF(CA$8="X",VLOOKUP(CA$10,'VK-Elekter'!$C:$X,2+$D105,0))+IF(CA$9="X",VLOOKUP(CA$10,'VK-Biokütused'!$C:$U,2+$E105,0))+IF(CA$5="X",VLOOKUP(CA$10,'VK-Põlevkivi'!$C:$X,2+$G105,0))+IF(CA$4="X",VLOOKUP(CA$10,'VK-Võrgud'!$C:$X,2+$F105,0)))/16</f>
        <v>#N/A</v>
      </c>
      <c r="CB105" s="209">
        <f>(IF(CB$7="X",VLOOKUP(CB$10,'VK-Hooned-Soojus'!$C:$X,2+$C105,FALSE),0)+IF(CB$6="X",VLOOKUP(CB$10,'VK-Transport'!$C:$X,2+$B105,0))+IF(CB$8="X",VLOOKUP(CB$10,'VK-Elekter'!$C:$X,2+$D105,0))+IF(CB$9="X",VLOOKUP(CB$10,'VK-Biokütused'!$C:$U,2+$E105,0))+IF(CB$5="X",VLOOKUP(CB$10,'VK-Põlevkivi'!$C:$X,2+$G105,0))+IF(CB$4="X",VLOOKUP(CB$10,'VK-Võrgud'!$C:$X,2+$F105,0)))/16</f>
        <v>0</v>
      </c>
      <c r="CC105" s="209">
        <f>(IF(CC$7="X",VLOOKUP(CC$10,'VK-Hooned-Soojus'!$C:$X,2+$C105,FALSE),0)+IF(CC$6="X",VLOOKUP(CC$10,'VK-Transport'!$C:$X,2+$B105,0))+IF(CC$8="X",VLOOKUP(CC$10,'VK-Elekter'!$C:$X,2+$D105,0))+IF(CC$9="X",VLOOKUP(CC$10,'VK-Biokütused'!$C:$U,2+$E105,0))+IF(CC$5="X",VLOOKUP(CC$10,'VK-Põlevkivi'!$C:$X,2+$G105,0))+IF(CC$4="X",VLOOKUP(CC$10,'VK-Võrgud'!$C:$X,2+$F105,0)))/16</f>
        <v>0</v>
      </c>
      <c r="CD105" s="209"/>
      <c r="CE105" s="209">
        <f>(IF(CE$7="X",VLOOKUP(CE$10,'VK-Hooned-Soojus'!$C:$X,2+$C105,FALSE),0)+IF(CE$6="X",VLOOKUP(CE$10,'VK-Transport'!$C:$X,2+$B105,0))+IF(CE$8="X",VLOOKUP(CE$10,'VK-Elekter'!$C:$X,2+$D105,0))+IF(CE$9="X",VLOOKUP(CE$10,'VK-Biokütused'!$C:$U,2+$E105,0))+IF(CE$5="X",VLOOKUP(CE$10,'VK-Põlevkivi'!$C:$X,2+$G105,0))+IF(CE$4="X",VLOOKUP(CE$10,'VK-Võrgud'!$C:$X,2+$F105,0)))/16</f>
        <v>24.15625</v>
      </c>
      <c r="CF105" s="209"/>
      <c r="CG105" s="209">
        <f>(IF(CG$7="X",VLOOKUP(CG$10,'VK-Hooned-Soojus'!$C:$X,2+$C105,FALSE),0)+IF(CG$6="X",VLOOKUP(CG$10,'VK-Transport'!$C:$X,2+$B105,0))+IF(CG$8="X",VLOOKUP(CG$10,'VK-Elekter'!$C:$X,2+$D105,0))+IF(CG$9="X",VLOOKUP(CG$10,'VK-Biokütused'!$C:$U,2+$E105,0))+IF(CG$5="X",VLOOKUP(CG$10,'VK-Põlevkivi'!$C:$X,2+$G105,0))+IF(CG$4="X",VLOOKUP(CG$10,'VK-Võrgud'!$C:$X,2+$F105,0)))/16</f>
        <v>0</v>
      </c>
      <c r="CH105" s="209">
        <f>(IF(CH$7="X",VLOOKUP(CH$10,'VK-Hooned-Soojus'!$C:$X,2+$C105,FALSE),0)+IF(CH$6="X",VLOOKUP(CH$10,'VK-Transport'!$C:$X,2+$B105,0))+IF(CH$8="X",VLOOKUP(CH$10,'VK-Elekter'!$C:$X,2+$D105,0))+IF(CH$9="X",VLOOKUP(CH$10,'VK-Biokütused'!$C:$U,2+$E105,0))+IF(CH$5="X",VLOOKUP(CH$10,'VK-Põlevkivi'!$C:$X,2+$G105,0))+IF(CH$4="X",VLOOKUP(CH$10,'VK-Võrgud'!$C:$X,2+$F105,0)))/20*0.21</f>
        <v>5.6122500000000004</v>
      </c>
      <c r="CI105" s="209"/>
      <c r="CJ105" s="209">
        <f>(IF(CJ$7="X",VLOOKUP(CJ$10,'VK-Hooned-Soojus'!$C:$X,2+$C105,FALSE),0)+IF(CJ$6="X",VLOOKUP(CJ$10,'VK-Transport'!$C:$X,2+$B105,0))+IF(CJ$8="X",VLOOKUP(CJ$10,'VK-Elekter'!$C:$X,2+$D105,0))+IF(CJ$9="X",VLOOKUP(CJ$10,'VK-Biokütused'!$C:$U,2+$E105,0))+IF(CJ$5="X",VLOOKUP(CJ$10,'VK-Põlevkivi'!$C:$X,2+$G105,0))+IF(CJ$4="X",VLOOKUP(CJ$10,'VK-Võrgud'!$C:$X,2+$F105,0)))/1000</f>
        <v>18.083578011574538</v>
      </c>
      <c r="CK105" s="209">
        <f>(IF(CK$7="X",VLOOKUP(CK$10,'VK-Hooned-Soojus'!$C:$X,2+$C105,FALSE),0)+IF(CK$6="X",VLOOKUP(CK$10,'VK-Transport'!$C:$X,2+$B105,0))+IF(CK$8="X",VLOOKUP(CK$10,'VK-Elekter'!$C:$X,2+$D105,0))+IF(CK$9="X",VLOOKUP(CK$10,'VK-Biokütused'!$C:$U,2+$E105,0))+IF(CK$5="X",VLOOKUP(CK$10,'VK-Põlevkivi'!$C:$X,2+$G105,0))+IF(CK$4="X",VLOOKUP(CK$10,'VK-Võrgud'!$C:$X,2+$F105,0)))/1000</f>
        <v>12.801077976340796</v>
      </c>
      <c r="CL105" s="235">
        <f>(IF(CL$7="X",VLOOKUP(CL$10,'VK-Hooned-Soojus'!$C:$X,2+$C105,FALSE),0)+IF(CL$6="X",VLOOKUP(CL$10,'VK-Transport'!$C:$X,2+$B105,0))+IF(CL$8="X",VLOOKUP(CL$10,'VK-Elekter'!$C:$X,2+$D105,0))+IF(CL$9="X",VLOOKUP(CL$10,'VK-Biokütused'!$C:$U,2+$E105,0)))/1000</f>
        <v>7.9391111109201011</v>
      </c>
      <c r="CM105" s="209">
        <f>(IF(CM$7="X",VLOOKUP(CM$10,'VK-Hooned-Soojus'!$C:$X,2+$C105,FALSE),0)+IF(CM$6="X",VLOOKUP(CM$10,'VK-Transport'!$C:$X,2+$B105,0))+IF(CM$8="X",VLOOKUP(CM$10,'VK-Elekter'!$C:$X,2+$D105,0))+IF(CM$9="X",VLOOKUP(CM$10,'VK-Biokütused'!$C:$U,2+$E105,0))+IF(CM$5="X",VLOOKUP(CM$10,'VK-Põlevkivi'!$C:$X,2+$G105,0))+IF(CM$4="X",VLOOKUP(CM$10,'VK-Võrgud'!$C:$X,2+$F105,0)))/1000</f>
        <v>8.5167605777489079</v>
      </c>
      <c r="CN105" s="209">
        <f>(IF(CN$7="X",VLOOKUP(CN$10,'VK-Hooned-Soojus'!$C:$X,2+$C105,FALSE),0)+IF(CN$6="X",VLOOKUP(CN$10,'VK-Transport'!$C:$X,2+$B105,0))+IF(CN$8="X",VLOOKUP(CN$10,'VK-Elekter'!$C:$X,2+$D105,0))+IF(CN$9="X",VLOOKUP(CN$10,'VK-Biokütused'!$C:$U,2+$E105,0))+IF(CN$5="X",VLOOKUP(CN$10,'VK-Põlevkivi'!$C:$X,2+$G105,0))+IF(CN$4="X",VLOOKUP(CN$10,'VK-Võrgud'!$C:$X,2+$F105,0)))/1000</f>
        <v>3.0510000000000002</v>
      </c>
      <c r="CO105" s="209">
        <f>(IF(CO$7="X",VLOOKUP(CO$10,'VK-Hooned-Soojus'!$C:$X,2+$C105,FALSE),0)+IF(CO$6="X",VLOOKUP(CO$10,'VK-Transport'!$C:$X,2+$B105,0))+IF(CO$8="X",VLOOKUP(CO$10,'VK-Elekter'!$C:$X,2+$D105,0))+IF(CO$9="X",VLOOKUP(CO$10,'VK-Biokütused'!$C:$U,2+$E105,0))+IF(CO$5="X",VLOOKUP(CO$10,'VK-Põlevkivi'!$C:$X,2+$G105,0))+IF(CO$4="X",VLOOKUP(CO$10,'VK-Võrgud'!$C:$X,2+$F105,0)))/1000</f>
        <v>24.109362337356995</v>
      </c>
      <c r="CP105" s="209">
        <f>(IF(CP$7="X",VLOOKUP(CP$10,'VK-Hooned-Soojus'!$C:$X,2+$C105,FALSE),0)+IF(CP$6="X",VLOOKUP(CP$10,'VK-Transport'!$C:$X,2+$B105,0))+IF(CP$8="X",VLOOKUP(CP$10,'VK-Elekter'!$C:$X,2+$D105,0))+IF(CP$9="X",VLOOKUP(CP$10,'VK-Biokütused'!$C:$U,2+$E105,0))+IF(CP$5="X",VLOOKUP(CP$10,'VK-Põlevkivi'!$C:$X,2+$G105,0))+IF(CP$4="X",VLOOKUP(CP$10,'VK-Võrgud'!$C:$X,2+$F105,0)))/1000</f>
        <v>13.823392120693661</v>
      </c>
      <c r="CQ105" s="235">
        <f>(IF(CQ$7="X",VLOOKUP(CQ$10,'VK-Hooned-Soojus'!$C:$X,2+$C105,FALSE),0)+IF(CQ$6="X",VLOOKUP(CQ$10,'VK-Transport'!$C:$X,2+$B105,0))+IF(CQ$8="X",VLOOKUP(CQ$10,'VK-Elekter'!$C:$X,2+$D105,0))+IF(CQ$9="X",VLOOKUP(CQ$10,'VK-Biokütused'!$C:$U,2+$E105,0)))/1000</f>
        <v>10.549918999999999</v>
      </c>
      <c r="CR105" s="209">
        <f>(IF(CR$7="X",VLOOKUP(CR$10,'VK-Hooned-Soojus'!$C:$X,2+$C105,FALSE),0)+IF(CR$6="X",VLOOKUP(CR$10,'VK-Transport'!$C:$X,2+$B105,0))+IF(CR$8="X",VLOOKUP(CR$10,'VK-Elekter'!$C:$X,2+$D105,0))+IF(CR$9="X",VLOOKUP(CR$10,'VK-Biokütused'!$C:$U,2+$E105,0))+IF(CR$5="X",VLOOKUP(CR$10,'VK-Põlevkivi'!$C:$X,2+$G105,0))+IF(CR$4="X",VLOOKUP(CR$10,'VK-Võrgud'!$C:$X,2+$F105,0)))/1000</f>
        <v>8.0827518373996892</v>
      </c>
      <c r="CS105" s="209">
        <f>(IF(CS$7="X",VLOOKUP(CS$10,'VK-Hooned-Soojus'!$C:$X,2+$C105,FALSE),0)+IF(CS$6="X",VLOOKUP(CS$10,'VK-Transport'!$C:$X,2+$B105,0))+IF(CS$8="X",VLOOKUP(CS$10,'VK-Elekter'!$C:$X,2+$D105,0))+IF(CS$9="X",VLOOKUP(CS$10,'VK-Biokütused'!$C:$U,2+$E105,0))+IF(CS$5="X",VLOOKUP(CS$10,'VK-Põlevkivi'!$C:$X,2+$G105,0))+IF(CS$4="X",VLOOKUP(CS$10,'VK-Võrgud'!$C:$X,2+$F105,0)))/1000</f>
        <v>3.838649509862238</v>
      </c>
      <c r="CT105" s="209">
        <f>IF(CT$7="X",VLOOKUP(CT$10,'VK-Hooned-Soojus'!$C:$X,2+$C105,FALSE),0)+IF(CT$6="X",VLOOKUP(CT$10,'VK-Transport'!$C:$X,2+$B105,0))+IF(CT$8="X",VLOOKUP(CT$10,'VK-Elekter'!$C:$X,2+$D105,0))+IF(CT$9="X",VLOOKUP(CT$10,'VK-Biokütused'!$C:$U,2+$E105,0))+IF(CT$5="X",VLOOKUP(CT$10,'VK-Põlevkivi'!$C:$X,2+$G105,0))+IF(CT$4="X",VLOOKUP(CT$10,'VK-Võrgud'!$C:$X,2+$F105,0))</f>
        <v>90</v>
      </c>
      <c r="CU105" s="209">
        <f>IF(CU$7="X",VLOOKUP(CU$10,'VK-Hooned-Soojus'!$C:$X,2+$C105,FALSE),0)+IF(CU$6="X",VLOOKUP(CU$10,'VK-Transport'!$C:$X,2+$B105,0))+IF(CU$8="X",VLOOKUP(CU$10,'VK-Elekter'!$C:$X,2+$D105,0))+IF(CU$9="X",VLOOKUP(CU$10,'VK-Biokütused'!$C:$U,2+$E105,0))+IF(CU$5="X",VLOOKUP(CU$10,'VK-Põlevkivi'!$C:$X,2+$G105,0))+IF(CU$4="X",VLOOKUP(CU$10,'VK-Võrgud'!$C:$X,2+$F105,0))</f>
        <v>0.72088353413654627</v>
      </c>
      <c r="CV105" s="209">
        <f t="shared" si="49"/>
        <v>0.72887234460741657</v>
      </c>
      <c r="CW105" s="209">
        <f>(IF(CW$7="X",VLOOKUP(CW$10,'VK-Hooned-Soojus'!$C:$X,2+$C105,FALSE),0)+IF(CW$6="X",VLOOKUP(CW$10,'VK-Transport'!$C:$X,2+$B105,0))+IF(CW$8="X",VLOOKUP(CW$10,'VK-Elekter'!$C:$X,2+$D105,0))+IF(CW$9="X",VLOOKUP(CW$10,'VK-Biokütused'!$C:$U,2+$E105,0))+IF(CW$5="X",VLOOKUP(CW$10,'VK-Põlevkivi'!$C:$X,2+$G105,0))+IF(CW$4="X",VLOOKUP(CW$10,'VK-Võrgud'!$C:$X,2+$F105,0)))/16</f>
        <v>59.743749999999999</v>
      </c>
      <c r="CY105" s="209">
        <f>(IF(CY$7="X",VLOOKUP(CY$10,'VK-Hooned-Soojus'!$C:$X,2+$C105,FALSE),0)+IF(CY$6="X",VLOOKUP(CY$10,'VK-Transport'!$C:$X,2+$B105,0))+IF(CY$8="X",VLOOKUP(CY$10,'VK-Elekter'!$C:$X,2+$D105,0))+IF(CY$9="X",VLOOKUP(CY$10,'VK-Biokütused'!$C:$U,2+$E105,0))+IF(CY$5="X",VLOOKUP(CY$10,'VK-Põlevkivi'!$C:$X,2+$G105,0))+IF(CY$4="X",VLOOKUP(CY$10,'VK-Võrgud'!$C:$X,2+$F105,0)))/1000</f>
        <v>10.46</v>
      </c>
      <c r="CZ105" s="209">
        <f>(IF(CZ$7="X",VLOOKUP(CZ$10,'VK-Hooned-Soojus'!$C:$X,2+$C105,FALSE),0)+IF(CZ$6="X",VLOOKUP(CZ$10,'VK-Transport'!$C:$X,2+$B105,0))+IF(CZ$8="X",VLOOKUP(CZ$10,'VK-Elekter'!$C:$X,2+$D105,0))+IF(CZ$9="X",VLOOKUP(CZ$10,'VK-Biokütused'!$C:$U,2+$E105,0))+IF(CZ$5="X",VLOOKUP(CZ$10,'VK-Põlevkivi'!$C:$X,2+$G105,0))+IF(CZ$4="X",VLOOKUP(CZ$10,'VK-Võrgud'!$C:$X,2+$F105,0)))</f>
        <v>71.400000000000006</v>
      </c>
      <c r="DA105" s="209">
        <f>(IF(DA$7="X",VLOOKUP(DA$10,'VK-Hooned-Soojus'!$C:$X,2+$C105,FALSE),0)+IF(DA$6="X",VLOOKUP(DA$10,'VK-Transport'!$C:$X,2+$B105,0))+IF(DA$8="X",VLOOKUP(DA$10,'VK-Elekter'!$C:$X,2+$D105,0))+IF(DA$9="X",VLOOKUP(DA$10,'VK-Biokütused'!$C:$U,2+$E105,0))+IF(DA$5="X",VLOOKUP(DA$10,'VK-Põlevkivi'!$C:$X,2+$G105,0))+IF(DA$4="X",VLOOKUP(DA$10,'VK-Võrgud'!$C:$X,2+$F105,0)))/1000</f>
        <v>13.815</v>
      </c>
      <c r="DB105" s="209">
        <f>(IF(DB$7="X",VLOOKUP(DB$10,'VK-Hooned-Soojus'!$C:$X,2+$C105,FALSE),0)+IF(DB$6="X",VLOOKUP(DB$10,'VK-Transport'!$C:$X,2+$B105,0))+IF(DB$8="X",VLOOKUP(DB$10,'VK-Elekter'!$C:$X,2+$D105,0))+IF(DB$9="X",VLOOKUP(DB$10,'VK-Biokütused'!$C:$U,2+$E105,0))+IF(DB$5="X",VLOOKUP(DB$10,'VK-Põlevkivi'!$C:$X,2+$G105,0))+IF(DB$4="X",VLOOKUP(DB$10,'VK-Võrgud'!$C:$X,2+$F105,0)))/1000/3.6</f>
        <v>62.204166666666666</v>
      </c>
      <c r="DC105" s="209">
        <f>(IF(DC$7="X",VLOOKUP(DC$10,'VK-Hooned-Soojus'!$C:$X,2+$C105,FALSE),0)+IF(DC$6="X",VLOOKUP(DC$10,'VK-Transport'!$C:$X,2+$B105,0))+IF(DC$8="X",VLOOKUP(DC$10,'VK-Elekter'!$C:$X,2+$D105,0))+IF(DC$9="X",VLOOKUP(DC$10,'VK-Biokütused'!$C:$U,2+$E105,0))+IF(DC$5="X",VLOOKUP(DC$10,'VK-Põlevkivi'!$C:$X,2+$G105,0))+IF(DC$4="X",VLOOKUP(DC$10,'VK-Võrgud'!$C:$X,2+$F105,0)))/1000000</f>
        <v>4.9816269999999996</v>
      </c>
      <c r="DD105" s="209"/>
      <c r="DE105" s="88">
        <f>VLOOKUP(Tulemused!$BN$12,data!M$7:N$12,2,FALSE)-SUM(L105,M105)</f>
        <v>-0.80250937302436398</v>
      </c>
      <c r="DF105" s="209" t="str">
        <f>IF(AZ105&lt;=VLOOKUP(Tulemused!$BN$15,data!$E$36:$F$39,2,FALSE),"JAH","EI")</f>
        <v>JAH</v>
      </c>
      <c r="DG105" s="209"/>
      <c r="DH105" s="209">
        <f t="shared" si="50"/>
        <v>6.78</v>
      </c>
      <c r="DI105" s="231" t="str">
        <f t="shared" si="65"/>
        <v>EI</v>
      </c>
      <c r="DK105" s="232">
        <f t="shared" si="51"/>
        <v>-994.63770285307248</v>
      </c>
      <c r="DM105" s="233">
        <f t="shared" si="52"/>
        <v>-996.53574961045251</v>
      </c>
      <c r="DN105" s="87">
        <f t="array" ref="DN105">INDEX($A$11:$A$145, SMALL(IF(DM105=$DK$11:$DK$145, MATCH(ROW($DK$11:$DK$145), ROW($DK$11:$DK$145))), SUM(--(DM105=$DM$11:DM105))))</f>
        <v>24</v>
      </c>
      <c r="DP105" s="87" t="e">
        <f t="shared" ca="1" si="66"/>
        <v>#N/A</v>
      </c>
      <c r="DQ105" s="87" t="e">
        <f t="shared" ca="1" si="67"/>
        <v>#N/A</v>
      </c>
      <c r="DR105" s="87">
        <f t="shared" ca="1" si="68"/>
        <v>0</v>
      </c>
      <c r="DS105" s="87" t="e">
        <f t="shared" ca="1" si="69"/>
        <v>#N/A</v>
      </c>
      <c r="DT105" s="87">
        <f t="shared" ca="1" si="70"/>
        <v>0</v>
      </c>
      <c r="DU105" s="87" t="e">
        <f t="shared" ca="1" si="71"/>
        <v>#N/A</v>
      </c>
      <c r="DV105" s="87" t="e">
        <f t="shared" ca="1" si="72"/>
        <v>#N/A</v>
      </c>
      <c r="DW105" s="87">
        <f t="shared" ca="1" si="73"/>
        <v>0</v>
      </c>
      <c r="DX105" s="87">
        <f t="shared" ca="1" si="74"/>
        <v>0</v>
      </c>
      <c r="DZ105" s="87">
        <f t="shared" ca="1" si="82"/>
        <v>0</v>
      </c>
      <c r="EB105" s="87">
        <f t="shared" ca="1" si="75"/>
        <v>0</v>
      </c>
      <c r="EC105" s="87" t="e">
        <f t="shared" ca="1" si="76"/>
        <v>#N/A</v>
      </c>
      <c r="EE105" s="228">
        <f>(IF(EE$7="X",VLOOKUP(EE$10,'VK-Hooned-Soojus'!$C:$X,2+$C105,FALSE),0)+IF(EE$6="X",VLOOKUP(EE$10,'VK-Transport'!$C:$X,2+$B105,0))+IF(EE$8="X",VLOOKUP(EE$10,'VK-Elekter'!$C:$X,2+$D105,0))+IF(EE$9="X",VLOOKUP(EE$10,'VK-Biokütused'!$C:$U,2+$E105,0))+IF(EE$5="X",VLOOKUP(EE$10,'VK-Põlevkivi'!$C:$X,2+$G105,0))+IF(EE$4="X",VLOOKUP(EE$10,'VK-Võrgud'!$C:$X,2+$F105,0)))</f>
        <v>6710.8752010343487</v>
      </c>
      <c r="EF105" s="235">
        <f>(IF(EF$7="X",VLOOKUP(EF$10,'VK-Hooned-Soojus'!$C:$X,2+$C105,FALSE),0)+IF(EF$6="X",VLOOKUP(EF$10,'VK-Transport'!$C:$X,2+$B105,0))+IF(EF$8="X",VLOOKUP(EF$10,'VK-Elekter'!$C:$X,2+$D105,0))+IF(EF$9="X",VLOOKUP(EF$10,'VK-Biokütused'!$C:$U,2+$E105,0)))/1000</f>
        <v>4.7128849906373196</v>
      </c>
      <c r="EG105" s="209">
        <f>(IF(EG$7="X",VLOOKUP(EG$10,'VK-Hooned-Soojus'!$C:$X,2+$C105,FALSE),0)+IF(EG$6="X",VLOOKUP(EG$10,'VK-Transport'!$C:$X,2+$B105,0))+IF(EG$8="X",VLOOKUP(EG$10,'VK-Elekter'!$C:$X,2+$D105,0))+IF(EG$9="X",VLOOKUP(EG$10,'VK-Biokütused'!$C:$U,2+$E105,0))+IF(EG$5="X",VLOOKUP(EG$10,'VK-Põlevkivi'!$C:$X,2+$G105,0))+IF(EG$4="X",VLOOKUP(EG$10,'VK-Võrgud'!$C:$X,2+$F105,0)))</f>
        <v>0.81</v>
      </c>
      <c r="EH105" s="209">
        <f>(IF(EH$7="X",VLOOKUP(EH$10,'VK-Hooned-Soojus'!$C:$X,2+$C105,FALSE),0)+IF(EH$6="X",VLOOKUP(EH$10,'VK-Transport'!$C:$X,2+$B105,0))+IF(EH$8="X",VLOOKUP(EH$10,'VK-Elekter'!$C:$X,2+$D105,0))+IF(EH$9="X",VLOOKUP(EH$10,'VK-Biokütused'!$C:$U,2+$E105,0)))+AR105+AS105+AU105+AX105</f>
        <v>52.11563703877178</v>
      </c>
      <c r="EI105" s="320">
        <f t="shared" si="53"/>
        <v>47.412900516795858</v>
      </c>
      <c r="EJ105" s="322">
        <f t="shared" si="54"/>
        <v>2.3132392489112068E-2</v>
      </c>
      <c r="EK105" s="323">
        <f t="shared" si="77"/>
        <v>0.4418964743705141</v>
      </c>
      <c r="EM105" s="209"/>
      <c r="EN105" s="209">
        <f t="shared" ca="1" si="55"/>
        <v>0</v>
      </c>
      <c r="EO105" s="209"/>
      <c r="EP105" s="234"/>
      <c r="EQ105" s="209">
        <f>(IF(EQ$7="X",VLOOKUP(EQ$10,'VK-Hooned-Soojus'!$C:$X,2+$C105,FALSE),0)+IF(EQ$6="X",VLOOKUP(EQ$10,'VK-Transport'!$C:$X,2+$B105,0))+IF(EQ$8="X",VLOOKUP(EQ$10,'VK-Elekter'!$C:$X,2+$D105,0))+IF(EQ$9="X",VLOOKUP(EQ$10,'VK-Biokütused'!$C:$U,2+$E105,0))+IF(EQ$5="X",VLOOKUP(EQ$10,'VK-Põlevkivi'!$C:$X,2+$G105,0))+IF(EQ$4="X",VLOOKUP(EQ$10,'VK-Võrgud'!$C:$X,2+$F105,0)))/1000</f>
        <v>0.22900000000000001</v>
      </c>
      <c r="ER105" s="209">
        <f>(IF(ER$7="X",VLOOKUP(ER$10,'VK-Hooned-Soojus'!$C:$X,2+$C105,FALSE),0)+IF(ER$6="X",VLOOKUP(ER$10,'VK-Transport'!$C:$X,2+$B105,0))+IF(ER$8="X",VLOOKUP(ER$10,'VK-Elekter'!$C:$X,2+$D105,0))+IF(ER$9="X",VLOOKUP(ER$10,'VK-Biokütused'!$C:$U,2+$E105,0))+IF(ER$5="X",VLOOKUP(ER$10,'VK-Põlevkivi'!$C:$X,2+$G105,0))+IF(ER$4="X",VLOOKUP(ER$10,'VK-Võrgud'!$C:$X,2+$F105,0)))</f>
        <v>0.82899999999999996</v>
      </c>
      <c r="ES105" s="209">
        <f>(IF(ES$7="X",VLOOKUP(ES$10,'VK-Hooned-Soojus'!$C:$X,2+$C105,FALSE),0)+IF(ES$6="X",VLOOKUP(ES$10,'VK-Transport'!$C:$X,2+$B105,0))+IF(ES$8="X",VLOOKUP(ES$10,'VK-Elekter'!$C:$X,2+$D105,0))+IF(ES$9="X",VLOOKUP(ES$10,'VK-Biokütused'!$C:$U,2+$E105,0))+IF(ES$5="X",VLOOKUP(ES$10,'VK-Põlevkivi'!$C:$X,2+$G105,0))+IF(ES$4="X",VLOOKUP(ES$10,'VK-Võrgud'!$C:$X,2+$F105,0)))</f>
        <v>6.78</v>
      </c>
      <c r="ET105" s="209"/>
      <c r="EU105" s="209"/>
      <c r="EV105" s="87">
        <f>'KSH järjestus'!AS98</f>
        <v>1499</v>
      </c>
      <c r="EX105" s="236"/>
      <c r="EY105" s="236"/>
      <c r="EZ105" s="237">
        <f t="shared" si="56"/>
        <v>0.27911646586345373</v>
      </c>
      <c r="FA105" s="209">
        <f>IF(FA$7="X",VLOOKUP(FA$10,'VK-Hooned-Soojus'!$C:$X,2+$C105,FALSE),0)+IF(FA$6="X",VLOOKUP(FA$10,'VK-Transport'!$C:$X,2+$B105,0))+IF(FA$8="X",VLOOKUP(FA$10,'VK-Elekter'!$C:$X,2+$D105,0))+IF(FA$9="X",VLOOKUP(FA$10,'VK-Biokütused'!$C:$U,2+$E105,0))+IF(FA$5="X",VLOOKUP(FA$10,'VK-Põlevkivi'!$C:$X,2+$G105,0))+IF(FA$4="X",VLOOKUP(FA$10,'VK-Võrgud'!$C:$X,2+$F105,0))</f>
        <v>3026.9189999999999</v>
      </c>
      <c r="FB105" s="279">
        <f>(IF(FB$7="X",VLOOKUP(FB$10,'VK-Hooned-Soojus'!$C:$X,2+$C105,FALSE),0)+IF(FB$6="X",VLOOKUP(FB$10,'VK-Transport'!$C:$X,2+$B105,0))+IF(FB$8="X",VLOOKUP(FB$10,'VK-Elekter'!$C:$X,2+$D105,0))+IF(FB$9="X",VLOOKUP(FB$10,'VK-Biokütused'!$C:$U,2+$E105,0))+IF(FB$5="X",VLOOKUP(FB$10,'VK-Põlevkivi'!$C:$X,2+$G105,0))+IF(FB$4="X",VLOOKUP(FB$10,'VK-Võrgud'!$C:$X,2+$F105,0)))/16</f>
        <v>397.52404660776028</v>
      </c>
      <c r="FC105" s="209">
        <f>IF(FC$7="X",VLOOKUP(FC$10,'VK-Hooned-Soojus'!$C:$X,2+$C105,FALSE),0)+IF(FC$6="X",VLOOKUP(FC$10,'VK-Transport'!$C:$X,2+$B105,0))+IF(FC$8="X",VLOOKUP(FC$10,'VK-Elekter'!$C:$X,2+$D105,0))+IF(FC$9="X",VLOOKUP(FC$10,'VK-Biokütused'!$C:$U,2+$E105,0))+IF(FC$5="X",VLOOKUP(FC$10,'VK-Põlevkivi'!$C:$X,2+$G105,0))+IF(FC$4="X",VLOOKUP(FC$10,'VK-Võrgud'!$C:$X,2+$F105,0))</f>
        <v>315.49999999999994</v>
      </c>
      <c r="FD105" s="209">
        <f>(IF(FD$7="X",VLOOKUP(FD$10,'VK-Hooned-Soojus'!$C:$X,2+$C105,FALSE),0)+IF(FD$6="X",VLOOKUP(FD$10,'VK-Transport'!$C:$X,2+$B105,0))+IF(FD$8="X",VLOOKUP(FD$10,'VK-Elekter'!$C:$X,2+$D105,0))+IF(FD$9="X",VLOOKUP(FD$10,'VK-Biokütused'!$C:$U,2+$E105,0))+IF(FD$5="X",VLOOKUP(FD$10,'VK-Põlevkivi'!$C:$X,2+$G105,0))+IF(FD$4="X",VLOOKUP(FD$10,'VK-Võrgud'!$C:$X,2+$F105,0)))/16</f>
        <v>397.52404660776028</v>
      </c>
      <c r="FE105" s="209">
        <f>(IF(FE$7="X",VLOOKUP(FE$10,'VK-Hooned-Soojus'!$C:$X,2+$C105,FALSE),0)+IF(FE$6="X",VLOOKUP(FE$10,'VK-Transport'!$C:$X,2+$B105,0))+IF(FE$8="X",VLOOKUP(FE$10,'VK-Elekter'!$C:$X,2+$D105,0))+IF(FE$9="X",VLOOKUP(FE$10,'VK-Biokütused'!$C:$U,2+$E105,0))+IF(FE$5="X",VLOOKUP(FE$10,'VK-Põlevkivi'!$C:$X,2+$G105,0))+IF(FE$4="X",VLOOKUP(FE$10,'VK-Võrgud'!$C:$X,2+$F105,0)))/16</f>
        <v>-55.7707198806321</v>
      </c>
      <c r="FF105" s="209">
        <f>(IF(FF$7="X",VLOOKUP(FF$10,'VK-Hooned-Soojus'!$C:$X,2+$C105,FALSE),0)+IF(FF$6="X",VLOOKUP(FF$10,'VK-Transport'!$C:$X,2+$B105,0))+IF(FF$8="X",VLOOKUP(FF$10,'VK-Elekter'!$C:$X,2+$D105,0))+IF(FF$9="X",VLOOKUP(FF$10,'VK-Biokütused'!$C:$U,2+$E105,0))+IF(FF$5="X",VLOOKUP(FF$10,'VK-Põlevkivi'!$C:$X,2+$G105,0))+IF(FF$4="X",VLOOKUP(FF$10,'VK-Võrgud'!$C:$X,2+$F105,0)))/16</f>
        <v>172.35645141052575</v>
      </c>
      <c r="FG105" s="88">
        <f t="shared" ca="1" si="78"/>
        <v>116.58573152989365</v>
      </c>
      <c r="FH105" s="88"/>
      <c r="FI105" s="88"/>
      <c r="FJ105" s="88">
        <f>VLOOKUP(Tulemused!$BN$12,data!M$7:N$12,2,FALSE)-SUM(L105,M105)</f>
        <v>-0.80250937302436398</v>
      </c>
      <c r="FK105" s="209" t="str">
        <f>IF(AZ105&lt;=VLOOKUP(Tulemused!$BN$15,data!$E$36:$F$39,2,FALSE),"JAH","EI")</f>
        <v>JAH</v>
      </c>
      <c r="FL105" s="235">
        <f ca="1">IF(ISNA(MATCH($A105,INDIRECT(VLOOKUP(Tulemused!$BF$11,data!$J$57:$M$71,4,FALSE)))),0,MATCH($A105,INDIRECT(VLOOKUP(Tulemused!$BF$11,data!$J$57:$M$71,4,FALSE))))</f>
        <v>0</v>
      </c>
      <c r="FM105" s="235" t="str">
        <f t="shared" ca="1" si="57"/>
        <v>JAH</v>
      </c>
      <c r="FN105" s="209">
        <f>VLOOKUP(Tulemused!$BN$13,data!$C$132:$D$137,2,FALSE)-KOMBI!R105</f>
        <v>4.5255850093626808</v>
      </c>
      <c r="FO105" s="209"/>
      <c r="FP105" s="209">
        <f>VLOOKUP(Tulemused!$BN$17,NO_x,2,FALSE)-CJ105</f>
        <v>11.354421988425461</v>
      </c>
      <c r="FQ105" s="209">
        <f>VLOOKUP(Tulemused!$BN$18,SO_2,2,FALSE)-CK105</f>
        <v>39.082922023659208</v>
      </c>
      <c r="FR105" s="209">
        <f>VLOOKUP(Tulemused!$BN$19,LOU,2,FALSE)-CN105</f>
        <v>34.029000000000003</v>
      </c>
      <c r="FS105" s="209">
        <f>VLOOKUP(Tulemused!$BN$20,PM_2.5,2,FALSE)-CM105</f>
        <v>8.3982394222510912</v>
      </c>
      <c r="FT105" s="209">
        <f>VLOOKUP(Tulemused!$BN$13,data!$C$132:$D$137,2,FALSE)-FA105/1000</f>
        <v>3.2190510000000008</v>
      </c>
      <c r="FU105" s="209">
        <f>VLOOKUP(Tulemused!$BN$17,NO_x,2,FALSE)-CO105</f>
        <v>5.3286376626430041</v>
      </c>
      <c r="FV105" s="209">
        <f>VLOOKUP(Tulemused!$BN$18,SO_2,2,FALSE)-CP105</f>
        <v>38.060607879306339</v>
      </c>
      <c r="FW105" s="209">
        <f>VLOOKUP(Tulemused!$BN$19,LOU,2,FALSE)-CS105</f>
        <v>33.241350490137769</v>
      </c>
      <c r="FX105" s="209">
        <f>VLOOKUP(Tulemused!$BN$20,PM_2.5,2,FALSE)-CR105</f>
        <v>8.83224816260031</v>
      </c>
      <c r="FY105" s="209">
        <f>VLOOKUP(Tulemused!$BN$14,KHG_2050,2,FALSE)-EF105</f>
        <v>95.28711500936268</v>
      </c>
      <c r="FZ105" s="231" t="str">
        <f t="shared" ca="1" si="79"/>
        <v>EI</v>
      </c>
      <c r="GA105" s="209"/>
      <c r="GB105" s="209"/>
      <c r="GC105" s="209"/>
      <c r="GD105" s="231"/>
      <c r="GE105" s="87">
        <f t="shared" si="58"/>
        <v>1499</v>
      </c>
      <c r="GF105" s="232" t="str">
        <f t="shared" ca="1" si="80"/>
        <v/>
      </c>
      <c r="GH105" s="238" t="e">
        <f t="shared" ca="1" si="59"/>
        <v>#NUM!</v>
      </c>
      <c r="GI105" s="87" t="e">
        <f t="array" aca="1" ref="GI105" ca="1">INDEX($A$11:$A$145, SMALL(IF(GH105=$GF$11:$GF$145, MATCH(ROW($GF$11:$GF$145), ROW($GF$11:$GF$145))), SUM(--(GH105=$GH$11:GH105))))</f>
        <v>#NUM!</v>
      </c>
      <c r="GM105" s="209">
        <f>IF(GM$7="X",VLOOKUP(GM$10,'VK-Hooned-Soojus'!$C:$X,2+$C105,FALSE),0)+IF(GM$6="X",VLOOKUP(GM$10,'VK-Transport'!$C:$X,2+$B105,0))+IF(GM$8="X",VLOOKUP(GM$10,'VK-Elekter'!$C:$X,2+$D105,0))+IF(GM$9="X",VLOOKUP(GM$10,'VK-Biokütused'!$C:$U,2+$E105,0))+IF(GM$5="X",VLOOKUP(GM$10,'VK-Põlevkivi'!$C:$X,2+$G105,0))+IF(GM$4="X",VLOOKUP(GM$10,'VK-Võrgud'!$C:$X,2+$F105,0))</f>
        <v>6.0128279910272253</v>
      </c>
      <c r="GN105" s="209">
        <f>IF(GN$7="X",VLOOKUP(GN$10,'VK-Hooned-Soojus'!$C:$X,2+$C105,FALSE),0)+IF(GN$6="X",VLOOKUP(GN$10,'VK-Transport'!$C:$X,2+$B105,0))+IF(GN$8="X",VLOOKUP(GN$10,'VK-Elekter'!$C:$X,2+$D105,0))+IF(GN$9="X",VLOOKUP(GN$10,'VK-Biokütused'!$C:$U,2+$E105,0))+IF(GN$5="X",VLOOKUP(GN$10,'VK-Põlevkivi'!$C:$X,2+$G105,0))+IF(GN$4="X",VLOOKUP(GN$10,'VK-Võrgud'!$C:$X,2+$F105,0))</f>
        <v>3.4467619395011728</v>
      </c>
      <c r="GO105" s="209">
        <f>IF(GO$7="X",VLOOKUP(GO$10,'VK-Hooned-Soojus'!$C:$X,2+$C105,FALSE),0)+IF(GO$6="X",VLOOKUP(GO$10,'VK-Transport'!$C:$X,2+$B105,0))+IF(GO$8="X",VLOOKUP(GO$10,'VK-Elekter'!$C:$X,2+$D105,0))+IF(GO$9="X",VLOOKUP(GO$10,'VK-Biokütused'!$C:$U,2+$E105,0))+IF(GO$5="X",VLOOKUP(GO$10,'VK-Põlevkivi'!$C:$X,2+$G105,0))+IF(GO$4="X",VLOOKUP(GO$10,'VK-Võrgud'!$C:$X,2+$F105,0))</f>
        <v>8.7471755658278116</v>
      </c>
      <c r="GP105" s="209">
        <f>IF(GP$7="X",VLOOKUP(GP$10,'VK-Hooned-Soojus'!$C:$X,2+$C105,FALSE),0)+IF(GP$6="X",VLOOKUP(GP$10,'VK-Transport'!$C:$X,2+$B105,0))+IF(GP$8="X",VLOOKUP(GP$10,'VK-Elekter'!$C:$X,2+$D105,0))+IF(GP$9="X",VLOOKUP(GP$10,'VK-Biokütused'!$C:$U,2+$E105,0))+IF(GP$5="X",VLOOKUP(GP$10,'VK-Põlevkivi'!$C:$X,2+$G105,0))+IF(GP$4="X",VLOOKUP(GP$10,'VK-Võrgud'!$C:$X,2+$F105,0))</f>
        <v>9.3279335818485372</v>
      </c>
      <c r="GQ105" s="88">
        <f>IF(GQ$7="X",VLOOKUP(GQ$10,'VK-Hooned-Soojus'!$C:$X,2+$C105,FALSE),0)+IF(GQ$6="X",VLOOKUP(GQ$10,'VK-Transport'!$C:$X,2+$B105,0))+IF(GQ$8="X",VLOOKUP(GQ$10,'VK-Elekter'!$C:$X,2+$D105,0))+IF(GQ$9="X",VLOOKUP(GQ$10,'VK-Biokütused'!$C:$U,2+$E105,0))+IF(GQ$5="X",VLOOKUP(GQ$10,'VK-Põlevkivi'!$C:$X,2+$G105,0))+IF(GQ$4="X",VLOOKUP(GQ$10,'VK-Võrgud'!$C:$X,2+$F105,0))</f>
        <v>0.89042766952822527</v>
      </c>
      <c r="GR105" s="186">
        <f t="shared" si="81"/>
        <v>0.40627315299312855</v>
      </c>
    </row>
    <row r="106" spans="1:200" x14ac:dyDescent="0.2">
      <c r="A106" s="184">
        <v>96</v>
      </c>
      <c r="B106" s="87">
        <v>3</v>
      </c>
      <c r="C106" s="87">
        <v>1</v>
      </c>
      <c r="D106" s="87">
        <v>2</v>
      </c>
      <c r="E106" s="87">
        <v>3</v>
      </c>
      <c r="F106" s="87">
        <f>VLOOKUP(Tulemused!$BF$7,data!$J$6:$K$8,2,FALSE)</f>
        <v>2</v>
      </c>
      <c r="G106" s="87">
        <f>VLOOKUP(data!$H$2,data!$J$12:$K$14,2,FALSE)</f>
        <v>2</v>
      </c>
      <c r="I106" s="209">
        <f>IF(I$7="X",VLOOKUP(I$10,'VK-Hooned-Soojus'!$C:$X,2+$C106,FALSE),0)+IF(I$6="X",VLOOKUP(I$10,'VK-Transport'!$C:$X,2+$B106,0))+IF(I$8="X",VLOOKUP(I$10,'VK-Elekter'!$C:$X,2+$D106,0))+IF(I$9="X",VLOOKUP(I$10,'VK-Biokütused'!$C:$U,2+$E106,0))+IF(I$5="X",VLOOKUP(I$10,'VK-Põlevkivi'!$C:$X,2+$G106,0))+IF(I$4="X",VLOOKUP(I$10,'VK-Võrgud'!$C:$X,2+$F106,0))</f>
        <v>26.89</v>
      </c>
      <c r="J106" s="209">
        <f>IF(J$7="X",VLOOKUP(J$10,'VK-Hooned-Soojus'!$C:$X,2+$C106,FALSE),0)+IF(J$6="X",VLOOKUP(J$10,'VK-Transport'!$C:$X,2+$B106,0))+IF(J$8="X",VLOOKUP(J$10,'VK-Elekter'!$C:$X,2+$D106,0))+IF(J$9="X",VLOOKUP(J$10,'VK-Biokütused'!$C:$U,2+$E106,0))+IF(J$5="X",VLOOKUP(J$10,'VK-Põlevkivi'!$C:$X,2+$G106,0))+IF(J$4="X",VLOOKUP(J$10,'VK-Võrgud'!$C:$X,2+$F106,0))</f>
        <v>8.1258333333333344</v>
      </c>
      <c r="K106" s="209">
        <f>IF(K$7="X",VLOOKUP(K$10,'VK-Hooned-Soojus'!$C:$X,2+$C106,FALSE),0)+IF(K$6="X",VLOOKUP(K$10,'VK-Transport'!$C:$X,2+$B106,0))+IF(K$8="X",VLOOKUP(K$10,'VK-Elekter'!$C:$X,2+$D106,0))+IF(K$9="X",VLOOKUP(K$10,'VK-Biokütused'!$C:$U,2+$E106,0))+IF(K$5="X",VLOOKUP(K$10,'VK-Põlevkivi'!$C:$X,2+$G106,0))+IF(K$4="X",VLOOKUP(K$10,'VK-Võrgud'!$C:$X,2+$F106,0))</f>
        <v>16.75</v>
      </c>
      <c r="L106" s="209">
        <f>IF(L$7="X",VLOOKUP(L$10,'VK-Hooned-Soojus'!$C:$X,2+$C106,FALSE),0)+IF(L$6="X",VLOOKUP(L$10,'VK-Transport'!$C:$X,2+$B106,0))+IF(L$8="X",VLOOKUP(L$10,'VK-Elekter'!$C:$X,2+$D106,0))+IF(L$9="X",VLOOKUP(L$10,'VK-Biokütused'!$C:$U,2+$E106,0))+IF(L$5="X",VLOOKUP(L$10,'VK-Põlevkivi'!$C:$X,2+$G106,0))+IF(L$4="X",VLOOKUP(L$10,'VK-Võrgud'!$C:$X,2+$F106,0))</f>
        <v>24.95</v>
      </c>
      <c r="M106" s="209">
        <f>IF(M$7="X",VLOOKUP(M$10,'VK-Hooned-Soojus'!$C:$X,2+$C106,FALSE),0)+IF(M$6="X",VLOOKUP(M$10,'VK-Transport'!$C:$X,2+$B106,0))+IF(M$8="X",VLOOKUP(M$10,'VK-Elekter'!$C:$X,2+$D106,0))+IF(M$9="X",VLOOKUP(M$10,'VK-Biokütused'!$C:$U,2+$E106,0))+IF(M$5="X",VLOOKUP(M$10,'VK-Põlevkivi'!$C:$X,2+$G106,0))+IF(M$4="X",VLOOKUP(M$10,'VK-Võrgud'!$C:$X,2+$F106,0))</f>
        <v>8.68530937302436</v>
      </c>
      <c r="N106" s="209">
        <f>IF(N$7="X",VLOOKUP(N$10,'VK-Hooned-Soojus'!$C:$X,2+$C106,FALSE),0)+IF(N$6="X",VLOOKUP(N$10,'VK-Transport'!$C:$X,2+$B106,0))+IF(N$8="X",VLOOKUP(N$10,'VK-Elekter'!$C:$X,2+$D106,0))+IF(N$9="X",VLOOKUP(N$10,'VK-Biokütused'!$C:$U,2+$E106,0))+IF(N$5="X",VLOOKUP(N$10,'VK-Põlevkivi'!$C:$X,2+$G106,0))+IF(N$4="X",VLOOKUP(N$10,'VK-Võrgud'!$C:$X,2+$F106,0))</f>
        <v>16.75</v>
      </c>
      <c r="O106" s="209">
        <f t="shared" si="60"/>
        <v>35.015833333333333</v>
      </c>
      <c r="P106" s="209"/>
      <c r="Q106" s="209">
        <f>(IF(Q$7="X",VLOOKUP(Q$10,'VK-Hooned-Soojus'!$C:$X,2+$C106,FALSE),0)+IF(Q$6="X",VLOOKUP(Q$10,'VK-Transport'!$C:$X,2+$B106,0))+IF(Q$8="X",VLOOKUP(Q$10,'VK-Elekter'!$C:$X,2+$D106,0))+IF(Q$9="X",VLOOKUP(Q$10,'VK-Biokütused'!$C:$U,2+$E106,0))+IF(Q$5="X",VLOOKUP(Q$10,'VK-Põlevkivi'!$C:$X,2+$G106,0))+IF(Q$4="X",VLOOKUP(Q$10,'VK-Võrgud'!$C:$X,2+$F106,0)))/1000</f>
        <v>5.3630000000000004</v>
      </c>
      <c r="R106" s="209">
        <f>(IF(R$7="X",VLOOKUP(R$10,'VK-Hooned-Soojus'!$C:$X,2+$C106,FALSE),0)+IF(R$6="X",VLOOKUP(R$10,'VK-Transport'!$C:$X,2+$B106,0))+IF(R$8="X",VLOOKUP(R$10,'VK-Elekter'!$C:$X,2+$D106,0))+IF(R$9="X",VLOOKUP(R$10,'VK-Biokütused'!$C:$U,2+$E106,0))+IF(R$5="X",VLOOKUP(R$10,'VK-Põlevkivi'!$C:$X,2+$G106,0))+IF(R$4="X",VLOOKUP(R$10,'VK-Võrgud'!$C:$X,2+$F106,0)))/1000</f>
        <v>1.92908499063732</v>
      </c>
      <c r="S106" s="226">
        <f>VLOOKUP(S$10,'VK-Hooned-Soojus'!$C:$I,2+$C106,FALSE) + VLOOKUP(S$10,'VK-Transport'!$C:$I,2+$B106,FALSE)+ VLOOKUP(S$10,'VK-Biokütused'!$C:$G,2+$E106,FALSE)+ VLOOKUP(S$10,'VK-Elekter'!$C:$I,2+$D106,FALSE)+ VLOOKUP(S$10,'VK-Põlevkivi'!$C:$I,2+$G106,FALSE)+ VLOOKUP(S$10,'VK-Võrgud'!$C:$I,2+$F106,FALSE)</f>
        <v>2.0050016851583276E-2</v>
      </c>
      <c r="T106" s="226">
        <f>VLOOKUP(T$10,'VK-Hooned-Soojus'!$C:$I,2+$C106,FALSE) + VLOOKUP(T$10,'VK-Transport'!$C:$I,2+$B106,FALSE)+ VLOOKUP(T$10,'VK-Biokütused'!$C:$G,2+$E106,FALSE)+ VLOOKUP(T$10,'VK-Elekter'!$C:$I,2+$D106,FALSE)+ VLOOKUP(T$10,'VK-Põlevkivi'!$C:$I,2+$G106,FALSE)+ VLOOKUP(T$10,'VK-Võrgud'!$C:$I,2+$F106,FALSE)</f>
        <v>5.5873735579261598E-3</v>
      </c>
      <c r="U106" s="226">
        <f>VLOOKUP(U$10,'VK-Hooned-Soojus'!$C:$I,2+$C106,FALSE) + VLOOKUP(U$10,'VK-Transport'!$C:$I,2+$B106,FALSE)+ VLOOKUP(U$10,'VK-Biokütused'!$C:$G,2+$E106,FALSE)+ VLOOKUP(U$10,'VK-Elekter'!$C:$I,2+$D106,FALSE)+ VLOOKUP(U$10,'VK-Põlevkivi'!$C:$I,2+$G106,FALSE)+ VLOOKUP(U$10,'VK-Võrgud'!$C:$I,2+$F106,FALSE)</f>
        <v>8.0006206118792E-3</v>
      </c>
      <c r="V106" s="226">
        <f>VLOOKUP(V$10,'VK-Hooned-Soojus'!$C:$I,2+$C106,FALSE) + VLOOKUP(V$10,'VK-Transport'!$C:$I,2+$B106,FALSE)+ VLOOKUP(V$10,'VK-Biokütused'!$C:$G,2+$E106,FALSE)+ VLOOKUP(V$10,'VK-Elekter'!$C:$I,2+$D106,FALSE)+ VLOOKUP(V$10,'VK-Põlevkivi'!$C:$I,2+$G106,FALSE)+ VLOOKUP(V$10,'VK-Võrgud'!$C:$I,2+$F106,FALSE)</f>
        <v>1.2220034942787159E-2</v>
      </c>
      <c r="W106" s="226">
        <f>VLOOKUP(W$10,'VK-Hooned-Soojus'!$C:$I,2+$C106,FALSE) + VLOOKUP(W$10,'VK-Transport'!$C:$I,2+$B106,FALSE)+ VLOOKUP(W$10,'VK-Biokütused'!$C:$G,2+$E106,FALSE)+ VLOOKUP(W$10,'VK-Elekter'!$C:$I,2+$D106,FALSE)+ VLOOKUP(W$10,'VK-Põlevkivi'!$C:$I,2+$G106,FALSE)+ VLOOKUP(W$10,'VK-Võrgud'!$C:$I,2+$F106,FALSE)</f>
        <v>-2.305497003297298E-2</v>
      </c>
      <c r="X106" s="226">
        <f>VLOOKUP(X$10,'VK-Hooned-Soojus'!$C:$I,2+$C106,FALSE) + VLOOKUP(X$10,'VK-Transport'!$C:$I,2+$B106,FALSE)+ VLOOKUP(X$10,'VK-Biokütused'!$C:$G,2+$E106,FALSE)+ VLOOKUP(X$10,'VK-Elekter'!$C:$I,2+$D106,FALSE)+ VLOOKUP(X$10,'VK-Põlevkivi'!$C:$I,2+$G106,FALSE)+ VLOOKUP(X$10,'VK-Võrgud'!$C:$I,2+$F106,FALSE)</f>
        <v>-3.8187349362355377E-2</v>
      </c>
      <c r="Y106" s="226">
        <f>VLOOKUP(Y$10,'VK-Hooned-Soojus'!$C:$I,2+$C106,FALSE) + VLOOKUP(Y$10,'VK-Transport'!$C:$I,2+$B106,FALSE)+ VLOOKUP(Y$10,'VK-Biokütused'!$C:$G,2+$E106,FALSE)+ VLOOKUP(Y$10,'VK-Elekter'!$C:$I,2+$D106,FALSE)+ VLOOKUP(Y$10,'VK-Põlevkivi'!$C:$I,2+$G106,FALSE)+ VLOOKUP(Y$10,'VK-Võrgud'!$C:$I,2+$F106,FALSE)</f>
        <v>-4.7281124940060919E-2</v>
      </c>
      <c r="Z106" s="227">
        <f>(S106*Tulemused!$Q$9*10+T106*Tulemused!$Q$10*10+KOMBI!U106*Tulemused!$Q$11*10+KOMBI!V106*Tulemused!$Q$12*10)*Tulemused!$Q$8+-(W106*Tulemused!$Q$14*10+KOMBI!X106*Tulemused!$Q$15*10+KOMBI!Y106*Tulemused!$Q$16*10)*Tulemused!$Q$13</f>
        <v>6.267396869169005</v>
      </c>
      <c r="AA106" s="228">
        <f>(IF(AA$7="X",VLOOKUP(AA$10,'VK-Hooned-Soojus'!$C:$X,2+$C106,FALSE),0)+IF(AA$6="X",VLOOKUP(AA$10,'VK-Transport'!$C:$X,2+$B106,0))+IF(AA$8="X",VLOOKUP(AA$10,'VK-Elekter'!$C:$X,2+$D106,0))+IF(AA$9="X",VLOOKUP(AA$10,'VK-Biokütused'!$C:$U,2+$E106,0))+IF(AA$5="X",VLOOKUP(AA$10,'VK-Põlevkivi'!$C:$X,2+$G106,0))+IF(AA$4="X",VLOOKUP(AA$10,'VK-Võrgud'!$C:$X,2+$F106,0)))</f>
        <v>3761</v>
      </c>
      <c r="AB106" s="228">
        <f>(IF(AB$7="X",VLOOKUP(AB$10,'VK-Hooned-Soojus'!$C:$X,2+$C106,FALSE),0)+IF(AB$6="X",VLOOKUP(AB$10,'VK-Transport'!$C:$X,2+$B106,0))+IF(AB$8="X",VLOOKUP(AB$10,'VK-Elekter'!$C:$X,2+$D106,0))+IF(AB$9="X",VLOOKUP(AB$10,'VK-Biokütused'!$C:$U,2+$E106,0))+IF(AB$5="X",VLOOKUP(AB$10,'VK-Põlevkivi'!$C:$X,2+$G106,0))+IF(AB$4="X",VLOOKUP(AB$10,'VK-Võrgud'!$C:$X,2+$F106,0)))</f>
        <v>1602</v>
      </c>
      <c r="AC106" s="228">
        <f>(IF(AC$7="X",VLOOKUP(AC$10,'VK-Hooned-Soojus'!$C:$X,2+$C106,FALSE),0)+IF(AC$6="X",VLOOKUP(AC$10,'VK-Transport'!$C:$X,2+$B106,0))+IF(AC$8="X",VLOOKUP(AC$10,'VK-Elekter'!$C:$X,2+$D106,0))+IF(AC$9="X",VLOOKUP(AC$10,'VK-Biokütused'!$C:$U,2+$E106,0))+IF(AC$5="X",VLOOKUP(AC$10,'VK-Põlevkivi'!$C:$X,2+$G106,0))+IF(AC$4="X",VLOOKUP(AC$10,'VK-Võrgud'!$C:$X,2+$F106,0)))</f>
        <v>2346</v>
      </c>
      <c r="AD106" s="228">
        <f>(IF(AD$7="X",VLOOKUP(AD$10,'VK-Hooned-Soojus'!$C:$X,2+$C106,FALSE),0)+IF(AD$6="X",VLOOKUP(AD$10,'VK-Transport'!$C:$X,2+$B106,0))+IF(AD$8="X",VLOOKUP(AD$10,'VK-Elekter'!$C:$X,2+$D106,0))+IF(AD$9="X",VLOOKUP(AD$10,'VK-Biokütused'!$C:$U,2+$E106,0))+IF(AD$5="X",VLOOKUP(AD$10,'VK-Põlevkivi'!$C:$X,2+$G106,0))+IF(AD$4="X",VLOOKUP(AD$10,'VK-Võrgud'!$C:$X,2+$F106,0)))</f>
        <v>586.20000000000005</v>
      </c>
      <c r="AE106" s="228">
        <f>(IF(AE$7="X",VLOOKUP(AE$10,'VK-Hooned-Soojus'!$C:$X,2+$C106,FALSE),0)+IF(AE$6="X",VLOOKUP(AE$10,'VK-Transport'!$C:$X,2+$B106,0))+IF(AE$8="X",VLOOKUP(AE$10,'VK-Elekter'!$C:$X,2+$D106,0))+IF(AE$9="X",VLOOKUP(AE$10,'VK-Biokütused'!$C:$U,2+$E106,0))+IF(AE$5="X",VLOOKUP(AE$10,'VK-Põlevkivi'!$C:$X,2+$G106,0))+IF(AE$4="X",VLOOKUP(AE$10,'VK-Võrgud'!$C:$X,2+$F106,0)))</f>
        <v>812</v>
      </c>
      <c r="AF106" s="228">
        <f>(IF(AF$7="X",VLOOKUP(AF$10,'VK-Hooned-Soojus'!$C:$X,2+$C106,FALSE),0)+IF(AF$6="X",VLOOKUP(AF$10,'VK-Transport'!$C:$X,2+$B106,0))+IF(AF$8="X",VLOOKUP(AF$10,'VK-Elekter'!$C:$X,2+$D106,0))+IF(AF$9="X",VLOOKUP(AF$10,'VK-Biokütused'!$C:$U,2+$E106,0))+IF(AF$5="X",VLOOKUP(AF$10,'VK-Põlevkivi'!$C:$X,2+$G106,0))+IF(AF$4="X",VLOOKUP(AF$10,'VK-Võrgud'!$C:$X,2+$F106,0)))</f>
        <v>530.88499063732002</v>
      </c>
      <c r="AG106" s="209"/>
      <c r="AH106" s="209">
        <f>IF(AH$7="X",VLOOKUP(AH$10,'VK-Hooned-Soojus'!$C:$X,2+$C106,FALSE),0)+IF(AH$6="X",VLOOKUP(AH$10,'VK-Transport'!$C:$X,2+$B106,0))+IF(AH$8="X",VLOOKUP(AH$10,'VK-Elekter'!$C:$X,2+$D106,0))+IF(AH$9="X",VLOOKUP(AH$10,'VK-Biokütused'!$C:$U,2+$E106,0))+IF(AH$5="X",VLOOKUP(AH$10,'VK-Põlevkivi'!$C:$X,2+$G106,0))+IF(AH$4="X",VLOOKUP(AH$10,'VK-Võrgud'!$C:$X,2+$F106,0))</f>
        <v>11.64</v>
      </c>
      <c r="AI106" s="209">
        <f>IF(AI$7="X",VLOOKUP(AI$10,'VK-Hooned-Soojus'!$C:$X,2+$C106,FALSE),0)+IF(AI$6="X",VLOOKUP(AI$10,'VK-Transport'!$C:$X,2+$B106,0))+IF(AI$8="X",VLOOKUP(AI$10,'VK-Elekter'!$C:$X,2+$D106,0))+IF(AI$9="X",VLOOKUP(AI$10,'VK-Biokütused'!$C:$U,2+$E106,0))+IF(AI$5="X",VLOOKUP(AI$10,'VK-Põlevkivi'!$C:$X,2+$G106,0))+IF(AI$4="X",VLOOKUP(AI$10,'VK-Võrgud'!$C:$X,2+$F106,0))</f>
        <v>2.3100000000000005</v>
      </c>
      <c r="AJ106" s="209">
        <f>IF(AJ$7="X",VLOOKUP(AJ$10,'VK-Hooned-Soojus'!$C:$X,2+$C106,FALSE),0)+IF(AJ$6="X",VLOOKUP(AJ$10,'VK-Transport'!$C:$X,2+$B106,0))+IF(AJ$8="X",VLOOKUP(AJ$10,'VK-Elekter'!$C:$X,2+$D106,0))+IF(AJ$9="X",VLOOKUP(AJ$10,'VK-Biokütused'!$C:$U,2+$E106,0))+IF(AJ$5="X",VLOOKUP(AJ$10,'VK-Põlevkivi'!$C:$X,2+$G106,0))+IF(AJ$4="X",VLOOKUP(AJ$10,'VK-Võrgud'!$C:$X,2+$F106,0))</f>
        <v>9.25</v>
      </c>
      <c r="AK106" s="209">
        <f>IF(AK$7="X",VLOOKUP(AK$10,'VK-Hooned-Soojus'!$C:$X,2+$C106,FALSE),0)+IF(AK$6="X",VLOOKUP(AK$10,'VK-Transport'!$C:$X,2+$B106,0))+IF(AK$8="X",VLOOKUP(AK$10,'VK-Elekter'!$C:$X,2+$D106,0))+IF(AK$9="X",VLOOKUP(AK$10,'VK-Biokütused'!$C:$U,2+$E106,0))+IF(AK$5="X",VLOOKUP(AK$10,'VK-Põlevkivi'!$C:$X,2+$G106,0))+IF(AK$4="X",VLOOKUP(AK$10,'VK-Võrgud'!$C:$X,2+$F106,0))</f>
        <v>2.78</v>
      </c>
      <c r="AL106" s="209">
        <f>IF(AL$7="X",VLOOKUP(AL$10,'VK-Hooned-Soojus'!$C:$X,2+$C106,FALSE),0)+IF(AL$6="X",VLOOKUP(AL$10,'VK-Transport'!$C:$X,2+$B106,0))+IF(AL$8="X",VLOOKUP(AL$10,'VK-Elekter'!$C:$X,2+$D106,0))+IF(AL$9="X",VLOOKUP(AL$10,'VK-Biokütused'!$C:$U,2+$E106,0))+IF(AL$5="X",VLOOKUP(AL$10,'VK-Põlevkivi'!$C:$X,2+$G106,0))+IF(AL$4="X",VLOOKUP(AL$10,'VK-Võrgud'!$C:$X,2+$F106,0))</f>
        <v>7.1999999999999993</v>
      </c>
      <c r="AM106" s="209">
        <f>IF(AM$7="X",VLOOKUP(AM$10,'VK-Hooned-Soojus'!$C:$X,2+$C106,FALSE),0)+IF(AM$6="X",VLOOKUP(AM$10,'VK-Transport'!$C:$X,2+$B106,0))+IF(AM$8="X",VLOOKUP(AM$10,'VK-Elekter'!$C:$X,2+$D106,0))+IF(AM$9="X",VLOOKUP(AM$10,'VK-Biokütused'!$C:$U,2+$E106,0))+IF(AM$5="X",VLOOKUP(AM$10,'VK-Põlevkivi'!$C:$X,2+$G106,0))+IF(AM$4="X",VLOOKUP(AM$10,'VK-Võrgud'!$C:$X,2+$F106,0))</f>
        <v>12.9</v>
      </c>
      <c r="AN106" s="209">
        <f>IF(AN$7="X",VLOOKUP(AN$10,'VK-Hooned-Soojus'!$C:$X,2+$C106,FALSE),0)+IF(AN$6="X",VLOOKUP(AN$10,'VK-Transport'!$C:$X,2+$B106,0))+IF(AN$8="X",VLOOKUP(AN$10,'VK-Elekter'!$C:$X,2+$D106,0))+IF(AN$9="X",VLOOKUP(AN$10,'VK-Biokütused'!$C:$U,2+$E106,0))+IF(AN$5="X",VLOOKUP(AN$10,'VK-Põlevkivi'!$C:$X,2+$G106,0))+IF(AN$4="X",VLOOKUP(AN$10,'VK-Võrgud'!$C:$X,2+$F106,0))</f>
        <v>5.6999999999999993</v>
      </c>
      <c r="AO106" s="209">
        <f>IF(AO$7="X",VLOOKUP(AO$10,'VK-Hooned-Soojus'!$C:$X,2+$C106,FALSE),0)+IF(AO$6="X",VLOOKUP(AO$10,'VK-Transport'!$C:$X,2+$B106,0))+IF(AO$8="X",VLOOKUP(AO$10,'VK-Elekter'!$C:$X,2+$D106,0))+IF(AO$9="X",VLOOKUP(AO$10,'VK-Biokütused'!$C:$U,2+$E106,0))+IF(AO$5="X",VLOOKUP(AO$10,'VK-Põlevkivi'!$C:$X,2+$G106,0))+IF(AO$4="X",VLOOKUP(AO$10,'VK-Võrgud'!$C:$X,2+$F106,0))</f>
        <v>13.56</v>
      </c>
      <c r="AP106" s="209">
        <f>IF(AP$7="X",VLOOKUP(AP$10,'VK-Hooned-Soojus'!$C:$X,2+$C106,FALSE),0)+IF(AP$6="X",VLOOKUP(AP$10,'VK-Transport'!$C:$X,2+$B106,0))+IF(AP$8="X",VLOOKUP(AP$10,'VK-Elekter'!$C:$X,2+$D106,0))+IF(AP$9="X",VLOOKUP(AP$10,'VK-Biokütused'!$C:$U,2+$E106,0))+IF(AP$5="X",VLOOKUP(AP$10,'VK-Põlevkivi'!$C:$X,2+$G106,0))+IF(AP$4="X",VLOOKUP(AP$10,'VK-Võrgud'!$C:$X,2+$F106,0))</f>
        <v>6.78</v>
      </c>
      <c r="AQ106" s="320">
        <f t="shared" si="61"/>
        <v>1.2599999999999998</v>
      </c>
      <c r="AR106" s="209">
        <f>IF(AR$7="X",VLOOKUP(AR$10,'VK-Hooned-Soojus'!$C:$X,2+$C106,FALSE),0)+IF(AR$6="X",VLOOKUP(AR$10,'VK-Transport'!$C:$X,2+$B106,0))+IF(AR$8="X",VLOOKUP(AR$10,'VK-Elekter'!$C:$X,2+$D106,0))+IF(AR$9="X",VLOOKUP(AR$10,'VK-Biokütused'!$C:$U,2+$E106,0))+IF(AR$5="X",VLOOKUP(AR$10,'VK-Põlevkivi'!$C:$X,2+$G106,0))+IF(AR$4="X",VLOOKUP(AR$10,'VK-Võrgud'!$C:$X,2+$F106,0))</f>
        <v>3.4899999999999998</v>
      </c>
      <c r="AS106" s="320">
        <f>VLOOKUP("Kütuste tarbimine @ 2030 - UTTEGAAS",'VK-Hooned-Soojus'!$C:$X,2+$C106,FALSE)/0.172+VLOOKUP("Kütuste tarbimine @ 2030 - UTTEGAAS",'VK-Elekter'!$C:$X,2+$D106,FALSE)/0.172-AR106-AU106</f>
        <v>2.7565116279069759</v>
      </c>
      <c r="AT106" s="209">
        <f>IF(AT$7="X",VLOOKUP(AT$10,'VK-Hooned-Soojus'!$C:$X,2+$C106,FALSE),0)+IF(AT$6="X",VLOOKUP(AT$10,'VK-Transport'!$C:$X,2+$B106,0))+IF(AT$8="X",VLOOKUP(AT$10,'VK-Elekter'!$C:$X,2+$D106,0))+IF(AT$9="X",VLOOKUP(AT$10,'VK-Biokütused'!$C:$U,2+$E106,0))+IF(AT$5="X",VLOOKUP(AT$10,'VK-Põlevkivi'!$C:$X,2+$G106,0))+IF(AT$4="X",VLOOKUP(AT$10,'VK-Võrgud'!$C:$X,2+$F106,0))</f>
        <v>5.7045296564339489</v>
      </c>
      <c r="AU106" s="229">
        <f>MAX(0,(VLOOKUP("Kütuste tarbimine @ 2030 - UTTEGAAS",'VK-Hooned-Soojus'!$C:$X,2+$C106,FALSE)/0.172+VLOOKUP("Kütuste tarbimine @ 2030 - UTTEGAAS",'VK-Elekter'!$C:$X,2+$D106,FALSE)/0.172)*0.52-VLOOKUP("Kütuste tarbimine @ 2030 - PÕLEVKIVIÕLI",'VK-Hooned-Soojus'!$C:$X,2+$C106,FALSE))</f>
        <v>4.6837209302325586</v>
      </c>
      <c r="AV106" s="209">
        <f>IF(AV$7="X",VLOOKUP(AV$10,'VK-Hooned-Soojus'!$C:$X,2+$C106,FALSE),0)+IF(AV$6="X",VLOOKUP(AV$10,'VK-Transport'!$C:$X,2+$B106,0))+IF(AV$8="X",VLOOKUP(AV$10,'VK-Elekter'!$C:$X,2+$D106,0))+IF(AV$9="X",VLOOKUP(AV$10,'VK-Biokütused'!$C:$U,2+$E106,0))+IF(AV$5="X",VLOOKUP(AV$10,'VK-Põlevkivi'!$C:$X,2+$G106,0))+IF(AV$4="X",VLOOKUP(AV$10,'VK-Võrgud'!$C:$X,2+$F106,0))</f>
        <v>2.1219844082566364</v>
      </c>
      <c r="AW106" s="209">
        <f>IF(AW$7="X",VLOOKUP(AW$10,'VK-Hooned-Soojus'!$C:$X,2+$C106,FALSE),0)+IF(AW$6="X",VLOOKUP(AW$10,'VK-Transport'!$C:$X,2+$B106,0))+IF(AW$8="X",VLOOKUP(AW$10,'VK-Elekter'!$C:$X,2+$D106,0))+IF(AW$9="X",VLOOKUP(AW$10,'VK-Biokütused'!$C:$U,2+$E106,0))+IF(AW$5="X",VLOOKUP(AW$10,'VK-Põlevkivi'!$C:$X,2+$G106,0))+IF(AW$4="X",VLOOKUP(AW$10,'VK-Võrgud'!$C:$X,2+$F106,0))</f>
        <v>4.2799999999999994</v>
      </c>
      <c r="AX106" s="229">
        <f t="shared" si="62"/>
        <v>2.158015591743363</v>
      </c>
      <c r="AY106" s="229">
        <f t="shared" si="63"/>
        <v>0</v>
      </c>
      <c r="AZ106" s="230">
        <f t="shared" si="48"/>
        <v>0.52083988507908285</v>
      </c>
      <c r="BA106" s="209">
        <f>IF(BA$7="X",VLOOKUP(BA$10,'VK-Hooned-Soojus'!$C:$X,2+$C106,FALSE),0)+IF(BA$6="X",VLOOKUP(BA$10,'VK-Transport'!$C:$X,2+$B106,0))+IF(BA$8="X",VLOOKUP(BA$10,'VK-Elekter'!$C:$X,2+$D106,0))+IF(BA$9="X",VLOOKUP(BA$10,'VK-Biokütused'!$C:$U,2+$E106,0))+IF(BA$5="X",VLOOKUP(BA$10,'VK-Põlevkivi'!$C:$X,2+$G106,0))+IF(BA$4="X",VLOOKUP(BA$10,'VK-Võrgud'!$C:$X,2+$F106,0))</f>
        <v>4.25</v>
      </c>
      <c r="BB106" s="209">
        <f>IF(BB$7="X",VLOOKUP(BB$10,'VK-Hooned-Soojus'!$C:$X,2+$C106,FALSE),0)+IF(BB$6="X",VLOOKUP(BB$10,'VK-Transport'!$C:$X,2+$B106,0))+IF(BB$8="X",VLOOKUP(BB$10,'VK-Elekter'!$C:$X,2+$D106,0))+IF(BB$9="X",VLOOKUP(BB$10,'VK-Biokütused'!$C:$U,2+$E106,0))+IF(BB$5="X",VLOOKUP(BB$10,'VK-Põlevkivi'!$C:$X,2+$G106,0))+IF(BB$4="X",VLOOKUP(BB$10,'VK-Võrgud'!$C:$X,2+$F106,0))</f>
        <v>2.93</v>
      </c>
      <c r="BC106" s="209">
        <f>IF(BC$7="X",VLOOKUP(BC$10,'VK-Hooned-Soojus'!$C:$X,2+$C106,FALSE),0)+IF(BC$6="X",VLOOKUP(BC$10,'VK-Transport'!$C:$X,2+$B106,0))+IF(BC$8="X",VLOOKUP(BC$10,'VK-Elekter'!$C:$X,2+$D106,0))+IF(BC$9="X",VLOOKUP(BC$10,'VK-Biokütused'!$C:$U,2+$E106,0))+IF(BC$5="X",VLOOKUP(BC$10,'VK-Põlevkivi'!$C:$X,2+$G106,0))+IF(BC$4="X",VLOOKUP(BC$10,'VK-Võrgud'!$C:$X,2+$F106,0))</f>
        <v>8.0523611111111126</v>
      </c>
      <c r="BD106" s="209">
        <f>IF(BD$7="X",VLOOKUP(BD$10,'VK-Hooned-Soojus'!$C:$X,2+$C106,FALSE),0)+IF(BD$6="X",VLOOKUP(BD$10,'VK-Transport'!$C:$X,2+$B106,0))+IF(BD$8="X",VLOOKUP(BD$10,'VK-Elekter'!$C:$X,2+$D106,0))+IF(BD$9="X",VLOOKUP(BD$10,'VK-Biokütused'!$C:$U,2+$E106,0))+IF(BD$5="X",VLOOKUP(BD$10,'VK-Põlevkivi'!$C:$X,2+$G106,0))+IF(BD$4="X",VLOOKUP(BD$10,'VK-Võrgud'!$C:$X,2+$F106,0))</f>
        <v>10.42138888888889</v>
      </c>
      <c r="BE106" s="230"/>
      <c r="BF106" s="229">
        <f t="shared" si="64"/>
        <v>0.365554189246803</v>
      </c>
      <c r="BG106" s="209" t="e">
        <f>(IF(BG$7="X",VLOOKUP(BG$10,'VK-Hooned-Soojus'!$C:$X,2+$C106,FALSE),0)+IF(BG$6="X",VLOOKUP(BG$10,'VK-Transport'!$C:$X,2+$B106,0))+IF(BG$8="X",VLOOKUP(BG$10,'VK-Elekter'!$C:$X,2+$D106,0))+IF(BG$9="X",VLOOKUP(BG$10,'VK-Biokütused'!$C:$U,2+$E106,0))+IF(BG$5="X",VLOOKUP(BG$10,'VK-Põlevkivi'!$C:$X,2+$G106,0))+IF(BG$4="X",VLOOKUP(BG$10,'VK-Võrgud'!$C:$X,2+$F106,0)))/20</f>
        <v>#N/A</v>
      </c>
      <c r="BH106" s="209">
        <f>(IF(BH$7="X",VLOOKUP(BH$10,'VK-Hooned-Soojus'!$C:$X,2+$C106,FALSE),0)+IF(BH$6="X",VLOOKUP(BH$10,'VK-Transport'!$C:$X,2+$B106,0))+IF(BH$8="X",VLOOKUP(BH$10,'VK-Elekter'!$C:$X,2+$D106,0))+IF(BH$9="X",VLOOKUP(BH$10,'VK-Biokütused'!$C:$U,2+$E106,0))+IF(BH$5="X",VLOOKUP(BH$10,'VK-Põlevkivi'!$C:$X,2+$G106,0))+IF(BH$4="X",VLOOKUP(BH$10,'VK-Võrgud'!$C:$X,2+$F106,0)))/20</f>
        <v>13.99</v>
      </c>
      <c r="BI106" s="209">
        <f>(IF(BI$7="X",VLOOKUP(BI$10,'VK-Hooned-Soojus'!$C:$X,2+$C106,FALSE),0)+IF(BI$6="X",VLOOKUP(BI$10,'VK-Transport'!$C:$X,2+$B106,0))+IF(BI$8="X",VLOOKUP(BI$10,'VK-Elekter'!$C:$X,2+$D106,0))+IF(BI$9="X",VLOOKUP(BI$10,'VK-Biokütused'!$C:$U,2+$E106,0))+IF(BI$5="X",VLOOKUP(BI$10,'VK-Põlevkivi'!$C:$X,2+$G106,0))+IF(BI$4="X",VLOOKUP(BI$10,'VK-Võrgud'!$C:$X,2+$F106,0)))/16</f>
        <v>17.75</v>
      </c>
      <c r="BJ106" s="209">
        <f>(IF(BJ$7="X",VLOOKUP(BJ$10,'VK-Hooned-Soojus'!$C:$X,2+$C106,FALSE),0)+IF(BJ$6="X",VLOOKUP(BJ$10,'VK-Transport'!$C:$X,2+$B106,0))+IF(BJ$8="X",VLOOKUP(BJ$10,'VK-Elekter'!$C:$X,2+$D106,0))+IF(BJ$9="X",VLOOKUP(BJ$10,'VK-Biokütused'!$C:$U,2+$E106,0))+IF(BJ$5="X",VLOOKUP(BJ$10,'VK-Põlevkivi'!$C:$X,2+$G106,0))+IF(BJ$4="X",VLOOKUP(BJ$10,'VK-Võrgud'!$C:$X,2+$F106,0)))/20</f>
        <v>1.85</v>
      </c>
      <c r="BK106" s="209"/>
      <c r="BL106" s="209"/>
      <c r="BM106" s="209"/>
      <c r="BN106" s="209" t="e">
        <f>(IF(BN$7="X",VLOOKUP(BN$10,'VK-Hooned-Soojus'!$C:$X,2+$C106,FALSE),0)+IF(BN$6="X",VLOOKUP(BN$10,'VK-Transport'!$C:$X,2+$B106,0))+IF(BN$8="X",VLOOKUP(BN$10,'VK-Elekter'!$C:$X,2+$D106,0))+IF(BN$9="X",VLOOKUP(BN$10,'VK-Biokütused'!$C:$U,2+$E106,0))+IF(BN$5="X",VLOOKUP(BN$10,'VK-Põlevkivi'!$C:$X,2+$G106,0))+IF(BN$4="X",VLOOKUP(BN$10,'VK-Võrgud'!$C:$X,2+$F106,0)))/16</f>
        <v>#N/A</v>
      </c>
      <c r="BO106" s="209">
        <f>(IF(BO$7="X",VLOOKUP(BO$10,'VK-Hooned-Soojus'!$C:$X,2+$C106,FALSE),0)+IF(BO$6="X",VLOOKUP(BO$10,'VK-Transport'!$C:$X,2+$B106,0))+IF(BO$8="X",VLOOKUP(BO$10,'VK-Elekter'!$C:$X,2+$D106,0))+IF(BO$9="X",VLOOKUP(BO$10,'VK-Biokütused'!$C:$U,2+$E106,0))+IF(BO$5="X",VLOOKUP(BO$10,'VK-Põlevkivi'!$C:$X,2+$G106,0))+IF(BO$4="X",VLOOKUP(BO$10,'VK-Võrgud'!$C:$X,2+$F106,0)))/16</f>
        <v>322.79374999999999</v>
      </c>
      <c r="BP106" s="209"/>
      <c r="BQ106" s="209">
        <f>(IF(BQ$7="X",VLOOKUP(BQ$10,'VK-Hooned-Soojus'!$C:$X,2+$C106,FALSE),0)+IF(BQ$6="X",VLOOKUP(BQ$10,'VK-Transport'!$C:$X,2+$B106,0))+IF(BQ$8="X",VLOOKUP(BQ$10,'VK-Elekter'!$C:$X,2+$D106,0))+IF(BQ$9="X",VLOOKUP(BQ$10,'VK-Biokütused'!$C:$U,2+$E106,0))+IF(BQ$5="X",VLOOKUP(BQ$10,'VK-Põlevkivi'!$C:$X,2+$G106,0))+IF(BQ$4="X",VLOOKUP(BQ$10,'VK-Võrgud'!$C:$X,2+$F106,0)))/16</f>
        <v>233.20625000000001</v>
      </c>
      <c r="BR106" s="209">
        <f>(IF(BR$7="X",VLOOKUP(BR$10,'VK-Hooned-Soojus'!$C:$X,2+$C106,FALSE),0)+IF(BR$6="X",VLOOKUP(BR$10,'VK-Transport'!$C:$X,2+$B106,0))+IF(BR$8="X",VLOOKUP(BR$10,'VK-Elekter'!$C:$X,2+$D106,0))+IF(BR$9="X",VLOOKUP(BR$10,'VK-Biokütused'!$C:$U,2+$E106,0))+IF(BR$5="X",VLOOKUP(BR$10,'VK-Põlevkivi'!$C:$X,2+$G106,0))+IF(BR$4="X",VLOOKUP(BR$10,'VK-Võrgud'!$C:$X,2+$F106,0)))/16</f>
        <v>74.512500000000003</v>
      </c>
      <c r="BS106" s="209">
        <f>(IF(BS$7="X",VLOOKUP(BS$10,'VK-Hooned-Soojus'!$C:$X,2+$C106,FALSE),0)+IF(BS$6="X",VLOOKUP(BS$10,'VK-Transport'!$C:$X,2+$B106,0))+IF(BS$8="X",VLOOKUP(BS$10,'VK-Elekter'!$C:$X,2+$D106,0))+IF(BS$9="X",VLOOKUP(BS$10,'VK-Biokütused'!$C:$U,2+$E106,0))+IF(BS$5="X",VLOOKUP(BS$10,'VK-Põlevkivi'!$C:$X,2+$G106,0))+IF(BS$4="X",VLOOKUP(BS$10,'VK-Võrgud'!$C:$X,2+$F106,0)))/16</f>
        <v>-21.475000000000001</v>
      </c>
      <c r="BT106" s="209"/>
      <c r="BU106" s="209"/>
      <c r="BV106" s="209">
        <f>(IF(BV$7="X",VLOOKUP(BV$10,'VK-Hooned-Soojus'!$C:$X,2+$C106,FALSE),0)+IF(BV$6="X",VLOOKUP(BV$10,'VK-Transport'!$C:$X,2+$B106,0))+IF(BV$8="X",VLOOKUP(BV$10,'VK-Elekter'!$C:$X,2+$D106,0))+IF(BV$9="X",VLOOKUP(BV$10,'VK-Biokütused'!$C:$U,2+$E106,0))+IF(BV$5="X",VLOOKUP(BV$10,'VK-Põlevkivi'!$C:$X,2+$G106,0))+IF(BV$4="X",VLOOKUP(BV$10,'VK-Võrgud'!$C:$X,2+$F106,0)))/16</f>
        <v>0</v>
      </c>
      <c r="BW106" s="209"/>
      <c r="BX106" s="209">
        <f>(IF(BX$7="X",VLOOKUP(BX$10,'VK-Hooned-Soojus'!$C:$X,2+$C106,FALSE),0)+IF(BX$6="X",VLOOKUP(BX$10,'VK-Transport'!$C:$X,2+$B106,0))+IF(BX$8="X",VLOOKUP(BX$10,'VK-Elekter'!$C:$X,2+$D106,0))+IF(BX$9="X",VLOOKUP(BX$10,'VK-Biokütused'!$C:$U,2+$E106,0))+IF(BX$5="X",VLOOKUP(BX$10,'VK-Põlevkivi'!$C:$X,2+$G106,0))+IF(BX$4="X",VLOOKUP(BX$10,'VK-Võrgud'!$C:$X,2+$F106,0)))/16</f>
        <v>-99.75</v>
      </c>
      <c r="BY106" s="209"/>
      <c r="BZ106" s="209"/>
      <c r="CA106" s="209" t="e">
        <f>(IF(CA$7="X",VLOOKUP(CA$10,'VK-Hooned-Soojus'!$C:$X,2+$C106,FALSE),0)+IF(CA$6="X",VLOOKUP(CA$10,'VK-Transport'!$C:$X,2+$B106,0))+IF(CA$8="X",VLOOKUP(CA$10,'VK-Elekter'!$C:$X,2+$D106,0))+IF(CA$9="X",VLOOKUP(CA$10,'VK-Biokütused'!$C:$U,2+$E106,0))+IF(CA$5="X",VLOOKUP(CA$10,'VK-Põlevkivi'!$C:$X,2+$G106,0))+IF(CA$4="X",VLOOKUP(CA$10,'VK-Võrgud'!$C:$X,2+$F106,0)))/16</f>
        <v>#N/A</v>
      </c>
      <c r="CB106" s="209">
        <f>(IF(CB$7="X",VLOOKUP(CB$10,'VK-Hooned-Soojus'!$C:$X,2+$C106,FALSE),0)+IF(CB$6="X",VLOOKUP(CB$10,'VK-Transport'!$C:$X,2+$B106,0))+IF(CB$8="X",VLOOKUP(CB$10,'VK-Elekter'!$C:$X,2+$D106,0))+IF(CB$9="X",VLOOKUP(CB$10,'VK-Biokütused'!$C:$U,2+$E106,0))+IF(CB$5="X",VLOOKUP(CB$10,'VK-Põlevkivi'!$C:$X,2+$G106,0))+IF(CB$4="X",VLOOKUP(CB$10,'VK-Võrgud'!$C:$X,2+$F106,0)))/16</f>
        <v>0</v>
      </c>
      <c r="CC106" s="209">
        <f>(IF(CC$7="X",VLOOKUP(CC$10,'VK-Hooned-Soojus'!$C:$X,2+$C106,FALSE),0)+IF(CC$6="X",VLOOKUP(CC$10,'VK-Transport'!$C:$X,2+$B106,0))+IF(CC$8="X",VLOOKUP(CC$10,'VK-Elekter'!$C:$X,2+$D106,0))+IF(CC$9="X",VLOOKUP(CC$10,'VK-Biokütused'!$C:$U,2+$E106,0))+IF(CC$5="X",VLOOKUP(CC$10,'VK-Põlevkivi'!$C:$X,2+$G106,0))+IF(CC$4="X",VLOOKUP(CC$10,'VK-Võrgud'!$C:$X,2+$F106,0)))/16</f>
        <v>0</v>
      </c>
      <c r="CD106" s="209"/>
      <c r="CE106" s="209">
        <f>(IF(CE$7="X",VLOOKUP(CE$10,'VK-Hooned-Soojus'!$C:$X,2+$C106,FALSE),0)+IF(CE$6="X",VLOOKUP(CE$10,'VK-Transport'!$C:$X,2+$B106,0))+IF(CE$8="X",VLOOKUP(CE$10,'VK-Elekter'!$C:$X,2+$D106,0))+IF(CE$9="X",VLOOKUP(CE$10,'VK-Biokütused'!$C:$U,2+$E106,0))+IF(CE$5="X",VLOOKUP(CE$10,'VK-Põlevkivi'!$C:$X,2+$G106,0))+IF(CE$4="X",VLOOKUP(CE$10,'VK-Võrgud'!$C:$X,2+$F106,0)))/16</f>
        <v>24.15625</v>
      </c>
      <c r="CF106" s="209"/>
      <c r="CG106" s="209">
        <f>(IF(CG$7="X",VLOOKUP(CG$10,'VK-Hooned-Soojus'!$C:$X,2+$C106,FALSE),0)+IF(CG$6="X",VLOOKUP(CG$10,'VK-Transport'!$C:$X,2+$B106,0))+IF(CG$8="X",VLOOKUP(CG$10,'VK-Elekter'!$C:$X,2+$D106,0))+IF(CG$9="X",VLOOKUP(CG$10,'VK-Biokütused'!$C:$U,2+$E106,0))+IF(CG$5="X",VLOOKUP(CG$10,'VK-Põlevkivi'!$C:$X,2+$G106,0))+IF(CG$4="X",VLOOKUP(CG$10,'VK-Võrgud'!$C:$X,2+$F106,0)))/16</f>
        <v>0</v>
      </c>
      <c r="CH106" s="209">
        <f>(IF(CH$7="X",VLOOKUP(CH$10,'VK-Hooned-Soojus'!$C:$X,2+$C106,FALSE),0)+IF(CH$6="X",VLOOKUP(CH$10,'VK-Transport'!$C:$X,2+$B106,0))+IF(CH$8="X",VLOOKUP(CH$10,'VK-Elekter'!$C:$X,2+$D106,0))+IF(CH$9="X",VLOOKUP(CH$10,'VK-Biokütused'!$C:$U,2+$E106,0))+IF(CH$5="X",VLOOKUP(CH$10,'VK-Põlevkivi'!$C:$X,2+$G106,0))+IF(CH$4="X",VLOOKUP(CH$10,'VK-Võrgud'!$C:$X,2+$F106,0)))/20*0.21</f>
        <v>5.6122500000000004</v>
      </c>
      <c r="CI106" s="209"/>
      <c r="CJ106" s="209">
        <f>(IF(CJ$7="X",VLOOKUP(CJ$10,'VK-Hooned-Soojus'!$C:$X,2+$C106,FALSE),0)+IF(CJ$6="X",VLOOKUP(CJ$10,'VK-Transport'!$C:$X,2+$B106,0))+IF(CJ$8="X",VLOOKUP(CJ$10,'VK-Elekter'!$C:$X,2+$D106,0))+IF(CJ$9="X",VLOOKUP(CJ$10,'VK-Biokütused'!$C:$U,2+$E106,0))+IF(CJ$5="X",VLOOKUP(CJ$10,'VK-Põlevkivi'!$C:$X,2+$G106,0))+IF(CJ$4="X",VLOOKUP(CJ$10,'VK-Võrgud'!$C:$X,2+$F106,0)))/1000</f>
        <v>18.083578011574538</v>
      </c>
      <c r="CK106" s="209">
        <f>(IF(CK$7="X",VLOOKUP(CK$10,'VK-Hooned-Soojus'!$C:$X,2+$C106,FALSE),0)+IF(CK$6="X",VLOOKUP(CK$10,'VK-Transport'!$C:$X,2+$B106,0))+IF(CK$8="X",VLOOKUP(CK$10,'VK-Elekter'!$C:$X,2+$D106,0))+IF(CK$9="X",VLOOKUP(CK$10,'VK-Biokütused'!$C:$U,2+$E106,0))+IF(CK$5="X",VLOOKUP(CK$10,'VK-Põlevkivi'!$C:$X,2+$G106,0))+IF(CK$4="X",VLOOKUP(CK$10,'VK-Võrgud'!$C:$X,2+$F106,0)))/1000</f>
        <v>12.801077976340796</v>
      </c>
      <c r="CL106" s="235">
        <f>(IF(CL$7="X",VLOOKUP(CL$10,'VK-Hooned-Soojus'!$C:$X,2+$C106,FALSE),0)+IF(CL$6="X",VLOOKUP(CL$10,'VK-Transport'!$C:$X,2+$B106,0))+IF(CL$8="X",VLOOKUP(CL$10,'VK-Elekter'!$C:$X,2+$D106,0))+IF(CL$9="X",VLOOKUP(CL$10,'VK-Biokütused'!$C:$U,2+$E106,0)))/1000</f>
        <v>7.9391111109201011</v>
      </c>
      <c r="CM106" s="209">
        <f>(IF(CM$7="X",VLOOKUP(CM$10,'VK-Hooned-Soojus'!$C:$X,2+$C106,FALSE),0)+IF(CM$6="X",VLOOKUP(CM$10,'VK-Transport'!$C:$X,2+$B106,0))+IF(CM$8="X",VLOOKUP(CM$10,'VK-Elekter'!$C:$X,2+$D106,0))+IF(CM$9="X",VLOOKUP(CM$10,'VK-Biokütused'!$C:$U,2+$E106,0))+IF(CM$5="X",VLOOKUP(CM$10,'VK-Põlevkivi'!$C:$X,2+$G106,0))+IF(CM$4="X",VLOOKUP(CM$10,'VK-Võrgud'!$C:$X,2+$F106,0)))/1000</f>
        <v>8.5167605777489079</v>
      </c>
      <c r="CN106" s="209">
        <f>(IF(CN$7="X",VLOOKUP(CN$10,'VK-Hooned-Soojus'!$C:$X,2+$C106,FALSE),0)+IF(CN$6="X",VLOOKUP(CN$10,'VK-Transport'!$C:$X,2+$B106,0))+IF(CN$8="X",VLOOKUP(CN$10,'VK-Elekter'!$C:$X,2+$D106,0))+IF(CN$9="X",VLOOKUP(CN$10,'VK-Biokütused'!$C:$U,2+$E106,0))+IF(CN$5="X",VLOOKUP(CN$10,'VK-Põlevkivi'!$C:$X,2+$G106,0))+IF(CN$4="X",VLOOKUP(CN$10,'VK-Võrgud'!$C:$X,2+$F106,0)))/1000</f>
        <v>3.0510000000000002</v>
      </c>
      <c r="CO106" s="209">
        <f>(IF(CO$7="X",VLOOKUP(CO$10,'VK-Hooned-Soojus'!$C:$X,2+$C106,FALSE),0)+IF(CO$6="X",VLOOKUP(CO$10,'VK-Transport'!$C:$X,2+$B106,0))+IF(CO$8="X",VLOOKUP(CO$10,'VK-Elekter'!$C:$X,2+$D106,0))+IF(CO$9="X",VLOOKUP(CO$10,'VK-Biokütused'!$C:$U,2+$E106,0))+IF(CO$5="X",VLOOKUP(CO$10,'VK-Põlevkivi'!$C:$X,2+$G106,0))+IF(CO$4="X",VLOOKUP(CO$10,'VK-Võrgud'!$C:$X,2+$F106,0)))/1000</f>
        <v>24.109362337356995</v>
      </c>
      <c r="CP106" s="209">
        <f>(IF(CP$7="X",VLOOKUP(CP$10,'VK-Hooned-Soojus'!$C:$X,2+$C106,FALSE),0)+IF(CP$6="X",VLOOKUP(CP$10,'VK-Transport'!$C:$X,2+$B106,0))+IF(CP$8="X",VLOOKUP(CP$10,'VK-Elekter'!$C:$X,2+$D106,0))+IF(CP$9="X",VLOOKUP(CP$10,'VK-Biokütused'!$C:$U,2+$E106,0))+IF(CP$5="X",VLOOKUP(CP$10,'VK-Põlevkivi'!$C:$X,2+$G106,0))+IF(CP$4="X",VLOOKUP(CP$10,'VK-Võrgud'!$C:$X,2+$F106,0)))/1000</f>
        <v>13.823392120693661</v>
      </c>
      <c r="CQ106" s="235">
        <f>(IF(CQ$7="X",VLOOKUP(CQ$10,'VK-Hooned-Soojus'!$C:$X,2+$C106,FALSE),0)+IF(CQ$6="X",VLOOKUP(CQ$10,'VK-Transport'!$C:$X,2+$B106,0))+IF(CQ$8="X",VLOOKUP(CQ$10,'VK-Elekter'!$C:$X,2+$D106,0))+IF(CQ$9="X",VLOOKUP(CQ$10,'VK-Biokütused'!$C:$U,2+$E106,0)))/1000</f>
        <v>10.549918999999999</v>
      </c>
      <c r="CR106" s="209">
        <f>(IF(CR$7="X",VLOOKUP(CR$10,'VK-Hooned-Soojus'!$C:$X,2+$C106,FALSE),0)+IF(CR$6="X",VLOOKUP(CR$10,'VK-Transport'!$C:$X,2+$B106,0))+IF(CR$8="X",VLOOKUP(CR$10,'VK-Elekter'!$C:$X,2+$D106,0))+IF(CR$9="X",VLOOKUP(CR$10,'VK-Biokütused'!$C:$U,2+$E106,0))+IF(CR$5="X",VLOOKUP(CR$10,'VK-Põlevkivi'!$C:$X,2+$G106,0))+IF(CR$4="X",VLOOKUP(CR$10,'VK-Võrgud'!$C:$X,2+$F106,0)))/1000</f>
        <v>8.0827518373996892</v>
      </c>
      <c r="CS106" s="209">
        <f>(IF(CS$7="X",VLOOKUP(CS$10,'VK-Hooned-Soojus'!$C:$X,2+$C106,FALSE),0)+IF(CS$6="X",VLOOKUP(CS$10,'VK-Transport'!$C:$X,2+$B106,0))+IF(CS$8="X",VLOOKUP(CS$10,'VK-Elekter'!$C:$X,2+$D106,0))+IF(CS$9="X",VLOOKUP(CS$10,'VK-Biokütused'!$C:$U,2+$E106,0))+IF(CS$5="X",VLOOKUP(CS$10,'VK-Põlevkivi'!$C:$X,2+$G106,0))+IF(CS$4="X",VLOOKUP(CS$10,'VK-Võrgud'!$C:$X,2+$F106,0)))/1000</f>
        <v>3.838649509862238</v>
      </c>
      <c r="CT106" s="209">
        <f>IF(CT$7="X",VLOOKUP(CT$10,'VK-Hooned-Soojus'!$C:$X,2+$C106,FALSE),0)+IF(CT$6="X",VLOOKUP(CT$10,'VK-Transport'!$C:$X,2+$B106,0))+IF(CT$8="X",VLOOKUP(CT$10,'VK-Elekter'!$C:$X,2+$D106,0))+IF(CT$9="X",VLOOKUP(CT$10,'VK-Biokütused'!$C:$U,2+$E106,0))+IF(CT$5="X",VLOOKUP(CT$10,'VK-Põlevkivi'!$C:$X,2+$G106,0))+IF(CT$4="X",VLOOKUP(CT$10,'VK-Võrgud'!$C:$X,2+$F106,0))</f>
        <v>90</v>
      </c>
      <c r="CU106" s="209">
        <f>IF(CU$7="X",VLOOKUP(CU$10,'VK-Hooned-Soojus'!$C:$X,2+$C106,FALSE),0)+IF(CU$6="X",VLOOKUP(CU$10,'VK-Transport'!$C:$X,2+$B106,0))+IF(CU$8="X",VLOOKUP(CU$10,'VK-Elekter'!$C:$X,2+$D106,0))+IF(CU$9="X",VLOOKUP(CU$10,'VK-Biokütused'!$C:$U,2+$E106,0))+IF(CU$5="X",VLOOKUP(CU$10,'VK-Põlevkivi'!$C:$X,2+$G106,0))+IF(CU$4="X",VLOOKUP(CU$10,'VK-Võrgud'!$C:$X,2+$F106,0))</f>
        <v>0.72088353413654627</v>
      </c>
      <c r="CV106" s="209">
        <f t="shared" si="49"/>
        <v>0.72887234460741646</v>
      </c>
      <c r="CW106" s="209">
        <f>(IF(CW$7="X",VLOOKUP(CW$10,'VK-Hooned-Soojus'!$C:$X,2+$C106,FALSE),0)+IF(CW$6="X",VLOOKUP(CW$10,'VK-Transport'!$C:$X,2+$B106,0))+IF(CW$8="X",VLOOKUP(CW$10,'VK-Elekter'!$C:$X,2+$D106,0))+IF(CW$9="X",VLOOKUP(CW$10,'VK-Biokütused'!$C:$U,2+$E106,0))+IF(CW$5="X",VLOOKUP(CW$10,'VK-Põlevkivi'!$C:$X,2+$G106,0))+IF(CW$4="X",VLOOKUP(CW$10,'VK-Võrgud'!$C:$X,2+$F106,0)))/16</f>
        <v>126.01875</v>
      </c>
      <c r="CY106" s="209">
        <f>(IF(CY$7="X",VLOOKUP(CY$10,'VK-Hooned-Soojus'!$C:$X,2+$C106,FALSE),0)+IF(CY$6="X",VLOOKUP(CY$10,'VK-Transport'!$C:$X,2+$B106,0))+IF(CY$8="X",VLOOKUP(CY$10,'VK-Elekter'!$C:$X,2+$D106,0))+IF(CY$9="X",VLOOKUP(CY$10,'VK-Biokütused'!$C:$U,2+$E106,0))+IF(CY$5="X",VLOOKUP(CY$10,'VK-Põlevkivi'!$C:$X,2+$G106,0))+IF(CY$4="X",VLOOKUP(CY$10,'VK-Võrgud'!$C:$X,2+$F106,0)))/1000</f>
        <v>10.683999999999999</v>
      </c>
      <c r="CZ106" s="209">
        <f>(IF(CZ$7="X",VLOOKUP(CZ$10,'VK-Hooned-Soojus'!$C:$X,2+$C106,FALSE),0)+IF(CZ$6="X",VLOOKUP(CZ$10,'VK-Transport'!$C:$X,2+$B106,0))+IF(CZ$8="X",VLOOKUP(CZ$10,'VK-Elekter'!$C:$X,2+$D106,0))+IF(CZ$9="X",VLOOKUP(CZ$10,'VK-Biokütused'!$C:$U,2+$E106,0))+IF(CZ$5="X",VLOOKUP(CZ$10,'VK-Põlevkivi'!$C:$X,2+$G106,0))+IF(CZ$4="X",VLOOKUP(CZ$10,'VK-Võrgud'!$C:$X,2+$F106,0)))</f>
        <v>73</v>
      </c>
      <c r="DA106" s="209">
        <f>(IF(DA$7="X",VLOOKUP(DA$10,'VK-Hooned-Soojus'!$C:$X,2+$C106,FALSE),0)+IF(DA$6="X",VLOOKUP(DA$10,'VK-Transport'!$C:$X,2+$B106,0))+IF(DA$8="X",VLOOKUP(DA$10,'VK-Elekter'!$C:$X,2+$D106,0))+IF(DA$9="X",VLOOKUP(DA$10,'VK-Biokütused'!$C:$U,2+$E106,0))+IF(DA$5="X",VLOOKUP(DA$10,'VK-Põlevkivi'!$C:$X,2+$G106,0))+IF(DA$4="X",VLOOKUP(DA$10,'VK-Võrgud'!$C:$X,2+$F106,0)))/1000</f>
        <v>14.067</v>
      </c>
      <c r="DB106" s="209">
        <f>(IF(DB$7="X",VLOOKUP(DB$10,'VK-Hooned-Soojus'!$C:$X,2+$C106,FALSE),0)+IF(DB$6="X",VLOOKUP(DB$10,'VK-Transport'!$C:$X,2+$B106,0))+IF(DB$8="X",VLOOKUP(DB$10,'VK-Elekter'!$C:$X,2+$D106,0))+IF(DB$9="X",VLOOKUP(DB$10,'VK-Biokütused'!$C:$U,2+$E106,0))+IF(DB$5="X",VLOOKUP(DB$10,'VK-Põlevkivi'!$C:$X,2+$G106,0))+IF(DB$4="X",VLOOKUP(DB$10,'VK-Võrgud'!$C:$X,2+$F106,0)))/1000/3.6</f>
        <v>63.112222222222222</v>
      </c>
      <c r="DC106" s="209">
        <f>(IF(DC$7="X",VLOOKUP(DC$10,'VK-Hooned-Soojus'!$C:$X,2+$C106,FALSE),0)+IF(DC$6="X",VLOOKUP(DC$10,'VK-Transport'!$C:$X,2+$B106,0))+IF(DC$8="X",VLOOKUP(DC$10,'VK-Elekter'!$C:$X,2+$D106,0))+IF(DC$9="X",VLOOKUP(DC$10,'VK-Biokütused'!$C:$U,2+$E106,0))+IF(DC$5="X",VLOOKUP(DC$10,'VK-Põlevkivi'!$C:$X,2+$G106,0))+IF(DC$4="X",VLOOKUP(DC$10,'VK-Võrgud'!$C:$X,2+$F106,0)))/1000000</f>
        <v>5.0749719999999998</v>
      </c>
      <c r="DD106" s="209"/>
      <c r="DE106" s="88">
        <f>VLOOKUP(Tulemused!$BN$12,data!M$7:N$12,2,FALSE)-SUM(L106,M106)</f>
        <v>-0.80250937302436398</v>
      </c>
      <c r="DF106" s="209" t="str">
        <f>IF(AZ106&lt;=VLOOKUP(Tulemused!$BN$15,data!$E$36:$F$39,2,FALSE),"JAH","EI")</f>
        <v>JAH</v>
      </c>
      <c r="DG106" s="209"/>
      <c r="DH106" s="209">
        <f t="shared" si="50"/>
        <v>6.78</v>
      </c>
      <c r="DI106" s="231" t="str">
        <f t="shared" si="65"/>
        <v>EI</v>
      </c>
      <c r="DK106" s="232">
        <f t="shared" si="51"/>
        <v>-993.73260313083097</v>
      </c>
      <c r="DM106" s="233">
        <f t="shared" si="52"/>
        <v>-996.53746636346909</v>
      </c>
      <c r="DN106" s="87">
        <f t="array" ref="DN106">INDEX($A$11:$A$145, SMALL(IF(DM106=$DK$11:$DK$145, MATCH(ROW($DK$11:$DK$145), ROW($DK$11:$DK$145))), SUM(--(DM106=$DM$11:DM106))))</f>
        <v>29</v>
      </c>
      <c r="DP106" s="87" t="e">
        <f t="shared" ca="1" si="66"/>
        <v>#N/A</v>
      </c>
      <c r="DQ106" s="87" t="e">
        <f t="shared" ca="1" si="67"/>
        <v>#N/A</v>
      </c>
      <c r="DR106" s="87">
        <f t="shared" ca="1" si="68"/>
        <v>0</v>
      </c>
      <c r="DS106" s="87" t="e">
        <f t="shared" ca="1" si="69"/>
        <v>#N/A</v>
      </c>
      <c r="DT106" s="87">
        <f t="shared" ca="1" si="70"/>
        <v>0</v>
      </c>
      <c r="DU106" s="87" t="e">
        <f t="shared" ca="1" si="71"/>
        <v>#N/A</v>
      </c>
      <c r="DV106" s="87" t="e">
        <f t="shared" ca="1" si="72"/>
        <v>#N/A</v>
      </c>
      <c r="DW106" s="87">
        <f t="shared" ca="1" si="73"/>
        <v>0</v>
      </c>
      <c r="DX106" s="87">
        <f t="shared" ca="1" si="74"/>
        <v>0</v>
      </c>
      <c r="DZ106" s="87">
        <f t="shared" ca="1" si="82"/>
        <v>0</v>
      </c>
      <c r="EB106" s="87">
        <f t="shared" ca="1" si="75"/>
        <v>0</v>
      </c>
      <c r="EC106" s="87" t="e">
        <f t="shared" ca="1" si="76"/>
        <v>#N/A</v>
      </c>
      <c r="EE106" s="228">
        <f>(IF(EE$7="X",VLOOKUP(EE$10,'VK-Hooned-Soojus'!$C:$X,2+$C106,FALSE),0)+IF(EE$6="X",VLOOKUP(EE$10,'VK-Transport'!$C:$X,2+$B106,0))+IF(EE$8="X",VLOOKUP(EE$10,'VK-Elekter'!$C:$X,2+$D106,0))+IF(EE$9="X",VLOOKUP(EE$10,'VK-Biokütused'!$C:$U,2+$E106,0))+IF(EE$5="X",VLOOKUP(EE$10,'VK-Põlevkivi'!$C:$X,2+$G106,0))+IF(EE$4="X",VLOOKUP(EE$10,'VK-Võrgud'!$C:$X,2+$F106,0)))</f>
        <v>9782.4651422331972</v>
      </c>
      <c r="EF106" s="235">
        <f>(IF(EF$7="X",VLOOKUP(EF$10,'VK-Hooned-Soojus'!$C:$X,2+$C106,FALSE),0)+IF(EF$6="X",VLOOKUP(EF$10,'VK-Transport'!$C:$X,2+$B106,0))+IF(EF$8="X",VLOOKUP(EF$10,'VK-Elekter'!$C:$X,2+$D106,0))+IF(EF$9="X",VLOOKUP(EF$10,'VK-Biokütused'!$C:$U,2+$E106,0)))/1000</f>
        <v>4.7128849906373196</v>
      </c>
      <c r="EG106" s="209">
        <f>(IF(EG$7="X",VLOOKUP(EG$10,'VK-Hooned-Soojus'!$C:$X,2+$C106,FALSE),0)+IF(EG$6="X",VLOOKUP(EG$10,'VK-Transport'!$C:$X,2+$B106,0))+IF(EG$8="X",VLOOKUP(EG$10,'VK-Elekter'!$C:$X,2+$D106,0))+IF(EG$9="X",VLOOKUP(EG$10,'VK-Biokütused'!$C:$U,2+$E106,0))+IF(EG$5="X",VLOOKUP(EG$10,'VK-Põlevkivi'!$C:$X,2+$G106,0))+IF(EG$4="X",VLOOKUP(EG$10,'VK-Võrgud'!$C:$X,2+$F106,0)))</f>
        <v>0.81</v>
      </c>
      <c r="EH106" s="209">
        <f>(IF(EH$7="X",VLOOKUP(EH$10,'VK-Hooned-Soojus'!$C:$X,2+$C106,FALSE),0)+IF(EH$6="X",VLOOKUP(EH$10,'VK-Transport'!$C:$X,2+$B106,0))+IF(EH$8="X",VLOOKUP(EH$10,'VK-Elekter'!$C:$X,2+$D106,0))+IF(EH$9="X",VLOOKUP(EH$10,'VK-Biokütused'!$C:$U,2+$E106,0)))+AR106+AS106+AU106+AX106</f>
        <v>54.254637038771783</v>
      </c>
      <c r="EI106" s="320">
        <f t="shared" si="53"/>
        <v>47.412900516795858</v>
      </c>
      <c r="EJ106" s="322">
        <f t="shared" si="54"/>
        <v>2.3132392489112068E-2</v>
      </c>
      <c r="EK106" s="323">
        <f t="shared" si="77"/>
        <v>0.4418964743705141</v>
      </c>
      <c r="EM106" s="209"/>
      <c r="EN106" s="209">
        <f t="shared" ca="1" si="55"/>
        <v>0</v>
      </c>
      <c r="EO106" s="209"/>
      <c r="EP106" s="234"/>
      <c r="EQ106" s="209">
        <f>(IF(EQ$7="X",VLOOKUP(EQ$10,'VK-Hooned-Soojus'!$C:$X,2+$C106,FALSE),0)+IF(EQ$6="X",VLOOKUP(EQ$10,'VK-Transport'!$C:$X,2+$B106,0))+IF(EQ$8="X",VLOOKUP(EQ$10,'VK-Elekter'!$C:$X,2+$D106,0))+IF(EQ$9="X",VLOOKUP(EQ$10,'VK-Biokütused'!$C:$U,2+$E106,0))+IF(EQ$5="X",VLOOKUP(EQ$10,'VK-Põlevkivi'!$C:$X,2+$G106,0))+IF(EQ$4="X",VLOOKUP(EQ$10,'VK-Võrgud'!$C:$X,2+$F106,0)))/1000</f>
        <v>0.22900000000000001</v>
      </c>
      <c r="ER106" s="209">
        <f>(IF(ER$7="X",VLOOKUP(ER$10,'VK-Hooned-Soojus'!$C:$X,2+$C106,FALSE),0)+IF(ER$6="X",VLOOKUP(ER$10,'VK-Transport'!$C:$X,2+$B106,0))+IF(ER$8="X",VLOOKUP(ER$10,'VK-Elekter'!$C:$X,2+$D106,0))+IF(ER$9="X",VLOOKUP(ER$10,'VK-Biokütused'!$C:$U,2+$E106,0))+IF(ER$5="X",VLOOKUP(ER$10,'VK-Põlevkivi'!$C:$X,2+$G106,0))+IF(ER$4="X",VLOOKUP(ER$10,'VK-Võrgud'!$C:$X,2+$F106,0)))</f>
        <v>0.82899999999999996</v>
      </c>
      <c r="ES106" s="209">
        <f>(IF(ES$7="X",VLOOKUP(ES$10,'VK-Hooned-Soojus'!$C:$X,2+$C106,FALSE),0)+IF(ES$6="X",VLOOKUP(ES$10,'VK-Transport'!$C:$X,2+$B106,0))+IF(ES$8="X",VLOOKUP(ES$10,'VK-Elekter'!$C:$X,2+$D106,0))+IF(ES$9="X",VLOOKUP(ES$10,'VK-Biokütused'!$C:$U,2+$E106,0))+IF(ES$5="X",VLOOKUP(ES$10,'VK-Põlevkivi'!$C:$X,2+$G106,0))+IF(ES$4="X",VLOOKUP(ES$10,'VK-Võrgud'!$C:$X,2+$F106,0)))</f>
        <v>6.78</v>
      </c>
      <c r="ET106" s="209"/>
      <c r="EU106" s="209"/>
      <c r="EV106" s="87">
        <f>'KSH järjestus'!AS99</f>
        <v>1426</v>
      </c>
      <c r="EX106" s="236"/>
      <c r="EY106" s="236"/>
      <c r="EZ106" s="237">
        <f t="shared" si="56"/>
        <v>0.27911646586345373</v>
      </c>
      <c r="FA106" s="209">
        <f>IF(FA$7="X",VLOOKUP(FA$10,'VK-Hooned-Soojus'!$C:$X,2+$C106,FALSE),0)+IF(FA$6="X",VLOOKUP(FA$10,'VK-Transport'!$C:$X,2+$B106,0))+IF(FA$8="X",VLOOKUP(FA$10,'VK-Elekter'!$C:$X,2+$D106,0))+IF(FA$9="X",VLOOKUP(FA$10,'VK-Biokütused'!$C:$U,2+$E106,0))+IF(FA$5="X",VLOOKUP(FA$10,'VK-Põlevkivi'!$C:$X,2+$G106,0))+IF(FA$4="X",VLOOKUP(FA$10,'VK-Võrgud'!$C:$X,2+$F106,0))</f>
        <v>3103.9189999999999</v>
      </c>
      <c r="FB106" s="279">
        <f>(IF(FB$7="X",VLOOKUP(FB$10,'VK-Hooned-Soojus'!$C:$X,2+$C106,FALSE),0)+IF(FB$6="X",VLOOKUP(FB$10,'VK-Transport'!$C:$X,2+$B106,0))+IF(FB$8="X",VLOOKUP(FB$10,'VK-Elekter'!$C:$X,2+$D106,0))+IF(FB$9="X",VLOOKUP(FB$10,'VK-Biokütused'!$C:$U,2+$E106,0))+IF(FB$5="X",VLOOKUP(FB$10,'VK-Põlevkivi'!$C:$X,2+$G106,0))+IF(FB$4="X",VLOOKUP(FB$10,'VK-Võrgud'!$C:$X,2+$F106,0)))/16</f>
        <v>514.13483762523958</v>
      </c>
      <c r="FC106" s="209">
        <f>IF(FC$7="X",VLOOKUP(FC$10,'VK-Hooned-Soojus'!$C:$X,2+$C106,FALSE),0)+IF(FC$6="X",VLOOKUP(FC$10,'VK-Transport'!$C:$X,2+$B106,0))+IF(FC$8="X",VLOOKUP(FC$10,'VK-Elekter'!$C:$X,2+$D106,0))+IF(FC$9="X",VLOOKUP(FC$10,'VK-Biokütused'!$C:$U,2+$E106,0))+IF(FC$5="X",VLOOKUP(FC$10,'VK-Põlevkivi'!$C:$X,2+$G106,0))+IF(FC$4="X",VLOOKUP(FC$10,'VK-Võrgud'!$C:$X,2+$F106,0))</f>
        <v>315.49999999999994</v>
      </c>
      <c r="FD106" s="209">
        <f>(IF(FD$7="X",VLOOKUP(FD$10,'VK-Hooned-Soojus'!$C:$X,2+$C106,FALSE),0)+IF(FD$6="X",VLOOKUP(FD$10,'VK-Transport'!$C:$X,2+$B106,0))+IF(FD$8="X",VLOOKUP(FD$10,'VK-Elekter'!$C:$X,2+$D106,0))+IF(FD$9="X",VLOOKUP(FD$10,'VK-Biokütused'!$C:$U,2+$E106,0))+IF(FD$5="X",VLOOKUP(FD$10,'VK-Põlevkivi'!$C:$X,2+$G106,0))+IF(FD$4="X",VLOOKUP(FD$10,'VK-Võrgud'!$C:$X,2+$F106,0)))/16</f>
        <v>514.13483762523958</v>
      </c>
      <c r="FE106" s="209">
        <f>(IF(FE$7="X",VLOOKUP(FE$10,'VK-Hooned-Soojus'!$C:$X,2+$C106,FALSE),0)+IF(FE$6="X",VLOOKUP(FE$10,'VK-Transport'!$C:$X,2+$B106,0))+IF(FE$8="X",VLOOKUP(FE$10,'VK-Elekter'!$C:$X,2+$D106,0))+IF(FE$9="X",VLOOKUP(FE$10,'VK-Biokütused'!$C:$U,2+$E106,0))+IF(FE$5="X",VLOOKUP(FE$10,'VK-Põlevkivi'!$C:$X,2+$G106,0))+IF(FE$4="X",VLOOKUP(FE$10,'VK-Võrgud'!$C:$X,2+$F106,0)))/16</f>
        <v>-74.878313699091038</v>
      </c>
      <c r="FF106" s="209">
        <f>(IF(FF$7="X",VLOOKUP(FF$10,'VK-Hooned-Soojus'!$C:$X,2+$C106,FALSE),0)+IF(FF$6="X",VLOOKUP(FF$10,'VK-Transport'!$C:$X,2+$B106,0))+IF(FF$8="X",VLOOKUP(FF$10,'VK-Elekter'!$C:$X,2+$D106,0))+IF(FF$9="X",VLOOKUP(FF$10,'VK-Biokütused'!$C:$U,2+$E106,0))+IF(FF$5="X",VLOOKUP(FF$10,'VK-Põlevkivi'!$C:$X,2+$G106,0))+IF(FF$4="X",VLOOKUP(FF$10,'VK-Võrgud'!$C:$X,2+$F106,0)))/16</f>
        <v>208.01845958806962</v>
      </c>
      <c r="FG106" s="88">
        <f t="shared" ca="1" si="78"/>
        <v>133.14014588897857</v>
      </c>
      <c r="FH106" s="88"/>
      <c r="FI106" s="88"/>
      <c r="FJ106" s="88">
        <f>VLOOKUP(Tulemused!$BN$12,data!M$7:N$12,2,FALSE)-SUM(L106,M106)</f>
        <v>-0.80250937302436398</v>
      </c>
      <c r="FK106" s="209" t="str">
        <f>IF(AZ106&lt;=VLOOKUP(Tulemused!$BN$15,data!$E$36:$F$39,2,FALSE),"JAH","EI")</f>
        <v>JAH</v>
      </c>
      <c r="FL106" s="235">
        <f ca="1">IF(ISNA(MATCH($A106,INDIRECT(VLOOKUP(Tulemused!$BF$11,data!$J$57:$M$71,4,FALSE)))),0,MATCH($A106,INDIRECT(VLOOKUP(Tulemused!$BF$11,data!$J$57:$M$71,4,FALSE))))</f>
        <v>0</v>
      </c>
      <c r="FM106" s="235" t="str">
        <f t="shared" ca="1" si="57"/>
        <v>JAH</v>
      </c>
      <c r="FN106" s="209">
        <f>VLOOKUP(Tulemused!$BN$13,data!$C$132:$D$137,2,FALSE)-KOMBI!R106</f>
        <v>4.3168850093626805</v>
      </c>
      <c r="FO106" s="209"/>
      <c r="FP106" s="209">
        <f>VLOOKUP(Tulemused!$BN$17,NO_x,2,FALSE)-CJ106</f>
        <v>11.354421988425461</v>
      </c>
      <c r="FQ106" s="209">
        <f>VLOOKUP(Tulemused!$BN$18,SO_2,2,FALSE)-CK106</f>
        <v>39.082922023659208</v>
      </c>
      <c r="FR106" s="209">
        <f>VLOOKUP(Tulemused!$BN$19,LOU,2,FALSE)-CN106</f>
        <v>34.029000000000003</v>
      </c>
      <c r="FS106" s="209">
        <f>VLOOKUP(Tulemused!$BN$20,PM_2.5,2,FALSE)-CM106</f>
        <v>8.3982394222510912</v>
      </c>
      <c r="FT106" s="209">
        <f>VLOOKUP(Tulemused!$BN$13,data!$C$132:$D$137,2,FALSE)-FA106/1000</f>
        <v>3.1420510000000008</v>
      </c>
      <c r="FU106" s="209">
        <f>VLOOKUP(Tulemused!$BN$17,NO_x,2,FALSE)-CO106</f>
        <v>5.3286376626430041</v>
      </c>
      <c r="FV106" s="209">
        <f>VLOOKUP(Tulemused!$BN$18,SO_2,2,FALSE)-CP106</f>
        <v>38.060607879306339</v>
      </c>
      <c r="FW106" s="209">
        <f>VLOOKUP(Tulemused!$BN$19,LOU,2,FALSE)-CS106</f>
        <v>33.241350490137769</v>
      </c>
      <c r="FX106" s="209">
        <f>VLOOKUP(Tulemused!$BN$20,PM_2.5,2,FALSE)-CR106</f>
        <v>8.83224816260031</v>
      </c>
      <c r="FY106" s="209">
        <f>VLOOKUP(Tulemused!$BN$14,KHG_2050,2,FALSE)-EF106</f>
        <v>95.28711500936268</v>
      </c>
      <c r="FZ106" s="231" t="str">
        <f t="shared" ca="1" si="79"/>
        <v>EI</v>
      </c>
      <c r="GA106" s="209"/>
      <c r="GB106" s="209"/>
      <c r="GC106" s="209"/>
      <c r="GD106" s="231"/>
      <c r="GE106" s="87">
        <f t="shared" si="58"/>
        <v>1426</v>
      </c>
      <c r="GF106" s="232" t="str">
        <f t="shared" ca="1" si="80"/>
        <v/>
      </c>
      <c r="GH106" s="238" t="e">
        <f t="shared" ca="1" si="59"/>
        <v>#NUM!</v>
      </c>
      <c r="GI106" s="87" t="e">
        <f t="array" aca="1" ref="GI106" ca="1">INDEX($A$11:$A$145, SMALL(IF(GH106=$GF$11:$GF$145, MATCH(ROW($GF$11:$GF$145), ROW($GF$11:$GF$145))), SUM(--(GH106=$GH$11:GH106))))</f>
        <v>#NUM!</v>
      </c>
      <c r="GM106" s="209">
        <f>IF(GM$7="X",VLOOKUP(GM$10,'VK-Hooned-Soojus'!$C:$X,2+$C106,FALSE),0)+IF(GM$6="X",VLOOKUP(GM$10,'VK-Transport'!$C:$X,2+$B106,0))+IF(GM$8="X",VLOOKUP(GM$10,'VK-Elekter'!$C:$X,2+$D106,0))+IF(GM$9="X",VLOOKUP(GM$10,'VK-Biokütused'!$C:$U,2+$E106,0))+IF(GM$5="X",VLOOKUP(GM$10,'VK-Põlevkivi'!$C:$X,2+$G106,0))+IF(GM$4="X",VLOOKUP(GM$10,'VK-Võrgud'!$C:$X,2+$F106,0))</f>
        <v>6.0128279910272253</v>
      </c>
      <c r="GN106" s="209">
        <f>IF(GN$7="X",VLOOKUP(GN$10,'VK-Hooned-Soojus'!$C:$X,2+$C106,FALSE),0)+IF(GN$6="X",VLOOKUP(GN$10,'VK-Transport'!$C:$X,2+$B106,0))+IF(GN$8="X",VLOOKUP(GN$10,'VK-Elekter'!$C:$X,2+$D106,0))+IF(GN$9="X",VLOOKUP(GN$10,'VK-Biokütused'!$C:$U,2+$E106,0))+IF(GN$5="X",VLOOKUP(GN$10,'VK-Põlevkivi'!$C:$X,2+$G106,0))+IF(GN$4="X",VLOOKUP(GN$10,'VK-Võrgud'!$C:$X,2+$F106,0))</f>
        <v>3.4467619395011728</v>
      </c>
      <c r="GO106" s="209">
        <f>IF(GO$7="X",VLOOKUP(GO$10,'VK-Hooned-Soojus'!$C:$X,2+$C106,FALSE),0)+IF(GO$6="X",VLOOKUP(GO$10,'VK-Transport'!$C:$X,2+$B106,0))+IF(GO$8="X",VLOOKUP(GO$10,'VK-Elekter'!$C:$X,2+$D106,0))+IF(GO$9="X",VLOOKUP(GO$10,'VK-Biokütused'!$C:$U,2+$E106,0))+IF(GO$5="X",VLOOKUP(GO$10,'VK-Põlevkivi'!$C:$X,2+$G106,0))+IF(GO$4="X",VLOOKUP(GO$10,'VK-Võrgud'!$C:$X,2+$F106,0))</f>
        <v>8.7471755658278116</v>
      </c>
      <c r="GP106" s="209">
        <f>IF(GP$7="X",VLOOKUP(GP$10,'VK-Hooned-Soojus'!$C:$X,2+$C106,FALSE),0)+IF(GP$6="X",VLOOKUP(GP$10,'VK-Transport'!$C:$X,2+$B106,0))+IF(GP$8="X",VLOOKUP(GP$10,'VK-Elekter'!$C:$X,2+$D106,0))+IF(GP$9="X",VLOOKUP(GP$10,'VK-Biokütused'!$C:$U,2+$E106,0))+IF(GP$5="X",VLOOKUP(GP$10,'VK-Põlevkivi'!$C:$X,2+$G106,0))+IF(GP$4="X",VLOOKUP(GP$10,'VK-Võrgud'!$C:$X,2+$F106,0))</f>
        <v>9.3279335818485372</v>
      </c>
      <c r="GQ106" s="88">
        <f>IF(GQ$7="X",VLOOKUP(GQ$10,'VK-Hooned-Soojus'!$C:$X,2+$C106,FALSE),0)+IF(GQ$6="X",VLOOKUP(GQ$10,'VK-Transport'!$C:$X,2+$B106,0))+IF(GQ$8="X",VLOOKUP(GQ$10,'VK-Elekter'!$C:$X,2+$D106,0))+IF(GQ$9="X",VLOOKUP(GQ$10,'VK-Biokütused'!$C:$U,2+$E106,0))+IF(GQ$5="X",VLOOKUP(GQ$10,'VK-Põlevkivi'!$C:$X,2+$G106,0))+IF(GQ$4="X",VLOOKUP(GQ$10,'VK-Võrgud'!$C:$X,2+$F106,0))</f>
        <v>0.89042766952822527</v>
      </c>
      <c r="GR106" s="186">
        <f t="shared" si="81"/>
        <v>0.40627315299312855</v>
      </c>
    </row>
    <row r="107" spans="1:200" x14ac:dyDescent="0.2">
      <c r="A107" s="184">
        <v>97</v>
      </c>
      <c r="B107" s="87">
        <v>3</v>
      </c>
      <c r="C107" s="87">
        <v>1</v>
      </c>
      <c r="D107" s="87">
        <v>3</v>
      </c>
      <c r="E107" s="87">
        <v>1</v>
      </c>
      <c r="F107" s="87">
        <f>VLOOKUP(Tulemused!$BF$7,data!$J$6:$K$8,2,FALSE)</f>
        <v>2</v>
      </c>
      <c r="G107" s="87">
        <f>VLOOKUP(data!$H$2,data!$J$12:$K$14,2,FALSE)</f>
        <v>2</v>
      </c>
      <c r="I107" s="209">
        <f>IF(I$7="X",VLOOKUP(I$10,'VK-Hooned-Soojus'!$C:$X,2+$C107,FALSE),0)+IF(I$6="X",VLOOKUP(I$10,'VK-Transport'!$C:$X,2+$B107,0))+IF(I$8="X",VLOOKUP(I$10,'VK-Elekter'!$C:$X,2+$D107,0))+IF(I$9="X",VLOOKUP(I$10,'VK-Biokütused'!$C:$U,2+$E107,0))+IF(I$5="X",VLOOKUP(I$10,'VK-Põlevkivi'!$C:$X,2+$G107,0))+IF(I$4="X",VLOOKUP(I$10,'VK-Võrgud'!$C:$X,2+$F107,0))</f>
        <v>26.89</v>
      </c>
      <c r="J107" s="209">
        <f>IF(J$7="X",VLOOKUP(J$10,'VK-Hooned-Soojus'!$C:$X,2+$C107,FALSE),0)+IF(J$6="X",VLOOKUP(J$10,'VK-Transport'!$C:$X,2+$B107,0))+IF(J$8="X",VLOOKUP(J$10,'VK-Elekter'!$C:$X,2+$D107,0))+IF(J$9="X",VLOOKUP(J$10,'VK-Biokütused'!$C:$U,2+$E107,0))+IF(J$5="X",VLOOKUP(J$10,'VK-Põlevkivi'!$C:$X,2+$G107,0))+IF(J$4="X",VLOOKUP(J$10,'VK-Võrgud'!$C:$X,2+$F107,0))</f>
        <v>8.1258333333333344</v>
      </c>
      <c r="K107" s="209">
        <f>IF(K$7="X",VLOOKUP(K$10,'VK-Hooned-Soojus'!$C:$X,2+$C107,FALSE),0)+IF(K$6="X",VLOOKUP(K$10,'VK-Transport'!$C:$X,2+$B107,0))+IF(K$8="X",VLOOKUP(K$10,'VK-Elekter'!$C:$X,2+$D107,0))+IF(K$9="X",VLOOKUP(K$10,'VK-Biokütused'!$C:$U,2+$E107,0))+IF(K$5="X",VLOOKUP(K$10,'VK-Põlevkivi'!$C:$X,2+$G107,0))+IF(K$4="X",VLOOKUP(K$10,'VK-Võrgud'!$C:$X,2+$F107,0))</f>
        <v>16.75</v>
      </c>
      <c r="L107" s="209">
        <f>IF(L$7="X",VLOOKUP(L$10,'VK-Hooned-Soojus'!$C:$X,2+$C107,FALSE),0)+IF(L$6="X",VLOOKUP(L$10,'VK-Transport'!$C:$X,2+$B107,0))+IF(L$8="X",VLOOKUP(L$10,'VK-Elekter'!$C:$X,2+$D107,0))+IF(L$9="X",VLOOKUP(L$10,'VK-Biokütused'!$C:$U,2+$E107,0))+IF(L$5="X",VLOOKUP(L$10,'VK-Põlevkivi'!$C:$X,2+$G107,0))+IF(L$4="X",VLOOKUP(L$10,'VK-Võrgud'!$C:$X,2+$F107,0))</f>
        <v>24.95</v>
      </c>
      <c r="M107" s="209">
        <f>IF(M$7="X",VLOOKUP(M$10,'VK-Hooned-Soojus'!$C:$X,2+$C107,FALSE),0)+IF(M$6="X",VLOOKUP(M$10,'VK-Transport'!$C:$X,2+$B107,0))+IF(M$8="X",VLOOKUP(M$10,'VK-Elekter'!$C:$X,2+$D107,0))+IF(M$9="X",VLOOKUP(M$10,'VK-Biokütused'!$C:$U,2+$E107,0))+IF(M$5="X",VLOOKUP(M$10,'VK-Põlevkivi'!$C:$X,2+$G107,0))+IF(M$4="X",VLOOKUP(M$10,'VK-Võrgud'!$C:$X,2+$F107,0))</f>
        <v>8.68530937302436</v>
      </c>
      <c r="N107" s="209">
        <f>IF(N$7="X",VLOOKUP(N$10,'VK-Hooned-Soojus'!$C:$X,2+$C107,FALSE),0)+IF(N$6="X",VLOOKUP(N$10,'VK-Transport'!$C:$X,2+$B107,0))+IF(N$8="X",VLOOKUP(N$10,'VK-Elekter'!$C:$X,2+$D107,0))+IF(N$9="X",VLOOKUP(N$10,'VK-Biokütused'!$C:$U,2+$E107,0))+IF(N$5="X",VLOOKUP(N$10,'VK-Põlevkivi'!$C:$X,2+$G107,0))+IF(N$4="X",VLOOKUP(N$10,'VK-Võrgud'!$C:$X,2+$F107,0))</f>
        <v>16.75</v>
      </c>
      <c r="O107" s="209">
        <f t="shared" si="60"/>
        <v>35.015833333333333</v>
      </c>
      <c r="P107" s="209"/>
      <c r="Q107" s="209">
        <f>(IF(Q$7="X",VLOOKUP(Q$10,'VK-Hooned-Soojus'!$C:$X,2+$C107,FALSE),0)+IF(Q$6="X",VLOOKUP(Q$10,'VK-Transport'!$C:$X,2+$B107,0))+IF(Q$8="X",VLOOKUP(Q$10,'VK-Elekter'!$C:$X,2+$D107,0))+IF(Q$9="X",VLOOKUP(Q$10,'VK-Biokütused'!$C:$U,2+$E107,0))+IF(Q$5="X",VLOOKUP(Q$10,'VK-Põlevkivi'!$C:$X,2+$G107,0))+IF(Q$4="X",VLOOKUP(Q$10,'VK-Võrgud'!$C:$X,2+$F107,0)))/1000</f>
        <v>5.33</v>
      </c>
      <c r="R107" s="209">
        <f>(IF(R$7="X",VLOOKUP(R$10,'VK-Hooned-Soojus'!$C:$X,2+$C107,FALSE),0)+IF(R$6="X",VLOOKUP(R$10,'VK-Transport'!$C:$X,2+$B107,0))+IF(R$8="X",VLOOKUP(R$10,'VK-Elekter'!$C:$X,2+$D107,0))+IF(R$9="X",VLOOKUP(R$10,'VK-Biokütused'!$C:$U,2+$E107,0))+IF(R$5="X",VLOOKUP(R$10,'VK-Põlevkivi'!$C:$X,2+$G107,0))+IF(R$4="X",VLOOKUP(R$10,'VK-Võrgud'!$C:$X,2+$F107,0)))/1000</f>
        <v>1.3428849906373199</v>
      </c>
      <c r="S107" s="226">
        <f>VLOOKUP(S$10,'VK-Hooned-Soojus'!$C:$I,2+$C107,FALSE) + VLOOKUP(S$10,'VK-Transport'!$C:$I,2+$B107,FALSE)+ VLOOKUP(S$10,'VK-Biokütused'!$C:$G,2+$E107,FALSE)+ VLOOKUP(S$10,'VK-Elekter'!$C:$I,2+$D107,FALSE)+ VLOOKUP(S$10,'VK-Põlevkivi'!$C:$I,2+$G107,FALSE)+ VLOOKUP(S$10,'VK-Võrgud'!$C:$I,2+$F107,FALSE)</f>
        <v>1.2727214601911167E-2</v>
      </c>
      <c r="T107" s="226">
        <f>VLOOKUP(T$10,'VK-Hooned-Soojus'!$C:$I,2+$C107,FALSE) + VLOOKUP(T$10,'VK-Transport'!$C:$I,2+$B107,FALSE)+ VLOOKUP(T$10,'VK-Biokütused'!$C:$G,2+$E107,FALSE)+ VLOOKUP(T$10,'VK-Elekter'!$C:$I,2+$D107,FALSE)+ VLOOKUP(T$10,'VK-Põlevkivi'!$C:$I,2+$G107,FALSE)+ VLOOKUP(T$10,'VK-Võrgud'!$C:$I,2+$F107,FALSE)</f>
        <v>7.4784487247079468E-3</v>
      </c>
      <c r="U107" s="226">
        <f>VLOOKUP(U$10,'VK-Hooned-Soojus'!$C:$I,2+$C107,FALSE) + VLOOKUP(U$10,'VK-Transport'!$C:$I,2+$B107,FALSE)+ VLOOKUP(U$10,'VK-Biokütused'!$C:$G,2+$E107,FALSE)+ VLOOKUP(U$10,'VK-Elekter'!$C:$I,2+$D107,FALSE)+ VLOOKUP(U$10,'VK-Põlevkivi'!$C:$I,2+$G107,FALSE)+ VLOOKUP(U$10,'VK-Võrgud'!$C:$I,2+$F107,FALSE)</f>
        <v>5.8138453438607851E-3</v>
      </c>
      <c r="V107" s="226">
        <f>VLOOKUP(V$10,'VK-Hooned-Soojus'!$C:$I,2+$C107,FALSE) + VLOOKUP(V$10,'VK-Transport'!$C:$I,2+$B107,FALSE)+ VLOOKUP(V$10,'VK-Biokütused'!$C:$G,2+$E107,FALSE)+ VLOOKUP(V$10,'VK-Elekter'!$C:$I,2+$D107,FALSE)+ VLOOKUP(V$10,'VK-Põlevkivi'!$C:$I,2+$G107,FALSE)+ VLOOKUP(V$10,'VK-Võrgud'!$C:$I,2+$F107,FALSE)</f>
        <v>7.0024194730387516E-3</v>
      </c>
      <c r="W107" s="226">
        <f>VLOOKUP(W$10,'VK-Hooned-Soojus'!$C:$I,2+$C107,FALSE) + VLOOKUP(W$10,'VK-Transport'!$C:$I,2+$B107,FALSE)+ VLOOKUP(W$10,'VK-Biokütused'!$C:$G,2+$E107,FALSE)+ VLOOKUP(W$10,'VK-Elekter'!$C:$I,2+$D107,FALSE)+ VLOOKUP(W$10,'VK-Põlevkivi'!$C:$I,2+$G107,FALSE)+ VLOOKUP(W$10,'VK-Võrgud'!$C:$I,2+$F107,FALSE)</f>
        <v>-3.1251602298081632E-2</v>
      </c>
      <c r="X107" s="226">
        <f>VLOOKUP(X$10,'VK-Hooned-Soojus'!$C:$I,2+$C107,FALSE) + VLOOKUP(X$10,'VK-Transport'!$C:$I,2+$B107,FALSE)+ VLOOKUP(X$10,'VK-Biokütused'!$C:$G,2+$E107,FALSE)+ VLOOKUP(X$10,'VK-Elekter'!$C:$I,2+$D107,FALSE)+ VLOOKUP(X$10,'VK-Põlevkivi'!$C:$I,2+$G107,FALSE)+ VLOOKUP(X$10,'VK-Võrgud'!$C:$I,2+$F107,FALSE)</f>
        <v>-4.1112564852810153E-2</v>
      </c>
      <c r="Y107" s="226">
        <f>VLOOKUP(Y$10,'VK-Hooned-Soojus'!$C:$I,2+$C107,FALSE) + VLOOKUP(Y$10,'VK-Transport'!$C:$I,2+$B107,FALSE)+ VLOOKUP(Y$10,'VK-Biokütused'!$C:$G,2+$E107,FALSE)+ VLOOKUP(Y$10,'VK-Elekter'!$C:$I,2+$D107,FALSE)+ VLOOKUP(Y$10,'VK-Põlevkivi'!$C:$I,2+$G107,FALSE)+ VLOOKUP(Y$10,'VK-Võrgud'!$C:$I,2+$F107,FALSE)</f>
        <v>-4.9568296347284525E-2</v>
      </c>
      <c r="Z107" s="227">
        <f>(S107*Tulemused!$Q$9*10+T107*Tulemused!$Q$10*10+KOMBI!U107*Tulemused!$Q$11*10+KOMBI!V107*Tulemused!$Q$12*10)*Tulemused!$Q$8+-(W107*Tulemused!$Q$14*10+KOMBI!X107*Tulemused!$Q$15*10+KOMBI!Y107*Tulemused!$Q$16*10)*Tulemused!$Q$13</f>
        <v>5.1213648948307222</v>
      </c>
      <c r="AA107" s="228">
        <f>(IF(AA$7="X",VLOOKUP(AA$10,'VK-Hooned-Soojus'!$C:$X,2+$C107,FALSE),0)+IF(AA$6="X",VLOOKUP(AA$10,'VK-Transport'!$C:$X,2+$B107,0))+IF(AA$8="X",VLOOKUP(AA$10,'VK-Elekter'!$C:$X,2+$D107,0))+IF(AA$9="X",VLOOKUP(AA$10,'VK-Biokütused'!$C:$U,2+$E107,0))+IF(AA$5="X",VLOOKUP(AA$10,'VK-Põlevkivi'!$C:$X,2+$G107,0))+IF(AA$4="X",VLOOKUP(AA$10,'VK-Võrgud'!$C:$X,2+$F107,0)))</f>
        <v>3728</v>
      </c>
      <c r="AB107" s="228">
        <f>(IF(AB$7="X",VLOOKUP(AB$10,'VK-Hooned-Soojus'!$C:$X,2+$C107,FALSE),0)+IF(AB$6="X",VLOOKUP(AB$10,'VK-Transport'!$C:$X,2+$B107,0))+IF(AB$8="X",VLOOKUP(AB$10,'VK-Elekter'!$C:$X,2+$D107,0))+IF(AB$9="X",VLOOKUP(AB$10,'VK-Biokütused'!$C:$U,2+$E107,0))+IF(AB$5="X",VLOOKUP(AB$10,'VK-Põlevkivi'!$C:$X,2+$G107,0))+IF(AB$4="X",VLOOKUP(AB$10,'VK-Võrgud'!$C:$X,2+$F107,0)))</f>
        <v>1602</v>
      </c>
      <c r="AC107" s="228">
        <f>(IF(AC$7="X",VLOOKUP(AC$10,'VK-Hooned-Soojus'!$C:$X,2+$C107,FALSE),0)+IF(AC$6="X",VLOOKUP(AC$10,'VK-Transport'!$C:$X,2+$B107,0))+IF(AC$8="X",VLOOKUP(AC$10,'VK-Elekter'!$C:$X,2+$D107,0))+IF(AC$9="X",VLOOKUP(AC$10,'VK-Biokütused'!$C:$U,2+$E107,0))+IF(AC$5="X",VLOOKUP(AC$10,'VK-Põlevkivi'!$C:$X,2+$G107,0))+IF(AC$4="X",VLOOKUP(AC$10,'VK-Võrgud'!$C:$X,2+$F107,0)))</f>
        <v>2346</v>
      </c>
      <c r="AD107" s="228">
        <f>(IF(AD$7="X",VLOOKUP(AD$10,'VK-Hooned-Soojus'!$C:$X,2+$C107,FALSE),0)+IF(AD$6="X",VLOOKUP(AD$10,'VK-Transport'!$C:$X,2+$B107,0))+IF(AD$8="X",VLOOKUP(AD$10,'VK-Elekter'!$C:$X,2+$D107,0))+IF(AD$9="X",VLOOKUP(AD$10,'VK-Biokütused'!$C:$U,2+$E107,0))+IF(AD$5="X",VLOOKUP(AD$10,'VK-Põlevkivi'!$C:$X,2+$G107,0))+IF(AD$4="X",VLOOKUP(AD$10,'VK-Võrgud'!$C:$X,2+$F107,0)))</f>
        <v>0</v>
      </c>
      <c r="AE107" s="228">
        <f>(IF(AE$7="X",VLOOKUP(AE$10,'VK-Hooned-Soojus'!$C:$X,2+$C107,FALSE),0)+IF(AE$6="X",VLOOKUP(AE$10,'VK-Transport'!$C:$X,2+$B107,0))+IF(AE$8="X",VLOOKUP(AE$10,'VK-Elekter'!$C:$X,2+$D107,0))+IF(AE$9="X",VLOOKUP(AE$10,'VK-Biokütused'!$C:$U,2+$E107,0))+IF(AE$5="X",VLOOKUP(AE$10,'VK-Põlevkivi'!$C:$X,2+$G107,0))+IF(AE$4="X",VLOOKUP(AE$10,'VK-Võrgud'!$C:$X,2+$F107,0)))</f>
        <v>812</v>
      </c>
      <c r="AF107" s="228">
        <f>(IF(AF$7="X",VLOOKUP(AF$10,'VK-Hooned-Soojus'!$C:$X,2+$C107,FALSE),0)+IF(AF$6="X",VLOOKUP(AF$10,'VK-Transport'!$C:$X,2+$B107,0))+IF(AF$8="X",VLOOKUP(AF$10,'VK-Elekter'!$C:$X,2+$D107,0))+IF(AF$9="X",VLOOKUP(AF$10,'VK-Biokütused'!$C:$U,2+$E107,0))+IF(AF$5="X",VLOOKUP(AF$10,'VK-Põlevkivi'!$C:$X,2+$G107,0))+IF(AF$4="X",VLOOKUP(AF$10,'VK-Võrgud'!$C:$X,2+$F107,0)))</f>
        <v>530.88499063732002</v>
      </c>
      <c r="AG107" s="209"/>
      <c r="AH107" s="209">
        <f>IF(AH$7="X",VLOOKUP(AH$10,'VK-Hooned-Soojus'!$C:$X,2+$C107,FALSE),0)+IF(AH$6="X",VLOOKUP(AH$10,'VK-Transport'!$C:$X,2+$B107,0))+IF(AH$8="X",VLOOKUP(AH$10,'VK-Elekter'!$C:$X,2+$D107,0))+IF(AH$9="X",VLOOKUP(AH$10,'VK-Biokütused'!$C:$U,2+$E107,0))+IF(AH$5="X",VLOOKUP(AH$10,'VK-Põlevkivi'!$C:$X,2+$G107,0))+IF(AH$4="X",VLOOKUP(AH$10,'VK-Võrgud'!$C:$X,2+$F107,0))</f>
        <v>11.579999999999998</v>
      </c>
      <c r="AI107" s="209">
        <f>IF(AI$7="X",VLOOKUP(AI$10,'VK-Hooned-Soojus'!$C:$X,2+$C107,FALSE),0)+IF(AI$6="X",VLOOKUP(AI$10,'VK-Transport'!$C:$X,2+$B107,0))+IF(AI$8="X",VLOOKUP(AI$10,'VK-Elekter'!$C:$X,2+$D107,0))+IF(AI$9="X",VLOOKUP(AI$10,'VK-Biokütused'!$C:$U,2+$E107,0))+IF(AI$5="X",VLOOKUP(AI$10,'VK-Põlevkivi'!$C:$X,2+$G107,0))+IF(AI$4="X",VLOOKUP(AI$10,'VK-Võrgud'!$C:$X,2+$F107,0))</f>
        <v>4.45</v>
      </c>
      <c r="AJ107" s="209">
        <f>IF(AJ$7="X",VLOOKUP(AJ$10,'VK-Hooned-Soojus'!$C:$X,2+$C107,FALSE),0)+IF(AJ$6="X",VLOOKUP(AJ$10,'VK-Transport'!$C:$X,2+$B107,0))+IF(AJ$8="X",VLOOKUP(AJ$10,'VK-Elekter'!$C:$X,2+$D107,0))+IF(AJ$9="X",VLOOKUP(AJ$10,'VK-Biokütused'!$C:$U,2+$E107,0))+IF(AJ$5="X",VLOOKUP(AJ$10,'VK-Põlevkivi'!$C:$X,2+$G107,0))+IF(AJ$4="X",VLOOKUP(AJ$10,'VK-Võrgud'!$C:$X,2+$F107,0))</f>
        <v>9.19</v>
      </c>
      <c r="AK107" s="209">
        <f>IF(AK$7="X",VLOOKUP(AK$10,'VK-Hooned-Soojus'!$C:$X,2+$C107,FALSE),0)+IF(AK$6="X",VLOOKUP(AK$10,'VK-Transport'!$C:$X,2+$B107,0))+IF(AK$8="X",VLOOKUP(AK$10,'VK-Elekter'!$C:$X,2+$D107,0))+IF(AK$9="X",VLOOKUP(AK$10,'VK-Biokütused'!$C:$U,2+$E107,0))+IF(AK$5="X",VLOOKUP(AK$10,'VK-Põlevkivi'!$C:$X,2+$G107,0))+IF(AK$4="X",VLOOKUP(AK$10,'VK-Võrgud'!$C:$X,2+$F107,0))</f>
        <v>0.66</v>
      </c>
      <c r="AL107" s="209">
        <f>IF(AL$7="X",VLOOKUP(AL$10,'VK-Hooned-Soojus'!$C:$X,2+$C107,FALSE),0)+IF(AL$6="X",VLOOKUP(AL$10,'VK-Transport'!$C:$X,2+$B107,0))+IF(AL$8="X",VLOOKUP(AL$10,'VK-Elekter'!$C:$X,2+$D107,0))+IF(AL$9="X",VLOOKUP(AL$10,'VK-Biokütused'!$C:$U,2+$E107,0))+IF(AL$5="X",VLOOKUP(AL$10,'VK-Põlevkivi'!$C:$X,2+$G107,0))+IF(AL$4="X",VLOOKUP(AL$10,'VK-Võrgud'!$C:$X,2+$F107,0))</f>
        <v>7.1999999999999993</v>
      </c>
      <c r="AM107" s="209">
        <f>IF(AM$7="X",VLOOKUP(AM$10,'VK-Hooned-Soojus'!$C:$X,2+$C107,FALSE),0)+IF(AM$6="X",VLOOKUP(AM$10,'VK-Transport'!$C:$X,2+$B107,0))+IF(AM$8="X",VLOOKUP(AM$10,'VK-Elekter'!$C:$X,2+$D107,0))+IF(AM$9="X",VLOOKUP(AM$10,'VK-Biokütused'!$C:$U,2+$E107,0))+IF(AM$5="X",VLOOKUP(AM$10,'VK-Põlevkivi'!$C:$X,2+$G107,0))+IF(AM$4="X",VLOOKUP(AM$10,'VK-Võrgud'!$C:$X,2+$F107,0))</f>
        <v>12.9</v>
      </c>
      <c r="AN107" s="209">
        <f>IF(AN$7="X",VLOOKUP(AN$10,'VK-Hooned-Soojus'!$C:$X,2+$C107,FALSE),0)+IF(AN$6="X",VLOOKUP(AN$10,'VK-Transport'!$C:$X,2+$B107,0))+IF(AN$8="X",VLOOKUP(AN$10,'VK-Elekter'!$C:$X,2+$D107,0))+IF(AN$9="X",VLOOKUP(AN$10,'VK-Biokütused'!$C:$U,2+$E107,0))+IF(AN$5="X",VLOOKUP(AN$10,'VK-Põlevkivi'!$C:$X,2+$G107,0))+IF(AN$4="X",VLOOKUP(AN$10,'VK-Võrgud'!$C:$X,2+$F107,0))</f>
        <v>5.6999999999999993</v>
      </c>
      <c r="AO107" s="209">
        <f>IF(AO$7="X",VLOOKUP(AO$10,'VK-Hooned-Soojus'!$C:$X,2+$C107,FALSE),0)+IF(AO$6="X",VLOOKUP(AO$10,'VK-Transport'!$C:$X,2+$B107,0))+IF(AO$8="X",VLOOKUP(AO$10,'VK-Elekter'!$C:$X,2+$D107,0))+IF(AO$9="X",VLOOKUP(AO$10,'VK-Biokütused'!$C:$U,2+$E107,0))+IF(AO$5="X",VLOOKUP(AO$10,'VK-Põlevkivi'!$C:$X,2+$G107,0))+IF(AO$4="X",VLOOKUP(AO$10,'VK-Võrgud'!$C:$X,2+$F107,0))</f>
        <v>13.56</v>
      </c>
      <c r="AP107" s="209">
        <f>IF(AP$7="X",VLOOKUP(AP$10,'VK-Hooned-Soojus'!$C:$X,2+$C107,FALSE),0)+IF(AP$6="X",VLOOKUP(AP$10,'VK-Transport'!$C:$X,2+$B107,0))+IF(AP$8="X",VLOOKUP(AP$10,'VK-Elekter'!$C:$X,2+$D107,0))+IF(AP$9="X",VLOOKUP(AP$10,'VK-Biokütused'!$C:$U,2+$E107,0))+IF(AP$5="X",VLOOKUP(AP$10,'VK-Põlevkivi'!$C:$X,2+$G107,0))+IF(AP$4="X",VLOOKUP(AP$10,'VK-Võrgud'!$C:$X,2+$F107,0))</f>
        <v>6.78</v>
      </c>
      <c r="AQ107" s="320">
        <f t="shared" si="61"/>
        <v>1.2599999999999998</v>
      </c>
      <c r="AR107" s="209">
        <f>IF(AR$7="X",VLOOKUP(AR$10,'VK-Hooned-Soojus'!$C:$X,2+$C107,FALSE),0)+IF(AR$6="X",VLOOKUP(AR$10,'VK-Transport'!$C:$X,2+$B107,0))+IF(AR$8="X",VLOOKUP(AR$10,'VK-Elekter'!$C:$X,2+$D107,0))+IF(AR$9="X",VLOOKUP(AR$10,'VK-Biokütused'!$C:$U,2+$E107,0))+IF(AR$5="X",VLOOKUP(AR$10,'VK-Põlevkivi'!$C:$X,2+$G107,0))+IF(AR$4="X",VLOOKUP(AR$10,'VK-Võrgud'!$C:$X,2+$F107,0))</f>
        <v>3.4899999999999998</v>
      </c>
      <c r="AS107" s="320">
        <f>VLOOKUP("Kütuste tarbimine @ 2030 - UTTEGAAS",'VK-Hooned-Soojus'!$C:$X,2+$C107,FALSE)/0.172+VLOOKUP("Kütuste tarbimine @ 2030 - UTTEGAAS",'VK-Elekter'!$C:$X,2+$D107,FALSE)/0.172-AR107-AU107</f>
        <v>2.7565116279069759</v>
      </c>
      <c r="AT107" s="209">
        <f>IF(AT$7="X",VLOOKUP(AT$10,'VK-Hooned-Soojus'!$C:$X,2+$C107,FALSE),0)+IF(AT$6="X",VLOOKUP(AT$10,'VK-Transport'!$C:$X,2+$B107,0))+IF(AT$8="X",VLOOKUP(AT$10,'VK-Elekter'!$C:$X,2+$D107,0))+IF(AT$9="X",VLOOKUP(AT$10,'VK-Biokütused'!$C:$U,2+$E107,0))+IF(AT$5="X",VLOOKUP(AT$10,'VK-Põlevkivi'!$C:$X,2+$G107,0))+IF(AT$4="X",VLOOKUP(AT$10,'VK-Võrgud'!$C:$X,2+$F107,0))</f>
        <v>5.7045296564339489</v>
      </c>
      <c r="AU107" s="229">
        <f>MAX(0,(VLOOKUP("Kütuste tarbimine @ 2030 - UTTEGAAS",'VK-Hooned-Soojus'!$C:$X,2+$C107,FALSE)/0.172+VLOOKUP("Kütuste tarbimine @ 2030 - UTTEGAAS",'VK-Elekter'!$C:$X,2+$D107,FALSE)/0.172)*0.52-VLOOKUP("Kütuste tarbimine @ 2030 - PÕLEVKIVIÕLI",'VK-Hooned-Soojus'!$C:$X,2+$C107,FALSE))</f>
        <v>4.6837209302325586</v>
      </c>
      <c r="AV107" s="209">
        <f>IF(AV$7="X",VLOOKUP(AV$10,'VK-Hooned-Soojus'!$C:$X,2+$C107,FALSE),0)+IF(AV$6="X",VLOOKUP(AV$10,'VK-Transport'!$C:$X,2+$B107,0))+IF(AV$8="X",VLOOKUP(AV$10,'VK-Elekter'!$C:$X,2+$D107,0))+IF(AV$9="X",VLOOKUP(AV$10,'VK-Biokütused'!$C:$U,2+$E107,0))+IF(AV$5="X",VLOOKUP(AV$10,'VK-Põlevkivi'!$C:$X,2+$G107,0))+IF(AV$4="X",VLOOKUP(AV$10,'VK-Võrgud'!$C:$X,2+$F107,0))</f>
        <v>2.1219844082566364</v>
      </c>
      <c r="AW107" s="209">
        <f>IF(AW$7="X",VLOOKUP(AW$10,'VK-Hooned-Soojus'!$C:$X,2+$C107,FALSE),0)+IF(AW$6="X",VLOOKUP(AW$10,'VK-Transport'!$C:$X,2+$B107,0))+IF(AW$8="X",VLOOKUP(AW$10,'VK-Elekter'!$C:$X,2+$D107,0))+IF(AW$9="X",VLOOKUP(AW$10,'VK-Biokütused'!$C:$U,2+$E107,0))+IF(AW$5="X",VLOOKUP(AW$10,'VK-Põlevkivi'!$C:$X,2+$G107,0))+IF(AW$4="X",VLOOKUP(AW$10,'VK-Võrgud'!$C:$X,2+$F107,0))</f>
        <v>0</v>
      </c>
      <c r="AX107" s="229">
        <f t="shared" si="62"/>
        <v>0</v>
      </c>
      <c r="AY107" s="229">
        <f t="shared" si="63"/>
        <v>2.1219844082566364</v>
      </c>
      <c r="AZ107" s="230">
        <f t="shared" ref="AZ107:AZ138" si="83">(MAX(0,AK107)+AJ107+AN107+AQ107+AT107+AY107)/EI107</f>
        <v>0.52005500604624821</v>
      </c>
      <c r="BA107" s="209">
        <f>IF(BA$7="X",VLOOKUP(BA$10,'VK-Hooned-Soojus'!$C:$X,2+$C107,FALSE),0)+IF(BA$6="X",VLOOKUP(BA$10,'VK-Transport'!$C:$X,2+$B107,0))+IF(BA$8="X",VLOOKUP(BA$10,'VK-Elekter'!$C:$X,2+$D107,0))+IF(BA$9="X",VLOOKUP(BA$10,'VK-Biokütused'!$C:$U,2+$E107,0))+IF(BA$5="X",VLOOKUP(BA$10,'VK-Põlevkivi'!$C:$X,2+$G107,0))+IF(BA$4="X",VLOOKUP(BA$10,'VK-Võrgud'!$C:$X,2+$F107,0))</f>
        <v>4.2</v>
      </c>
      <c r="BB107" s="209">
        <f>IF(BB$7="X",VLOOKUP(BB$10,'VK-Hooned-Soojus'!$C:$X,2+$C107,FALSE),0)+IF(BB$6="X",VLOOKUP(BB$10,'VK-Transport'!$C:$X,2+$B107,0))+IF(BB$8="X",VLOOKUP(BB$10,'VK-Elekter'!$C:$X,2+$D107,0))+IF(BB$9="X",VLOOKUP(BB$10,'VK-Biokütused'!$C:$U,2+$E107,0))+IF(BB$5="X",VLOOKUP(BB$10,'VK-Põlevkivi'!$C:$X,2+$G107,0))+IF(BB$4="X",VLOOKUP(BB$10,'VK-Võrgud'!$C:$X,2+$F107,0))</f>
        <v>5.1000000000000005</v>
      </c>
      <c r="BC107" s="209">
        <f>IF(BC$7="X",VLOOKUP(BC$10,'VK-Hooned-Soojus'!$C:$X,2+$C107,FALSE),0)+IF(BC$6="X",VLOOKUP(BC$10,'VK-Transport'!$C:$X,2+$B107,0))+IF(BC$8="X",VLOOKUP(BC$10,'VK-Elekter'!$C:$X,2+$D107,0))+IF(BC$9="X",VLOOKUP(BC$10,'VK-Biokütused'!$C:$U,2+$E107,0))+IF(BC$5="X",VLOOKUP(BC$10,'VK-Põlevkivi'!$C:$X,2+$G107,0))+IF(BC$4="X",VLOOKUP(BC$10,'VK-Võrgud'!$C:$X,2+$F107,0))</f>
        <v>8.0523611111111126</v>
      </c>
      <c r="BD107" s="209">
        <f>IF(BD$7="X",VLOOKUP(BD$10,'VK-Hooned-Soojus'!$C:$X,2+$C107,FALSE),0)+IF(BD$6="X",VLOOKUP(BD$10,'VK-Transport'!$C:$X,2+$B107,0))+IF(BD$8="X",VLOOKUP(BD$10,'VK-Elekter'!$C:$X,2+$D107,0))+IF(BD$9="X",VLOOKUP(BD$10,'VK-Biokütused'!$C:$U,2+$E107,0))+IF(BD$5="X",VLOOKUP(BD$10,'VK-Põlevkivi'!$C:$X,2+$G107,0))+IF(BD$4="X",VLOOKUP(BD$10,'VK-Võrgud'!$C:$X,2+$F107,0))</f>
        <v>10.42138888888889</v>
      </c>
      <c r="BE107" s="230"/>
      <c r="BF107" s="229">
        <f t="shared" si="64"/>
        <v>0.41103635614105855</v>
      </c>
      <c r="BG107" s="209" t="e">
        <f>(IF(BG$7="X",VLOOKUP(BG$10,'VK-Hooned-Soojus'!$C:$X,2+$C107,FALSE),0)+IF(BG$6="X",VLOOKUP(BG$10,'VK-Transport'!$C:$X,2+$B107,0))+IF(BG$8="X",VLOOKUP(BG$10,'VK-Elekter'!$C:$X,2+$D107,0))+IF(BG$9="X",VLOOKUP(BG$10,'VK-Biokütused'!$C:$U,2+$E107,0))+IF(BG$5="X",VLOOKUP(BG$10,'VK-Põlevkivi'!$C:$X,2+$G107,0))+IF(BG$4="X",VLOOKUP(BG$10,'VK-Võrgud'!$C:$X,2+$F107,0)))/20</f>
        <v>#N/A</v>
      </c>
      <c r="BH107" s="209">
        <f>(IF(BH$7="X",VLOOKUP(BH$10,'VK-Hooned-Soojus'!$C:$X,2+$C107,FALSE),0)+IF(BH$6="X",VLOOKUP(BH$10,'VK-Transport'!$C:$X,2+$B107,0))+IF(BH$8="X",VLOOKUP(BH$10,'VK-Elekter'!$C:$X,2+$D107,0))+IF(BH$9="X",VLOOKUP(BH$10,'VK-Biokütused'!$C:$U,2+$E107,0))+IF(BH$5="X",VLOOKUP(BH$10,'VK-Põlevkivi'!$C:$X,2+$G107,0))+IF(BH$4="X",VLOOKUP(BH$10,'VK-Võrgud'!$C:$X,2+$F107,0)))/20</f>
        <v>13.99</v>
      </c>
      <c r="BI107" s="209">
        <f>(IF(BI$7="X",VLOOKUP(BI$10,'VK-Hooned-Soojus'!$C:$X,2+$C107,FALSE),0)+IF(BI$6="X",VLOOKUP(BI$10,'VK-Transport'!$C:$X,2+$B107,0))+IF(BI$8="X",VLOOKUP(BI$10,'VK-Elekter'!$C:$X,2+$D107,0))+IF(BI$9="X",VLOOKUP(BI$10,'VK-Biokütused'!$C:$U,2+$E107,0))+IF(BI$5="X",VLOOKUP(BI$10,'VK-Põlevkivi'!$C:$X,2+$G107,0))+IF(BI$4="X",VLOOKUP(BI$10,'VK-Võrgud'!$C:$X,2+$F107,0)))/16</f>
        <v>17.75</v>
      </c>
      <c r="BJ107" s="209">
        <f>(IF(BJ$7="X",VLOOKUP(BJ$10,'VK-Hooned-Soojus'!$C:$X,2+$C107,FALSE),0)+IF(BJ$6="X",VLOOKUP(BJ$10,'VK-Transport'!$C:$X,2+$B107,0))+IF(BJ$8="X",VLOOKUP(BJ$10,'VK-Elekter'!$C:$X,2+$D107,0))+IF(BJ$9="X",VLOOKUP(BJ$10,'VK-Biokütused'!$C:$U,2+$E107,0))+IF(BJ$5="X",VLOOKUP(BJ$10,'VK-Põlevkivi'!$C:$X,2+$G107,0))+IF(BJ$4="X",VLOOKUP(BJ$10,'VK-Võrgud'!$C:$X,2+$F107,0)))/20</f>
        <v>1.85</v>
      </c>
      <c r="BK107" s="209"/>
      <c r="BL107" s="209"/>
      <c r="BM107" s="209"/>
      <c r="BN107" s="209" t="e">
        <f>(IF(BN$7="X",VLOOKUP(BN$10,'VK-Hooned-Soojus'!$C:$X,2+$C107,FALSE),0)+IF(BN$6="X",VLOOKUP(BN$10,'VK-Transport'!$C:$X,2+$B107,0))+IF(BN$8="X",VLOOKUP(BN$10,'VK-Elekter'!$C:$X,2+$D107,0))+IF(BN$9="X",VLOOKUP(BN$10,'VK-Biokütused'!$C:$U,2+$E107,0))+IF(BN$5="X",VLOOKUP(BN$10,'VK-Põlevkivi'!$C:$X,2+$G107,0))+IF(BN$4="X",VLOOKUP(BN$10,'VK-Võrgud'!$C:$X,2+$F107,0)))/16</f>
        <v>#N/A</v>
      </c>
      <c r="BO107" s="209">
        <f>(IF(BO$7="X",VLOOKUP(BO$10,'VK-Hooned-Soojus'!$C:$X,2+$C107,FALSE),0)+IF(BO$6="X",VLOOKUP(BO$10,'VK-Transport'!$C:$X,2+$B107,0))+IF(BO$8="X",VLOOKUP(BO$10,'VK-Elekter'!$C:$X,2+$D107,0))+IF(BO$9="X",VLOOKUP(BO$10,'VK-Biokütused'!$C:$U,2+$E107,0))+IF(BO$5="X",VLOOKUP(BO$10,'VK-Põlevkivi'!$C:$X,2+$G107,0))+IF(BO$4="X",VLOOKUP(BO$10,'VK-Võrgud'!$C:$X,2+$F107,0)))/16</f>
        <v>322.79374999999999</v>
      </c>
      <c r="BP107" s="209"/>
      <c r="BQ107" s="209">
        <f>(IF(BQ$7="X",VLOOKUP(BQ$10,'VK-Hooned-Soojus'!$C:$X,2+$C107,FALSE),0)+IF(BQ$6="X",VLOOKUP(BQ$10,'VK-Transport'!$C:$X,2+$B107,0))+IF(BQ$8="X",VLOOKUP(BQ$10,'VK-Elekter'!$C:$X,2+$D107,0))+IF(BQ$9="X",VLOOKUP(BQ$10,'VK-Biokütused'!$C:$U,2+$E107,0))+IF(BQ$5="X",VLOOKUP(BQ$10,'VK-Põlevkivi'!$C:$X,2+$G107,0))+IF(BQ$4="X",VLOOKUP(BQ$10,'VK-Võrgud'!$C:$X,2+$F107,0)))/16</f>
        <v>233.20625000000001</v>
      </c>
      <c r="BR107" s="209">
        <f>(IF(BR$7="X",VLOOKUP(BR$10,'VK-Hooned-Soojus'!$C:$X,2+$C107,FALSE),0)+IF(BR$6="X",VLOOKUP(BR$10,'VK-Transport'!$C:$X,2+$B107,0))+IF(BR$8="X",VLOOKUP(BR$10,'VK-Elekter'!$C:$X,2+$D107,0))+IF(BR$9="X",VLOOKUP(BR$10,'VK-Biokütused'!$C:$U,2+$E107,0))+IF(BR$5="X",VLOOKUP(BR$10,'VK-Põlevkivi'!$C:$X,2+$G107,0))+IF(BR$4="X",VLOOKUP(BR$10,'VK-Võrgud'!$C:$X,2+$F107,0)))/16</f>
        <v>74.512500000000003</v>
      </c>
      <c r="BS107" s="209">
        <f>(IF(BS$7="X",VLOOKUP(BS$10,'VK-Hooned-Soojus'!$C:$X,2+$C107,FALSE),0)+IF(BS$6="X",VLOOKUP(BS$10,'VK-Transport'!$C:$X,2+$B107,0))+IF(BS$8="X",VLOOKUP(BS$10,'VK-Elekter'!$C:$X,2+$D107,0))+IF(BS$9="X",VLOOKUP(BS$10,'VK-Biokütused'!$C:$U,2+$E107,0))+IF(BS$5="X",VLOOKUP(BS$10,'VK-Põlevkivi'!$C:$X,2+$G107,0))+IF(BS$4="X",VLOOKUP(BS$10,'VK-Võrgud'!$C:$X,2+$F107,0)))/16</f>
        <v>-21.475000000000001</v>
      </c>
      <c r="BT107" s="209"/>
      <c r="BU107" s="209"/>
      <c r="BV107" s="209">
        <f>(IF(BV$7="X",VLOOKUP(BV$10,'VK-Hooned-Soojus'!$C:$X,2+$C107,FALSE),0)+IF(BV$6="X",VLOOKUP(BV$10,'VK-Transport'!$C:$X,2+$B107,0))+IF(BV$8="X",VLOOKUP(BV$10,'VK-Elekter'!$C:$X,2+$D107,0))+IF(BV$9="X",VLOOKUP(BV$10,'VK-Biokütused'!$C:$U,2+$E107,0))+IF(BV$5="X",VLOOKUP(BV$10,'VK-Põlevkivi'!$C:$X,2+$G107,0))+IF(BV$4="X",VLOOKUP(BV$10,'VK-Võrgud'!$C:$X,2+$F107,0)))/16</f>
        <v>0</v>
      </c>
      <c r="BW107" s="209"/>
      <c r="BX107" s="209">
        <f>(IF(BX$7="X",VLOOKUP(BX$10,'VK-Hooned-Soojus'!$C:$X,2+$C107,FALSE),0)+IF(BX$6="X",VLOOKUP(BX$10,'VK-Transport'!$C:$X,2+$B107,0))+IF(BX$8="X",VLOOKUP(BX$10,'VK-Elekter'!$C:$X,2+$D107,0))+IF(BX$9="X",VLOOKUP(BX$10,'VK-Biokütused'!$C:$U,2+$E107,0))+IF(BX$5="X",VLOOKUP(BX$10,'VK-Põlevkivi'!$C:$X,2+$G107,0))+IF(BX$4="X",VLOOKUP(BX$10,'VK-Võrgud'!$C:$X,2+$F107,0)))/16</f>
        <v>-99.4375</v>
      </c>
      <c r="BY107" s="209"/>
      <c r="BZ107" s="209"/>
      <c r="CA107" s="209" t="e">
        <f>(IF(CA$7="X",VLOOKUP(CA$10,'VK-Hooned-Soojus'!$C:$X,2+$C107,FALSE),0)+IF(CA$6="X",VLOOKUP(CA$10,'VK-Transport'!$C:$X,2+$B107,0))+IF(CA$8="X",VLOOKUP(CA$10,'VK-Elekter'!$C:$X,2+$D107,0))+IF(CA$9="X",VLOOKUP(CA$10,'VK-Biokütused'!$C:$U,2+$E107,0))+IF(CA$5="X",VLOOKUP(CA$10,'VK-Põlevkivi'!$C:$X,2+$G107,0))+IF(CA$4="X",VLOOKUP(CA$10,'VK-Võrgud'!$C:$X,2+$F107,0)))/16</f>
        <v>#N/A</v>
      </c>
      <c r="CB107" s="209">
        <f>(IF(CB$7="X",VLOOKUP(CB$10,'VK-Hooned-Soojus'!$C:$X,2+$C107,FALSE),0)+IF(CB$6="X",VLOOKUP(CB$10,'VK-Transport'!$C:$X,2+$B107,0))+IF(CB$8="X",VLOOKUP(CB$10,'VK-Elekter'!$C:$X,2+$D107,0))+IF(CB$9="X",VLOOKUP(CB$10,'VK-Biokütused'!$C:$U,2+$E107,0))+IF(CB$5="X",VLOOKUP(CB$10,'VK-Põlevkivi'!$C:$X,2+$G107,0))+IF(CB$4="X",VLOOKUP(CB$10,'VK-Võrgud'!$C:$X,2+$F107,0)))/16</f>
        <v>0</v>
      </c>
      <c r="CC107" s="209">
        <f>(IF(CC$7="X",VLOOKUP(CC$10,'VK-Hooned-Soojus'!$C:$X,2+$C107,FALSE),0)+IF(CC$6="X",VLOOKUP(CC$10,'VK-Transport'!$C:$X,2+$B107,0))+IF(CC$8="X",VLOOKUP(CC$10,'VK-Elekter'!$C:$X,2+$D107,0))+IF(CC$9="X",VLOOKUP(CC$10,'VK-Biokütused'!$C:$U,2+$E107,0))+IF(CC$5="X",VLOOKUP(CC$10,'VK-Põlevkivi'!$C:$X,2+$G107,0))+IF(CC$4="X",VLOOKUP(CC$10,'VK-Võrgud'!$C:$X,2+$F107,0)))/16</f>
        <v>0</v>
      </c>
      <c r="CD107" s="209"/>
      <c r="CE107" s="209">
        <f>(IF(CE$7="X",VLOOKUP(CE$10,'VK-Hooned-Soojus'!$C:$X,2+$C107,FALSE),0)+IF(CE$6="X",VLOOKUP(CE$10,'VK-Transport'!$C:$X,2+$B107,0))+IF(CE$8="X",VLOOKUP(CE$10,'VK-Elekter'!$C:$X,2+$D107,0))+IF(CE$9="X",VLOOKUP(CE$10,'VK-Biokütused'!$C:$U,2+$E107,0))+IF(CE$5="X",VLOOKUP(CE$10,'VK-Põlevkivi'!$C:$X,2+$G107,0))+IF(CE$4="X",VLOOKUP(CE$10,'VK-Võrgud'!$C:$X,2+$F107,0)))/16</f>
        <v>24.15625</v>
      </c>
      <c r="CF107" s="209"/>
      <c r="CG107" s="209">
        <f>(IF(CG$7="X",VLOOKUP(CG$10,'VK-Hooned-Soojus'!$C:$X,2+$C107,FALSE),0)+IF(CG$6="X",VLOOKUP(CG$10,'VK-Transport'!$C:$X,2+$B107,0))+IF(CG$8="X",VLOOKUP(CG$10,'VK-Elekter'!$C:$X,2+$D107,0))+IF(CG$9="X",VLOOKUP(CG$10,'VK-Biokütused'!$C:$U,2+$E107,0))+IF(CG$5="X",VLOOKUP(CG$10,'VK-Põlevkivi'!$C:$X,2+$G107,0))+IF(CG$4="X",VLOOKUP(CG$10,'VK-Võrgud'!$C:$X,2+$F107,0)))/16</f>
        <v>0</v>
      </c>
      <c r="CH107" s="209">
        <f>(IF(CH$7="X",VLOOKUP(CH$10,'VK-Hooned-Soojus'!$C:$X,2+$C107,FALSE),0)+IF(CH$6="X",VLOOKUP(CH$10,'VK-Transport'!$C:$X,2+$B107,0))+IF(CH$8="X",VLOOKUP(CH$10,'VK-Elekter'!$C:$X,2+$D107,0))+IF(CH$9="X",VLOOKUP(CH$10,'VK-Biokütused'!$C:$U,2+$E107,0))+IF(CH$5="X",VLOOKUP(CH$10,'VK-Põlevkivi'!$C:$X,2+$G107,0))+IF(CH$4="X",VLOOKUP(CH$10,'VK-Võrgud'!$C:$X,2+$F107,0)))/20*0.21</f>
        <v>5.6122500000000004</v>
      </c>
      <c r="CI107" s="209"/>
      <c r="CJ107" s="209">
        <f>(IF(CJ$7="X",VLOOKUP(CJ$10,'VK-Hooned-Soojus'!$C:$X,2+$C107,FALSE),0)+IF(CJ$6="X",VLOOKUP(CJ$10,'VK-Transport'!$C:$X,2+$B107,0))+IF(CJ$8="X",VLOOKUP(CJ$10,'VK-Elekter'!$C:$X,2+$D107,0))+IF(CJ$9="X",VLOOKUP(CJ$10,'VK-Biokütused'!$C:$U,2+$E107,0))+IF(CJ$5="X",VLOOKUP(CJ$10,'VK-Põlevkivi'!$C:$X,2+$G107,0))+IF(CJ$4="X",VLOOKUP(CJ$10,'VK-Võrgud'!$C:$X,2+$F107,0)))/1000</f>
        <v>18.086861099430585</v>
      </c>
      <c r="CK107" s="209">
        <f>(IF(CK$7="X",VLOOKUP(CK$10,'VK-Hooned-Soojus'!$C:$X,2+$C107,FALSE),0)+IF(CK$6="X",VLOOKUP(CK$10,'VK-Transport'!$C:$X,2+$B107,0))+IF(CK$8="X",VLOOKUP(CK$10,'VK-Elekter'!$C:$X,2+$D107,0))+IF(CK$9="X",VLOOKUP(CK$10,'VK-Biokütused'!$C:$U,2+$E107,0))+IF(CK$5="X",VLOOKUP(CK$10,'VK-Põlevkivi'!$C:$X,2+$G107,0))+IF(CK$4="X",VLOOKUP(CK$10,'VK-Võrgud'!$C:$X,2+$F107,0)))/1000</f>
        <v>12.801077976340796</v>
      </c>
      <c r="CL107" s="235">
        <f>(IF(CL$7="X",VLOOKUP(CL$10,'VK-Hooned-Soojus'!$C:$X,2+$C107,FALSE),0)+IF(CL$6="X",VLOOKUP(CL$10,'VK-Transport'!$C:$X,2+$B107,0))+IF(CL$8="X",VLOOKUP(CL$10,'VK-Elekter'!$C:$X,2+$D107,0))+IF(CL$9="X",VLOOKUP(CL$10,'VK-Biokütused'!$C:$U,2+$E107,0)))/1000</f>
        <v>7.9062826922990279</v>
      </c>
      <c r="CM107" s="209">
        <f>(IF(CM$7="X",VLOOKUP(CM$10,'VK-Hooned-Soojus'!$C:$X,2+$C107,FALSE),0)+IF(CM$6="X",VLOOKUP(CM$10,'VK-Transport'!$C:$X,2+$B107,0))+IF(CM$8="X",VLOOKUP(CM$10,'VK-Elekter'!$C:$X,2+$D107,0))+IF(CM$9="X",VLOOKUP(CM$10,'VK-Biokütused'!$C:$U,2+$E107,0))+IF(CM$5="X",VLOOKUP(CM$10,'VK-Põlevkivi'!$C:$X,2+$G107,0))+IF(CM$4="X",VLOOKUP(CM$10,'VK-Võrgud'!$C:$X,2+$F107,0)))/1000</f>
        <v>8.5193156794471037</v>
      </c>
      <c r="CN107" s="209">
        <f>(IF(CN$7="X",VLOOKUP(CN$10,'VK-Hooned-Soojus'!$C:$X,2+$C107,FALSE),0)+IF(CN$6="X",VLOOKUP(CN$10,'VK-Transport'!$C:$X,2+$B107,0))+IF(CN$8="X",VLOOKUP(CN$10,'VK-Elekter'!$C:$X,2+$D107,0))+IF(CN$9="X",VLOOKUP(CN$10,'VK-Biokütused'!$C:$U,2+$E107,0))+IF(CN$5="X",VLOOKUP(CN$10,'VK-Põlevkivi'!$C:$X,2+$G107,0))+IF(CN$4="X",VLOOKUP(CN$10,'VK-Võrgud'!$C:$X,2+$F107,0)))/1000</f>
        <v>3.0510000000000002</v>
      </c>
      <c r="CO107" s="209">
        <f>(IF(CO$7="X",VLOOKUP(CO$10,'VK-Hooned-Soojus'!$C:$X,2+$C107,FALSE),0)+IF(CO$6="X",VLOOKUP(CO$10,'VK-Transport'!$C:$X,2+$B107,0))+IF(CO$8="X",VLOOKUP(CO$10,'VK-Elekter'!$C:$X,2+$D107,0))+IF(CO$9="X",VLOOKUP(CO$10,'VK-Biokütused'!$C:$U,2+$E107,0))+IF(CO$5="X",VLOOKUP(CO$10,'VK-Põlevkivi'!$C:$X,2+$G107,0))+IF(CO$4="X",VLOOKUP(CO$10,'VK-Võrgud'!$C:$X,2+$F107,0)))/1000</f>
        <v>24.117362337356994</v>
      </c>
      <c r="CP107" s="209">
        <f>(IF(CP$7="X",VLOOKUP(CP$10,'VK-Hooned-Soojus'!$C:$X,2+$C107,FALSE),0)+IF(CP$6="X",VLOOKUP(CP$10,'VK-Transport'!$C:$X,2+$B107,0))+IF(CP$8="X",VLOOKUP(CP$10,'VK-Elekter'!$C:$X,2+$D107,0))+IF(CP$9="X",VLOOKUP(CP$10,'VK-Biokütused'!$C:$U,2+$E107,0))+IF(CP$5="X",VLOOKUP(CP$10,'VK-Põlevkivi'!$C:$X,2+$G107,0))+IF(CP$4="X",VLOOKUP(CP$10,'VK-Võrgud'!$C:$X,2+$F107,0)))/1000</f>
        <v>13.823392120693661</v>
      </c>
      <c r="CQ107" s="235">
        <f>(IF(CQ$7="X",VLOOKUP(CQ$10,'VK-Hooned-Soojus'!$C:$X,2+$C107,FALSE),0)+IF(CQ$6="X",VLOOKUP(CQ$10,'VK-Transport'!$C:$X,2+$B107,0))+IF(CQ$8="X",VLOOKUP(CQ$10,'VK-Elekter'!$C:$X,2+$D107,0))+IF(CQ$9="X",VLOOKUP(CQ$10,'VK-Biokütused'!$C:$U,2+$E107,0)))/1000</f>
        <v>10.548919</v>
      </c>
      <c r="CR107" s="209">
        <f>(IF(CR$7="X",VLOOKUP(CR$10,'VK-Hooned-Soojus'!$C:$X,2+$C107,FALSE),0)+IF(CR$6="X",VLOOKUP(CR$10,'VK-Transport'!$C:$X,2+$B107,0))+IF(CR$8="X",VLOOKUP(CR$10,'VK-Elekter'!$C:$X,2+$D107,0))+IF(CR$9="X",VLOOKUP(CR$10,'VK-Biokütused'!$C:$U,2+$E107,0))+IF(CR$5="X",VLOOKUP(CR$10,'VK-Põlevkivi'!$C:$X,2+$G107,0))+IF(CR$4="X",VLOOKUP(CR$10,'VK-Võrgud'!$C:$X,2+$F107,0)))/1000</f>
        <v>8.0837518373996886</v>
      </c>
      <c r="CS107" s="209">
        <f>(IF(CS$7="X",VLOOKUP(CS$10,'VK-Hooned-Soojus'!$C:$X,2+$C107,FALSE),0)+IF(CS$6="X",VLOOKUP(CS$10,'VK-Transport'!$C:$X,2+$B107,0))+IF(CS$8="X",VLOOKUP(CS$10,'VK-Elekter'!$C:$X,2+$D107,0))+IF(CS$9="X",VLOOKUP(CS$10,'VK-Biokütused'!$C:$U,2+$E107,0))+IF(CS$5="X",VLOOKUP(CS$10,'VK-Põlevkivi'!$C:$X,2+$G107,0))+IF(CS$4="X",VLOOKUP(CS$10,'VK-Võrgud'!$C:$X,2+$F107,0)))/1000</f>
        <v>3.838649509862238</v>
      </c>
      <c r="CT107" s="209">
        <f>IF(CT$7="X",VLOOKUP(CT$10,'VK-Hooned-Soojus'!$C:$X,2+$C107,FALSE),0)+IF(CT$6="X",VLOOKUP(CT$10,'VK-Transport'!$C:$X,2+$B107,0))+IF(CT$8="X",VLOOKUP(CT$10,'VK-Elekter'!$C:$X,2+$D107,0))+IF(CT$9="X",VLOOKUP(CT$10,'VK-Biokütused'!$C:$U,2+$E107,0))+IF(CT$5="X",VLOOKUP(CT$10,'VK-Põlevkivi'!$C:$X,2+$G107,0))+IF(CT$4="X",VLOOKUP(CT$10,'VK-Võrgud'!$C:$X,2+$F107,0))</f>
        <v>90</v>
      </c>
      <c r="CU107" s="209">
        <f>IF(CU$7="X",VLOOKUP(CU$10,'VK-Hooned-Soojus'!$C:$X,2+$C107,FALSE),0)+IF(CU$6="X",VLOOKUP(CU$10,'VK-Transport'!$C:$X,2+$B107,0))+IF(CU$8="X",VLOOKUP(CU$10,'VK-Elekter'!$C:$X,2+$D107,0))+IF(CU$9="X",VLOOKUP(CU$10,'VK-Biokütused'!$C:$U,2+$E107,0))+IF(CU$5="X",VLOOKUP(CU$10,'VK-Põlevkivi'!$C:$X,2+$G107,0))+IF(CU$4="X",VLOOKUP(CU$10,'VK-Võrgud'!$C:$X,2+$F107,0))</f>
        <v>0.9337349397590361</v>
      </c>
      <c r="CV107" s="209">
        <f t="shared" ref="CV107:CV139" si="84">(AY107+AT107)/(AT107+AY107+AW107-AX107)</f>
        <v>1</v>
      </c>
      <c r="CW107" s="209">
        <f>(IF(CW$7="X",VLOOKUP(CW$10,'VK-Hooned-Soojus'!$C:$X,2+$C107,FALSE),0)+IF(CW$6="X",VLOOKUP(CW$10,'VK-Transport'!$C:$X,2+$B107,0))+IF(CW$8="X",VLOOKUP(CW$10,'VK-Elekter'!$C:$X,2+$D107,0))+IF(CW$9="X",VLOOKUP(CW$10,'VK-Biokütused'!$C:$U,2+$E107,0))+IF(CW$5="X",VLOOKUP(CW$10,'VK-Põlevkivi'!$C:$X,2+$G107,0))+IF(CW$4="X",VLOOKUP(CW$10,'VK-Võrgud'!$C:$X,2+$F107,0)))/16</f>
        <v>0</v>
      </c>
      <c r="CY107" s="209">
        <f>(IF(CY$7="X",VLOOKUP(CY$10,'VK-Hooned-Soojus'!$C:$X,2+$C107,FALSE),0)+IF(CY$6="X",VLOOKUP(CY$10,'VK-Transport'!$C:$X,2+$B107,0))+IF(CY$8="X",VLOOKUP(CY$10,'VK-Elekter'!$C:$X,2+$D107,0))+IF(CY$9="X",VLOOKUP(CY$10,'VK-Biokütused'!$C:$U,2+$E107,0))+IF(CY$5="X",VLOOKUP(CY$10,'VK-Põlevkivi'!$C:$X,2+$G107,0))+IF(CY$4="X",VLOOKUP(CY$10,'VK-Võrgud'!$C:$X,2+$F107,0)))/1000</f>
        <v>10.452</v>
      </c>
      <c r="CZ107" s="209">
        <f>(IF(CZ$7="X",VLOOKUP(CZ$10,'VK-Hooned-Soojus'!$C:$X,2+$C107,FALSE),0)+IF(CZ$6="X",VLOOKUP(CZ$10,'VK-Transport'!$C:$X,2+$B107,0))+IF(CZ$8="X",VLOOKUP(CZ$10,'VK-Elekter'!$C:$X,2+$D107,0))+IF(CZ$9="X",VLOOKUP(CZ$10,'VK-Biokütused'!$C:$U,2+$E107,0))+IF(CZ$5="X",VLOOKUP(CZ$10,'VK-Põlevkivi'!$C:$X,2+$G107,0))+IF(CZ$4="X",VLOOKUP(CZ$10,'VK-Võrgud'!$C:$X,2+$F107,0)))</f>
        <v>72</v>
      </c>
      <c r="DA107" s="209">
        <f>(IF(DA$7="X",VLOOKUP(DA$10,'VK-Hooned-Soojus'!$C:$X,2+$C107,FALSE),0)+IF(DA$6="X",VLOOKUP(DA$10,'VK-Transport'!$C:$X,2+$B107,0))+IF(DA$8="X",VLOOKUP(DA$10,'VK-Elekter'!$C:$X,2+$D107,0))+IF(DA$9="X",VLOOKUP(DA$10,'VK-Biokütused'!$C:$U,2+$E107,0))+IF(DA$5="X",VLOOKUP(DA$10,'VK-Põlevkivi'!$C:$X,2+$G107,0))+IF(DA$4="X",VLOOKUP(DA$10,'VK-Võrgud'!$C:$X,2+$F107,0)))/1000</f>
        <v>13.741</v>
      </c>
      <c r="DB107" s="209">
        <f>(IF(DB$7="X",VLOOKUP(DB$10,'VK-Hooned-Soojus'!$C:$X,2+$C107,FALSE),0)+IF(DB$6="X",VLOOKUP(DB$10,'VK-Transport'!$C:$X,2+$B107,0))+IF(DB$8="X",VLOOKUP(DB$10,'VK-Elekter'!$C:$X,2+$D107,0))+IF(DB$9="X",VLOOKUP(DB$10,'VK-Biokütused'!$C:$U,2+$E107,0))+IF(DB$5="X",VLOOKUP(DB$10,'VK-Põlevkivi'!$C:$X,2+$G107,0))+IF(DB$4="X",VLOOKUP(DB$10,'VK-Võrgud'!$C:$X,2+$F107,0)))/1000/3.6</f>
        <v>61.869722222222222</v>
      </c>
      <c r="DC107" s="209">
        <f>(IF(DC$7="X",VLOOKUP(DC$10,'VK-Hooned-Soojus'!$C:$X,2+$C107,FALSE),0)+IF(DC$6="X",VLOOKUP(DC$10,'VK-Transport'!$C:$X,2+$B107,0))+IF(DC$8="X",VLOOKUP(DC$10,'VK-Elekter'!$C:$X,2+$D107,0))+IF(DC$9="X",VLOOKUP(DC$10,'VK-Biokütused'!$C:$U,2+$E107,0))+IF(DC$5="X",VLOOKUP(DC$10,'VK-Põlevkivi'!$C:$X,2+$G107,0))+IF(DC$4="X",VLOOKUP(DC$10,'VK-Võrgud'!$C:$X,2+$F107,0)))/1000000</f>
        <v>4.969354</v>
      </c>
      <c r="DD107" s="209"/>
      <c r="DE107" s="88">
        <f>VLOOKUP(Tulemused!$BN$12,data!M$7:N$12,2,FALSE)-SUM(L107,M107)</f>
        <v>-0.80250937302436398</v>
      </c>
      <c r="DF107" s="209" t="str">
        <f>IF(AZ107&lt;=VLOOKUP(Tulemused!$BN$15,data!$E$36:$F$39,2,FALSE),"JAH","EI")</f>
        <v>JAH</v>
      </c>
      <c r="DG107" s="209"/>
      <c r="DH107" s="209">
        <f t="shared" ref="DH107:DH139" si="85">ES107</f>
        <v>6.78</v>
      </c>
      <c r="DI107" s="231" t="str">
        <f t="shared" si="65"/>
        <v>EI</v>
      </c>
      <c r="DK107" s="232">
        <f t="shared" ref="DK107:DK138" si="86">$Z107+IF($DI107="EI",-1000,0)</f>
        <v>-994.87863510516922</v>
      </c>
      <c r="DM107" s="233">
        <f t="shared" ref="DM107:DM138" si="87">LARGE($DK$11:$DK$145,ROW(97:97))</f>
        <v>-996.53826126161266</v>
      </c>
      <c r="DN107" s="87">
        <f t="array" ref="DN107">INDEX($A$11:$A$145, SMALL(IF(DM107=$DK$11:$DK$145, MATCH(ROW($DK$11:$DK$145), ROW($DK$11:$DK$145))), SUM(--(DM107=$DM$11:DM107))))</f>
        <v>15</v>
      </c>
      <c r="DP107" s="87" t="e">
        <f t="shared" ca="1" si="66"/>
        <v>#N/A</v>
      </c>
      <c r="DQ107" s="87" t="e">
        <f t="shared" ca="1" si="67"/>
        <v>#N/A</v>
      </c>
      <c r="DR107" s="87">
        <f t="shared" ca="1" si="68"/>
        <v>0</v>
      </c>
      <c r="DS107" s="87" t="e">
        <f t="shared" ca="1" si="69"/>
        <v>#N/A</v>
      </c>
      <c r="DT107" s="87">
        <f t="shared" ca="1" si="70"/>
        <v>0</v>
      </c>
      <c r="DU107" s="87" t="e">
        <f t="shared" ca="1" si="71"/>
        <v>#N/A</v>
      </c>
      <c r="DV107" s="87" t="e">
        <f t="shared" ca="1" si="72"/>
        <v>#N/A</v>
      </c>
      <c r="DW107" s="87">
        <f t="shared" ca="1" si="73"/>
        <v>0</v>
      </c>
      <c r="DX107" s="87">
        <f t="shared" ca="1" si="74"/>
        <v>0</v>
      </c>
      <c r="DZ107" s="87">
        <f t="shared" ca="1" si="82"/>
        <v>0</v>
      </c>
      <c r="EB107" s="87">
        <f t="shared" ca="1" si="75"/>
        <v>0</v>
      </c>
      <c r="EC107" s="87" t="e">
        <f t="shared" ca="1" si="76"/>
        <v>#N/A</v>
      </c>
      <c r="EE107" s="228">
        <f>(IF(EE$7="X",VLOOKUP(EE$10,'VK-Hooned-Soojus'!$C:$X,2+$C107,FALSE),0)+IF(EE$6="X",VLOOKUP(EE$10,'VK-Transport'!$C:$X,2+$B107,0))+IF(EE$8="X",VLOOKUP(EE$10,'VK-Elekter'!$C:$X,2+$D107,0))+IF(EE$9="X",VLOOKUP(EE$10,'VK-Biokütused'!$C:$U,2+$E107,0))+IF(EE$5="X",VLOOKUP(EE$10,'VK-Põlevkivi'!$C:$X,2+$G107,0))+IF(EE$4="X",VLOOKUP(EE$10,'VK-Võrgud'!$C:$X,2+$F107,0)))</f>
        <v>7505.9245319617348</v>
      </c>
      <c r="EF107" s="235">
        <f>(IF(EF$7="X",VLOOKUP(EF$10,'VK-Hooned-Soojus'!$C:$X,2+$C107,FALSE),0)+IF(EF$6="X",VLOOKUP(EF$10,'VK-Transport'!$C:$X,2+$B107,0))+IF(EF$8="X",VLOOKUP(EF$10,'VK-Elekter'!$C:$X,2+$D107,0))+IF(EF$9="X",VLOOKUP(EF$10,'VK-Biokütused'!$C:$U,2+$E107,0)))/1000</f>
        <v>4.0208849906373194</v>
      </c>
      <c r="EG107" s="209">
        <f>(IF(EG$7="X",VLOOKUP(EG$10,'VK-Hooned-Soojus'!$C:$X,2+$C107,FALSE),0)+IF(EG$6="X",VLOOKUP(EG$10,'VK-Transport'!$C:$X,2+$B107,0))+IF(EG$8="X",VLOOKUP(EG$10,'VK-Elekter'!$C:$X,2+$D107,0))+IF(EG$9="X",VLOOKUP(EG$10,'VK-Biokütused'!$C:$U,2+$E107,0))+IF(EG$5="X",VLOOKUP(EG$10,'VK-Põlevkivi'!$C:$X,2+$G107,0))+IF(EG$4="X",VLOOKUP(EG$10,'VK-Võrgud'!$C:$X,2+$F107,0)))</f>
        <v>2.95</v>
      </c>
      <c r="EH107" s="209">
        <f>(IF(EH$7="X",VLOOKUP(EH$10,'VK-Hooned-Soojus'!$C:$X,2+$C107,FALSE),0)+IF(EH$6="X",VLOOKUP(EH$10,'VK-Transport'!$C:$X,2+$B107,0))+IF(EH$8="X",VLOOKUP(EH$10,'VK-Elekter'!$C:$X,2+$D107,0))+IF(EH$9="X",VLOOKUP(EH$10,'VK-Biokütused'!$C:$U,2+$E107,0)))+AR107+AS107+AU107+AX107</f>
        <v>52.056621447028419</v>
      </c>
      <c r="EI107" s="320">
        <f t="shared" ref="EI107:EI138" si="88">EH107-AU107-AX107</f>
        <v>47.372900516795859</v>
      </c>
      <c r="EJ107" s="322">
        <f t="shared" ref="EJ107:EJ139" si="89">EG107/O107</f>
        <v>8.4247602275161246E-2</v>
      </c>
      <c r="EK107" s="323">
        <f t="shared" si="77"/>
        <v>0.50386843943393778</v>
      </c>
      <c r="EM107" s="209"/>
      <c r="EN107" s="209">
        <f t="shared" ref="EN107:EN139" ca="1" si="90">SUM(DT107,DX107,DZ107,EB107,DY107)</f>
        <v>0</v>
      </c>
      <c r="EO107" s="209"/>
      <c r="EP107" s="234"/>
      <c r="EQ107" s="209">
        <f>(IF(EQ$7="X",VLOOKUP(EQ$10,'VK-Hooned-Soojus'!$C:$X,2+$C107,FALSE),0)+IF(EQ$6="X",VLOOKUP(EQ$10,'VK-Transport'!$C:$X,2+$B107,0))+IF(EQ$8="X",VLOOKUP(EQ$10,'VK-Elekter'!$C:$X,2+$D107,0))+IF(EQ$9="X",VLOOKUP(EQ$10,'VK-Biokütused'!$C:$U,2+$E107,0))+IF(EQ$5="X",VLOOKUP(EQ$10,'VK-Põlevkivi'!$C:$X,2+$G107,0))+IF(EQ$4="X",VLOOKUP(EQ$10,'VK-Võrgud'!$C:$X,2+$F107,0)))/1000</f>
        <v>0.22900000000000001</v>
      </c>
      <c r="ER107" s="209">
        <f>(IF(ER$7="X",VLOOKUP(ER$10,'VK-Hooned-Soojus'!$C:$X,2+$C107,FALSE),0)+IF(ER$6="X",VLOOKUP(ER$10,'VK-Transport'!$C:$X,2+$B107,0))+IF(ER$8="X",VLOOKUP(ER$10,'VK-Elekter'!$C:$X,2+$D107,0))+IF(ER$9="X",VLOOKUP(ER$10,'VK-Biokütused'!$C:$U,2+$E107,0))+IF(ER$5="X",VLOOKUP(ER$10,'VK-Põlevkivi'!$C:$X,2+$G107,0))+IF(ER$4="X",VLOOKUP(ER$10,'VK-Võrgud'!$C:$X,2+$F107,0)))</f>
        <v>0.82899999999999996</v>
      </c>
      <c r="ES107" s="209">
        <f>(IF(ES$7="X",VLOOKUP(ES$10,'VK-Hooned-Soojus'!$C:$X,2+$C107,FALSE),0)+IF(ES$6="X",VLOOKUP(ES$10,'VK-Transport'!$C:$X,2+$B107,0))+IF(ES$8="X",VLOOKUP(ES$10,'VK-Elekter'!$C:$X,2+$D107,0))+IF(ES$9="X",VLOOKUP(ES$10,'VK-Biokütused'!$C:$U,2+$E107,0))+IF(ES$5="X",VLOOKUP(ES$10,'VK-Põlevkivi'!$C:$X,2+$G107,0))+IF(ES$4="X",VLOOKUP(ES$10,'VK-Võrgud'!$C:$X,2+$F107,0)))</f>
        <v>6.78</v>
      </c>
      <c r="ET107" s="209"/>
      <c r="EU107" s="209"/>
      <c r="EV107" s="87">
        <f>'KSH järjestus'!AS100</f>
        <v>1378</v>
      </c>
      <c r="EX107" s="236"/>
      <c r="EY107" s="236"/>
      <c r="EZ107" s="237">
        <f t="shared" ref="EZ107:EZ139" si="91">1-CU107</f>
        <v>6.6265060240963902E-2</v>
      </c>
      <c r="FA107" s="209">
        <f>IF(FA$7="X",VLOOKUP(FA$10,'VK-Hooned-Soojus'!$C:$X,2+$C107,FALSE),0)+IF(FA$6="X",VLOOKUP(FA$10,'VK-Transport'!$C:$X,2+$B107,0))+IF(FA$8="X",VLOOKUP(FA$10,'VK-Elekter'!$C:$X,2+$D107,0))+IF(FA$9="X",VLOOKUP(FA$10,'VK-Biokütused'!$C:$U,2+$E107,0))+IF(FA$5="X",VLOOKUP(FA$10,'VK-Põlevkivi'!$C:$X,2+$G107,0))+IF(FA$4="X",VLOOKUP(FA$10,'VK-Võrgud'!$C:$X,2+$F107,0))</f>
        <v>2814.9189999999999</v>
      </c>
      <c r="FB107" s="279">
        <f>(IF(FB$7="X",VLOOKUP(FB$10,'VK-Hooned-Soojus'!$C:$X,2+$C107,FALSE),0)+IF(FB$6="X",VLOOKUP(FB$10,'VK-Transport'!$C:$X,2+$B107,0))+IF(FB$8="X",VLOOKUP(FB$10,'VK-Elekter'!$C:$X,2+$D107,0))+IF(FB$9="X",VLOOKUP(FB$10,'VK-Biokütused'!$C:$U,2+$E107,0))+IF(FB$5="X",VLOOKUP(FB$10,'VK-Põlevkivi'!$C:$X,2+$G107,0))+IF(FB$4="X",VLOOKUP(FB$10,'VK-Võrgud'!$C:$X,2+$F107,0)))/16</f>
        <v>323.04906992302904</v>
      </c>
      <c r="FC107" s="209">
        <f>IF(FC$7="X",VLOOKUP(FC$10,'VK-Hooned-Soojus'!$C:$X,2+$C107,FALSE),0)+IF(FC$6="X",VLOOKUP(FC$10,'VK-Transport'!$C:$X,2+$B107,0))+IF(FC$8="X",VLOOKUP(FC$10,'VK-Elekter'!$C:$X,2+$D107,0))+IF(FC$9="X",VLOOKUP(FC$10,'VK-Biokütused'!$C:$U,2+$E107,0))+IF(FC$5="X",VLOOKUP(FC$10,'VK-Põlevkivi'!$C:$X,2+$G107,0))+IF(FC$4="X",VLOOKUP(FC$10,'VK-Võrgud'!$C:$X,2+$F107,0))</f>
        <v>315.49999999999994</v>
      </c>
      <c r="FD107" s="209">
        <f>(IF(FD$7="X",VLOOKUP(FD$10,'VK-Hooned-Soojus'!$C:$X,2+$C107,FALSE),0)+IF(FD$6="X",VLOOKUP(FD$10,'VK-Transport'!$C:$X,2+$B107,0))+IF(FD$8="X",VLOOKUP(FD$10,'VK-Elekter'!$C:$X,2+$D107,0))+IF(FD$9="X",VLOOKUP(FD$10,'VK-Biokütused'!$C:$U,2+$E107,0))+IF(FD$5="X",VLOOKUP(FD$10,'VK-Põlevkivi'!$C:$X,2+$G107,0))+IF(FD$4="X",VLOOKUP(FD$10,'VK-Võrgud'!$C:$X,2+$F107,0)))/16</f>
        <v>323.04906992302904</v>
      </c>
      <c r="FE107" s="209">
        <f>(IF(FE$7="X",VLOOKUP(FE$10,'VK-Hooned-Soojus'!$C:$X,2+$C107,FALSE),0)+IF(FE$6="X",VLOOKUP(FE$10,'VK-Transport'!$C:$X,2+$B107,0))+IF(FE$8="X",VLOOKUP(FE$10,'VK-Elekter'!$C:$X,2+$D107,0))+IF(FE$9="X",VLOOKUP(FE$10,'VK-Biokütused'!$C:$U,2+$E107,0))+IF(FE$5="X",VLOOKUP(FE$10,'VK-Põlevkivi'!$C:$X,2+$G107,0))+IF(FE$4="X",VLOOKUP(FE$10,'VK-Võrgud'!$C:$X,2+$F107,0)))/16</f>
        <v>-40.537500000000001</v>
      </c>
      <c r="FF107" s="209">
        <f>(IF(FF$7="X",VLOOKUP(FF$10,'VK-Hooned-Soojus'!$C:$X,2+$C107,FALSE),0)+IF(FF$6="X",VLOOKUP(FF$10,'VK-Transport'!$C:$X,2+$B107,0))+IF(FF$8="X",VLOOKUP(FF$10,'VK-Elekter'!$C:$X,2+$D107,0))+IF(FF$9="X",VLOOKUP(FF$10,'VK-Biokütused'!$C:$U,2+$E107,0))+IF(FF$5="X",VLOOKUP(FF$10,'VK-Põlevkivi'!$C:$X,2+$G107,0))+IF(FF$4="X",VLOOKUP(FF$10,'VK-Võrgud'!$C:$X,2+$F107,0)))/16</f>
        <v>150.77976548491162</v>
      </c>
      <c r="FG107" s="88">
        <f t="shared" ca="1" si="78"/>
        <v>110.24226548491163</v>
      </c>
      <c r="FH107" s="88"/>
      <c r="FI107" s="88"/>
      <c r="FJ107" s="88">
        <f>VLOOKUP(Tulemused!$BN$12,data!M$7:N$12,2,FALSE)-SUM(L107,M107)</f>
        <v>-0.80250937302436398</v>
      </c>
      <c r="FK107" s="209" t="str">
        <f>IF(AZ107&lt;=VLOOKUP(Tulemused!$BN$15,data!$E$36:$F$39,2,FALSE),"JAH","EI")</f>
        <v>JAH</v>
      </c>
      <c r="FL107" s="235">
        <f ca="1">IF(ISNA(MATCH($A107,INDIRECT(VLOOKUP(Tulemused!$BF$11,data!$J$57:$M$71,4,FALSE)))),0,MATCH($A107,INDIRECT(VLOOKUP(Tulemused!$BF$11,data!$J$57:$M$71,4,FALSE))))</f>
        <v>0</v>
      </c>
      <c r="FM107" s="235" t="str">
        <f t="shared" ref="FM107:FM139" ca="1" si="92">IF(OR(ISNA($FL107),$FL107=$FL106,$FL107=0),"JAH","EI")</f>
        <v>JAH</v>
      </c>
      <c r="FN107" s="209">
        <f>VLOOKUP(Tulemused!$BN$13,data!$C$132:$D$137,2,FALSE)-KOMBI!R107</f>
        <v>4.9030850093626803</v>
      </c>
      <c r="FO107" s="209"/>
      <c r="FP107" s="209">
        <f>VLOOKUP(Tulemused!$BN$17,NO_x,2,FALSE)-CJ107</f>
        <v>11.351138900569413</v>
      </c>
      <c r="FQ107" s="209">
        <f>VLOOKUP(Tulemused!$BN$18,SO_2,2,FALSE)-CK107</f>
        <v>39.082922023659208</v>
      </c>
      <c r="FR107" s="209">
        <f>VLOOKUP(Tulemused!$BN$19,LOU,2,FALSE)-CN107</f>
        <v>34.029000000000003</v>
      </c>
      <c r="FS107" s="209">
        <f>VLOOKUP(Tulemused!$BN$20,PM_2.5,2,FALSE)-CM107</f>
        <v>8.3956843205528955</v>
      </c>
      <c r="FT107" s="209">
        <f>VLOOKUP(Tulemused!$BN$13,data!$C$132:$D$137,2,FALSE)-FA107/1000</f>
        <v>3.431051000000001</v>
      </c>
      <c r="FU107" s="209">
        <f>VLOOKUP(Tulemused!$BN$17,NO_x,2,FALSE)-CO107</f>
        <v>5.320637662643005</v>
      </c>
      <c r="FV107" s="209">
        <f>VLOOKUP(Tulemused!$BN$18,SO_2,2,FALSE)-CP107</f>
        <v>38.060607879306339</v>
      </c>
      <c r="FW107" s="209">
        <f>VLOOKUP(Tulemused!$BN$19,LOU,2,FALSE)-CS107</f>
        <v>33.241350490137769</v>
      </c>
      <c r="FX107" s="209">
        <f>VLOOKUP(Tulemused!$BN$20,PM_2.5,2,FALSE)-CR107</f>
        <v>8.8312481626003105</v>
      </c>
      <c r="FY107" s="209">
        <f>VLOOKUP(Tulemused!$BN$14,KHG_2050,2,FALSE)-EF107</f>
        <v>95.979115009362687</v>
      </c>
      <c r="FZ107" s="231" t="str">
        <f t="shared" ca="1" si="79"/>
        <v>EI</v>
      </c>
      <c r="GA107" s="209"/>
      <c r="GB107" s="209"/>
      <c r="GC107" s="209"/>
      <c r="GD107" s="231"/>
      <c r="GE107" s="87">
        <f t="shared" ref="GE107:GE138" si="93">HLOOKUP($GE$10,$I$1:$GC$145,ROW(A107),FALSE)</f>
        <v>1378</v>
      </c>
      <c r="GF107" s="232" t="str">
        <f t="shared" ca="1" si="80"/>
        <v/>
      </c>
      <c r="GH107" s="238" t="e">
        <f t="shared" ref="GH107:GH138" ca="1" si="94">IF($GG$10="↓",SMALL($GF$11:$GF$145,ROW(97:97)),LARGE($GF$11:$GF$145,ROW(97:97)))</f>
        <v>#NUM!</v>
      </c>
      <c r="GI107" s="87" t="e">
        <f t="array" aca="1" ref="GI107" ca="1">INDEX($A$11:$A$145, SMALL(IF(GH107=$GF$11:$GF$145, MATCH(ROW($GF$11:$GF$145), ROW($GF$11:$GF$145))), SUM(--(GH107=$GH$11:GH107))))</f>
        <v>#NUM!</v>
      </c>
      <c r="GM107" s="209">
        <f>IF(GM$7="X",VLOOKUP(GM$10,'VK-Hooned-Soojus'!$C:$X,2+$C107,FALSE),0)+IF(GM$6="X",VLOOKUP(GM$10,'VK-Transport'!$C:$X,2+$B107,0))+IF(GM$8="X",VLOOKUP(GM$10,'VK-Elekter'!$C:$X,2+$D107,0))+IF(GM$9="X",VLOOKUP(GM$10,'VK-Biokütused'!$C:$U,2+$E107,0))+IF(GM$5="X",VLOOKUP(GM$10,'VK-Põlevkivi'!$C:$X,2+$G107,0))+IF(GM$4="X",VLOOKUP(GM$10,'VK-Võrgud'!$C:$X,2+$F107,0))</f>
        <v>6.011750640646909</v>
      </c>
      <c r="GN107" s="209">
        <f>IF(GN$7="X",VLOOKUP(GN$10,'VK-Hooned-Soojus'!$C:$X,2+$C107,FALSE),0)+IF(GN$6="X",VLOOKUP(GN$10,'VK-Transport'!$C:$X,2+$B107,0))+IF(GN$8="X",VLOOKUP(GN$10,'VK-Elekter'!$C:$X,2+$D107,0))+IF(GN$9="X",VLOOKUP(GN$10,'VK-Biokütused'!$C:$U,2+$E107,0))+IF(GN$5="X",VLOOKUP(GN$10,'VK-Põlevkivi'!$C:$X,2+$G107,0))+IF(GN$4="X",VLOOKUP(GN$10,'VK-Võrgud'!$C:$X,2+$F107,0))</f>
        <v>3.4528686473995491</v>
      </c>
      <c r="GO107" s="209">
        <f>IF(GO$7="X",VLOOKUP(GO$10,'VK-Hooned-Soojus'!$C:$X,2+$C107,FALSE),0)+IF(GO$6="X",VLOOKUP(GO$10,'VK-Transport'!$C:$X,2+$B107,0))+IF(GO$8="X",VLOOKUP(GO$10,'VK-Elekter'!$C:$X,2+$D107,0))+IF(GO$9="X",VLOOKUP(GO$10,'VK-Biokütused'!$C:$U,2+$E107,0))+IF(GO$5="X",VLOOKUP(GO$10,'VK-Põlevkivi'!$C:$X,2+$G107,0))+IF(GO$4="X",VLOOKUP(GO$10,'VK-Võrgud'!$C:$X,2+$F107,0))</f>
        <v>8.7471755658278116</v>
      </c>
      <c r="GP107" s="209">
        <f>IF(GP$7="X",VLOOKUP(GP$10,'VK-Hooned-Soojus'!$C:$X,2+$C107,FALSE),0)+IF(GP$6="X",VLOOKUP(GP$10,'VK-Transport'!$C:$X,2+$B107,0))+IF(GP$8="X",VLOOKUP(GP$10,'VK-Elekter'!$C:$X,2+$D107,0))+IF(GP$9="X",VLOOKUP(GP$10,'VK-Biokütused'!$C:$U,2+$E107,0))+IF(GP$5="X",VLOOKUP(GP$10,'VK-Põlevkivi'!$C:$X,2+$G107,0))+IF(GP$4="X",VLOOKUP(GP$10,'VK-Võrgud'!$C:$X,2+$F107,0))</f>
        <v>9.3279335818485372</v>
      </c>
      <c r="GQ107" s="88">
        <f>IF(GQ$7="X",VLOOKUP(GQ$10,'VK-Hooned-Soojus'!$C:$X,2+$C107,FALSE),0)+IF(GQ$6="X",VLOOKUP(GQ$10,'VK-Transport'!$C:$X,2+$B107,0))+IF(GQ$8="X",VLOOKUP(GQ$10,'VK-Elekter'!$C:$X,2+$D107,0))+IF(GQ$9="X",VLOOKUP(GQ$10,'VK-Biokütused'!$C:$U,2+$E107,0))+IF(GQ$5="X",VLOOKUP(GQ$10,'VK-Põlevkivi'!$C:$X,2+$G107,0))+IF(GQ$4="X",VLOOKUP(GQ$10,'VK-Võrgud'!$C:$X,2+$F107,0))</f>
        <v>0.89042766952822527</v>
      </c>
      <c r="GR107" s="186">
        <f t="shared" si="81"/>
        <v>0.40645470945900353</v>
      </c>
    </row>
    <row r="108" spans="1:200" x14ac:dyDescent="0.2">
      <c r="A108" s="184">
        <v>98</v>
      </c>
      <c r="B108" s="87">
        <v>3</v>
      </c>
      <c r="C108" s="87">
        <v>1</v>
      </c>
      <c r="D108" s="87">
        <v>3</v>
      </c>
      <c r="E108" s="87">
        <v>2</v>
      </c>
      <c r="F108" s="87">
        <f>VLOOKUP(Tulemused!$BF$7,data!$J$6:$K$8,2,FALSE)</f>
        <v>2</v>
      </c>
      <c r="G108" s="87">
        <f>VLOOKUP(data!$H$2,data!$J$12:$K$14,2,FALSE)</f>
        <v>2</v>
      </c>
      <c r="I108" s="209">
        <f>IF(I$7="X",VLOOKUP(I$10,'VK-Hooned-Soojus'!$C:$X,2+$C108,FALSE),0)+IF(I$6="X",VLOOKUP(I$10,'VK-Transport'!$C:$X,2+$B108,0))+IF(I$8="X",VLOOKUP(I$10,'VK-Elekter'!$C:$X,2+$D108,0))+IF(I$9="X",VLOOKUP(I$10,'VK-Biokütused'!$C:$U,2+$E108,0))+IF(I$5="X",VLOOKUP(I$10,'VK-Põlevkivi'!$C:$X,2+$G108,0))+IF(I$4="X",VLOOKUP(I$10,'VK-Võrgud'!$C:$X,2+$F108,0))</f>
        <v>26.89</v>
      </c>
      <c r="J108" s="209">
        <f>IF(J$7="X",VLOOKUP(J$10,'VK-Hooned-Soojus'!$C:$X,2+$C108,FALSE),0)+IF(J$6="X",VLOOKUP(J$10,'VK-Transport'!$C:$X,2+$B108,0))+IF(J$8="X",VLOOKUP(J$10,'VK-Elekter'!$C:$X,2+$D108,0))+IF(J$9="X",VLOOKUP(J$10,'VK-Biokütused'!$C:$U,2+$E108,0))+IF(J$5="X",VLOOKUP(J$10,'VK-Põlevkivi'!$C:$X,2+$G108,0))+IF(J$4="X",VLOOKUP(J$10,'VK-Võrgud'!$C:$X,2+$F108,0))</f>
        <v>8.1258333333333344</v>
      </c>
      <c r="K108" s="209">
        <f>IF(K$7="X",VLOOKUP(K$10,'VK-Hooned-Soojus'!$C:$X,2+$C108,FALSE),0)+IF(K$6="X",VLOOKUP(K$10,'VK-Transport'!$C:$X,2+$B108,0))+IF(K$8="X",VLOOKUP(K$10,'VK-Elekter'!$C:$X,2+$D108,0))+IF(K$9="X",VLOOKUP(K$10,'VK-Biokütused'!$C:$U,2+$E108,0))+IF(K$5="X",VLOOKUP(K$10,'VK-Põlevkivi'!$C:$X,2+$G108,0))+IF(K$4="X",VLOOKUP(K$10,'VK-Võrgud'!$C:$X,2+$F108,0))</f>
        <v>16.75</v>
      </c>
      <c r="L108" s="209">
        <f>IF(L$7="X",VLOOKUP(L$10,'VK-Hooned-Soojus'!$C:$X,2+$C108,FALSE),0)+IF(L$6="X",VLOOKUP(L$10,'VK-Transport'!$C:$X,2+$B108,0))+IF(L$8="X",VLOOKUP(L$10,'VK-Elekter'!$C:$X,2+$D108,0))+IF(L$9="X",VLOOKUP(L$10,'VK-Biokütused'!$C:$U,2+$E108,0))+IF(L$5="X",VLOOKUP(L$10,'VK-Põlevkivi'!$C:$X,2+$G108,0))+IF(L$4="X",VLOOKUP(L$10,'VK-Võrgud'!$C:$X,2+$F108,0))</f>
        <v>24.95</v>
      </c>
      <c r="M108" s="209">
        <f>IF(M$7="X",VLOOKUP(M$10,'VK-Hooned-Soojus'!$C:$X,2+$C108,FALSE),0)+IF(M$6="X",VLOOKUP(M$10,'VK-Transport'!$C:$X,2+$B108,0))+IF(M$8="X",VLOOKUP(M$10,'VK-Elekter'!$C:$X,2+$D108,0))+IF(M$9="X",VLOOKUP(M$10,'VK-Biokütused'!$C:$U,2+$E108,0))+IF(M$5="X",VLOOKUP(M$10,'VK-Põlevkivi'!$C:$X,2+$G108,0))+IF(M$4="X",VLOOKUP(M$10,'VK-Võrgud'!$C:$X,2+$F108,0))</f>
        <v>8.68530937302436</v>
      </c>
      <c r="N108" s="209">
        <f>IF(N$7="X",VLOOKUP(N$10,'VK-Hooned-Soojus'!$C:$X,2+$C108,FALSE),0)+IF(N$6="X",VLOOKUP(N$10,'VK-Transport'!$C:$X,2+$B108,0))+IF(N$8="X",VLOOKUP(N$10,'VK-Elekter'!$C:$X,2+$D108,0))+IF(N$9="X",VLOOKUP(N$10,'VK-Biokütused'!$C:$U,2+$E108,0))+IF(N$5="X",VLOOKUP(N$10,'VK-Põlevkivi'!$C:$X,2+$G108,0))+IF(N$4="X",VLOOKUP(N$10,'VK-Võrgud'!$C:$X,2+$F108,0))</f>
        <v>16.75</v>
      </c>
      <c r="O108" s="209">
        <f t="shared" si="60"/>
        <v>35.015833333333333</v>
      </c>
      <c r="P108" s="209"/>
      <c r="Q108" s="209">
        <f>(IF(Q$7="X",VLOOKUP(Q$10,'VK-Hooned-Soojus'!$C:$X,2+$C108,FALSE),0)+IF(Q$6="X",VLOOKUP(Q$10,'VK-Transport'!$C:$X,2+$B108,0))+IF(Q$8="X",VLOOKUP(Q$10,'VK-Elekter'!$C:$X,2+$D108,0))+IF(Q$9="X",VLOOKUP(Q$10,'VK-Biokütused'!$C:$U,2+$E108,0))+IF(Q$5="X",VLOOKUP(Q$10,'VK-Põlevkivi'!$C:$X,2+$G108,0))+IF(Q$4="X",VLOOKUP(Q$10,'VK-Võrgud'!$C:$X,2+$F108,0)))/1000</f>
        <v>5.33</v>
      </c>
      <c r="R108" s="209">
        <f>(IF(R$7="X",VLOOKUP(R$10,'VK-Hooned-Soojus'!$C:$X,2+$C108,FALSE),0)+IF(R$6="X",VLOOKUP(R$10,'VK-Transport'!$C:$X,2+$B108,0))+IF(R$8="X",VLOOKUP(R$10,'VK-Elekter'!$C:$X,2+$D108,0))+IF(R$9="X",VLOOKUP(R$10,'VK-Biokütused'!$C:$U,2+$E108,0))+IF(R$5="X",VLOOKUP(R$10,'VK-Põlevkivi'!$C:$X,2+$G108,0))+IF(R$4="X",VLOOKUP(R$10,'VK-Võrgud'!$C:$X,2+$F108,0)))/1000</f>
        <v>1.7203849906373201</v>
      </c>
      <c r="S108" s="226">
        <f>VLOOKUP(S$10,'VK-Hooned-Soojus'!$C:$I,2+$C108,FALSE) + VLOOKUP(S$10,'VK-Transport'!$C:$I,2+$B108,FALSE)+ VLOOKUP(S$10,'VK-Biokütused'!$C:$G,2+$E108,FALSE)+ VLOOKUP(S$10,'VK-Elekter'!$C:$I,2+$D108,FALSE)+ VLOOKUP(S$10,'VK-Põlevkivi'!$C:$I,2+$G108,FALSE)+ VLOOKUP(S$10,'VK-Võrgud'!$C:$I,2+$F108,FALSE)</f>
        <v>1.9009607688333492E-2</v>
      </c>
      <c r="T108" s="226">
        <f>VLOOKUP(T$10,'VK-Hooned-Soojus'!$C:$I,2+$C108,FALSE) + VLOOKUP(T$10,'VK-Transport'!$C:$I,2+$B108,FALSE)+ VLOOKUP(T$10,'VK-Biokütused'!$C:$G,2+$E108,FALSE)+ VLOOKUP(T$10,'VK-Elekter'!$C:$I,2+$D108,FALSE)+ VLOOKUP(T$10,'VK-Põlevkivi'!$C:$I,2+$G108,FALSE)+ VLOOKUP(T$10,'VK-Võrgud'!$C:$I,2+$F108,FALSE)</f>
        <v>4.785395875292333E-3</v>
      </c>
      <c r="U108" s="226">
        <f>VLOOKUP(U$10,'VK-Hooned-Soojus'!$C:$I,2+$C108,FALSE) + VLOOKUP(U$10,'VK-Transport'!$C:$I,2+$B108,FALSE)+ VLOOKUP(U$10,'VK-Biokütused'!$C:$G,2+$E108,FALSE)+ VLOOKUP(U$10,'VK-Elekter'!$C:$I,2+$D108,FALSE)+ VLOOKUP(U$10,'VK-Põlevkivi'!$C:$I,2+$G108,FALSE)+ VLOOKUP(U$10,'VK-Võrgud'!$C:$I,2+$F108,FALSE)</f>
        <v>8.3067152052186122E-3</v>
      </c>
      <c r="V108" s="226">
        <f>VLOOKUP(V$10,'VK-Hooned-Soojus'!$C:$I,2+$C108,FALSE) + VLOOKUP(V$10,'VK-Transport'!$C:$I,2+$B108,FALSE)+ VLOOKUP(V$10,'VK-Biokütused'!$C:$G,2+$E108,FALSE)+ VLOOKUP(V$10,'VK-Elekter'!$C:$I,2+$D108,FALSE)+ VLOOKUP(V$10,'VK-Põlevkivi'!$C:$I,2+$G108,FALSE)+ VLOOKUP(V$10,'VK-Võrgud'!$C:$I,2+$F108,FALSE)</f>
        <v>1.082730601691558E-2</v>
      </c>
      <c r="W108" s="226">
        <f>VLOOKUP(W$10,'VK-Hooned-Soojus'!$C:$I,2+$C108,FALSE) + VLOOKUP(W$10,'VK-Transport'!$C:$I,2+$B108,FALSE)+ VLOOKUP(W$10,'VK-Biokütused'!$C:$G,2+$E108,FALSE)+ VLOOKUP(W$10,'VK-Elekter'!$C:$I,2+$D108,FALSE)+ VLOOKUP(W$10,'VK-Põlevkivi'!$C:$I,2+$G108,FALSE)+ VLOOKUP(W$10,'VK-Võrgud'!$C:$I,2+$F108,FALSE)</f>
        <v>-2.7017803286816907E-2</v>
      </c>
      <c r="X108" s="226">
        <f>VLOOKUP(X$10,'VK-Hooned-Soojus'!$C:$I,2+$C108,FALSE) + VLOOKUP(X$10,'VK-Transport'!$C:$I,2+$B108,FALSE)+ VLOOKUP(X$10,'VK-Biokütused'!$C:$G,2+$E108,FALSE)+ VLOOKUP(X$10,'VK-Elekter'!$C:$I,2+$D108,FALSE)+ VLOOKUP(X$10,'VK-Põlevkivi'!$C:$I,2+$G108,FALSE)+ VLOOKUP(X$10,'VK-Võrgud'!$C:$I,2+$F108,FALSE)</f>
        <v>-3.9778952633174595E-2</v>
      </c>
      <c r="Y108" s="226">
        <f>VLOOKUP(Y$10,'VK-Hooned-Soojus'!$C:$I,2+$C108,FALSE) + VLOOKUP(Y$10,'VK-Transport'!$C:$I,2+$B108,FALSE)+ VLOOKUP(Y$10,'VK-Biokütused'!$C:$G,2+$E108,FALSE)+ VLOOKUP(Y$10,'VK-Elekter'!$C:$I,2+$D108,FALSE)+ VLOOKUP(Y$10,'VK-Põlevkivi'!$C:$I,2+$G108,FALSE)+ VLOOKUP(Y$10,'VK-Võrgud'!$C:$I,2+$F108,FALSE)</f>
        <v>-4.846933354789057E-2</v>
      </c>
      <c r="Z108" s="227">
        <f>(S108*Tulemused!$Q$9*10+T108*Tulemused!$Q$10*10+KOMBI!U108*Tulemused!$Q$11*10+KOMBI!V108*Tulemused!$Q$12*10)*Tulemused!$Q$8+-(W108*Tulemused!$Q$14*10+KOMBI!X108*Tulemused!$Q$15*10+KOMBI!Y108*Tulemused!$Q$16*10)*Tulemused!$Q$13</f>
        <v>6.0372765434765618</v>
      </c>
      <c r="AA108" s="228">
        <f>(IF(AA$7="X",VLOOKUP(AA$10,'VK-Hooned-Soojus'!$C:$X,2+$C108,FALSE),0)+IF(AA$6="X",VLOOKUP(AA$10,'VK-Transport'!$C:$X,2+$B108,0))+IF(AA$8="X",VLOOKUP(AA$10,'VK-Elekter'!$C:$X,2+$D108,0))+IF(AA$9="X",VLOOKUP(AA$10,'VK-Biokütused'!$C:$U,2+$E108,0))+IF(AA$5="X",VLOOKUP(AA$10,'VK-Põlevkivi'!$C:$X,2+$G108,0))+IF(AA$4="X",VLOOKUP(AA$10,'VK-Võrgud'!$C:$X,2+$F108,0)))</f>
        <v>3728</v>
      </c>
      <c r="AB108" s="228">
        <f>(IF(AB$7="X",VLOOKUP(AB$10,'VK-Hooned-Soojus'!$C:$X,2+$C108,FALSE),0)+IF(AB$6="X",VLOOKUP(AB$10,'VK-Transport'!$C:$X,2+$B108,0))+IF(AB$8="X",VLOOKUP(AB$10,'VK-Elekter'!$C:$X,2+$D108,0))+IF(AB$9="X",VLOOKUP(AB$10,'VK-Biokütused'!$C:$U,2+$E108,0))+IF(AB$5="X",VLOOKUP(AB$10,'VK-Põlevkivi'!$C:$X,2+$G108,0))+IF(AB$4="X",VLOOKUP(AB$10,'VK-Võrgud'!$C:$X,2+$F108,0)))</f>
        <v>1602</v>
      </c>
      <c r="AC108" s="228">
        <f>(IF(AC$7="X",VLOOKUP(AC$10,'VK-Hooned-Soojus'!$C:$X,2+$C108,FALSE),0)+IF(AC$6="X",VLOOKUP(AC$10,'VK-Transport'!$C:$X,2+$B108,0))+IF(AC$8="X",VLOOKUP(AC$10,'VK-Elekter'!$C:$X,2+$D108,0))+IF(AC$9="X",VLOOKUP(AC$10,'VK-Biokütused'!$C:$U,2+$E108,0))+IF(AC$5="X",VLOOKUP(AC$10,'VK-Põlevkivi'!$C:$X,2+$G108,0))+IF(AC$4="X",VLOOKUP(AC$10,'VK-Võrgud'!$C:$X,2+$F108,0)))</f>
        <v>2346</v>
      </c>
      <c r="AD108" s="228">
        <f>(IF(AD$7="X",VLOOKUP(AD$10,'VK-Hooned-Soojus'!$C:$X,2+$C108,FALSE),0)+IF(AD$6="X",VLOOKUP(AD$10,'VK-Transport'!$C:$X,2+$B108,0))+IF(AD$8="X",VLOOKUP(AD$10,'VK-Elekter'!$C:$X,2+$D108,0))+IF(AD$9="X",VLOOKUP(AD$10,'VK-Biokütused'!$C:$U,2+$E108,0))+IF(AD$5="X",VLOOKUP(AD$10,'VK-Põlevkivi'!$C:$X,2+$G108,0))+IF(AD$4="X",VLOOKUP(AD$10,'VK-Võrgud'!$C:$X,2+$F108,0)))</f>
        <v>377.5</v>
      </c>
      <c r="AE108" s="228">
        <f>(IF(AE$7="X",VLOOKUP(AE$10,'VK-Hooned-Soojus'!$C:$X,2+$C108,FALSE),0)+IF(AE$6="X",VLOOKUP(AE$10,'VK-Transport'!$C:$X,2+$B108,0))+IF(AE$8="X",VLOOKUP(AE$10,'VK-Elekter'!$C:$X,2+$D108,0))+IF(AE$9="X",VLOOKUP(AE$10,'VK-Biokütused'!$C:$U,2+$E108,0))+IF(AE$5="X",VLOOKUP(AE$10,'VK-Põlevkivi'!$C:$X,2+$G108,0))+IF(AE$4="X",VLOOKUP(AE$10,'VK-Võrgud'!$C:$X,2+$F108,0)))</f>
        <v>812</v>
      </c>
      <c r="AF108" s="228">
        <f>(IF(AF$7="X",VLOOKUP(AF$10,'VK-Hooned-Soojus'!$C:$X,2+$C108,FALSE),0)+IF(AF$6="X",VLOOKUP(AF$10,'VK-Transport'!$C:$X,2+$B108,0))+IF(AF$8="X",VLOOKUP(AF$10,'VK-Elekter'!$C:$X,2+$D108,0))+IF(AF$9="X",VLOOKUP(AF$10,'VK-Biokütused'!$C:$U,2+$E108,0))+IF(AF$5="X",VLOOKUP(AF$10,'VK-Põlevkivi'!$C:$X,2+$G108,0))+IF(AF$4="X",VLOOKUP(AF$10,'VK-Võrgud'!$C:$X,2+$F108,0)))</f>
        <v>530.88499063732002</v>
      </c>
      <c r="AG108" s="209"/>
      <c r="AH108" s="209">
        <f>IF(AH$7="X",VLOOKUP(AH$10,'VK-Hooned-Soojus'!$C:$X,2+$C108,FALSE),0)+IF(AH$6="X",VLOOKUP(AH$10,'VK-Transport'!$C:$X,2+$B108,0))+IF(AH$8="X",VLOOKUP(AH$10,'VK-Elekter'!$C:$X,2+$D108,0))+IF(AH$9="X",VLOOKUP(AH$10,'VK-Biokütused'!$C:$U,2+$E108,0))+IF(AH$5="X",VLOOKUP(AH$10,'VK-Põlevkivi'!$C:$X,2+$G108,0))+IF(AH$4="X",VLOOKUP(AH$10,'VK-Võrgud'!$C:$X,2+$F108,0))</f>
        <v>11.579999999999998</v>
      </c>
      <c r="AI108" s="209">
        <f>IF(AI$7="X",VLOOKUP(AI$10,'VK-Hooned-Soojus'!$C:$X,2+$C108,FALSE),0)+IF(AI$6="X",VLOOKUP(AI$10,'VK-Transport'!$C:$X,2+$B108,0))+IF(AI$8="X",VLOOKUP(AI$10,'VK-Elekter'!$C:$X,2+$D108,0))+IF(AI$9="X",VLOOKUP(AI$10,'VK-Biokütused'!$C:$U,2+$E108,0))+IF(AI$5="X",VLOOKUP(AI$10,'VK-Põlevkivi'!$C:$X,2+$G108,0))+IF(AI$4="X",VLOOKUP(AI$10,'VK-Võrgud'!$C:$X,2+$F108,0))</f>
        <v>4.45</v>
      </c>
      <c r="AJ108" s="209">
        <f>IF(AJ$7="X",VLOOKUP(AJ$10,'VK-Hooned-Soojus'!$C:$X,2+$C108,FALSE),0)+IF(AJ$6="X",VLOOKUP(AJ$10,'VK-Transport'!$C:$X,2+$B108,0))+IF(AJ$8="X",VLOOKUP(AJ$10,'VK-Elekter'!$C:$X,2+$D108,0))+IF(AJ$9="X",VLOOKUP(AJ$10,'VK-Biokütused'!$C:$U,2+$E108,0))+IF(AJ$5="X",VLOOKUP(AJ$10,'VK-Põlevkivi'!$C:$X,2+$G108,0))+IF(AJ$4="X",VLOOKUP(AJ$10,'VK-Võrgud'!$C:$X,2+$F108,0))</f>
        <v>9.19</v>
      </c>
      <c r="AK108" s="209">
        <f>IF(AK$7="X",VLOOKUP(AK$10,'VK-Hooned-Soojus'!$C:$X,2+$C108,FALSE),0)+IF(AK$6="X",VLOOKUP(AK$10,'VK-Transport'!$C:$X,2+$B108,0))+IF(AK$8="X",VLOOKUP(AK$10,'VK-Elekter'!$C:$X,2+$D108,0))+IF(AK$9="X",VLOOKUP(AK$10,'VK-Biokütused'!$C:$U,2+$E108,0))+IF(AK$5="X",VLOOKUP(AK$10,'VK-Põlevkivi'!$C:$X,2+$G108,0))+IF(AK$4="X",VLOOKUP(AK$10,'VK-Võrgud'!$C:$X,2+$F108,0))</f>
        <v>0.66</v>
      </c>
      <c r="AL108" s="209">
        <f>IF(AL$7="X",VLOOKUP(AL$10,'VK-Hooned-Soojus'!$C:$X,2+$C108,FALSE),0)+IF(AL$6="X",VLOOKUP(AL$10,'VK-Transport'!$C:$X,2+$B108,0))+IF(AL$8="X",VLOOKUP(AL$10,'VK-Elekter'!$C:$X,2+$D108,0))+IF(AL$9="X",VLOOKUP(AL$10,'VK-Biokütused'!$C:$U,2+$E108,0))+IF(AL$5="X",VLOOKUP(AL$10,'VK-Põlevkivi'!$C:$X,2+$G108,0))+IF(AL$4="X",VLOOKUP(AL$10,'VK-Võrgud'!$C:$X,2+$F108,0))</f>
        <v>7.1999999999999993</v>
      </c>
      <c r="AM108" s="209">
        <f>IF(AM$7="X",VLOOKUP(AM$10,'VK-Hooned-Soojus'!$C:$X,2+$C108,FALSE),0)+IF(AM$6="X",VLOOKUP(AM$10,'VK-Transport'!$C:$X,2+$B108,0))+IF(AM$8="X",VLOOKUP(AM$10,'VK-Elekter'!$C:$X,2+$D108,0))+IF(AM$9="X",VLOOKUP(AM$10,'VK-Biokütused'!$C:$U,2+$E108,0))+IF(AM$5="X",VLOOKUP(AM$10,'VK-Põlevkivi'!$C:$X,2+$G108,0))+IF(AM$4="X",VLOOKUP(AM$10,'VK-Võrgud'!$C:$X,2+$F108,0))</f>
        <v>12.9</v>
      </c>
      <c r="AN108" s="209">
        <f>IF(AN$7="X",VLOOKUP(AN$10,'VK-Hooned-Soojus'!$C:$X,2+$C108,FALSE),0)+IF(AN$6="X",VLOOKUP(AN$10,'VK-Transport'!$C:$X,2+$B108,0))+IF(AN$8="X",VLOOKUP(AN$10,'VK-Elekter'!$C:$X,2+$D108,0))+IF(AN$9="X",VLOOKUP(AN$10,'VK-Biokütused'!$C:$U,2+$E108,0))+IF(AN$5="X",VLOOKUP(AN$10,'VK-Põlevkivi'!$C:$X,2+$G108,0))+IF(AN$4="X",VLOOKUP(AN$10,'VK-Võrgud'!$C:$X,2+$F108,0))</f>
        <v>5.6999999999999993</v>
      </c>
      <c r="AO108" s="209">
        <f>IF(AO$7="X",VLOOKUP(AO$10,'VK-Hooned-Soojus'!$C:$X,2+$C108,FALSE),0)+IF(AO$6="X",VLOOKUP(AO$10,'VK-Transport'!$C:$X,2+$B108,0))+IF(AO$8="X",VLOOKUP(AO$10,'VK-Elekter'!$C:$X,2+$D108,0))+IF(AO$9="X",VLOOKUP(AO$10,'VK-Biokütused'!$C:$U,2+$E108,0))+IF(AO$5="X",VLOOKUP(AO$10,'VK-Põlevkivi'!$C:$X,2+$G108,0))+IF(AO$4="X",VLOOKUP(AO$10,'VK-Võrgud'!$C:$X,2+$F108,0))</f>
        <v>13.56</v>
      </c>
      <c r="AP108" s="209">
        <f>IF(AP$7="X",VLOOKUP(AP$10,'VK-Hooned-Soojus'!$C:$X,2+$C108,FALSE),0)+IF(AP$6="X",VLOOKUP(AP$10,'VK-Transport'!$C:$X,2+$B108,0))+IF(AP$8="X",VLOOKUP(AP$10,'VK-Elekter'!$C:$X,2+$D108,0))+IF(AP$9="X",VLOOKUP(AP$10,'VK-Biokütused'!$C:$U,2+$E108,0))+IF(AP$5="X",VLOOKUP(AP$10,'VK-Põlevkivi'!$C:$X,2+$G108,0))+IF(AP$4="X",VLOOKUP(AP$10,'VK-Võrgud'!$C:$X,2+$F108,0))</f>
        <v>6.78</v>
      </c>
      <c r="AQ108" s="320">
        <f t="shared" si="61"/>
        <v>1.2599999999999998</v>
      </c>
      <c r="AR108" s="209">
        <f>IF(AR$7="X",VLOOKUP(AR$10,'VK-Hooned-Soojus'!$C:$X,2+$C108,FALSE),0)+IF(AR$6="X",VLOOKUP(AR$10,'VK-Transport'!$C:$X,2+$B108,0))+IF(AR$8="X",VLOOKUP(AR$10,'VK-Elekter'!$C:$X,2+$D108,0))+IF(AR$9="X",VLOOKUP(AR$10,'VK-Biokütused'!$C:$U,2+$E108,0))+IF(AR$5="X",VLOOKUP(AR$10,'VK-Põlevkivi'!$C:$X,2+$G108,0))+IF(AR$4="X",VLOOKUP(AR$10,'VK-Võrgud'!$C:$X,2+$F108,0))</f>
        <v>3.4899999999999998</v>
      </c>
      <c r="AS108" s="320">
        <f>VLOOKUP("Kütuste tarbimine @ 2030 - UTTEGAAS",'VK-Hooned-Soojus'!$C:$X,2+$C108,FALSE)/0.172+VLOOKUP("Kütuste tarbimine @ 2030 - UTTEGAAS",'VK-Elekter'!$C:$X,2+$D108,FALSE)/0.172-AR108-AU108</f>
        <v>2.7565116279069759</v>
      </c>
      <c r="AT108" s="209">
        <f>IF(AT$7="X",VLOOKUP(AT$10,'VK-Hooned-Soojus'!$C:$X,2+$C108,FALSE),0)+IF(AT$6="X",VLOOKUP(AT$10,'VK-Transport'!$C:$X,2+$B108,0))+IF(AT$8="X",VLOOKUP(AT$10,'VK-Elekter'!$C:$X,2+$D108,0))+IF(AT$9="X",VLOOKUP(AT$10,'VK-Biokütused'!$C:$U,2+$E108,0))+IF(AT$5="X",VLOOKUP(AT$10,'VK-Põlevkivi'!$C:$X,2+$G108,0))+IF(AT$4="X",VLOOKUP(AT$10,'VK-Võrgud'!$C:$X,2+$F108,0))</f>
        <v>5.7045296564339489</v>
      </c>
      <c r="AU108" s="229">
        <f>MAX(0,(VLOOKUP("Kütuste tarbimine @ 2030 - UTTEGAAS",'VK-Hooned-Soojus'!$C:$X,2+$C108,FALSE)/0.172+VLOOKUP("Kütuste tarbimine @ 2030 - UTTEGAAS",'VK-Elekter'!$C:$X,2+$D108,FALSE)/0.172)*0.52-VLOOKUP("Kütuste tarbimine @ 2030 - PÕLEVKIVIÕLI",'VK-Hooned-Soojus'!$C:$X,2+$C108,FALSE))</f>
        <v>4.6837209302325586</v>
      </c>
      <c r="AV108" s="209">
        <f>IF(AV$7="X",VLOOKUP(AV$10,'VK-Hooned-Soojus'!$C:$X,2+$C108,FALSE),0)+IF(AV$6="X",VLOOKUP(AV$10,'VK-Transport'!$C:$X,2+$B108,0))+IF(AV$8="X",VLOOKUP(AV$10,'VK-Elekter'!$C:$X,2+$D108,0))+IF(AV$9="X",VLOOKUP(AV$10,'VK-Biokütused'!$C:$U,2+$E108,0))+IF(AV$5="X",VLOOKUP(AV$10,'VK-Põlevkivi'!$C:$X,2+$G108,0))+IF(AV$4="X",VLOOKUP(AV$10,'VK-Võrgud'!$C:$X,2+$F108,0))</f>
        <v>2.1219844082566364</v>
      </c>
      <c r="AW108" s="209">
        <f>IF(AW$7="X",VLOOKUP(AW$10,'VK-Hooned-Soojus'!$C:$X,2+$C108,FALSE),0)+IF(AW$6="X",VLOOKUP(AW$10,'VK-Transport'!$C:$X,2+$B108,0))+IF(AW$8="X",VLOOKUP(AW$10,'VK-Elekter'!$C:$X,2+$D108,0))+IF(AW$9="X",VLOOKUP(AW$10,'VK-Biokütused'!$C:$U,2+$E108,0))+IF(AW$5="X",VLOOKUP(AW$10,'VK-Põlevkivi'!$C:$X,2+$G108,0))+IF(AW$4="X",VLOOKUP(AW$10,'VK-Võrgud'!$C:$X,2+$F108,0))</f>
        <v>2.141</v>
      </c>
      <c r="AX108" s="229">
        <f t="shared" si="62"/>
        <v>1.9015591743363647E-2</v>
      </c>
      <c r="AY108" s="229">
        <f t="shared" si="63"/>
        <v>0</v>
      </c>
      <c r="AZ108" s="230">
        <f t="shared" si="83"/>
        <v>0.47526179336330732</v>
      </c>
      <c r="BA108" s="209">
        <f>IF(BA$7="X",VLOOKUP(BA$10,'VK-Hooned-Soojus'!$C:$X,2+$C108,FALSE),0)+IF(BA$6="X",VLOOKUP(BA$10,'VK-Transport'!$C:$X,2+$B108,0))+IF(BA$8="X",VLOOKUP(BA$10,'VK-Elekter'!$C:$X,2+$D108,0))+IF(BA$9="X",VLOOKUP(BA$10,'VK-Biokütused'!$C:$U,2+$E108,0))+IF(BA$5="X",VLOOKUP(BA$10,'VK-Põlevkivi'!$C:$X,2+$G108,0))+IF(BA$4="X",VLOOKUP(BA$10,'VK-Võrgud'!$C:$X,2+$F108,0))</f>
        <v>4.2</v>
      </c>
      <c r="BB108" s="209">
        <f>IF(BB$7="X",VLOOKUP(BB$10,'VK-Hooned-Soojus'!$C:$X,2+$C108,FALSE),0)+IF(BB$6="X",VLOOKUP(BB$10,'VK-Transport'!$C:$X,2+$B108,0))+IF(BB$8="X",VLOOKUP(BB$10,'VK-Elekter'!$C:$X,2+$D108,0))+IF(BB$9="X",VLOOKUP(BB$10,'VK-Biokütused'!$C:$U,2+$E108,0))+IF(BB$5="X",VLOOKUP(BB$10,'VK-Põlevkivi'!$C:$X,2+$G108,0))+IF(BB$4="X",VLOOKUP(BB$10,'VK-Võrgud'!$C:$X,2+$F108,0))</f>
        <v>5.1000000000000005</v>
      </c>
      <c r="BC108" s="209">
        <f>IF(BC$7="X",VLOOKUP(BC$10,'VK-Hooned-Soojus'!$C:$X,2+$C108,FALSE),0)+IF(BC$6="X",VLOOKUP(BC$10,'VK-Transport'!$C:$X,2+$B108,0))+IF(BC$8="X",VLOOKUP(BC$10,'VK-Elekter'!$C:$X,2+$D108,0))+IF(BC$9="X",VLOOKUP(BC$10,'VK-Biokütused'!$C:$U,2+$E108,0))+IF(BC$5="X",VLOOKUP(BC$10,'VK-Põlevkivi'!$C:$X,2+$G108,0))+IF(BC$4="X",VLOOKUP(BC$10,'VK-Võrgud'!$C:$X,2+$F108,0))</f>
        <v>8.0523611111111126</v>
      </c>
      <c r="BD108" s="209">
        <f>IF(BD$7="X",VLOOKUP(BD$10,'VK-Hooned-Soojus'!$C:$X,2+$C108,FALSE),0)+IF(BD$6="X",VLOOKUP(BD$10,'VK-Transport'!$C:$X,2+$B108,0))+IF(BD$8="X",VLOOKUP(BD$10,'VK-Elekter'!$C:$X,2+$D108,0))+IF(BD$9="X",VLOOKUP(BD$10,'VK-Biokütused'!$C:$U,2+$E108,0))+IF(BD$5="X",VLOOKUP(BD$10,'VK-Põlevkivi'!$C:$X,2+$G108,0))+IF(BD$4="X",VLOOKUP(BD$10,'VK-Võrgud'!$C:$X,2+$F108,0))</f>
        <v>10.42138888888889</v>
      </c>
      <c r="BE108" s="230"/>
      <c r="BF108" s="229">
        <f t="shared" si="64"/>
        <v>0.41103635614105855</v>
      </c>
      <c r="BG108" s="209" t="e">
        <f>(IF(BG$7="X",VLOOKUP(BG$10,'VK-Hooned-Soojus'!$C:$X,2+$C108,FALSE),0)+IF(BG$6="X",VLOOKUP(BG$10,'VK-Transport'!$C:$X,2+$B108,0))+IF(BG$8="X",VLOOKUP(BG$10,'VK-Elekter'!$C:$X,2+$D108,0))+IF(BG$9="X",VLOOKUP(BG$10,'VK-Biokütused'!$C:$U,2+$E108,0))+IF(BG$5="X",VLOOKUP(BG$10,'VK-Põlevkivi'!$C:$X,2+$G108,0))+IF(BG$4="X",VLOOKUP(BG$10,'VK-Võrgud'!$C:$X,2+$F108,0)))/20</f>
        <v>#N/A</v>
      </c>
      <c r="BH108" s="209">
        <f>(IF(BH$7="X",VLOOKUP(BH$10,'VK-Hooned-Soojus'!$C:$X,2+$C108,FALSE),0)+IF(BH$6="X",VLOOKUP(BH$10,'VK-Transport'!$C:$X,2+$B108,0))+IF(BH$8="X",VLOOKUP(BH$10,'VK-Elekter'!$C:$X,2+$D108,0))+IF(BH$9="X",VLOOKUP(BH$10,'VK-Biokütused'!$C:$U,2+$E108,0))+IF(BH$5="X",VLOOKUP(BH$10,'VK-Põlevkivi'!$C:$X,2+$G108,0))+IF(BH$4="X",VLOOKUP(BH$10,'VK-Võrgud'!$C:$X,2+$F108,0)))/20</f>
        <v>13.99</v>
      </c>
      <c r="BI108" s="209">
        <f>(IF(BI$7="X",VLOOKUP(BI$10,'VK-Hooned-Soojus'!$C:$X,2+$C108,FALSE),0)+IF(BI$6="X",VLOOKUP(BI$10,'VK-Transport'!$C:$X,2+$B108,0))+IF(BI$8="X",VLOOKUP(BI$10,'VK-Elekter'!$C:$X,2+$D108,0))+IF(BI$9="X",VLOOKUP(BI$10,'VK-Biokütused'!$C:$U,2+$E108,0))+IF(BI$5="X",VLOOKUP(BI$10,'VK-Põlevkivi'!$C:$X,2+$G108,0))+IF(BI$4="X",VLOOKUP(BI$10,'VK-Võrgud'!$C:$X,2+$F108,0)))/16</f>
        <v>17.75</v>
      </c>
      <c r="BJ108" s="209">
        <f>(IF(BJ$7="X",VLOOKUP(BJ$10,'VK-Hooned-Soojus'!$C:$X,2+$C108,FALSE),0)+IF(BJ$6="X",VLOOKUP(BJ$10,'VK-Transport'!$C:$X,2+$B108,0))+IF(BJ$8="X",VLOOKUP(BJ$10,'VK-Elekter'!$C:$X,2+$D108,0))+IF(BJ$9="X",VLOOKUP(BJ$10,'VK-Biokütused'!$C:$U,2+$E108,0))+IF(BJ$5="X",VLOOKUP(BJ$10,'VK-Põlevkivi'!$C:$X,2+$G108,0))+IF(BJ$4="X",VLOOKUP(BJ$10,'VK-Võrgud'!$C:$X,2+$F108,0)))/20</f>
        <v>1.85</v>
      </c>
      <c r="BK108" s="209"/>
      <c r="BL108" s="209"/>
      <c r="BM108" s="209"/>
      <c r="BN108" s="209" t="e">
        <f>(IF(BN$7="X",VLOOKUP(BN$10,'VK-Hooned-Soojus'!$C:$X,2+$C108,FALSE),0)+IF(BN$6="X",VLOOKUP(BN$10,'VK-Transport'!$C:$X,2+$B108,0))+IF(BN$8="X",VLOOKUP(BN$10,'VK-Elekter'!$C:$X,2+$D108,0))+IF(BN$9="X",VLOOKUP(BN$10,'VK-Biokütused'!$C:$U,2+$E108,0))+IF(BN$5="X",VLOOKUP(BN$10,'VK-Põlevkivi'!$C:$X,2+$G108,0))+IF(BN$4="X",VLOOKUP(BN$10,'VK-Võrgud'!$C:$X,2+$F108,0)))/16</f>
        <v>#N/A</v>
      </c>
      <c r="BO108" s="209">
        <f>(IF(BO$7="X",VLOOKUP(BO$10,'VK-Hooned-Soojus'!$C:$X,2+$C108,FALSE),0)+IF(BO$6="X",VLOOKUP(BO$10,'VK-Transport'!$C:$X,2+$B108,0))+IF(BO$8="X",VLOOKUP(BO$10,'VK-Elekter'!$C:$X,2+$D108,0))+IF(BO$9="X",VLOOKUP(BO$10,'VK-Biokütused'!$C:$U,2+$E108,0))+IF(BO$5="X",VLOOKUP(BO$10,'VK-Põlevkivi'!$C:$X,2+$G108,0))+IF(BO$4="X",VLOOKUP(BO$10,'VK-Võrgud'!$C:$X,2+$F108,0)))/16</f>
        <v>322.79374999999999</v>
      </c>
      <c r="BP108" s="209"/>
      <c r="BQ108" s="209">
        <f>(IF(BQ$7="X",VLOOKUP(BQ$10,'VK-Hooned-Soojus'!$C:$X,2+$C108,FALSE),0)+IF(BQ$6="X",VLOOKUP(BQ$10,'VK-Transport'!$C:$X,2+$B108,0))+IF(BQ$8="X",VLOOKUP(BQ$10,'VK-Elekter'!$C:$X,2+$D108,0))+IF(BQ$9="X",VLOOKUP(BQ$10,'VK-Biokütused'!$C:$U,2+$E108,0))+IF(BQ$5="X",VLOOKUP(BQ$10,'VK-Põlevkivi'!$C:$X,2+$G108,0))+IF(BQ$4="X",VLOOKUP(BQ$10,'VK-Võrgud'!$C:$X,2+$F108,0)))/16</f>
        <v>233.20625000000001</v>
      </c>
      <c r="BR108" s="209">
        <f>(IF(BR$7="X",VLOOKUP(BR$10,'VK-Hooned-Soojus'!$C:$X,2+$C108,FALSE),0)+IF(BR$6="X",VLOOKUP(BR$10,'VK-Transport'!$C:$X,2+$B108,0))+IF(BR$8="X",VLOOKUP(BR$10,'VK-Elekter'!$C:$X,2+$D108,0))+IF(BR$9="X",VLOOKUP(BR$10,'VK-Biokütused'!$C:$U,2+$E108,0))+IF(BR$5="X",VLOOKUP(BR$10,'VK-Põlevkivi'!$C:$X,2+$G108,0))+IF(BR$4="X",VLOOKUP(BR$10,'VK-Võrgud'!$C:$X,2+$F108,0)))/16</f>
        <v>74.512500000000003</v>
      </c>
      <c r="BS108" s="209">
        <f>(IF(BS$7="X",VLOOKUP(BS$10,'VK-Hooned-Soojus'!$C:$X,2+$C108,FALSE),0)+IF(BS$6="X",VLOOKUP(BS$10,'VK-Transport'!$C:$X,2+$B108,0))+IF(BS$8="X",VLOOKUP(BS$10,'VK-Elekter'!$C:$X,2+$D108,0))+IF(BS$9="X",VLOOKUP(BS$10,'VK-Biokütused'!$C:$U,2+$E108,0))+IF(BS$5="X",VLOOKUP(BS$10,'VK-Põlevkivi'!$C:$X,2+$G108,0))+IF(BS$4="X",VLOOKUP(BS$10,'VK-Võrgud'!$C:$X,2+$F108,0)))/16</f>
        <v>-21.475000000000001</v>
      </c>
      <c r="BT108" s="209"/>
      <c r="BU108" s="209"/>
      <c r="BV108" s="209">
        <f>(IF(BV$7="X",VLOOKUP(BV$10,'VK-Hooned-Soojus'!$C:$X,2+$C108,FALSE),0)+IF(BV$6="X",VLOOKUP(BV$10,'VK-Transport'!$C:$X,2+$B108,0))+IF(BV$8="X",VLOOKUP(BV$10,'VK-Elekter'!$C:$X,2+$D108,0))+IF(BV$9="X",VLOOKUP(BV$10,'VK-Biokütused'!$C:$U,2+$E108,0))+IF(BV$5="X",VLOOKUP(BV$10,'VK-Põlevkivi'!$C:$X,2+$G108,0))+IF(BV$4="X",VLOOKUP(BV$10,'VK-Võrgud'!$C:$X,2+$F108,0)))/16</f>
        <v>0</v>
      </c>
      <c r="BW108" s="209"/>
      <c r="BX108" s="209">
        <f>(IF(BX$7="X",VLOOKUP(BX$10,'VK-Hooned-Soojus'!$C:$X,2+$C108,FALSE),0)+IF(BX$6="X",VLOOKUP(BX$10,'VK-Transport'!$C:$X,2+$B108,0))+IF(BX$8="X",VLOOKUP(BX$10,'VK-Elekter'!$C:$X,2+$D108,0))+IF(BX$9="X",VLOOKUP(BX$10,'VK-Biokütused'!$C:$U,2+$E108,0))+IF(BX$5="X",VLOOKUP(BX$10,'VK-Põlevkivi'!$C:$X,2+$G108,0))+IF(BX$4="X",VLOOKUP(BX$10,'VK-Võrgud'!$C:$X,2+$F108,0)))/16</f>
        <v>-99.4375</v>
      </c>
      <c r="BY108" s="209"/>
      <c r="BZ108" s="209"/>
      <c r="CA108" s="209" t="e">
        <f>(IF(CA$7="X",VLOOKUP(CA$10,'VK-Hooned-Soojus'!$C:$X,2+$C108,FALSE),0)+IF(CA$6="X",VLOOKUP(CA$10,'VK-Transport'!$C:$X,2+$B108,0))+IF(CA$8="X",VLOOKUP(CA$10,'VK-Elekter'!$C:$X,2+$D108,0))+IF(CA$9="X",VLOOKUP(CA$10,'VK-Biokütused'!$C:$U,2+$E108,0))+IF(CA$5="X",VLOOKUP(CA$10,'VK-Põlevkivi'!$C:$X,2+$G108,0))+IF(CA$4="X",VLOOKUP(CA$10,'VK-Võrgud'!$C:$X,2+$F108,0)))/16</f>
        <v>#N/A</v>
      </c>
      <c r="CB108" s="209">
        <f>(IF(CB$7="X",VLOOKUP(CB$10,'VK-Hooned-Soojus'!$C:$X,2+$C108,FALSE),0)+IF(CB$6="X",VLOOKUP(CB$10,'VK-Transport'!$C:$X,2+$B108,0))+IF(CB$8="X",VLOOKUP(CB$10,'VK-Elekter'!$C:$X,2+$D108,0))+IF(CB$9="X",VLOOKUP(CB$10,'VK-Biokütused'!$C:$U,2+$E108,0))+IF(CB$5="X",VLOOKUP(CB$10,'VK-Põlevkivi'!$C:$X,2+$G108,0))+IF(CB$4="X",VLOOKUP(CB$10,'VK-Võrgud'!$C:$X,2+$F108,0)))/16</f>
        <v>0</v>
      </c>
      <c r="CC108" s="209">
        <f>(IF(CC$7="X",VLOOKUP(CC$10,'VK-Hooned-Soojus'!$C:$X,2+$C108,FALSE),0)+IF(CC$6="X",VLOOKUP(CC$10,'VK-Transport'!$C:$X,2+$B108,0))+IF(CC$8="X",VLOOKUP(CC$10,'VK-Elekter'!$C:$X,2+$D108,0))+IF(CC$9="X",VLOOKUP(CC$10,'VK-Biokütused'!$C:$U,2+$E108,0))+IF(CC$5="X",VLOOKUP(CC$10,'VK-Põlevkivi'!$C:$X,2+$G108,0))+IF(CC$4="X",VLOOKUP(CC$10,'VK-Võrgud'!$C:$X,2+$F108,0)))/16</f>
        <v>0</v>
      </c>
      <c r="CD108" s="209"/>
      <c r="CE108" s="209">
        <f>(IF(CE$7="X",VLOOKUP(CE$10,'VK-Hooned-Soojus'!$C:$X,2+$C108,FALSE),0)+IF(CE$6="X",VLOOKUP(CE$10,'VK-Transport'!$C:$X,2+$B108,0))+IF(CE$8="X",VLOOKUP(CE$10,'VK-Elekter'!$C:$X,2+$D108,0))+IF(CE$9="X",VLOOKUP(CE$10,'VK-Biokütused'!$C:$U,2+$E108,0))+IF(CE$5="X",VLOOKUP(CE$10,'VK-Põlevkivi'!$C:$X,2+$G108,0))+IF(CE$4="X",VLOOKUP(CE$10,'VK-Võrgud'!$C:$X,2+$F108,0)))/16</f>
        <v>24.15625</v>
      </c>
      <c r="CF108" s="209"/>
      <c r="CG108" s="209">
        <f>(IF(CG$7="X",VLOOKUP(CG$10,'VK-Hooned-Soojus'!$C:$X,2+$C108,FALSE),0)+IF(CG$6="X",VLOOKUP(CG$10,'VK-Transport'!$C:$X,2+$B108,0))+IF(CG$8="X",VLOOKUP(CG$10,'VK-Elekter'!$C:$X,2+$D108,0))+IF(CG$9="X",VLOOKUP(CG$10,'VK-Biokütused'!$C:$U,2+$E108,0))+IF(CG$5="X",VLOOKUP(CG$10,'VK-Põlevkivi'!$C:$X,2+$G108,0))+IF(CG$4="X",VLOOKUP(CG$10,'VK-Võrgud'!$C:$X,2+$F108,0)))/16</f>
        <v>0</v>
      </c>
      <c r="CH108" s="209">
        <f>(IF(CH$7="X",VLOOKUP(CH$10,'VK-Hooned-Soojus'!$C:$X,2+$C108,FALSE),0)+IF(CH$6="X",VLOOKUP(CH$10,'VK-Transport'!$C:$X,2+$B108,0))+IF(CH$8="X",VLOOKUP(CH$10,'VK-Elekter'!$C:$X,2+$D108,0))+IF(CH$9="X",VLOOKUP(CH$10,'VK-Biokütused'!$C:$U,2+$E108,0))+IF(CH$5="X",VLOOKUP(CH$10,'VK-Põlevkivi'!$C:$X,2+$G108,0))+IF(CH$4="X",VLOOKUP(CH$10,'VK-Võrgud'!$C:$X,2+$F108,0)))/20*0.21</f>
        <v>5.6122500000000004</v>
      </c>
      <c r="CI108" s="209"/>
      <c r="CJ108" s="209">
        <f>(IF(CJ$7="X",VLOOKUP(CJ$10,'VK-Hooned-Soojus'!$C:$X,2+$C108,FALSE),0)+IF(CJ$6="X",VLOOKUP(CJ$10,'VK-Transport'!$C:$X,2+$B108,0))+IF(CJ$8="X",VLOOKUP(CJ$10,'VK-Elekter'!$C:$X,2+$D108,0))+IF(CJ$9="X",VLOOKUP(CJ$10,'VK-Biokütused'!$C:$U,2+$E108,0))+IF(CJ$5="X",VLOOKUP(CJ$10,'VK-Põlevkivi'!$C:$X,2+$G108,0))+IF(CJ$4="X",VLOOKUP(CJ$10,'VK-Võrgud'!$C:$X,2+$F108,0)))/1000</f>
        <v>18.086861099430585</v>
      </c>
      <c r="CK108" s="209">
        <f>(IF(CK$7="X",VLOOKUP(CK$10,'VK-Hooned-Soojus'!$C:$X,2+$C108,FALSE),0)+IF(CK$6="X",VLOOKUP(CK$10,'VK-Transport'!$C:$X,2+$B108,0))+IF(CK$8="X",VLOOKUP(CK$10,'VK-Elekter'!$C:$X,2+$D108,0))+IF(CK$9="X",VLOOKUP(CK$10,'VK-Biokütused'!$C:$U,2+$E108,0))+IF(CK$5="X",VLOOKUP(CK$10,'VK-Põlevkivi'!$C:$X,2+$G108,0))+IF(CK$4="X",VLOOKUP(CK$10,'VK-Võrgud'!$C:$X,2+$F108,0)))/1000</f>
        <v>12.801077976340796</v>
      </c>
      <c r="CL108" s="235">
        <f>(IF(CL$7="X",VLOOKUP(CL$10,'VK-Hooned-Soojus'!$C:$X,2+$C108,FALSE),0)+IF(CL$6="X",VLOOKUP(CL$10,'VK-Transport'!$C:$X,2+$B108,0))+IF(CL$8="X",VLOOKUP(CL$10,'VK-Elekter'!$C:$X,2+$D108,0))+IF(CL$9="X",VLOOKUP(CL$10,'VK-Biokütused'!$C:$U,2+$E108,0)))/1000</f>
        <v>7.9062826922990279</v>
      </c>
      <c r="CM108" s="209">
        <f>(IF(CM$7="X",VLOOKUP(CM$10,'VK-Hooned-Soojus'!$C:$X,2+$C108,FALSE),0)+IF(CM$6="X",VLOOKUP(CM$10,'VK-Transport'!$C:$X,2+$B108,0))+IF(CM$8="X",VLOOKUP(CM$10,'VK-Elekter'!$C:$X,2+$D108,0))+IF(CM$9="X",VLOOKUP(CM$10,'VK-Biokütused'!$C:$U,2+$E108,0))+IF(CM$5="X",VLOOKUP(CM$10,'VK-Põlevkivi'!$C:$X,2+$G108,0))+IF(CM$4="X",VLOOKUP(CM$10,'VK-Võrgud'!$C:$X,2+$F108,0)))/1000</f>
        <v>8.5193156794471037</v>
      </c>
      <c r="CN108" s="209">
        <f>(IF(CN$7="X",VLOOKUP(CN$10,'VK-Hooned-Soojus'!$C:$X,2+$C108,FALSE),0)+IF(CN$6="X",VLOOKUP(CN$10,'VK-Transport'!$C:$X,2+$B108,0))+IF(CN$8="X",VLOOKUP(CN$10,'VK-Elekter'!$C:$X,2+$D108,0))+IF(CN$9="X",VLOOKUP(CN$10,'VK-Biokütused'!$C:$U,2+$E108,0))+IF(CN$5="X",VLOOKUP(CN$10,'VK-Põlevkivi'!$C:$X,2+$G108,0))+IF(CN$4="X",VLOOKUP(CN$10,'VK-Võrgud'!$C:$X,2+$F108,0)))/1000</f>
        <v>3.0510000000000002</v>
      </c>
      <c r="CO108" s="209">
        <f>(IF(CO$7="X",VLOOKUP(CO$10,'VK-Hooned-Soojus'!$C:$X,2+$C108,FALSE),0)+IF(CO$6="X",VLOOKUP(CO$10,'VK-Transport'!$C:$X,2+$B108,0))+IF(CO$8="X",VLOOKUP(CO$10,'VK-Elekter'!$C:$X,2+$D108,0))+IF(CO$9="X",VLOOKUP(CO$10,'VK-Biokütused'!$C:$U,2+$E108,0))+IF(CO$5="X",VLOOKUP(CO$10,'VK-Põlevkivi'!$C:$X,2+$G108,0))+IF(CO$4="X",VLOOKUP(CO$10,'VK-Võrgud'!$C:$X,2+$F108,0)))/1000</f>
        <v>24.117362337356994</v>
      </c>
      <c r="CP108" s="209">
        <f>(IF(CP$7="X",VLOOKUP(CP$10,'VK-Hooned-Soojus'!$C:$X,2+$C108,FALSE),0)+IF(CP$6="X",VLOOKUP(CP$10,'VK-Transport'!$C:$X,2+$B108,0))+IF(CP$8="X",VLOOKUP(CP$10,'VK-Elekter'!$C:$X,2+$D108,0))+IF(CP$9="X",VLOOKUP(CP$10,'VK-Biokütused'!$C:$U,2+$E108,0))+IF(CP$5="X",VLOOKUP(CP$10,'VK-Põlevkivi'!$C:$X,2+$G108,0))+IF(CP$4="X",VLOOKUP(CP$10,'VK-Võrgud'!$C:$X,2+$F108,0)))/1000</f>
        <v>13.823392120693661</v>
      </c>
      <c r="CQ108" s="235">
        <f>(IF(CQ$7="X",VLOOKUP(CQ$10,'VK-Hooned-Soojus'!$C:$X,2+$C108,FALSE),0)+IF(CQ$6="X",VLOOKUP(CQ$10,'VK-Transport'!$C:$X,2+$B108,0))+IF(CQ$8="X",VLOOKUP(CQ$10,'VK-Elekter'!$C:$X,2+$D108,0))+IF(CQ$9="X",VLOOKUP(CQ$10,'VK-Biokütused'!$C:$U,2+$E108,0)))/1000</f>
        <v>10.548919</v>
      </c>
      <c r="CR108" s="209">
        <f>(IF(CR$7="X",VLOOKUP(CR$10,'VK-Hooned-Soojus'!$C:$X,2+$C108,FALSE),0)+IF(CR$6="X",VLOOKUP(CR$10,'VK-Transport'!$C:$X,2+$B108,0))+IF(CR$8="X",VLOOKUP(CR$10,'VK-Elekter'!$C:$X,2+$D108,0))+IF(CR$9="X",VLOOKUP(CR$10,'VK-Biokütused'!$C:$U,2+$E108,0))+IF(CR$5="X",VLOOKUP(CR$10,'VK-Põlevkivi'!$C:$X,2+$G108,0))+IF(CR$4="X",VLOOKUP(CR$10,'VK-Võrgud'!$C:$X,2+$F108,0)))/1000</f>
        <v>8.0837518373996886</v>
      </c>
      <c r="CS108" s="209">
        <f>(IF(CS$7="X",VLOOKUP(CS$10,'VK-Hooned-Soojus'!$C:$X,2+$C108,FALSE),0)+IF(CS$6="X",VLOOKUP(CS$10,'VK-Transport'!$C:$X,2+$B108,0))+IF(CS$8="X",VLOOKUP(CS$10,'VK-Elekter'!$C:$X,2+$D108,0))+IF(CS$9="X",VLOOKUP(CS$10,'VK-Biokütused'!$C:$U,2+$E108,0))+IF(CS$5="X",VLOOKUP(CS$10,'VK-Põlevkivi'!$C:$X,2+$G108,0))+IF(CS$4="X",VLOOKUP(CS$10,'VK-Võrgud'!$C:$X,2+$F108,0)))/1000</f>
        <v>3.838649509862238</v>
      </c>
      <c r="CT108" s="209">
        <f>IF(CT$7="X",VLOOKUP(CT$10,'VK-Hooned-Soojus'!$C:$X,2+$C108,FALSE),0)+IF(CT$6="X",VLOOKUP(CT$10,'VK-Transport'!$C:$X,2+$B108,0))+IF(CT$8="X",VLOOKUP(CT$10,'VK-Elekter'!$C:$X,2+$D108,0))+IF(CT$9="X",VLOOKUP(CT$10,'VK-Biokütused'!$C:$U,2+$E108,0))+IF(CT$5="X",VLOOKUP(CT$10,'VK-Põlevkivi'!$C:$X,2+$G108,0))+IF(CT$4="X",VLOOKUP(CT$10,'VK-Võrgud'!$C:$X,2+$F108,0))</f>
        <v>90</v>
      </c>
      <c r="CU108" s="209">
        <f>IF(CU$7="X",VLOOKUP(CU$10,'VK-Hooned-Soojus'!$C:$X,2+$C108,FALSE),0)+IF(CU$6="X",VLOOKUP(CU$10,'VK-Transport'!$C:$X,2+$B108,0))+IF(CU$8="X",VLOOKUP(CU$10,'VK-Elekter'!$C:$X,2+$D108,0))+IF(CU$9="X",VLOOKUP(CU$10,'VK-Biokütused'!$C:$U,2+$E108,0))+IF(CU$5="X",VLOOKUP(CU$10,'VK-Põlevkivi'!$C:$X,2+$G108,0))+IF(CU$4="X",VLOOKUP(CU$10,'VK-Võrgud'!$C:$X,2+$F108,0))</f>
        <v>0.9337349397590361</v>
      </c>
      <c r="CV108" s="209">
        <f t="shared" si="84"/>
        <v>0.72887234460741657</v>
      </c>
      <c r="CW108" s="209">
        <f>(IF(CW$7="X",VLOOKUP(CW$10,'VK-Hooned-Soojus'!$C:$X,2+$C108,FALSE),0)+IF(CW$6="X",VLOOKUP(CW$10,'VK-Transport'!$C:$X,2+$B108,0))+IF(CW$8="X",VLOOKUP(CW$10,'VK-Elekter'!$C:$X,2+$D108,0))+IF(CW$9="X",VLOOKUP(CW$10,'VK-Biokütused'!$C:$U,2+$E108,0))+IF(CW$5="X",VLOOKUP(CW$10,'VK-Põlevkivi'!$C:$X,2+$G108,0))+IF(CW$4="X",VLOOKUP(CW$10,'VK-Võrgud'!$C:$X,2+$F108,0)))/16</f>
        <v>59.743749999999999</v>
      </c>
      <c r="CY108" s="209">
        <f>(IF(CY$7="X",VLOOKUP(CY$10,'VK-Hooned-Soojus'!$C:$X,2+$C108,FALSE),0)+IF(CY$6="X",VLOOKUP(CY$10,'VK-Transport'!$C:$X,2+$B108,0))+IF(CY$8="X",VLOOKUP(CY$10,'VK-Elekter'!$C:$X,2+$D108,0))+IF(CY$9="X",VLOOKUP(CY$10,'VK-Biokütused'!$C:$U,2+$E108,0))+IF(CY$5="X",VLOOKUP(CY$10,'VK-Põlevkivi'!$C:$X,2+$G108,0))+IF(CY$4="X",VLOOKUP(CY$10,'VK-Võrgud'!$C:$X,2+$F108,0)))/1000</f>
        <v>10.542999999999999</v>
      </c>
      <c r="CZ108" s="209">
        <f>(IF(CZ$7="X",VLOOKUP(CZ$10,'VK-Hooned-Soojus'!$C:$X,2+$C108,FALSE),0)+IF(CZ$6="X",VLOOKUP(CZ$10,'VK-Transport'!$C:$X,2+$B108,0))+IF(CZ$8="X",VLOOKUP(CZ$10,'VK-Elekter'!$C:$X,2+$D108,0))+IF(CZ$9="X",VLOOKUP(CZ$10,'VK-Biokütused'!$C:$U,2+$E108,0))+IF(CZ$5="X",VLOOKUP(CZ$10,'VK-Põlevkivi'!$C:$X,2+$G108,0))+IF(CZ$4="X",VLOOKUP(CZ$10,'VK-Võrgud'!$C:$X,2+$F108,0)))</f>
        <v>72.400000000000006</v>
      </c>
      <c r="DA108" s="209">
        <f>(IF(DA$7="X",VLOOKUP(DA$10,'VK-Hooned-Soojus'!$C:$X,2+$C108,FALSE),0)+IF(DA$6="X",VLOOKUP(DA$10,'VK-Transport'!$C:$X,2+$B108,0))+IF(DA$8="X",VLOOKUP(DA$10,'VK-Elekter'!$C:$X,2+$D108,0))+IF(DA$9="X",VLOOKUP(DA$10,'VK-Biokütused'!$C:$U,2+$E108,0))+IF(DA$5="X",VLOOKUP(DA$10,'VK-Põlevkivi'!$C:$X,2+$G108,0))+IF(DA$4="X",VLOOKUP(DA$10,'VK-Võrgud'!$C:$X,2+$F108,0)))/1000</f>
        <v>13.83</v>
      </c>
      <c r="DB108" s="209">
        <f>(IF(DB$7="X",VLOOKUP(DB$10,'VK-Hooned-Soojus'!$C:$X,2+$C108,FALSE),0)+IF(DB$6="X",VLOOKUP(DB$10,'VK-Transport'!$C:$X,2+$B108,0))+IF(DB$8="X",VLOOKUP(DB$10,'VK-Elekter'!$C:$X,2+$D108,0))+IF(DB$9="X",VLOOKUP(DB$10,'VK-Biokütused'!$C:$U,2+$E108,0))+IF(DB$5="X",VLOOKUP(DB$10,'VK-Põlevkivi'!$C:$X,2+$G108,0))+IF(DB$4="X",VLOOKUP(DB$10,'VK-Võrgud'!$C:$X,2+$F108,0)))/1000/3.6</f>
        <v>62.209999999999994</v>
      </c>
      <c r="DC108" s="209">
        <f>(IF(DC$7="X",VLOOKUP(DC$10,'VK-Hooned-Soojus'!$C:$X,2+$C108,FALSE),0)+IF(DC$6="X",VLOOKUP(DC$10,'VK-Transport'!$C:$X,2+$B108,0))+IF(DC$8="X",VLOOKUP(DC$10,'VK-Elekter'!$C:$X,2+$D108,0))+IF(DC$9="X",VLOOKUP(DC$10,'VK-Biokütused'!$C:$U,2+$E108,0))+IF(DC$5="X",VLOOKUP(DC$10,'VK-Põlevkivi'!$C:$X,2+$G108,0))+IF(DC$4="X",VLOOKUP(DC$10,'VK-Võrgud'!$C:$X,2+$F108,0)))/1000000</f>
        <v>5.0026460000000004</v>
      </c>
      <c r="DD108" s="209"/>
      <c r="DE108" s="88">
        <f>VLOOKUP(Tulemused!$BN$12,data!M$7:N$12,2,FALSE)-SUM(L108,M108)</f>
        <v>-0.80250937302436398</v>
      </c>
      <c r="DF108" s="209" t="str">
        <f>IF(AZ108&lt;=VLOOKUP(Tulemused!$BN$15,data!$E$36:$F$39,2,FALSE),"JAH","EI")</f>
        <v>JAH</v>
      </c>
      <c r="DG108" s="209"/>
      <c r="DH108" s="209">
        <f t="shared" si="85"/>
        <v>6.78</v>
      </c>
      <c r="DI108" s="231" t="str">
        <f t="shared" si="65"/>
        <v>EI</v>
      </c>
      <c r="DK108" s="232">
        <f t="shared" si="86"/>
        <v>-993.96272345652346</v>
      </c>
      <c r="DM108" s="233">
        <f t="shared" si="87"/>
        <v>-996.65634431527974</v>
      </c>
      <c r="DN108" s="87">
        <f t="array" ref="DN108">INDEX($A$11:$A$145, SMALL(IF(DM108=$DK$11:$DK$145, MATCH(ROW($DK$11:$DK$145), ROW($DK$11:$DK$145))), SUM(--(DM108=$DM$11:DM108))))</f>
        <v>79</v>
      </c>
      <c r="DP108" s="87" t="e">
        <f t="shared" ca="1" si="66"/>
        <v>#N/A</v>
      </c>
      <c r="DQ108" s="87" t="e">
        <f t="shared" ca="1" si="67"/>
        <v>#N/A</v>
      </c>
      <c r="DR108" s="87">
        <f t="shared" ca="1" si="68"/>
        <v>0</v>
      </c>
      <c r="DS108" s="87" t="e">
        <f t="shared" ca="1" si="69"/>
        <v>#N/A</v>
      </c>
      <c r="DT108" s="87">
        <f t="shared" ca="1" si="70"/>
        <v>0</v>
      </c>
      <c r="DU108" s="87" t="e">
        <f t="shared" ca="1" si="71"/>
        <v>#N/A</v>
      </c>
      <c r="DV108" s="87" t="e">
        <f t="shared" ca="1" si="72"/>
        <v>#N/A</v>
      </c>
      <c r="DW108" s="87">
        <f t="shared" ca="1" si="73"/>
        <v>0</v>
      </c>
      <c r="DX108" s="87">
        <f t="shared" ca="1" si="74"/>
        <v>0</v>
      </c>
      <c r="DZ108" s="87">
        <f t="shared" ca="1" si="82"/>
        <v>0</v>
      </c>
      <c r="EB108" s="87">
        <f t="shared" ca="1" si="75"/>
        <v>0</v>
      </c>
      <c r="EC108" s="87" t="e">
        <f t="shared" ca="1" si="76"/>
        <v>#N/A</v>
      </c>
      <c r="EE108" s="228">
        <f>(IF(EE$7="X",VLOOKUP(EE$10,'VK-Hooned-Soojus'!$C:$X,2+$C108,FALSE),0)+IF(EE$6="X",VLOOKUP(EE$10,'VK-Transport'!$C:$X,2+$B108,0))+IF(EE$8="X",VLOOKUP(EE$10,'VK-Elekter'!$C:$X,2+$D108,0))+IF(EE$9="X",VLOOKUP(EE$10,'VK-Biokütused'!$C:$U,2+$E108,0))+IF(EE$5="X",VLOOKUP(EE$10,'VK-Põlevkivi'!$C:$X,2+$G108,0))+IF(EE$4="X",VLOOKUP(EE$10,'VK-Võrgud'!$C:$X,2+$F108,0)))</f>
        <v>10619.413777782605</v>
      </c>
      <c r="EF108" s="235">
        <f>(IF(EF$7="X",VLOOKUP(EF$10,'VK-Hooned-Soojus'!$C:$X,2+$C108,FALSE),0)+IF(EF$6="X",VLOOKUP(EF$10,'VK-Transport'!$C:$X,2+$B108,0))+IF(EF$8="X",VLOOKUP(EF$10,'VK-Elekter'!$C:$X,2+$D108,0))+IF(EF$9="X",VLOOKUP(EF$10,'VK-Biokütused'!$C:$U,2+$E108,0)))/1000</f>
        <v>4.0208849906373194</v>
      </c>
      <c r="EG108" s="209">
        <f>(IF(EG$7="X",VLOOKUP(EG$10,'VK-Hooned-Soojus'!$C:$X,2+$C108,FALSE),0)+IF(EG$6="X",VLOOKUP(EG$10,'VK-Transport'!$C:$X,2+$B108,0))+IF(EG$8="X",VLOOKUP(EG$10,'VK-Elekter'!$C:$X,2+$D108,0))+IF(EG$9="X",VLOOKUP(EG$10,'VK-Biokütused'!$C:$U,2+$E108,0))+IF(EG$5="X",VLOOKUP(EG$10,'VK-Põlevkivi'!$C:$X,2+$G108,0))+IF(EG$4="X",VLOOKUP(EG$10,'VK-Võrgud'!$C:$X,2+$F108,0)))</f>
        <v>2.95</v>
      </c>
      <c r="EH108" s="209">
        <f>(IF(EH$7="X",VLOOKUP(EH$10,'VK-Hooned-Soojus'!$C:$X,2+$C108,FALSE),0)+IF(EH$6="X",VLOOKUP(EH$10,'VK-Transport'!$C:$X,2+$B108,0))+IF(EH$8="X",VLOOKUP(EH$10,'VK-Elekter'!$C:$X,2+$D108,0))+IF(EH$9="X",VLOOKUP(EH$10,'VK-Biokütused'!$C:$U,2+$E108,0)))+AR108+AS108+AU108+AX108</f>
        <v>52.075637038771781</v>
      </c>
      <c r="EI108" s="320">
        <f t="shared" si="88"/>
        <v>47.372900516795859</v>
      </c>
      <c r="EJ108" s="322">
        <f t="shared" si="89"/>
        <v>8.4247602275161246E-2</v>
      </c>
      <c r="EK108" s="323">
        <f t="shared" si="77"/>
        <v>0.50386843943393778</v>
      </c>
      <c r="EM108" s="209"/>
      <c r="EN108" s="209">
        <f t="shared" ca="1" si="90"/>
        <v>0</v>
      </c>
      <c r="EO108" s="209"/>
      <c r="EP108" s="234"/>
      <c r="EQ108" s="209">
        <f>(IF(EQ$7="X",VLOOKUP(EQ$10,'VK-Hooned-Soojus'!$C:$X,2+$C108,FALSE),0)+IF(EQ$6="X",VLOOKUP(EQ$10,'VK-Transport'!$C:$X,2+$B108,0))+IF(EQ$8="X",VLOOKUP(EQ$10,'VK-Elekter'!$C:$X,2+$D108,0))+IF(EQ$9="X",VLOOKUP(EQ$10,'VK-Biokütused'!$C:$U,2+$E108,0))+IF(EQ$5="X",VLOOKUP(EQ$10,'VK-Põlevkivi'!$C:$X,2+$G108,0))+IF(EQ$4="X",VLOOKUP(EQ$10,'VK-Võrgud'!$C:$X,2+$F108,0)))/1000</f>
        <v>0.22900000000000001</v>
      </c>
      <c r="ER108" s="209">
        <f>(IF(ER$7="X",VLOOKUP(ER$10,'VK-Hooned-Soojus'!$C:$X,2+$C108,FALSE),0)+IF(ER$6="X",VLOOKUP(ER$10,'VK-Transport'!$C:$X,2+$B108,0))+IF(ER$8="X",VLOOKUP(ER$10,'VK-Elekter'!$C:$X,2+$D108,0))+IF(ER$9="X",VLOOKUP(ER$10,'VK-Biokütused'!$C:$U,2+$E108,0))+IF(ER$5="X",VLOOKUP(ER$10,'VK-Põlevkivi'!$C:$X,2+$G108,0))+IF(ER$4="X",VLOOKUP(ER$10,'VK-Võrgud'!$C:$X,2+$F108,0)))</f>
        <v>0.82899999999999996</v>
      </c>
      <c r="ES108" s="209">
        <f>(IF(ES$7="X",VLOOKUP(ES$10,'VK-Hooned-Soojus'!$C:$X,2+$C108,FALSE),0)+IF(ES$6="X",VLOOKUP(ES$10,'VK-Transport'!$C:$X,2+$B108,0))+IF(ES$8="X",VLOOKUP(ES$10,'VK-Elekter'!$C:$X,2+$D108,0))+IF(ES$9="X",VLOOKUP(ES$10,'VK-Biokütused'!$C:$U,2+$E108,0))+IF(ES$5="X",VLOOKUP(ES$10,'VK-Põlevkivi'!$C:$X,2+$G108,0))+IF(ES$4="X",VLOOKUP(ES$10,'VK-Võrgud'!$C:$X,2+$F108,0)))</f>
        <v>6.78</v>
      </c>
      <c r="ET108" s="209"/>
      <c r="EU108" s="209"/>
      <c r="EV108" s="87">
        <f>'KSH järjestus'!AS101</f>
        <v>1281</v>
      </c>
      <c r="EX108" s="236"/>
      <c r="EY108" s="236"/>
      <c r="EZ108" s="237">
        <f t="shared" si="91"/>
        <v>6.6265060240963902E-2</v>
      </c>
      <c r="FA108" s="209">
        <f>IF(FA$7="X",VLOOKUP(FA$10,'VK-Hooned-Soojus'!$C:$X,2+$C108,FALSE),0)+IF(FA$6="X",VLOOKUP(FA$10,'VK-Transport'!$C:$X,2+$B108,0))+IF(FA$8="X",VLOOKUP(FA$10,'VK-Elekter'!$C:$X,2+$D108,0))+IF(FA$9="X",VLOOKUP(FA$10,'VK-Biokütused'!$C:$U,2+$E108,0))+IF(FA$5="X",VLOOKUP(FA$10,'VK-Põlevkivi'!$C:$X,2+$G108,0))+IF(FA$4="X",VLOOKUP(FA$10,'VK-Võrgud'!$C:$X,2+$F108,0))</f>
        <v>3026.9189999999999</v>
      </c>
      <c r="FB108" s="279">
        <f>(IF(FB$7="X",VLOOKUP(FB$10,'VK-Hooned-Soojus'!$C:$X,2+$C108,FALSE),0)+IF(FB$6="X",VLOOKUP(FB$10,'VK-Transport'!$C:$X,2+$B108,0))+IF(FB$8="X",VLOOKUP(FB$10,'VK-Elekter'!$C:$X,2+$D108,0))+IF(FB$9="X",VLOOKUP(FB$10,'VK-Biokütused'!$C:$U,2+$E108,0))+IF(FB$5="X",VLOOKUP(FB$10,'VK-Põlevkivi'!$C:$X,2+$G108,0))+IF(FB$4="X",VLOOKUP(FB$10,'VK-Võrgud'!$C:$X,2+$F108,0)))/16</f>
        <v>483.52910219229227</v>
      </c>
      <c r="FC108" s="209">
        <f>IF(FC$7="X",VLOOKUP(FC$10,'VK-Hooned-Soojus'!$C:$X,2+$C108,FALSE),0)+IF(FC$6="X",VLOOKUP(FC$10,'VK-Transport'!$C:$X,2+$B108,0))+IF(FC$8="X",VLOOKUP(FC$10,'VK-Elekter'!$C:$X,2+$D108,0))+IF(FC$9="X",VLOOKUP(FC$10,'VK-Biokütused'!$C:$U,2+$E108,0))+IF(FC$5="X",VLOOKUP(FC$10,'VK-Põlevkivi'!$C:$X,2+$G108,0))+IF(FC$4="X",VLOOKUP(FC$10,'VK-Võrgud'!$C:$X,2+$F108,0))</f>
        <v>315.49999999999994</v>
      </c>
      <c r="FD108" s="209">
        <f>(IF(FD$7="X",VLOOKUP(FD$10,'VK-Hooned-Soojus'!$C:$X,2+$C108,FALSE),0)+IF(FD$6="X",VLOOKUP(FD$10,'VK-Transport'!$C:$X,2+$B108,0))+IF(FD$8="X",VLOOKUP(FD$10,'VK-Elekter'!$C:$X,2+$D108,0))+IF(FD$9="X",VLOOKUP(FD$10,'VK-Biokütused'!$C:$U,2+$E108,0))+IF(FD$5="X",VLOOKUP(FD$10,'VK-Põlevkivi'!$C:$X,2+$G108,0))+IF(FD$4="X",VLOOKUP(FD$10,'VK-Võrgud'!$C:$X,2+$F108,0)))/16</f>
        <v>483.52910219229227</v>
      </c>
      <c r="FE108" s="209">
        <f>(IF(FE$7="X",VLOOKUP(FE$10,'VK-Hooned-Soojus'!$C:$X,2+$C108,FALSE),0)+IF(FE$6="X",VLOOKUP(FE$10,'VK-Transport'!$C:$X,2+$B108,0))+IF(FE$8="X",VLOOKUP(FE$10,'VK-Elekter'!$C:$X,2+$D108,0))+IF(FE$9="X",VLOOKUP(FE$10,'VK-Biokütused'!$C:$U,2+$E108,0))+IF(FE$5="X",VLOOKUP(FE$10,'VK-Põlevkivi'!$C:$X,2+$G108,0))+IF(FE$4="X",VLOOKUP(FE$10,'VK-Võrgud'!$C:$X,2+$F108,0)))/16</f>
        <v>-55.7707198806321</v>
      </c>
      <c r="FF108" s="209">
        <f>(IF(FF$7="X",VLOOKUP(FF$10,'VK-Hooned-Soojus'!$C:$X,2+$C108,FALSE),0)+IF(FF$6="X",VLOOKUP(FF$10,'VK-Transport'!$C:$X,2+$B108,0))+IF(FF$8="X",VLOOKUP(FF$10,'VK-Elekter'!$C:$X,2+$D108,0))+IF(FF$9="X",VLOOKUP(FF$10,'VK-Biokütused'!$C:$U,2+$E108,0))+IF(FF$5="X",VLOOKUP(FF$10,'VK-Põlevkivi'!$C:$X,2+$G108,0))+IF(FF$4="X",VLOOKUP(FF$10,'VK-Võrgud'!$C:$X,2+$F108,0)))/16</f>
        <v>195.17830739407881</v>
      </c>
      <c r="FG108" s="88">
        <f t="shared" ca="1" si="78"/>
        <v>139.40758751344671</v>
      </c>
      <c r="FH108" s="88"/>
      <c r="FI108" s="88"/>
      <c r="FJ108" s="88">
        <f>VLOOKUP(Tulemused!$BN$12,data!M$7:N$12,2,FALSE)-SUM(L108,M108)</f>
        <v>-0.80250937302436398</v>
      </c>
      <c r="FK108" s="209" t="str">
        <f>IF(AZ108&lt;=VLOOKUP(Tulemused!$BN$15,data!$E$36:$F$39,2,FALSE),"JAH","EI")</f>
        <v>JAH</v>
      </c>
      <c r="FL108" s="235">
        <f ca="1">IF(ISNA(MATCH($A108,INDIRECT(VLOOKUP(Tulemused!$BF$11,data!$J$57:$M$71,4,FALSE)))),0,MATCH($A108,INDIRECT(VLOOKUP(Tulemused!$BF$11,data!$J$57:$M$71,4,FALSE))))</f>
        <v>0</v>
      </c>
      <c r="FM108" s="235" t="str">
        <f t="shared" ca="1" si="92"/>
        <v>JAH</v>
      </c>
      <c r="FN108" s="209">
        <f>VLOOKUP(Tulemused!$BN$13,data!$C$132:$D$137,2,FALSE)-KOMBI!R108</f>
        <v>4.5255850093626808</v>
      </c>
      <c r="FO108" s="209"/>
      <c r="FP108" s="209">
        <f>VLOOKUP(Tulemused!$BN$17,NO_x,2,FALSE)-CJ108</f>
        <v>11.351138900569413</v>
      </c>
      <c r="FQ108" s="209">
        <f>VLOOKUP(Tulemused!$BN$18,SO_2,2,FALSE)-CK108</f>
        <v>39.082922023659208</v>
      </c>
      <c r="FR108" s="209">
        <f>VLOOKUP(Tulemused!$BN$19,LOU,2,FALSE)-CN108</f>
        <v>34.029000000000003</v>
      </c>
      <c r="FS108" s="209">
        <f>VLOOKUP(Tulemused!$BN$20,PM_2.5,2,FALSE)-CM108</f>
        <v>8.3956843205528955</v>
      </c>
      <c r="FT108" s="209">
        <f>VLOOKUP(Tulemused!$BN$13,data!$C$132:$D$137,2,FALSE)-FA108/1000</f>
        <v>3.2190510000000008</v>
      </c>
      <c r="FU108" s="209">
        <f>VLOOKUP(Tulemused!$BN$17,NO_x,2,FALSE)-CO108</f>
        <v>5.320637662643005</v>
      </c>
      <c r="FV108" s="209">
        <f>VLOOKUP(Tulemused!$BN$18,SO_2,2,FALSE)-CP108</f>
        <v>38.060607879306339</v>
      </c>
      <c r="FW108" s="209">
        <f>VLOOKUP(Tulemused!$BN$19,LOU,2,FALSE)-CS108</f>
        <v>33.241350490137769</v>
      </c>
      <c r="FX108" s="209">
        <f>VLOOKUP(Tulemused!$BN$20,PM_2.5,2,FALSE)-CR108</f>
        <v>8.8312481626003105</v>
      </c>
      <c r="FY108" s="209">
        <f>VLOOKUP(Tulemused!$BN$14,KHG_2050,2,FALSE)-EF108</f>
        <v>95.979115009362687</v>
      </c>
      <c r="FZ108" s="231" t="str">
        <f t="shared" ca="1" si="79"/>
        <v>EI</v>
      </c>
      <c r="GA108" s="209"/>
      <c r="GB108" s="209"/>
      <c r="GC108" s="209"/>
      <c r="GD108" s="231"/>
      <c r="GE108" s="87">
        <f t="shared" si="93"/>
        <v>1281</v>
      </c>
      <c r="GF108" s="232" t="str">
        <f t="shared" ca="1" si="80"/>
        <v/>
      </c>
      <c r="GH108" s="238" t="e">
        <f t="shared" ca="1" si="94"/>
        <v>#NUM!</v>
      </c>
      <c r="GI108" s="87" t="e">
        <f t="array" aca="1" ref="GI108" ca="1">INDEX($A$11:$A$145, SMALL(IF(GH108=$GF$11:$GF$145, MATCH(ROW($GF$11:$GF$145), ROW($GF$11:$GF$145))), SUM(--(GH108=$GH$11:GH108))))</f>
        <v>#NUM!</v>
      </c>
      <c r="GM108" s="209">
        <f>IF(GM$7="X",VLOOKUP(GM$10,'VK-Hooned-Soojus'!$C:$X,2+$C108,FALSE),0)+IF(GM$6="X",VLOOKUP(GM$10,'VK-Transport'!$C:$X,2+$B108,0))+IF(GM$8="X",VLOOKUP(GM$10,'VK-Elekter'!$C:$X,2+$D108,0))+IF(GM$9="X",VLOOKUP(GM$10,'VK-Biokütused'!$C:$U,2+$E108,0))+IF(GM$5="X",VLOOKUP(GM$10,'VK-Põlevkivi'!$C:$X,2+$G108,0))+IF(GM$4="X",VLOOKUP(GM$10,'VK-Võrgud'!$C:$X,2+$F108,0))</f>
        <v>6.011750640646909</v>
      </c>
      <c r="GN108" s="209">
        <f>IF(GN$7="X",VLOOKUP(GN$10,'VK-Hooned-Soojus'!$C:$X,2+$C108,FALSE),0)+IF(GN$6="X",VLOOKUP(GN$10,'VK-Transport'!$C:$X,2+$B108,0))+IF(GN$8="X",VLOOKUP(GN$10,'VK-Elekter'!$C:$X,2+$D108,0))+IF(GN$9="X",VLOOKUP(GN$10,'VK-Biokütused'!$C:$U,2+$E108,0))+IF(GN$5="X",VLOOKUP(GN$10,'VK-Põlevkivi'!$C:$X,2+$G108,0))+IF(GN$4="X",VLOOKUP(GN$10,'VK-Võrgud'!$C:$X,2+$F108,0))</f>
        <v>3.4528686473995491</v>
      </c>
      <c r="GO108" s="209">
        <f>IF(GO$7="X",VLOOKUP(GO$10,'VK-Hooned-Soojus'!$C:$X,2+$C108,FALSE),0)+IF(GO$6="X",VLOOKUP(GO$10,'VK-Transport'!$C:$X,2+$B108,0))+IF(GO$8="X",VLOOKUP(GO$10,'VK-Elekter'!$C:$X,2+$D108,0))+IF(GO$9="X",VLOOKUP(GO$10,'VK-Biokütused'!$C:$U,2+$E108,0))+IF(GO$5="X",VLOOKUP(GO$10,'VK-Põlevkivi'!$C:$X,2+$G108,0))+IF(GO$4="X",VLOOKUP(GO$10,'VK-Võrgud'!$C:$X,2+$F108,0))</f>
        <v>8.7471755658278116</v>
      </c>
      <c r="GP108" s="209">
        <f>IF(GP$7="X",VLOOKUP(GP$10,'VK-Hooned-Soojus'!$C:$X,2+$C108,FALSE),0)+IF(GP$6="X",VLOOKUP(GP$10,'VK-Transport'!$C:$X,2+$B108,0))+IF(GP$8="X",VLOOKUP(GP$10,'VK-Elekter'!$C:$X,2+$D108,0))+IF(GP$9="X",VLOOKUP(GP$10,'VK-Biokütused'!$C:$U,2+$E108,0))+IF(GP$5="X",VLOOKUP(GP$10,'VK-Põlevkivi'!$C:$X,2+$G108,0))+IF(GP$4="X",VLOOKUP(GP$10,'VK-Võrgud'!$C:$X,2+$F108,0))</f>
        <v>9.3279335818485372</v>
      </c>
      <c r="GQ108" s="88">
        <f>IF(GQ$7="X",VLOOKUP(GQ$10,'VK-Hooned-Soojus'!$C:$X,2+$C108,FALSE),0)+IF(GQ$6="X",VLOOKUP(GQ$10,'VK-Transport'!$C:$X,2+$B108,0))+IF(GQ$8="X",VLOOKUP(GQ$10,'VK-Elekter'!$C:$X,2+$D108,0))+IF(GQ$9="X",VLOOKUP(GQ$10,'VK-Biokütused'!$C:$U,2+$E108,0))+IF(GQ$5="X",VLOOKUP(GQ$10,'VK-Põlevkivi'!$C:$X,2+$G108,0))+IF(GQ$4="X",VLOOKUP(GQ$10,'VK-Võrgud'!$C:$X,2+$F108,0))</f>
        <v>0.89042766952822527</v>
      </c>
      <c r="GR108" s="186">
        <f t="shared" si="81"/>
        <v>0.40645470945900353</v>
      </c>
    </row>
    <row r="109" spans="1:200" x14ac:dyDescent="0.2">
      <c r="A109" s="184">
        <v>99</v>
      </c>
      <c r="B109" s="87">
        <v>3</v>
      </c>
      <c r="C109" s="87">
        <v>1</v>
      </c>
      <c r="D109" s="87">
        <v>3</v>
      </c>
      <c r="E109" s="87">
        <v>3</v>
      </c>
      <c r="F109" s="87">
        <f>VLOOKUP(Tulemused!$BF$7,data!$J$6:$K$8,2,FALSE)</f>
        <v>2</v>
      </c>
      <c r="G109" s="87">
        <f>VLOOKUP(data!$H$2,data!$J$12:$K$14,2,FALSE)</f>
        <v>2</v>
      </c>
      <c r="I109" s="209">
        <f>IF(I$7="X",VLOOKUP(I$10,'VK-Hooned-Soojus'!$C:$X,2+$C109,FALSE),0)+IF(I$6="X",VLOOKUP(I$10,'VK-Transport'!$C:$X,2+$B109,0))+IF(I$8="X",VLOOKUP(I$10,'VK-Elekter'!$C:$X,2+$D109,0))+IF(I$9="X",VLOOKUP(I$10,'VK-Biokütused'!$C:$U,2+$E109,0))+IF(I$5="X",VLOOKUP(I$10,'VK-Põlevkivi'!$C:$X,2+$G109,0))+IF(I$4="X",VLOOKUP(I$10,'VK-Võrgud'!$C:$X,2+$F109,0))</f>
        <v>26.89</v>
      </c>
      <c r="J109" s="209">
        <f>IF(J$7="X",VLOOKUP(J$10,'VK-Hooned-Soojus'!$C:$X,2+$C109,FALSE),0)+IF(J$6="X",VLOOKUP(J$10,'VK-Transport'!$C:$X,2+$B109,0))+IF(J$8="X",VLOOKUP(J$10,'VK-Elekter'!$C:$X,2+$D109,0))+IF(J$9="X",VLOOKUP(J$10,'VK-Biokütused'!$C:$U,2+$E109,0))+IF(J$5="X",VLOOKUP(J$10,'VK-Põlevkivi'!$C:$X,2+$G109,0))+IF(J$4="X",VLOOKUP(J$10,'VK-Võrgud'!$C:$X,2+$F109,0))</f>
        <v>8.1258333333333344</v>
      </c>
      <c r="K109" s="209">
        <f>IF(K$7="X",VLOOKUP(K$10,'VK-Hooned-Soojus'!$C:$X,2+$C109,FALSE),0)+IF(K$6="X",VLOOKUP(K$10,'VK-Transport'!$C:$X,2+$B109,0))+IF(K$8="X",VLOOKUP(K$10,'VK-Elekter'!$C:$X,2+$D109,0))+IF(K$9="X",VLOOKUP(K$10,'VK-Biokütused'!$C:$U,2+$E109,0))+IF(K$5="X",VLOOKUP(K$10,'VK-Põlevkivi'!$C:$X,2+$G109,0))+IF(K$4="X",VLOOKUP(K$10,'VK-Võrgud'!$C:$X,2+$F109,0))</f>
        <v>16.75</v>
      </c>
      <c r="L109" s="209">
        <f>IF(L$7="X",VLOOKUP(L$10,'VK-Hooned-Soojus'!$C:$X,2+$C109,FALSE),0)+IF(L$6="X",VLOOKUP(L$10,'VK-Transport'!$C:$X,2+$B109,0))+IF(L$8="X",VLOOKUP(L$10,'VK-Elekter'!$C:$X,2+$D109,0))+IF(L$9="X",VLOOKUP(L$10,'VK-Biokütused'!$C:$U,2+$E109,0))+IF(L$5="X",VLOOKUP(L$10,'VK-Põlevkivi'!$C:$X,2+$G109,0))+IF(L$4="X",VLOOKUP(L$10,'VK-Võrgud'!$C:$X,2+$F109,0))</f>
        <v>24.95</v>
      </c>
      <c r="M109" s="209">
        <f>IF(M$7="X",VLOOKUP(M$10,'VK-Hooned-Soojus'!$C:$X,2+$C109,FALSE),0)+IF(M$6="X",VLOOKUP(M$10,'VK-Transport'!$C:$X,2+$B109,0))+IF(M$8="X",VLOOKUP(M$10,'VK-Elekter'!$C:$X,2+$D109,0))+IF(M$9="X",VLOOKUP(M$10,'VK-Biokütused'!$C:$U,2+$E109,0))+IF(M$5="X",VLOOKUP(M$10,'VK-Põlevkivi'!$C:$X,2+$G109,0))+IF(M$4="X",VLOOKUP(M$10,'VK-Võrgud'!$C:$X,2+$F109,0))</f>
        <v>8.68530937302436</v>
      </c>
      <c r="N109" s="209">
        <f>IF(N$7="X",VLOOKUP(N$10,'VK-Hooned-Soojus'!$C:$X,2+$C109,FALSE),0)+IF(N$6="X",VLOOKUP(N$10,'VK-Transport'!$C:$X,2+$B109,0))+IF(N$8="X",VLOOKUP(N$10,'VK-Elekter'!$C:$X,2+$D109,0))+IF(N$9="X",VLOOKUP(N$10,'VK-Biokütused'!$C:$U,2+$E109,0))+IF(N$5="X",VLOOKUP(N$10,'VK-Põlevkivi'!$C:$X,2+$G109,0))+IF(N$4="X",VLOOKUP(N$10,'VK-Võrgud'!$C:$X,2+$F109,0))</f>
        <v>16.75</v>
      </c>
      <c r="O109" s="209">
        <f t="shared" si="60"/>
        <v>35.015833333333333</v>
      </c>
      <c r="P109" s="209"/>
      <c r="Q109" s="209">
        <f>(IF(Q$7="X",VLOOKUP(Q$10,'VK-Hooned-Soojus'!$C:$X,2+$C109,FALSE),0)+IF(Q$6="X",VLOOKUP(Q$10,'VK-Transport'!$C:$X,2+$B109,0))+IF(Q$8="X",VLOOKUP(Q$10,'VK-Elekter'!$C:$X,2+$D109,0))+IF(Q$9="X",VLOOKUP(Q$10,'VK-Biokütused'!$C:$U,2+$E109,0))+IF(Q$5="X",VLOOKUP(Q$10,'VK-Põlevkivi'!$C:$X,2+$G109,0))+IF(Q$4="X",VLOOKUP(Q$10,'VK-Võrgud'!$C:$X,2+$F109,0)))/1000</f>
        <v>5.33</v>
      </c>
      <c r="R109" s="209">
        <f>(IF(R$7="X",VLOOKUP(R$10,'VK-Hooned-Soojus'!$C:$X,2+$C109,FALSE),0)+IF(R$6="X",VLOOKUP(R$10,'VK-Transport'!$C:$X,2+$B109,0))+IF(R$8="X",VLOOKUP(R$10,'VK-Elekter'!$C:$X,2+$D109,0))+IF(R$9="X",VLOOKUP(R$10,'VK-Biokütused'!$C:$U,2+$E109,0))+IF(R$5="X",VLOOKUP(R$10,'VK-Põlevkivi'!$C:$X,2+$G109,0))+IF(R$4="X",VLOOKUP(R$10,'VK-Võrgud'!$C:$X,2+$F109,0)))/1000</f>
        <v>1.92908499063732</v>
      </c>
      <c r="S109" s="226">
        <f>VLOOKUP(S$10,'VK-Hooned-Soojus'!$C:$I,2+$C109,FALSE) + VLOOKUP(S$10,'VK-Transport'!$C:$I,2+$B109,FALSE)+ VLOOKUP(S$10,'VK-Biokütused'!$C:$G,2+$E109,FALSE)+ VLOOKUP(S$10,'VK-Elekter'!$C:$I,2+$D109,FALSE)+ VLOOKUP(S$10,'VK-Põlevkivi'!$C:$I,2+$G109,FALSE)+ VLOOKUP(S$10,'VK-Võrgud'!$C:$I,2+$F109,FALSE)</f>
        <v>2.3660663066580014E-2</v>
      </c>
      <c r="T109" s="226">
        <f>VLOOKUP(T$10,'VK-Hooned-Soojus'!$C:$I,2+$C109,FALSE) + VLOOKUP(T$10,'VK-Transport'!$C:$I,2+$B109,FALSE)+ VLOOKUP(T$10,'VK-Biokütused'!$C:$G,2+$E109,FALSE)+ VLOOKUP(T$10,'VK-Elekter'!$C:$I,2+$D109,FALSE)+ VLOOKUP(T$10,'VK-Põlevkivi'!$C:$I,2+$G109,FALSE)+ VLOOKUP(T$10,'VK-Võrgud'!$C:$I,2+$F109,FALSE)</f>
        <v>4.7981616023337198E-3</v>
      </c>
      <c r="U109" s="226">
        <f>VLOOKUP(U$10,'VK-Hooned-Soojus'!$C:$I,2+$C109,FALSE) + VLOOKUP(U$10,'VK-Transport'!$C:$I,2+$B109,FALSE)+ VLOOKUP(U$10,'VK-Biokütused'!$C:$G,2+$E109,FALSE)+ VLOOKUP(U$10,'VK-Elekter'!$C:$I,2+$D109,FALSE)+ VLOOKUP(U$10,'VK-Põlevkivi'!$C:$I,2+$G109,FALSE)+ VLOOKUP(U$10,'VK-Võrgud'!$C:$I,2+$F109,FALSE)</f>
        <v>9.6375050412653429E-3</v>
      </c>
      <c r="V109" s="226">
        <f>VLOOKUP(V$10,'VK-Hooned-Soojus'!$C:$I,2+$C109,FALSE) + VLOOKUP(V$10,'VK-Transport'!$C:$I,2+$B109,FALSE)+ VLOOKUP(V$10,'VK-Biokütused'!$C:$G,2+$E109,FALSE)+ VLOOKUP(V$10,'VK-Elekter'!$C:$I,2+$D109,FALSE)+ VLOOKUP(V$10,'VK-Põlevkivi'!$C:$I,2+$G109,FALSE)+ VLOOKUP(V$10,'VK-Võrgud'!$C:$I,2+$F109,FALSE)</f>
        <v>1.4221169465080435E-2</v>
      </c>
      <c r="W109" s="226">
        <f>VLOOKUP(W$10,'VK-Hooned-Soojus'!$C:$I,2+$C109,FALSE) + VLOOKUP(W$10,'VK-Transport'!$C:$I,2+$B109,FALSE)+ VLOOKUP(W$10,'VK-Biokütused'!$C:$G,2+$E109,FALSE)+ VLOOKUP(W$10,'VK-Elekter'!$C:$I,2+$D109,FALSE)+ VLOOKUP(W$10,'VK-Põlevkivi'!$C:$I,2+$G109,FALSE)+ VLOOKUP(W$10,'VK-Võrgud'!$C:$I,2+$F109,FALSE)</f>
        <v>-2.303831615637101E-2</v>
      </c>
      <c r="X109" s="226">
        <f>VLOOKUP(X$10,'VK-Hooned-Soojus'!$C:$I,2+$C109,FALSE) + VLOOKUP(X$10,'VK-Transport'!$C:$I,2+$B109,FALSE)+ VLOOKUP(X$10,'VK-Biokütused'!$C:$G,2+$E109,FALSE)+ VLOOKUP(X$10,'VK-Elekter'!$C:$I,2+$D109,FALSE)+ VLOOKUP(X$10,'VK-Põlevkivi'!$C:$I,2+$G109,FALSE)+ VLOOKUP(X$10,'VK-Võrgud'!$C:$I,2+$F109,FALSE)</f>
        <v>-3.8519792716886145E-2</v>
      </c>
      <c r="Y109" s="226">
        <f>VLOOKUP(Y$10,'VK-Hooned-Soojus'!$C:$I,2+$C109,FALSE) + VLOOKUP(Y$10,'VK-Transport'!$C:$I,2+$B109,FALSE)+ VLOOKUP(Y$10,'VK-Biokütused'!$C:$G,2+$E109,FALSE)+ VLOOKUP(Y$10,'VK-Elekter'!$C:$I,2+$D109,FALSE)+ VLOOKUP(Y$10,'VK-Põlevkivi'!$C:$I,2+$G109,FALSE)+ VLOOKUP(Y$10,'VK-Võrgud'!$C:$I,2+$F109,FALSE)</f>
        <v>-4.7008614574664313E-2</v>
      </c>
      <c r="Z109" s="227">
        <f>(S109*Tulemused!$Q$9*10+T109*Tulemused!$Q$10*10+KOMBI!U109*Tulemused!$Q$11*10+KOMBI!V109*Tulemused!$Q$12*10)*Tulemused!$Q$8+-(W109*Tulemused!$Q$14*10+KOMBI!X109*Tulemused!$Q$15*10+KOMBI!Y109*Tulemused!$Q$16*10)*Tulemused!$Q$13</f>
        <v>6.9423762657180905</v>
      </c>
      <c r="AA109" s="228">
        <f>(IF(AA$7="X",VLOOKUP(AA$10,'VK-Hooned-Soojus'!$C:$X,2+$C109,FALSE),0)+IF(AA$6="X",VLOOKUP(AA$10,'VK-Transport'!$C:$X,2+$B109,0))+IF(AA$8="X",VLOOKUP(AA$10,'VK-Elekter'!$C:$X,2+$D109,0))+IF(AA$9="X",VLOOKUP(AA$10,'VK-Biokütused'!$C:$U,2+$E109,0))+IF(AA$5="X",VLOOKUP(AA$10,'VK-Põlevkivi'!$C:$X,2+$G109,0))+IF(AA$4="X",VLOOKUP(AA$10,'VK-Võrgud'!$C:$X,2+$F109,0)))</f>
        <v>3728</v>
      </c>
      <c r="AB109" s="228">
        <f>(IF(AB$7="X",VLOOKUP(AB$10,'VK-Hooned-Soojus'!$C:$X,2+$C109,FALSE),0)+IF(AB$6="X",VLOOKUP(AB$10,'VK-Transport'!$C:$X,2+$B109,0))+IF(AB$8="X",VLOOKUP(AB$10,'VK-Elekter'!$C:$X,2+$D109,0))+IF(AB$9="X",VLOOKUP(AB$10,'VK-Biokütused'!$C:$U,2+$E109,0))+IF(AB$5="X",VLOOKUP(AB$10,'VK-Põlevkivi'!$C:$X,2+$G109,0))+IF(AB$4="X",VLOOKUP(AB$10,'VK-Võrgud'!$C:$X,2+$F109,0)))</f>
        <v>1602</v>
      </c>
      <c r="AC109" s="228">
        <f>(IF(AC$7="X",VLOOKUP(AC$10,'VK-Hooned-Soojus'!$C:$X,2+$C109,FALSE),0)+IF(AC$6="X",VLOOKUP(AC$10,'VK-Transport'!$C:$X,2+$B109,0))+IF(AC$8="X",VLOOKUP(AC$10,'VK-Elekter'!$C:$X,2+$D109,0))+IF(AC$9="X",VLOOKUP(AC$10,'VK-Biokütused'!$C:$U,2+$E109,0))+IF(AC$5="X",VLOOKUP(AC$10,'VK-Põlevkivi'!$C:$X,2+$G109,0))+IF(AC$4="X",VLOOKUP(AC$10,'VK-Võrgud'!$C:$X,2+$F109,0)))</f>
        <v>2346</v>
      </c>
      <c r="AD109" s="228">
        <f>(IF(AD$7="X",VLOOKUP(AD$10,'VK-Hooned-Soojus'!$C:$X,2+$C109,FALSE),0)+IF(AD$6="X",VLOOKUP(AD$10,'VK-Transport'!$C:$X,2+$B109,0))+IF(AD$8="X",VLOOKUP(AD$10,'VK-Elekter'!$C:$X,2+$D109,0))+IF(AD$9="X",VLOOKUP(AD$10,'VK-Biokütused'!$C:$U,2+$E109,0))+IF(AD$5="X",VLOOKUP(AD$10,'VK-Põlevkivi'!$C:$X,2+$G109,0))+IF(AD$4="X",VLOOKUP(AD$10,'VK-Võrgud'!$C:$X,2+$F109,0)))</f>
        <v>586.20000000000005</v>
      </c>
      <c r="AE109" s="228">
        <f>(IF(AE$7="X",VLOOKUP(AE$10,'VK-Hooned-Soojus'!$C:$X,2+$C109,FALSE),0)+IF(AE$6="X",VLOOKUP(AE$10,'VK-Transport'!$C:$X,2+$B109,0))+IF(AE$8="X",VLOOKUP(AE$10,'VK-Elekter'!$C:$X,2+$D109,0))+IF(AE$9="X",VLOOKUP(AE$10,'VK-Biokütused'!$C:$U,2+$E109,0))+IF(AE$5="X",VLOOKUP(AE$10,'VK-Põlevkivi'!$C:$X,2+$G109,0))+IF(AE$4="X",VLOOKUP(AE$10,'VK-Võrgud'!$C:$X,2+$F109,0)))</f>
        <v>812</v>
      </c>
      <c r="AF109" s="228">
        <f>(IF(AF$7="X",VLOOKUP(AF$10,'VK-Hooned-Soojus'!$C:$X,2+$C109,FALSE),0)+IF(AF$6="X",VLOOKUP(AF$10,'VK-Transport'!$C:$X,2+$B109,0))+IF(AF$8="X",VLOOKUP(AF$10,'VK-Elekter'!$C:$X,2+$D109,0))+IF(AF$9="X",VLOOKUP(AF$10,'VK-Biokütused'!$C:$U,2+$E109,0))+IF(AF$5="X",VLOOKUP(AF$10,'VK-Põlevkivi'!$C:$X,2+$G109,0))+IF(AF$4="X",VLOOKUP(AF$10,'VK-Võrgud'!$C:$X,2+$F109,0)))</f>
        <v>530.88499063732002</v>
      </c>
      <c r="AG109" s="209"/>
      <c r="AH109" s="209">
        <f>IF(AH$7="X",VLOOKUP(AH$10,'VK-Hooned-Soojus'!$C:$X,2+$C109,FALSE),0)+IF(AH$6="X",VLOOKUP(AH$10,'VK-Transport'!$C:$X,2+$B109,0))+IF(AH$8="X",VLOOKUP(AH$10,'VK-Elekter'!$C:$X,2+$D109,0))+IF(AH$9="X",VLOOKUP(AH$10,'VK-Biokütused'!$C:$U,2+$E109,0))+IF(AH$5="X",VLOOKUP(AH$10,'VK-Põlevkivi'!$C:$X,2+$G109,0))+IF(AH$4="X",VLOOKUP(AH$10,'VK-Võrgud'!$C:$X,2+$F109,0))</f>
        <v>11.579999999999998</v>
      </c>
      <c r="AI109" s="209">
        <f>IF(AI$7="X",VLOOKUP(AI$10,'VK-Hooned-Soojus'!$C:$X,2+$C109,FALSE),0)+IF(AI$6="X",VLOOKUP(AI$10,'VK-Transport'!$C:$X,2+$B109,0))+IF(AI$8="X",VLOOKUP(AI$10,'VK-Elekter'!$C:$X,2+$D109,0))+IF(AI$9="X",VLOOKUP(AI$10,'VK-Biokütused'!$C:$U,2+$E109,0))+IF(AI$5="X",VLOOKUP(AI$10,'VK-Põlevkivi'!$C:$X,2+$G109,0))+IF(AI$4="X",VLOOKUP(AI$10,'VK-Võrgud'!$C:$X,2+$F109,0))</f>
        <v>4.45</v>
      </c>
      <c r="AJ109" s="209">
        <f>IF(AJ$7="X",VLOOKUP(AJ$10,'VK-Hooned-Soojus'!$C:$X,2+$C109,FALSE),0)+IF(AJ$6="X",VLOOKUP(AJ$10,'VK-Transport'!$C:$X,2+$B109,0))+IF(AJ$8="X",VLOOKUP(AJ$10,'VK-Elekter'!$C:$X,2+$D109,0))+IF(AJ$9="X",VLOOKUP(AJ$10,'VK-Biokütused'!$C:$U,2+$E109,0))+IF(AJ$5="X",VLOOKUP(AJ$10,'VK-Põlevkivi'!$C:$X,2+$G109,0))+IF(AJ$4="X",VLOOKUP(AJ$10,'VK-Võrgud'!$C:$X,2+$F109,0))</f>
        <v>9.19</v>
      </c>
      <c r="AK109" s="209">
        <f>IF(AK$7="X",VLOOKUP(AK$10,'VK-Hooned-Soojus'!$C:$X,2+$C109,FALSE),0)+IF(AK$6="X",VLOOKUP(AK$10,'VK-Transport'!$C:$X,2+$B109,0))+IF(AK$8="X",VLOOKUP(AK$10,'VK-Elekter'!$C:$X,2+$D109,0))+IF(AK$9="X",VLOOKUP(AK$10,'VK-Biokütused'!$C:$U,2+$E109,0))+IF(AK$5="X",VLOOKUP(AK$10,'VK-Põlevkivi'!$C:$X,2+$G109,0))+IF(AK$4="X",VLOOKUP(AK$10,'VK-Võrgud'!$C:$X,2+$F109,0))</f>
        <v>0.66</v>
      </c>
      <c r="AL109" s="209">
        <f>IF(AL$7="X",VLOOKUP(AL$10,'VK-Hooned-Soojus'!$C:$X,2+$C109,FALSE),0)+IF(AL$6="X",VLOOKUP(AL$10,'VK-Transport'!$C:$X,2+$B109,0))+IF(AL$8="X",VLOOKUP(AL$10,'VK-Elekter'!$C:$X,2+$D109,0))+IF(AL$9="X",VLOOKUP(AL$10,'VK-Biokütused'!$C:$U,2+$E109,0))+IF(AL$5="X",VLOOKUP(AL$10,'VK-Põlevkivi'!$C:$X,2+$G109,0))+IF(AL$4="X",VLOOKUP(AL$10,'VK-Võrgud'!$C:$X,2+$F109,0))</f>
        <v>7.1999999999999993</v>
      </c>
      <c r="AM109" s="209">
        <f>IF(AM$7="X",VLOOKUP(AM$10,'VK-Hooned-Soojus'!$C:$X,2+$C109,FALSE),0)+IF(AM$6="X",VLOOKUP(AM$10,'VK-Transport'!$C:$X,2+$B109,0))+IF(AM$8="X",VLOOKUP(AM$10,'VK-Elekter'!$C:$X,2+$D109,0))+IF(AM$9="X",VLOOKUP(AM$10,'VK-Biokütused'!$C:$U,2+$E109,0))+IF(AM$5="X",VLOOKUP(AM$10,'VK-Põlevkivi'!$C:$X,2+$G109,0))+IF(AM$4="X",VLOOKUP(AM$10,'VK-Võrgud'!$C:$X,2+$F109,0))</f>
        <v>12.9</v>
      </c>
      <c r="AN109" s="209">
        <f>IF(AN$7="X",VLOOKUP(AN$10,'VK-Hooned-Soojus'!$C:$X,2+$C109,FALSE),0)+IF(AN$6="X",VLOOKUP(AN$10,'VK-Transport'!$C:$X,2+$B109,0))+IF(AN$8="X",VLOOKUP(AN$10,'VK-Elekter'!$C:$X,2+$D109,0))+IF(AN$9="X",VLOOKUP(AN$10,'VK-Biokütused'!$C:$U,2+$E109,0))+IF(AN$5="X",VLOOKUP(AN$10,'VK-Põlevkivi'!$C:$X,2+$G109,0))+IF(AN$4="X",VLOOKUP(AN$10,'VK-Võrgud'!$C:$X,2+$F109,0))</f>
        <v>5.6999999999999993</v>
      </c>
      <c r="AO109" s="209">
        <f>IF(AO$7="X",VLOOKUP(AO$10,'VK-Hooned-Soojus'!$C:$X,2+$C109,FALSE),0)+IF(AO$6="X",VLOOKUP(AO$10,'VK-Transport'!$C:$X,2+$B109,0))+IF(AO$8="X",VLOOKUP(AO$10,'VK-Elekter'!$C:$X,2+$D109,0))+IF(AO$9="X",VLOOKUP(AO$10,'VK-Biokütused'!$C:$U,2+$E109,0))+IF(AO$5="X",VLOOKUP(AO$10,'VK-Põlevkivi'!$C:$X,2+$G109,0))+IF(AO$4="X",VLOOKUP(AO$10,'VK-Võrgud'!$C:$X,2+$F109,0))</f>
        <v>13.56</v>
      </c>
      <c r="AP109" s="209">
        <f>IF(AP$7="X",VLOOKUP(AP$10,'VK-Hooned-Soojus'!$C:$X,2+$C109,FALSE),0)+IF(AP$6="X",VLOOKUP(AP$10,'VK-Transport'!$C:$X,2+$B109,0))+IF(AP$8="X",VLOOKUP(AP$10,'VK-Elekter'!$C:$X,2+$D109,0))+IF(AP$9="X",VLOOKUP(AP$10,'VK-Biokütused'!$C:$U,2+$E109,0))+IF(AP$5="X",VLOOKUP(AP$10,'VK-Põlevkivi'!$C:$X,2+$G109,0))+IF(AP$4="X",VLOOKUP(AP$10,'VK-Võrgud'!$C:$X,2+$F109,0))</f>
        <v>6.78</v>
      </c>
      <c r="AQ109" s="320">
        <f t="shared" si="61"/>
        <v>1.2599999999999998</v>
      </c>
      <c r="AR109" s="209">
        <f>IF(AR$7="X",VLOOKUP(AR$10,'VK-Hooned-Soojus'!$C:$X,2+$C109,FALSE),0)+IF(AR$6="X",VLOOKUP(AR$10,'VK-Transport'!$C:$X,2+$B109,0))+IF(AR$8="X",VLOOKUP(AR$10,'VK-Elekter'!$C:$X,2+$D109,0))+IF(AR$9="X",VLOOKUP(AR$10,'VK-Biokütused'!$C:$U,2+$E109,0))+IF(AR$5="X",VLOOKUP(AR$10,'VK-Põlevkivi'!$C:$X,2+$G109,0))+IF(AR$4="X",VLOOKUP(AR$10,'VK-Võrgud'!$C:$X,2+$F109,0))</f>
        <v>3.4899999999999998</v>
      </c>
      <c r="AS109" s="320">
        <f>VLOOKUP("Kütuste tarbimine @ 2030 - UTTEGAAS",'VK-Hooned-Soojus'!$C:$X,2+$C109,FALSE)/0.172+VLOOKUP("Kütuste tarbimine @ 2030 - UTTEGAAS",'VK-Elekter'!$C:$X,2+$D109,FALSE)/0.172-AR109-AU109</f>
        <v>2.7565116279069759</v>
      </c>
      <c r="AT109" s="209">
        <f>IF(AT$7="X",VLOOKUP(AT$10,'VK-Hooned-Soojus'!$C:$X,2+$C109,FALSE),0)+IF(AT$6="X",VLOOKUP(AT$10,'VK-Transport'!$C:$X,2+$B109,0))+IF(AT$8="X",VLOOKUP(AT$10,'VK-Elekter'!$C:$X,2+$D109,0))+IF(AT$9="X",VLOOKUP(AT$10,'VK-Biokütused'!$C:$U,2+$E109,0))+IF(AT$5="X",VLOOKUP(AT$10,'VK-Põlevkivi'!$C:$X,2+$G109,0))+IF(AT$4="X",VLOOKUP(AT$10,'VK-Võrgud'!$C:$X,2+$F109,0))</f>
        <v>5.7045296564339489</v>
      </c>
      <c r="AU109" s="229">
        <f>MAX(0,(VLOOKUP("Kütuste tarbimine @ 2030 - UTTEGAAS",'VK-Hooned-Soojus'!$C:$X,2+$C109,FALSE)/0.172+VLOOKUP("Kütuste tarbimine @ 2030 - UTTEGAAS",'VK-Elekter'!$C:$X,2+$D109,FALSE)/0.172)*0.52-VLOOKUP("Kütuste tarbimine @ 2030 - PÕLEVKIVIÕLI",'VK-Hooned-Soojus'!$C:$X,2+$C109,FALSE))</f>
        <v>4.6837209302325586</v>
      </c>
      <c r="AV109" s="209">
        <f>IF(AV$7="X",VLOOKUP(AV$10,'VK-Hooned-Soojus'!$C:$X,2+$C109,FALSE),0)+IF(AV$6="X",VLOOKUP(AV$10,'VK-Transport'!$C:$X,2+$B109,0))+IF(AV$8="X",VLOOKUP(AV$10,'VK-Elekter'!$C:$X,2+$D109,0))+IF(AV$9="X",VLOOKUP(AV$10,'VK-Biokütused'!$C:$U,2+$E109,0))+IF(AV$5="X",VLOOKUP(AV$10,'VK-Põlevkivi'!$C:$X,2+$G109,0))+IF(AV$4="X",VLOOKUP(AV$10,'VK-Võrgud'!$C:$X,2+$F109,0))</f>
        <v>2.1219844082566364</v>
      </c>
      <c r="AW109" s="209">
        <f>IF(AW$7="X",VLOOKUP(AW$10,'VK-Hooned-Soojus'!$C:$X,2+$C109,FALSE),0)+IF(AW$6="X",VLOOKUP(AW$10,'VK-Transport'!$C:$X,2+$B109,0))+IF(AW$8="X",VLOOKUP(AW$10,'VK-Elekter'!$C:$X,2+$D109,0))+IF(AW$9="X",VLOOKUP(AW$10,'VK-Biokütused'!$C:$U,2+$E109,0))+IF(AW$5="X",VLOOKUP(AW$10,'VK-Põlevkivi'!$C:$X,2+$G109,0))+IF(AW$4="X",VLOOKUP(AW$10,'VK-Võrgud'!$C:$X,2+$F109,0))</f>
        <v>4.2799999999999994</v>
      </c>
      <c r="AX109" s="229">
        <f t="shared" si="62"/>
        <v>2.158015591743363</v>
      </c>
      <c r="AY109" s="229">
        <f t="shared" si="63"/>
        <v>0</v>
      </c>
      <c r="AZ109" s="230">
        <f t="shared" si="83"/>
        <v>0.47526179336330732</v>
      </c>
      <c r="BA109" s="209">
        <f>IF(BA$7="X",VLOOKUP(BA$10,'VK-Hooned-Soojus'!$C:$X,2+$C109,FALSE),0)+IF(BA$6="X",VLOOKUP(BA$10,'VK-Transport'!$C:$X,2+$B109,0))+IF(BA$8="X",VLOOKUP(BA$10,'VK-Elekter'!$C:$X,2+$D109,0))+IF(BA$9="X",VLOOKUP(BA$10,'VK-Biokütused'!$C:$U,2+$E109,0))+IF(BA$5="X",VLOOKUP(BA$10,'VK-Põlevkivi'!$C:$X,2+$G109,0))+IF(BA$4="X",VLOOKUP(BA$10,'VK-Võrgud'!$C:$X,2+$F109,0))</f>
        <v>4.2</v>
      </c>
      <c r="BB109" s="209">
        <f>IF(BB$7="X",VLOOKUP(BB$10,'VK-Hooned-Soojus'!$C:$X,2+$C109,FALSE),0)+IF(BB$6="X",VLOOKUP(BB$10,'VK-Transport'!$C:$X,2+$B109,0))+IF(BB$8="X",VLOOKUP(BB$10,'VK-Elekter'!$C:$X,2+$D109,0))+IF(BB$9="X",VLOOKUP(BB$10,'VK-Biokütused'!$C:$U,2+$E109,0))+IF(BB$5="X",VLOOKUP(BB$10,'VK-Põlevkivi'!$C:$X,2+$G109,0))+IF(BB$4="X",VLOOKUP(BB$10,'VK-Võrgud'!$C:$X,2+$F109,0))</f>
        <v>5.1000000000000005</v>
      </c>
      <c r="BC109" s="209">
        <f>IF(BC$7="X",VLOOKUP(BC$10,'VK-Hooned-Soojus'!$C:$X,2+$C109,FALSE),0)+IF(BC$6="X",VLOOKUP(BC$10,'VK-Transport'!$C:$X,2+$B109,0))+IF(BC$8="X",VLOOKUP(BC$10,'VK-Elekter'!$C:$X,2+$D109,0))+IF(BC$9="X",VLOOKUP(BC$10,'VK-Biokütused'!$C:$U,2+$E109,0))+IF(BC$5="X",VLOOKUP(BC$10,'VK-Põlevkivi'!$C:$X,2+$G109,0))+IF(BC$4="X",VLOOKUP(BC$10,'VK-Võrgud'!$C:$X,2+$F109,0))</f>
        <v>8.0523611111111126</v>
      </c>
      <c r="BD109" s="209">
        <f>IF(BD$7="X",VLOOKUP(BD$10,'VK-Hooned-Soojus'!$C:$X,2+$C109,FALSE),0)+IF(BD$6="X",VLOOKUP(BD$10,'VK-Transport'!$C:$X,2+$B109,0))+IF(BD$8="X",VLOOKUP(BD$10,'VK-Elekter'!$C:$X,2+$D109,0))+IF(BD$9="X",VLOOKUP(BD$10,'VK-Biokütused'!$C:$U,2+$E109,0))+IF(BD$5="X",VLOOKUP(BD$10,'VK-Põlevkivi'!$C:$X,2+$G109,0))+IF(BD$4="X",VLOOKUP(BD$10,'VK-Võrgud'!$C:$X,2+$F109,0))</f>
        <v>10.42138888888889</v>
      </c>
      <c r="BE109" s="230"/>
      <c r="BF109" s="229">
        <f t="shared" si="64"/>
        <v>0.41103635614105855</v>
      </c>
      <c r="BG109" s="209" t="e">
        <f>(IF(BG$7="X",VLOOKUP(BG$10,'VK-Hooned-Soojus'!$C:$X,2+$C109,FALSE),0)+IF(BG$6="X",VLOOKUP(BG$10,'VK-Transport'!$C:$X,2+$B109,0))+IF(BG$8="X",VLOOKUP(BG$10,'VK-Elekter'!$C:$X,2+$D109,0))+IF(BG$9="X",VLOOKUP(BG$10,'VK-Biokütused'!$C:$U,2+$E109,0))+IF(BG$5="X",VLOOKUP(BG$10,'VK-Põlevkivi'!$C:$X,2+$G109,0))+IF(BG$4="X",VLOOKUP(BG$10,'VK-Võrgud'!$C:$X,2+$F109,0)))/20</f>
        <v>#N/A</v>
      </c>
      <c r="BH109" s="209">
        <f>(IF(BH$7="X",VLOOKUP(BH$10,'VK-Hooned-Soojus'!$C:$X,2+$C109,FALSE),0)+IF(BH$6="X",VLOOKUP(BH$10,'VK-Transport'!$C:$X,2+$B109,0))+IF(BH$8="X",VLOOKUP(BH$10,'VK-Elekter'!$C:$X,2+$D109,0))+IF(BH$9="X",VLOOKUP(BH$10,'VK-Biokütused'!$C:$U,2+$E109,0))+IF(BH$5="X",VLOOKUP(BH$10,'VK-Põlevkivi'!$C:$X,2+$G109,0))+IF(BH$4="X",VLOOKUP(BH$10,'VK-Võrgud'!$C:$X,2+$F109,0)))/20</f>
        <v>13.99</v>
      </c>
      <c r="BI109" s="209">
        <f>(IF(BI$7="X",VLOOKUP(BI$10,'VK-Hooned-Soojus'!$C:$X,2+$C109,FALSE),0)+IF(BI$6="X",VLOOKUP(BI$10,'VK-Transport'!$C:$X,2+$B109,0))+IF(BI$8="X",VLOOKUP(BI$10,'VK-Elekter'!$C:$X,2+$D109,0))+IF(BI$9="X",VLOOKUP(BI$10,'VK-Biokütused'!$C:$U,2+$E109,0))+IF(BI$5="X",VLOOKUP(BI$10,'VK-Põlevkivi'!$C:$X,2+$G109,0))+IF(BI$4="X",VLOOKUP(BI$10,'VK-Võrgud'!$C:$X,2+$F109,0)))/16</f>
        <v>17.75</v>
      </c>
      <c r="BJ109" s="209">
        <f>(IF(BJ$7="X",VLOOKUP(BJ$10,'VK-Hooned-Soojus'!$C:$X,2+$C109,FALSE),0)+IF(BJ$6="X",VLOOKUP(BJ$10,'VK-Transport'!$C:$X,2+$B109,0))+IF(BJ$8="X",VLOOKUP(BJ$10,'VK-Elekter'!$C:$X,2+$D109,0))+IF(BJ$9="X",VLOOKUP(BJ$10,'VK-Biokütused'!$C:$U,2+$E109,0))+IF(BJ$5="X",VLOOKUP(BJ$10,'VK-Põlevkivi'!$C:$X,2+$G109,0))+IF(BJ$4="X",VLOOKUP(BJ$10,'VK-Võrgud'!$C:$X,2+$F109,0)))/20</f>
        <v>1.85</v>
      </c>
      <c r="BK109" s="209"/>
      <c r="BL109" s="209"/>
      <c r="BM109" s="209"/>
      <c r="BN109" s="209" t="e">
        <f>(IF(BN$7="X",VLOOKUP(BN$10,'VK-Hooned-Soojus'!$C:$X,2+$C109,FALSE),0)+IF(BN$6="X",VLOOKUP(BN$10,'VK-Transport'!$C:$X,2+$B109,0))+IF(BN$8="X",VLOOKUP(BN$10,'VK-Elekter'!$C:$X,2+$D109,0))+IF(BN$9="X",VLOOKUP(BN$10,'VK-Biokütused'!$C:$U,2+$E109,0))+IF(BN$5="X",VLOOKUP(BN$10,'VK-Põlevkivi'!$C:$X,2+$G109,0))+IF(BN$4="X",VLOOKUP(BN$10,'VK-Võrgud'!$C:$X,2+$F109,0)))/16</f>
        <v>#N/A</v>
      </c>
      <c r="BO109" s="209">
        <f>(IF(BO$7="X",VLOOKUP(BO$10,'VK-Hooned-Soojus'!$C:$X,2+$C109,FALSE),0)+IF(BO$6="X",VLOOKUP(BO$10,'VK-Transport'!$C:$X,2+$B109,0))+IF(BO$8="X",VLOOKUP(BO$10,'VK-Elekter'!$C:$X,2+$D109,0))+IF(BO$9="X",VLOOKUP(BO$10,'VK-Biokütused'!$C:$U,2+$E109,0))+IF(BO$5="X",VLOOKUP(BO$10,'VK-Põlevkivi'!$C:$X,2+$G109,0))+IF(BO$4="X",VLOOKUP(BO$10,'VK-Võrgud'!$C:$X,2+$F109,0)))/16</f>
        <v>322.79374999999999</v>
      </c>
      <c r="BP109" s="209"/>
      <c r="BQ109" s="209">
        <f>(IF(BQ$7="X",VLOOKUP(BQ$10,'VK-Hooned-Soojus'!$C:$X,2+$C109,FALSE),0)+IF(BQ$6="X",VLOOKUP(BQ$10,'VK-Transport'!$C:$X,2+$B109,0))+IF(BQ$8="X",VLOOKUP(BQ$10,'VK-Elekter'!$C:$X,2+$D109,0))+IF(BQ$9="X",VLOOKUP(BQ$10,'VK-Biokütused'!$C:$U,2+$E109,0))+IF(BQ$5="X",VLOOKUP(BQ$10,'VK-Põlevkivi'!$C:$X,2+$G109,0))+IF(BQ$4="X",VLOOKUP(BQ$10,'VK-Võrgud'!$C:$X,2+$F109,0)))/16</f>
        <v>233.20625000000001</v>
      </c>
      <c r="BR109" s="209">
        <f>(IF(BR$7="X",VLOOKUP(BR$10,'VK-Hooned-Soojus'!$C:$X,2+$C109,FALSE),0)+IF(BR$6="X",VLOOKUP(BR$10,'VK-Transport'!$C:$X,2+$B109,0))+IF(BR$8="X",VLOOKUP(BR$10,'VK-Elekter'!$C:$X,2+$D109,0))+IF(BR$9="X",VLOOKUP(BR$10,'VK-Biokütused'!$C:$U,2+$E109,0))+IF(BR$5="X",VLOOKUP(BR$10,'VK-Põlevkivi'!$C:$X,2+$G109,0))+IF(BR$4="X",VLOOKUP(BR$10,'VK-Võrgud'!$C:$X,2+$F109,0)))/16</f>
        <v>74.512500000000003</v>
      </c>
      <c r="BS109" s="209">
        <f>(IF(BS$7="X",VLOOKUP(BS$10,'VK-Hooned-Soojus'!$C:$X,2+$C109,FALSE),0)+IF(BS$6="X",VLOOKUP(BS$10,'VK-Transport'!$C:$X,2+$B109,0))+IF(BS$8="X",VLOOKUP(BS$10,'VK-Elekter'!$C:$X,2+$D109,0))+IF(BS$9="X",VLOOKUP(BS$10,'VK-Biokütused'!$C:$U,2+$E109,0))+IF(BS$5="X",VLOOKUP(BS$10,'VK-Põlevkivi'!$C:$X,2+$G109,0))+IF(BS$4="X",VLOOKUP(BS$10,'VK-Võrgud'!$C:$X,2+$F109,0)))/16</f>
        <v>-21.475000000000001</v>
      </c>
      <c r="BT109" s="209"/>
      <c r="BU109" s="209"/>
      <c r="BV109" s="209">
        <f>(IF(BV$7="X",VLOOKUP(BV$10,'VK-Hooned-Soojus'!$C:$X,2+$C109,FALSE),0)+IF(BV$6="X",VLOOKUP(BV$10,'VK-Transport'!$C:$X,2+$B109,0))+IF(BV$8="X",VLOOKUP(BV$10,'VK-Elekter'!$C:$X,2+$D109,0))+IF(BV$9="X",VLOOKUP(BV$10,'VK-Biokütused'!$C:$U,2+$E109,0))+IF(BV$5="X",VLOOKUP(BV$10,'VK-Põlevkivi'!$C:$X,2+$G109,0))+IF(BV$4="X",VLOOKUP(BV$10,'VK-Võrgud'!$C:$X,2+$F109,0)))/16</f>
        <v>0</v>
      </c>
      <c r="BW109" s="209"/>
      <c r="BX109" s="209">
        <f>(IF(BX$7="X",VLOOKUP(BX$10,'VK-Hooned-Soojus'!$C:$X,2+$C109,FALSE),0)+IF(BX$6="X",VLOOKUP(BX$10,'VK-Transport'!$C:$X,2+$B109,0))+IF(BX$8="X",VLOOKUP(BX$10,'VK-Elekter'!$C:$X,2+$D109,0))+IF(BX$9="X",VLOOKUP(BX$10,'VK-Biokütused'!$C:$U,2+$E109,0))+IF(BX$5="X",VLOOKUP(BX$10,'VK-Põlevkivi'!$C:$X,2+$G109,0))+IF(BX$4="X",VLOOKUP(BX$10,'VK-Võrgud'!$C:$X,2+$F109,0)))/16</f>
        <v>-99.4375</v>
      </c>
      <c r="BY109" s="209"/>
      <c r="BZ109" s="209"/>
      <c r="CA109" s="209" t="e">
        <f>(IF(CA$7="X",VLOOKUP(CA$10,'VK-Hooned-Soojus'!$C:$X,2+$C109,FALSE),0)+IF(CA$6="X",VLOOKUP(CA$10,'VK-Transport'!$C:$X,2+$B109,0))+IF(CA$8="X",VLOOKUP(CA$10,'VK-Elekter'!$C:$X,2+$D109,0))+IF(CA$9="X",VLOOKUP(CA$10,'VK-Biokütused'!$C:$U,2+$E109,0))+IF(CA$5="X",VLOOKUP(CA$10,'VK-Põlevkivi'!$C:$X,2+$G109,0))+IF(CA$4="X",VLOOKUP(CA$10,'VK-Võrgud'!$C:$X,2+$F109,0)))/16</f>
        <v>#N/A</v>
      </c>
      <c r="CB109" s="209">
        <f>(IF(CB$7="X",VLOOKUP(CB$10,'VK-Hooned-Soojus'!$C:$X,2+$C109,FALSE),0)+IF(CB$6="X",VLOOKUP(CB$10,'VK-Transport'!$C:$X,2+$B109,0))+IF(CB$8="X",VLOOKUP(CB$10,'VK-Elekter'!$C:$X,2+$D109,0))+IF(CB$9="X",VLOOKUP(CB$10,'VK-Biokütused'!$C:$U,2+$E109,0))+IF(CB$5="X",VLOOKUP(CB$10,'VK-Põlevkivi'!$C:$X,2+$G109,0))+IF(CB$4="X",VLOOKUP(CB$10,'VK-Võrgud'!$C:$X,2+$F109,0)))/16</f>
        <v>0</v>
      </c>
      <c r="CC109" s="209">
        <f>(IF(CC$7="X",VLOOKUP(CC$10,'VK-Hooned-Soojus'!$C:$X,2+$C109,FALSE),0)+IF(CC$6="X",VLOOKUP(CC$10,'VK-Transport'!$C:$X,2+$B109,0))+IF(CC$8="X",VLOOKUP(CC$10,'VK-Elekter'!$C:$X,2+$D109,0))+IF(CC$9="X",VLOOKUP(CC$10,'VK-Biokütused'!$C:$U,2+$E109,0))+IF(CC$5="X",VLOOKUP(CC$10,'VK-Põlevkivi'!$C:$X,2+$G109,0))+IF(CC$4="X",VLOOKUP(CC$10,'VK-Võrgud'!$C:$X,2+$F109,0)))/16</f>
        <v>0</v>
      </c>
      <c r="CD109" s="209"/>
      <c r="CE109" s="209">
        <f>(IF(CE$7="X",VLOOKUP(CE$10,'VK-Hooned-Soojus'!$C:$X,2+$C109,FALSE),0)+IF(CE$6="X",VLOOKUP(CE$10,'VK-Transport'!$C:$X,2+$B109,0))+IF(CE$8="X",VLOOKUP(CE$10,'VK-Elekter'!$C:$X,2+$D109,0))+IF(CE$9="X",VLOOKUP(CE$10,'VK-Biokütused'!$C:$U,2+$E109,0))+IF(CE$5="X",VLOOKUP(CE$10,'VK-Põlevkivi'!$C:$X,2+$G109,0))+IF(CE$4="X",VLOOKUP(CE$10,'VK-Võrgud'!$C:$X,2+$F109,0)))/16</f>
        <v>24.15625</v>
      </c>
      <c r="CF109" s="209"/>
      <c r="CG109" s="209">
        <f>(IF(CG$7="X",VLOOKUP(CG$10,'VK-Hooned-Soojus'!$C:$X,2+$C109,FALSE),0)+IF(CG$6="X",VLOOKUP(CG$10,'VK-Transport'!$C:$X,2+$B109,0))+IF(CG$8="X",VLOOKUP(CG$10,'VK-Elekter'!$C:$X,2+$D109,0))+IF(CG$9="X",VLOOKUP(CG$10,'VK-Biokütused'!$C:$U,2+$E109,0))+IF(CG$5="X",VLOOKUP(CG$10,'VK-Põlevkivi'!$C:$X,2+$G109,0))+IF(CG$4="X",VLOOKUP(CG$10,'VK-Võrgud'!$C:$X,2+$F109,0)))/16</f>
        <v>0</v>
      </c>
      <c r="CH109" s="209">
        <f>(IF(CH$7="X",VLOOKUP(CH$10,'VK-Hooned-Soojus'!$C:$X,2+$C109,FALSE),0)+IF(CH$6="X",VLOOKUP(CH$10,'VK-Transport'!$C:$X,2+$B109,0))+IF(CH$8="X",VLOOKUP(CH$10,'VK-Elekter'!$C:$X,2+$D109,0))+IF(CH$9="X",VLOOKUP(CH$10,'VK-Biokütused'!$C:$U,2+$E109,0))+IF(CH$5="X",VLOOKUP(CH$10,'VK-Põlevkivi'!$C:$X,2+$G109,0))+IF(CH$4="X",VLOOKUP(CH$10,'VK-Võrgud'!$C:$X,2+$F109,0)))/20*0.21</f>
        <v>5.6122500000000004</v>
      </c>
      <c r="CI109" s="209"/>
      <c r="CJ109" s="209">
        <f>(IF(CJ$7="X",VLOOKUP(CJ$10,'VK-Hooned-Soojus'!$C:$X,2+$C109,FALSE),0)+IF(CJ$6="X",VLOOKUP(CJ$10,'VK-Transport'!$C:$X,2+$B109,0))+IF(CJ$8="X",VLOOKUP(CJ$10,'VK-Elekter'!$C:$X,2+$D109,0))+IF(CJ$9="X",VLOOKUP(CJ$10,'VK-Biokütused'!$C:$U,2+$E109,0))+IF(CJ$5="X",VLOOKUP(CJ$10,'VK-Põlevkivi'!$C:$X,2+$G109,0))+IF(CJ$4="X",VLOOKUP(CJ$10,'VK-Võrgud'!$C:$X,2+$F109,0)))/1000</f>
        <v>18.086861099430585</v>
      </c>
      <c r="CK109" s="209">
        <f>(IF(CK$7="X",VLOOKUP(CK$10,'VK-Hooned-Soojus'!$C:$X,2+$C109,FALSE),0)+IF(CK$6="X",VLOOKUP(CK$10,'VK-Transport'!$C:$X,2+$B109,0))+IF(CK$8="X",VLOOKUP(CK$10,'VK-Elekter'!$C:$X,2+$D109,0))+IF(CK$9="X",VLOOKUP(CK$10,'VK-Biokütused'!$C:$U,2+$E109,0))+IF(CK$5="X",VLOOKUP(CK$10,'VK-Põlevkivi'!$C:$X,2+$G109,0))+IF(CK$4="X",VLOOKUP(CK$10,'VK-Võrgud'!$C:$X,2+$F109,0)))/1000</f>
        <v>12.801077976340796</v>
      </c>
      <c r="CL109" s="235">
        <f>(IF(CL$7="X",VLOOKUP(CL$10,'VK-Hooned-Soojus'!$C:$X,2+$C109,FALSE),0)+IF(CL$6="X",VLOOKUP(CL$10,'VK-Transport'!$C:$X,2+$B109,0))+IF(CL$8="X",VLOOKUP(CL$10,'VK-Elekter'!$C:$X,2+$D109,0))+IF(CL$9="X",VLOOKUP(CL$10,'VK-Biokütused'!$C:$U,2+$E109,0)))/1000</f>
        <v>7.9062826922990279</v>
      </c>
      <c r="CM109" s="209">
        <f>(IF(CM$7="X",VLOOKUP(CM$10,'VK-Hooned-Soojus'!$C:$X,2+$C109,FALSE),0)+IF(CM$6="X",VLOOKUP(CM$10,'VK-Transport'!$C:$X,2+$B109,0))+IF(CM$8="X",VLOOKUP(CM$10,'VK-Elekter'!$C:$X,2+$D109,0))+IF(CM$9="X",VLOOKUP(CM$10,'VK-Biokütused'!$C:$U,2+$E109,0))+IF(CM$5="X",VLOOKUP(CM$10,'VK-Põlevkivi'!$C:$X,2+$G109,0))+IF(CM$4="X",VLOOKUP(CM$10,'VK-Võrgud'!$C:$X,2+$F109,0)))/1000</f>
        <v>8.5193156794471037</v>
      </c>
      <c r="CN109" s="209">
        <f>(IF(CN$7="X",VLOOKUP(CN$10,'VK-Hooned-Soojus'!$C:$X,2+$C109,FALSE),0)+IF(CN$6="X",VLOOKUP(CN$10,'VK-Transport'!$C:$X,2+$B109,0))+IF(CN$8="X",VLOOKUP(CN$10,'VK-Elekter'!$C:$X,2+$D109,0))+IF(CN$9="X",VLOOKUP(CN$10,'VK-Biokütused'!$C:$U,2+$E109,0))+IF(CN$5="X",VLOOKUP(CN$10,'VK-Põlevkivi'!$C:$X,2+$G109,0))+IF(CN$4="X",VLOOKUP(CN$10,'VK-Võrgud'!$C:$X,2+$F109,0)))/1000</f>
        <v>3.0510000000000002</v>
      </c>
      <c r="CO109" s="209">
        <f>(IF(CO$7="X",VLOOKUP(CO$10,'VK-Hooned-Soojus'!$C:$X,2+$C109,FALSE),0)+IF(CO$6="X",VLOOKUP(CO$10,'VK-Transport'!$C:$X,2+$B109,0))+IF(CO$8="X",VLOOKUP(CO$10,'VK-Elekter'!$C:$X,2+$D109,0))+IF(CO$9="X",VLOOKUP(CO$10,'VK-Biokütused'!$C:$U,2+$E109,0))+IF(CO$5="X",VLOOKUP(CO$10,'VK-Põlevkivi'!$C:$X,2+$G109,0))+IF(CO$4="X",VLOOKUP(CO$10,'VK-Võrgud'!$C:$X,2+$F109,0)))/1000</f>
        <v>24.117362337356994</v>
      </c>
      <c r="CP109" s="209">
        <f>(IF(CP$7="X",VLOOKUP(CP$10,'VK-Hooned-Soojus'!$C:$X,2+$C109,FALSE),0)+IF(CP$6="X",VLOOKUP(CP$10,'VK-Transport'!$C:$X,2+$B109,0))+IF(CP$8="X",VLOOKUP(CP$10,'VK-Elekter'!$C:$X,2+$D109,0))+IF(CP$9="X",VLOOKUP(CP$10,'VK-Biokütused'!$C:$U,2+$E109,0))+IF(CP$5="X",VLOOKUP(CP$10,'VK-Põlevkivi'!$C:$X,2+$G109,0))+IF(CP$4="X",VLOOKUP(CP$10,'VK-Võrgud'!$C:$X,2+$F109,0)))/1000</f>
        <v>13.823392120693661</v>
      </c>
      <c r="CQ109" s="235">
        <f>(IF(CQ$7="X",VLOOKUP(CQ$10,'VK-Hooned-Soojus'!$C:$X,2+$C109,FALSE),0)+IF(CQ$6="X",VLOOKUP(CQ$10,'VK-Transport'!$C:$X,2+$B109,0))+IF(CQ$8="X",VLOOKUP(CQ$10,'VK-Elekter'!$C:$X,2+$D109,0))+IF(CQ$9="X",VLOOKUP(CQ$10,'VK-Biokütused'!$C:$U,2+$E109,0)))/1000</f>
        <v>10.548919</v>
      </c>
      <c r="CR109" s="209">
        <f>(IF(CR$7="X",VLOOKUP(CR$10,'VK-Hooned-Soojus'!$C:$X,2+$C109,FALSE),0)+IF(CR$6="X",VLOOKUP(CR$10,'VK-Transport'!$C:$X,2+$B109,0))+IF(CR$8="X",VLOOKUP(CR$10,'VK-Elekter'!$C:$X,2+$D109,0))+IF(CR$9="X",VLOOKUP(CR$10,'VK-Biokütused'!$C:$U,2+$E109,0))+IF(CR$5="X",VLOOKUP(CR$10,'VK-Põlevkivi'!$C:$X,2+$G109,0))+IF(CR$4="X",VLOOKUP(CR$10,'VK-Võrgud'!$C:$X,2+$F109,0)))/1000</f>
        <v>8.0837518373996886</v>
      </c>
      <c r="CS109" s="209">
        <f>(IF(CS$7="X",VLOOKUP(CS$10,'VK-Hooned-Soojus'!$C:$X,2+$C109,FALSE),0)+IF(CS$6="X",VLOOKUP(CS$10,'VK-Transport'!$C:$X,2+$B109,0))+IF(CS$8="X",VLOOKUP(CS$10,'VK-Elekter'!$C:$X,2+$D109,0))+IF(CS$9="X",VLOOKUP(CS$10,'VK-Biokütused'!$C:$U,2+$E109,0))+IF(CS$5="X",VLOOKUP(CS$10,'VK-Põlevkivi'!$C:$X,2+$G109,0))+IF(CS$4="X",VLOOKUP(CS$10,'VK-Võrgud'!$C:$X,2+$F109,0)))/1000</f>
        <v>3.838649509862238</v>
      </c>
      <c r="CT109" s="209">
        <f>IF(CT$7="X",VLOOKUP(CT$10,'VK-Hooned-Soojus'!$C:$X,2+$C109,FALSE),0)+IF(CT$6="X",VLOOKUP(CT$10,'VK-Transport'!$C:$X,2+$B109,0))+IF(CT$8="X",VLOOKUP(CT$10,'VK-Elekter'!$C:$X,2+$D109,0))+IF(CT$9="X",VLOOKUP(CT$10,'VK-Biokütused'!$C:$U,2+$E109,0))+IF(CT$5="X",VLOOKUP(CT$10,'VK-Põlevkivi'!$C:$X,2+$G109,0))+IF(CT$4="X",VLOOKUP(CT$10,'VK-Võrgud'!$C:$X,2+$F109,0))</f>
        <v>90</v>
      </c>
      <c r="CU109" s="209">
        <f>IF(CU$7="X",VLOOKUP(CU$10,'VK-Hooned-Soojus'!$C:$X,2+$C109,FALSE),0)+IF(CU$6="X",VLOOKUP(CU$10,'VK-Transport'!$C:$X,2+$B109,0))+IF(CU$8="X",VLOOKUP(CU$10,'VK-Elekter'!$C:$X,2+$D109,0))+IF(CU$9="X",VLOOKUP(CU$10,'VK-Biokütused'!$C:$U,2+$E109,0))+IF(CU$5="X",VLOOKUP(CU$10,'VK-Põlevkivi'!$C:$X,2+$G109,0))+IF(CU$4="X",VLOOKUP(CU$10,'VK-Võrgud'!$C:$X,2+$F109,0))</f>
        <v>0.9337349397590361</v>
      </c>
      <c r="CV109" s="209">
        <f t="shared" si="84"/>
        <v>0.72887234460741646</v>
      </c>
      <c r="CW109" s="209">
        <f>(IF(CW$7="X",VLOOKUP(CW$10,'VK-Hooned-Soojus'!$C:$X,2+$C109,FALSE),0)+IF(CW$6="X",VLOOKUP(CW$10,'VK-Transport'!$C:$X,2+$B109,0))+IF(CW$8="X",VLOOKUP(CW$10,'VK-Elekter'!$C:$X,2+$D109,0))+IF(CW$9="X",VLOOKUP(CW$10,'VK-Biokütused'!$C:$U,2+$E109,0))+IF(CW$5="X",VLOOKUP(CW$10,'VK-Põlevkivi'!$C:$X,2+$G109,0))+IF(CW$4="X",VLOOKUP(CW$10,'VK-Võrgud'!$C:$X,2+$F109,0)))/16</f>
        <v>126.01875</v>
      </c>
      <c r="CY109" s="209">
        <f>(IF(CY$7="X",VLOOKUP(CY$10,'VK-Hooned-Soojus'!$C:$X,2+$C109,FALSE),0)+IF(CY$6="X",VLOOKUP(CY$10,'VK-Transport'!$C:$X,2+$B109,0))+IF(CY$8="X",VLOOKUP(CY$10,'VK-Elekter'!$C:$X,2+$D109,0))+IF(CY$9="X",VLOOKUP(CY$10,'VK-Biokütused'!$C:$U,2+$E109,0))+IF(CY$5="X",VLOOKUP(CY$10,'VK-Põlevkivi'!$C:$X,2+$G109,0))+IF(CY$4="X",VLOOKUP(CY$10,'VK-Võrgud'!$C:$X,2+$F109,0)))/1000</f>
        <v>10.766999999999999</v>
      </c>
      <c r="CZ109" s="209">
        <f>(IF(CZ$7="X",VLOOKUP(CZ$10,'VK-Hooned-Soojus'!$C:$X,2+$C109,FALSE),0)+IF(CZ$6="X",VLOOKUP(CZ$10,'VK-Transport'!$C:$X,2+$B109,0))+IF(CZ$8="X",VLOOKUP(CZ$10,'VK-Elekter'!$C:$X,2+$D109,0))+IF(CZ$9="X",VLOOKUP(CZ$10,'VK-Biokütused'!$C:$U,2+$E109,0))+IF(CZ$5="X",VLOOKUP(CZ$10,'VK-Põlevkivi'!$C:$X,2+$G109,0))+IF(CZ$4="X",VLOOKUP(CZ$10,'VK-Võrgud'!$C:$X,2+$F109,0)))</f>
        <v>74</v>
      </c>
      <c r="DA109" s="209">
        <f>(IF(DA$7="X",VLOOKUP(DA$10,'VK-Hooned-Soojus'!$C:$X,2+$C109,FALSE),0)+IF(DA$6="X",VLOOKUP(DA$10,'VK-Transport'!$C:$X,2+$B109,0))+IF(DA$8="X",VLOOKUP(DA$10,'VK-Elekter'!$C:$X,2+$D109,0))+IF(DA$9="X",VLOOKUP(DA$10,'VK-Biokütused'!$C:$U,2+$E109,0))+IF(DA$5="X",VLOOKUP(DA$10,'VK-Põlevkivi'!$C:$X,2+$G109,0))+IF(DA$4="X",VLOOKUP(DA$10,'VK-Võrgud'!$C:$X,2+$F109,0)))/1000</f>
        <v>14.082000000000001</v>
      </c>
      <c r="DB109" s="209">
        <f>(IF(DB$7="X",VLOOKUP(DB$10,'VK-Hooned-Soojus'!$C:$X,2+$C109,FALSE),0)+IF(DB$6="X",VLOOKUP(DB$10,'VK-Transport'!$C:$X,2+$B109,0))+IF(DB$8="X",VLOOKUP(DB$10,'VK-Elekter'!$C:$X,2+$D109,0))+IF(DB$9="X",VLOOKUP(DB$10,'VK-Biokütused'!$C:$U,2+$E109,0))+IF(DB$5="X",VLOOKUP(DB$10,'VK-Põlevkivi'!$C:$X,2+$G109,0))+IF(DB$4="X",VLOOKUP(DB$10,'VK-Võrgud'!$C:$X,2+$F109,0)))/1000/3.6</f>
        <v>63.11805555555555</v>
      </c>
      <c r="DC109" s="209">
        <f>(IF(DC$7="X",VLOOKUP(DC$10,'VK-Hooned-Soojus'!$C:$X,2+$C109,FALSE),0)+IF(DC$6="X",VLOOKUP(DC$10,'VK-Transport'!$C:$X,2+$B109,0))+IF(DC$8="X",VLOOKUP(DC$10,'VK-Elekter'!$C:$X,2+$D109,0))+IF(DC$9="X",VLOOKUP(DC$10,'VK-Biokütused'!$C:$U,2+$E109,0))+IF(DC$5="X",VLOOKUP(DC$10,'VK-Põlevkivi'!$C:$X,2+$G109,0))+IF(DC$4="X",VLOOKUP(DC$10,'VK-Võrgud'!$C:$X,2+$F109,0)))/1000000</f>
        <v>5.0959909999999997</v>
      </c>
      <c r="DD109" s="209"/>
      <c r="DE109" s="88">
        <f>VLOOKUP(Tulemused!$BN$12,data!M$7:N$12,2,FALSE)-SUM(L109,M109)</f>
        <v>-0.80250937302436398</v>
      </c>
      <c r="DF109" s="209" t="str">
        <f>IF(AZ109&lt;=VLOOKUP(Tulemused!$BN$15,data!$E$36:$F$39,2,FALSE),"JAH","EI")</f>
        <v>JAH</v>
      </c>
      <c r="DG109" s="209"/>
      <c r="DH109" s="209">
        <f t="shared" si="85"/>
        <v>6.78</v>
      </c>
      <c r="DI109" s="231" t="str">
        <f t="shared" si="65"/>
        <v>EI</v>
      </c>
      <c r="DK109" s="232">
        <f t="shared" si="86"/>
        <v>-993.05762373428195</v>
      </c>
      <c r="DM109" s="233">
        <f t="shared" si="87"/>
        <v>-996.65976414789918</v>
      </c>
      <c r="DN109" s="87">
        <f t="array" ref="DN109">INDEX($A$11:$A$145, SMALL(IF(DM109=$DK$11:$DK$145, MATCH(ROW($DK$11:$DK$145), ROW($DK$11:$DK$145))), SUM(--(DM109=$DM$11:DM109))))</f>
        <v>76</v>
      </c>
      <c r="DP109" s="87" t="e">
        <f t="shared" ca="1" si="66"/>
        <v>#N/A</v>
      </c>
      <c r="DQ109" s="87" t="e">
        <f t="shared" ca="1" si="67"/>
        <v>#N/A</v>
      </c>
      <c r="DR109" s="87">
        <f t="shared" ca="1" si="68"/>
        <v>0</v>
      </c>
      <c r="DS109" s="87" t="e">
        <f t="shared" ca="1" si="69"/>
        <v>#N/A</v>
      </c>
      <c r="DT109" s="87">
        <f t="shared" ca="1" si="70"/>
        <v>0</v>
      </c>
      <c r="DU109" s="87" t="e">
        <f t="shared" ca="1" si="71"/>
        <v>#N/A</v>
      </c>
      <c r="DV109" s="87" t="e">
        <f t="shared" ca="1" si="72"/>
        <v>#N/A</v>
      </c>
      <c r="DW109" s="87">
        <f t="shared" ca="1" si="73"/>
        <v>0</v>
      </c>
      <c r="DX109" s="87">
        <f t="shared" ca="1" si="74"/>
        <v>0</v>
      </c>
      <c r="DZ109" s="87">
        <f t="shared" ca="1" si="82"/>
        <v>0</v>
      </c>
      <c r="EB109" s="87">
        <f t="shared" ca="1" si="75"/>
        <v>0</v>
      </c>
      <c r="EC109" s="87" t="e">
        <f t="shared" ca="1" si="76"/>
        <v>#N/A</v>
      </c>
      <c r="EE109" s="228">
        <f>(IF(EE$7="X",VLOOKUP(EE$10,'VK-Hooned-Soojus'!$C:$X,2+$C109,FALSE),0)+IF(EE$6="X",VLOOKUP(EE$10,'VK-Transport'!$C:$X,2+$B109,0))+IF(EE$8="X",VLOOKUP(EE$10,'VK-Elekter'!$C:$X,2+$D109,0))+IF(EE$9="X",VLOOKUP(EE$10,'VK-Biokütused'!$C:$U,2+$E109,0))+IF(EE$5="X",VLOOKUP(EE$10,'VK-Põlevkivi'!$C:$X,2+$G109,0))+IF(EE$4="X",VLOOKUP(EE$10,'VK-Võrgud'!$C:$X,2+$F109,0)))</f>
        <v>13691.003718981454</v>
      </c>
      <c r="EF109" s="235">
        <f>(IF(EF$7="X",VLOOKUP(EF$10,'VK-Hooned-Soojus'!$C:$X,2+$C109,FALSE),0)+IF(EF$6="X",VLOOKUP(EF$10,'VK-Transport'!$C:$X,2+$B109,0))+IF(EF$8="X",VLOOKUP(EF$10,'VK-Elekter'!$C:$X,2+$D109,0))+IF(EF$9="X",VLOOKUP(EF$10,'VK-Biokütused'!$C:$U,2+$E109,0)))/1000</f>
        <v>4.0208849906373194</v>
      </c>
      <c r="EG109" s="209">
        <f>(IF(EG$7="X",VLOOKUP(EG$10,'VK-Hooned-Soojus'!$C:$X,2+$C109,FALSE),0)+IF(EG$6="X",VLOOKUP(EG$10,'VK-Transport'!$C:$X,2+$B109,0))+IF(EG$8="X",VLOOKUP(EG$10,'VK-Elekter'!$C:$X,2+$D109,0))+IF(EG$9="X",VLOOKUP(EG$10,'VK-Biokütused'!$C:$U,2+$E109,0))+IF(EG$5="X",VLOOKUP(EG$10,'VK-Põlevkivi'!$C:$X,2+$G109,0))+IF(EG$4="X",VLOOKUP(EG$10,'VK-Võrgud'!$C:$X,2+$F109,0)))</f>
        <v>2.95</v>
      </c>
      <c r="EH109" s="209">
        <f>(IF(EH$7="X",VLOOKUP(EH$10,'VK-Hooned-Soojus'!$C:$X,2+$C109,FALSE),0)+IF(EH$6="X",VLOOKUP(EH$10,'VK-Transport'!$C:$X,2+$B109,0))+IF(EH$8="X",VLOOKUP(EH$10,'VK-Elekter'!$C:$X,2+$D109,0))+IF(EH$9="X",VLOOKUP(EH$10,'VK-Biokütused'!$C:$U,2+$E109,0)))+AR109+AS109+AU109+AX109</f>
        <v>54.214637038771784</v>
      </c>
      <c r="EI109" s="320">
        <f t="shared" si="88"/>
        <v>47.372900516795859</v>
      </c>
      <c r="EJ109" s="322">
        <f t="shared" si="89"/>
        <v>8.4247602275161246E-2</v>
      </c>
      <c r="EK109" s="323">
        <f t="shared" si="77"/>
        <v>0.50386843943393778</v>
      </c>
      <c r="EM109" s="209"/>
      <c r="EN109" s="209">
        <f t="shared" ca="1" si="90"/>
        <v>0</v>
      </c>
      <c r="EO109" s="209"/>
      <c r="EP109" s="234"/>
      <c r="EQ109" s="209">
        <f>(IF(EQ$7="X",VLOOKUP(EQ$10,'VK-Hooned-Soojus'!$C:$X,2+$C109,FALSE),0)+IF(EQ$6="X",VLOOKUP(EQ$10,'VK-Transport'!$C:$X,2+$B109,0))+IF(EQ$8="X",VLOOKUP(EQ$10,'VK-Elekter'!$C:$X,2+$D109,0))+IF(EQ$9="X",VLOOKUP(EQ$10,'VK-Biokütused'!$C:$U,2+$E109,0))+IF(EQ$5="X",VLOOKUP(EQ$10,'VK-Põlevkivi'!$C:$X,2+$G109,0))+IF(EQ$4="X",VLOOKUP(EQ$10,'VK-Võrgud'!$C:$X,2+$F109,0)))/1000</f>
        <v>0.22900000000000001</v>
      </c>
      <c r="ER109" s="209">
        <f>(IF(ER$7="X",VLOOKUP(ER$10,'VK-Hooned-Soojus'!$C:$X,2+$C109,FALSE),0)+IF(ER$6="X",VLOOKUP(ER$10,'VK-Transport'!$C:$X,2+$B109,0))+IF(ER$8="X",VLOOKUP(ER$10,'VK-Elekter'!$C:$X,2+$D109,0))+IF(ER$9="X",VLOOKUP(ER$10,'VK-Biokütused'!$C:$U,2+$E109,0))+IF(ER$5="X",VLOOKUP(ER$10,'VK-Põlevkivi'!$C:$X,2+$G109,0))+IF(ER$4="X",VLOOKUP(ER$10,'VK-Võrgud'!$C:$X,2+$F109,0)))</f>
        <v>0.82899999999999996</v>
      </c>
      <c r="ES109" s="209">
        <f>(IF(ES$7="X",VLOOKUP(ES$10,'VK-Hooned-Soojus'!$C:$X,2+$C109,FALSE),0)+IF(ES$6="X",VLOOKUP(ES$10,'VK-Transport'!$C:$X,2+$B109,0))+IF(ES$8="X",VLOOKUP(ES$10,'VK-Elekter'!$C:$X,2+$D109,0))+IF(ES$9="X",VLOOKUP(ES$10,'VK-Biokütused'!$C:$U,2+$E109,0))+IF(ES$5="X",VLOOKUP(ES$10,'VK-Põlevkivi'!$C:$X,2+$G109,0))+IF(ES$4="X",VLOOKUP(ES$10,'VK-Võrgud'!$C:$X,2+$F109,0)))</f>
        <v>6.78</v>
      </c>
      <c r="ET109" s="209"/>
      <c r="EU109" s="209"/>
      <c r="EV109" s="87">
        <f>'KSH järjestus'!AS102</f>
        <v>1228</v>
      </c>
      <c r="EX109" s="236"/>
      <c r="EY109" s="236"/>
      <c r="EZ109" s="237">
        <f t="shared" si="91"/>
        <v>6.6265060240963902E-2</v>
      </c>
      <c r="FA109" s="209">
        <f>IF(FA$7="X",VLOOKUP(FA$10,'VK-Hooned-Soojus'!$C:$X,2+$C109,FALSE),0)+IF(FA$6="X",VLOOKUP(FA$10,'VK-Transport'!$C:$X,2+$B109,0))+IF(FA$8="X",VLOOKUP(FA$10,'VK-Elekter'!$C:$X,2+$D109,0))+IF(FA$9="X",VLOOKUP(FA$10,'VK-Biokütused'!$C:$U,2+$E109,0))+IF(FA$5="X",VLOOKUP(FA$10,'VK-Põlevkivi'!$C:$X,2+$G109,0))+IF(FA$4="X",VLOOKUP(FA$10,'VK-Võrgud'!$C:$X,2+$F109,0))</f>
        <v>3103.9189999999999</v>
      </c>
      <c r="FB109" s="279">
        <f>(IF(FB$7="X",VLOOKUP(FB$10,'VK-Hooned-Soojus'!$C:$X,2+$C109,FALSE),0)+IF(FB$6="X",VLOOKUP(FB$10,'VK-Transport'!$C:$X,2+$B109,0))+IF(FB$8="X",VLOOKUP(FB$10,'VK-Elekter'!$C:$X,2+$D109,0))+IF(FB$9="X",VLOOKUP(FB$10,'VK-Biokütused'!$C:$U,2+$E109,0))+IF(FB$5="X",VLOOKUP(FB$10,'VK-Põlevkivi'!$C:$X,2+$G109,0))+IF(FB$4="X",VLOOKUP(FB$10,'VK-Võrgud'!$C:$X,2+$F109,0)))/16</f>
        <v>600.13989320977157</v>
      </c>
      <c r="FC109" s="209">
        <f>IF(FC$7="X",VLOOKUP(FC$10,'VK-Hooned-Soojus'!$C:$X,2+$C109,FALSE),0)+IF(FC$6="X",VLOOKUP(FC$10,'VK-Transport'!$C:$X,2+$B109,0))+IF(FC$8="X",VLOOKUP(FC$10,'VK-Elekter'!$C:$X,2+$D109,0))+IF(FC$9="X",VLOOKUP(FC$10,'VK-Biokütused'!$C:$U,2+$E109,0))+IF(FC$5="X",VLOOKUP(FC$10,'VK-Põlevkivi'!$C:$X,2+$G109,0))+IF(FC$4="X",VLOOKUP(FC$10,'VK-Võrgud'!$C:$X,2+$F109,0))</f>
        <v>315.49999999999994</v>
      </c>
      <c r="FD109" s="209">
        <f>(IF(FD$7="X",VLOOKUP(FD$10,'VK-Hooned-Soojus'!$C:$X,2+$C109,FALSE),0)+IF(FD$6="X",VLOOKUP(FD$10,'VK-Transport'!$C:$X,2+$B109,0))+IF(FD$8="X",VLOOKUP(FD$10,'VK-Elekter'!$C:$X,2+$D109,0))+IF(FD$9="X",VLOOKUP(FD$10,'VK-Biokütused'!$C:$U,2+$E109,0))+IF(FD$5="X",VLOOKUP(FD$10,'VK-Põlevkivi'!$C:$X,2+$G109,0))+IF(FD$4="X",VLOOKUP(FD$10,'VK-Võrgud'!$C:$X,2+$F109,0)))/16</f>
        <v>600.13989320977157</v>
      </c>
      <c r="FE109" s="209">
        <f>(IF(FE$7="X",VLOOKUP(FE$10,'VK-Hooned-Soojus'!$C:$X,2+$C109,FALSE),0)+IF(FE$6="X",VLOOKUP(FE$10,'VK-Transport'!$C:$X,2+$B109,0))+IF(FE$8="X",VLOOKUP(FE$10,'VK-Elekter'!$C:$X,2+$D109,0))+IF(FE$9="X",VLOOKUP(FE$10,'VK-Biokütused'!$C:$U,2+$E109,0))+IF(FE$5="X",VLOOKUP(FE$10,'VK-Põlevkivi'!$C:$X,2+$G109,0))+IF(FE$4="X",VLOOKUP(FE$10,'VK-Võrgud'!$C:$X,2+$F109,0)))/16</f>
        <v>-74.878313699091038</v>
      </c>
      <c r="FF109" s="209">
        <f>(IF(FF$7="X",VLOOKUP(FF$10,'VK-Hooned-Soojus'!$C:$X,2+$C109,FALSE),0)+IF(FF$6="X",VLOOKUP(FF$10,'VK-Transport'!$C:$X,2+$B109,0))+IF(FF$8="X",VLOOKUP(FF$10,'VK-Elekter'!$C:$X,2+$D109,0))+IF(FF$9="X",VLOOKUP(FF$10,'VK-Biokütused'!$C:$U,2+$E109,0))+IF(FF$5="X",VLOOKUP(FF$10,'VK-Põlevkivi'!$C:$X,2+$G109,0))+IF(FF$4="X",VLOOKUP(FF$10,'VK-Võrgud'!$C:$X,2+$F109,0)))/16</f>
        <v>230.84031557162268</v>
      </c>
      <c r="FG109" s="88">
        <f t="shared" ca="1" si="78"/>
        <v>155.96200187253163</v>
      </c>
      <c r="FH109" s="88"/>
      <c r="FI109" s="88"/>
      <c r="FJ109" s="88">
        <f>VLOOKUP(Tulemused!$BN$12,data!M$7:N$12,2,FALSE)-SUM(L109,M109)</f>
        <v>-0.80250937302436398</v>
      </c>
      <c r="FK109" s="209" t="str">
        <f>IF(AZ109&lt;=VLOOKUP(Tulemused!$BN$15,data!$E$36:$F$39,2,FALSE),"JAH","EI")</f>
        <v>JAH</v>
      </c>
      <c r="FL109" s="235">
        <f ca="1">IF(ISNA(MATCH($A109,INDIRECT(VLOOKUP(Tulemused!$BF$11,data!$J$57:$M$71,4,FALSE)))),0,MATCH($A109,INDIRECT(VLOOKUP(Tulemused!$BF$11,data!$J$57:$M$71,4,FALSE))))</f>
        <v>0</v>
      </c>
      <c r="FM109" s="235" t="str">
        <f t="shared" ca="1" si="92"/>
        <v>JAH</v>
      </c>
      <c r="FN109" s="209">
        <f>VLOOKUP(Tulemused!$BN$13,data!$C$132:$D$137,2,FALSE)-KOMBI!R109</f>
        <v>4.3168850093626805</v>
      </c>
      <c r="FO109" s="209"/>
      <c r="FP109" s="209">
        <f>VLOOKUP(Tulemused!$BN$17,NO_x,2,FALSE)-CJ109</f>
        <v>11.351138900569413</v>
      </c>
      <c r="FQ109" s="209">
        <f>VLOOKUP(Tulemused!$BN$18,SO_2,2,FALSE)-CK109</f>
        <v>39.082922023659208</v>
      </c>
      <c r="FR109" s="209">
        <f>VLOOKUP(Tulemused!$BN$19,LOU,2,FALSE)-CN109</f>
        <v>34.029000000000003</v>
      </c>
      <c r="FS109" s="209">
        <f>VLOOKUP(Tulemused!$BN$20,PM_2.5,2,FALSE)-CM109</f>
        <v>8.3956843205528955</v>
      </c>
      <c r="FT109" s="209">
        <f>VLOOKUP(Tulemused!$BN$13,data!$C$132:$D$137,2,FALSE)-FA109/1000</f>
        <v>3.1420510000000008</v>
      </c>
      <c r="FU109" s="209">
        <f>VLOOKUP(Tulemused!$BN$17,NO_x,2,FALSE)-CO109</f>
        <v>5.320637662643005</v>
      </c>
      <c r="FV109" s="209">
        <f>VLOOKUP(Tulemused!$BN$18,SO_2,2,FALSE)-CP109</f>
        <v>38.060607879306339</v>
      </c>
      <c r="FW109" s="209">
        <f>VLOOKUP(Tulemused!$BN$19,LOU,2,FALSE)-CS109</f>
        <v>33.241350490137769</v>
      </c>
      <c r="FX109" s="209">
        <f>VLOOKUP(Tulemused!$BN$20,PM_2.5,2,FALSE)-CR109</f>
        <v>8.8312481626003105</v>
      </c>
      <c r="FY109" s="209">
        <f>VLOOKUP(Tulemused!$BN$14,KHG_2050,2,FALSE)-EF109</f>
        <v>95.979115009362687</v>
      </c>
      <c r="FZ109" s="231" t="str">
        <f t="shared" ca="1" si="79"/>
        <v>EI</v>
      </c>
      <c r="GA109" s="209"/>
      <c r="GB109" s="209"/>
      <c r="GC109" s="209"/>
      <c r="GD109" s="231"/>
      <c r="GE109" s="87">
        <f t="shared" si="93"/>
        <v>1228</v>
      </c>
      <c r="GF109" s="232" t="str">
        <f t="shared" ca="1" si="80"/>
        <v/>
      </c>
      <c r="GH109" s="238" t="e">
        <f t="shared" ca="1" si="94"/>
        <v>#NUM!</v>
      </c>
      <c r="GI109" s="87" t="e">
        <f t="array" aca="1" ref="GI109" ca="1">INDEX($A$11:$A$145, SMALL(IF(GH109=$GF$11:$GF$145, MATCH(ROW($GF$11:$GF$145), ROW($GF$11:$GF$145))), SUM(--(GH109=$GH$11:GH109))))</f>
        <v>#NUM!</v>
      </c>
      <c r="GM109" s="209">
        <f>IF(GM$7="X",VLOOKUP(GM$10,'VK-Hooned-Soojus'!$C:$X,2+$C109,FALSE),0)+IF(GM$6="X",VLOOKUP(GM$10,'VK-Transport'!$C:$X,2+$B109,0))+IF(GM$8="X",VLOOKUP(GM$10,'VK-Elekter'!$C:$X,2+$D109,0))+IF(GM$9="X",VLOOKUP(GM$10,'VK-Biokütused'!$C:$U,2+$E109,0))+IF(GM$5="X",VLOOKUP(GM$10,'VK-Põlevkivi'!$C:$X,2+$G109,0))+IF(GM$4="X",VLOOKUP(GM$10,'VK-Võrgud'!$C:$X,2+$F109,0))</f>
        <v>6.011750640646909</v>
      </c>
      <c r="GN109" s="209">
        <f>IF(GN$7="X",VLOOKUP(GN$10,'VK-Hooned-Soojus'!$C:$X,2+$C109,FALSE),0)+IF(GN$6="X",VLOOKUP(GN$10,'VK-Transport'!$C:$X,2+$B109,0))+IF(GN$8="X",VLOOKUP(GN$10,'VK-Elekter'!$C:$X,2+$D109,0))+IF(GN$9="X",VLOOKUP(GN$10,'VK-Biokütused'!$C:$U,2+$E109,0))+IF(GN$5="X",VLOOKUP(GN$10,'VK-Põlevkivi'!$C:$X,2+$G109,0))+IF(GN$4="X",VLOOKUP(GN$10,'VK-Võrgud'!$C:$X,2+$F109,0))</f>
        <v>3.4528686473995491</v>
      </c>
      <c r="GO109" s="209">
        <f>IF(GO$7="X",VLOOKUP(GO$10,'VK-Hooned-Soojus'!$C:$X,2+$C109,FALSE),0)+IF(GO$6="X",VLOOKUP(GO$10,'VK-Transport'!$C:$X,2+$B109,0))+IF(GO$8="X",VLOOKUP(GO$10,'VK-Elekter'!$C:$X,2+$D109,0))+IF(GO$9="X",VLOOKUP(GO$10,'VK-Biokütused'!$C:$U,2+$E109,0))+IF(GO$5="X",VLOOKUP(GO$10,'VK-Põlevkivi'!$C:$X,2+$G109,0))+IF(GO$4="X",VLOOKUP(GO$10,'VK-Võrgud'!$C:$X,2+$F109,0))</f>
        <v>8.7471755658278116</v>
      </c>
      <c r="GP109" s="209">
        <f>IF(GP$7="X",VLOOKUP(GP$10,'VK-Hooned-Soojus'!$C:$X,2+$C109,FALSE),0)+IF(GP$6="X",VLOOKUP(GP$10,'VK-Transport'!$C:$X,2+$B109,0))+IF(GP$8="X",VLOOKUP(GP$10,'VK-Elekter'!$C:$X,2+$D109,0))+IF(GP$9="X",VLOOKUP(GP$10,'VK-Biokütused'!$C:$U,2+$E109,0))+IF(GP$5="X",VLOOKUP(GP$10,'VK-Põlevkivi'!$C:$X,2+$G109,0))+IF(GP$4="X",VLOOKUP(GP$10,'VK-Võrgud'!$C:$X,2+$F109,0))</f>
        <v>9.3279335818485372</v>
      </c>
      <c r="GQ109" s="88">
        <f>IF(GQ$7="X",VLOOKUP(GQ$10,'VK-Hooned-Soojus'!$C:$X,2+$C109,FALSE),0)+IF(GQ$6="X",VLOOKUP(GQ$10,'VK-Transport'!$C:$X,2+$B109,0))+IF(GQ$8="X",VLOOKUP(GQ$10,'VK-Elekter'!$C:$X,2+$D109,0))+IF(GQ$9="X",VLOOKUP(GQ$10,'VK-Biokütused'!$C:$U,2+$E109,0))+IF(GQ$5="X",VLOOKUP(GQ$10,'VK-Põlevkivi'!$C:$X,2+$G109,0))+IF(GQ$4="X",VLOOKUP(GQ$10,'VK-Võrgud'!$C:$X,2+$F109,0))</f>
        <v>0.89042766952822527</v>
      </c>
      <c r="GR109" s="186">
        <f t="shared" si="81"/>
        <v>0.40645470945900353</v>
      </c>
    </row>
    <row r="110" spans="1:200" x14ac:dyDescent="0.2">
      <c r="A110" s="184">
        <v>100</v>
      </c>
      <c r="B110" s="87">
        <v>3</v>
      </c>
      <c r="C110" s="87">
        <v>1</v>
      </c>
      <c r="D110" s="87">
        <v>4</v>
      </c>
      <c r="E110" s="87">
        <v>1</v>
      </c>
      <c r="F110" s="87">
        <f>VLOOKUP(Tulemused!$BF$7,data!$J$6:$K$8,2,FALSE)</f>
        <v>2</v>
      </c>
      <c r="G110" s="87">
        <f>VLOOKUP(data!$H$2,data!$J$12:$K$14,2,FALSE)</f>
        <v>2</v>
      </c>
      <c r="I110" s="209">
        <f>IF(I$7="X",VLOOKUP(I$10,'VK-Hooned-Soojus'!$C:$X,2+$C110,FALSE),0)+IF(I$6="X",VLOOKUP(I$10,'VK-Transport'!$C:$X,2+$B110,0))+IF(I$8="X",VLOOKUP(I$10,'VK-Elekter'!$C:$X,2+$D110,0))+IF(I$9="X",VLOOKUP(I$10,'VK-Biokütused'!$C:$U,2+$E110,0))+IF(I$5="X",VLOOKUP(I$10,'VK-Põlevkivi'!$C:$X,2+$G110,0))+IF(I$4="X",VLOOKUP(I$10,'VK-Võrgud'!$C:$X,2+$F110,0))</f>
        <v>26.89</v>
      </c>
      <c r="J110" s="209">
        <f>IF(J$7="X",VLOOKUP(J$10,'VK-Hooned-Soojus'!$C:$X,2+$C110,FALSE),0)+IF(J$6="X",VLOOKUP(J$10,'VK-Transport'!$C:$X,2+$B110,0))+IF(J$8="X",VLOOKUP(J$10,'VK-Elekter'!$C:$X,2+$D110,0))+IF(J$9="X",VLOOKUP(J$10,'VK-Biokütused'!$C:$U,2+$E110,0))+IF(J$5="X",VLOOKUP(J$10,'VK-Põlevkivi'!$C:$X,2+$G110,0))+IF(J$4="X",VLOOKUP(J$10,'VK-Võrgud'!$C:$X,2+$F110,0))</f>
        <v>8.1258333333333344</v>
      </c>
      <c r="K110" s="209">
        <f>IF(K$7="X",VLOOKUP(K$10,'VK-Hooned-Soojus'!$C:$X,2+$C110,FALSE),0)+IF(K$6="X",VLOOKUP(K$10,'VK-Transport'!$C:$X,2+$B110,0))+IF(K$8="X",VLOOKUP(K$10,'VK-Elekter'!$C:$X,2+$D110,0))+IF(K$9="X",VLOOKUP(K$10,'VK-Biokütused'!$C:$U,2+$E110,0))+IF(K$5="X",VLOOKUP(K$10,'VK-Põlevkivi'!$C:$X,2+$G110,0))+IF(K$4="X",VLOOKUP(K$10,'VK-Võrgud'!$C:$X,2+$F110,0))</f>
        <v>16.75</v>
      </c>
      <c r="L110" s="209">
        <f>IF(L$7="X",VLOOKUP(L$10,'VK-Hooned-Soojus'!$C:$X,2+$C110,FALSE),0)+IF(L$6="X",VLOOKUP(L$10,'VK-Transport'!$C:$X,2+$B110,0))+IF(L$8="X",VLOOKUP(L$10,'VK-Elekter'!$C:$X,2+$D110,0))+IF(L$9="X",VLOOKUP(L$10,'VK-Biokütused'!$C:$U,2+$E110,0))+IF(L$5="X",VLOOKUP(L$10,'VK-Põlevkivi'!$C:$X,2+$G110,0))+IF(L$4="X",VLOOKUP(L$10,'VK-Võrgud'!$C:$X,2+$F110,0))</f>
        <v>24.95</v>
      </c>
      <c r="M110" s="209">
        <f>IF(M$7="X",VLOOKUP(M$10,'VK-Hooned-Soojus'!$C:$X,2+$C110,FALSE),0)+IF(M$6="X",VLOOKUP(M$10,'VK-Transport'!$C:$X,2+$B110,0))+IF(M$8="X",VLOOKUP(M$10,'VK-Elekter'!$C:$X,2+$D110,0))+IF(M$9="X",VLOOKUP(M$10,'VK-Biokütused'!$C:$U,2+$E110,0))+IF(M$5="X",VLOOKUP(M$10,'VK-Põlevkivi'!$C:$X,2+$G110,0))+IF(M$4="X",VLOOKUP(M$10,'VK-Võrgud'!$C:$X,2+$F110,0))</f>
        <v>8.68530937302436</v>
      </c>
      <c r="N110" s="209">
        <f>IF(N$7="X",VLOOKUP(N$10,'VK-Hooned-Soojus'!$C:$X,2+$C110,FALSE),0)+IF(N$6="X",VLOOKUP(N$10,'VK-Transport'!$C:$X,2+$B110,0))+IF(N$8="X",VLOOKUP(N$10,'VK-Elekter'!$C:$X,2+$D110,0))+IF(N$9="X",VLOOKUP(N$10,'VK-Biokütused'!$C:$U,2+$E110,0))+IF(N$5="X",VLOOKUP(N$10,'VK-Põlevkivi'!$C:$X,2+$G110,0))+IF(N$4="X",VLOOKUP(N$10,'VK-Võrgud'!$C:$X,2+$F110,0))</f>
        <v>16.75</v>
      </c>
      <c r="O110" s="209">
        <f t="shared" si="60"/>
        <v>35.015833333333333</v>
      </c>
      <c r="P110" s="209"/>
      <c r="Q110" s="209">
        <f>(IF(Q$7="X",VLOOKUP(Q$10,'VK-Hooned-Soojus'!$C:$X,2+$C110,FALSE),0)+IF(Q$6="X",VLOOKUP(Q$10,'VK-Transport'!$C:$X,2+$B110,0))+IF(Q$8="X",VLOOKUP(Q$10,'VK-Elekter'!$C:$X,2+$D110,0))+IF(Q$9="X",VLOOKUP(Q$10,'VK-Biokütused'!$C:$U,2+$E110,0))+IF(Q$5="X",VLOOKUP(Q$10,'VK-Põlevkivi'!$C:$X,2+$G110,0))+IF(Q$4="X",VLOOKUP(Q$10,'VK-Võrgud'!$C:$X,2+$F110,0)))/1000</f>
        <v>1.6020000000000001</v>
      </c>
      <c r="R110" s="209">
        <f>(IF(R$7="X",VLOOKUP(R$10,'VK-Hooned-Soojus'!$C:$X,2+$C110,FALSE),0)+IF(R$6="X",VLOOKUP(R$10,'VK-Transport'!$C:$X,2+$B110,0))+IF(R$8="X",VLOOKUP(R$10,'VK-Elekter'!$C:$X,2+$D110,0))+IF(R$9="X",VLOOKUP(R$10,'VK-Biokütused'!$C:$U,2+$E110,0))+IF(R$5="X",VLOOKUP(R$10,'VK-Põlevkivi'!$C:$X,2+$G110,0))+IF(R$4="X",VLOOKUP(R$10,'VK-Võrgud'!$C:$X,2+$F110,0)))/1000</f>
        <v>1.3428849906373199</v>
      </c>
      <c r="S110" s="226">
        <f>VLOOKUP(S$10,'VK-Hooned-Soojus'!$C:$I,2+$C110,FALSE) + VLOOKUP(S$10,'VK-Transport'!$C:$I,2+$B110,FALSE)+ VLOOKUP(S$10,'VK-Biokütused'!$C:$G,2+$E110,FALSE)+ VLOOKUP(S$10,'VK-Elekter'!$C:$I,2+$D110,FALSE)+ VLOOKUP(S$10,'VK-Põlevkivi'!$C:$I,2+$G110,FALSE)+ VLOOKUP(S$10,'VK-Võrgud'!$C:$I,2+$F110,FALSE)</f>
        <v>1.0263678145194691E-2</v>
      </c>
      <c r="T110" s="226">
        <f>VLOOKUP(T$10,'VK-Hooned-Soojus'!$C:$I,2+$C110,FALSE) + VLOOKUP(T$10,'VK-Transport'!$C:$I,2+$B110,FALSE)+ VLOOKUP(T$10,'VK-Biokütused'!$C:$G,2+$E110,FALSE)+ VLOOKUP(T$10,'VK-Elekter'!$C:$I,2+$D110,FALSE)+ VLOOKUP(T$10,'VK-Põlevkivi'!$C:$I,2+$G110,FALSE)+ VLOOKUP(T$10,'VK-Võrgud'!$C:$I,2+$F110,FALSE)</f>
        <v>7.5822157805707415E-3</v>
      </c>
      <c r="U110" s="226">
        <f>VLOOKUP(U$10,'VK-Hooned-Soojus'!$C:$I,2+$C110,FALSE) + VLOOKUP(U$10,'VK-Transport'!$C:$I,2+$B110,FALSE)+ VLOOKUP(U$10,'VK-Biokütused'!$C:$G,2+$E110,FALSE)+ VLOOKUP(U$10,'VK-Elekter'!$C:$I,2+$D110,FALSE)+ VLOOKUP(U$10,'VK-Põlevkivi'!$C:$I,2+$G110,FALSE)+ VLOOKUP(U$10,'VK-Võrgud'!$C:$I,2+$F110,FALSE)</f>
        <v>3.8741005940715334E-3</v>
      </c>
      <c r="V110" s="226">
        <f>VLOOKUP(V$10,'VK-Hooned-Soojus'!$C:$I,2+$C110,FALSE) + VLOOKUP(V$10,'VK-Transport'!$C:$I,2+$B110,FALSE)+ VLOOKUP(V$10,'VK-Biokütused'!$C:$G,2+$E110,FALSE)+ VLOOKUP(V$10,'VK-Elekter'!$C:$I,2+$D110,FALSE)+ VLOOKUP(V$10,'VK-Põlevkivi'!$C:$I,2+$G110,FALSE)+ VLOOKUP(V$10,'VK-Võrgud'!$C:$I,2+$F110,FALSE)</f>
        <v>6.4545544035500869E-3</v>
      </c>
      <c r="W110" s="226">
        <f>VLOOKUP(W$10,'VK-Hooned-Soojus'!$C:$I,2+$C110,FALSE) + VLOOKUP(W$10,'VK-Transport'!$C:$I,2+$B110,FALSE)+ VLOOKUP(W$10,'VK-Biokütused'!$C:$G,2+$E110,FALSE)+ VLOOKUP(W$10,'VK-Elekter'!$C:$I,2+$D110,FALSE)+ VLOOKUP(W$10,'VK-Põlevkivi'!$C:$I,2+$G110,FALSE)+ VLOOKUP(W$10,'VK-Võrgud'!$C:$I,2+$F110,FALSE)</f>
        <v>-5.1731473268374815E-2</v>
      </c>
      <c r="X110" s="226">
        <f>VLOOKUP(X$10,'VK-Hooned-Soojus'!$C:$I,2+$C110,FALSE) + VLOOKUP(X$10,'VK-Transport'!$C:$I,2+$B110,FALSE)+ VLOOKUP(X$10,'VK-Biokütused'!$C:$G,2+$E110,FALSE)+ VLOOKUP(X$10,'VK-Elekter'!$C:$I,2+$D110,FALSE)+ VLOOKUP(X$10,'VK-Põlevkivi'!$C:$I,2+$G110,FALSE)+ VLOOKUP(X$10,'VK-Võrgud'!$C:$I,2+$F110,FALSE)</f>
        <v>-0.18098714985928105</v>
      </c>
      <c r="Y110" s="226">
        <f>VLOOKUP(Y$10,'VK-Hooned-Soojus'!$C:$I,2+$C110,FALSE) + VLOOKUP(Y$10,'VK-Transport'!$C:$I,2+$B110,FALSE)+ VLOOKUP(Y$10,'VK-Biokütused'!$C:$G,2+$E110,FALSE)+ VLOOKUP(Y$10,'VK-Elekter'!$C:$I,2+$D110,FALSE)+ VLOOKUP(Y$10,'VK-Põlevkivi'!$C:$I,2+$G110,FALSE)+ VLOOKUP(Y$10,'VK-Võrgud'!$C:$I,2+$F110,FALSE)</f>
        <v>-9.8863120531021975E-2</v>
      </c>
      <c r="Z110" s="227">
        <f>(S110*Tulemused!$Q$9*10+T110*Tulemused!$Q$10*10+KOMBI!U110*Tulemused!$Q$11*10+KOMBI!V110*Tulemused!$Q$12*10)*Tulemused!$Q$8+-(W110*Tulemused!$Q$14*10+KOMBI!X110*Tulemused!$Q$15*10+KOMBI!Y110*Tulemused!$Q$16*10)*Tulemused!$Q$13</f>
        <v>9.016066143767171</v>
      </c>
      <c r="AA110" s="228">
        <f>(IF(AA$7="X",VLOOKUP(AA$10,'VK-Hooned-Soojus'!$C:$X,2+$C110,FALSE),0)+IF(AA$6="X",VLOOKUP(AA$10,'VK-Transport'!$C:$X,2+$B110,0))+IF(AA$8="X",VLOOKUP(AA$10,'VK-Elekter'!$C:$X,2+$D110,0))+IF(AA$9="X",VLOOKUP(AA$10,'VK-Biokütused'!$C:$U,2+$E110,0))+IF(AA$5="X",VLOOKUP(AA$10,'VK-Põlevkivi'!$C:$X,2+$G110,0))+IF(AA$4="X",VLOOKUP(AA$10,'VK-Võrgud'!$C:$X,2+$F110,0)))</f>
        <v>0</v>
      </c>
      <c r="AB110" s="228">
        <f>(IF(AB$7="X",VLOOKUP(AB$10,'VK-Hooned-Soojus'!$C:$X,2+$C110,FALSE),0)+IF(AB$6="X",VLOOKUP(AB$10,'VK-Transport'!$C:$X,2+$B110,0))+IF(AB$8="X",VLOOKUP(AB$10,'VK-Elekter'!$C:$X,2+$D110,0))+IF(AB$9="X",VLOOKUP(AB$10,'VK-Biokütused'!$C:$U,2+$E110,0))+IF(AB$5="X",VLOOKUP(AB$10,'VK-Põlevkivi'!$C:$X,2+$G110,0))+IF(AB$4="X",VLOOKUP(AB$10,'VK-Võrgud'!$C:$X,2+$F110,0)))</f>
        <v>1602</v>
      </c>
      <c r="AC110" s="228">
        <f>(IF(AC$7="X",VLOOKUP(AC$10,'VK-Hooned-Soojus'!$C:$X,2+$C110,FALSE),0)+IF(AC$6="X",VLOOKUP(AC$10,'VK-Transport'!$C:$X,2+$B110,0))+IF(AC$8="X",VLOOKUP(AC$10,'VK-Elekter'!$C:$X,2+$D110,0))+IF(AC$9="X",VLOOKUP(AC$10,'VK-Biokütused'!$C:$U,2+$E110,0))+IF(AC$5="X",VLOOKUP(AC$10,'VK-Põlevkivi'!$C:$X,2+$G110,0))+IF(AC$4="X",VLOOKUP(AC$10,'VK-Võrgud'!$C:$X,2+$F110,0)))</f>
        <v>2346</v>
      </c>
      <c r="AD110" s="228">
        <f>(IF(AD$7="X",VLOOKUP(AD$10,'VK-Hooned-Soojus'!$C:$X,2+$C110,FALSE),0)+IF(AD$6="X",VLOOKUP(AD$10,'VK-Transport'!$C:$X,2+$B110,0))+IF(AD$8="X",VLOOKUP(AD$10,'VK-Elekter'!$C:$X,2+$D110,0))+IF(AD$9="X",VLOOKUP(AD$10,'VK-Biokütused'!$C:$U,2+$E110,0))+IF(AD$5="X",VLOOKUP(AD$10,'VK-Põlevkivi'!$C:$X,2+$G110,0))+IF(AD$4="X",VLOOKUP(AD$10,'VK-Võrgud'!$C:$X,2+$F110,0)))</f>
        <v>0</v>
      </c>
      <c r="AE110" s="228">
        <f>(IF(AE$7="X",VLOOKUP(AE$10,'VK-Hooned-Soojus'!$C:$X,2+$C110,FALSE),0)+IF(AE$6="X",VLOOKUP(AE$10,'VK-Transport'!$C:$X,2+$B110,0))+IF(AE$8="X",VLOOKUP(AE$10,'VK-Elekter'!$C:$X,2+$D110,0))+IF(AE$9="X",VLOOKUP(AE$10,'VK-Biokütused'!$C:$U,2+$E110,0))+IF(AE$5="X",VLOOKUP(AE$10,'VK-Põlevkivi'!$C:$X,2+$G110,0))+IF(AE$4="X",VLOOKUP(AE$10,'VK-Võrgud'!$C:$X,2+$F110,0)))</f>
        <v>812</v>
      </c>
      <c r="AF110" s="228">
        <f>(IF(AF$7="X",VLOOKUP(AF$10,'VK-Hooned-Soojus'!$C:$X,2+$C110,FALSE),0)+IF(AF$6="X",VLOOKUP(AF$10,'VK-Transport'!$C:$X,2+$B110,0))+IF(AF$8="X",VLOOKUP(AF$10,'VK-Elekter'!$C:$X,2+$D110,0))+IF(AF$9="X",VLOOKUP(AF$10,'VK-Biokütused'!$C:$U,2+$E110,0))+IF(AF$5="X",VLOOKUP(AF$10,'VK-Põlevkivi'!$C:$X,2+$G110,0))+IF(AF$4="X",VLOOKUP(AF$10,'VK-Võrgud'!$C:$X,2+$F110,0)))</f>
        <v>530.88499063732002</v>
      </c>
      <c r="AG110" s="209"/>
      <c r="AH110" s="209">
        <f>IF(AH$7="X",VLOOKUP(AH$10,'VK-Hooned-Soojus'!$C:$X,2+$C110,FALSE),0)+IF(AH$6="X",VLOOKUP(AH$10,'VK-Transport'!$C:$X,2+$B110,0))+IF(AH$8="X",VLOOKUP(AH$10,'VK-Elekter'!$C:$X,2+$D110,0))+IF(AH$9="X",VLOOKUP(AH$10,'VK-Biokütused'!$C:$U,2+$E110,0))+IF(AH$5="X",VLOOKUP(AH$10,'VK-Põlevkivi'!$C:$X,2+$G110,0))+IF(AH$4="X",VLOOKUP(AH$10,'VK-Võrgud'!$C:$X,2+$F110,0))</f>
        <v>0</v>
      </c>
      <c r="AI110" s="209">
        <f>IF(AI$7="X",VLOOKUP(AI$10,'VK-Hooned-Soojus'!$C:$X,2+$C110,FALSE),0)+IF(AI$6="X",VLOOKUP(AI$10,'VK-Transport'!$C:$X,2+$B110,0))+IF(AI$8="X",VLOOKUP(AI$10,'VK-Elekter'!$C:$X,2+$D110,0))+IF(AI$9="X",VLOOKUP(AI$10,'VK-Biokütused'!$C:$U,2+$E110,0))+IF(AI$5="X",VLOOKUP(AI$10,'VK-Põlevkivi'!$C:$X,2+$G110,0))+IF(AI$4="X",VLOOKUP(AI$10,'VK-Võrgud'!$C:$X,2+$F110,0))</f>
        <v>11.489999999999998</v>
      </c>
      <c r="AJ110" s="209">
        <f>IF(AJ$7="X",VLOOKUP(AJ$10,'VK-Hooned-Soojus'!$C:$X,2+$C110,FALSE),0)+IF(AJ$6="X",VLOOKUP(AJ$10,'VK-Transport'!$C:$X,2+$B110,0))+IF(AJ$8="X",VLOOKUP(AJ$10,'VK-Elekter'!$C:$X,2+$D110,0))+IF(AJ$9="X",VLOOKUP(AJ$10,'VK-Biokütused'!$C:$U,2+$E110,0))+IF(AJ$5="X",VLOOKUP(AJ$10,'VK-Põlevkivi'!$C:$X,2+$G110,0))+IF(AJ$4="X",VLOOKUP(AJ$10,'VK-Võrgud'!$C:$X,2+$F110,0))</f>
        <v>0</v>
      </c>
      <c r="AK110" s="209">
        <f>IF(AK$7="X",VLOOKUP(AK$10,'VK-Hooned-Soojus'!$C:$X,2+$C110,FALSE),0)+IF(AK$6="X",VLOOKUP(AK$10,'VK-Transport'!$C:$X,2+$B110,0))+IF(AK$8="X",VLOOKUP(AK$10,'VK-Elekter'!$C:$X,2+$D110,0))+IF(AK$9="X",VLOOKUP(AK$10,'VK-Biokütused'!$C:$U,2+$E110,0))+IF(AK$5="X",VLOOKUP(AK$10,'VK-Põlevkivi'!$C:$X,2+$G110,0))+IF(AK$4="X",VLOOKUP(AK$10,'VK-Võrgud'!$C:$X,2+$F110,0))</f>
        <v>3.65</v>
      </c>
      <c r="AL110" s="209">
        <f>IF(AL$7="X",VLOOKUP(AL$10,'VK-Hooned-Soojus'!$C:$X,2+$C110,FALSE),0)+IF(AL$6="X",VLOOKUP(AL$10,'VK-Transport'!$C:$X,2+$B110,0))+IF(AL$8="X",VLOOKUP(AL$10,'VK-Elekter'!$C:$X,2+$D110,0))+IF(AL$9="X",VLOOKUP(AL$10,'VK-Biokütused'!$C:$U,2+$E110,0))+IF(AL$5="X",VLOOKUP(AL$10,'VK-Põlevkivi'!$C:$X,2+$G110,0))+IF(AL$4="X",VLOOKUP(AL$10,'VK-Võrgud'!$C:$X,2+$F110,0))</f>
        <v>7.1999999999999993</v>
      </c>
      <c r="AM110" s="209">
        <f>IF(AM$7="X",VLOOKUP(AM$10,'VK-Hooned-Soojus'!$C:$X,2+$C110,FALSE),0)+IF(AM$6="X",VLOOKUP(AM$10,'VK-Transport'!$C:$X,2+$B110,0))+IF(AM$8="X",VLOOKUP(AM$10,'VK-Elekter'!$C:$X,2+$D110,0))+IF(AM$9="X",VLOOKUP(AM$10,'VK-Biokütused'!$C:$U,2+$E110,0))+IF(AM$5="X",VLOOKUP(AM$10,'VK-Põlevkivi'!$C:$X,2+$G110,0))+IF(AM$4="X",VLOOKUP(AM$10,'VK-Võrgud'!$C:$X,2+$F110,0))</f>
        <v>12.9</v>
      </c>
      <c r="AN110" s="209">
        <f>IF(AN$7="X",VLOOKUP(AN$10,'VK-Hooned-Soojus'!$C:$X,2+$C110,FALSE),0)+IF(AN$6="X",VLOOKUP(AN$10,'VK-Transport'!$C:$X,2+$B110,0))+IF(AN$8="X",VLOOKUP(AN$10,'VK-Elekter'!$C:$X,2+$D110,0))+IF(AN$9="X",VLOOKUP(AN$10,'VK-Biokütused'!$C:$U,2+$E110,0))+IF(AN$5="X",VLOOKUP(AN$10,'VK-Põlevkivi'!$C:$X,2+$G110,0))+IF(AN$4="X",VLOOKUP(AN$10,'VK-Võrgud'!$C:$X,2+$F110,0))</f>
        <v>5.6999999999999993</v>
      </c>
      <c r="AO110" s="209">
        <f>IF(AO$7="X",VLOOKUP(AO$10,'VK-Hooned-Soojus'!$C:$X,2+$C110,FALSE),0)+IF(AO$6="X",VLOOKUP(AO$10,'VK-Transport'!$C:$X,2+$B110,0))+IF(AO$8="X",VLOOKUP(AO$10,'VK-Elekter'!$C:$X,2+$D110,0))+IF(AO$9="X",VLOOKUP(AO$10,'VK-Biokütused'!$C:$U,2+$E110,0))+IF(AO$5="X",VLOOKUP(AO$10,'VK-Põlevkivi'!$C:$X,2+$G110,0))+IF(AO$4="X",VLOOKUP(AO$10,'VK-Võrgud'!$C:$X,2+$F110,0))</f>
        <v>22.740000000000002</v>
      </c>
      <c r="AP110" s="209">
        <f>IF(AP$7="X",VLOOKUP(AP$10,'VK-Hooned-Soojus'!$C:$X,2+$C110,FALSE),0)+IF(AP$6="X",VLOOKUP(AP$10,'VK-Transport'!$C:$X,2+$B110,0))+IF(AP$8="X",VLOOKUP(AP$10,'VK-Elekter'!$C:$X,2+$D110,0))+IF(AP$9="X",VLOOKUP(AP$10,'VK-Biokütused'!$C:$U,2+$E110,0))+IF(AP$5="X",VLOOKUP(AP$10,'VK-Põlevkivi'!$C:$X,2+$G110,0))+IF(AP$4="X",VLOOKUP(AP$10,'VK-Võrgud'!$C:$X,2+$F110,0))</f>
        <v>11.370000000000001</v>
      </c>
      <c r="AQ110" s="320">
        <f t="shared" si="61"/>
        <v>10.440000000000001</v>
      </c>
      <c r="AR110" s="209">
        <f>IF(AR$7="X",VLOOKUP(AR$10,'VK-Hooned-Soojus'!$C:$X,2+$C110,FALSE),0)+IF(AR$6="X",VLOOKUP(AR$10,'VK-Transport'!$C:$X,2+$B110,0))+IF(AR$8="X",VLOOKUP(AR$10,'VK-Elekter'!$C:$X,2+$D110,0))+IF(AR$9="X",VLOOKUP(AR$10,'VK-Biokütused'!$C:$U,2+$E110,0))+IF(AR$5="X",VLOOKUP(AR$10,'VK-Põlevkivi'!$C:$X,2+$G110,0))+IF(AR$4="X",VLOOKUP(AR$10,'VK-Võrgud'!$C:$X,2+$F110,0))</f>
        <v>1.1000000000000001</v>
      </c>
      <c r="AS110" s="320">
        <f>VLOOKUP("Kütuste tarbimine @ 2030 - UTTEGAAS",'VK-Hooned-Soojus'!$C:$X,2+$C110,FALSE)/0.172+VLOOKUP("Kütuste tarbimine @ 2030 - UTTEGAAS",'VK-Elekter'!$C:$X,2+$D110,FALSE)/0.172-AR110-AU110</f>
        <v>-1.1000000000000001</v>
      </c>
      <c r="AT110" s="209">
        <f>IF(AT$7="X",VLOOKUP(AT$10,'VK-Hooned-Soojus'!$C:$X,2+$C110,FALSE),0)+IF(AT$6="X",VLOOKUP(AT$10,'VK-Transport'!$C:$X,2+$B110,0))+IF(AT$8="X",VLOOKUP(AT$10,'VK-Elekter'!$C:$X,2+$D110,0))+IF(AT$9="X",VLOOKUP(AT$10,'VK-Biokütused'!$C:$U,2+$E110,0))+IF(AT$5="X",VLOOKUP(AT$10,'VK-Põlevkivi'!$C:$X,2+$G110,0))+IF(AT$4="X",VLOOKUP(AT$10,'VK-Võrgud'!$C:$X,2+$F110,0))</f>
        <v>5.7045296564339489</v>
      </c>
      <c r="AU110" s="229">
        <f>MAX(0,(VLOOKUP("Kütuste tarbimine @ 2030 - UTTEGAAS",'VK-Hooned-Soojus'!$C:$X,2+$C110,FALSE)/0.172+VLOOKUP("Kütuste tarbimine @ 2030 - UTTEGAAS",'VK-Elekter'!$C:$X,2+$D110,FALSE)/0.172)*0.52-VLOOKUP("Kütuste tarbimine @ 2030 - PÕLEVKIVIÕLI",'VK-Hooned-Soojus'!$C:$X,2+$C110,FALSE))</f>
        <v>0</v>
      </c>
      <c r="AV110" s="209">
        <f>IF(AV$7="X",VLOOKUP(AV$10,'VK-Hooned-Soojus'!$C:$X,2+$C110,FALSE),0)+IF(AV$6="X",VLOOKUP(AV$10,'VK-Transport'!$C:$X,2+$B110,0))+IF(AV$8="X",VLOOKUP(AV$10,'VK-Elekter'!$C:$X,2+$D110,0))+IF(AV$9="X",VLOOKUP(AV$10,'VK-Biokütused'!$C:$U,2+$E110,0))+IF(AV$5="X",VLOOKUP(AV$10,'VK-Põlevkivi'!$C:$X,2+$G110,0))+IF(AV$4="X",VLOOKUP(AV$10,'VK-Võrgud'!$C:$X,2+$F110,0))</f>
        <v>2.1219844082566364</v>
      </c>
      <c r="AW110" s="209">
        <f>IF(AW$7="X",VLOOKUP(AW$10,'VK-Hooned-Soojus'!$C:$X,2+$C110,FALSE),0)+IF(AW$6="X",VLOOKUP(AW$10,'VK-Transport'!$C:$X,2+$B110,0))+IF(AW$8="X",VLOOKUP(AW$10,'VK-Elekter'!$C:$X,2+$D110,0))+IF(AW$9="X",VLOOKUP(AW$10,'VK-Biokütused'!$C:$U,2+$E110,0))+IF(AW$5="X",VLOOKUP(AW$10,'VK-Põlevkivi'!$C:$X,2+$G110,0))+IF(AW$4="X",VLOOKUP(AW$10,'VK-Võrgud'!$C:$X,2+$F110,0))</f>
        <v>0</v>
      </c>
      <c r="AX110" s="229">
        <f t="shared" si="62"/>
        <v>0</v>
      </c>
      <c r="AY110" s="229">
        <f t="shared" si="63"/>
        <v>2.1219844082566364</v>
      </c>
      <c r="AZ110" s="230">
        <f t="shared" si="83"/>
        <v>0.65806267338866498</v>
      </c>
      <c r="BA110" s="209">
        <f>IF(BA$7="X",VLOOKUP(BA$10,'VK-Hooned-Soojus'!$C:$X,2+$C110,FALSE),0)+IF(BA$6="X",VLOOKUP(BA$10,'VK-Transport'!$C:$X,2+$B110,0))+IF(BA$8="X",VLOOKUP(BA$10,'VK-Elekter'!$C:$X,2+$D110,0))+IF(BA$9="X",VLOOKUP(BA$10,'VK-Biokütused'!$C:$U,2+$E110,0))+IF(BA$5="X",VLOOKUP(BA$10,'VK-Põlevkivi'!$C:$X,2+$G110,0))+IF(BA$4="X",VLOOKUP(BA$10,'VK-Võrgud'!$C:$X,2+$F110,0))</f>
        <v>0</v>
      </c>
      <c r="BB110" s="209">
        <f>IF(BB$7="X",VLOOKUP(BB$10,'VK-Hooned-Soojus'!$C:$X,2+$C110,FALSE),0)+IF(BB$6="X",VLOOKUP(BB$10,'VK-Transport'!$C:$X,2+$B110,0))+IF(BB$8="X",VLOOKUP(BB$10,'VK-Elekter'!$C:$X,2+$D110,0))+IF(BB$9="X",VLOOKUP(BB$10,'VK-Biokütused'!$C:$U,2+$E110,0))+IF(BB$5="X",VLOOKUP(BB$10,'VK-Põlevkivi'!$C:$X,2+$G110,0))+IF(BB$4="X",VLOOKUP(BB$10,'VK-Võrgud'!$C:$X,2+$F110,0))</f>
        <v>6.32</v>
      </c>
      <c r="BC110" s="209">
        <f>IF(BC$7="X",VLOOKUP(BC$10,'VK-Hooned-Soojus'!$C:$X,2+$C110,FALSE),0)+IF(BC$6="X",VLOOKUP(BC$10,'VK-Transport'!$C:$X,2+$B110,0))+IF(BC$8="X",VLOOKUP(BC$10,'VK-Elekter'!$C:$X,2+$D110,0))+IF(BC$9="X",VLOOKUP(BC$10,'VK-Biokütused'!$C:$U,2+$E110,0))+IF(BC$5="X",VLOOKUP(BC$10,'VK-Põlevkivi'!$C:$X,2+$G110,0))+IF(BC$4="X",VLOOKUP(BC$10,'VK-Võrgud'!$C:$X,2+$F110,0))</f>
        <v>8.0523611111111126</v>
      </c>
      <c r="BD110" s="209">
        <f>IF(BD$7="X",VLOOKUP(BD$10,'VK-Hooned-Soojus'!$C:$X,2+$C110,FALSE),0)+IF(BD$6="X",VLOOKUP(BD$10,'VK-Transport'!$C:$X,2+$B110,0))+IF(BD$8="X",VLOOKUP(BD$10,'VK-Elekter'!$C:$X,2+$D110,0))+IF(BD$9="X",VLOOKUP(BD$10,'VK-Biokütused'!$C:$U,2+$E110,0))+IF(BD$5="X",VLOOKUP(BD$10,'VK-Põlevkivi'!$C:$X,2+$G110,0))+IF(BD$4="X",VLOOKUP(BD$10,'VK-Võrgud'!$C:$X,2+$F110,0))</f>
        <v>10.42138888888889</v>
      </c>
      <c r="BE110" s="230"/>
      <c r="BF110" s="229">
        <f t="shared" si="64"/>
        <v>0.63174328576257388</v>
      </c>
      <c r="BG110" s="209" t="e">
        <f>(IF(BG$7="X",VLOOKUP(BG$10,'VK-Hooned-Soojus'!$C:$X,2+$C110,FALSE),0)+IF(BG$6="X",VLOOKUP(BG$10,'VK-Transport'!$C:$X,2+$B110,0))+IF(BG$8="X",VLOOKUP(BG$10,'VK-Elekter'!$C:$X,2+$D110,0))+IF(BG$9="X",VLOOKUP(BG$10,'VK-Biokütused'!$C:$U,2+$E110,0))+IF(BG$5="X",VLOOKUP(BG$10,'VK-Põlevkivi'!$C:$X,2+$G110,0))+IF(BG$4="X",VLOOKUP(BG$10,'VK-Võrgud'!$C:$X,2+$F110,0)))/20</f>
        <v>#N/A</v>
      </c>
      <c r="BH110" s="209">
        <f>(IF(BH$7="X",VLOOKUP(BH$10,'VK-Hooned-Soojus'!$C:$X,2+$C110,FALSE),0)+IF(BH$6="X",VLOOKUP(BH$10,'VK-Transport'!$C:$X,2+$B110,0))+IF(BH$8="X",VLOOKUP(BH$10,'VK-Elekter'!$C:$X,2+$D110,0))+IF(BH$9="X",VLOOKUP(BH$10,'VK-Biokütused'!$C:$U,2+$E110,0))+IF(BH$5="X",VLOOKUP(BH$10,'VK-Põlevkivi'!$C:$X,2+$G110,0))+IF(BH$4="X",VLOOKUP(BH$10,'VK-Võrgud'!$C:$X,2+$F110,0)))/20</f>
        <v>13.99</v>
      </c>
      <c r="BI110" s="209">
        <f>(IF(BI$7="X",VLOOKUP(BI$10,'VK-Hooned-Soojus'!$C:$X,2+$C110,FALSE),0)+IF(BI$6="X",VLOOKUP(BI$10,'VK-Transport'!$C:$X,2+$B110,0))+IF(BI$8="X",VLOOKUP(BI$10,'VK-Elekter'!$C:$X,2+$D110,0))+IF(BI$9="X",VLOOKUP(BI$10,'VK-Biokütused'!$C:$U,2+$E110,0))+IF(BI$5="X",VLOOKUP(BI$10,'VK-Põlevkivi'!$C:$X,2+$G110,0))+IF(BI$4="X",VLOOKUP(BI$10,'VK-Võrgud'!$C:$X,2+$F110,0)))/16</f>
        <v>17.75</v>
      </c>
      <c r="BJ110" s="209">
        <f>(IF(BJ$7="X",VLOOKUP(BJ$10,'VK-Hooned-Soojus'!$C:$X,2+$C110,FALSE),0)+IF(BJ$6="X",VLOOKUP(BJ$10,'VK-Transport'!$C:$X,2+$B110,0))+IF(BJ$8="X",VLOOKUP(BJ$10,'VK-Elekter'!$C:$X,2+$D110,0))+IF(BJ$9="X",VLOOKUP(BJ$10,'VK-Biokütused'!$C:$U,2+$E110,0))+IF(BJ$5="X",VLOOKUP(BJ$10,'VK-Põlevkivi'!$C:$X,2+$G110,0))+IF(BJ$4="X",VLOOKUP(BJ$10,'VK-Võrgud'!$C:$X,2+$F110,0)))/20</f>
        <v>1.85</v>
      </c>
      <c r="BK110" s="209"/>
      <c r="BL110" s="209"/>
      <c r="BM110" s="209"/>
      <c r="BN110" s="209" t="e">
        <f>(IF(BN$7="X",VLOOKUP(BN$10,'VK-Hooned-Soojus'!$C:$X,2+$C110,FALSE),0)+IF(BN$6="X",VLOOKUP(BN$10,'VK-Transport'!$C:$X,2+$B110,0))+IF(BN$8="X",VLOOKUP(BN$10,'VK-Elekter'!$C:$X,2+$D110,0))+IF(BN$9="X",VLOOKUP(BN$10,'VK-Biokütused'!$C:$U,2+$E110,0))+IF(BN$5="X",VLOOKUP(BN$10,'VK-Põlevkivi'!$C:$X,2+$G110,0))+IF(BN$4="X",VLOOKUP(BN$10,'VK-Võrgud'!$C:$X,2+$F110,0)))/16</f>
        <v>#N/A</v>
      </c>
      <c r="BO110" s="209">
        <f>(IF(BO$7="X",VLOOKUP(BO$10,'VK-Hooned-Soojus'!$C:$X,2+$C110,FALSE),0)+IF(BO$6="X",VLOOKUP(BO$10,'VK-Transport'!$C:$X,2+$B110,0))+IF(BO$8="X",VLOOKUP(BO$10,'VK-Elekter'!$C:$X,2+$D110,0))+IF(BO$9="X",VLOOKUP(BO$10,'VK-Biokütused'!$C:$U,2+$E110,0))+IF(BO$5="X",VLOOKUP(BO$10,'VK-Põlevkivi'!$C:$X,2+$G110,0))+IF(BO$4="X",VLOOKUP(BO$10,'VK-Võrgud'!$C:$X,2+$F110,0)))/16</f>
        <v>322.79374999999999</v>
      </c>
      <c r="BP110" s="209"/>
      <c r="BQ110" s="209">
        <f>(IF(BQ$7="X",VLOOKUP(BQ$10,'VK-Hooned-Soojus'!$C:$X,2+$C110,FALSE),0)+IF(BQ$6="X",VLOOKUP(BQ$10,'VK-Transport'!$C:$X,2+$B110,0))+IF(BQ$8="X",VLOOKUP(BQ$10,'VK-Elekter'!$C:$X,2+$D110,0))+IF(BQ$9="X",VLOOKUP(BQ$10,'VK-Biokütused'!$C:$U,2+$E110,0))+IF(BQ$5="X",VLOOKUP(BQ$10,'VK-Põlevkivi'!$C:$X,2+$G110,0))+IF(BQ$4="X",VLOOKUP(BQ$10,'VK-Võrgud'!$C:$X,2+$F110,0)))/16</f>
        <v>233.20625000000001</v>
      </c>
      <c r="BR110" s="209">
        <f>(IF(BR$7="X",VLOOKUP(BR$10,'VK-Hooned-Soojus'!$C:$X,2+$C110,FALSE),0)+IF(BR$6="X",VLOOKUP(BR$10,'VK-Transport'!$C:$X,2+$B110,0))+IF(BR$8="X",VLOOKUP(BR$10,'VK-Elekter'!$C:$X,2+$D110,0))+IF(BR$9="X",VLOOKUP(BR$10,'VK-Biokütused'!$C:$U,2+$E110,0))+IF(BR$5="X",VLOOKUP(BR$10,'VK-Põlevkivi'!$C:$X,2+$G110,0))+IF(BR$4="X",VLOOKUP(BR$10,'VK-Võrgud'!$C:$X,2+$F110,0)))/16</f>
        <v>74.512500000000003</v>
      </c>
      <c r="BS110" s="209">
        <f>(IF(BS$7="X",VLOOKUP(BS$10,'VK-Hooned-Soojus'!$C:$X,2+$C110,FALSE),0)+IF(BS$6="X",VLOOKUP(BS$10,'VK-Transport'!$C:$X,2+$B110,0))+IF(BS$8="X",VLOOKUP(BS$10,'VK-Elekter'!$C:$X,2+$D110,0))+IF(BS$9="X",VLOOKUP(BS$10,'VK-Biokütused'!$C:$U,2+$E110,0))+IF(BS$5="X",VLOOKUP(BS$10,'VK-Põlevkivi'!$C:$X,2+$G110,0))+IF(BS$4="X",VLOOKUP(BS$10,'VK-Võrgud'!$C:$X,2+$F110,0)))/16</f>
        <v>-21.475000000000001</v>
      </c>
      <c r="BT110" s="209"/>
      <c r="BU110" s="209"/>
      <c r="BV110" s="209">
        <f>(IF(BV$7="X",VLOOKUP(BV$10,'VK-Hooned-Soojus'!$C:$X,2+$C110,FALSE),0)+IF(BV$6="X",VLOOKUP(BV$10,'VK-Transport'!$C:$X,2+$B110,0))+IF(BV$8="X",VLOOKUP(BV$10,'VK-Elekter'!$C:$X,2+$D110,0))+IF(BV$9="X",VLOOKUP(BV$10,'VK-Biokütused'!$C:$U,2+$E110,0))+IF(BV$5="X",VLOOKUP(BV$10,'VK-Põlevkivi'!$C:$X,2+$G110,0))+IF(BV$4="X",VLOOKUP(BV$10,'VK-Võrgud'!$C:$X,2+$F110,0)))/16</f>
        <v>0</v>
      </c>
      <c r="BW110" s="209"/>
      <c r="BX110" s="209">
        <f>(IF(BX$7="X",VLOOKUP(BX$10,'VK-Hooned-Soojus'!$C:$X,2+$C110,FALSE),0)+IF(BX$6="X",VLOOKUP(BX$10,'VK-Transport'!$C:$X,2+$B110,0))+IF(BX$8="X",VLOOKUP(BX$10,'VK-Elekter'!$C:$X,2+$D110,0))+IF(BX$9="X",VLOOKUP(BX$10,'VK-Biokütused'!$C:$U,2+$E110,0))+IF(BX$5="X",VLOOKUP(BX$10,'VK-Põlevkivi'!$C:$X,2+$G110,0))+IF(BX$4="X",VLOOKUP(BX$10,'VK-Võrgud'!$C:$X,2+$F110,0)))/16</f>
        <v>-19.25</v>
      </c>
      <c r="BY110" s="209"/>
      <c r="BZ110" s="209"/>
      <c r="CA110" s="209" t="e">
        <f>(IF(CA$7="X",VLOOKUP(CA$10,'VK-Hooned-Soojus'!$C:$X,2+$C110,FALSE),0)+IF(CA$6="X",VLOOKUP(CA$10,'VK-Transport'!$C:$X,2+$B110,0))+IF(CA$8="X",VLOOKUP(CA$10,'VK-Elekter'!$C:$X,2+$D110,0))+IF(CA$9="X",VLOOKUP(CA$10,'VK-Biokütused'!$C:$U,2+$E110,0))+IF(CA$5="X",VLOOKUP(CA$10,'VK-Põlevkivi'!$C:$X,2+$G110,0))+IF(CA$4="X",VLOOKUP(CA$10,'VK-Võrgud'!$C:$X,2+$F110,0)))/16</f>
        <v>#N/A</v>
      </c>
      <c r="CB110" s="209">
        <f>(IF(CB$7="X",VLOOKUP(CB$10,'VK-Hooned-Soojus'!$C:$X,2+$C110,FALSE),0)+IF(CB$6="X",VLOOKUP(CB$10,'VK-Transport'!$C:$X,2+$B110,0))+IF(CB$8="X",VLOOKUP(CB$10,'VK-Elekter'!$C:$X,2+$D110,0))+IF(CB$9="X",VLOOKUP(CB$10,'VK-Biokütused'!$C:$U,2+$E110,0))+IF(CB$5="X",VLOOKUP(CB$10,'VK-Põlevkivi'!$C:$X,2+$G110,0))+IF(CB$4="X",VLOOKUP(CB$10,'VK-Võrgud'!$C:$X,2+$F110,0)))/16</f>
        <v>0</v>
      </c>
      <c r="CC110" s="209">
        <f>(IF(CC$7="X",VLOOKUP(CC$10,'VK-Hooned-Soojus'!$C:$X,2+$C110,FALSE),0)+IF(CC$6="X",VLOOKUP(CC$10,'VK-Transport'!$C:$X,2+$B110,0))+IF(CC$8="X",VLOOKUP(CC$10,'VK-Elekter'!$C:$X,2+$D110,0))+IF(CC$9="X",VLOOKUP(CC$10,'VK-Biokütused'!$C:$U,2+$E110,0))+IF(CC$5="X",VLOOKUP(CC$10,'VK-Põlevkivi'!$C:$X,2+$G110,0))+IF(CC$4="X",VLOOKUP(CC$10,'VK-Võrgud'!$C:$X,2+$F110,0)))/16</f>
        <v>0</v>
      </c>
      <c r="CD110" s="209"/>
      <c r="CE110" s="209">
        <f>(IF(CE$7="X",VLOOKUP(CE$10,'VK-Hooned-Soojus'!$C:$X,2+$C110,FALSE),0)+IF(CE$6="X",VLOOKUP(CE$10,'VK-Transport'!$C:$X,2+$B110,0))+IF(CE$8="X",VLOOKUP(CE$10,'VK-Elekter'!$C:$X,2+$D110,0))+IF(CE$9="X",VLOOKUP(CE$10,'VK-Biokütused'!$C:$U,2+$E110,0))+IF(CE$5="X",VLOOKUP(CE$10,'VK-Põlevkivi'!$C:$X,2+$G110,0))+IF(CE$4="X",VLOOKUP(CE$10,'VK-Võrgud'!$C:$X,2+$F110,0)))/16</f>
        <v>24.15625</v>
      </c>
      <c r="CF110" s="209"/>
      <c r="CG110" s="209">
        <f>(IF(CG$7="X",VLOOKUP(CG$10,'VK-Hooned-Soojus'!$C:$X,2+$C110,FALSE),0)+IF(CG$6="X",VLOOKUP(CG$10,'VK-Transport'!$C:$X,2+$B110,0))+IF(CG$8="X",VLOOKUP(CG$10,'VK-Elekter'!$C:$X,2+$D110,0))+IF(CG$9="X",VLOOKUP(CG$10,'VK-Biokütused'!$C:$U,2+$E110,0))+IF(CG$5="X",VLOOKUP(CG$10,'VK-Põlevkivi'!$C:$X,2+$G110,0))+IF(CG$4="X",VLOOKUP(CG$10,'VK-Võrgud'!$C:$X,2+$F110,0)))/16</f>
        <v>0</v>
      </c>
      <c r="CH110" s="209">
        <f>(IF(CH$7="X",VLOOKUP(CH$10,'VK-Hooned-Soojus'!$C:$X,2+$C110,FALSE),0)+IF(CH$6="X",VLOOKUP(CH$10,'VK-Transport'!$C:$X,2+$B110,0))+IF(CH$8="X",VLOOKUP(CH$10,'VK-Elekter'!$C:$X,2+$D110,0))+IF(CH$9="X",VLOOKUP(CH$10,'VK-Biokütused'!$C:$U,2+$E110,0))+IF(CH$5="X",VLOOKUP(CH$10,'VK-Põlevkivi'!$C:$X,2+$G110,0))+IF(CH$4="X",VLOOKUP(CH$10,'VK-Võrgud'!$C:$X,2+$F110,0)))/20*0.21</f>
        <v>5.6122500000000004</v>
      </c>
      <c r="CI110" s="209"/>
      <c r="CJ110" s="209">
        <f>(IF(CJ$7="X",VLOOKUP(CJ$10,'VK-Hooned-Soojus'!$C:$X,2+$C110,FALSE),0)+IF(CJ$6="X",VLOOKUP(CJ$10,'VK-Transport'!$C:$X,2+$B110,0))+IF(CJ$8="X",VLOOKUP(CJ$10,'VK-Elekter'!$C:$X,2+$D110,0))+IF(CJ$9="X",VLOOKUP(CJ$10,'VK-Biokütused'!$C:$U,2+$E110,0))+IF(CJ$5="X",VLOOKUP(CJ$10,'VK-Põlevkivi'!$C:$X,2+$G110,0))+IF(CJ$4="X",VLOOKUP(CJ$10,'VK-Võrgud'!$C:$X,2+$F110,0)))/1000</f>
        <v>17.650721793242816</v>
      </c>
      <c r="CK110" s="209">
        <f>(IF(CK$7="X",VLOOKUP(CK$10,'VK-Hooned-Soojus'!$C:$X,2+$C110,FALSE),0)+IF(CK$6="X",VLOOKUP(CK$10,'VK-Transport'!$C:$X,2+$B110,0))+IF(CK$8="X",VLOOKUP(CK$10,'VK-Elekter'!$C:$X,2+$D110,0))+IF(CK$9="X",VLOOKUP(CK$10,'VK-Biokütused'!$C:$U,2+$E110,0))+IF(CK$5="X",VLOOKUP(CK$10,'VK-Põlevkivi'!$C:$X,2+$G110,0))+IF(CK$4="X",VLOOKUP(CK$10,'VK-Võrgud'!$C:$X,2+$F110,0)))/1000</f>
        <v>7.5876988012134206</v>
      </c>
      <c r="CL110" s="235">
        <f>(IF(CL$7="X",VLOOKUP(CL$10,'VK-Hooned-Soojus'!$C:$X,2+$C110,FALSE),0)+IF(CL$6="X",VLOOKUP(CL$10,'VK-Transport'!$C:$X,2+$B110,0))+IF(CL$8="X",VLOOKUP(CL$10,'VK-Elekter'!$C:$X,2+$D110,0))+IF(CL$9="X",VLOOKUP(CL$10,'VK-Biokütused'!$C:$U,2+$E110,0)))/1000</f>
        <v>4.2353975506064012</v>
      </c>
      <c r="CM110" s="209">
        <f>(IF(CM$7="X",VLOOKUP(CM$10,'VK-Hooned-Soojus'!$C:$X,2+$C110,FALSE),0)+IF(CM$6="X",VLOOKUP(CM$10,'VK-Transport'!$C:$X,2+$B110,0))+IF(CM$8="X",VLOOKUP(CM$10,'VK-Elekter'!$C:$X,2+$D110,0))+IF(CM$9="X",VLOOKUP(CM$10,'VK-Biokütused'!$C:$U,2+$E110,0))+IF(CM$5="X",VLOOKUP(CM$10,'VK-Põlevkivi'!$C:$X,2+$G110,0))+IF(CM$4="X",VLOOKUP(CM$10,'VK-Võrgud'!$C:$X,2+$F110,0)))/1000</f>
        <v>8.548831357090096</v>
      </c>
      <c r="CN110" s="209">
        <f>(IF(CN$7="X",VLOOKUP(CN$10,'VK-Hooned-Soojus'!$C:$X,2+$C110,FALSE),0)+IF(CN$6="X",VLOOKUP(CN$10,'VK-Transport'!$C:$X,2+$B110,0))+IF(CN$8="X",VLOOKUP(CN$10,'VK-Elekter'!$C:$X,2+$D110,0))+IF(CN$9="X",VLOOKUP(CN$10,'VK-Biokütused'!$C:$U,2+$E110,0))+IF(CN$5="X",VLOOKUP(CN$10,'VK-Põlevkivi'!$C:$X,2+$G110,0))+IF(CN$4="X",VLOOKUP(CN$10,'VK-Võrgud'!$C:$X,2+$F110,0)))/1000</f>
        <v>3.0510000000000002</v>
      </c>
      <c r="CO110" s="209">
        <f>(IF(CO$7="X",VLOOKUP(CO$10,'VK-Hooned-Soojus'!$C:$X,2+$C110,FALSE),0)+IF(CO$6="X",VLOOKUP(CO$10,'VK-Transport'!$C:$X,2+$B110,0))+IF(CO$8="X",VLOOKUP(CO$10,'VK-Elekter'!$C:$X,2+$D110,0))+IF(CO$9="X",VLOOKUP(CO$10,'VK-Biokütused'!$C:$U,2+$E110,0))+IF(CO$5="X",VLOOKUP(CO$10,'VK-Põlevkivi'!$C:$X,2+$G110,0))+IF(CO$4="X",VLOOKUP(CO$10,'VK-Võrgud'!$C:$X,2+$F110,0)))/1000</f>
        <v>22.887362337356993</v>
      </c>
      <c r="CP110" s="209">
        <f>(IF(CP$7="X",VLOOKUP(CP$10,'VK-Hooned-Soojus'!$C:$X,2+$C110,FALSE),0)+IF(CP$6="X",VLOOKUP(CP$10,'VK-Transport'!$C:$X,2+$B110,0))+IF(CP$8="X",VLOOKUP(CP$10,'VK-Elekter'!$C:$X,2+$D110,0))+IF(CP$9="X",VLOOKUP(CP$10,'VK-Biokütused'!$C:$U,2+$E110,0))+IF(CP$5="X",VLOOKUP(CP$10,'VK-Põlevkivi'!$C:$X,2+$G110,0))+IF(CP$4="X",VLOOKUP(CP$10,'VK-Võrgud'!$C:$X,2+$F110,0)))/1000</f>
        <v>7.0393921206936607</v>
      </c>
      <c r="CQ110" s="235">
        <f>(IF(CQ$7="X",VLOOKUP(CQ$10,'VK-Hooned-Soojus'!$C:$X,2+$C110,FALSE),0)+IF(CQ$6="X",VLOOKUP(CQ$10,'VK-Transport'!$C:$X,2+$B110,0))+IF(CQ$8="X",VLOOKUP(CQ$10,'VK-Elekter'!$C:$X,2+$D110,0))+IF(CQ$9="X",VLOOKUP(CQ$10,'VK-Biokütused'!$C:$U,2+$E110,0)))/1000</f>
        <v>4.9469190000000003</v>
      </c>
      <c r="CR110" s="209">
        <f>(IF(CR$7="X",VLOOKUP(CR$10,'VK-Hooned-Soojus'!$C:$X,2+$C110,FALSE),0)+IF(CR$6="X",VLOOKUP(CR$10,'VK-Transport'!$C:$X,2+$B110,0))+IF(CR$8="X",VLOOKUP(CR$10,'VK-Elekter'!$C:$X,2+$D110,0))+IF(CR$9="X",VLOOKUP(CR$10,'VK-Biokütused'!$C:$U,2+$E110,0))+IF(CR$5="X",VLOOKUP(CR$10,'VK-Põlevkivi'!$C:$X,2+$G110,0))+IF(CR$4="X",VLOOKUP(CR$10,'VK-Võrgud'!$C:$X,2+$F110,0)))/1000</f>
        <v>8.0667518373996892</v>
      </c>
      <c r="CS110" s="209">
        <f>(IF(CS$7="X",VLOOKUP(CS$10,'VK-Hooned-Soojus'!$C:$X,2+$C110,FALSE),0)+IF(CS$6="X",VLOOKUP(CS$10,'VK-Transport'!$C:$X,2+$B110,0))+IF(CS$8="X",VLOOKUP(CS$10,'VK-Elekter'!$C:$X,2+$D110,0))+IF(CS$9="X",VLOOKUP(CS$10,'VK-Biokütused'!$C:$U,2+$E110,0))+IF(CS$5="X",VLOOKUP(CS$10,'VK-Põlevkivi'!$C:$X,2+$G110,0))+IF(CS$4="X",VLOOKUP(CS$10,'VK-Võrgud'!$C:$X,2+$F110,0)))/1000</f>
        <v>3.838649509862238</v>
      </c>
      <c r="CT110" s="209">
        <f>IF(CT$7="X",VLOOKUP(CT$10,'VK-Hooned-Soojus'!$C:$X,2+$C110,FALSE),0)+IF(CT$6="X",VLOOKUP(CT$10,'VK-Transport'!$C:$X,2+$B110,0))+IF(CT$8="X",VLOOKUP(CT$10,'VK-Elekter'!$C:$X,2+$D110,0))+IF(CT$9="X",VLOOKUP(CT$10,'VK-Biokütused'!$C:$U,2+$E110,0))+IF(CT$5="X",VLOOKUP(CT$10,'VK-Põlevkivi'!$C:$X,2+$G110,0))+IF(CT$4="X",VLOOKUP(CT$10,'VK-Võrgud'!$C:$X,2+$F110,0))</f>
        <v>90</v>
      </c>
      <c r="CU110" s="209">
        <f>IF(CU$7="X",VLOOKUP(CU$10,'VK-Hooned-Soojus'!$C:$X,2+$C110,FALSE),0)+IF(CU$6="X",VLOOKUP(CU$10,'VK-Transport'!$C:$X,2+$B110,0))+IF(CU$8="X",VLOOKUP(CU$10,'VK-Elekter'!$C:$X,2+$D110,0))+IF(CU$9="X",VLOOKUP(CU$10,'VK-Biokütused'!$C:$U,2+$E110,0))+IF(CU$5="X",VLOOKUP(CU$10,'VK-Põlevkivi'!$C:$X,2+$G110,0))+IF(CU$4="X",VLOOKUP(CU$10,'VK-Võrgud'!$C:$X,2+$F110,0))</f>
        <v>0.63390170511534605</v>
      </c>
      <c r="CV110" s="209">
        <f t="shared" si="84"/>
        <v>1</v>
      </c>
      <c r="CW110" s="209">
        <f>(IF(CW$7="X",VLOOKUP(CW$10,'VK-Hooned-Soojus'!$C:$X,2+$C110,FALSE),0)+IF(CW$6="X",VLOOKUP(CW$10,'VK-Transport'!$C:$X,2+$B110,0))+IF(CW$8="X",VLOOKUP(CW$10,'VK-Elekter'!$C:$X,2+$D110,0))+IF(CW$9="X",VLOOKUP(CW$10,'VK-Biokütused'!$C:$U,2+$E110,0))+IF(CW$5="X",VLOOKUP(CW$10,'VK-Põlevkivi'!$C:$X,2+$G110,0))+IF(CW$4="X",VLOOKUP(CW$10,'VK-Võrgud'!$C:$X,2+$F110,0)))/16</f>
        <v>0</v>
      </c>
      <c r="CY110" s="209">
        <f>(IF(CY$7="X",VLOOKUP(CY$10,'VK-Hooned-Soojus'!$C:$X,2+$C110,FALSE),0)+IF(CY$6="X",VLOOKUP(CY$10,'VK-Transport'!$C:$X,2+$B110,0))+IF(CY$8="X",VLOOKUP(CY$10,'VK-Elekter'!$C:$X,2+$D110,0))+IF(CY$9="X",VLOOKUP(CY$10,'VK-Biokütused'!$C:$U,2+$E110,0))+IF(CY$5="X",VLOOKUP(CY$10,'VK-Põlevkivi'!$C:$X,2+$G110,0))+IF(CY$4="X",VLOOKUP(CY$10,'VK-Võrgud'!$C:$X,2+$F110,0)))/1000</f>
        <v>9.9060000000000006</v>
      </c>
      <c r="CZ110" s="209">
        <f>(IF(CZ$7="X",VLOOKUP(CZ$10,'VK-Hooned-Soojus'!$C:$X,2+$C110,FALSE),0)+IF(CZ$6="X",VLOOKUP(CZ$10,'VK-Transport'!$C:$X,2+$B110,0))+IF(CZ$8="X",VLOOKUP(CZ$10,'VK-Elekter'!$C:$X,2+$D110,0))+IF(CZ$9="X",VLOOKUP(CZ$10,'VK-Biokütused'!$C:$U,2+$E110,0))+IF(CZ$5="X",VLOOKUP(CZ$10,'VK-Põlevkivi'!$C:$X,2+$G110,0))+IF(CZ$4="X",VLOOKUP(CZ$10,'VK-Võrgud'!$C:$X,2+$F110,0)))</f>
        <v>79</v>
      </c>
      <c r="DA110" s="209">
        <f>(IF(DA$7="X",VLOOKUP(DA$10,'VK-Hooned-Soojus'!$C:$X,2+$C110,FALSE),0)+IF(DA$6="X",VLOOKUP(DA$10,'VK-Transport'!$C:$X,2+$B110,0))+IF(DA$8="X",VLOOKUP(DA$10,'VK-Elekter'!$C:$X,2+$D110,0))+IF(DA$9="X",VLOOKUP(DA$10,'VK-Biokütused'!$C:$U,2+$E110,0))+IF(DA$5="X",VLOOKUP(DA$10,'VK-Põlevkivi'!$C:$X,2+$G110,0))+IF(DA$4="X",VLOOKUP(DA$10,'VK-Võrgud'!$C:$X,2+$F110,0)))/1000</f>
        <v>9.6210000000000004</v>
      </c>
      <c r="DB110" s="209">
        <f>(IF(DB$7="X",VLOOKUP(DB$10,'VK-Hooned-Soojus'!$C:$X,2+$C110,FALSE),0)+IF(DB$6="X",VLOOKUP(DB$10,'VK-Transport'!$C:$X,2+$B110,0))+IF(DB$8="X",VLOOKUP(DB$10,'VK-Elekter'!$C:$X,2+$D110,0))+IF(DB$9="X",VLOOKUP(DB$10,'VK-Biokütused'!$C:$U,2+$E110,0))+IF(DB$5="X",VLOOKUP(DB$10,'VK-Põlevkivi'!$C:$X,2+$G110,0))+IF(DB$4="X",VLOOKUP(DB$10,'VK-Võrgud'!$C:$X,2+$F110,0)))/1000/3.6</f>
        <v>38.831111111111113</v>
      </c>
      <c r="DC110" s="209">
        <f>(IF(DC$7="X",VLOOKUP(DC$10,'VK-Hooned-Soojus'!$C:$X,2+$C110,FALSE),0)+IF(DC$6="X",VLOOKUP(DC$10,'VK-Transport'!$C:$X,2+$B110,0))+IF(DC$8="X",VLOOKUP(DC$10,'VK-Elekter'!$C:$X,2+$D110,0))+IF(DC$9="X",VLOOKUP(DC$10,'VK-Biokütused'!$C:$U,2+$E110,0))+IF(DC$5="X",VLOOKUP(DC$10,'VK-Põlevkivi'!$C:$X,2+$G110,0))+IF(DC$4="X",VLOOKUP(DC$10,'VK-Võrgud'!$C:$X,2+$F110,0)))/1000000</f>
        <v>3.9993280000000002</v>
      </c>
      <c r="DD110" s="209"/>
      <c r="DE110" s="88">
        <f>VLOOKUP(Tulemused!$BN$12,data!M$7:N$12,2,FALSE)-SUM(L110,M110)</f>
        <v>-0.80250937302436398</v>
      </c>
      <c r="DF110" s="209" t="str">
        <f>IF(AZ110&lt;=VLOOKUP(Tulemused!$BN$15,data!$E$36:$F$39,2,FALSE),"JAH","EI")</f>
        <v>JAH</v>
      </c>
      <c r="DG110" s="209"/>
      <c r="DH110" s="209">
        <f t="shared" si="85"/>
        <v>11.370000000000001</v>
      </c>
      <c r="DI110" s="231" t="str">
        <f t="shared" si="65"/>
        <v>EI</v>
      </c>
      <c r="DK110" s="232">
        <f t="shared" si="86"/>
        <v>-990.98393385623285</v>
      </c>
      <c r="DM110" s="233">
        <f t="shared" si="87"/>
        <v>-996.91662129208203</v>
      </c>
      <c r="DN110" s="87">
        <f t="array" ref="DN110">INDEX($A$11:$A$145, SMALL(IF(DM110=$DK$11:$DK$145, MATCH(ROW($DK$11:$DK$145), ROW($DK$11:$DK$145))), SUM(--(DM110=$DM$11:DM110))))</f>
        <v>36</v>
      </c>
      <c r="DP110" s="87" t="e">
        <f t="shared" ca="1" si="66"/>
        <v>#N/A</v>
      </c>
      <c r="DQ110" s="87" t="e">
        <f t="shared" ca="1" si="67"/>
        <v>#N/A</v>
      </c>
      <c r="DR110" s="87">
        <f t="shared" ca="1" si="68"/>
        <v>0</v>
      </c>
      <c r="DS110" s="87" t="e">
        <f t="shared" ca="1" si="69"/>
        <v>#N/A</v>
      </c>
      <c r="DT110" s="87">
        <f t="shared" ca="1" si="70"/>
        <v>0</v>
      </c>
      <c r="DU110" s="87" t="e">
        <f t="shared" ca="1" si="71"/>
        <v>#N/A</v>
      </c>
      <c r="DV110" s="87" t="e">
        <f t="shared" ca="1" si="72"/>
        <v>#N/A</v>
      </c>
      <c r="DW110" s="87">
        <f t="shared" ca="1" si="73"/>
        <v>0</v>
      </c>
      <c r="DX110" s="87">
        <f t="shared" ca="1" si="74"/>
        <v>0</v>
      </c>
      <c r="DZ110" s="87">
        <f t="shared" ca="1" si="82"/>
        <v>0</v>
      </c>
      <c r="EB110" s="87">
        <f t="shared" ca="1" si="75"/>
        <v>0</v>
      </c>
      <c r="EC110" s="87" t="e">
        <f t="shared" ca="1" si="76"/>
        <v>#N/A</v>
      </c>
      <c r="EE110" s="228">
        <f>(IF(EE$7="X",VLOOKUP(EE$10,'VK-Hooned-Soojus'!$C:$X,2+$C110,FALSE),0)+IF(EE$6="X",VLOOKUP(EE$10,'VK-Transport'!$C:$X,2+$B110,0))+IF(EE$8="X",VLOOKUP(EE$10,'VK-Elekter'!$C:$X,2+$D110,0))+IF(EE$9="X",VLOOKUP(EE$10,'VK-Biokütused'!$C:$U,2+$E110,0))+IF(EE$5="X",VLOOKUP(EE$10,'VK-Põlevkivi'!$C:$X,2+$G110,0))+IF(EE$4="X",VLOOKUP(EE$10,'VK-Võrgud'!$C:$X,2+$F110,0)))</f>
        <v>4540.6736151293844</v>
      </c>
      <c r="EF110" s="235">
        <f>(IF(EF$7="X",VLOOKUP(EF$10,'VK-Hooned-Soojus'!$C:$X,2+$C110,FALSE),0)+IF(EF$6="X",VLOOKUP(EF$10,'VK-Transport'!$C:$X,2+$B110,0))+IF(EF$8="X",VLOOKUP(EF$10,'VK-Elekter'!$C:$X,2+$D110,0))+IF(EF$9="X",VLOOKUP(EF$10,'VK-Biokütused'!$C:$U,2+$E110,0)))/1000</f>
        <v>2.9928849906373198</v>
      </c>
      <c r="EG110" s="209">
        <f>(IF(EG$7="X",VLOOKUP(EG$10,'VK-Hooned-Soojus'!$C:$X,2+$C110,FALSE),0)+IF(EG$6="X",VLOOKUP(EG$10,'VK-Transport'!$C:$X,2+$B110,0))+IF(EG$8="X",VLOOKUP(EG$10,'VK-Elekter'!$C:$X,2+$D110,0))+IF(EG$9="X",VLOOKUP(EG$10,'VK-Biokütused'!$C:$U,2+$E110,0))+IF(EG$5="X",VLOOKUP(EG$10,'VK-Põlevkivi'!$C:$X,2+$G110,0))+IF(EG$4="X",VLOOKUP(EG$10,'VK-Võrgud'!$C:$X,2+$F110,0)))</f>
        <v>0.81</v>
      </c>
      <c r="EH110" s="209">
        <f>(IF(EH$7="X",VLOOKUP(EH$10,'VK-Hooned-Soojus'!$C:$X,2+$C110,FALSE),0)+IF(EH$6="X",VLOOKUP(EH$10,'VK-Transport'!$C:$X,2+$B110,0))+IF(EH$8="X",VLOOKUP(EH$10,'VK-Elekter'!$C:$X,2+$D110,0))+IF(EH$9="X",VLOOKUP(EH$10,'VK-Biokütused'!$C:$U,2+$E110,0)))+AR110+AS110+AU110+AX110</f>
        <v>41.966388888888886</v>
      </c>
      <c r="EI110" s="320">
        <f t="shared" si="88"/>
        <v>41.966388888888886</v>
      </c>
      <c r="EJ110" s="322">
        <f t="shared" si="89"/>
        <v>2.3132392489112068E-2</v>
      </c>
      <c r="EK110" s="323">
        <f t="shared" si="77"/>
        <v>0.538709820713835</v>
      </c>
      <c r="EM110" s="209"/>
      <c r="EN110" s="209">
        <f t="shared" ca="1" si="90"/>
        <v>0</v>
      </c>
      <c r="EO110" s="209"/>
      <c r="EP110" s="234"/>
      <c r="EQ110" s="209">
        <f>(IF(EQ$7="X",VLOOKUP(EQ$10,'VK-Hooned-Soojus'!$C:$X,2+$C110,FALSE),0)+IF(EQ$6="X",VLOOKUP(EQ$10,'VK-Transport'!$C:$X,2+$B110,0))+IF(EQ$8="X",VLOOKUP(EQ$10,'VK-Elekter'!$C:$X,2+$D110,0))+IF(EQ$9="X",VLOOKUP(EQ$10,'VK-Biokütused'!$C:$U,2+$E110,0))+IF(EQ$5="X",VLOOKUP(EQ$10,'VK-Põlevkivi'!$C:$X,2+$G110,0))+IF(EQ$4="X",VLOOKUP(EQ$10,'VK-Võrgud'!$C:$X,2+$F110,0)))/1000</f>
        <v>0.22900000000000001</v>
      </c>
      <c r="ER110" s="209">
        <f>(IF(ER$7="X",VLOOKUP(ER$10,'VK-Hooned-Soojus'!$C:$X,2+$C110,FALSE),0)+IF(ER$6="X",VLOOKUP(ER$10,'VK-Transport'!$C:$X,2+$B110,0))+IF(ER$8="X",VLOOKUP(ER$10,'VK-Elekter'!$C:$X,2+$D110,0))+IF(ER$9="X",VLOOKUP(ER$10,'VK-Biokütused'!$C:$U,2+$E110,0))+IF(ER$5="X",VLOOKUP(ER$10,'VK-Põlevkivi'!$C:$X,2+$G110,0))+IF(ER$4="X",VLOOKUP(ER$10,'VK-Võrgud'!$C:$X,2+$F110,0)))</f>
        <v>0.82899999999999996</v>
      </c>
      <c r="ES110" s="209">
        <f>(IF(ES$7="X",VLOOKUP(ES$10,'VK-Hooned-Soojus'!$C:$X,2+$C110,FALSE),0)+IF(ES$6="X",VLOOKUP(ES$10,'VK-Transport'!$C:$X,2+$B110,0))+IF(ES$8="X",VLOOKUP(ES$10,'VK-Elekter'!$C:$X,2+$D110,0))+IF(ES$9="X",VLOOKUP(ES$10,'VK-Biokütused'!$C:$U,2+$E110,0))+IF(ES$5="X",VLOOKUP(ES$10,'VK-Põlevkivi'!$C:$X,2+$G110,0))+IF(ES$4="X",VLOOKUP(ES$10,'VK-Võrgud'!$C:$X,2+$F110,0)))</f>
        <v>11.370000000000001</v>
      </c>
      <c r="ET110" s="209"/>
      <c r="EU110" s="209"/>
      <c r="EV110" s="87">
        <f>'KSH järjestus'!AS103</f>
        <v>1382</v>
      </c>
      <c r="EZ110" s="237">
        <f t="shared" si="91"/>
        <v>0.36609829488465395</v>
      </c>
      <c r="FA110" s="209">
        <f>IF(FA$7="X",VLOOKUP(FA$10,'VK-Hooned-Soojus'!$C:$X,2+$C110,FALSE),0)+IF(FA$6="X",VLOOKUP(FA$10,'VK-Transport'!$C:$X,2+$B110,0))+IF(FA$8="X",VLOOKUP(FA$10,'VK-Elekter'!$C:$X,2+$D110,0))+IF(FA$9="X",VLOOKUP(FA$10,'VK-Biokütused'!$C:$U,2+$E110,0))+IF(FA$5="X",VLOOKUP(FA$10,'VK-Põlevkivi'!$C:$X,2+$G110,0))+IF(FA$4="X",VLOOKUP(FA$10,'VK-Võrgud'!$C:$X,2+$F110,0))</f>
        <v>2814.9189999999999</v>
      </c>
      <c r="FB110" s="279">
        <f>(IF(FB$7="X",VLOOKUP(FB$10,'VK-Hooned-Soojus'!$C:$X,2+$C110,FALSE),0)+IF(FB$6="X",VLOOKUP(FB$10,'VK-Transport'!$C:$X,2+$B110,0))+IF(FB$8="X",VLOOKUP(FB$10,'VK-Elekter'!$C:$X,2+$D110,0))+IF(FB$9="X",VLOOKUP(FB$10,'VK-Biokütused'!$C:$U,2+$E110,0))+IF(FB$5="X",VLOOKUP(FB$10,'VK-Põlevkivi'!$C:$X,2+$G110,0))+IF(FB$4="X",VLOOKUP(FB$10,'VK-Võrgud'!$C:$X,2+$F110,0)))/16</f>
        <v>265.63870708169156</v>
      </c>
      <c r="FC110" s="209">
        <f>IF(FC$7="X",VLOOKUP(FC$10,'VK-Hooned-Soojus'!$C:$X,2+$C110,FALSE),0)+IF(FC$6="X",VLOOKUP(FC$10,'VK-Transport'!$C:$X,2+$B110,0))+IF(FC$8="X",VLOOKUP(FC$10,'VK-Elekter'!$C:$X,2+$D110,0))+IF(FC$9="X",VLOOKUP(FC$10,'VK-Biokütused'!$C:$U,2+$E110,0))+IF(FC$5="X",VLOOKUP(FC$10,'VK-Põlevkivi'!$C:$X,2+$G110,0))+IF(FC$4="X",VLOOKUP(FC$10,'VK-Võrgud'!$C:$X,2+$F110,0))</f>
        <v>315.59999999999997</v>
      </c>
      <c r="FD110" s="209">
        <f>(IF(FD$7="X",VLOOKUP(FD$10,'VK-Hooned-Soojus'!$C:$X,2+$C110,FALSE),0)+IF(FD$6="X",VLOOKUP(FD$10,'VK-Transport'!$C:$X,2+$B110,0))+IF(FD$8="X",VLOOKUP(FD$10,'VK-Elekter'!$C:$X,2+$D110,0))+IF(FD$9="X",VLOOKUP(FD$10,'VK-Biokütused'!$C:$U,2+$E110,0))+IF(FD$5="X",VLOOKUP(FD$10,'VK-Põlevkivi'!$C:$X,2+$G110,0))+IF(FD$4="X",VLOOKUP(FD$10,'VK-Võrgud'!$C:$X,2+$F110,0)))/16</f>
        <v>265.63870708169156</v>
      </c>
      <c r="FE110" s="209">
        <f>(IF(FE$7="X",VLOOKUP(FE$10,'VK-Hooned-Soojus'!$C:$X,2+$C110,FALSE),0)+IF(FE$6="X",VLOOKUP(FE$10,'VK-Transport'!$C:$X,2+$B110,0))+IF(FE$8="X",VLOOKUP(FE$10,'VK-Elekter'!$C:$X,2+$D110,0))+IF(FE$9="X",VLOOKUP(FE$10,'VK-Biokütused'!$C:$U,2+$E110,0))+IF(FE$5="X",VLOOKUP(FE$10,'VK-Põlevkivi'!$C:$X,2+$G110,0))+IF(FE$4="X",VLOOKUP(FE$10,'VK-Võrgud'!$C:$X,2+$F110,0)))/16</f>
        <v>-40.537500000000001</v>
      </c>
      <c r="FF110" s="209">
        <f>(IF(FF$7="X",VLOOKUP(FF$10,'VK-Hooned-Soojus'!$C:$X,2+$C110,FALSE),0)+IF(FF$6="X",VLOOKUP(FF$10,'VK-Transport'!$C:$X,2+$B110,0))+IF(FF$8="X",VLOOKUP(FF$10,'VK-Elekter'!$C:$X,2+$D110,0))+IF(FF$9="X",VLOOKUP(FF$10,'VK-Biokütused'!$C:$U,2+$E110,0))+IF(FF$5="X",VLOOKUP(FF$10,'VK-Põlevkivi'!$C:$X,2+$G110,0))+IF(FF$4="X",VLOOKUP(FF$10,'VK-Võrgud'!$C:$X,2+$F110,0)))/16</f>
        <v>141.15296564761229</v>
      </c>
      <c r="FG110" s="88">
        <f t="shared" ca="1" si="78"/>
        <v>100.6154656476123</v>
      </c>
      <c r="FH110" s="88"/>
      <c r="FI110" s="88"/>
      <c r="FJ110" s="88">
        <f>VLOOKUP(Tulemused!$BN$12,data!M$7:N$12,2,FALSE)-SUM(L110,M110)</f>
        <v>-0.80250937302436398</v>
      </c>
      <c r="FK110" s="209" t="str">
        <f>IF(AZ110&lt;=VLOOKUP(Tulemused!$BN$15,data!$E$36:$F$39,2,FALSE),"JAH","EI")</f>
        <v>JAH</v>
      </c>
      <c r="FL110" s="235">
        <f ca="1">IF(ISNA(MATCH($A110,INDIRECT(VLOOKUP(Tulemused!$BF$11,data!$J$57:$M$71,4,FALSE)))),0,MATCH($A110,INDIRECT(VLOOKUP(Tulemused!$BF$11,data!$J$57:$M$71,4,FALSE))))</f>
        <v>0</v>
      </c>
      <c r="FM110" s="235" t="str">
        <f t="shared" ca="1" si="92"/>
        <v>JAH</v>
      </c>
      <c r="FN110" s="209">
        <f>VLOOKUP(Tulemused!$BN$13,data!$C$132:$D$137,2,FALSE)-KOMBI!R110</f>
        <v>4.9030850093626803</v>
      </c>
      <c r="FO110" s="209"/>
      <c r="FP110" s="209">
        <f>VLOOKUP(Tulemused!$BN$17,NO_x,2,FALSE)-CJ110</f>
        <v>11.787278206757183</v>
      </c>
      <c r="FQ110" s="209">
        <f>VLOOKUP(Tulemused!$BN$18,SO_2,2,FALSE)-CK110</f>
        <v>44.29630119878658</v>
      </c>
      <c r="FR110" s="209">
        <f>VLOOKUP(Tulemused!$BN$19,LOU,2,FALSE)-CN110</f>
        <v>34.029000000000003</v>
      </c>
      <c r="FS110" s="209">
        <f>VLOOKUP(Tulemused!$BN$20,PM_2.5,2,FALSE)-CM110</f>
        <v>8.3661686429099031</v>
      </c>
      <c r="FT110" s="209">
        <f>VLOOKUP(Tulemused!$BN$13,data!$C$132:$D$137,2,FALSE)-FA110/1000</f>
        <v>3.431051000000001</v>
      </c>
      <c r="FU110" s="209">
        <f>VLOOKUP(Tulemused!$BN$17,NO_x,2,FALSE)-CO110</f>
        <v>6.5506376626430054</v>
      </c>
      <c r="FV110" s="209">
        <f>VLOOKUP(Tulemused!$BN$18,SO_2,2,FALSE)-CP110</f>
        <v>44.844607879306338</v>
      </c>
      <c r="FW110" s="209">
        <f>VLOOKUP(Tulemused!$BN$19,LOU,2,FALSE)-CS110</f>
        <v>33.241350490137769</v>
      </c>
      <c r="FX110" s="209">
        <f>VLOOKUP(Tulemused!$BN$20,PM_2.5,2,FALSE)-CR110</f>
        <v>8.84824816260031</v>
      </c>
      <c r="FY110" s="209">
        <f>VLOOKUP(Tulemused!$BN$14,KHG_2050,2,FALSE)-EF110</f>
        <v>97.007115009362678</v>
      </c>
      <c r="FZ110" s="231" t="str">
        <f t="shared" ca="1" si="79"/>
        <v>EI</v>
      </c>
      <c r="GA110" s="209"/>
      <c r="GB110" s="209"/>
      <c r="GC110" s="209"/>
      <c r="GD110" s="231"/>
      <c r="GE110" s="87">
        <f t="shared" si="93"/>
        <v>1382</v>
      </c>
      <c r="GF110" s="232" t="str">
        <f t="shared" ca="1" si="80"/>
        <v/>
      </c>
      <c r="GH110" s="238" t="e">
        <f t="shared" ca="1" si="94"/>
        <v>#NUM!</v>
      </c>
      <c r="GI110" s="87" t="e">
        <f t="array" aca="1" ref="GI110" ca="1">INDEX($A$11:$A$145, SMALL(IF(GH110=$GF$11:$GF$145, MATCH(ROW($GF$11:$GF$145), ROW($GF$11:$GF$145))), SUM(--(GH110=$GH$11:GH110))))</f>
        <v>#NUM!</v>
      </c>
      <c r="GM110" s="209">
        <f>IF(GM$7="X",VLOOKUP(GM$10,'VK-Hooned-Soojus'!$C:$X,2+$C110,FALSE),0)+IF(GM$6="X",VLOOKUP(GM$10,'VK-Transport'!$C:$X,2+$B110,0))+IF(GM$8="X",VLOOKUP(GM$10,'VK-Elekter'!$C:$X,2+$D110,0))+IF(GM$9="X",VLOOKUP(GM$10,'VK-Biokütused'!$C:$U,2+$E110,0))+IF(GM$5="X",VLOOKUP(GM$10,'VK-Põlevkivi'!$C:$X,2+$G110,0))+IF(GM$4="X",VLOOKUP(GM$10,'VK-Võrgud'!$C:$X,2+$F110,0))</f>
        <v>0</v>
      </c>
      <c r="GN110" s="209">
        <f>IF(GN$7="X",VLOOKUP(GN$10,'VK-Hooned-Soojus'!$C:$X,2+$C110,FALSE),0)+IF(GN$6="X",VLOOKUP(GN$10,'VK-Transport'!$C:$X,2+$B110,0))+IF(GN$8="X",VLOOKUP(GN$10,'VK-Elekter'!$C:$X,2+$D110,0))+IF(GN$9="X",VLOOKUP(GN$10,'VK-Biokütused'!$C:$U,2+$E110,0))+IF(GN$5="X",VLOOKUP(GN$10,'VK-Põlevkivi'!$C:$X,2+$G110,0))+IF(GN$4="X",VLOOKUP(GN$10,'VK-Võrgud'!$C:$X,2+$F110,0))</f>
        <v>7.5434676424145266</v>
      </c>
      <c r="GO110" s="209">
        <f>IF(GO$7="X",VLOOKUP(GO$10,'VK-Hooned-Soojus'!$C:$X,2+$C110,FALSE),0)+IF(GO$6="X",VLOOKUP(GO$10,'VK-Transport'!$C:$X,2+$B110,0))+IF(GO$8="X",VLOOKUP(GO$10,'VK-Elekter'!$C:$X,2+$D110,0))+IF(GO$9="X",VLOOKUP(GO$10,'VK-Biokütused'!$C:$U,2+$E110,0))+IF(GO$5="X",VLOOKUP(GO$10,'VK-Põlevkivi'!$C:$X,2+$G110,0))+IF(GO$4="X",VLOOKUP(GO$10,'VK-Võrgud'!$C:$X,2+$F110,0))</f>
        <v>8.7471755658278116</v>
      </c>
      <c r="GP110" s="209">
        <f>IF(GP$7="X",VLOOKUP(GP$10,'VK-Hooned-Soojus'!$C:$X,2+$C110,FALSE),0)+IF(GP$6="X",VLOOKUP(GP$10,'VK-Transport'!$C:$X,2+$B110,0))+IF(GP$8="X",VLOOKUP(GP$10,'VK-Elekter'!$C:$X,2+$D110,0))+IF(GP$9="X",VLOOKUP(GP$10,'VK-Biokütused'!$C:$U,2+$E110,0))+IF(GP$5="X",VLOOKUP(GP$10,'VK-Põlevkivi'!$C:$X,2+$G110,0))+IF(GP$4="X",VLOOKUP(GP$10,'VK-Võrgud'!$C:$X,2+$F110,0))</f>
        <v>9.3279335818485372</v>
      </c>
      <c r="GQ110" s="88">
        <f>IF(GQ$7="X",VLOOKUP(GQ$10,'VK-Hooned-Soojus'!$C:$X,2+$C110,FALSE),0)+IF(GQ$6="X",VLOOKUP(GQ$10,'VK-Transport'!$C:$X,2+$B110,0))+IF(GQ$8="X",VLOOKUP(GQ$10,'VK-Elekter'!$C:$X,2+$D110,0))+IF(GQ$9="X",VLOOKUP(GQ$10,'VK-Biokütused'!$C:$U,2+$E110,0))+IF(GQ$5="X",VLOOKUP(GQ$10,'VK-Põlevkivi'!$C:$X,2+$G110,0))+IF(GQ$4="X",VLOOKUP(GQ$10,'VK-Võrgud'!$C:$X,2+$F110,0))</f>
        <v>0.89042766952822527</v>
      </c>
      <c r="GR110" s="186">
        <f t="shared" si="81"/>
        <v>0.52807092382614873</v>
      </c>
    </row>
    <row r="111" spans="1:200" x14ac:dyDescent="0.2">
      <c r="A111" s="184">
        <v>101</v>
      </c>
      <c r="B111" s="87">
        <v>3</v>
      </c>
      <c r="C111" s="87">
        <v>1</v>
      </c>
      <c r="D111" s="87">
        <v>4</v>
      </c>
      <c r="E111" s="87">
        <v>2</v>
      </c>
      <c r="F111" s="87">
        <f>VLOOKUP(Tulemused!$BF$7,data!$J$6:$K$8,2,FALSE)</f>
        <v>2</v>
      </c>
      <c r="G111" s="87">
        <f>VLOOKUP(data!$H$2,data!$J$12:$K$14,2,FALSE)</f>
        <v>2</v>
      </c>
      <c r="I111" s="209">
        <f>IF(I$7="X",VLOOKUP(I$10,'VK-Hooned-Soojus'!$C:$X,2+$C111,FALSE),0)+IF(I$6="X",VLOOKUP(I$10,'VK-Transport'!$C:$X,2+$B111,0))+IF(I$8="X",VLOOKUP(I$10,'VK-Elekter'!$C:$X,2+$D111,0))+IF(I$9="X",VLOOKUP(I$10,'VK-Biokütused'!$C:$U,2+$E111,0))+IF(I$5="X",VLOOKUP(I$10,'VK-Põlevkivi'!$C:$X,2+$G111,0))+IF(I$4="X",VLOOKUP(I$10,'VK-Võrgud'!$C:$X,2+$F111,0))</f>
        <v>26.89</v>
      </c>
      <c r="J111" s="209">
        <f>IF(J$7="X",VLOOKUP(J$10,'VK-Hooned-Soojus'!$C:$X,2+$C111,FALSE),0)+IF(J$6="X",VLOOKUP(J$10,'VK-Transport'!$C:$X,2+$B111,0))+IF(J$8="X",VLOOKUP(J$10,'VK-Elekter'!$C:$X,2+$D111,0))+IF(J$9="X",VLOOKUP(J$10,'VK-Biokütused'!$C:$U,2+$E111,0))+IF(J$5="X",VLOOKUP(J$10,'VK-Põlevkivi'!$C:$X,2+$G111,0))+IF(J$4="X",VLOOKUP(J$10,'VK-Võrgud'!$C:$X,2+$F111,0))</f>
        <v>8.1258333333333344</v>
      </c>
      <c r="K111" s="209">
        <f>IF(K$7="X",VLOOKUP(K$10,'VK-Hooned-Soojus'!$C:$X,2+$C111,FALSE),0)+IF(K$6="X",VLOOKUP(K$10,'VK-Transport'!$C:$X,2+$B111,0))+IF(K$8="X",VLOOKUP(K$10,'VK-Elekter'!$C:$X,2+$D111,0))+IF(K$9="X",VLOOKUP(K$10,'VK-Biokütused'!$C:$U,2+$E111,0))+IF(K$5="X",VLOOKUP(K$10,'VK-Põlevkivi'!$C:$X,2+$G111,0))+IF(K$4="X",VLOOKUP(K$10,'VK-Võrgud'!$C:$X,2+$F111,0))</f>
        <v>16.75</v>
      </c>
      <c r="L111" s="209">
        <f>IF(L$7="X",VLOOKUP(L$10,'VK-Hooned-Soojus'!$C:$X,2+$C111,FALSE),0)+IF(L$6="X",VLOOKUP(L$10,'VK-Transport'!$C:$X,2+$B111,0))+IF(L$8="X",VLOOKUP(L$10,'VK-Elekter'!$C:$X,2+$D111,0))+IF(L$9="X",VLOOKUP(L$10,'VK-Biokütused'!$C:$U,2+$E111,0))+IF(L$5="X",VLOOKUP(L$10,'VK-Põlevkivi'!$C:$X,2+$G111,0))+IF(L$4="X",VLOOKUP(L$10,'VK-Võrgud'!$C:$X,2+$F111,0))</f>
        <v>24.95</v>
      </c>
      <c r="M111" s="209">
        <f>IF(M$7="X",VLOOKUP(M$10,'VK-Hooned-Soojus'!$C:$X,2+$C111,FALSE),0)+IF(M$6="X",VLOOKUP(M$10,'VK-Transport'!$C:$X,2+$B111,0))+IF(M$8="X",VLOOKUP(M$10,'VK-Elekter'!$C:$X,2+$D111,0))+IF(M$9="X",VLOOKUP(M$10,'VK-Biokütused'!$C:$U,2+$E111,0))+IF(M$5="X",VLOOKUP(M$10,'VK-Põlevkivi'!$C:$X,2+$G111,0))+IF(M$4="X",VLOOKUP(M$10,'VK-Võrgud'!$C:$X,2+$F111,0))</f>
        <v>8.68530937302436</v>
      </c>
      <c r="N111" s="209">
        <f>IF(N$7="X",VLOOKUP(N$10,'VK-Hooned-Soojus'!$C:$X,2+$C111,FALSE),0)+IF(N$6="X",VLOOKUP(N$10,'VK-Transport'!$C:$X,2+$B111,0))+IF(N$8="X",VLOOKUP(N$10,'VK-Elekter'!$C:$X,2+$D111,0))+IF(N$9="X",VLOOKUP(N$10,'VK-Biokütused'!$C:$U,2+$E111,0))+IF(N$5="X",VLOOKUP(N$10,'VK-Põlevkivi'!$C:$X,2+$G111,0))+IF(N$4="X",VLOOKUP(N$10,'VK-Võrgud'!$C:$X,2+$F111,0))</f>
        <v>16.75</v>
      </c>
      <c r="O111" s="209">
        <f t="shared" si="60"/>
        <v>35.015833333333333</v>
      </c>
      <c r="P111" s="209"/>
      <c r="Q111" s="209">
        <f>(IF(Q$7="X",VLOOKUP(Q$10,'VK-Hooned-Soojus'!$C:$X,2+$C111,FALSE),0)+IF(Q$6="X",VLOOKUP(Q$10,'VK-Transport'!$C:$X,2+$B111,0))+IF(Q$8="X",VLOOKUP(Q$10,'VK-Elekter'!$C:$X,2+$D111,0))+IF(Q$9="X",VLOOKUP(Q$10,'VK-Biokütused'!$C:$U,2+$E111,0))+IF(Q$5="X",VLOOKUP(Q$10,'VK-Põlevkivi'!$C:$X,2+$G111,0))+IF(Q$4="X",VLOOKUP(Q$10,'VK-Võrgud'!$C:$X,2+$F111,0)))/1000</f>
        <v>1.6020000000000001</v>
      </c>
      <c r="R111" s="209">
        <f>(IF(R$7="X",VLOOKUP(R$10,'VK-Hooned-Soojus'!$C:$X,2+$C111,FALSE),0)+IF(R$6="X",VLOOKUP(R$10,'VK-Transport'!$C:$X,2+$B111,0))+IF(R$8="X",VLOOKUP(R$10,'VK-Elekter'!$C:$X,2+$D111,0))+IF(R$9="X",VLOOKUP(R$10,'VK-Biokütused'!$C:$U,2+$E111,0))+IF(R$5="X",VLOOKUP(R$10,'VK-Põlevkivi'!$C:$X,2+$G111,0))+IF(R$4="X",VLOOKUP(R$10,'VK-Võrgud'!$C:$X,2+$F111,0)))/1000</f>
        <v>1.7203849906373201</v>
      </c>
      <c r="S111" s="226">
        <f>VLOOKUP(S$10,'VK-Hooned-Soojus'!$C:$I,2+$C111,FALSE) + VLOOKUP(S$10,'VK-Transport'!$C:$I,2+$B111,FALSE)+ VLOOKUP(S$10,'VK-Biokütused'!$C:$G,2+$E111,FALSE)+ VLOOKUP(S$10,'VK-Elekter'!$C:$I,2+$D111,FALSE)+ VLOOKUP(S$10,'VK-Põlevkivi'!$C:$I,2+$G111,FALSE)+ VLOOKUP(S$10,'VK-Võrgud'!$C:$I,2+$F111,FALSE)</f>
        <v>1.6546071231617016E-2</v>
      </c>
      <c r="T111" s="226">
        <f>VLOOKUP(T$10,'VK-Hooned-Soojus'!$C:$I,2+$C111,FALSE) + VLOOKUP(T$10,'VK-Transport'!$C:$I,2+$B111,FALSE)+ VLOOKUP(T$10,'VK-Biokütused'!$C:$G,2+$E111,FALSE)+ VLOOKUP(T$10,'VK-Elekter'!$C:$I,2+$D111,FALSE)+ VLOOKUP(T$10,'VK-Põlevkivi'!$C:$I,2+$G111,FALSE)+ VLOOKUP(T$10,'VK-Võrgud'!$C:$I,2+$F111,FALSE)</f>
        <v>4.8891629311551277E-3</v>
      </c>
      <c r="U111" s="226">
        <f>VLOOKUP(U$10,'VK-Hooned-Soojus'!$C:$I,2+$C111,FALSE) + VLOOKUP(U$10,'VK-Transport'!$C:$I,2+$B111,FALSE)+ VLOOKUP(U$10,'VK-Biokütused'!$C:$G,2+$E111,FALSE)+ VLOOKUP(U$10,'VK-Elekter'!$C:$I,2+$D111,FALSE)+ VLOOKUP(U$10,'VK-Põlevkivi'!$C:$I,2+$G111,FALSE)+ VLOOKUP(U$10,'VK-Võrgud'!$C:$I,2+$F111,FALSE)</f>
        <v>6.3669704554293605E-3</v>
      </c>
      <c r="V111" s="226">
        <f>VLOOKUP(V$10,'VK-Hooned-Soojus'!$C:$I,2+$C111,FALSE) + VLOOKUP(V$10,'VK-Transport'!$C:$I,2+$B111,FALSE)+ VLOOKUP(V$10,'VK-Biokütused'!$C:$G,2+$E111,FALSE)+ VLOOKUP(V$10,'VK-Elekter'!$C:$I,2+$D111,FALSE)+ VLOOKUP(V$10,'VK-Põlevkivi'!$C:$I,2+$G111,FALSE)+ VLOOKUP(V$10,'VK-Võrgud'!$C:$I,2+$F111,FALSE)</f>
        <v>1.0279440947426915E-2</v>
      </c>
      <c r="W111" s="226">
        <f>VLOOKUP(W$10,'VK-Hooned-Soojus'!$C:$I,2+$C111,FALSE) + VLOOKUP(W$10,'VK-Transport'!$C:$I,2+$B111,FALSE)+ VLOOKUP(W$10,'VK-Biokütused'!$C:$G,2+$E111,FALSE)+ VLOOKUP(W$10,'VK-Elekter'!$C:$I,2+$D111,FALSE)+ VLOOKUP(W$10,'VK-Põlevkivi'!$C:$I,2+$G111,FALSE)+ VLOOKUP(W$10,'VK-Võrgud'!$C:$I,2+$F111,FALSE)</f>
        <v>-4.7497674257110094E-2</v>
      </c>
      <c r="X111" s="226">
        <f>VLOOKUP(X$10,'VK-Hooned-Soojus'!$C:$I,2+$C111,FALSE) + VLOOKUP(X$10,'VK-Transport'!$C:$I,2+$B111,FALSE)+ VLOOKUP(X$10,'VK-Biokütused'!$C:$G,2+$E111,FALSE)+ VLOOKUP(X$10,'VK-Elekter'!$C:$I,2+$D111,FALSE)+ VLOOKUP(X$10,'VK-Põlevkivi'!$C:$I,2+$G111,FALSE)+ VLOOKUP(X$10,'VK-Võrgud'!$C:$I,2+$F111,FALSE)</f>
        <v>-0.17965353763964551</v>
      </c>
      <c r="Y111" s="226">
        <f>VLOOKUP(Y$10,'VK-Hooned-Soojus'!$C:$I,2+$C111,FALSE) + VLOOKUP(Y$10,'VK-Transport'!$C:$I,2+$B111,FALSE)+ VLOOKUP(Y$10,'VK-Biokütused'!$C:$G,2+$E111,FALSE)+ VLOOKUP(Y$10,'VK-Elekter'!$C:$I,2+$D111,FALSE)+ VLOOKUP(Y$10,'VK-Põlevkivi'!$C:$I,2+$G111,FALSE)+ VLOOKUP(Y$10,'VK-Võrgud'!$C:$I,2+$F111,FALSE)</f>
        <v>-9.7764157731628026E-2</v>
      </c>
      <c r="Z111" s="227">
        <f>(S111*Tulemused!$Q$9*10+T111*Tulemused!$Q$10*10+KOMBI!U111*Tulemused!$Q$11*10+KOMBI!V111*Tulemused!$Q$12*10)*Tulemused!$Q$8+-(W111*Tulemused!$Q$14*10+KOMBI!X111*Tulemused!$Q$15*10+KOMBI!Y111*Tulemused!$Q$16*10)*Tulemused!$Q$13</f>
        <v>9.9319777924130115</v>
      </c>
      <c r="AA111" s="228">
        <f>(IF(AA$7="X",VLOOKUP(AA$10,'VK-Hooned-Soojus'!$C:$X,2+$C111,FALSE),0)+IF(AA$6="X",VLOOKUP(AA$10,'VK-Transport'!$C:$X,2+$B111,0))+IF(AA$8="X",VLOOKUP(AA$10,'VK-Elekter'!$C:$X,2+$D111,0))+IF(AA$9="X",VLOOKUP(AA$10,'VK-Biokütused'!$C:$U,2+$E111,0))+IF(AA$5="X",VLOOKUP(AA$10,'VK-Põlevkivi'!$C:$X,2+$G111,0))+IF(AA$4="X",VLOOKUP(AA$10,'VK-Võrgud'!$C:$X,2+$F111,0)))</f>
        <v>0</v>
      </c>
      <c r="AB111" s="228">
        <f>(IF(AB$7="X",VLOOKUP(AB$10,'VK-Hooned-Soojus'!$C:$X,2+$C111,FALSE),0)+IF(AB$6="X",VLOOKUP(AB$10,'VK-Transport'!$C:$X,2+$B111,0))+IF(AB$8="X",VLOOKUP(AB$10,'VK-Elekter'!$C:$X,2+$D111,0))+IF(AB$9="X",VLOOKUP(AB$10,'VK-Biokütused'!$C:$U,2+$E111,0))+IF(AB$5="X",VLOOKUP(AB$10,'VK-Põlevkivi'!$C:$X,2+$G111,0))+IF(AB$4="X",VLOOKUP(AB$10,'VK-Võrgud'!$C:$X,2+$F111,0)))</f>
        <v>1602</v>
      </c>
      <c r="AC111" s="228">
        <f>(IF(AC$7="X",VLOOKUP(AC$10,'VK-Hooned-Soojus'!$C:$X,2+$C111,FALSE),0)+IF(AC$6="X",VLOOKUP(AC$10,'VK-Transport'!$C:$X,2+$B111,0))+IF(AC$8="X",VLOOKUP(AC$10,'VK-Elekter'!$C:$X,2+$D111,0))+IF(AC$9="X",VLOOKUP(AC$10,'VK-Biokütused'!$C:$U,2+$E111,0))+IF(AC$5="X",VLOOKUP(AC$10,'VK-Põlevkivi'!$C:$X,2+$G111,0))+IF(AC$4="X",VLOOKUP(AC$10,'VK-Võrgud'!$C:$X,2+$F111,0)))</f>
        <v>2346</v>
      </c>
      <c r="AD111" s="228">
        <f>(IF(AD$7="X",VLOOKUP(AD$10,'VK-Hooned-Soojus'!$C:$X,2+$C111,FALSE),0)+IF(AD$6="X",VLOOKUP(AD$10,'VK-Transport'!$C:$X,2+$B111,0))+IF(AD$8="X",VLOOKUP(AD$10,'VK-Elekter'!$C:$X,2+$D111,0))+IF(AD$9="X",VLOOKUP(AD$10,'VK-Biokütused'!$C:$U,2+$E111,0))+IF(AD$5="X",VLOOKUP(AD$10,'VK-Põlevkivi'!$C:$X,2+$G111,0))+IF(AD$4="X",VLOOKUP(AD$10,'VK-Võrgud'!$C:$X,2+$F111,0)))</f>
        <v>377.5</v>
      </c>
      <c r="AE111" s="228">
        <f>(IF(AE$7="X",VLOOKUP(AE$10,'VK-Hooned-Soojus'!$C:$X,2+$C111,FALSE),0)+IF(AE$6="X",VLOOKUP(AE$10,'VK-Transport'!$C:$X,2+$B111,0))+IF(AE$8="X",VLOOKUP(AE$10,'VK-Elekter'!$C:$X,2+$D111,0))+IF(AE$9="X",VLOOKUP(AE$10,'VK-Biokütused'!$C:$U,2+$E111,0))+IF(AE$5="X",VLOOKUP(AE$10,'VK-Põlevkivi'!$C:$X,2+$G111,0))+IF(AE$4="X",VLOOKUP(AE$10,'VK-Võrgud'!$C:$X,2+$F111,0)))</f>
        <v>812</v>
      </c>
      <c r="AF111" s="228">
        <f>(IF(AF$7="X",VLOOKUP(AF$10,'VK-Hooned-Soojus'!$C:$X,2+$C111,FALSE),0)+IF(AF$6="X",VLOOKUP(AF$10,'VK-Transport'!$C:$X,2+$B111,0))+IF(AF$8="X",VLOOKUP(AF$10,'VK-Elekter'!$C:$X,2+$D111,0))+IF(AF$9="X",VLOOKUP(AF$10,'VK-Biokütused'!$C:$U,2+$E111,0))+IF(AF$5="X",VLOOKUP(AF$10,'VK-Põlevkivi'!$C:$X,2+$G111,0))+IF(AF$4="X",VLOOKUP(AF$10,'VK-Võrgud'!$C:$X,2+$F111,0)))</f>
        <v>530.88499063732002</v>
      </c>
      <c r="AG111" s="209"/>
      <c r="AH111" s="209">
        <f>IF(AH$7="X",VLOOKUP(AH$10,'VK-Hooned-Soojus'!$C:$X,2+$C111,FALSE),0)+IF(AH$6="X",VLOOKUP(AH$10,'VK-Transport'!$C:$X,2+$B111,0))+IF(AH$8="X",VLOOKUP(AH$10,'VK-Elekter'!$C:$X,2+$D111,0))+IF(AH$9="X",VLOOKUP(AH$10,'VK-Biokütused'!$C:$U,2+$E111,0))+IF(AH$5="X",VLOOKUP(AH$10,'VK-Põlevkivi'!$C:$X,2+$G111,0))+IF(AH$4="X",VLOOKUP(AH$10,'VK-Võrgud'!$C:$X,2+$F111,0))</f>
        <v>0</v>
      </c>
      <c r="AI111" s="209">
        <f>IF(AI$7="X",VLOOKUP(AI$10,'VK-Hooned-Soojus'!$C:$X,2+$C111,FALSE),0)+IF(AI$6="X",VLOOKUP(AI$10,'VK-Transport'!$C:$X,2+$B111,0))+IF(AI$8="X",VLOOKUP(AI$10,'VK-Elekter'!$C:$X,2+$D111,0))+IF(AI$9="X",VLOOKUP(AI$10,'VK-Biokütused'!$C:$U,2+$E111,0))+IF(AI$5="X",VLOOKUP(AI$10,'VK-Põlevkivi'!$C:$X,2+$G111,0))+IF(AI$4="X",VLOOKUP(AI$10,'VK-Võrgud'!$C:$X,2+$F111,0))</f>
        <v>11.489999999999998</v>
      </c>
      <c r="AJ111" s="209">
        <f>IF(AJ$7="X",VLOOKUP(AJ$10,'VK-Hooned-Soojus'!$C:$X,2+$C111,FALSE),0)+IF(AJ$6="X",VLOOKUP(AJ$10,'VK-Transport'!$C:$X,2+$B111,0))+IF(AJ$8="X",VLOOKUP(AJ$10,'VK-Elekter'!$C:$X,2+$D111,0))+IF(AJ$9="X",VLOOKUP(AJ$10,'VK-Biokütused'!$C:$U,2+$E111,0))+IF(AJ$5="X",VLOOKUP(AJ$10,'VK-Põlevkivi'!$C:$X,2+$G111,0))+IF(AJ$4="X",VLOOKUP(AJ$10,'VK-Võrgud'!$C:$X,2+$F111,0))</f>
        <v>0</v>
      </c>
      <c r="AK111" s="209">
        <f>IF(AK$7="X",VLOOKUP(AK$10,'VK-Hooned-Soojus'!$C:$X,2+$C111,FALSE),0)+IF(AK$6="X",VLOOKUP(AK$10,'VK-Transport'!$C:$X,2+$B111,0))+IF(AK$8="X",VLOOKUP(AK$10,'VK-Elekter'!$C:$X,2+$D111,0))+IF(AK$9="X",VLOOKUP(AK$10,'VK-Biokütused'!$C:$U,2+$E111,0))+IF(AK$5="X",VLOOKUP(AK$10,'VK-Põlevkivi'!$C:$X,2+$G111,0))+IF(AK$4="X",VLOOKUP(AK$10,'VK-Võrgud'!$C:$X,2+$F111,0))</f>
        <v>3.65</v>
      </c>
      <c r="AL111" s="209">
        <f>IF(AL$7="X",VLOOKUP(AL$10,'VK-Hooned-Soojus'!$C:$X,2+$C111,FALSE),0)+IF(AL$6="X",VLOOKUP(AL$10,'VK-Transport'!$C:$X,2+$B111,0))+IF(AL$8="X",VLOOKUP(AL$10,'VK-Elekter'!$C:$X,2+$D111,0))+IF(AL$9="X",VLOOKUP(AL$10,'VK-Biokütused'!$C:$U,2+$E111,0))+IF(AL$5="X",VLOOKUP(AL$10,'VK-Põlevkivi'!$C:$X,2+$G111,0))+IF(AL$4="X",VLOOKUP(AL$10,'VK-Võrgud'!$C:$X,2+$F111,0))</f>
        <v>7.1999999999999993</v>
      </c>
      <c r="AM111" s="209">
        <f>IF(AM$7="X",VLOOKUP(AM$10,'VK-Hooned-Soojus'!$C:$X,2+$C111,FALSE),0)+IF(AM$6="X",VLOOKUP(AM$10,'VK-Transport'!$C:$X,2+$B111,0))+IF(AM$8="X",VLOOKUP(AM$10,'VK-Elekter'!$C:$X,2+$D111,0))+IF(AM$9="X",VLOOKUP(AM$10,'VK-Biokütused'!$C:$U,2+$E111,0))+IF(AM$5="X",VLOOKUP(AM$10,'VK-Põlevkivi'!$C:$X,2+$G111,0))+IF(AM$4="X",VLOOKUP(AM$10,'VK-Võrgud'!$C:$X,2+$F111,0))</f>
        <v>12.9</v>
      </c>
      <c r="AN111" s="209">
        <f>IF(AN$7="X",VLOOKUP(AN$10,'VK-Hooned-Soojus'!$C:$X,2+$C111,FALSE),0)+IF(AN$6="X",VLOOKUP(AN$10,'VK-Transport'!$C:$X,2+$B111,0))+IF(AN$8="X",VLOOKUP(AN$10,'VK-Elekter'!$C:$X,2+$D111,0))+IF(AN$9="X",VLOOKUP(AN$10,'VK-Biokütused'!$C:$U,2+$E111,0))+IF(AN$5="X",VLOOKUP(AN$10,'VK-Põlevkivi'!$C:$X,2+$G111,0))+IF(AN$4="X",VLOOKUP(AN$10,'VK-Võrgud'!$C:$X,2+$F111,0))</f>
        <v>5.6999999999999993</v>
      </c>
      <c r="AO111" s="209">
        <f>IF(AO$7="X",VLOOKUP(AO$10,'VK-Hooned-Soojus'!$C:$X,2+$C111,FALSE),0)+IF(AO$6="X",VLOOKUP(AO$10,'VK-Transport'!$C:$X,2+$B111,0))+IF(AO$8="X",VLOOKUP(AO$10,'VK-Elekter'!$C:$X,2+$D111,0))+IF(AO$9="X",VLOOKUP(AO$10,'VK-Biokütused'!$C:$U,2+$E111,0))+IF(AO$5="X",VLOOKUP(AO$10,'VK-Põlevkivi'!$C:$X,2+$G111,0))+IF(AO$4="X",VLOOKUP(AO$10,'VK-Võrgud'!$C:$X,2+$F111,0))</f>
        <v>22.740000000000002</v>
      </c>
      <c r="AP111" s="209">
        <f>IF(AP$7="X",VLOOKUP(AP$10,'VK-Hooned-Soojus'!$C:$X,2+$C111,FALSE),0)+IF(AP$6="X",VLOOKUP(AP$10,'VK-Transport'!$C:$X,2+$B111,0))+IF(AP$8="X",VLOOKUP(AP$10,'VK-Elekter'!$C:$X,2+$D111,0))+IF(AP$9="X",VLOOKUP(AP$10,'VK-Biokütused'!$C:$U,2+$E111,0))+IF(AP$5="X",VLOOKUP(AP$10,'VK-Põlevkivi'!$C:$X,2+$G111,0))+IF(AP$4="X",VLOOKUP(AP$10,'VK-Võrgud'!$C:$X,2+$F111,0))</f>
        <v>11.370000000000001</v>
      </c>
      <c r="AQ111" s="320">
        <f t="shared" si="61"/>
        <v>10.440000000000001</v>
      </c>
      <c r="AR111" s="209">
        <f>IF(AR$7="X",VLOOKUP(AR$10,'VK-Hooned-Soojus'!$C:$X,2+$C111,FALSE),0)+IF(AR$6="X",VLOOKUP(AR$10,'VK-Transport'!$C:$X,2+$B111,0))+IF(AR$8="X",VLOOKUP(AR$10,'VK-Elekter'!$C:$X,2+$D111,0))+IF(AR$9="X",VLOOKUP(AR$10,'VK-Biokütused'!$C:$U,2+$E111,0))+IF(AR$5="X",VLOOKUP(AR$10,'VK-Põlevkivi'!$C:$X,2+$G111,0))+IF(AR$4="X",VLOOKUP(AR$10,'VK-Võrgud'!$C:$X,2+$F111,0))</f>
        <v>1.1000000000000001</v>
      </c>
      <c r="AS111" s="320">
        <f>VLOOKUP("Kütuste tarbimine @ 2030 - UTTEGAAS",'VK-Hooned-Soojus'!$C:$X,2+$C111,FALSE)/0.172+VLOOKUP("Kütuste tarbimine @ 2030 - UTTEGAAS",'VK-Elekter'!$C:$X,2+$D111,FALSE)/0.172-AR111-AU111</f>
        <v>-1.1000000000000001</v>
      </c>
      <c r="AT111" s="209">
        <f>IF(AT$7="X",VLOOKUP(AT$10,'VK-Hooned-Soojus'!$C:$X,2+$C111,FALSE),0)+IF(AT$6="X",VLOOKUP(AT$10,'VK-Transport'!$C:$X,2+$B111,0))+IF(AT$8="X",VLOOKUP(AT$10,'VK-Elekter'!$C:$X,2+$D111,0))+IF(AT$9="X",VLOOKUP(AT$10,'VK-Biokütused'!$C:$U,2+$E111,0))+IF(AT$5="X",VLOOKUP(AT$10,'VK-Põlevkivi'!$C:$X,2+$G111,0))+IF(AT$4="X",VLOOKUP(AT$10,'VK-Võrgud'!$C:$X,2+$F111,0))</f>
        <v>5.7045296564339489</v>
      </c>
      <c r="AU111" s="229">
        <f>MAX(0,(VLOOKUP("Kütuste tarbimine @ 2030 - UTTEGAAS",'VK-Hooned-Soojus'!$C:$X,2+$C111,FALSE)/0.172+VLOOKUP("Kütuste tarbimine @ 2030 - UTTEGAAS",'VK-Elekter'!$C:$X,2+$D111,FALSE)/0.172)*0.52-VLOOKUP("Kütuste tarbimine @ 2030 - PÕLEVKIVIÕLI",'VK-Hooned-Soojus'!$C:$X,2+$C111,FALSE))</f>
        <v>0</v>
      </c>
      <c r="AV111" s="209">
        <f>IF(AV$7="X",VLOOKUP(AV$10,'VK-Hooned-Soojus'!$C:$X,2+$C111,FALSE),0)+IF(AV$6="X",VLOOKUP(AV$10,'VK-Transport'!$C:$X,2+$B111,0))+IF(AV$8="X",VLOOKUP(AV$10,'VK-Elekter'!$C:$X,2+$D111,0))+IF(AV$9="X",VLOOKUP(AV$10,'VK-Biokütused'!$C:$U,2+$E111,0))+IF(AV$5="X",VLOOKUP(AV$10,'VK-Põlevkivi'!$C:$X,2+$G111,0))+IF(AV$4="X",VLOOKUP(AV$10,'VK-Võrgud'!$C:$X,2+$F111,0))</f>
        <v>2.1219844082566364</v>
      </c>
      <c r="AW111" s="209">
        <f>IF(AW$7="X",VLOOKUP(AW$10,'VK-Hooned-Soojus'!$C:$X,2+$C111,FALSE),0)+IF(AW$6="X",VLOOKUP(AW$10,'VK-Transport'!$C:$X,2+$B111,0))+IF(AW$8="X",VLOOKUP(AW$10,'VK-Elekter'!$C:$X,2+$D111,0))+IF(AW$9="X",VLOOKUP(AW$10,'VK-Biokütused'!$C:$U,2+$E111,0))+IF(AW$5="X",VLOOKUP(AW$10,'VK-Põlevkivi'!$C:$X,2+$G111,0))+IF(AW$4="X",VLOOKUP(AW$10,'VK-Võrgud'!$C:$X,2+$F111,0))</f>
        <v>2.141</v>
      </c>
      <c r="AX111" s="229">
        <f t="shared" si="62"/>
        <v>1.9015591743363647E-2</v>
      </c>
      <c r="AY111" s="229">
        <f t="shared" si="63"/>
        <v>0</v>
      </c>
      <c r="AZ111" s="230">
        <f t="shared" si="83"/>
        <v>0.6074987705979138</v>
      </c>
      <c r="BA111" s="209">
        <f>IF(BA$7="X",VLOOKUP(BA$10,'VK-Hooned-Soojus'!$C:$X,2+$C111,FALSE),0)+IF(BA$6="X",VLOOKUP(BA$10,'VK-Transport'!$C:$X,2+$B111,0))+IF(BA$8="X",VLOOKUP(BA$10,'VK-Elekter'!$C:$X,2+$D111,0))+IF(BA$9="X",VLOOKUP(BA$10,'VK-Biokütused'!$C:$U,2+$E111,0))+IF(BA$5="X",VLOOKUP(BA$10,'VK-Põlevkivi'!$C:$X,2+$G111,0))+IF(BA$4="X",VLOOKUP(BA$10,'VK-Võrgud'!$C:$X,2+$F111,0))</f>
        <v>0</v>
      </c>
      <c r="BB111" s="209">
        <f>IF(BB$7="X",VLOOKUP(BB$10,'VK-Hooned-Soojus'!$C:$X,2+$C111,FALSE),0)+IF(BB$6="X",VLOOKUP(BB$10,'VK-Transport'!$C:$X,2+$B111,0))+IF(BB$8="X",VLOOKUP(BB$10,'VK-Elekter'!$C:$X,2+$D111,0))+IF(BB$9="X",VLOOKUP(BB$10,'VK-Biokütused'!$C:$U,2+$E111,0))+IF(BB$5="X",VLOOKUP(BB$10,'VK-Põlevkivi'!$C:$X,2+$G111,0))+IF(BB$4="X",VLOOKUP(BB$10,'VK-Võrgud'!$C:$X,2+$F111,0))</f>
        <v>6.32</v>
      </c>
      <c r="BC111" s="209">
        <f>IF(BC$7="X",VLOOKUP(BC$10,'VK-Hooned-Soojus'!$C:$X,2+$C111,FALSE),0)+IF(BC$6="X",VLOOKUP(BC$10,'VK-Transport'!$C:$X,2+$B111,0))+IF(BC$8="X",VLOOKUP(BC$10,'VK-Elekter'!$C:$X,2+$D111,0))+IF(BC$9="X",VLOOKUP(BC$10,'VK-Biokütused'!$C:$U,2+$E111,0))+IF(BC$5="X",VLOOKUP(BC$10,'VK-Põlevkivi'!$C:$X,2+$G111,0))+IF(BC$4="X",VLOOKUP(BC$10,'VK-Võrgud'!$C:$X,2+$F111,0))</f>
        <v>8.0523611111111126</v>
      </c>
      <c r="BD111" s="209">
        <f>IF(BD$7="X",VLOOKUP(BD$10,'VK-Hooned-Soojus'!$C:$X,2+$C111,FALSE),0)+IF(BD$6="X",VLOOKUP(BD$10,'VK-Transport'!$C:$X,2+$B111,0))+IF(BD$8="X",VLOOKUP(BD$10,'VK-Elekter'!$C:$X,2+$D111,0))+IF(BD$9="X",VLOOKUP(BD$10,'VK-Biokütused'!$C:$U,2+$E111,0))+IF(BD$5="X",VLOOKUP(BD$10,'VK-Põlevkivi'!$C:$X,2+$G111,0))+IF(BD$4="X",VLOOKUP(BD$10,'VK-Võrgud'!$C:$X,2+$F111,0))</f>
        <v>10.42138888888889</v>
      </c>
      <c r="BE111" s="230"/>
      <c r="BF111" s="229">
        <f t="shared" si="64"/>
        <v>0.63174328576257388</v>
      </c>
      <c r="BG111" s="209" t="e">
        <f>(IF(BG$7="X",VLOOKUP(BG$10,'VK-Hooned-Soojus'!$C:$X,2+$C111,FALSE),0)+IF(BG$6="X",VLOOKUP(BG$10,'VK-Transport'!$C:$X,2+$B111,0))+IF(BG$8="X",VLOOKUP(BG$10,'VK-Elekter'!$C:$X,2+$D111,0))+IF(BG$9="X",VLOOKUP(BG$10,'VK-Biokütused'!$C:$U,2+$E111,0))+IF(BG$5="X",VLOOKUP(BG$10,'VK-Põlevkivi'!$C:$X,2+$G111,0))+IF(BG$4="X",VLOOKUP(BG$10,'VK-Võrgud'!$C:$X,2+$F111,0)))/20</f>
        <v>#N/A</v>
      </c>
      <c r="BH111" s="209">
        <f>(IF(BH$7="X",VLOOKUP(BH$10,'VK-Hooned-Soojus'!$C:$X,2+$C111,FALSE),0)+IF(BH$6="X",VLOOKUP(BH$10,'VK-Transport'!$C:$X,2+$B111,0))+IF(BH$8="X",VLOOKUP(BH$10,'VK-Elekter'!$C:$X,2+$D111,0))+IF(BH$9="X",VLOOKUP(BH$10,'VK-Biokütused'!$C:$U,2+$E111,0))+IF(BH$5="X",VLOOKUP(BH$10,'VK-Põlevkivi'!$C:$X,2+$G111,0))+IF(BH$4="X",VLOOKUP(BH$10,'VK-Võrgud'!$C:$X,2+$F111,0)))/20</f>
        <v>13.99</v>
      </c>
      <c r="BI111" s="209">
        <f>(IF(BI$7="X",VLOOKUP(BI$10,'VK-Hooned-Soojus'!$C:$X,2+$C111,FALSE),0)+IF(BI$6="X",VLOOKUP(BI$10,'VK-Transport'!$C:$X,2+$B111,0))+IF(BI$8="X",VLOOKUP(BI$10,'VK-Elekter'!$C:$X,2+$D111,0))+IF(BI$9="X",VLOOKUP(BI$10,'VK-Biokütused'!$C:$U,2+$E111,0))+IF(BI$5="X",VLOOKUP(BI$10,'VK-Põlevkivi'!$C:$X,2+$G111,0))+IF(BI$4="X",VLOOKUP(BI$10,'VK-Võrgud'!$C:$X,2+$F111,0)))/16</f>
        <v>17.75</v>
      </c>
      <c r="BJ111" s="209">
        <f>(IF(BJ$7="X",VLOOKUP(BJ$10,'VK-Hooned-Soojus'!$C:$X,2+$C111,FALSE),0)+IF(BJ$6="X",VLOOKUP(BJ$10,'VK-Transport'!$C:$X,2+$B111,0))+IF(BJ$8="X",VLOOKUP(BJ$10,'VK-Elekter'!$C:$X,2+$D111,0))+IF(BJ$9="X",VLOOKUP(BJ$10,'VK-Biokütused'!$C:$U,2+$E111,0))+IF(BJ$5="X",VLOOKUP(BJ$10,'VK-Põlevkivi'!$C:$X,2+$G111,0))+IF(BJ$4="X",VLOOKUP(BJ$10,'VK-Võrgud'!$C:$X,2+$F111,0)))/20</f>
        <v>1.85</v>
      </c>
      <c r="BK111" s="209"/>
      <c r="BL111" s="209"/>
      <c r="BM111" s="209"/>
      <c r="BN111" s="209" t="e">
        <f>(IF(BN$7="X",VLOOKUP(BN$10,'VK-Hooned-Soojus'!$C:$X,2+$C111,FALSE),0)+IF(BN$6="X",VLOOKUP(BN$10,'VK-Transport'!$C:$X,2+$B111,0))+IF(BN$8="X",VLOOKUP(BN$10,'VK-Elekter'!$C:$X,2+$D111,0))+IF(BN$9="X",VLOOKUP(BN$10,'VK-Biokütused'!$C:$U,2+$E111,0))+IF(BN$5="X",VLOOKUP(BN$10,'VK-Põlevkivi'!$C:$X,2+$G111,0))+IF(BN$4="X",VLOOKUP(BN$10,'VK-Võrgud'!$C:$X,2+$F111,0)))/16</f>
        <v>#N/A</v>
      </c>
      <c r="BO111" s="209">
        <f>(IF(BO$7="X",VLOOKUP(BO$10,'VK-Hooned-Soojus'!$C:$X,2+$C111,FALSE),0)+IF(BO$6="X",VLOOKUP(BO$10,'VK-Transport'!$C:$X,2+$B111,0))+IF(BO$8="X",VLOOKUP(BO$10,'VK-Elekter'!$C:$X,2+$D111,0))+IF(BO$9="X",VLOOKUP(BO$10,'VK-Biokütused'!$C:$U,2+$E111,0))+IF(BO$5="X",VLOOKUP(BO$10,'VK-Põlevkivi'!$C:$X,2+$G111,0))+IF(BO$4="X",VLOOKUP(BO$10,'VK-Võrgud'!$C:$X,2+$F111,0)))/16</f>
        <v>322.79374999999999</v>
      </c>
      <c r="BP111" s="209"/>
      <c r="BQ111" s="209">
        <f>(IF(BQ$7="X",VLOOKUP(BQ$10,'VK-Hooned-Soojus'!$C:$X,2+$C111,FALSE),0)+IF(BQ$6="X",VLOOKUP(BQ$10,'VK-Transport'!$C:$X,2+$B111,0))+IF(BQ$8="X",VLOOKUP(BQ$10,'VK-Elekter'!$C:$X,2+$D111,0))+IF(BQ$9="X",VLOOKUP(BQ$10,'VK-Biokütused'!$C:$U,2+$E111,0))+IF(BQ$5="X",VLOOKUP(BQ$10,'VK-Põlevkivi'!$C:$X,2+$G111,0))+IF(BQ$4="X",VLOOKUP(BQ$10,'VK-Võrgud'!$C:$X,2+$F111,0)))/16</f>
        <v>233.20625000000001</v>
      </c>
      <c r="BR111" s="209">
        <f>(IF(BR$7="X",VLOOKUP(BR$10,'VK-Hooned-Soojus'!$C:$X,2+$C111,FALSE),0)+IF(BR$6="X",VLOOKUP(BR$10,'VK-Transport'!$C:$X,2+$B111,0))+IF(BR$8="X",VLOOKUP(BR$10,'VK-Elekter'!$C:$X,2+$D111,0))+IF(BR$9="X",VLOOKUP(BR$10,'VK-Biokütused'!$C:$U,2+$E111,0))+IF(BR$5="X",VLOOKUP(BR$10,'VK-Põlevkivi'!$C:$X,2+$G111,0))+IF(BR$4="X",VLOOKUP(BR$10,'VK-Võrgud'!$C:$X,2+$F111,0)))/16</f>
        <v>74.512500000000003</v>
      </c>
      <c r="BS111" s="209">
        <f>(IF(BS$7="X",VLOOKUP(BS$10,'VK-Hooned-Soojus'!$C:$X,2+$C111,FALSE),0)+IF(BS$6="X",VLOOKUP(BS$10,'VK-Transport'!$C:$X,2+$B111,0))+IF(BS$8="X",VLOOKUP(BS$10,'VK-Elekter'!$C:$X,2+$D111,0))+IF(BS$9="X",VLOOKUP(BS$10,'VK-Biokütused'!$C:$U,2+$E111,0))+IF(BS$5="X",VLOOKUP(BS$10,'VK-Põlevkivi'!$C:$X,2+$G111,0))+IF(BS$4="X",VLOOKUP(BS$10,'VK-Võrgud'!$C:$X,2+$F111,0)))/16</f>
        <v>-21.475000000000001</v>
      </c>
      <c r="BT111" s="209"/>
      <c r="BU111" s="209"/>
      <c r="BV111" s="209">
        <f>(IF(BV$7="X",VLOOKUP(BV$10,'VK-Hooned-Soojus'!$C:$X,2+$C111,FALSE),0)+IF(BV$6="X",VLOOKUP(BV$10,'VK-Transport'!$C:$X,2+$B111,0))+IF(BV$8="X",VLOOKUP(BV$10,'VK-Elekter'!$C:$X,2+$D111,0))+IF(BV$9="X",VLOOKUP(BV$10,'VK-Biokütused'!$C:$U,2+$E111,0))+IF(BV$5="X",VLOOKUP(BV$10,'VK-Põlevkivi'!$C:$X,2+$G111,0))+IF(BV$4="X",VLOOKUP(BV$10,'VK-Võrgud'!$C:$X,2+$F111,0)))/16</f>
        <v>0</v>
      </c>
      <c r="BW111" s="209"/>
      <c r="BX111" s="209">
        <f>(IF(BX$7="X",VLOOKUP(BX$10,'VK-Hooned-Soojus'!$C:$X,2+$C111,FALSE),0)+IF(BX$6="X",VLOOKUP(BX$10,'VK-Transport'!$C:$X,2+$B111,0))+IF(BX$8="X",VLOOKUP(BX$10,'VK-Elekter'!$C:$X,2+$D111,0))+IF(BX$9="X",VLOOKUP(BX$10,'VK-Biokütused'!$C:$U,2+$E111,0))+IF(BX$5="X",VLOOKUP(BX$10,'VK-Põlevkivi'!$C:$X,2+$G111,0))+IF(BX$4="X",VLOOKUP(BX$10,'VK-Võrgud'!$C:$X,2+$F111,0)))/16</f>
        <v>-19.25</v>
      </c>
      <c r="BY111" s="209"/>
      <c r="BZ111" s="209"/>
      <c r="CA111" s="209" t="e">
        <f>(IF(CA$7="X",VLOOKUP(CA$10,'VK-Hooned-Soojus'!$C:$X,2+$C111,FALSE),0)+IF(CA$6="X",VLOOKUP(CA$10,'VK-Transport'!$C:$X,2+$B111,0))+IF(CA$8="X",VLOOKUP(CA$10,'VK-Elekter'!$C:$X,2+$D111,0))+IF(CA$9="X",VLOOKUP(CA$10,'VK-Biokütused'!$C:$U,2+$E111,0))+IF(CA$5="X",VLOOKUP(CA$10,'VK-Põlevkivi'!$C:$X,2+$G111,0))+IF(CA$4="X",VLOOKUP(CA$10,'VK-Võrgud'!$C:$X,2+$F111,0)))/16</f>
        <v>#N/A</v>
      </c>
      <c r="CB111" s="209">
        <f>(IF(CB$7="X",VLOOKUP(CB$10,'VK-Hooned-Soojus'!$C:$X,2+$C111,FALSE),0)+IF(CB$6="X",VLOOKUP(CB$10,'VK-Transport'!$C:$X,2+$B111,0))+IF(CB$8="X",VLOOKUP(CB$10,'VK-Elekter'!$C:$X,2+$D111,0))+IF(CB$9="X",VLOOKUP(CB$10,'VK-Biokütused'!$C:$U,2+$E111,0))+IF(CB$5="X",VLOOKUP(CB$10,'VK-Põlevkivi'!$C:$X,2+$G111,0))+IF(CB$4="X",VLOOKUP(CB$10,'VK-Võrgud'!$C:$X,2+$F111,0)))/16</f>
        <v>0</v>
      </c>
      <c r="CC111" s="209">
        <f>(IF(CC$7="X",VLOOKUP(CC$10,'VK-Hooned-Soojus'!$C:$X,2+$C111,FALSE),0)+IF(CC$6="X",VLOOKUP(CC$10,'VK-Transport'!$C:$X,2+$B111,0))+IF(CC$8="X",VLOOKUP(CC$10,'VK-Elekter'!$C:$X,2+$D111,0))+IF(CC$9="X",VLOOKUP(CC$10,'VK-Biokütused'!$C:$U,2+$E111,0))+IF(CC$5="X",VLOOKUP(CC$10,'VK-Põlevkivi'!$C:$X,2+$G111,0))+IF(CC$4="X",VLOOKUP(CC$10,'VK-Võrgud'!$C:$X,2+$F111,0)))/16</f>
        <v>0</v>
      </c>
      <c r="CD111" s="209"/>
      <c r="CE111" s="209">
        <f>(IF(CE$7="X",VLOOKUP(CE$10,'VK-Hooned-Soojus'!$C:$X,2+$C111,FALSE),0)+IF(CE$6="X",VLOOKUP(CE$10,'VK-Transport'!$C:$X,2+$B111,0))+IF(CE$8="X",VLOOKUP(CE$10,'VK-Elekter'!$C:$X,2+$D111,0))+IF(CE$9="X",VLOOKUP(CE$10,'VK-Biokütused'!$C:$U,2+$E111,0))+IF(CE$5="X",VLOOKUP(CE$10,'VK-Põlevkivi'!$C:$X,2+$G111,0))+IF(CE$4="X",VLOOKUP(CE$10,'VK-Võrgud'!$C:$X,2+$F111,0)))/16</f>
        <v>24.15625</v>
      </c>
      <c r="CF111" s="209"/>
      <c r="CG111" s="209">
        <f>(IF(CG$7="X",VLOOKUP(CG$10,'VK-Hooned-Soojus'!$C:$X,2+$C111,FALSE),0)+IF(CG$6="X",VLOOKUP(CG$10,'VK-Transport'!$C:$X,2+$B111,0))+IF(CG$8="X",VLOOKUP(CG$10,'VK-Elekter'!$C:$X,2+$D111,0))+IF(CG$9="X",VLOOKUP(CG$10,'VK-Biokütused'!$C:$U,2+$E111,0))+IF(CG$5="X",VLOOKUP(CG$10,'VK-Põlevkivi'!$C:$X,2+$G111,0))+IF(CG$4="X",VLOOKUP(CG$10,'VK-Võrgud'!$C:$X,2+$F111,0)))/16</f>
        <v>0</v>
      </c>
      <c r="CH111" s="209">
        <f>(IF(CH$7="X",VLOOKUP(CH$10,'VK-Hooned-Soojus'!$C:$X,2+$C111,FALSE),0)+IF(CH$6="X",VLOOKUP(CH$10,'VK-Transport'!$C:$X,2+$B111,0))+IF(CH$8="X",VLOOKUP(CH$10,'VK-Elekter'!$C:$X,2+$D111,0))+IF(CH$9="X",VLOOKUP(CH$10,'VK-Biokütused'!$C:$U,2+$E111,0))+IF(CH$5="X",VLOOKUP(CH$10,'VK-Põlevkivi'!$C:$X,2+$G111,0))+IF(CH$4="X",VLOOKUP(CH$10,'VK-Võrgud'!$C:$X,2+$F111,0)))/20*0.21</f>
        <v>5.6122500000000004</v>
      </c>
      <c r="CI111" s="209"/>
      <c r="CJ111" s="209">
        <f>(IF(CJ$7="X",VLOOKUP(CJ$10,'VK-Hooned-Soojus'!$C:$X,2+$C111,FALSE),0)+IF(CJ$6="X",VLOOKUP(CJ$10,'VK-Transport'!$C:$X,2+$B111,0))+IF(CJ$8="X",VLOOKUP(CJ$10,'VK-Elekter'!$C:$X,2+$D111,0))+IF(CJ$9="X",VLOOKUP(CJ$10,'VK-Biokütused'!$C:$U,2+$E111,0))+IF(CJ$5="X",VLOOKUP(CJ$10,'VK-Põlevkivi'!$C:$X,2+$G111,0))+IF(CJ$4="X",VLOOKUP(CJ$10,'VK-Võrgud'!$C:$X,2+$F111,0)))/1000</f>
        <v>17.650721793242816</v>
      </c>
      <c r="CK111" s="209">
        <f>(IF(CK$7="X",VLOOKUP(CK$10,'VK-Hooned-Soojus'!$C:$X,2+$C111,FALSE),0)+IF(CK$6="X",VLOOKUP(CK$10,'VK-Transport'!$C:$X,2+$B111,0))+IF(CK$8="X",VLOOKUP(CK$10,'VK-Elekter'!$C:$X,2+$D111,0))+IF(CK$9="X",VLOOKUP(CK$10,'VK-Biokütused'!$C:$U,2+$E111,0))+IF(CK$5="X",VLOOKUP(CK$10,'VK-Põlevkivi'!$C:$X,2+$G111,0))+IF(CK$4="X",VLOOKUP(CK$10,'VK-Võrgud'!$C:$X,2+$F111,0)))/1000</f>
        <v>7.5876988012134206</v>
      </c>
      <c r="CL111" s="235">
        <f>(IF(CL$7="X",VLOOKUP(CL$10,'VK-Hooned-Soojus'!$C:$X,2+$C111,FALSE),0)+IF(CL$6="X",VLOOKUP(CL$10,'VK-Transport'!$C:$X,2+$B111,0))+IF(CL$8="X",VLOOKUP(CL$10,'VK-Elekter'!$C:$X,2+$D111,0))+IF(CL$9="X",VLOOKUP(CL$10,'VK-Biokütused'!$C:$U,2+$E111,0)))/1000</f>
        <v>4.2353975506064012</v>
      </c>
      <c r="CM111" s="209">
        <f>(IF(CM$7="X",VLOOKUP(CM$10,'VK-Hooned-Soojus'!$C:$X,2+$C111,FALSE),0)+IF(CM$6="X",VLOOKUP(CM$10,'VK-Transport'!$C:$X,2+$B111,0))+IF(CM$8="X",VLOOKUP(CM$10,'VK-Elekter'!$C:$X,2+$D111,0))+IF(CM$9="X",VLOOKUP(CM$10,'VK-Biokütused'!$C:$U,2+$E111,0))+IF(CM$5="X",VLOOKUP(CM$10,'VK-Põlevkivi'!$C:$X,2+$G111,0))+IF(CM$4="X",VLOOKUP(CM$10,'VK-Võrgud'!$C:$X,2+$F111,0)))/1000</f>
        <v>8.548831357090096</v>
      </c>
      <c r="CN111" s="209">
        <f>(IF(CN$7="X",VLOOKUP(CN$10,'VK-Hooned-Soojus'!$C:$X,2+$C111,FALSE),0)+IF(CN$6="X",VLOOKUP(CN$10,'VK-Transport'!$C:$X,2+$B111,0))+IF(CN$8="X",VLOOKUP(CN$10,'VK-Elekter'!$C:$X,2+$D111,0))+IF(CN$9="X",VLOOKUP(CN$10,'VK-Biokütused'!$C:$U,2+$E111,0))+IF(CN$5="X",VLOOKUP(CN$10,'VK-Põlevkivi'!$C:$X,2+$G111,0))+IF(CN$4="X",VLOOKUP(CN$10,'VK-Võrgud'!$C:$X,2+$F111,0)))/1000</f>
        <v>3.0510000000000002</v>
      </c>
      <c r="CO111" s="209">
        <f>(IF(CO$7="X",VLOOKUP(CO$10,'VK-Hooned-Soojus'!$C:$X,2+$C111,FALSE),0)+IF(CO$6="X",VLOOKUP(CO$10,'VK-Transport'!$C:$X,2+$B111,0))+IF(CO$8="X",VLOOKUP(CO$10,'VK-Elekter'!$C:$X,2+$D111,0))+IF(CO$9="X",VLOOKUP(CO$10,'VK-Biokütused'!$C:$U,2+$E111,0))+IF(CO$5="X",VLOOKUP(CO$10,'VK-Põlevkivi'!$C:$X,2+$G111,0))+IF(CO$4="X",VLOOKUP(CO$10,'VK-Võrgud'!$C:$X,2+$F111,0)))/1000</f>
        <v>22.887362337356993</v>
      </c>
      <c r="CP111" s="209">
        <f>(IF(CP$7="X",VLOOKUP(CP$10,'VK-Hooned-Soojus'!$C:$X,2+$C111,FALSE),0)+IF(CP$6="X",VLOOKUP(CP$10,'VK-Transport'!$C:$X,2+$B111,0))+IF(CP$8="X",VLOOKUP(CP$10,'VK-Elekter'!$C:$X,2+$D111,0))+IF(CP$9="X",VLOOKUP(CP$10,'VK-Biokütused'!$C:$U,2+$E111,0))+IF(CP$5="X",VLOOKUP(CP$10,'VK-Põlevkivi'!$C:$X,2+$G111,0))+IF(CP$4="X",VLOOKUP(CP$10,'VK-Võrgud'!$C:$X,2+$F111,0)))/1000</f>
        <v>7.0393921206936607</v>
      </c>
      <c r="CQ111" s="235">
        <f>(IF(CQ$7="X",VLOOKUP(CQ$10,'VK-Hooned-Soojus'!$C:$X,2+$C111,FALSE),0)+IF(CQ$6="X",VLOOKUP(CQ$10,'VK-Transport'!$C:$X,2+$B111,0))+IF(CQ$8="X",VLOOKUP(CQ$10,'VK-Elekter'!$C:$X,2+$D111,0))+IF(CQ$9="X",VLOOKUP(CQ$10,'VK-Biokütused'!$C:$U,2+$E111,0)))/1000</f>
        <v>4.9469190000000003</v>
      </c>
      <c r="CR111" s="209">
        <f>(IF(CR$7="X",VLOOKUP(CR$10,'VK-Hooned-Soojus'!$C:$X,2+$C111,FALSE),0)+IF(CR$6="X",VLOOKUP(CR$10,'VK-Transport'!$C:$X,2+$B111,0))+IF(CR$8="X",VLOOKUP(CR$10,'VK-Elekter'!$C:$X,2+$D111,0))+IF(CR$9="X",VLOOKUP(CR$10,'VK-Biokütused'!$C:$U,2+$E111,0))+IF(CR$5="X",VLOOKUP(CR$10,'VK-Põlevkivi'!$C:$X,2+$G111,0))+IF(CR$4="X",VLOOKUP(CR$10,'VK-Võrgud'!$C:$X,2+$F111,0)))/1000</f>
        <v>8.0667518373996892</v>
      </c>
      <c r="CS111" s="209">
        <f>(IF(CS$7="X",VLOOKUP(CS$10,'VK-Hooned-Soojus'!$C:$X,2+$C111,FALSE),0)+IF(CS$6="X",VLOOKUP(CS$10,'VK-Transport'!$C:$X,2+$B111,0))+IF(CS$8="X",VLOOKUP(CS$10,'VK-Elekter'!$C:$X,2+$D111,0))+IF(CS$9="X",VLOOKUP(CS$10,'VK-Biokütused'!$C:$U,2+$E111,0))+IF(CS$5="X",VLOOKUP(CS$10,'VK-Põlevkivi'!$C:$X,2+$G111,0))+IF(CS$4="X",VLOOKUP(CS$10,'VK-Võrgud'!$C:$X,2+$F111,0)))/1000</f>
        <v>3.838649509862238</v>
      </c>
      <c r="CT111" s="209">
        <f>IF(CT$7="X",VLOOKUP(CT$10,'VK-Hooned-Soojus'!$C:$X,2+$C111,FALSE),0)+IF(CT$6="X",VLOOKUP(CT$10,'VK-Transport'!$C:$X,2+$B111,0))+IF(CT$8="X",VLOOKUP(CT$10,'VK-Elekter'!$C:$X,2+$D111,0))+IF(CT$9="X",VLOOKUP(CT$10,'VK-Biokütused'!$C:$U,2+$E111,0))+IF(CT$5="X",VLOOKUP(CT$10,'VK-Põlevkivi'!$C:$X,2+$G111,0))+IF(CT$4="X",VLOOKUP(CT$10,'VK-Võrgud'!$C:$X,2+$F111,0))</f>
        <v>90</v>
      </c>
      <c r="CU111" s="209">
        <f>IF(CU$7="X",VLOOKUP(CU$10,'VK-Hooned-Soojus'!$C:$X,2+$C111,FALSE),0)+IF(CU$6="X",VLOOKUP(CU$10,'VK-Transport'!$C:$X,2+$B111,0))+IF(CU$8="X",VLOOKUP(CU$10,'VK-Elekter'!$C:$X,2+$D111,0))+IF(CU$9="X",VLOOKUP(CU$10,'VK-Biokütused'!$C:$U,2+$E111,0))+IF(CU$5="X",VLOOKUP(CU$10,'VK-Põlevkivi'!$C:$X,2+$G111,0))+IF(CU$4="X",VLOOKUP(CU$10,'VK-Võrgud'!$C:$X,2+$F111,0))</f>
        <v>0.63390170511534605</v>
      </c>
      <c r="CV111" s="209">
        <f t="shared" si="84"/>
        <v>0.72887234460741657</v>
      </c>
      <c r="CW111" s="209">
        <f>(IF(CW$7="X",VLOOKUP(CW$10,'VK-Hooned-Soojus'!$C:$X,2+$C111,FALSE),0)+IF(CW$6="X",VLOOKUP(CW$10,'VK-Transport'!$C:$X,2+$B111,0))+IF(CW$8="X",VLOOKUP(CW$10,'VK-Elekter'!$C:$X,2+$D111,0))+IF(CW$9="X",VLOOKUP(CW$10,'VK-Biokütused'!$C:$U,2+$E111,0))+IF(CW$5="X",VLOOKUP(CW$10,'VK-Põlevkivi'!$C:$X,2+$G111,0))+IF(CW$4="X",VLOOKUP(CW$10,'VK-Võrgud'!$C:$X,2+$F111,0)))/16</f>
        <v>59.743749999999999</v>
      </c>
      <c r="CY111" s="209">
        <f>(IF(CY$7="X",VLOOKUP(CY$10,'VK-Hooned-Soojus'!$C:$X,2+$C111,FALSE),0)+IF(CY$6="X",VLOOKUP(CY$10,'VK-Transport'!$C:$X,2+$B111,0))+IF(CY$8="X",VLOOKUP(CY$10,'VK-Elekter'!$C:$X,2+$D111,0))+IF(CY$9="X",VLOOKUP(CY$10,'VK-Biokütused'!$C:$U,2+$E111,0))+IF(CY$5="X",VLOOKUP(CY$10,'VK-Põlevkivi'!$C:$X,2+$G111,0))+IF(CY$4="X",VLOOKUP(CY$10,'VK-Võrgud'!$C:$X,2+$F111,0)))/1000</f>
        <v>9.9969999999999999</v>
      </c>
      <c r="CZ111" s="209">
        <f>(IF(CZ$7="X",VLOOKUP(CZ$10,'VK-Hooned-Soojus'!$C:$X,2+$C111,FALSE),0)+IF(CZ$6="X",VLOOKUP(CZ$10,'VK-Transport'!$C:$X,2+$B111,0))+IF(CZ$8="X",VLOOKUP(CZ$10,'VK-Elekter'!$C:$X,2+$D111,0))+IF(CZ$9="X",VLOOKUP(CZ$10,'VK-Biokütused'!$C:$U,2+$E111,0))+IF(CZ$5="X",VLOOKUP(CZ$10,'VK-Põlevkivi'!$C:$X,2+$G111,0))+IF(CZ$4="X",VLOOKUP(CZ$10,'VK-Võrgud'!$C:$X,2+$F111,0)))</f>
        <v>79.400000000000006</v>
      </c>
      <c r="DA111" s="209">
        <f>(IF(DA$7="X",VLOOKUP(DA$10,'VK-Hooned-Soojus'!$C:$X,2+$C111,FALSE),0)+IF(DA$6="X",VLOOKUP(DA$10,'VK-Transport'!$C:$X,2+$B111,0))+IF(DA$8="X",VLOOKUP(DA$10,'VK-Elekter'!$C:$X,2+$D111,0))+IF(DA$9="X",VLOOKUP(DA$10,'VK-Biokütused'!$C:$U,2+$E111,0))+IF(DA$5="X",VLOOKUP(DA$10,'VK-Põlevkivi'!$C:$X,2+$G111,0))+IF(DA$4="X",VLOOKUP(DA$10,'VK-Võrgud'!$C:$X,2+$F111,0)))/1000</f>
        <v>9.7100000000000009</v>
      </c>
      <c r="DB111" s="209">
        <f>(IF(DB$7="X",VLOOKUP(DB$10,'VK-Hooned-Soojus'!$C:$X,2+$C111,FALSE),0)+IF(DB$6="X",VLOOKUP(DB$10,'VK-Transport'!$C:$X,2+$B111,0))+IF(DB$8="X",VLOOKUP(DB$10,'VK-Elekter'!$C:$X,2+$D111,0))+IF(DB$9="X",VLOOKUP(DB$10,'VK-Biokütused'!$C:$U,2+$E111,0))+IF(DB$5="X",VLOOKUP(DB$10,'VK-Põlevkivi'!$C:$X,2+$G111,0))+IF(DB$4="X",VLOOKUP(DB$10,'VK-Võrgud'!$C:$X,2+$F111,0)))/1000/3.6</f>
        <v>39.171388888888885</v>
      </c>
      <c r="DC111" s="209">
        <f>(IF(DC$7="X",VLOOKUP(DC$10,'VK-Hooned-Soojus'!$C:$X,2+$C111,FALSE),0)+IF(DC$6="X",VLOOKUP(DC$10,'VK-Transport'!$C:$X,2+$B111,0))+IF(DC$8="X",VLOOKUP(DC$10,'VK-Elekter'!$C:$X,2+$D111,0))+IF(DC$9="X",VLOOKUP(DC$10,'VK-Biokütused'!$C:$U,2+$E111,0))+IF(DC$5="X",VLOOKUP(DC$10,'VK-Põlevkivi'!$C:$X,2+$G111,0))+IF(DC$4="X",VLOOKUP(DC$10,'VK-Võrgud'!$C:$X,2+$F111,0)))/1000000</f>
        <v>4.0326199999999996</v>
      </c>
      <c r="DD111" s="209"/>
      <c r="DE111" s="88">
        <f>VLOOKUP(Tulemused!$BN$12,data!M$7:N$12,2,FALSE)-SUM(L111,M111)</f>
        <v>-0.80250937302436398</v>
      </c>
      <c r="DF111" s="209" t="str">
        <f>IF(AZ111&lt;=VLOOKUP(Tulemused!$BN$15,data!$E$36:$F$39,2,FALSE),"JAH","EI")</f>
        <v>JAH</v>
      </c>
      <c r="DG111" s="209"/>
      <c r="DH111" s="209">
        <f t="shared" si="85"/>
        <v>11.370000000000001</v>
      </c>
      <c r="DI111" s="231" t="str">
        <f t="shared" si="65"/>
        <v>EI</v>
      </c>
      <c r="DK111" s="232">
        <f t="shared" si="86"/>
        <v>-990.06802220758698</v>
      </c>
      <c r="DM111" s="233">
        <f t="shared" si="87"/>
        <v>-996.92004112470147</v>
      </c>
      <c r="DN111" s="87">
        <f t="array" ref="DN111">INDEX($A$11:$A$145, SMALL(IF(DM111=$DK$11:$DK$145, MATCH(ROW($DK$11:$DK$145), ROW($DK$11:$DK$145))), SUM(--(DM111=$DM$11:DM111))))</f>
        <v>33</v>
      </c>
      <c r="DP111" s="87" t="e">
        <f t="shared" ca="1" si="66"/>
        <v>#N/A</v>
      </c>
      <c r="DQ111" s="87" t="e">
        <f t="shared" ca="1" si="67"/>
        <v>#N/A</v>
      </c>
      <c r="DR111" s="87">
        <f t="shared" ca="1" si="68"/>
        <v>0</v>
      </c>
      <c r="DS111" s="87" t="e">
        <f t="shared" ca="1" si="69"/>
        <v>#N/A</v>
      </c>
      <c r="DT111" s="87">
        <f t="shared" ca="1" si="70"/>
        <v>0</v>
      </c>
      <c r="DU111" s="87" t="e">
        <f t="shared" ca="1" si="71"/>
        <v>#N/A</v>
      </c>
      <c r="DV111" s="87" t="e">
        <f t="shared" ca="1" si="72"/>
        <v>#N/A</v>
      </c>
      <c r="DW111" s="87">
        <f t="shared" ca="1" si="73"/>
        <v>0</v>
      </c>
      <c r="DX111" s="87">
        <f t="shared" ca="1" si="74"/>
        <v>0</v>
      </c>
      <c r="DZ111" s="87">
        <f t="shared" ca="1" si="82"/>
        <v>0</v>
      </c>
      <c r="EB111" s="87">
        <f t="shared" ca="1" si="75"/>
        <v>0</v>
      </c>
      <c r="EC111" s="87" t="e">
        <f t="shared" ca="1" si="76"/>
        <v>#N/A</v>
      </c>
      <c r="EE111" s="228">
        <f>(IF(EE$7="X",VLOOKUP(EE$10,'VK-Hooned-Soojus'!$C:$X,2+$C111,FALSE),0)+IF(EE$6="X",VLOOKUP(EE$10,'VK-Transport'!$C:$X,2+$B111,0))+IF(EE$8="X",VLOOKUP(EE$10,'VK-Elekter'!$C:$X,2+$D111,0))+IF(EE$9="X",VLOOKUP(EE$10,'VK-Biokütused'!$C:$U,2+$E111,0))+IF(EE$5="X",VLOOKUP(EE$10,'VK-Põlevkivi'!$C:$X,2+$G111,0))+IF(EE$4="X",VLOOKUP(EE$10,'VK-Võrgud'!$C:$X,2+$F111,0)))</f>
        <v>7654.1628609502541</v>
      </c>
      <c r="EF111" s="235">
        <f>(IF(EF$7="X",VLOOKUP(EF$10,'VK-Hooned-Soojus'!$C:$X,2+$C111,FALSE),0)+IF(EF$6="X",VLOOKUP(EF$10,'VK-Transport'!$C:$X,2+$B111,0))+IF(EF$8="X",VLOOKUP(EF$10,'VK-Elekter'!$C:$X,2+$D111,0))+IF(EF$9="X",VLOOKUP(EF$10,'VK-Biokütused'!$C:$U,2+$E111,0)))/1000</f>
        <v>2.9928849906373198</v>
      </c>
      <c r="EG111" s="209">
        <f>(IF(EG$7="X",VLOOKUP(EG$10,'VK-Hooned-Soojus'!$C:$X,2+$C111,FALSE),0)+IF(EG$6="X",VLOOKUP(EG$10,'VK-Transport'!$C:$X,2+$B111,0))+IF(EG$8="X",VLOOKUP(EG$10,'VK-Elekter'!$C:$X,2+$D111,0))+IF(EG$9="X",VLOOKUP(EG$10,'VK-Biokütused'!$C:$U,2+$E111,0))+IF(EG$5="X",VLOOKUP(EG$10,'VK-Põlevkivi'!$C:$X,2+$G111,0))+IF(EG$4="X",VLOOKUP(EG$10,'VK-Võrgud'!$C:$X,2+$F111,0)))</f>
        <v>0.81</v>
      </c>
      <c r="EH111" s="209">
        <f>(IF(EH$7="X",VLOOKUP(EH$10,'VK-Hooned-Soojus'!$C:$X,2+$C111,FALSE),0)+IF(EH$6="X",VLOOKUP(EH$10,'VK-Transport'!$C:$X,2+$B111,0))+IF(EH$8="X",VLOOKUP(EH$10,'VK-Elekter'!$C:$X,2+$D111,0))+IF(EH$9="X",VLOOKUP(EH$10,'VK-Biokütused'!$C:$U,2+$E111,0)))+AR111+AS111+AU111+AX111</f>
        <v>41.985404480632248</v>
      </c>
      <c r="EI111" s="320">
        <f t="shared" si="88"/>
        <v>41.966388888888886</v>
      </c>
      <c r="EJ111" s="322">
        <f t="shared" si="89"/>
        <v>2.3132392489112068E-2</v>
      </c>
      <c r="EK111" s="323">
        <f t="shared" si="77"/>
        <v>0.538709820713835</v>
      </c>
      <c r="EM111" s="209"/>
      <c r="EN111" s="209">
        <f t="shared" ca="1" si="90"/>
        <v>0</v>
      </c>
      <c r="EO111" s="209"/>
      <c r="EP111" s="234"/>
      <c r="EQ111" s="209">
        <f>(IF(EQ$7="X",VLOOKUP(EQ$10,'VK-Hooned-Soojus'!$C:$X,2+$C111,FALSE),0)+IF(EQ$6="X",VLOOKUP(EQ$10,'VK-Transport'!$C:$X,2+$B111,0))+IF(EQ$8="X",VLOOKUP(EQ$10,'VK-Elekter'!$C:$X,2+$D111,0))+IF(EQ$9="X",VLOOKUP(EQ$10,'VK-Biokütused'!$C:$U,2+$E111,0))+IF(EQ$5="X",VLOOKUP(EQ$10,'VK-Põlevkivi'!$C:$X,2+$G111,0))+IF(EQ$4="X",VLOOKUP(EQ$10,'VK-Võrgud'!$C:$X,2+$F111,0)))/1000</f>
        <v>0.22900000000000001</v>
      </c>
      <c r="ER111" s="209">
        <f>(IF(ER$7="X",VLOOKUP(ER$10,'VK-Hooned-Soojus'!$C:$X,2+$C111,FALSE),0)+IF(ER$6="X",VLOOKUP(ER$10,'VK-Transport'!$C:$X,2+$B111,0))+IF(ER$8="X",VLOOKUP(ER$10,'VK-Elekter'!$C:$X,2+$D111,0))+IF(ER$9="X",VLOOKUP(ER$10,'VK-Biokütused'!$C:$U,2+$E111,0))+IF(ER$5="X",VLOOKUP(ER$10,'VK-Põlevkivi'!$C:$X,2+$G111,0))+IF(ER$4="X",VLOOKUP(ER$10,'VK-Võrgud'!$C:$X,2+$F111,0)))</f>
        <v>0.82899999999999996</v>
      </c>
      <c r="ES111" s="209">
        <f>(IF(ES$7="X",VLOOKUP(ES$10,'VK-Hooned-Soojus'!$C:$X,2+$C111,FALSE),0)+IF(ES$6="X",VLOOKUP(ES$10,'VK-Transport'!$C:$X,2+$B111,0))+IF(ES$8="X",VLOOKUP(ES$10,'VK-Elekter'!$C:$X,2+$D111,0))+IF(ES$9="X",VLOOKUP(ES$10,'VK-Biokütused'!$C:$U,2+$E111,0))+IF(ES$5="X",VLOOKUP(ES$10,'VK-Põlevkivi'!$C:$X,2+$G111,0))+IF(ES$4="X",VLOOKUP(ES$10,'VK-Võrgud'!$C:$X,2+$F111,0)))</f>
        <v>11.370000000000001</v>
      </c>
      <c r="ET111" s="209"/>
      <c r="EU111" s="209"/>
      <c r="EV111" s="87">
        <f>'KSH järjestus'!AS104</f>
        <v>1260</v>
      </c>
      <c r="EZ111" s="237">
        <f t="shared" si="91"/>
        <v>0.36609829488465395</v>
      </c>
      <c r="FA111" s="209">
        <f>IF(FA$7="X",VLOOKUP(FA$10,'VK-Hooned-Soojus'!$C:$X,2+$C111,FALSE),0)+IF(FA$6="X",VLOOKUP(FA$10,'VK-Transport'!$C:$X,2+$B111,0))+IF(FA$8="X",VLOOKUP(FA$10,'VK-Elekter'!$C:$X,2+$D111,0))+IF(FA$9="X",VLOOKUP(FA$10,'VK-Biokütused'!$C:$U,2+$E111,0))+IF(FA$5="X",VLOOKUP(FA$10,'VK-Põlevkivi'!$C:$X,2+$G111,0))+IF(FA$4="X",VLOOKUP(FA$10,'VK-Võrgud'!$C:$X,2+$F111,0))</f>
        <v>3026.9189999999999</v>
      </c>
      <c r="FB111" s="279">
        <f>(IF(FB$7="X",VLOOKUP(FB$10,'VK-Hooned-Soojus'!$C:$X,2+$C111,FALSE),0)+IF(FB$6="X",VLOOKUP(FB$10,'VK-Transport'!$C:$X,2+$B111,0))+IF(FB$8="X",VLOOKUP(FB$10,'VK-Elekter'!$C:$X,2+$D111,0))+IF(FB$9="X",VLOOKUP(FB$10,'VK-Biokütused'!$C:$U,2+$E111,0))+IF(FB$5="X",VLOOKUP(FB$10,'VK-Põlevkivi'!$C:$X,2+$G111,0))+IF(FB$4="X",VLOOKUP(FB$10,'VK-Võrgud'!$C:$X,2+$F111,0)))/16</f>
        <v>426.1187393509548</v>
      </c>
      <c r="FC111" s="209">
        <f>IF(FC$7="X",VLOOKUP(FC$10,'VK-Hooned-Soojus'!$C:$X,2+$C111,FALSE),0)+IF(FC$6="X",VLOOKUP(FC$10,'VK-Transport'!$C:$X,2+$B111,0))+IF(FC$8="X",VLOOKUP(FC$10,'VK-Elekter'!$C:$X,2+$D111,0))+IF(FC$9="X",VLOOKUP(FC$10,'VK-Biokütused'!$C:$U,2+$E111,0))+IF(FC$5="X",VLOOKUP(FC$10,'VK-Põlevkivi'!$C:$X,2+$G111,0))+IF(FC$4="X",VLOOKUP(FC$10,'VK-Võrgud'!$C:$X,2+$F111,0))</f>
        <v>315.59999999999997</v>
      </c>
      <c r="FD111" s="209">
        <f>(IF(FD$7="X",VLOOKUP(FD$10,'VK-Hooned-Soojus'!$C:$X,2+$C111,FALSE),0)+IF(FD$6="X",VLOOKUP(FD$10,'VK-Transport'!$C:$X,2+$B111,0))+IF(FD$8="X",VLOOKUP(FD$10,'VK-Elekter'!$C:$X,2+$D111,0))+IF(FD$9="X",VLOOKUP(FD$10,'VK-Biokütused'!$C:$U,2+$E111,0))+IF(FD$5="X",VLOOKUP(FD$10,'VK-Põlevkivi'!$C:$X,2+$G111,0))+IF(FD$4="X",VLOOKUP(FD$10,'VK-Võrgud'!$C:$X,2+$F111,0)))/16</f>
        <v>426.1187393509548</v>
      </c>
      <c r="FE111" s="209">
        <f>(IF(FE$7="X",VLOOKUP(FE$10,'VK-Hooned-Soojus'!$C:$X,2+$C111,FALSE),0)+IF(FE$6="X",VLOOKUP(FE$10,'VK-Transport'!$C:$X,2+$B111,0))+IF(FE$8="X",VLOOKUP(FE$10,'VK-Elekter'!$C:$X,2+$D111,0))+IF(FE$9="X",VLOOKUP(FE$10,'VK-Biokütused'!$C:$U,2+$E111,0))+IF(FE$5="X",VLOOKUP(FE$10,'VK-Põlevkivi'!$C:$X,2+$G111,0))+IF(FE$4="X",VLOOKUP(FE$10,'VK-Võrgud'!$C:$X,2+$F111,0)))/16</f>
        <v>-55.7707198806321</v>
      </c>
      <c r="FF111" s="209">
        <f>(IF(FF$7="X",VLOOKUP(FF$10,'VK-Hooned-Soojus'!$C:$X,2+$C111,FALSE),0)+IF(FF$6="X",VLOOKUP(FF$10,'VK-Transport'!$C:$X,2+$B111,0))+IF(FF$8="X",VLOOKUP(FF$10,'VK-Elekter'!$C:$X,2+$D111,0))+IF(FF$9="X",VLOOKUP(FF$10,'VK-Biokütused'!$C:$U,2+$E111,0))+IF(FF$5="X",VLOOKUP(FF$10,'VK-Põlevkivi'!$C:$X,2+$G111,0))+IF(FF$4="X",VLOOKUP(FF$10,'VK-Võrgud'!$C:$X,2+$F111,0)))/16</f>
        <v>185.55150755677948</v>
      </c>
      <c r="FG111" s="88">
        <f t="shared" ca="1" si="78"/>
        <v>129.78078767614738</v>
      </c>
      <c r="FH111" s="88"/>
      <c r="FI111" s="88"/>
      <c r="FJ111" s="88">
        <f>VLOOKUP(Tulemused!$BN$12,data!M$7:N$12,2,FALSE)-SUM(L111,M111)</f>
        <v>-0.80250937302436398</v>
      </c>
      <c r="FK111" s="209" t="str">
        <f>IF(AZ111&lt;=VLOOKUP(Tulemused!$BN$15,data!$E$36:$F$39,2,FALSE),"JAH","EI")</f>
        <v>JAH</v>
      </c>
      <c r="FL111" s="235">
        <f ca="1">IF(ISNA(MATCH($A111,INDIRECT(VLOOKUP(Tulemused!$BF$11,data!$J$57:$M$71,4,FALSE)))),0,MATCH($A111,INDIRECT(VLOOKUP(Tulemused!$BF$11,data!$J$57:$M$71,4,FALSE))))</f>
        <v>0</v>
      </c>
      <c r="FM111" s="235" t="str">
        <f t="shared" ca="1" si="92"/>
        <v>JAH</v>
      </c>
      <c r="FN111" s="209">
        <f>VLOOKUP(Tulemused!$BN$13,data!$C$132:$D$137,2,FALSE)-KOMBI!R111</f>
        <v>4.5255850093626808</v>
      </c>
      <c r="FO111" s="209"/>
      <c r="FP111" s="209">
        <f>VLOOKUP(Tulemused!$BN$17,NO_x,2,FALSE)-CJ111</f>
        <v>11.787278206757183</v>
      </c>
      <c r="FQ111" s="209">
        <f>VLOOKUP(Tulemused!$BN$18,SO_2,2,FALSE)-CK111</f>
        <v>44.29630119878658</v>
      </c>
      <c r="FR111" s="209">
        <f>VLOOKUP(Tulemused!$BN$19,LOU,2,FALSE)-CN111</f>
        <v>34.029000000000003</v>
      </c>
      <c r="FS111" s="209">
        <f>VLOOKUP(Tulemused!$BN$20,PM_2.5,2,FALSE)-CM111</f>
        <v>8.3661686429099031</v>
      </c>
      <c r="FT111" s="209">
        <f>VLOOKUP(Tulemused!$BN$13,data!$C$132:$D$137,2,FALSE)-FA111/1000</f>
        <v>3.2190510000000008</v>
      </c>
      <c r="FU111" s="209">
        <f>VLOOKUP(Tulemused!$BN$17,NO_x,2,FALSE)-CO111</f>
        <v>6.5506376626430054</v>
      </c>
      <c r="FV111" s="209">
        <f>VLOOKUP(Tulemused!$BN$18,SO_2,2,FALSE)-CP111</f>
        <v>44.844607879306338</v>
      </c>
      <c r="FW111" s="209">
        <f>VLOOKUP(Tulemused!$BN$19,LOU,2,FALSE)-CS111</f>
        <v>33.241350490137769</v>
      </c>
      <c r="FX111" s="209">
        <f>VLOOKUP(Tulemused!$BN$20,PM_2.5,2,FALSE)-CR111</f>
        <v>8.84824816260031</v>
      </c>
      <c r="FY111" s="209">
        <f>VLOOKUP(Tulemused!$BN$14,KHG_2050,2,FALSE)-EF111</f>
        <v>97.007115009362678</v>
      </c>
      <c r="FZ111" s="231" t="str">
        <f t="shared" ca="1" si="79"/>
        <v>EI</v>
      </c>
      <c r="GA111" s="209"/>
      <c r="GB111" s="209"/>
      <c r="GC111" s="209"/>
      <c r="GD111" s="231"/>
      <c r="GE111" s="87">
        <f t="shared" si="93"/>
        <v>1260</v>
      </c>
      <c r="GF111" s="232" t="str">
        <f t="shared" ca="1" si="80"/>
        <v/>
      </c>
      <c r="GH111" s="238" t="e">
        <f t="shared" ca="1" si="94"/>
        <v>#NUM!</v>
      </c>
      <c r="GI111" s="87" t="e">
        <f t="array" aca="1" ref="GI111" ca="1">INDEX($A$11:$A$145, SMALL(IF(GH111=$GF$11:$GF$145, MATCH(ROW($GF$11:$GF$145), ROW($GF$11:$GF$145))), SUM(--(GH111=$GH$11:GH111))))</f>
        <v>#NUM!</v>
      </c>
      <c r="GM111" s="209">
        <f>IF(GM$7="X",VLOOKUP(GM$10,'VK-Hooned-Soojus'!$C:$X,2+$C111,FALSE),0)+IF(GM$6="X",VLOOKUP(GM$10,'VK-Transport'!$C:$X,2+$B111,0))+IF(GM$8="X",VLOOKUP(GM$10,'VK-Elekter'!$C:$X,2+$D111,0))+IF(GM$9="X",VLOOKUP(GM$10,'VK-Biokütused'!$C:$U,2+$E111,0))+IF(GM$5="X",VLOOKUP(GM$10,'VK-Põlevkivi'!$C:$X,2+$G111,0))+IF(GM$4="X",VLOOKUP(GM$10,'VK-Võrgud'!$C:$X,2+$F111,0))</f>
        <v>0</v>
      </c>
      <c r="GN111" s="209">
        <f>IF(GN$7="X",VLOOKUP(GN$10,'VK-Hooned-Soojus'!$C:$X,2+$C111,FALSE),0)+IF(GN$6="X",VLOOKUP(GN$10,'VK-Transport'!$C:$X,2+$B111,0))+IF(GN$8="X",VLOOKUP(GN$10,'VK-Elekter'!$C:$X,2+$D111,0))+IF(GN$9="X",VLOOKUP(GN$10,'VK-Biokütused'!$C:$U,2+$E111,0))+IF(GN$5="X",VLOOKUP(GN$10,'VK-Põlevkivi'!$C:$X,2+$G111,0))+IF(GN$4="X",VLOOKUP(GN$10,'VK-Võrgud'!$C:$X,2+$F111,0))</f>
        <v>7.5434676424145266</v>
      </c>
      <c r="GO111" s="209">
        <f>IF(GO$7="X",VLOOKUP(GO$10,'VK-Hooned-Soojus'!$C:$X,2+$C111,FALSE),0)+IF(GO$6="X",VLOOKUP(GO$10,'VK-Transport'!$C:$X,2+$B111,0))+IF(GO$8="X",VLOOKUP(GO$10,'VK-Elekter'!$C:$X,2+$D111,0))+IF(GO$9="X",VLOOKUP(GO$10,'VK-Biokütused'!$C:$U,2+$E111,0))+IF(GO$5="X",VLOOKUP(GO$10,'VK-Põlevkivi'!$C:$X,2+$G111,0))+IF(GO$4="X",VLOOKUP(GO$10,'VK-Võrgud'!$C:$X,2+$F111,0))</f>
        <v>8.7471755658278116</v>
      </c>
      <c r="GP111" s="209">
        <f>IF(GP$7="X",VLOOKUP(GP$10,'VK-Hooned-Soojus'!$C:$X,2+$C111,FALSE),0)+IF(GP$6="X",VLOOKUP(GP$10,'VK-Transport'!$C:$X,2+$B111,0))+IF(GP$8="X",VLOOKUP(GP$10,'VK-Elekter'!$C:$X,2+$D111,0))+IF(GP$9="X",VLOOKUP(GP$10,'VK-Biokütused'!$C:$U,2+$E111,0))+IF(GP$5="X",VLOOKUP(GP$10,'VK-Põlevkivi'!$C:$X,2+$G111,0))+IF(GP$4="X",VLOOKUP(GP$10,'VK-Võrgud'!$C:$X,2+$F111,0))</f>
        <v>9.3279335818485372</v>
      </c>
      <c r="GQ111" s="88">
        <f>IF(GQ$7="X",VLOOKUP(GQ$10,'VK-Hooned-Soojus'!$C:$X,2+$C111,FALSE),0)+IF(GQ$6="X",VLOOKUP(GQ$10,'VK-Transport'!$C:$X,2+$B111,0))+IF(GQ$8="X",VLOOKUP(GQ$10,'VK-Elekter'!$C:$X,2+$D111,0))+IF(GQ$9="X",VLOOKUP(GQ$10,'VK-Biokütused'!$C:$U,2+$E111,0))+IF(GQ$5="X",VLOOKUP(GQ$10,'VK-Põlevkivi'!$C:$X,2+$G111,0))+IF(GQ$4="X",VLOOKUP(GQ$10,'VK-Võrgud'!$C:$X,2+$F111,0))</f>
        <v>0.89042766952822527</v>
      </c>
      <c r="GR111" s="186">
        <f t="shared" si="81"/>
        <v>0.52807092382614873</v>
      </c>
    </row>
    <row r="112" spans="1:200" x14ac:dyDescent="0.2">
      <c r="A112" s="184">
        <v>102</v>
      </c>
      <c r="B112" s="87">
        <v>3</v>
      </c>
      <c r="C112" s="87">
        <v>1</v>
      </c>
      <c r="D112" s="87">
        <v>4</v>
      </c>
      <c r="E112" s="87">
        <v>3</v>
      </c>
      <c r="F112" s="87">
        <f>VLOOKUP(Tulemused!$BF$7,data!$J$6:$K$8,2,FALSE)</f>
        <v>2</v>
      </c>
      <c r="G112" s="87">
        <f>VLOOKUP(data!$H$2,data!$J$12:$K$14,2,FALSE)</f>
        <v>2</v>
      </c>
      <c r="I112" s="209">
        <f>IF(I$7="X",VLOOKUP(I$10,'VK-Hooned-Soojus'!$C:$X,2+$C112,FALSE),0)+IF(I$6="X",VLOOKUP(I$10,'VK-Transport'!$C:$X,2+$B112,0))+IF(I$8="X",VLOOKUP(I$10,'VK-Elekter'!$C:$X,2+$D112,0))+IF(I$9="X",VLOOKUP(I$10,'VK-Biokütused'!$C:$U,2+$E112,0))+IF(I$5="X",VLOOKUP(I$10,'VK-Põlevkivi'!$C:$X,2+$G112,0))+IF(I$4="X",VLOOKUP(I$10,'VK-Võrgud'!$C:$X,2+$F112,0))</f>
        <v>26.89</v>
      </c>
      <c r="J112" s="209">
        <f>IF(J$7="X",VLOOKUP(J$10,'VK-Hooned-Soojus'!$C:$X,2+$C112,FALSE),0)+IF(J$6="X",VLOOKUP(J$10,'VK-Transport'!$C:$X,2+$B112,0))+IF(J$8="X",VLOOKUP(J$10,'VK-Elekter'!$C:$X,2+$D112,0))+IF(J$9="X",VLOOKUP(J$10,'VK-Biokütused'!$C:$U,2+$E112,0))+IF(J$5="X",VLOOKUP(J$10,'VK-Põlevkivi'!$C:$X,2+$G112,0))+IF(J$4="X",VLOOKUP(J$10,'VK-Võrgud'!$C:$X,2+$F112,0))</f>
        <v>8.1258333333333344</v>
      </c>
      <c r="K112" s="209">
        <f>IF(K$7="X",VLOOKUP(K$10,'VK-Hooned-Soojus'!$C:$X,2+$C112,FALSE),0)+IF(K$6="X",VLOOKUP(K$10,'VK-Transport'!$C:$X,2+$B112,0))+IF(K$8="X",VLOOKUP(K$10,'VK-Elekter'!$C:$X,2+$D112,0))+IF(K$9="X",VLOOKUP(K$10,'VK-Biokütused'!$C:$U,2+$E112,0))+IF(K$5="X",VLOOKUP(K$10,'VK-Põlevkivi'!$C:$X,2+$G112,0))+IF(K$4="X",VLOOKUP(K$10,'VK-Võrgud'!$C:$X,2+$F112,0))</f>
        <v>16.75</v>
      </c>
      <c r="L112" s="209">
        <f>IF(L$7="X",VLOOKUP(L$10,'VK-Hooned-Soojus'!$C:$X,2+$C112,FALSE),0)+IF(L$6="X",VLOOKUP(L$10,'VK-Transport'!$C:$X,2+$B112,0))+IF(L$8="X",VLOOKUP(L$10,'VK-Elekter'!$C:$X,2+$D112,0))+IF(L$9="X",VLOOKUP(L$10,'VK-Biokütused'!$C:$U,2+$E112,0))+IF(L$5="X",VLOOKUP(L$10,'VK-Põlevkivi'!$C:$X,2+$G112,0))+IF(L$4="X",VLOOKUP(L$10,'VK-Võrgud'!$C:$X,2+$F112,0))</f>
        <v>24.95</v>
      </c>
      <c r="M112" s="209">
        <f>IF(M$7="X",VLOOKUP(M$10,'VK-Hooned-Soojus'!$C:$X,2+$C112,FALSE),0)+IF(M$6="X",VLOOKUP(M$10,'VK-Transport'!$C:$X,2+$B112,0))+IF(M$8="X",VLOOKUP(M$10,'VK-Elekter'!$C:$X,2+$D112,0))+IF(M$9="X",VLOOKUP(M$10,'VK-Biokütused'!$C:$U,2+$E112,0))+IF(M$5="X",VLOOKUP(M$10,'VK-Põlevkivi'!$C:$X,2+$G112,0))+IF(M$4="X",VLOOKUP(M$10,'VK-Võrgud'!$C:$X,2+$F112,0))</f>
        <v>8.68530937302436</v>
      </c>
      <c r="N112" s="209">
        <f>IF(N$7="X",VLOOKUP(N$10,'VK-Hooned-Soojus'!$C:$X,2+$C112,FALSE),0)+IF(N$6="X",VLOOKUP(N$10,'VK-Transport'!$C:$X,2+$B112,0))+IF(N$8="X",VLOOKUP(N$10,'VK-Elekter'!$C:$X,2+$D112,0))+IF(N$9="X",VLOOKUP(N$10,'VK-Biokütused'!$C:$U,2+$E112,0))+IF(N$5="X",VLOOKUP(N$10,'VK-Põlevkivi'!$C:$X,2+$G112,0))+IF(N$4="X",VLOOKUP(N$10,'VK-Võrgud'!$C:$X,2+$F112,0))</f>
        <v>16.75</v>
      </c>
      <c r="O112" s="209">
        <f t="shared" si="60"/>
        <v>35.015833333333333</v>
      </c>
      <c r="P112" s="209"/>
      <c r="Q112" s="209">
        <f>(IF(Q$7="X",VLOOKUP(Q$10,'VK-Hooned-Soojus'!$C:$X,2+$C112,FALSE),0)+IF(Q$6="X",VLOOKUP(Q$10,'VK-Transport'!$C:$X,2+$B112,0))+IF(Q$8="X",VLOOKUP(Q$10,'VK-Elekter'!$C:$X,2+$D112,0))+IF(Q$9="X",VLOOKUP(Q$10,'VK-Biokütused'!$C:$U,2+$E112,0))+IF(Q$5="X",VLOOKUP(Q$10,'VK-Põlevkivi'!$C:$X,2+$G112,0))+IF(Q$4="X",VLOOKUP(Q$10,'VK-Võrgud'!$C:$X,2+$F112,0)))/1000</f>
        <v>1.6020000000000001</v>
      </c>
      <c r="R112" s="209">
        <f>(IF(R$7="X",VLOOKUP(R$10,'VK-Hooned-Soojus'!$C:$X,2+$C112,FALSE),0)+IF(R$6="X",VLOOKUP(R$10,'VK-Transport'!$C:$X,2+$B112,0))+IF(R$8="X",VLOOKUP(R$10,'VK-Elekter'!$C:$X,2+$D112,0))+IF(R$9="X",VLOOKUP(R$10,'VK-Biokütused'!$C:$U,2+$E112,0))+IF(R$5="X",VLOOKUP(R$10,'VK-Põlevkivi'!$C:$X,2+$G112,0))+IF(R$4="X",VLOOKUP(R$10,'VK-Võrgud'!$C:$X,2+$F112,0)))/1000</f>
        <v>1.92908499063732</v>
      </c>
      <c r="S112" s="226">
        <f>VLOOKUP(S$10,'VK-Hooned-Soojus'!$C:$I,2+$C112,FALSE) + VLOOKUP(S$10,'VK-Transport'!$C:$I,2+$B112,FALSE)+ VLOOKUP(S$10,'VK-Biokütused'!$C:$G,2+$E112,FALSE)+ VLOOKUP(S$10,'VK-Elekter'!$C:$I,2+$D112,FALSE)+ VLOOKUP(S$10,'VK-Põlevkivi'!$C:$I,2+$G112,FALSE)+ VLOOKUP(S$10,'VK-Võrgud'!$C:$I,2+$F112,FALSE)</f>
        <v>2.1197126609863542E-2</v>
      </c>
      <c r="T112" s="226">
        <f>VLOOKUP(T$10,'VK-Hooned-Soojus'!$C:$I,2+$C112,FALSE) + VLOOKUP(T$10,'VK-Transport'!$C:$I,2+$B112,FALSE)+ VLOOKUP(T$10,'VK-Biokütused'!$C:$G,2+$E112,FALSE)+ VLOOKUP(T$10,'VK-Elekter'!$C:$I,2+$D112,FALSE)+ VLOOKUP(T$10,'VK-Põlevkivi'!$C:$I,2+$G112,FALSE)+ VLOOKUP(T$10,'VK-Võrgud'!$C:$I,2+$F112,FALSE)</f>
        <v>4.9019286581965145E-3</v>
      </c>
      <c r="U112" s="226">
        <f>VLOOKUP(U$10,'VK-Hooned-Soojus'!$C:$I,2+$C112,FALSE) + VLOOKUP(U$10,'VK-Transport'!$C:$I,2+$B112,FALSE)+ VLOOKUP(U$10,'VK-Biokütused'!$C:$G,2+$E112,FALSE)+ VLOOKUP(U$10,'VK-Elekter'!$C:$I,2+$D112,FALSE)+ VLOOKUP(U$10,'VK-Põlevkivi'!$C:$I,2+$G112,FALSE)+ VLOOKUP(U$10,'VK-Võrgud'!$C:$I,2+$F112,FALSE)</f>
        <v>7.6977602914760912E-3</v>
      </c>
      <c r="V112" s="226">
        <f>VLOOKUP(V$10,'VK-Hooned-Soojus'!$C:$I,2+$C112,FALSE) + VLOOKUP(V$10,'VK-Transport'!$C:$I,2+$B112,FALSE)+ VLOOKUP(V$10,'VK-Biokütused'!$C:$G,2+$E112,FALSE)+ VLOOKUP(V$10,'VK-Elekter'!$C:$I,2+$D112,FALSE)+ VLOOKUP(V$10,'VK-Põlevkivi'!$C:$I,2+$G112,FALSE)+ VLOOKUP(V$10,'VK-Võrgud'!$C:$I,2+$F112,FALSE)</f>
        <v>1.367330439559177E-2</v>
      </c>
      <c r="W112" s="226">
        <f>VLOOKUP(W$10,'VK-Hooned-Soojus'!$C:$I,2+$C112,FALSE) + VLOOKUP(W$10,'VK-Transport'!$C:$I,2+$B112,FALSE)+ VLOOKUP(W$10,'VK-Biokütused'!$C:$G,2+$E112,FALSE)+ VLOOKUP(W$10,'VK-Elekter'!$C:$I,2+$D112,FALSE)+ VLOOKUP(W$10,'VK-Põlevkivi'!$C:$I,2+$G112,FALSE)+ VLOOKUP(W$10,'VK-Võrgud'!$C:$I,2+$F112,FALSE)</f>
        <v>-4.3518187126664193E-2</v>
      </c>
      <c r="X112" s="226">
        <f>VLOOKUP(X$10,'VK-Hooned-Soojus'!$C:$I,2+$C112,FALSE) + VLOOKUP(X$10,'VK-Transport'!$C:$I,2+$B112,FALSE)+ VLOOKUP(X$10,'VK-Biokütused'!$C:$G,2+$E112,FALSE)+ VLOOKUP(X$10,'VK-Elekter'!$C:$I,2+$D112,FALSE)+ VLOOKUP(X$10,'VK-Põlevkivi'!$C:$I,2+$G112,FALSE)+ VLOOKUP(X$10,'VK-Võrgud'!$C:$I,2+$F112,FALSE)</f>
        <v>-0.17839437772335706</v>
      </c>
      <c r="Y112" s="226">
        <f>VLOOKUP(Y$10,'VK-Hooned-Soojus'!$C:$I,2+$C112,FALSE) + VLOOKUP(Y$10,'VK-Transport'!$C:$I,2+$B112,FALSE)+ VLOOKUP(Y$10,'VK-Biokütused'!$C:$G,2+$E112,FALSE)+ VLOOKUP(Y$10,'VK-Elekter'!$C:$I,2+$D112,FALSE)+ VLOOKUP(Y$10,'VK-Põlevkivi'!$C:$I,2+$G112,FALSE)+ VLOOKUP(Y$10,'VK-Võrgud'!$C:$I,2+$F112,FALSE)</f>
        <v>-9.6303438758401763E-2</v>
      </c>
      <c r="Z112" s="227">
        <f>(S112*Tulemused!$Q$9*10+T112*Tulemused!$Q$10*10+KOMBI!U112*Tulemused!$Q$11*10+KOMBI!V112*Tulemused!$Q$12*10)*Tulemused!$Q$8+-(W112*Tulemused!$Q$14*10+KOMBI!X112*Tulemused!$Q$15*10+KOMBI!Y112*Tulemused!$Q$16*10)*Tulemused!$Q$13</f>
        <v>10.837077514654538</v>
      </c>
      <c r="AA112" s="228">
        <f>(IF(AA$7="X",VLOOKUP(AA$10,'VK-Hooned-Soojus'!$C:$X,2+$C112,FALSE),0)+IF(AA$6="X",VLOOKUP(AA$10,'VK-Transport'!$C:$X,2+$B112,0))+IF(AA$8="X",VLOOKUP(AA$10,'VK-Elekter'!$C:$X,2+$D112,0))+IF(AA$9="X",VLOOKUP(AA$10,'VK-Biokütused'!$C:$U,2+$E112,0))+IF(AA$5="X",VLOOKUP(AA$10,'VK-Põlevkivi'!$C:$X,2+$G112,0))+IF(AA$4="X",VLOOKUP(AA$10,'VK-Võrgud'!$C:$X,2+$F112,0)))</f>
        <v>0</v>
      </c>
      <c r="AB112" s="228">
        <f>(IF(AB$7="X",VLOOKUP(AB$10,'VK-Hooned-Soojus'!$C:$X,2+$C112,FALSE),0)+IF(AB$6="X",VLOOKUP(AB$10,'VK-Transport'!$C:$X,2+$B112,0))+IF(AB$8="X",VLOOKUP(AB$10,'VK-Elekter'!$C:$X,2+$D112,0))+IF(AB$9="X",VLOOKUP(AB$10,'VK-Biokütused'!$C:$U,2+$E112,0))+IF(AB$5="X",VLOOKUP(AB$10,'VK-Põlevkivi'!$C:$X,2+$G112,0))+IF(AB$4="X",VLOOKUP(AB$10,'VK-Võrgud'!$C:$X,2+$F112,0)))</f>
        <v>1602</v>
      </c>
      <c r="AC112" s="228">
        <f>(IF(AC$7="X",VLOOKUP(AC$10,'VK-Hooned-Soojus'!$C:$X,2+$C112,FALSE),0)+IF(AC$6="X",VLOOKUP(AC$10,'VK-Transport'!$C:$X,2+$B112,0))+IF(AC$8="X",VLOOKUP(AC$10,'VK-Elekter'!$C:$X,2+$D112,0))+IF(AC$9="X",VLOOKUP(AC$10,'VK-Biokütused'!$C:$U,2+$E112,0))+IF(AC$5="X",VLOOKUP(AC$10,'VK-Põlevkivi'!$C:$X,2+$G112,0))+IF(AC$4="X",VLOOKUP(AC$10,'VK-Võrgud'!$C:$X,2+$F112,0)))</f>
        <v>2346</v>
      </c>
      <c r="AD112" s="228">
        <f>(IF(AD$7="X",VLOOKUP(AD$10,'VK-Hooned-Soojus'!$C:$X,2+$C112,FALSE),0)+IF(AD$6="X",VLOOKUP(AD$10,'VK-Transport'!$C:$X,2+$B112,0))+IF(AD$8="X",VLOOKUP(AD$10,'VK-Elekter'!$C:$X,2+$D112,0))+IF(AD$9="X",VLOOKUP(AD$10,'VK-Biokütused'!$C:$U,2+$E112,0))+IF(AD$5="X",VLOOKUP(AD$10,'VK-Põlevkivi'!$C:$X,2+$G112,0))+IF(AD$4="X",VLOOKUP(AD$10,'VK-Võrgud'!$C:$X,2+$F112,0)))</f>
        <v>586.20000000000005</v>
      </c>
      <c r="AE112" s="228">
        <f>(IF(AE$7="X",VLOOKUP(AE$10,'VK-Hooned-Soojus'!$C:$X,2+$C112,FALSE),0)+IF(AE$6="X",VLOOKUP(AE$10,'VK-Transport'!$C:$X,2+$B112,0))+IF(AE$8="X",VLOOKUP(AE$10,'VK-Elekter'!$C:$X,2+$D112,0))+IF(AE$9="X",VLOOKUP(AE$10,'VK-Biokütused'!$C:$U,2+$E112,0))+IF(AE$5="X",VLOOKUP(AE$10,'VK-Põlevkivi'!$C:$X,2+$G112,0))+IF(AE$4="X",VLOOKUP(AE$10,'VK-Võrgud'!$C:$X,2+$F112,0)))</f>
        <v>812</v>
      </c>
      <c r="AF112" s="228">
        <f>(IF(AF$7="X",VLOOKUP(AF$10,'VK-Hooned-Soojus'!$C:$X,2+$C112,FALSE),0)+IF(AF$6="X",VLOOKUP(AF$10,'VK-Transport'!$C:$X,2+$B112,0))+IF(AF$8="X",VLOOKUP(AF$10,'VK-Elekter'!$C:$X,2+$D112,0))+IF(AF$9="X",VLOOKUP(AF$10,'VK-Biokütused'!$C:$U,2+$E112,0))+IF(AF$5="X",VLOOKUP(AF$10,'VK-Põlevkivi'!$C:$X,2+$G112,0))+IF(AF$4="X",VLOOKUP(AF$10,'VK-Võrgud'!$C:$X,2+$F112,0)))</f>
        <v>530.88499063732002</v>
      </c>
      <c r="AG112" s="209"/>
      <c r="AH112" s="209">
        <f>IF(AH$7="X",VLOOKUP(AH$10,'VK-Hooned-Soojus'!$C:$X,2+$C112,FALSE),0)+IF(AH$6="X",VLOOKUP(AH$10,'VK-Transport'!$C:$X,2+$B112,0))+IF(AH$8="X",VLOOKUP(AH$10,'VK-Elekter'!$C:$X,2+$D112,0))+IF(AH$9="X",VLOOKUP(AH$10,'VK-Biokütused'!$C:$U,2+$E112,0))+IF(AH$5="X",VLOOKUP(AH$10,'VK-Põlevkivi'!$C:$X,2+$G112,0))+IF(AH$4="X",VLOOKUP(AH$10,'VK-Võrgud'!$C:$X,2+$F112,0))</f>
        <v>0</v>
      </c>
      <c r="AI112" s="209">
        <f>IF(AI$7="X",VLOOKUP(AI$10,'VK-Hooned-Soojus'!$C:$X,2+$C112,FALSE),0)+IF(AI$6="X",VLOOKUP(AI$10,'VK-Transport'!$C:$X,2+$B112,0))+IF(AI$8="X",VLOOKUP(AI$10,'VK-Elekter'!$C:$X,2+$D112,0))+IF(AI$9="X",VLOOKUP(AI$10,'VK-Biokütused'!$C:$U,2+$E112,0))+IF(AI$5="X",VLOOKUP(AI$10,'VK-Põlevkivi'!$C:$X,2+$G112,0))+IF(AI$4="X",VLOOKUP(AI$10,'VK-Võrgud'!$C:$X,2+$F112,0))</f>
        <v>11.489999999999998</v>
      </c>
      <c r="AJ112" s="209">
        <f>IF(AJ$7="X",VLOOKUP(AJ$10,'VK-Hooned-Soojus'!$C:$X,2+$C112,FALSE),0)+IF(AJ$6="X",VLOOKUP(AJ$10,'VK-Transport'!$C:$X,2+$B112,0))+IF(AJ$8="X",VLOOKUP(AJ$10,'VK-Elekter'!$C:$X,2+$D112,0))+IF(AJ$9="X",VLOOKUP(AJ$10,'VK-Biokütused'!$C:$U,2+$E112,0))+IF(AJ$5="X",VLOOKUP(AJ$10,'VK-Põlevkivi'!$C:$X,2+$G112,0))+IF(AJ$4="X",VLOOKUP(AJ$10,'VK-Võrgud'!$C:$X,2+$F112,0))</f>
        <v>0</v>
      </c>
      <c r="AK112" s="209">
        <f>IF(AK$7="X",VLOOKUP(AK$10,'VK-Hooned-Soojus'!$C:$X,2+$C112,FALSE),0)+IF(AK$6="X",VLOOKUP(AK$10,'VK-Transport'!$C:$X,2+$B112,0))+IF(AK$8="X",VLOOKUP(AK$10,'VK-Elekter'!$C:$X,2+$D112,0))+IF(AK$9="X",VLOOKUP(AK$10,'VK-Biokütused'!$C:$U,2+$E112,0))+IF(AK$5="X",VLOOKUP(AK$10,'VK-Põlevkivi'!$C:$X,2+$G112,0))+IF(AK$4="X",VLOOKUP(AK$10,'VK-Võrgud'!$C:$X,2+$F112,0))</f>
        <v>3.65</v>
      </c>
      <c r="AL112" s="209">
        <f>IF(AL$7="X",VLOOKUP(AL$10,'VK-Hooned-Soojus'!$C:$X,2+$C112,FALSE),0)+IF(AL$6="X",VLOOKUP(AL$10,'VK-Transport'!$C:$X,2+$B112,0))+IF(AL$8="X",VLOOKUP(AL$10,'VK-Elekter'!$C:$X,2+$D112,0))+IF(AL$9="X",VLOOKUP(AL$10,'VK-Biokütused'!$C:$U,2+$E112,0))+IF(AL$5="X",VLOOKUP(AL$10,'VK-Põlevkivi'!$C:$X,2+$G112,0))+IF(AL$4="X",VLOOKUP(AL$10,'VK-Võrgud'!$C:$X,2+$F112,0))</f>
        <v>7.1999999999999993</v>
      </c>
      <c r="AM112" s="209">
        <f>IF(AM$7="X",VLOOKUP(AM$10,'VK-Hooned-Soojus'!$C:$X,2+$C112,FALSE),0)+IF(AM$6="X",VLOOKUP(AM$10,'VK-Transport'!$C:$X,2+$B112,0))+IF(AM$8="X",VLOOKUP(AM$10,'VK-Elekter'!$C:$X,2+$D112,0))+IF(AM$9="X",VLOOKUP(AM$10,'VK-Biokütused'!$C:$U,2+$E112,0))+IF(AM$5="X",VLOOKUP(AM$10,'VK-Põlevkivi'!$C:$X,2+$G112,0))+IF(AM$4="X",VLOOKUP(AM$10,'VK-Võrgud'!$C:$X,2+$F112,0))</f>
        <v>12.9</v>
      </c>
      <c r="AN112" s="209">
        <f>IF(AN$7="X",VLOOKUP(AN$10,'VK-Hooned-Soojus'!$C:$X,2+$C112,FALSE),0)+IF(AN$6="X",VLOOKUP(AN$10,'VK-Transport'!$C:$X,2+$B112,0))+IF(AN$8="X",VLOOKUP(AN$10,'VK-Elekter'!$C:$X,2+$D112,0))+IF(AN$9="X",VLOOKUP(AN$10,'VK-Biokütused'!$C:$U,2+$E112,0))+IF(AN$5="X",VLOOKUP(AN$10,'VK-Põlevkivi'!$C:$X,2+$G112,0))+IF(AN$4="X",VLOOKUP(AN$10,'VK-Võrgud'!$C:$X,2+$F112,0))</f>
        <v>5.6999999999999993</v>
      </c>
      <c r="AO112" s="209">
        <f>IF(AO$7="X",VLOOKUP(AO$10,'VK-Hooned-Soojus'!$C:$X,2+$C112,FALSE),0)+IF(AO$6="X",VLOOKUP(AO$10,'VK-Transport'!$C:$X,2+$B112,0))+IF(AO$8="X",VLOOKUP(AO$10,'VK-Elekter'!$C:$X,2+$D112,0))+IF(AO$9="X",VLOOKUP(AO$10,'VK-Biokütused'!$C:$U,2+$E112,0))+IF(AO$5="X",VLOOKUP(AO$10,'VK-Põlevkivi'!$C:$X,2+$G112,0))+IF(AO$4="X",VLOOKUP(AO$10,'VK-Võrgud'!$C:$X,2+$F112,0))</f>
        <v>22.740000000000002</v>
      </c>
      <c r="AP112" s="209">
        <f>IF(AP$7="X",VLOOKUP(AP$10,'VK-Hooned-Soojus'!$C:$X,2+$C112,FALSE),0)+IF(AP$6="X",VLOOKUP(AP$10,'VK-Transport'!$C:$X,2+$B112,0))+IF(AP$8="X",VLOOKUP(AP$10,'VK-Elekter'!$C:$X,2+$D112,0))+IF(AP$9="X",VLOOKUP(AP$10,'VK-Biokütused'!$C:$U,2+$E112,0))+IF(AP$5="X",VLOOKUP(AP$10,'VK-Põlevkivi'!$C:$X,2+$G112,0))+IF(AP$4="X",VLOOKUP(AP$10,'VK-Võrgud'!$C:$X,2+$F112,0))</f>
        <v>11.370000000000001</v>
      </c>
      <c r="AQ112" s="320">
        <f t="shared" si="61"/>
        <v>10.440000000000001</v>
      </c>
      <c r="AR112" s="209">
        <f>IF(AR$7="X",VLOOKUP(AR$10,'VK-Hooned-Soojus'!$C:$X,2+$C112,FALSE),0)+IF(AR$6="X",VLOOKUP(AR$10,'VK-Transport'!$C:$X,2+$B112,0))+IF(AR$8="X",VLOOKUP(AR$10,'VK-Elekter'!$C:$X,2+$D112,0))+IF(AR$9="X",VLOOKUP(AR$10,'VK-Biokütused'!$C:$U,2+$E112,0))+IF(AR$5="X",VLOOKUP(AR$10,'VK-Põlevkivi'!$C:$X,2+$G112,0))+IF(AR$4="X",VLOOKUP(AR$10,'VK-Võrgud'!$C:$X,2+$F112,0))</f>
        <v>1.1000000000000001</v>
      </c>
      <c r="AS112" s="320">
        <f>VLOOKUP("Kütuste tarbimine @ 2030 - UTTEGAAS",'VK-Hooned-Soojus'!$C:$X,2+$C112,FALSE)/0.172+VLOOKUP("Kütuste tarbimine @ 2030 - UTTEGAAS",'VK-Elekter'!$C:$X,2+$D112,FALSE)/0.172-AR112-AU112</f>
        <v>-1.1000000000000001</v>
      </c>
      <c r="AT112" s="209">
        <f>IF(AT$7="X",VLOOKUP(AT$10,'VK-Hooned-Soojus'!$C:$X,2+$C112,FALSE),0)+IF(AT$6="X",VLOOKUP(AT$10,'VK-Transport'!$C:$X,2+$B112,0))+IF(AT$8="X",VLOOKUP(AT$10,'VK-Elekter'!$C:$X,2+$D112,0))+IF(AT$9="X",VLOOKUP(AT$10,'VK-Biokütused'!$C:$U,2+$E112,0))+IF(AT$5="X",VLOOKUP(AT$10,'VK-Põlevkivi'!$C:$X,2+$G112,0))+IF(AT$4="X",VLOOKUP(AT$10,'VK-Võrgud'!$C:$X,2+$F112,0))</f>
        <v>5.7045296564339489</v>
      </c>
      <c r="AU112" s="229">
        <f>MAX(0,(VLOOKUP("Kütuste tarbimine @ 2030 - UTTEGAAS",'VK-Hooned-Soojus'!$C:$X,2+$C112,FALSE)/0.172+VLOOKUP("Kütuste tarbimine @ 2030 - UTTEGAAS",'VK-Elekter'!$C:$X,2+$D112,FALSE)/0.172)*0.52-VLOOKUP("Kütuste tarbimine @ 2030 - PÕLEVKIVIÕLI",'VK-Hooned-Soojus'!$C:$X,2+$C112,FALSE))</f>
        <v>0</v>
      </c>
      <c r="AV112" s="209">
        <f>IF(AV$7="X",VLOOKUP(AV$10,'VK-Hooned-Soojus'!$C:$X,2+$C112,FALSE),0)+IF(AV$6="X",VLOOKUP(AV$10,'VK-Transport'!$C:$X,2+$B112,0))+IF(AV$8="X",VLOOKUP(AV$10,'VK-Elekter'!$C:$X,2+$D112,0))+IF(AV$9="X",VLOOKUP(AV$10,'VK-Biokütused'!$C:$U,2+$E112,0))+IF(AV$5="X",VLOOKUP(AV$10,'VK-Põlevkivi'!$C:$X,2+$G112,0))+IF(AV$4="X",VLOOKUP(AV$10,'VK-Võrgud'!$C:$X,2+$F112,0))</f>
        <v>2.1219844082566364</v>
      </c>
      <c r="AW112" s="209">
        <f>IF(AW$7="X",VLOOKUP(AW$10,'VK-Hooned-Soojus'!$C:$X,2+$C112,FALSE),0)+IF(AW$6="X",VLOOKUP(AW$10,'VK-Transport'!$C:$X,2+$B112,0))+IF(AW$8="X",VLOOKUP(AW$10,'VK-Elekter'!$C:$X,2+$D112,0))+IF(AW$9="X",VLOOKUP(AW$10,'VK-Biokütused'!$C:$U,2+$E112,0))+IF(AW$5="X",VLOOKUP(AW$10,'VK-Põlevkivi'!$C:$X,2+$G112,0))+IF(AW$4="X",VLOOKUP(AW$10,'VK-Võrgud'!$C:$X,2+$F112,0))</f>
        <v>4.2799999999999994</v>
      </c>
      <c r="AX112" s="229">
        <f t="shared" si="62"/>
        <v>2.158015591743363</v>
      </c>
      <c r="AY112" s="229">
        <f t="shared" si="63"/>
        <v>0</v>
      </c>
      <c r="AZ112" s="230">
        <f t="shared" si="83"/>
        <v>0.6074987705979138</v>
      </c>
      <c r="BA112" s="209">
        <f>IF(BA$7="X",VLOOKUP(BA$10,'VK-Hooned-Soojus'!$C:$X,2+$C112,FALSE),0)+IF(BA$6="X",VLOOKUP(BA$10,'VK-Transport'!$C:$X,2+$B112,0))+IF(BA$8="X",VLOOKUP(BA$10,'VK-Elekter'!$C:$X,2+$D112,0))+IF(BA$9="X",VLOOKUP(BA$10,'VK-Biokütused'!$C:$U,2+$E112,0))+IF(BA$5="X",VLOOKUP(BA$10,'VK-Põlevkivi'!$C:$X,2+$G112,0))+IF(BA$4="X",VLOOKUP(BA$10,'VK-Võrgud'!$C:$X,2+$F112,0))</f>
        <v>0</v>
      </c>
      <c r="BB112" s="209">
        <f>IF(BB$7="X",VLOOKUP(BB$10,'VK-Hooned-Soojus'!$C:$X,2+$C112,FALSE),0)+IF(BB$6="X",VLOOKUP(BB$10,'VK-Transport'!$C:$X,2+$B112,0))+IF(BB$8="X",VLOOKUP(BB$10,'VK-Elekter'!$C:$X,2+$D112,0))+IF(BB$9="X",VLOOKUP(BB$10,'VK-Biokütused'!$C:$U,2+$E112,0))+IF(BB$5="X",VLOOKUP(BB$10,'VK-Põlevkivi'!$C:$X,2+$G112,0))+IF(BB$4="X",VLOOKUP(BB$10,'VK-Võrgud'!$C:$X,2+$F112,0))</f>
        <v>6.32</v>
      </c>
      <c r="BC112" s="209">
        <f>IF(BC$7="X",VLOOKUP(BC$10,'VK-Hooned-Soojus'!$C:$X,2+$C112,FALSE),0)+IF(BC$6="X",VLOOKUP(BC$10,'VK-Transport'!$C:$X,2+$B112,0))+IF(BC$8="X",VLOOKUP(BC$10,'VK-Elekter'!$C:$X,2+$D112,0))+IF(BC$9="X",VLOOKUP(BC$10,'VK-Biokütused'!$C:$U,2+$E112,0))+IF(BC$5="X",VLOOKUP(BC$10,'VK-Põlevkivi'!$C:$X,2+$G112,0))+IF(BC$4="X",VLOOKUP(BC$10,'VK-Võrgud'!$C:$X,2+$F112,0))</f>
        <v>8.0523611111111126</v>
      </c>
      <c r="BD112" s="209">
        <f>IF(BD$7="X",VLOOKUP(BD$10,'VK-Hooned-Soojus'!$C:$X,2+$C112,FALSE),0)+IF(BD$6="X",VLOOKUP(BD$10,'VK-Transport'!$C:$X,2+$B112,0))+IF(BD$8="X",VLOOKUP(BD$10,'VK-Elekter'!$C:$X,2+$D112,0))+IF(BD$9="X",VLOOKUP(BD$10,'VK-Biokütused'!$C:$U,2+$E112,0))+IF(BD$5="X",VLOOKUP(BD$10,'VK-Põlevkivi'!$C:$X,2+$G112,0))+IF(BD$4="X",VLOOKUP(BD$10,'VK-Võrgud'!$C:$X,2+$F112,0))</f>
        <v>10.42138888888889</v>
      </c>
      <c r="BE112" s="230"/>
      <c r="BF112" s="229">
        <f t="shared" si="64"/>
        <v>0.63174328576257388</v>
      </c>
      <c r="BG112" s="209" t="e">
        <f>(IF(BG$7="X",VLOOKUP(BG$10,'VK-Hooned-Soojus'!$C:$X,2+$C112,FALSE),0)+IF(BG$6="X",VLOOKUP(BG$10,'VK-Transport'!$C:$X,2+$B112,0))+IF(BG$8="X",VLOOKUP(BG$10,'VK-Elekter'!$C:$X,2+$D112,0))+IF(BG$9="X",VLOOKUP(BG$10,'VK-Biokütused'!$C:$U,2+$E112,0))+IF(BG$5="X",VLOOKUP(BG$10,'VK-Põlevkivi'!$C:$X,2+$G112,0))+IF(BG$4="X",VLOOKUP(BG$10,'VK-Võrgud'!$C:$X,2+$F112,0)))/20</f>
        <v>#N/A</v>
      </c>
      <c r="BH112" s="209">
        <f>(IF(BH$7="X",VLOOKUP(BH$10,'VK-Hooned-Soojus'!$C:$X,2+$C112,FALSE),0)+IF(BH$6="X",VLOOKUP(BH$10,'VK-Transport'!$C:$X,2+$B112,0))+IF(BH$8="X",VLOOKUP(BH$10,'VK-Elekter'!$C:$X,2+$D112,0))+IF(BH$9="X",VLOOKUP(BH$10,'VK-Biokütused'!$C:$U,2+$E112,0))+IF(BH$5="X",VLOOKUP(BH$10,'VK-Põlevkivi'!$C:$X,2+$G112,0))+IF(BH$4="X",VLOOKUP(BH$10,'VK-Võrgud'!$C:$X,2+$F112,0)))/20</f>
        <v>13.99</v>
      </c>
      <c r="BI112" s="209">
        <f>(IF(BI$7="X",VLOOKUP(BI$10,'VK-Hooned-Soojus'!$C:$X,2+$C112,FALSE),0)+IF(BI$6="X",VLOOKUP(BI$10,'VK-Transport'!$C:$X,2+$B112,0))+IF(BI$8="X",VLOOKUP(BI$10,'VK-Elekter'!$C:$X,2+$D112,0))+IF(BI$9="X",VLOOKUP(BI$10,'VK-Biokütused'!$C:$U,2+$E112,0))+IF(BI$5="X",VLOOKUP(BI$10,'VK-Põlevkivi'!$C:$X,2+$G112,0))+IF(BI$4="X",VLOOKUP(BI$10,'VK-Võrgud'!$C:$X,2+$F112,0)))/16</f>
        <v>17.75</v>
      </c>
      <c r="BJ112" s="209">
        <f>(IF(BJ$7="X",VLOOKUP(BJ$10,'VK-Hooned-Soojus'!$C:$X,2+$C112,FALSE),0)+IF(BJ$6="X",VLOOKUP(BJ$10,'VK-Transport'!$C:$X,2+$B112,0))+IF(BJ$8="X",VLOOKUP(BJ$10,'VK-Elekter'!$C:$X,2+$D112,0))+IF(BJ$9="X",VLOOKUP(BJ$10,'VK-Biokütused'!$C:$U,2+$E112,0))+IF(BJ$5="X",VLOOKUP(BJ$10,'VK-Põlevkivi'!$C:$X,2+$G112,0))+IF(BJ$4="X",VLOOKUP(BJ$10,'VK-Võrgud'!$C:$X,2+$F112,0)))/20</f>
        <v>1.85</v>
      </c>
      <c r="BK112" s="209"/>
      <c r="BL112" s="209"/>
      <c r="BM112" s="209"/>
      <c r="BN112" s="209" t="e">
        <f>(IF(BN$7="X",VLOOKUP(BN$10,'VK-Hooned-Soojus'!$C:$X,2+$C112,FALSE),0)+IF(BN$6="X",VLOOKUP(BN$10,'VK-Transport'!$C:$X,2+$B112,0))+IF(BN$8="X",VLOOKUP(BN$10,'VK-Elekter'!$C:$X,2+$D112,0))+IF(BN$9="X",VLOOKUP(BN$10,'VK-Biokütused'!$C:$U,2+$E112,0))+IF(BN$5="X",VLOOKUP(BN$10,'VK-Põlevkivi'!$C:$X,2+$G112,0))+IF(BN$4="X",VLOOKUP(BN$10,'VK-Võrgud'!$C:$X,2+$F112,0)))/16</f>
        <v>#N/A</v>
      </c>
      <c r="BO112" s="209">
        <f>(IF(BO$7="X",VLOOKUP(BO$10,'VK-Hooned-Soojus'!$C:$X,2+$C112,FALSE),0)+IF(BO$6="X",VLOOKUP(BO$10,'VK-Transport'!$C:$X,2+$B112,0))+IF(BO$8="X",VLOOKUP(BO$10,'VK-Elekter'!$C:$X,2+$D112,0))+IF(BO$9="X",VLOOKUP(BO$10,'VK-Biokütused'!$C:$U,2+$E112,0))+IF(BO$5="X",VLOOKUP(BO$10,'VK-Põlevkivi'!$C:$X,2+$G112,0))+IF(BO$4="X",VLOOKUP(BO$10,'VK-Võrgud'!$C:$X,2+$F112,0)))/16</f>
        <v>322.79374999999999</v>
      </c>
      <c r="BP112" s="209"/>
      <c r="BQ112" s="209">
        <f>(IF(BQ$7="X",VLOOKUP(BQ$10,'VK-Hooned-Soojus'!$C:$X,2+$C112,FALSE),0)+IF(BQ$6="X",VLOOKUP(BQ$10,'VK-Transport'!$C:$X,2+$B112,0))+IF(BQ$8="X",VLOOKUP(BQ$10,'VK-Elekter'!$C:$X,2+$D112,0))+IF(BQ$9="X",VLOOKUP(BQ$10,'VK-Biokütused'!$C:$U,2+$E112,0))+IF(BQ$5="X",VLOOKUP(BQ$10,'VK-Põlevkivi'!$C:$X,2+$G112,0))+IF(BQ$4="X",VLOOKUP(BQ$10,'VK-Võrgud'!$C:$X,2+$F112,0)))/16</f>
        <v>233.20625000000001</v>
      </c>
      <c r="BR112" s="209">
        <f>(IF(BR$7="X",VLOOKUP(BR$10,'VK-Hooned-Soojus'!$C:$X,2+$C112,FALSE),0)+IF(BR$6="X",VLOOKUP(BR$10,'VK-Transport'!$C:$X,2+$B112,0))+IF(BR$8="X",VLOOKUP(BR$10,'VK-Elekter'!$C:$X,2+$D112,0))+IF(BR$9="X",VLOOKUP(BR$10,'VK-Biokütused'!$C:$U,2+$E112,0))+IF(BR$5="X",VLOOKUP(BR$10,'VK-Põlevkivi'!$C:$X,2+$G112,0))+IF(BR$4="X",VLOOKUP(BR$10,'VK-Võrgud'!$C:$X,2+$F112,0)))/16</f>
        <v>74.512500000000003</v>
      </c>
      <c r="BS112" s="209">
        <f>(IF(BS$7="X",VLOOKUP(BS$10,'VK-Hooned-Soojus'!$C:$X,2+$C112,FALSE),0)+IF(BS$6="X",VLOOKUP(BS$10,'VK-Transport'!$C:$X,2+$B112,0))+IF(BS$8="X",VLOOKUP(BS$10,'VK-Elekter'!$C:$X,2+$D112,0))+IF(BS$9="X",VLOOKUP(BS$10,'VK-Biokütused'!$C:$U,2+$E112,0))+IF(BS$5="X",VLOOKUP(BS$10,'VK-Põlevkivi'!$C:$X,2+$G112,0))+IF(BS$4="X",VLOOKUP(BS$10,'VK-Võrgud'!$C:$X,2+$F112,0)))/16</f>
        <v>-21.475000000000001</v>
      </c>
      <c r="BT112" s="209"/>
      <c r="BU112" s="209"/>
      <c r="BV112" s="209">
        <f>(IF(BV$7="X",VLOOKUP(BV$10,'VK-Hooned-Soojus'!$C:$X,2+$C112,FALSE),0)+IF(BV$6="X",VLOOKUP(BV$10,'VK-Transport'!$C:$X,2+$B112,0))+IF(BV$8="X",VLOOKUP(BV$10,'VK-Elekter'!$C:$X,2+$D112,0))+IF(BV$9="X",VLOOKUP(BV$10,'VK-Biokütused'!$C:$U,2+$E112,0))+IF(BV$5="X",VLOOKUP(BV$10,'VK-Põlevkivi'!$C:$X,2+$G112,0))+IF(BV$4="X",VLOOKUP(BV$10,'VK-Võrgud'!$C:$X,2+$F112,0)))/16</f>
        <v>0</v>
      </c>
      <c r="BW112" s="209"/>
      <c r="BX112" s="209">
        <f>(IF(BX$7="X",VLOOKUP(BX$10,'VK-Hooned-Soojus'!$C:$X,2+$C112,FALSE),0)+IF(BX$6="X",VLOOKUP(BX$10,'VK-Transport'!$C:$X,2+$B112,0))+IF(BX$8="X",VLOOKUP(BX$10,'VK-Elekter'!$C:$X,2+$D112,0))+IF(BX$9="X",VLOOKUP(BX$10,'VK-Biokütused'!$C:$U,2+$E112,0))+IF(BX$5="X",VLOOKUP(BX$10,'VK-Põlevkivi'!$C:$X,2+$G112,0))+IF(BX$4="X",VLOOKUP(BX$10,'VK-Võrgud'!$C:$X,2+$F112,0)))/16</f>
        <v>-19.25</v>
      </c>
      <c r="BY112" s="209"/>
      <c r="BZ112" s="209"/>
      <c r="CA112" s="209" t="e">
        <f>(IF(CA$7="X",VLOOKUP(CA$10,'VK-Hooned-Soojus'!$C:$X,2+$C112,FALSE),0)+IF(CA$6="X",VLOOKUP(CA$10,'VK-Transport'!$C:$X,2+$B112,0))+IF(CA$8="X",VLOOKUP(CA$10,'VK-Elekter'!$C:$X,2+$D112,0))+IF(CA$9="X",VLOOKUP(CA$10,'VK-Biokütused'!$C:$U,2+$E112,0))+IF(CA$5="X",VLOOKUP(CA$10,'VK-Põlevkivi'!$C:$X,2+$G112,0))+IF(CA$4="X",VLOOKUP(CA$10,'VK-Võrgud'!$C:$X,2+$F112,0)))/16</f>
        <v>#N/A</v>
      </c>
      <c r="CB112" s="209">
        <f>(IF(CB$7="X",VLOOKUP(CB$10,'VK-Hooned-Soojus'!$C:$X,2+$C112,FALSE),0)+IF(CB$6="X",VLOOKUP(CB$10,'VK-Transport'!$C:$X,2+$B112,0))+IF(CB$8="X",VLOOKUP(CB$10,'VK-Elekter'!$C:$X,2+$D112,0))+IF(CB$9="X",VLOOKUP(CB$10,'VK-Biokütused'!$C:$U,2+$E112,0))+IF(CB$5="X",VLOOKUP(CB$10,'VK-Põlevkivi'!$C:$X,2+$G112,0))+IF(CB$4="X",VLOOKUP(CB$10,'VK-Võrgud'!$C:$X,2+$F112,0)))/16</f>
        <v>0</v>
      </c>
      <c r="CC112" s="209">
        <f>(IF(CC$7="X",VLOOKUP(CC$10,'VK-Hooned-Soojus'!$C:$X,2+$C112,FALSE),0)+IF(CC$6="X",VLOOKUP(CC$10,'VK-Transport'!$C:$X,2+$B112,0))+IF(CC$8="X",VLOOKUP(CC$10,'VK-Elekter'!$C:$X,2+$D112,0))+IF(CC$9="X",VLOOKUP(CC$10,'VK-Biokütused'!$C:$U,2+$E112,0))+IF(CC$5="X",VLOOKUP(CC$10,'VK-Põlevkivi'!$C:$X,2+$G112,0))+IF(CC$4="X",VLOOKUP(CC$10,'VK-Võrgud'!$C:$X,2+$F112,0)))/16</f>
        <v>0</v>
      </c>
      <c r="CD112" s="209"/>
      <c r="CE112" s="209">
        <f>(IF(CE$7="X",VLOOKUP(CE$10,'VK-Hooned-Soojus'!$C:$X,2+$C112,FALSE),0)+IF(CE$6="X",VLOOKUP(CE$10,'VK-Transport'!$C:$X,2+$B112,0))+IF(CE$8="X",VLOOKUP(CE$10,'VK-Elekter'!$C:$X,2+$D112,0))+IF(CE$9="X",VLOOKUP(CE$10,'VK-Biokütused'!$C:$U,2+$E112,0))+IF(CE$5="X",VLOOKUP(CE$10,'VK-Põlevkivi'!$C:$X,2+$G112,0))+IF(CE$4="X",VLOOKUP(CE$10,'VK-Võrgud'!$C:$X,2+$F112,0)))/16</f>
        <v>24.15625</v>
      </c>
      <c r="CF112" s="209"/>
      <c r="CG112" s="209">
        <f>(IF(CG$7="X",VLOOKUP(CG$10,'VK-Hooned-Soojus'!$C:$X,2+$C112,FALSE),0)+IF(CG$6="X",VLOOKUP(CG$10,'VK-Transport'!$C:$X,2+$B112,0))+IF(CG$8="X",VLOOKUP(CG$10,'VK-Elekter'!$C:$X,2+$D112,0))+IF(CG$9="X",VLOOKUP(CG$10,'VK-Biokütused'!$C:$U,2+$E112,0))+IF(CG$5="X",VLOOKUP(CG$10,'VK-Põlevkivi'!$C:$X,2+$G112,0))+IF(CG$4="X",VLOOKUP(CG$10,'VK-Võrgud'!$C:$X,2+$F112,0)))/16</f>
        <v>0</v>
      </c>
      <c r="CH112" s="209">
        <f>(IF(CH$7="X",VLOOKUP(CH$10,'VK-Hooned-Soojus'!$C:$X,2+$C112,FALSE),0)+IF(CH$6="X",VLOOKUP(CH$10,'VK-Transport'!$C:$X,2+$B112,0))+IF(CH$8="X",VLOOKUP(CH$10,'VK-Elekter'!$C:$X,2+$D112,0))+IF(CH$9="X",VLOOKUP(CH$10,'VK-Biokütused'!$C:$U,2+$E112,0))+IF(CH$5="X",VLOOKUP(CH$10,'VK-Põlevkivi'!$C:$X,2+$G112,0))+IF(CH$4="X",VLOOKUP(CH$10,'VK-Võrgud'!$C:$X,2+$F112,0)))/20*0.21</f>
        <v>5.6122500000000004</v>
      </c>
      <c r="CI112" s="209"/>
      <c r="CJ112" s="209">
        <f>(IF(CJ$7="X",VLOOKUP(CJ$10,'VK-Hooned-Soojus'!$C:$X,2+$C112,FALSE),0)+IF(CJ$6="X",VLOOKUP(CJ$10,'VK-Transport'!$C:$X,2+$B112,0))+IF(CJ$8="X",VLOOKUP(CJ$10,'VK-Elekter'!$C:$X,2+$D112,0))+IF(CJ$9="X",VLOOKUP(CJ$10,'VK-Biokütused'!$C:$U,2+$E112,0))+IF(CJ$5="X",VLOOKUP(CJ$10,'VK-Põlevkivi'!$C:$X,2+$G112,0))+IF(CJ$4="X",VLOOKUP(CJ$10,'VK-Võrgud'!$C:$X,2+$F112,0)))/1000</f>
        <v>17.650721793242816</v>
      </c>
      <c r="CK112" s="209">
        <f>(IF(CK$7="X",VLOOKUP(CK$10,'VK-Hooned-Soojus'!$C:$X,2+$C112,FALSE),0)+IF(CK$6="X",VLOOKUP(CK$10,'VK-Transport'!$C:$X,2+$B112,0))+IF(CK$8="X",VLOOKUP(CK$10,'VK-Elekter'!$C:$X,2+$D112,0))+IF(CK$9="X",VLOOKUP(CK$10,'VK-Biokütused'!$C:$U,2+$E112,0))+IF(CK$5="X",VLOOKUP(CK$10,'VK-Põlevkivi'!$C:$X,2+$G112,0))+IF(CK$4="X",VLOOKUP(CK$10,'VK-Võrgud'!$C:$X,2+$F112,0)))/1000</f>
        <v>7.5876988012134206</v>
      </c>
      <c r="CL112" s="235">
        <f>(IF(CL$7="X",VLOOKUP(CL$10,'VK-Hooned-Soojus'!$C:$X,2+$C112,FALSE),0)+IF(CL$6="X",VLOOKUP(CL$10,'VK-Transport'!$C:$X,2+$B112,0))+IF(CL$8="X",VLOOKUP(CL$10,'VK-Elekter'!$C:$X,2+$D112,0))+IF(CL$9="X",VLOOKUP(CL$10,'VK-Biokütused'!$C:$U,2+$E112,0)))/1000</f>
        <v>4.2353975506064012</v>
      </c>
      <c r="CM112" s="209">
        <f>(IF(CM$7="X",VLOOKUP(CM$10,'VK-Hooned-Soojus'!$C:$X,2+$C112,FALSE),0)+IF(CM$6="X",VLOOKUP(CM$10,'VK-Transport'!$C:$X,2+$B112,0))+IF(CM$8="X",VLOOKUP(CM$10,'VK-Elekter'!$C:$X,2+$D112,0))+IF(CM$9="X",VLOOKUP(CM$10,'VK-Biokütused'!$C:$U,2+$E112,0))+IF(CM$5="X",VLOOKUP(CM$10,'VK-Põlevkivi'!$C:$X,2+$G112,0))+IF(CM$4="X",VLOOKUP(CM$10,'VK-Võrgud'!$C:$X,2+$F112,0)))/1000</f>
        <v>8.548831357090096</v>
      </c>
      <c r="CN112" s="209">
        <f>(IF(CN$7="X",VLOOKUP(CN$10,'VK-Hooned-Soojus'!$C:$X,2+$C112,FALSE),0)+IF(CN$6="X",VLOOKUP(CN$10,'VK-Transport'!$C:$X,2+$B112,0))+IF(CN$8="X",VLOOKUP(CN$10,'VK-Elekter'!$C:$X,2+$D112,0))+IF(CN$9="X",VLOOKUP(CN$10,'VK-Biokütused'!$C:$U,2+$E112,0))+IF(CN$5="X",VLOOKUP(CN$10,'VK-Põlevkivi'!$C:$X,2+$G112,0))+IF(CN$4="X",VLOOKUP(CN$10,'VK-Võrgud'!$C:$X,2+$F112,0)))/1000</f>
        <v>3.0510000000000002</v>
      </c>
      <c r="CO112" s="209">
        <f>(IF(CO$7="X",VLOOKUP(CO$10,'VK-Hooned-Soojus'!$C:$X,2+$C112,FALSE),0)+IF(CO$6="X",VLOOKUP(CO$10,'VK-Transport'!$C:$X,2+$B112,0))+IF(CO$8="X",VLOOKUP(CO$10,'VK-Elekter'!$C:$X,2+$D112,0))+IF(CO$9="X",VLOOKUP(CO$10,'VK-Biokütused'!$C:$U,2+$E112,0))+IF(CO$5="X",VLOOKUP(CO$10,'VK-Põlevkivi'!$C:$X,2+$G112,0))+IF(CO$4="X",VLOOKUP(CO$10,'VK-Võrgud'!$C:$X,2+$F112,0)))/1000</f>
        <v>22.887362337356993</v>
      </c>
      <c r="CP112" s="209">
        <f>(IF(CP$7="X",VLOOKUP(CP$10,'VK-Hooned-Soojus'!$C:$X,2+$C112,FALSE),0)+IF(CP$6="X",VLOOKUP(CP$10,'VK-Transport'!$C:$X,2+$B112,0))+IF(CP$8="X",VLOOKUP(CP$10,'VK-Elekter'!$C:$X,2+$D112,0))+IF(CP$9="X",VLOOKUP(CP$10,'VK-Biokütused'!$C:$U,2+$E112,0))+IF(CP$5="X",VLOOKUP(CP$10,'VK-Põlevkivi'!$C:$X,2+$G112,0))+IF(CP$4="X",VLOOKUP(CP$10,'VK-Võrgud'!$C:$X,2+$F112,0)))/1000</f>
        <v>7.0393921206936607</v>
      </c>
      <c r="CQ112" s="235">
        <f>(IF(CQ$7="X",VLOOKUP(CQ$10,'VK-Hooned-Soojus'!$C:$X,2+$C112,FALSE),0)+IF(CQ$6="X",VLOOKUP(CQ$10,'VK-Transport'!$C:$X,2+$B112,0))+IF(CQ$8="X",VLOOKUP(CQ$10,'VK-Elekter'!$C:$X,2+$D112,0))+IF(CQ$9="X",VLOOKUP(CQ$10,'VK-Biokütused'!$C:$U,2+$E112,0)))/1000</f>
        <v>4.9469190000000003</v>
      </c>
      <c r="CR112" s="209">
        <f>(IF(CR$7="X",VLOOKUP(CR$10,'VK-Hooned-Soojus'!$C:$X,2+$C112,FALSE),0)+IF(CR$6="X",VLOOKUP(CR$10,'VK-Transport'!$C:$X,2+$B112,0))+IF(CR$8="X",VLOOKUP(CR$10,'VK-Elekter'!$C:$X,2+$D112,0))+IF(CR$9="X",VLOOKUP(CR$10,'VK-Biokütused'!$C:$U,2+$E112,0))+IF(CR$5="X",VLOOKUP(CR$10,'VK-Põlevkivi'!$C:$X,2+$G112,0))+IF(CR$4="X",VLOOKUP(CR$10,'VK-Võrgud'!$C:$X,2+$F112,0)))/1000</f>
        <v>8.0667518373996892</v>
      </c>
      <c r="CS112" s="209">
        <f>(IF(CS$7="X",VLOOKUP(CS$10,'VK-Hooned-Soojus'!$C:$X,2+$C112,FALSE),0)+IF(CS$6="X",VLOOKUP(CS$10,'VK-Transport'!$C:$X,2+$B112,0))+IF(CS$8="X",VLOOKUP(CS$10,'VK-Elekter'!$C:$X,2+$D112,0))+IF(CS$9="X",VLOOKUP(CS$10,'VK-Biokütused'!$C:$U,2+$E112,0))+IF(CS$5="X",VLOOKUP(CS$10,'VK-Põlevkivi'!$C:$X,2+$G112,0))+IF(CS$4="X",VLOOKUP(CS$10,'VK-Võrgud'!$C:$X,2+$F112,0)))/1000</f>
        <v>3.838649509862238</v>
      </c>
      <c r="CT112" s="209">
        <f>IF(CT$7="X",VLOOKUP(CT$10,'VK-Hooned-Soojus'!$C:$X,2+$C112,FALSE),0)+IF(CT$6="X",VLOOKUP(CT$10,'VK-Transport'!$C:$X,2+$B112,0))+IF(CT$8="X",VLOOKUP(CT$10,'VK-Elekter'!$C:$X,2+$D112,0))+IF(CT$9="X",VLOOKUP(CT$10,'VK-Biokütused'!$C:$U,2+$E112,0))+IF(CT$5="X",VLOOKUP(CT$10,'VK-Põlevkivi'!$C:$X,2+$G112,0))+IF(CT$4="X",VLOOKUP(CT$10,'VK-Võrgud'!$C:$X,2+$F112,0))</f>
        <v>90</v>
      </c>
      <c r="CU112" s="209">
        <f>IF(CU$7="X",VLOOKUP(CU$10,'VK-Hooned-Soojus'!$C:$X,2+$C112,FALSE),0)+IF(CU$6="X",VLOOKUP(CU$10,'VK-Transport'!$C:$X,2+$B112,0))+IF(CU$8="X",VLOOKUP(CU$10,'VK-Elekter'!$C:$X,2+$D112,0))+IF(CU$9="X",VLOOKUP(CU$10,'VK-Biokütused'!$C:$U,2+$E112,0))+IF(CU$5="X",VLOOKUP(CU$10,'VK-Põlevkivi'!$C:$X,2+$G112,0))+IF(CU$4="X",VLOOKUP(CU$10,'VK-Võrgud'!$C:$X,2+$F112,0))</f>
        <v>0.63390170511534605</v>
      </c>
      <c r="CV112" s="209">
        <f t="shared" si="84"/>
        <v>0.72887234460741646</v>
      </c>
      <c r="CW112" s="209">
        <f>(IF(CW$7="X",VLOOKUP(CW$10,'VK-Hooned-Soojus'!$C:$X,2+$C112,FALSE),0)+IF(CW$6="X",VLOOKUP(CW$10,'VK-Transport'!$C:$X,2+$B112,0))+IF(CW$8="X",VLOOKUP(CW$10,'VK-Elekter'!$C:$X,2+$D112,0))+IF(CW$9="X",VLOOKUP(CW$10,'VK-Biokütused'!$C:$U,2+$E112,0))+IF(CW$5="X",VLOOKUP(CW$10,'VK-Põlevkivi'!$C:$X,2+$G112,0))+IF(CW$4="X",VLOOKUP(CW$10,'VK-Võrgud'!$C:$X,2+$F112,0)))/16</f>
        <v>126.01875</v>
      </c>
      <c r="CY112" s="209">
        <f>(IF(CY$7="X",VLOOKUP(CY$10,'VK-Hooned-Soojus'!$C:$X,2+$C112,FALSE),0)+IF(CY$6="X",VLOOKUP(CY$10,'VK-Transport'!$C:$X,2+$B112,0))+IF(CY$8="X",VLOOKUP(CY$10,'VK-Elekter'!$C:$X,2+$D112,0))+IF(CY$9="X",VLOOKUP(CY$10,'VK-Biokütused'!$C:$U,2+$E112,0))+IF(CY$5="X",VLOOKUP(CY$10,'VK-Põlevkivi'!$C:$X,2+$G112,0))+IF(CY$4="X",VLOOKUP(CY$10,'VK-Võrgud'!$C:$X,2+$F112,0)))/1000</f>
        <v>10.221</v>
      </c>
      <c r="CZ112" s="209">
        <f>(IF(CZ$7="X",VLOOKUP(CZ$10,'VK-Hooned-Soojus'!$C:$X,2+$C112,FALSE),0)+IF(CZ$6="X",VLOOKUP(CZ$10,'VK-Transport'!$C:$X,2+$B112,0))+IF(CZ$8="X",VLOOKUP(CZ$10,'VK-Elekter'!$C:$X,2+$D112,0))+IF(CZ$9="X",VLOOKUP(CZ$10,'VK-Biokütused'!$C:$U,2+$E112,0))+IF(CZ$5="X",VLOOKUP(CZ$10,'VK-Põlevkivi'!$C:$X,2+$G112,0))+IF(CZ$4="X",VLOOKUP(CZ$10,'VK-Võrgud'!$C:$X,2+$F112,0)))</f>
        <v>81</v>
      </c>
      <c r="DA112" s="209">
        <f>(IF(DA$7="X",VLOOKUP(DA$10,'VK-Hooned-Soojus'!$C:$X,2+$C112,FALSE),0)+IF(DA$6="X",VLOOKUP(DA$10,'VK-Transport'!$C:$X,2+$B112,0))+IF(DA$8="X",VLOOKUP(DA$10,'VK-Elekter'!$C:$X,2+$D112,0))+IF(DA$9="X",VLOOKUP(DA$10,'VK-Biokütused'!$C:$U,2+$E112,0))+IF(DA$5="X",VLOOKUP(DA$10,'VK-Põlevkivi'!$C:$X,2+$G112,0))+IF(DA$4="X",VLOOKUP(DA$10,'VK-Võrgud'!$C:$X,2+$F112,0)))/1000</f>
        <v>9.9619999999999997</v>
      </c>
      <c r="DB112" s="209">
        <f>(IF(DB$7="X",VLOOKUP(DB$10,'VK-Hooned-Soojus'!$C:$X,2+$C112,FALSE),0)+IF(DB$6="X",VLOOKUP(DB$10,'VK-Transport'!$C:$X,2+$B112,0))+IF(DB$8="X",VLOOKUP(DB$10,'VK-Elekter'!$C:$X,2+$D112,0))+IF(DB$9="X",VLOOKUP(DB$10,'VK-Biokütused'!$C:$U,2+$E112,0))+IF(DB$5="X",VLOOKUP(DB$10,'VK-Põlevkivi'!$C:$X,2+$G112,0))+IF(DB$4="X",VLOOKUP(DB$10,'VK-Võrgud'!$C:$X,2+$F112,0)))/1000/3.6</f>
        <v>40.079444444444441</v>
      </c>
      <c r="DC112" s="209">
        <f>(IF(DC$7="X",VLOOKUP(DC$10,'VK-Hooned-Soojus'!$C:$X,2+$C112,FALSE),0)+IF(DC$6="X",VLOOKUP(DC$10,'VK-Transport'!$C:$X,2+$B112,0))+IF(DC$8="X",VLOOKUP(DC$10,'VK-Elekter'!$C:$X,2+$D112,0))+IF(DC$9="X",VLOOKUP(DC$10,'VK-Biokütused'!$C:$U,2+$E112,0))+IF(DC$5="X",VLOOKUP(DC$10,'VK-Põlevkivi'!$C:$X,2+$G112,0))+IF(DC$4="X",VLOOKUP(DC$10,'VK-Võrgud'!$C:$X,2+$F112,0)))/1000000</f>
        <v>4.1259649999999999</v>
      </c>
      <c r="DD112" s="209"/>
      <c r="DE112" s="88">
        <f>VLOOKUP(Tulemused!$BN$12,data!M$7:N$12,2,FALSE)-SUM(L112,M112)</f>
        <v>-0.80250937302436398</v>
      </c>
      <c r="DF112" s="209" t="str">
        <f>IF(AZ112&lt;=VLOOKUP(Tulemused!$BN$15,data!$E$36:$F$39,2,FALSE),"JAH","EI")</f>
        <v>JAH</v>
      </c>
      <c r="DG112" s="209"/>
      <c r="DH112" s="209">
        <f t="shared" si="85"/>
        <v>11.370000000000001</v>
      </c>
      <c r="DI112" s="231" t="str">
        <f t="shared" si="65"/>
        <v>EI</v>
      </c>
      <c r="DK112" s="232">
        <f t="shared" si="86"/>
        <v>-989.16292248534546</v>
      </c>
      <c r="DM112" s="233">
        <f t="shared" si="87"/>
        <v>-996.94043500193845</v>
      </c>
      <c r="DN112" s="87">
        <f t="array" ref="DN112">INDEX($A$11:$A$145, SMALL(IF(DM112=$DK$11:$DK$145, MATCH(ROW($DK$11:$DK$145), ROW($DK$11:$DK$145))), SUM(--(DM112=$DM$11:DM112))))</f>
        <v>50</v>
      </c>
      <c r="DP112" s="87" t="e">
        <f t="shared" ca="1" si="66"/>
        <v>#N/A</v>
      </c>
      <c r="DQ112" s="87" t="e">
        <f t="shared" ca="1" si="67"/>
        <v>#N/A</v>
      </c>
      <c r="DR112" s="87">
        <f t="shared" ca="1" si="68"/>
        <v>0</v>
      </c>
      <c r="DS112" s="87" t="e">
        <f t="shared" ca="1" si="69"/>
        <v>#N/A</v>
      </c>
      <c r="DT112" s="87">
        <f t="shared" ca="1" si="70"/>
        <v>0</v>
      </c>
      <c r="DU112" s="87" t="e">
        <f t="shared" ca="1" si="71"/>
        <v>#N/A</v>
      </c>
      <c r="DV112" s="87" t="e">
        <f t="shared" ca="1" si="72"/>
        <v>#N/A</v>
      </c>
      <c r="DW112" s="87">
        <f t="shared" ca="1" si="73"/>
        <v>0</v>
      </c>
      <c r="DX112" s="87">
        <f t="shared" ca="1" si="74"/>
        <v>0</v>
      </c>
      <c r="DZ112" s="87">
        <f t="shared" ca="1" si="82"/>
        <v>0</v>
      </c>
      <c r="EB112" s="87">
        <f t="shared" ca="1" si="75"/>
        <v>0</v>
      </c>
      <c r="EC112" s="87" t="e">
        <f t="shared" ca="1" si="76"/>
        <v>#N/A</v>
      </c>
      <c r="EE112" s="228">
        <f>(IF(EE$7="X",VLOOKUP(EE$10,'VK-Hooned-Soojus'!$C:$X,2+$C112,FALSE),0)+IF(EE$6="X",VLOOKUP(EE$10,'VK-Transport'!$C:$X,2+$B112,0))+IF(EE$8="X",VLOOKUP(EE$10,'VK-Elekter'!$C:$X,2+$D112,0))+IF(EE$9="X",VLOOKUP(EE$10,'VK-Biokütused'!$C:$U,2+$E112,0))+IF(EE$5="X",VLOOKUP(EE$10,'VK-Põlevkivi'!$C:$X,2+$G112,0))+IF(EE$4="X",VLOOKUP(EE$10,'VK-Võrgud'!$C:$X,2+$F112,0)))</f>
        <v>10725.752802149103</v>
      </c>
      <c r="EF112" s="235">
        <f>(IF(EF$7="X",VLOOKUP(EF$10,'VK-Hooned-Soojus'!$C:$X,2+$C112,FALSE),0)+IF(EF$6="X",VLOOKUP(EF$10,'VK-Transport'!$C:$X,2+$B112,0))+IF(EF$8="X",VLOOKUP(EF$10,'VK-Elekter'!$C:$X,2+$D112,0))+IF(EF$9="X",VLOOKUP(EF$10,'VK-Biokütused'!$C:$U,2+$E112,0)))/1000</f>
        <v>2.9928849906373198</v>
      </c>
      <c r="EG112" s="209">
        <f>(IF(EG$7="X",VLOOKUP(EG$10,'VK-Hooned-Soojus'!$C:$X,2+$C112,FALSE),0)+IF(EG$6="X",VLOOKUP(EG$10,'VK-Transport'!$C:$X,2+$B112,0))+IF(EG$8="X",VLOOKUP(EG$10,'VK-Elekter'!$C:$X,2+$D112,0))+IF(EG$9="X",VLOOKUP(EG$10,'VK-Biokütused'!$C:$U,2+$E112,0))+IF(EG$5="X",VLOOKUP(EG$10,'VK-Põlevkivi'!$C:$X,2+$G112,0))+IF(EG$4="X",VLOOKUP(EG$10,'VK-Võrgud'!$C:$X,2+$F112,0)))</f>
        <v>0.81</v>
      </c>
      <c r="EH112" s="209">
        <f>(IF(EH$7="X",VLOOKUP(EH$10,'VK-Hooned-Soojus'!$C:$X,2+$C112,FALSE),0)+IF(EH$6="X",VLOOKUP(EH$10,'VK-Transport'!$C:$X,2+$B112,0))+IF(EH$8="X",VLOOKUP(EH$10,'VK-Elekter'!$C:$X,2+$D112,0))+IF(EH$9="X",VLOOKUP(EH$10,'VK-Biokütused'!$C:$U,2+$E112,0)))+AR112+AS112+AU112+AX112</f>
        <v>44.124404480632251</v>
      </c>
      <c r="EI112" s="320">
        <f t="shared" si="88"/>
        <v>41.966388888888886</v>
      </c>
      <c r="EJ112" s="322">
        <f t="shared" si="89"/>
        <v>2.3132392489112068E-2</v>
      </c>
      <c r="EK112" s="323">
        <f t="shared" si="77"/>
        <v>0.538709820713835</v>
      </c>
      <c r="EM112" s="209"/>
      <c r="EN112" s="209">
        <f t="shared" ca="1" si="90"/>
        <v>0</v>
      </c>
      <c r="EO112" s="209"/>
      <c r="EP112" s="234"/>
      <c r="EQ112" s="209">
        <f>(IF(EQ$7="X",VLOOKUP(EQ$10,'VK-Hooned-Soojus'!$C:$X,2+$C112,FALSE),0)+IF(EQ$6="X",VLOOKUP(EQ$10,'VK-Transport'!$C:$X,2+$B112,0))+IF(EQ$8="X",VLOOKUP(EQ$10,'VK-Elekter'!$C:$X,2+$D112,0))+IF(EQ$9="X",VLOOKUP(EQ$10,'VK-Biokütused'!$C:$U,2+$E112,0))+IF(EQ$5="X",VLOOKUP(EQ$10,'VK-Põlevkivi'!$C:$X,2+$G112,0))+IF(EQ$4="X",VLOOKUP(EQ$10,'VK-Võrgud'!$C:$X,2+$F112,0)))/1000</f>
        <v>0.22900000000000001</v>
      </c>
      <c r="ER112" s="209">
        <f>(IF(ER$7="X",VLOOKUP(ER$10,'VK-Hooned-Soojus'!$C:$X,2+$C112,FALSE),0)+IF(ER$6="X",VLOOKUP(ER$10,'VK-Transport'!$C:$X,2+$B112,0))+IF(ER$8="X",VLOOKUP(ER$10,'VK-Elekter'!$C:$X,2+$D112,0))+IF(ER$9="X",VLOOKUP(ER$10,'VK-Biokütused'!$C:$U,2+$E112,0))+IF(ER$5="X",VLOOKUP(ER$10,'VK-Põlevkivi'!$C:$X,2+$G112,0))+IF(ER$4="X",VLOOKUP(ER$10,'VK-Võrgud'!$C:$X,2+$F112,0)))</f>
        <v>0.82899999999999996</v>
      </c>
      <c r="ES112" s="209">
        <f>(IF(ES$7="X",VLOOKUP(ES$10,'VK-Hooned-Soojus'!$C:$X,2+$C112,FALSE),0)+IF(ES$6="X",VLOOKUP(ES$10,'VK-Transport'!$C:$X,2+$B112,0))+IF(ES$8="X",VLOOKUP(ES$10,'VK-Elekter'!$C:$X,2+$D112,0))+IF(ES$9="X",VLOOKUP(ES$10,'VK-Biokütused'!$C:$U,2+$E112,0))+IF(ES$5="X",VLOOKUP(ES$10,'VK-Põlevkivi'!$C:$X,2+$G112,0))+IF(ES$4="X",VLOOKUP(ES$10,'VK-Võrgud'!$C:$X,2+$F112,0)))</f>
        <v>11.370000000000001</v>
      </c>
      <c r="ET112" s="209"/>
      <c r="EU112" s="209"/>
      <c r="EV112" s="87">
        <f>'KSH järjestus'!AS105</f>
        <v>1173</v>
      </c>
      <c r="EZ112" s="237">
        <f t="shared" si="91"/>
        <v>0.36609829488465395</v>
      </c>
      <c r="FA112" s="209">
        <f>IF(FA$7="X",VLOOKUP(FA$10,'VK-Hooned-Soojus'!$C:$X,2+$C112,FALSE),0)+IF(FA$6="X",VLOOKUP(FA$10,'VK-Transport'!$C:$X,2+$B112,0))+IF(FA$8="X",VLOOKUP(FA$10,'VK-Elekter'!$C:$X,2+$D112,0))+IF(FA$9="X",VLOOKUP(FA$10,'VK-Biokütused'!$C:$U,2+$E112,0))+IF(FA$5="X",VLOOKUP(FA$10,'VK-Põlevkivi'!$C:$X,2+$G112,0))+IF(FA$4="X",VLOOKUP(FA$10,'VK-Võrgud'!$C:$X,2+$F112,0))</f>
        <v>3103.9189999999999</v>
      </c>
      <c r="FB112" s="279">
        <f>(IF(FB$7="X",VLOOKUP(FB$10,'VK-Hooned-Soojus'!$C:$X,2+$C112,FALSE),0)+IF(FB$6="X",VLOOKUP(FB$10,'VK-Transport'!$C:$X,2+$B112,0))+IF(FB$8="X",VLOOKUP(FB$10,'VK-Elekter'!$C:$X,2+$D112,0))+IF(FB$9="X",VLOOKUP(FB$10,'VK-Biokütused'!$C:$U,2+$E112,0))+IF(FB$5="X",VLOOKUP(FB$10,'VK-Põlevkivi'!$C:$X,2+$G112,0))+IF(FB$4="X",VLOOKUP(FB$10,'VK-Võrgud'!$C:$X,2+$F112,0)))/16</f>
        <v>542.7295303684341</v>
      </c>
      <c r="FC112" s="209">
        <f>IF(FC$7="X",VLOOKUP(FC$10,'VK-Hooned-Soojus'!$C:$X,2+$C112,FALSE),0)+IF(FC$6="X",VLOOKUP(FC$10,'VK-Transport'!$C:$X,2+$B112,0))+IF(FC$8="X",VLOOKUP(FC$10,'VK-Elekter'!$C:$X,2+$D112,0))+IF(FC$9="X",VLOOKUP(FC$10,'VK-Biokütused'!$C:$U,2+$E112,0))+IF(FC$5="X",VLOOKUP(FC$10,'VK-Põlevkivi'!$C:$X,2+$G112,0))+IF(FC$4="X",VLOOKUP(FC$10,'VK-Võrgud'!$C:$X,2+$F112,0))</f>
        <v>315.59999999999997</v>
      </c>
      <c r="FD112" s="209">
        <f>(IF(FD$7="X",VLOOKUP(FD$10,'VK-Hooned-Soojus'!$C:$X,2+$C112,FALSE),0)+IF(FD$6="X",VLOOKUP(FD$10,'VK-Transport'!$C:$X,2+$B112,0))+IF(FD$8="X",VLOOKUP(FD$10,'VK-Elekter'!$C:$X,2+$D112,0))+IF(FD$9="X",VLOOKUP(FD$10,'VK-Biokütused'!$C:$U,2+$E112,0))+IF(FD$5="X",VLOOKUP(FD$10,'VK-Põlevkivi'!$C:$X,2+$G112,0))+IF(FD$4="X",VLOOKUP(FD$10,'VK-Võrgud'!$C:$X,2+$F112,0)))/16</f>
        <v>542.7295303684341</v>
      </c>
      <c r="FE112" s="209">
        <f>(IF(FE$7="X",VLOOKUP(FE$10,'VK-Hooned-Soojus'!$C:$X,2+$C112,FALSE),0)+IF(FE$6="X",VLOOKUP(FE$10,'VK-Transport'!$C:$X,2+$B112,0))+IF(FE$8="X",VLOOKUP(FE$10,'VK-Elekter'!$C:$X,2+$D112,0))+IF(FE$9="X",VLOOKUP(FE$10,'VK-Biokütused'!$C:$U,2+$E112,0))+IF(FE$5="X",VLOOKUP(FE$10,'VK-Põlevkivi'!$C:$X,2+$G112,0))+IF(FE$4="X",VLOOKUP(FE$10,'VK-Võrgud'!$C:$X,2+$F112,0)))/16</f>
        <v>-74.878313699091038</v>
      </c>
      <c r="FF112" s="209">
        <f>(IF(FF$7="X",VLOOKUP(FF$10,'VK-Hooned-Soojus'!$C:$X,2+$C112,FALSE),0)+IF(FF$6="X",VLOOKUP(FF$10,'VK-Transport'!$C:$X,2+$B112,0))+IF(FF$8="X",VLOOKUP(FF$10,'VK-Elekter'!$C:$X,2+$D112,0))+IF(FF$9="X",VLOOKUP(FF$10,'VK-Biokütused'!$C:$U,2+$E112,0))+IF(FF$5="X",VLOOKUP(FF$10,'VK-Põlevkivi'!$C:$X,2+$G112,0))+IF(FF$4="X",VLOOKUP(FF$10,'VK-Võrgud'!$C:$X,2+$F112,0)))/16</f>
        <v>221.21351573432335</v>
      </c>
      <c r="FG112" s="88">
        <f t="shared" ca="1" si="78"/>
        <v>146.33520203523233</v>
      </c>
      <c r="FH112" s="88"/>
      <c r="FI112" s="88"/>
      <c r="FJ112" s="88">
        <f>VLOOKUP(Tulemused!$BN$12,data!M$7:N$12,2,FALSE)-SUM(L112,M112)</f>
        <v>-0.80250937302436398</v>
      </c>
      <c r="FK112" s="209" t="str">
        <f>IF(AZ112&lt;=VLOOKUP(Tulemused!$BN$15,data!$E$36:$F$39,2,FALSE),"JAH","EI")</f>
        <v>JAH</v>
      </c>
      <c r="FL112" s="235">
        <f ca="1">IF(ISNA(MATCH($A112,INDIRECT(VLOOKUP(Tulemused!$BF$11,data!$J$57:$M$71,4,FALSE)))),0,MATCH($A112,INDIRECT(VLOOKUP(Tulemused!$BF$11,data!$J$57:$M$71,4,FALSE))))</f>
        <v>0</v>
      </c>
      <c r="FM112" s="235" t="str">
        <f t="shared" ca="1" si="92"/>
        <v>JAH</v>
      </c>
      <c r="FN112" s="209">
        <f>VLOOKUP(Tulemused!$BN$13,data!$C$132:$D$137,2,FALSE)-KOMBI!R112</f>
        <v>4.3168850093626805</v>
      </c>
      <c r="FO112" s="209"/>
      <c r="FP112" s="209">
        <f>VLOOKUP(Tulemused!$BN$17,NO_x,2,FALSE)-CJ112</f>
        <v>11.787278206757183</v>
      </c>
      <c r="FQ112" s="209">
        <f>VLOOKUP(Tulemused!$BN$18,SO_2,2,FALSE)-CK112</f>
        <v>44.29630119878658</v>
      </c>
      <c r="FR112" s="209">
        <f>VLOOKUP(Tulemused!$BN$19,LOU,2,FALSE)-CN112</f>
        <v>34.029000000000003</v>
      </c>
      <c r="FS112" s="209">
        <f>VLOOKUP(Tulemused!$BN$20,PM_2.5,2,FALSE)-CM112</f>
        <v>8.3661686429099031</v>
      </c>
      <c r="FT112" s="209">
        <f>VLOOKUP(Tulemused!$BN$13,data!$C$132:$D$137,2,FALSE)-FA112/1000</f>
        <v>3.1420510000000008</v>
      </c>
      <c r="FU112" s="209">
        <f>VLOOKUP(Tulemused!$BN$17,NO_x,2,FALSE)-CO112</f>
        <v>6.5506376626430054</v>
      </c>
      <c r="FV112" s="209">
        <f>VLOOKUP(Tulemused!$BN$18,SO_2,2,FALSE)-CP112</f>
        <v>44.844607879306338</v>
      </c>
      <c r="FW112" s="209">
        <f>VLOOKUP(Tulemused!$BN$19,LOU,2,FALSE)-CS112</f>
        <v>33.241350490137769</v>
      </c>
      <c r="FX112" s="209">
        <f>VLOOKUP(Tulemused!$BN$20,PM_2.5,2,FALSE)-CR112</f>
        <v>8.84824816260031</v>
      </c>
      <c r="FY112" s="209">
        <f>VLOOKUP(Tulemused!$BN$14,KHG_2050,2,FALSE)-EF112</f>
        <v>97.007115009362678</v>
      </c>
      <c r="FZ112" s="231" t="str">
        <f t="shared" ca="1" si="79"/>
        <v>EI</v>
      </c>
      <c r="GA112" s="209"/>
      <c r="GB112" s="209"/>
      <c r="GC112" s="209"/>
      <c r="GD112" s="231"/>
      <c r="GE112" s="87">
        <f t="shared" si="93"/>
        <v>1173</v>
      </c>
      <c r="GF112" s="232" t="str">
        <f t="shared" ca="1" si="80"/>
        <v/>
      </c>
      <c r="GH112" s="238" t="e">
        <f t="shared" ca="1" si="94"/>
        <v>#NUM!</v>
      </c>
      <c r="GI112" s="87" t="e">
        <f t="array" aca="1" ref="GI112" ca="1">INDEX($A$11:$A$145, SMALL(IF(GH112=$GF$11:$GF$145, MATCH(ROW($GF$11:$GF$145), ROW($GF$11:$GF$145))), SUM(--(GH112=$GH$11:GH112))))</f>
        <v>#NUM!</v>
      </c>
      <c r="GM112" s="209">
        <f>IF(GM$7="X",VLOOKUP(GM$10,'VK-Hooned-Soojus'!$C:$X,2+$C112,FALSE),0)+IF(GM$6="X",VLOOKUP(GM$10,'VK-Transport'!$C:$X,2+$B112,0))+IF(GM$8="X",VLOOKUP(GM$10,'VK-Elekter'!$C:$X,2+$D112,0))+IF(GM$9="X",VLOOKUP(GM$10,'VK-Biokütused'!$C:$U,2+$E112,0))+IF(GM$5="X",VLOOKUP(GM$10,'VK-Põlevkivi'!$C:$X,2+$G112,0))+IF(GM$4="X",VLOOKUP(GM$10,'VK-Võrgud'!$C:$X,2+$F112,0))</f>
        <v>0</v>
      </c>
      <c r="GN112" s="209">
        <f>IF(GN$7="X",VLOOKUP(GN$10,'VK-Hooned-Soojus'!$C:$X,2+$C112,FALSE),0)+IF(GN$6="X",VLOOKUP(GN$10,'VK-Transport'!$C:$X,2+$B112,0))+IF(GN$8="X",VLOOKUP(GN$10,'VK-Elekter'!$C:$X,2+$D112,0))+IF(GN$9="X",VLOOKUP(GN$10,'VK-Biokütused'!$C:$U,2+$E112,0))+IF(GN$5="X",VLOOKUP(GN$10,'VK-Põlevkivi'!$C:$X,2+$G112,0))+IF(GN$4="X",VLOOKUP(GN$10,'VK-Võrgud'!$C:$X,2+$F112,0))</f>
        <v>7.5434676424145266</v>
      </c>
      <c r="GO112" s="209">
        <f>IF(GO$7="X",VLOOKUP(GO$10,'VK-Hooned-Soojus'!$C:$X,2+$C112,FALSE),0)+IF(GO$6="X",VLOOKUP(GO$10,'VK-Transport'!$C:$X,2+$B112,0))+IF(GO$8="X",VLOOKUP(GO$10,'VK-Elekter'!$C:$X,2+$D112,0))+IF(GO$9="X",VLOOKUP(GO$10,'VK-Biokütused'!$C:$U,2+$E112,0))+IF(GO$5="X",VLOOKUP(GO$10,'VK-Põlevkivi'!$C:$X,2+$G112,0))+IF(GO$4="X",VLOOKUP(GO$10,'VK-Võrgud'!$C:$X,2+$F112,0))</f>
        <v>8.7471755658278116</v>
      </c>
      <c r="GP112" s="209">
        <f>IF(GP$7="X",VLOOKUP(GP$10,'VK-Hooned-Soojus'!$C:$X,2+$C112,FALSE),0)+IF(GP$6="X",VLOOKUP(GP$10,'VK-Transport'!$C:$X,2+$B112,0))+IF(GP$8="X",VLOOKUP(GP$10,'VK-Elekter'!$C:$X,2+$D112,0))+IF(GP$9="X",VLOOKUP(GP$10,'VK-Biokütused'!$C:$U,2+$E112,0))+IF(GP$5="X",VLOOKUP(GP$10,'VK-Põlevkivi'!$C:$X,2+$G112,0))+IF(GP$4="X",VLOOKUP(GP$10,'VK-Võrgud'!$C:$X,2+$F112,0))</f>
        <v>9.3279335818485372</v>
      </c>
      <c r="GQ112" s="88">
        <f>IF(GQ$7="X",VLOOKUP(GQ$10,'VK-Hooned-Soojus'!$C:$X,2+$C112,FALSE),0)+IF(GQ$6="X",VLOOKUP(GQ$10,'VK-Transport'!$C:$X,2+$B112,0))+IF(GQ$8="X",VLOOKUP(GQ$10,'VK-Elekter'!$C:$X,2+$D112,0))+IF(GQ$9="X",VLOOKUP(GQ$10,'VK-Biokütused'!$C:$U,2+$E112,0))+IF(GQ$5="X",VLOOKUP(GQ$10,'VK-Põlevkivi'!$C:$X,2+$G112,0))+IF(GQ$4="X",VLOOKUP(GQ$10,'VK-Võrgud'!$C:$X,2+$F112,0))</f>
        <v>0.89042766952822527</v>
      </c>
      <c r="GR112" s="186">
        <f t="shared" si="81"/>
        <v>0.52807092382614873</v>
      </c>
    </row>
    <row r="113" spans="1:200" x14ac:dyDescent="0.2">
      <c r="A113" s="184">
        <v>103</v>
      </c>
      <c r="B113" s="87">
        <v>3</v>
      </c>
      <c r="C113" s="87">
        <v>1</v>
      </c>
      <c r="D113" s="87">
        <v>5</v>
      </c>
      <c r="E113" s="87">
        <v>1</v>
      </c>
      <c r="F113" s="87">
        <f>VLOOKUP(Tulemused!$BF$7,data!$J$6:$K$8,2,FALSE)</f>
        <v>2</v>
      </c>
      <c r="G113" s="87">
        <f>VLOOKUP(data!$H$2,data!$J$12:$K$14,2,FALSE)</f>
        <v>2</v>
      </c>
      <c r="I113" s="209">
        <f>IF(I$7="X",VLOOKUP(I$10,'VK-Hooned-Soojus'!$C:$X,2+$C113,FALSE),0)+IF(I$6="X",VLOOKUP(I$10,'VK-Transport'!$C:$X,2+$B113,0))+IF(I$8="X",VLOOKUP(I$10,'VK-Elekter'!$C:$X,2+$D113,0))+IF(I$9="X",VLOOKUP(I$10,'VK-Biokütused'!$C:$U,2+$E113,0))+IF(I$5="X",VLOOKUP(I$10,'VK-Põlevkivi'!$C:$X,2+$G113,0))+IF(I$4="X",VLOOKUP(I$10,'VK-Võrgud'!$C:$X,2+$F113,0))</f>
        <v>26.89</v>
      </c>
      <c r="J113" s="209">
        <f>IF(J$7="X",VLOOKUP(J$10,'VK-Hooned-Soojus'!$C:$X,2+$C113,FALSE),0)+IF(J$6="X",VLOOKUP(J$10,'VK-Transport'!$C:$X,2+$B113,0))+IF(J$8="X",VLOOKUP(J$10,'VK-Elekter'!$C:$X,2+$D113,0))+IF(J$9="X",VLOOKUP(J$10,'VK-Biokütused'!$C:$U,2+$E113,0))+IF(J$5="X",VLOOKUP(J$10,'VK-Põlevkivi'!$C:$X,2+$G113,0))+IF(J$4="X",VLOOKUP(J$10,'VK-Võrgud'!$C:$X,2+$F113,0))</f>
        <v>8.1258333333333344</v>
      </c>
      <c r="K113" s="209">
        <f>IF(K$7="X",VLOOKUP(K$10,'VK-Hooned-Soojus'!$C:$X,2+$C113,FALSE),0)+IF(K$6="X",VLOOKUP(K$10,'VK-Transport'!$C:$X,2+$B113,0))+IF(K$8="X",VLOOKUP(K$10,'VK-Elekter'!$C:$X,2+$D113,0))+IF(K$9="X",VLOOKUP(K$10,'VK-Biokütused'!$C:$U,2+$E113,0))+IF(K$5="X",VLOOKUP(K$10,'VK-Põlevkivi'!$C:$X,2+$G113,0))+IF(K$4="X",VLOOKUP(K$10,'VK-Võrgud'!$C:$X,2+$F113,0))</f>
        <v>16.75</v>
      </c>
      <c r="L113" s="209">
        <f>IF(L$7="X",VLOOKUP(L$10,'VK-Hooned-Soojus'!$C:$X,2+$C113,FALSE),0)+IF(L$6="X",VLOOKUP(L$10,'VK-Transport'!$C:$X,2+$B113,0))+IF(L$8="X",VLOOKUP(L$10,'VK-Elekter'!$C:$X,2+$D113,0))+IF(L$9="X",VLOOKUP(L$10,'VK-Biokütused'!$C:$U,2+$E113,0))+IF(L$5="X",VLOOKUP(L$10,'VK-Põlevkivi'!$C:$X,2+$G113,0))+IF(L$4="X",VLOOKUP(L$10,'VK-Võrgud'!$C:$X,2+$F113,0))</f>
        <v>24.95</v>
      </c>
      <c r="M113" s="209">
        <f>IF(M$7="X",VLOOKUP(M$10,'VK-Hooned-Soojus'!$C:$X,2+$C113,FALSE),0)+IF(M$6="X",VLOOKUP(M$10,'VK-Transport'!$C:$X,2+$B113,0))+IF(M$8="X",VLOOKUP(M$10,'VK-Elekter'!$C:$X,2+$D113,0))+IF(M$9="X",VLOOKUP(M$10,'VK-Biokütused'!$C:$U,2+$E113,0))+IF(M$5="X",VLOOKUP(M$10,'VK-Põlevkivi'!$C:$X,2+$G113,0))+IF(M$4="X",VLOOKUP(M$10,'VK-Võrgud'!$C:$X,2+$F113,0))</f>
        <v>8.68530937302436</v>
      </c>
      <c r="N113" s="209">
        <f>IF(N$7="X",VLOOKUP(N$10,'VK-Hooned-Soojus'!$C:$X,2+$C113,FALSE),0)+IF(N$6="X",VLOOKUP(N$10,'VK-Transport'!$C:$X,2+$B113,0))+IF(N$8="X",VLOOKUP(N$10,'VK-Elekter'!$C:$X,2+$D113,0))+IF(N$9="X",VLOOKUP(N$10,'VK-Biokütused'!$C:$U,2+$E113,0))+IF(N$5="X",VLOOKUP(N$10,'VK-Põlevkivi'!$C:$X,2+$G113,0))+IF(N$4="X",VLOOKUP(N$10,'VK-Võrgud'!$C:$X,2+$F113,0))</f>
        <v>16.75</v>
      </c>
      <c r="O113" s="209">
        <f t="shared" si="60"/>
        <v>35.015833333333333</v>
      </c>
      <c r="P113" s="209"/>
      <c r="Q113" s="209">
        <f>(IF(Q$7="X",VLOOKUP(Q$10,'VK-Hooned-Soojus'!$C:$X,2+$C113,FALSE),0)+IF(Q$6="X",VLOOKUP(Q$10,'VK-Transport'!$C:$X,2+$B113,0))+IF(Q$8="X",VLOOKUP(Q$10,'VK-Elekter'!$C:$X,2+$D113,0))+IF(Q$9="X",VLOOKUP(Q$10,'VK-Biokütused'!$C:$U,2+$E113,0))+IF(Q$5="X",VLOOKUP(Q$10,'VK-Põlevkivi'!$C:$X,2+$G113,0))+IF(Q$4="X",VLOOKUP(Q$10,'VK-Võrgud'!$C:$X,2+$F113,0)))/1000</f>
        <v>6.3289999999999997</v>
      </c>
      <c r="R113" s="209">
        <f>(IF(R$7="X",VLOOKUP(R$10,'VK-Hooned-Soojus'!$C:$X,2+$C113,FALSE),0)+IF(R$6="X",VLOOKUP(R$10,'VK-Transport'!$C:$X,2+$B113,0))+IF(R$8="X",VLOOKUP(R$10,'VK-Elekter'!$C:$X,2+$D113,0))+IF(R$9="X",VLOOKUP(R$10,'VK-Biokütused'!$C:$U,2+$E113,0))+IF(R$5="X",VLOOKUP(R$10,'VK-Põlevkivi'!$C:$X,2+$G113,0))+IF(R$4="X",VLOOKUP(R$10,'VK-Võrgud'!$C:$X,2+$F113,0)))/1000</f>
        <v>1.3428849906373199</v>
      </c>
      <c r="S113" s="226">
        <f>VLOOKUP(S$10,'VK-Hooned-Soojus'!$C:$I,2+$C113,FALSE) + VLOOKUP(S$10,'VK-Transport'!$C:$I,2+$B113,FALSE)+ VLOOKUP(S$10,'VK-Biokütused'!$C:$G,2+$E113,FALSE)+ VLOOKUP(S$10,'VK-Elekter'!$C:$I,2+$D113,FALSE)+ VLOOKUP(S$10,'VK-Põlevkivi'!$C:$I,2+$G113,FALSE)+ VLOOKUP(S$10,'VK-Võrgud'!$C:$I,2+$F113,FALSE)</f>
        <v>2.5248358403165066E-2</v>
      </c>
      <c r="T113" s="226">
        <f>VLOOKUP(T$10,'VK-Hooned-Soojus'!$C:$I,2+$C113,FALSE) + VLOOKUP(T$10,'VK-Transport'!$C:$I,2+$B113,FALSE)+ VLOOKUP(T$10,'VK-Biokütused'!$C:$G,2+$E113,FALSE)+ VLOOKUP(T$10,'VK-Elekter'!$C:$I,2+$D113,FALSE)+ VLOOKUP(T$10,'VK-Põlevkivi'!$C:$I,2+$G113,FALSE)+ VLOOKUP(T$10,'VK-Võrgud'!$C:$I,2+$F113,FALSE)</f>
        <v>1.5911569256935688E-2</v>
      </c>
      <c r="U113" s="226">
        <f>VLOOKUP(U$10,'VK-Hooned-Soojus'!$C:$I,2+$C113,FALSE) + VLOOKUP(U$10,'VK-Transport'!$C:$I,2+$B113,FALSE)+ VLOOKUP(U$10,'VK-Biokütused'!$C:$G,2+$E113,FALSE)+ VLOOKUP(U$10,'VK-Elekter'!$C:$I,2+$D113,FALSE)+ VLOOKUP(U$10,'VK-Põlevkivi'!$C:$I,2+$G113,FALSE)+ VLOOKUP(U$10,'VK-Võrgud'!$C:$I,2+$F113,FALSE)</f>
        <v>1.3612754526471454E-2</v>
      </c>
      <c r="V113" s="226">
        <f>VLOOKUP(V$10,'VK-Hooned-Soojus'!$C:$I,2+$C113,FALSE) + VLOOKUP(V$10,'VK-Transport'!$C:$I,2+$B113,FALSE)+ VLOOKUP(V$10,'VK-Biokütused'!$C:$G,2+$E113,FALSE)+ VLOOKUP(V$10,'VK-Elekter'!$C:$I,2+$D113,FALSE)+ VLOOKUP(V$10,'VK-Põlevkivi'!$C:$I,2+$G113,FALSE)+ VLOOKUP(V$10,'VK-Võrgud'!$C:$I,2+$F113,FALSE)</f>
        <v>1.1977565775849306E-2</v>
      </c>
      <c r="W113" s="226">
        <f>VLOOKUP(W$10,'VK-Hooned-Soojus'!$C:$I,2+$C113,FALSE) + VLOOKUP(W$10,'VK-Transport'!$C:$I,2+$B113,FALSE)+ VLOOKUP(W$10,'VK-Biokütused'!$C:$G,2+$E113,FALSE)+ VLOOKUP(W$10,'VK-Elekter'!$C:$I,2+$D113,FALSE)+ VLOOKUP(W$10,'VK-Põlevkivi'!$C:$I,2+$G113,FALSE)+ VLOOKUP(W$10,'VK-Võrgud'!$C:$I,2+$F113,FALSE)</f>
        <v>-2.1476657847096056E-2</v>
      </c>
      <c r="X113" s="226">
        <f>VLOOKUP(X$10,'VK-Hooned-Soojus'!$C:$I,2+$C113,FALSE) + VLOOKUP(X$10,'VK-Transport'!$C:$I,2+$B113,FALSE)+ VLOOKUP(X$10,'VK-Biokütused'!$C:$G,2+$E113,FALSE)+ VLOOKUP(X$10,'VK-Elekter'!$C:$I,2+$D113,FALSE)+ VLOOKUP(X$10,'VK-Põlevkivi'!$C:$I,2+$G113,FALSE)+ VLOOKUP(X$10,'VK-Võrgud'!$C:$I,2+$F113,FALSE)</f>
        <v>4.7402666795386322E-2</v>
      </c>
      <c r="Y113" s="226">
        <f>VLOOKUP(Y$10,'VK-Hooned-Soojus'!$C:$I,2+$C113,FALSE) + VLOOKUP(Y$10,'VK-Transport'!$C:$I,2+$B113,FALSE)+ VLOOKUP(Y$10,'VK-Biokütused'!$C:$G,2+$E113,FALSE)+ VLOOKUP(Y$10,'VK-Elekter'!$C:$I,2+$D113,FALSE)+ VLOOKUP(Y$10,'VK-Põlevkivi'!$C:$I,2+$G113,FALSE)+ VLOOKUP(Y$10,'VK-Võrgud'!$C:$I,2+$F113,FALSE)</f>
        <v>4.5032081990497332E-2</v>
      </c>
      <c r="Z113" s="227">
        <f>(S113*Tulemused!$Q$9*10+T113*Tulemused!$Q$10*10+KOMBI!U113*Tulemused!$Q$11*10+KOMBI!V113*Tulemused!$Q$12*10)*Tulemused!$Q$8+-(W113*Tulemused!$Q$14*10+KOMBI!X113*Tulemused!$Q$15*10+KOMBI!Y113*Tulemused!$Q$16*10)*Tulemused!$Q$13</f>
        <v>6.0247478640556578</v>
      </c>
      <c r="AA113" s="228">
        <f>(IF(AA$7="X",VLOOKUP(AA$10,'VK-Hooned-Soojus'!$C:$X,2+$C113,FALSE),0)+IF(AA$6="X",VLOOKUP(AA$10,'VK-Transport'!$C:$X,2+$B113,0))+IF(AA$8="X",VLOOKUP(AA$10,'VK-Elekter'!$C:$X,2+$D113,0))+IF(AA$9="X",VLOOKUP(AA$10,'VK-Biokütused'!$C:$U,2+$E113,0))+IF(AA$5="X",VLOOKUP(AA$10,'VK-Põlevkivi'!$C:$X,2+$G113,0))+IF(AA$4="X",VLOOKUP(AA$10,'VK-Võrgud'!$C:$X,2+$F113,0)))</f>
        <v>4727</v>
      </c>
      <c r="AB113" s="228">
        <f>(IF(AB$7="X",VLOOKUP(AB$10,'VK-Hooned-Soojus'!$C:$X,2+$C113,FALSE),0)+IF(AB$6="X",VLOOKUP(AB$10,'VK-Transport'!$C:$X,2+$B113,0))+IF(AB$8="X",VLOOKUP(AB$10,'VK-Elekter'!$C:$X,2+$D113,0))+IF(AB$9="X",VLOOKUP(AB$10,'VK-Biokütused'!$C:$U,2+$E113,0))+IF(AB$5="X",VLOOKUP(AB$10,'VK-Põlevkivi'!$C:$X,2+$G113,0))+IF(AB$4="X",VLOOKUP(AB$10,'VK-Võrgud'!$C:$X,2+$F113,0)))</f>
        <v>1602</v>
      </c>
      <c r="AC113" s="228">
        <f>(IF(AC$7="X",VLOOKUP(AC$10,'VK-Hooned-Soojus'!$C:$X,2+$C113,FALSE),0)+IF(AC$6="X",VLOOKUP(AC$10,'VK-Transport'!$C:$X,2+$B113,0))+IF(AC$8="X",VLOOKUP(AC$10,'VK-Elekter'!$C:$X,2+$D113,0))+IF(AC$9="X",VLOOKUP(AC$10,'VK-Biokütused'!$C:$U,2+$E113,0))+IF(AC$5="X",VLOOKUP(AC$10,'VK-Põlevkivi'!$C:$X,2+$G113,0))+IF(AC$4="X",VLOOKUP(AC$10,'VK-Võrgud'!$C:$X,2+$F113,0)))</f>
        <v>2346</v>
      </c>
      <c r="AD113" s="228">
        <f>(IF(AD$7="X",VLOOKUP(AD$10,'VK-Hooned-Soojus'!$C:$X,2+$C113,FALSE),0)+IF(AD$6="X",VLOOKUP(AD$10,'VK-Transport'!$C:$X,2+$B113,0))+IF(AD$8="X",VLOOKUP(AD$10,'VK-Elekter'!$C:$X,2+$D113,0))+IF(AD$9="X",VLOOKUP(AD$10,'VK-Biokütused'!$C:$U,2+$E113,0))+IF(AD$5="X",VLOOKUP(AD$10,'VK-Põlevkivi'!$C:$X,2+$G113,0))+IF(AD$4="X",VLOOKUP(AD$10,'VK-Võrgud'!$C:$X,2+$F113,0)))</f>
        <v>0</v>
      </c>
      <c r="AE113" s="228">
        <f>(IF(AE$7="X",VLOOKUP(AE$10,'VK-Hooned-Soojus'!$C:$X,2+$C113,FALSE),0)+IF(AE$6="X",VLOOKUP(AE$10,'VK-Transport'!$C:$X,2+$B113,0))+IF(AE$8="X",VLOOKUP(AE$10,'VK-Elekter'!$C:$X,2+$D113,0))+IF(AE$9="X",VLOOKUP(AE$10,'VK-Biokütused'!$C:$U,2+$E113,0))+IF(AE$5="X",VLOOKUP(AE$10,'VK-Põlevkivi'!$C:$X,2+$G113,0))+IF(AE$4="X",VLOOKUP(AE$10,'VK-Võrgud'!$C:$X,2+$F113,0)))</f>
        <v>812</v>
      </c>
      <c r="AF113" s="228">
        <f>(IF(AF$7="X",VLOOKUP(AF$10,'VK-Hooned-Soojus'!$C:$X,2+$C113,FALSE),0)+IF(AF$6="X",VLOOKUP(AF$10,'VK-Transport'!$C:$X,2+$B113,0))+IF(AF$8="X",VLOOKUP(AF$10,'VK-Elekter'!$C:$X,2+$D113,0))+IF(AF$9="X",VLOOKUP(AF$10,'VK-Biokütused'!$C:$U,2+$E113,0))+IF(AF$5="X",VLOOKUP(AF$10,'VK-Põlevkivi'!$C:$X,2+$G113,0))+IF(AF$4="X",VLOOKUP(AF$10,'VK-Võrgud'!$C:$X,2+$F113,0)))</f>
        <v>530.88499063732002</v>
      </c>
      <c r="AG113" s="209"/>
      <c r="AH113" s="209">
        <f>IF(AH$7="X",VLOOKUP(AH$10,'VK-Hooned-Soojus'!$C:$X,2+$C113,FALSE),0)+IF(AH$6="X",VLOOKUP(AH$10,'VK-Transport'!$C:$X,2+$B113,0))+IF(AH$8="X",VLOOKUP(AH$10,'VK-Elekter'!$C:$X,2+$D113,0))+IF(AH$9="X",VLOOKUP(AH$10,'VK-Biokütused'!$C:$U,2+$E113,0))+IF(AH$5="X",VLOOKUP(AH$10,'VK-Põlevkivi'!$C:$X,2+$G113,0))+IF(AH$4="X",VLOOKUP(AH$10,'VK-Võrgud'!$C:$X,2+$F113,0))</f>
        <v>17.400000000000002</v>
      </c>
      <c r="AI113" s="209">
        <f>IF(AI$7="X",VLOOKUP(AI$10,'VK-Hooned-Soojus'!$C:$X,2+$C113,FALSE),0)+IF(AI$6="X",VLOOKUP(AI$10,'VK-Transport'!$C:$X,2+$B113,0))+IF(AI$8="X",VLOOKUP(AI$10,'VK-Elekter'!$C:$X,2+$D113,0))+IF(AI$9="X",VLOOKUP(AI$10,'VK-Biokütused'!$C:$U,2+$E113,0))+IF(AI$5="X",VLOOKUP(AI$10,'VK-Põlevkivi'!$C:$X,2+$G113,0))+IF(AI$4="X",VLOOKUP(AI$10,'VK-Võrgud'!$C:$X,2+$F113,0))</f>
        <v>2.3100000000000005</v>
      </c>
      <c r="AJ113" s="209">
        <f>IF(AJ$7="X",VLOOKUP(AJ$10,'VK-Hooned-Soojus'!$C:$X,2+$C113,FALSE),0)+IF(AJ$6="X",VLOOKUP(AJ$10,'VK-Transport'!$C:$X,2+$B113,0))+IF(AJ$8="X",VLOOKUP(AJ$10,'VK-Elekter'!$C:$X,2+$D113,0))+IF(AJ$9="X",VLOOKUP(AJ$10,'VK-Biokütused'!$C:$U,2+$E113,0))+IF(AJ$5="X",VLOOKUP(AJ$10,'VK-Põlevkivi'!$C:$X,2+$G113,0))+IF(AJ$4="X",VLOOKUP(AJ$10,'VK-Võrgud'!$C:$X,2+$F113,0))</f>
        <v>4.59</v>
      </c>
      <c r="AK113" s="209">
        <f>IF(AK$7="X",VLOOKUP(AK$10,'VK-Hooned-Soojus'!$C:$X,2+$C113,FALSE),0)+IF(AK$6="X",VLOOKUP(AK$10,'VK-Transport'!$C:$X,2+$B113,0))+IF(AK$8="X",VLOOKUP(AK$10,'VK-Elekter'!$C:$X,2+$D113,0))+IF(AK$9="X",VLOOKUP(AK$10,'VK-Biokütused'!$C:$U,2+$E113,0))+IF(AK$5="X",VLOOKUP(AK$10,'VK-Põlevkivi'!$C:$X,2+$G113,0))+IF(AK$4="X",VLOOKUP(AK$10,'VK-Võrgud'!$C:$X,2+$F113,0))</f>
        <v>-0.41</v>
      </c>
      <c r="AL113" s="209">
        <f>IF(AL$7="X",VLOOKUP(AL$10,'VK-Hooned-Soojus'!$C:$X,2+$C113,FALSE),0)+IF(AL$6="X",VLOOKUP(AL$10,'VK-Transport'!$C:$X,2+$B113,0))+IF(AL$8="X",VLOOKUP(AL$10,'VK-Elekter'!$C:$X,2+$D113,0))+IF(AL$9="X",VLOOKUP(AL$10,'VK-Biokütused'!$C:$U,2+$E113,0))+IF(AL$5="X",VLOOKUP(AL$10,'VK-Põlevkivi'!$C:$X,2+$G113,0))+IF(AL$4="X",VLOOKUP(AL$10,'VK-Võrgud'!$C:$X,2+$F113,0))</f>
        <v>7.1999999999999993</v>
      </c>
      <c r="AM113" s="209">
        <f>IF(AM$7="X",VLOOKUP(AM$10,'VK-Hooned-Soojus'!$C:$X,2+$C113,FALSE),0)+IF(AM$6="X",VLOOKUP(AM$10,'VK-Transport'!$C:$X,2+$B113,0))+IF(AM$8="X",VLOOKUP(AM$10,'VK-Elekter'!$C:$X,2+$D113,0))+IF(AM$9="X",VLOOKUP(AM$10,'VK-Biokütused'!$C:$U,2+$E113,0))+IF(AM$5="X",VLOOKUP(AM$10,'VK-Põlevkivi'!$C:$X,2+$G113,0))+IF(AM$4="X",VLOOKUP(AM$10,'VK-Võrgud'!$C:$X,2+$F113,0))</f>
        <v>12.9</v>
      </c>
      <c r="AN113" s="209">
        <f>IF(AN$7="X",VLOOKUP(AN$10,'VK-Hooned-Soojus'!$C:$X,2+$C113,FALSE),0)+IF(AN$6="X",VLOOKUP(AN$10,'VK-Transport'!$C:$X,2+$B113,0))+IF(AN$8="X",VLOOKUP(AN$10,'VK-Elekter'!$C:$X,2+$D113,0))+IF(AN$9="X",VLOOKUP(AN$10,'VK-Biokütused'!$C:$U,2+$E113,0))+IF(AN$5="X",VLOOKUP(AN$10,'VK-Põlevkivi'!$C:$X,2+$G113,0))+IF(AN$4="X",VLOOKUP(AN$10,'VK-Võrgud'!$C:$X,2+$F113,0))</f>
        <v>5.6999999999999993</v>
      </c>
      <c r="AO113" s="209">
        <f>IF(AO$7="X",VLOOKUP(AO$10,'VK-Hooned-Soojus'!$C:$X,2+$C113,FALSE),0)+IF(AO$6="X",VLOOKUP(AO$10,'VK-Transport'!$C:$X,2+$B113,0))+IF(AO$8="X",VLOOKUP(AO$10,'VK-Elekter'!$C:$X,2+$D113,0))+IF(AO$9="X",VLOOKUP(AO$10,'VK-Biokütused'!$C:$U,2+$E113,0))+IF(AO$5="X",VLOOKUP(AO$10,'VK-Põlevkivi'!$C:$X,2+$G113,0))+IF(AO$4="X",VLOOKUP(AO$10,'VK-Võrgud'!$C:$X,2+$F113,0))</f>
        <v>13.56</v>
      </c>
      <c r="AP113" s="209">
        <f>IF(AP$7="X",VLOOKUP(AP$10,'VK-Hooned-Soojus'!$C:$X,2+$C113,FALSE),0)+IF(AP$6="X",VLOOKUP(AP$10,'VK-Transport'!$C:$X,2+$B113,0))+IF(AP$8="X",VLOOKUP(AP$10,'VK-Elekter'!$C:$X,2+$D113,0))+IF(AP$9="X",VLOOKUP(AP$10,'VK-Biokütused'!$C:$U,2+$E113,0))+IF(AP$5="X",VLOOKUP(AP$10,'VK-Põlevkivi'!$C:$X,2+$G113,0))+IF(AP$4="X",VLOOKUP(AP$10,'VK-Võrgud'!$C:$X,2+$F113,0))</f>
        <v>6.78</v>
      </c>
      <c r="AQ113" s="320">
        <f t="shared" si="61"/>
        <v>1.2599999999999998</v>
      </c>
      <c r="AR113" s="209">
        <f>IF(AR$7="X",VLOOKUP(AR$10,'VK-Hooned-Soojus'!$C:$X,2+$C113,FALSE),0)+IF(AR$6="X",VLOOKUP(AR$10,'VK-Transport'!$C:$X,2+$B113,0))+IF(AR$8="X",VLOOKUP(AR$10,'VK-Elekter'!$C:$X,2+$D113,0))+IF(AR$9="X",VLOOKUP(AR$10,'VK-Biokütused'!$C:$U,2+$E113,0))+IF(AR$5="X",VLOOKUP(AR$10,'VK-Põlevkivi'!$C:$X,2+$G113,0))+IF(AR$4="X",VLOOKUP(AR$10,'VK-Võrgud'!$C:$X,2+$F113,0))</f>
        <v>13.909999999999998</v>
      </c>
      <c r="AS113" s="235">
        <f>'VK-Põlevkivi'!$F$8-AR113-AU113</f>
        <v>14.198622986547708</v>
      </c>
      <c r="AT113" s="209">
        <f>IF(AT$7="X",VLOOKUP(AT$10,'VK-Hooned-Soojus'!$C:$X,2+$C113,FALSE),0)+IF(AT$6="X",VLOOKUP(AT$10,'VK-Transport'!$C:$X,2+$B113,0))+IF(AT$8="X",VLOOKUP(AT$10,'VK-Elekter'!$C:$X,2+$D113,0))+IF(AT$9="X",VLOOKUP(AT$10,'VK-Biokütused'!$C:$U,2+$E113,0))+IF(AT$5="X",VLOOKUP(AT$10,'VK-Põlevkivi'!$C:$X,2+$G113,0))+IF(AT$4="X",VLOOKUP(AT$10,'VK-Võrgud'!$C:$X,2+$F113,0))</f>
        <v>5.7045296564339489</v>
      </c>
      <c r="AU113" s="235">
        <f>'VK-Põlevkivi'!$F$9-VLOOKUP("Kütuste tarbimine @ 2030 - PÕLEVKIVIÕLI",'VK-Hooned-Soojus'!$C:$X,2+$C113,FALSE)</f>
        <v>28.428043680118964</v>
      </c>
      <c r="AV113" s="209">
        <f>IF(AV$7="X",VLOOKUP(AV$10,'VK-Hooned-Soojus'!$C:$X,2+$C113,FALSE),0)+IF(AV$6="X",VLOOKUP(AV$10,'VK-Transport'!$C:$X,2+$B113,0))+IF(AV$8="X",VLOOKUP(AV$10,'VK-Elekter'!$C:$X,2+$D113,0))+IF(AV$9="X",VLOOKUP(AV$10,'VK-Biokütused'!$C:$U,2+$E113,0))+IF(AV$5="X",VLOOKUP(AV$10,'VK-Põlevkivi'!$C:$X,2+$G113,0))+IF(AV$4="X",VLOOKUP(AV$10,'VK-Võrgud'!$C:$X,2+$F113,0))</f>
        <v>2.1219844082566364</v>
      </c>
      <c r="AW113" s="209">
        <f>IF(AW$7="X",VLOOKUP(AW$10,'VK-Hooned-Soojus'!$C:$X,2+$C113,FALSE),0)+IF(AW$6="X",VLOOKUP(AW$10,'VK-Transport'!$C:$X,2+$B113,0))+IF(AW$8="X",VLOOKUP(AW$10,'VK-Elekter'!$C:$X,2+$D113,0))+IF(AW$9="X",VLOOKUP(AW$10,'VK-Biokütused'!$C:$U,2+$E113,0))+IF(AW$5="X",VLOOKUP(AW$10,'VK-Põlevkivi'!$C:$X,2+$G113,0))+IF(AW$4="X",VLOOKUP(AW$10,'VK-Võrgud'!$C:$X,2+$F113,0))</f>
        <v>0</v>
      </c>
      <c r="AX113" s="229">
        <f t="shared" si="62"/>
        <v>0</v>
      </c>
      <c r="AY113" s="229">
        <f t="shared" si="63"/>
        <v>2.1219844082566364</v>
      </c>
      <c r="AZ113" s="230">
        <f t="shared" si="83"/>
        <v>0.31335829778319707</v>
      </c>
      <c r="BA113" s="209">
        <f>IF(BA$7="X",VLOOKUP(BA$10,'VK-Hooned-Soojus'!$C:$X,2+$C113,FALSE),0)+IF(BA$6="X",VLOOKUP(BA$10,'VK-Transport'!$C:$X,2+$B113,0))+IF(BA$8="X",VLOOKUP(BA$10,'VK-Elekter'!$C:$X,2+$D113,0))+IF(BA$9="X",VLOOKUP(BA$10,'VK-Biokütused'!$C:$U,2+$E113,0))+IF(BA$5="X",VLOOKUP(BA$10,'VK-Põlevkivi'!$C:$X,2+$G113,0))+IF(BA$4="X",VLOOKUP(BA$10,'VK-Võrgud'!$C:$X,2+$F113,0))</f>
        <v>7.41</v>
      </c>
      <c r="BB113" s="209">
        <f>IF(BB$7="X",VLOOKUP(BB$10,'VK-Hooned-Soojus'!$C:$X,2+$C113,FALSE),0)+IF(BB$6="X",VLOOKUP(BB$10,'VK-Transport'!$C:$X,2+$B113,0))+IF(BB$8="X",VLOOKUP(BB$10,'VK-Elekter'!$C:$X,2+$D113,0))+IF(BB$9="X",VLOOKUP(BB$10,'VK-Biokütused'!$C:$U,2+$E113,0))+IF(BB$5="X",VLOOKUP(BB$10,'VK-Põlevkivi'!$C:$X,2+$G113,0))+IF(BB$4="X",VLOOKUP(BB$10,'VK-Võrgud'!$C:$X,2+$F113,0))</f>
        <v>2.96</v>
      </c>
      <c r="BC113" s="209">
        <f>IF(BC$7="X",VLOOKUP(BC$10,'VK-Hooned-Soojus'!$C:$X,2+$C113,FALSE),0)+IF(BC$6="X",VLOOKUP(BC$10,'VK-Transport'!$C:$X,2+$B113,0))+IF(BC$8="X",VLOOKUP(BC$10,'VK-Elekter'!$C:$X,2+$D113,0))+IF(BC$9="X",VLOOKUP(BC$10,'VK-Biokütused'!$C:$U,2+$E113,0))+IF(BC$5="X",VLOOKUP(BC$10,'VK-Põlevkivi'!$C:$X,2+$G113,0))+IF(BC$4="X",VLOOKUP(BC$10,'VK-Võrgud'!$C:$X,2+$F113,0))</f>
        <v>8.0523611111111126</v>
      </c>
      <c r="BD113" s="209">
        <f>IF(BD$7="X",VLOOKUP(BD$10,'VK-Hooned-Soojus'!$C:$X,2+$C113,FALSE),0)+IF(BD$6="X",VLOOKUP(BD$10,'VK-Transport'!$C:$X,2+$B113,0))+IF(BD$8="X",VLOOKUP(BD$10,'VK-Elekter'!$C:$X,2+$D113,0))+IF(BD$9="X",VLOOKUP(BD$10,'VK-Biokütused'!$C:$U,2+$E113,0))+IF(BD$5="X",VLOOKUP(BD$10,'VK-Põlevkivi'!$C:$X,2+$G113,0))+IF(BD$4="X",VLOOKUP(BD$10,'VK-Võrgud'!$C:$X,2+$F113,0))</f>
        <v>10.42138888888889</v>
      </c>
      <c r="BE113" s="230"/>
      <c r="BF113" s="229">
        <f t="shared" si="64"/>
        <v>0.28029402570781448</v>
      </c>
      <c r="BG113" s="209" t="e">
        <f>(IF(BG$7="X",VLOOKUP(BG$10,'VK-Hooned-Soojus'!$C:$X,2+$C113,FALSE),0)+IF(BG$6="X",VLOOKUP(BG$10,'VK-Transport'!$C:$X,2+$B113,0))+IF(BG$8="X",VLOOKUP(BG$10,'VK-Elekter'!$C:$X,2+$D113,0))+IF(BG$9="X",VLOOKUP(BG$10,'VK-Biokütused'!$C:$U,2+$E113,0))+IF(BG$5="X",VLOOKUP(BG$10,'VK-Põlevkivi'!$C:$X,2+$G113,0))+IF(BG$4="X",VLOOKUP(BG$10,'VK-Võrgud'!$C:$X,2+$F113,0)))/20</f>
        <v>#N/A</v>
      </c>
      <c r="BH113" s="209">
        <f>(IF(BH$7="X",VLOOKUP(BH$10,'VK-Hooned-Soojus'!$C:$X,2+$C113,FALSE),0)+IF(BH$6="X",VLOOKUP(BH$10,'VK-Transport'!$C:$X,2+$B113,0))+IF(BH$8="X",VLOOKUP(BH$10,'VK-Elekter'!$C:$X,2+$D113,0))+IF(BH$9="X",VLOOKUP(BH$10,'VK-Biokütused'!$C:$U,2+$E113,0))+IF(BH$5="X",VLOOKUP(BH$10,'VK-Põlevkivi'!$C:$X,2+$G113,0))+IF(BH$4="X",VLOOKUP(BH$10,'VK-Võrgud'!$C:$X,2+$F113,0)))/20</f>
        <v>13.99</v>
      </c>
      <c r="BI113" s="209">
        <f>(IF(BI$7="X",VLOOKUP(BI$10,'VK-Hooned-Soojus'!$C:$X,2+$C113,FALSE),0)+IF(BI$6="X",VLOOKUP(BI$10,'VK-Transport'!$C:$X,2+$B113,0))+IF(BI$8="X",VLOOKUP(BI$10,'VK-Elekter'!$C:$X,2+$D113,0))+IF(BI$9="X",VLOOKUP(BI$10,'VK-Biokütused'!$C:$U,2+$E113,0))+IF(BI$5="X",VLOOKUP(BI$10,'VK-Põlevkivi'!$C:$X,2+$G113,0))+IF(BI$4="X",VLOOKUP(BI$10,'VK-Võrgud'!$C:$X,2+$F113,0)))/16</f>
        <v>17.75</v>
      </c>
      <c r="BJ113" s="209">
        <f>(IF(BJ$7="X",VLOOKUP(BJ$10,'VK-Hooned-Soojus'!$C:$X,2+$C113,FALSE),0)+IF(BJ$6="X",VLOOKUP(BJ$10,'VK-Transport'!$C:$X,2+$B113,0))+IF(BJ$8="X",VLOOKUP(BJ$10,'VK-Elekter'!$C:$X,2+$D113,0))+IF(BJ$9="X",VLOOKUP(BJ$10,'VK-Biokütused'!$C:$U,2+$E113,0))+IF(BJ$5="X",VLOOKUP(BJ$10,'VK-Põlevkivi'!$C:$X,2+$G113,0))+IF(BJ$4="X",VLOOKUP(BJ$10,'VK-Võrgud'!$C:$X,2+$F113,0)))/20</f>
        <v>1.85</v>
      </c>
      <c r="BK113" s="209"/>
      <c r="BL113" s="209"/>
      <c r="BM113" s="209"/>
      <c r="BN113" s="209" t="e">
        <f>(IF(BN$7="X",VLOOKUP(BN$10,'VK-Hooned-Soojus'!$C:$X,2+$C113,FALSE),0)+IF(BN$6="X",VLOOKUP(BN$10,'VK-Transport'!$C:$X,2+$B113,0))+IF(BN$8="X",VLOOKUP(BN$10,'VK-Elekter'!$C:$X,2+$D113,0))+IF(BN$9="X",VLOOKUP(BN$10,'VK-Biokütused'!$C:$U,2+$E113,0))+IF(BN$5="X",VLOOKUP(BN$10,'VK-Põlevkivi'!$C:$X,2+$G113,0))+IF(BN$4="X",VLOOKUP(BN$10,'VK-Võrgud'!$C:$X,2+$F113,0)))/16</f>
        <v>#N/A</v>
      </c>
      <c r="BO113" s="209">
        <f>(IF(BO$7="X",VLOOKUP(BO$10,'VK-Hooned-Soojus'!$C:$X,2+$C113,FALSE),0)+IF(BO$6="X",VLOOKUP(BO$10,'VK-Transport'!$C:$X,2+$B113,0))+IF(BO$8="X",VLOOKUP(BO$10,'VK-Elekter'!$C:$X,2+$D113,0))+IF(BO$9="X",VLOOKUP(BO$10,'VK-Biokütused'!$C:$U,2+$E113,0))+IF(BO$5="X",VLOOKUP(BO$10,'VK-Põlevkivi'!$C:$X,2+$G113,0))+IF(BO$4="X",VLOOKUP(BO$10,'VK-Võrgud'!$C:$X,2+$F113,0)))/16</f>
        <v>322.79374999999999</v>
      </c>
      <c r="BP113" s="209"/>
      <c r="BQ113" s="209">
        <f>(IF(BQ$7="X",VLOOKUP(BQ$10,'VK-Hooned-Soojus'!$C:$X,2+$C113,FALSE),0)+IF(BQ$6="X",VLOOKUP(BQ$10,'VK-Transport'!$C:$X,2+$B113,0))+IF(BQ$8="X",VLOOKUP(BQ$10,'VK-Elekter'!$C:$X,2+$D113,0))+IF(BQ$9="X",VLOOKUP(BQ$10,'VK-Biokütused'!$C:$U,2+$E113,0))+IF(BQ$5="X",VLOOKUP(BQ$10,'VK-Põlevkivi'!$C:$X,2+$G113,0))+IF(BQ$4="X",VLOOKUP(BQ$10,'VK-Võrgud'!$C:$X,2+$F113,0)))/16</f>
        <v>233.20625000000001</v>
      </c>
      <c r="BR113" s="209">
        <f>(IF(BR$7="X",VLOOKUP(BR$10,'VK-Hooned-Soojus'!$C:$X,2+$C113,FALSE),0)+IF(BR$6="X",VLOOKUP(BR$10,'VK-Transport'!$C:$X,2+$B113,0))+IF(BR$8="X",VLOOKUP(BR$10,'VK-Elekter'!$C:$X,2+$D113,0))+IF(BR$9="X",VLOOKUP(BR$10,'VK-Biokütused'!$C:$U,2+$E113,0))+IF(BR$5="X",VLOOKUP(BR$10,'VK-Põlevkivi'!$C:$X,2+$G113,0))+IF(BR$4="X",VLOOKUP(BR$10,'VK-Võrgud'!$C:$X,2+$F113,0)))/16</f>
        <v>74.512500000000003</v>
      </c>
      <c r="BS113" s="209">
        <f>(IF(BS$7="X",VLOOKUP(BS$10,'VK-Hooned-Soojus'!$C:$X,2+$C113,FALSE),0)+IF(BS$6="X",VLOOKUP(BS$10,'VK-Transport'!$C:$X,2+$B113,0))+IF(BS$8="X",VLOOKUP(BS$10,'VK-Elekter'!$C:$X,2+$D113,0))+IF(BS$9="X",VLOOKUP(BS$10,'VK-Biokütused'!$C:$U,2+$E113,0))+IF(BS$5="X",VLOOKUP(BS$10,'VK-Põlevkivi'!$C:$X,2+$G113,0))+IF(BS$4="X",VLOOKUP(BS$10,'VK-Võrgud'!$C:$X,2+$F113,0)))/16</f>
        <v>-21.475000000000001</v>
      </c>
      <c r="BT113" s="209"/>
      <c r="BU113" s="209"/>
      <c r="BV113" s="209">
        <f>(IF(BV$7="X",VLOOKUP(BV$10,'VK-Hooned-Soojus'!$C:$X,2+$C113,FALSE),0)+IF(BV$6="X",VLOOKUP(BV$10,'VK-Transport'!$C:$X,2+$B113,0))+IF(BV$8="X",VLOOKUP(BV$10,'VK-Elekter'!$C:$X,2+$D113,0))+IF(BV$9="X",VLOOKUP(BV$10,'VK-Biokütused'!$C:$U,2+$E113,0))+IF(BV$5="X",VLOOKUP(BV$10,'VK-Põlevkivi'!$C:$X,2+$G113,0))+IF(BV$4="X",VLOOKUP(BV$10,'VK-Võrgud'!$C:$X,2+$F113,0)))/16</f>
        <v>0</v>
      </c>
      <c r="BW113" s="209"/>
      <c r="BX113" s="209">
        <f>(IF(BX$7="X",VLOOKUP(BX$10,'VK-Hooned-Soojus'!$C:$X,2+$C113,FALSE),0)+IF(BX$6="X",VLOOKUP(BX$10,'VK-Transport'!$C:$X,2+$B113,0))+IF(BX$8="X",VLOOKUP(BX$10,'VK-Elekter'!$C:$X,2+$D113,0))+IF(BX$9="X",VLOOKUP(BX$10,'VK-Biokütused'!$C:$U,2+$E113,0))+IF(BX$5="X",VLOOKUP(BX$10,'VK-Põlevkivi'!$C:$X,2+$G113,0))+IF(BX$4="X",VLOOKUP(BX$10,'VK-Võrgud'!$C:$X,2+$F113,0)))/16</f>
        <v>-145.125</v>
      </c>
      <c r="BY113" s="209"/>
      <c r="BZ113" s="209"/>
      <c r="CA113" s="209" t="e">
        <f>(IF(CA$7="X",VLOOKUP(CA$10,'VK-Hooned-Soojus'!$C:$X,2+$C113,FALSE),0)+IF(CA$6="X",VLOOKUP(CA$10,'VK-Transport'!$C:$X,2+$B113,0))+IF(CA$8="X",VLOOKUP(CA$10,'VK-Elekter'!$C:$X,2+$D113,0))+IF(CA$9="X",VLOOKUP(CA$10,'VK-Biokütused'!$C:$U,2+$E113,0))+IF(CA$5="X",VLOOKUP(CA$10,'VK-Põlevkivi'!$C:$X,2+$G113,0))+IF(CA$4="X",VLOOKUP(CA$10,'VK-Võrgud'!$C:$X,2+$F113,0)))/16</f>
        <v>#N/A</v>
      </c>
      <c r="CB113" s="209">
        <f>(IF(CB$7="X",VLOOKUP(CB$10,'VK-Hooned-Soojus'!$C:$X,2+$C113,FALSE),0)+IF(CB$6="X",VLOOKUP(CB$10,'VK-Transport'!$C:$X,2+$B113,0))+IF(CB$8="X",VLOOKUP(CB$10,'VK-Elekter'!$C:$X,2+$D113,0))+IF(CB$9="X",VLOOKUP(CB$10,'VK-Biokütused'!$C:$U,2+$E113,0))+IF(CB$5="X",VLOOKUP(CB$10,'VK-Põlevkivi'!$C:$X,2+$G113,0))+IF(CB$4="X",VLOOKUP(CB$10,'VK-Võrgud'!$C:$X,2+$F113,0)))/16</f>
        <v>0</v>
      </c>
      <c r="CC113" s="209">
        <f>(IF(CC$7="X",VLOOKUP(CC$10,'VK-Hooned-Soojus'!$C:$X,2+$C113,FALSE),0)+IF(CC$6="X",VLOOKUP(CC$10,'VK-Transport'!$C:$X,2+$B113,0))+IF(CC$8="X",VLOOKUP(CC$10,'VK-Elekter'!$C:$X,2+$D113,0))+IF(CC$9="X",VLOOKUP(CC$10,'VK-Biokütused'!$C:$U,2+$E113,0))+IF(CC$5="X",VLOOKUP(CC$10,'VK-Põlevkivi'!$C:$X,2+$G113,0))+IF(CC$4="X",VLOOKUP(CC$10,'VK-Võrgud'!$C:$X,2+$F113,0)))/16</f>
        <v>0</v>
      </c>
      <c r="CD113" s="209"/>
      <c r="CE113" s="209">
        <f>(IF(CE$7="X",VLOOKUP(CE$10,'VK-Hooned-Soojus'!$C:$X,2+$C113,FALSE),0)+IF(CE$6="X",VLOOKUP(CE$10,'VK-Transport'!$C:$X,2+$B113,0))+IF(CE$8="X",VLOOKUP(CE$10,'VK-Elekter'!$C:$X,2+$D113,0))+IF(CE$9="X",VLOOKUP(CE$10,'VK-Biokütused'!$C:$U,2+$E113,0))+IF(CE$5="X",VLOOKUP(CE$10,'VK-Põlevkivi'!$C:$X,2+$G113,0))+IF(CE$4="X",VLOOKUP(CE$10,'VK-Võrgud'!$C:$X,2+$F113,0)))/16</f>
        <v>24.15625</v>
      </c>
      <c r="CF113" s="209"/>
      <c r="CG113" s="209">
        <f>(IF(CG$7="X",VLOOKUP(CG$10,'VK-Hooned-Soojus'!$C:$X,2+$C113,FALSE),0)+IF(CG$6="X",VLOOKUP(CG$10,'VK-Transport'!$C:$X,2+$B113,0))+IF(CG$8="X",VLOOKUP(CG$10,'VK-Elekter'!$C:$X,2+$D113,0))+IF(CG$9="X",VLOOKUP(CG$10,'VK-Biokütused'!$C:$U,2+$E113,0))+IF(CG$5="X",VLOOKUP(CG$10,'VK-Põlevkivi'!$C:$X,2+$G113,0))+IF(CG$4="X",VLOOKUP(CG$10,'VK-Võrgud'!$C:$X,2+$F113,0)))/16</f>
        <v>0</v>
      </c>
      <c r="CH113" s="209">
        <f>(IF(CH$7="X",VLOOKUP(CH$10,'VK-Hooned-Soojus'!$C:$X,2+$C113,FALSE),0)+IF(CH$6="X",VLOOKUP(CH$10,'VK-Transport'!$C:$X,2+$B113,0))+IF(CH$8="X",VLOOKUP(CH$10,'VK-Elekter'!$C:$X,2+$D113,0))+IF(CH$9="X",VLOOKUP(CH$10,'VK-Biokütused'!$C:$U,2+$E113,0))+IF(CH$5="X",VLOOKUP(CH$10,'VK-Põlevkivi'!$C:$X,2+$G113,0))+IF(CH$4="X",VLOOKUP(CH$10,'VK-Võrgud'!$C:$X,2+$F113,0)))/20*0.21</f>
        <v>5.6122500000000004</v>
      </c>
      <c r="CI113" s="209"/>
      <c r="CJ113" s="209">
        <f>(IF(CJ$7="X",VLOOKUP(CJ$10,'VK-Hooned-Soojus'!$C:$X,2+$C113,FALSE),0)+IF(CJ$6="X",VLOOKUP(CJ$10,'VK-Transport'!$C:$X,2+$B113,0))+IF(CJ$8="X",VLOOKUP(CJ$10,'VK-Elekter'!$C:$X,2+$D113,0))+IF(CJ$9="X",VLOOKUP(CJ$10,'VK-Biokütused'!$C:$U,2+$E113,0))+IF(CJ$5="X",VLOOKUP(CJ$10,'VK-Põlevkivi'!$C:$X,2+$G113,0))+IF(CJ$4="X",VLOOKUP(CJ$10,'VK-Võrgud'!$C:$X,2+$F113,0)))/1000</f>
        <v>22.548999999999999</v>
      </c>
      <c r="CK113" s="209">
        <f>(IF(CK$7="X",VLOOKUP(CK$10,'VK-Hooned-Soojus'!$C:$X,2+$C113,FALSE),0)+IF(CK$6="X",VLOOKUP(CK$10,'VK-Transport'!$C:$X,2+$B113,0))+IF(CK$8="X",VLOOKUP(CK$10,'VK-Elekter'!$C:$X,2+$D113,0))+IF(CK$9="X",VLOOKUP(CK$10,'VK-Biokütused'!$C:$U,2+$E113,0))+IF(CK$5="X",VLOOKUP(CK$10,'VK-Põlevkivi'!$C:$X,2+$G113,0))+IF(CK$4="X",VLOOKUP(CK$10,'VK-Võrgud'!$C:$X,2+$F113,0)))/1000</f>
        <v>39.419669554234019</v>
      </c>
      <c r="CL113" s="209">
        <f>(IF(CL$7="X",VLOOKUP(CL$10,'VK-Hooned-Soojus'!$C:$X,2+$C113,FALSE),0)+IF(CL$6="X",VLOOKUP(CL$10,'VK-Transport'!$C:$X,2+$B113,0))+IF(CL$8="X",VLOOKUP(CL$10,'VK-Elekter'!$C:$X,2+$D113,0))+IF(CL$9="X",VLOOKUP(CL$10,'VK-Biokütused'!$C:$U,2+$E113,0))+IF(CL$5="X",VLOOKUP(CL$10,'VK-Põlevkivi'!$C:$X,2+$G113,0))+IF(CL$4="X",VLOOKUP(CL$10,'VK-Võrgud'!$C:$X,2+$F113,0)))/1000</f>
        <v>11.244630311598682</v>
      </c>
      <c r="CM113" s="209">
        <f>(IF(CM$7="X",VLOOKUP(CM$10,'VK-Hooned-Soojus'!$C:$X,2+$C113,FALSE),0)+IF(CM$6="X",VLOOKUP(CM$10,'VK-Transport'!$C:$X,2+$B113,0))+IF(CM$8="X",VLOOKUP(CM$10,'VK-Elekter'!$C:$X,2+$D113,0))+IF(CM$9="X",VLOOKUP(CM$10,'VK-Biokütused'!$C:$U,2+$E113,0))+IF(CM$5="X",VLOOKUP(CM$10,'VK-Põlevkivi'!$C:$X,2+$G113,0))+IF(CM$4="X",VLOOKUP(CM$10,'VK-Võrgud'!$C:$X,2+$F113,0)))/1000</f>
        <v>8.4649896156049156</v>
      </c>
      <c r="CN113" s="209">
        <f>(IF(CN$7="X",VLOOKUP(CN$10,'VK-Hooned-Soojus'!$C:$X,2+$C113,FALSE),0)+IF(CN$6="X",VLOOKUP(CN$10,'VK-Transport'!$C:$X,2+$B113,0))+IF(CN$8="X",VLOOKUP(CN$10,'VK-Elekter'!$C:$X,2+$D113,0))+IF(CN$9="X",VLOOKUP(CN$10,'VK-Biokütused'!$C:$U,2+$E113,0))+IF(CN$5="X",VLOOKUP(CN$10,'VK-Põlevkivi'!$C:$X,2+$G113,0))+IF(CN$4="X",VLOOKUP(CN$10,'VK-Võrgud'!$C:$X,2+$F113,0)))/1000</f>
        <v>3.0510000000000002</v>
      </c>
      <c r="CO113" s="209">
        <f>(IF(CO$7="X",VLOOKUP(CO$10,'VK-Hooned-Soojus'!$C:$X,2+$C113,FALSE),0)+IF(CO$6="X",VLOOKUP(CO$10,'VK-Transport'!$C:$X,2+$B113,0))+IF(CO$8="X",VLOOKUP(CO$10,'VK-Elekter'!$C:$X,2+$D113,0))+IF(CO$9="X",VLOOKUP(CO$10,'VK-Biokütused'!$C:$U,2+$E113,0))+IF(CO$5="X",VLOOKUP(CO$10,'VK-Põlevkivi'!$C:$X,2+$G113,0))+IF(CO$4="X",VLOOKUP(CO$10,'VK-Võrgud'!$C:$X,2+$F113,0)))/1000</f>
        <v>29.463362337356994</v>
      </c>
      <c r="CP113" s="209">
        <f>(IF(CP$7="X",VLOOKUP(CP$10,'VK-Hooned-Soojus'!$C:$X,2+$C113,FALSE),0)+IF(CP$6="X",VLOOKUP(CP$10,'VK-Transport'!$C:$X,2+$B113,0))+IF(CP$8="X",VLOOKUP(CP$10,'VK-Elekter'!$C:$X,2+$D113,0))+IF(CP$9="X",VLOOKUP(CP$10,'VK-Biokütused'!$C:$U,2+$E113,0))+IF(CP$5="X",VLOOKUP(CP$10,'VK-Põlevkivi'!$C:$X,2+$G113,0))+IF(CP$4="X",VLOOKUP(CP$10,'VK-Võrgud'!$C:$X,2+$F113,0)))/1000</f>
        <v>32.719874014997934</v>
      </c>
      <c r="CQ113" s="209">
        <f>(IF(CQ$7="X",VLOOKUP(CQ$10,'VK-Hooned-Soojus'!$C:$X,2+$C113,FALSE),0)+IF(CQ$6="X",VLOOKUP(CQ$10,'VK-Transport'!$C:$X,2+$B113,0))+IF(CQ$8="X",VLOOKUP(CQ$10,'VK-Elekter'!$C:$X,2+$D113,0))+IF(CQ$9="X",VLOOKUP(CQ$10,'VK-Biokütused'!$C:$U,2+$E113,0))+IF(CQ$5="X",VLOOKUP(CQ$10,'VK-Põlevkivi'!$C:$X,2+$G113,0))+IF(CQ$4="X",VLOOKUP(CQ$10,'VK-Võrgud'!$C:$X,2+$F113,0)))/1000</f>
        <v>16.921919000000003</v>
      </c>
      <c r="CR113" s="209">
        <f>(IF(CR$7="X",VLOOKUP(CR$10,'VK-Hooned-Soojus'!$C:$X,2+$C113,FALSE),0)+IF(CR$6="X",VLOOKUP(CR$10,'VK-Transport'!$C:$X,2+$B113,0))+IF(CR$8="X",VLOOKUP(CR$10,'VK-Elekter'!$C:$X,2+$D113,0))+IF(CR$9="X",VLOOKUP(CR$10,'VK-Biokütused'!$C:$U,2+$E113,0))+IF(CR$5="X",VLOOKUP(CR$10,'VK-Põlevkivi'!$C:$X,2+$G113,0))+IF(CR$4="X",VLOOKUP(CR$10,'VK-Võrgud'!$C:$X,2+$F113,0)))/1000</f>
        <v>8.3977518373996904</v>
      </c>
      <c r="CS113" s="209">
        <f>(IF(CS$7="X",VLOOKUP(CS$10,'VK-Hooned-Soojus'!$C:$X,2+$C113,FALSE),0)+IF(CS$6="X",VLOOKUP(CS$10,'VK-Transport'!$C:$X,2+$B113,0))+IF(CS$8="X",VLOOKUP(CS$10,'VK-Elekter'!$C:$X,2+$D113,0))+IF(CS$9="X",VLOOKUP(CS$10,'VK-Biokütused'!$C:$U,2+$E113,0))+IF(CS$5="X",VLOOKUP(CS$10,'VK-Põlevkivi'!$C:$X,2+$G113,0))+IF(CS$4="X",VLOOKUP(CS$10,'VK-Võrgud'!$C:$X,2+$F113,0)))/1000</f>
        <v>3.838649509862238</v>
      </c>
      <c r="CT113" s="209">
        <f>IF(CT$7="X",VLOOKUP(CT$10,'VK-Hooned-Soojus'!$C:$X,2+$C113,FALSE),0)+IF(CT$6="X",VLOOKUP(CT$10,'VK-Transport'!$C:$X,2+$B113,0))+IF(CT$8="X",VLOOKUP(CT$10,'VK-Elekter'!$C:$X,2+$D113,0))+IF(CT$9="X",VLOOKUP(CT$10,'VK-Biokütused'!$C:$U,2+$E113,0))+IF(CT$5="X",VLOOKUP(CT$10,'VK-Põlevkivi'!$C:$X,2+$G113,0))+IF(CT$4="X",VLOOKUP(CT$10,'VK-Võrgud'!$C:$X,2+$F113,0))</f>
        <v>90</v>
      </c>
      <c r="CU113" s="209">
        <f>IF(CU$7="X",VLOOKUP(CU$10,'VK-Hooned-Soojus'!$C:$X,2+$C113,FALSE),0)+IF(CU$6="X",VLOOKUP(CU$10,'VK-Transport'!$C:$X,2+$B113,0))+IF(CU$8="X",VLOOKUP(CU$10,'VK-Elekter'!$C:$X,2+$D113,0))+IF(CU$9="X",VLOOKUP(CU$10,'VK-Biokütused'!$C:$U,2+$E113,0))+IF(CU$5="X",VLOOKUP(CU$10,'VK-Põlevkivi'!$C:$X,2+$G113,0))+IF(CU$4="X",VLOOKUP(CU$10,'VK-Võrgud'!$C:$X,2+$F113,0))</f>
        <v>1</v>
      </c>
      <c r="CV113" s="209">
        <f t="shared" si="84"/>
        <v>1</v>
      </c>
      <c r="CW113" s="209">
        <f>(IF(CW$7="X",VLOOKUP(CW$10,'VK-Hooned-Soojus'!$C:$X,2+$C113,FALSE),0)+IF(CW$6="X",VLOOKUP(CW$10,'VK-Transport'!$C:$X,2+$B113,0))+IF(CW$8="X",VLOOKUP(CW$10,'VK-Elekter'!$C:$X,2+$D113,0))+IF(CW$9="X",VLOOKUP(CW$10,'VK-Biokütused'!$C:$U,2+$E113,0))+IF(CW$5="X",VLOOKUP(CW$10,'VK-Põlevkivi'!$C:$X,2+$G113,0))+IF(CW$4="X",VLOOKUP(CW$10,'VK-Võrgud'!$C:$X,2+$F113,0)))/16</f>
        <v>0</v>
      </c>
      <c r="CY113" s="209">
        <f>(IF(CY$7="X",VLOOKUP(CY$10,'VK-Hooned-Soojus'!$C:$X,2+$C113,FALSE),0)+IF(CY$6="X",VLOOKUP(CY$10,'VK-Transport'!$C:$X,2+$B113,0))+IF(CY$8="X",VLOOKUP(CY$10,'VK-Elekter'!$C:$X,2+$D113,0))+IF(CY$9="X",VLOOKUP(CY$10,'VK-Biokütused'!$C:$U,2+$E113,0))+IF(CY$5="X",VLOOKUP(CY$10,'VK-Põlevkivi'!$C:$X,2+$G113,0))+IF(CY$4="X",VLOOKUP(CY$10,'VK-Võrgud'!$C:$X,2+$F113,0)))/1000</f>
        <v>11.404</v>
      </c>
      <c r="CZ113" s="209">
        <f>(IF(CZ$7="X",VLOOKUP(CZ$10,'VK-Hooned-Soojus'!$C:$X,2+$C113,FALSE),0)+IF(CZ$6="X",VLOOKUP(CZ$10,'VK-Transport'!$C:$X,2+$B113,0))+IF(CZ$8="X",VLOOKUP(CZ$10,'VK-Elekter'!$C:$X,2+$D113,0))+IF(CZ$9="X",VLOOKUP(CZ$10,'VK-Biokütused'!$C:$U,2+$E113,0))+IF(CZ$5="X",VLOOKUP(CZ$10,'VK-Põlevkivi'!$C:$X,2+$G113,0))+IF(CZ$4="X",VLOOKUP(CZ$10,'VK-Võrgud'!$C:$X,2+$F113,0)))</f>
        <v>95</v>
      </c>
      <c r="DA113" s="209">
        <f>(IF(DA$7="X",VLOOKUP(DA$10,'VK-Hooned-Soojus'!$C:$X,2+$C113,FALSE),0)+IF(DA$6="X",VLOOKUP(DA$10,'VK-Transport'!$C:$X,2+$B113,0))+IF(DA$8="X",VLOOKUP(DA$10,'VK-Elekter'!$C:$X,2+$D113,0))+IF(DA$9="X",VLOOKUP(DA$10,'VK-Biokütused'!$C:$U,2+$E113,0))+IF(DA$5="X",VLOOKUP(DA$10,'VK-Põlevkivi'!$C:$X,2+$G113,0))+IF(DA$4="X",VLOOKUP(DA$10,'VK-Võrgud'!$C:$X,2+$F113,0)))/1000</f>
        <v>16.282</v>
      </c>
      <c r="DB113" s="209">
        <f>(IF(DB$7="X",VLOOKUP(DB$10,'VK-Hooned-Soojus'!$C:$X,2+$C113,FALSE),0)+IF(DB$6="X",VLOOKUP(DB$10,'VK-Transport'!$C:$X,2+$B113,0))+IF(DB$8="X",VLOOKUP(DB$10,'VK-Elekter'!$C:$X,2+$D113,0))+IF(DB$9="X",VLOOKUP(DB$10,'VK-Biokütused'!$C:$U,2+$E113,0))+IF(DB$5="X",VLOOKUP(DB$10,'VK-Põlevkivi'!$C:$X,2+$G113,0))+IF(DB$4="X",VLOOKUP(DB$10,'VK-Võrgud'!$C:$X,2+$F113,0)))/1000/3.6</f>
        <v>135.59083333333334</v>
      </c>
      <c r="DC113" s="209">
        <f>(IF(DC$7="X",VLOOKUP(DC$10,'VK-Hooned-Soojus'!$C:$X,2+$C113,FALSE),0)+IF(DC$6="X",VLOOKUP(DC$10,'VK-Transport'!$C:$X,2+$B113,0))+IF(DC$8="X",VLOOKUP(DC$10,'VK-Elekter'!$C:$X,2+$D113,0))+IF(DC$9="X",VLOOKUP(DC$10,'VK-Biokütused'!$C:$U,2+$E113,0))+IF(DC$5="X",VLOOKUP(DC$10,'VK-Põlevkivi'!$C:$X,2+$G113,0))+IF(DC$4="X",VLOOKUP(DC$10,'VK-Võrgud'!$C:$X,2+$F113,0)))/1000000</f>
        <v>7.3121600000000004</v>
      </c>
      <c r="DD113" s="209"/>
      <c r="DE113" s="88">
        <f>VLOOKUP(Tulemused!$BN$12,data!M$7:N$12,2,FALSE)-SUM(L113,M113)</f>
        <v>-0.80250937302436398</v>
      </c>
      <c r="DF113" s="209" t="str">
        <f>IF(AZ113&lt;=VLOOKUP(Tulemused!$BN$15,data!$E$36:$F$39,2,FALSE),"JAH","EI")</f>
        <v>JAH</v>
      </c>
      <c r="DG113" s="209"/>
      <c r="DH113" s="209">
        <f t="shared" si="85"/>
        <v>6.78</v>
      </c>
      <c r="DI113" s="231" t="str">
        <f t="shared" si="65"/>
        <v>EI</v>
      </c>
      <c r="DK113" s="232">
        <f t="shared" si="86"/>
        <v>-993.97525213594429</v>
      </c>
      <c r="DM113" s="233">
        <f t="shared" si="87"/>
        <v>-996.9438548345579</v>
      </c>
      <c r="DN113" s="87">
        <f t="array" ref="DN113">INDEX($A$11:$A$145, SMALL(IF(DM113=$DK$11:$DK$145, MATCH(ROW($DK$11:$DK$145), ROW($DK$11:$DK$145))), SUM(--(DM113=$DM$11:DM113))))</f>
        <v>47</v>
      </c>
      <c r="DP113" s="87" t="e">
        <f t="shared" ca="1" si="66"/>
        <v>#N/A</v>
      </c>
      <c r="DQ113" s="87" t="e">
        <f t="shared" ca="1" si="67"/>
        <v>#N/A</v>
      </c>
      <c r="DR113" s="87">
        <f t="shared" ca="1" si="68"/>
        <v>0</v>
      </c>
      <c r="DS113" s="87" t="e">
        <f t="shared" ca="1" si="69"/>
        <v>#N/A</v>
      </c>
      <c r="DT113" s="87">
        <f t="shared" ca="1" si="70"/>
        <v>0</v>
      </c>
      <c r="DU113" s="87" t="e">
        <f t="shared" ca="1" si="71"/>
        <v>#N/A</v>
      </c>
      <c r="DV113" s="87" t="e">
        <f t="shared" ca="1" si="72"/>
        <v>#N/A</v>
      </c>
      <c r="DW113" s="87">
        <f t="shared" ca="1" si="73"/>
        <v>0</v>
      </c>
      <c r="DX113" s="87">
        <f t="shared" ca="1" si="74"/>
        <v>0</v>
      </c>
      <c r="DZ113" s="87">
        <f t="shared" ca="1" si="82"/>
        <v>0</v>
      </c>
      <c r="EB113" s="87">
        <f t="shared" ca="1" si="75"/>
        <v>0</v>
      </c>
      <c r="EC113" s="87" t="e">
        <f t="shared" ca="1" si="76"/>
        <v>#N/A</v>
      </c>
      <c r="EE113" s="228">
        <f>(IF(EE$7="X",VLOOKUP(EE$10,'VK-Hooned-Soojus'!$C:$X,2+$C113,FALSE),0)+IF(EE$6="X",VLOOKUP(EE$10,'VK-Transport'!$C:$X,2+$B113,0))+IF(EE$8="X",VLOOKUP(EE$10,'VK-Elekter'!$C:$X,2+$D113,0))+IF(EE$9="X",VLOOKUP(EE$10,'VK-Biokütused'!$C:$U,2+$E113,0))+IF(EE$5="X",VLOOKUP(EE$10,'VK-Põlevkivi'!$C:$X,2+$G113,0))+IF(EE$4="X",VLOOKUP(EE$10,'VK-Võrgud'!$C:$X,2+$F113,0)))</f>
        <v>7314.6716743654033</v>
      </c>
      <c r="EF113" s="209">
        <f>(IF(EF$7="X",VLOOKUP(EF$10,'VK-Hooned-Soojus'!$C:$X,2+$C113,FALSE),0)+IF(EF$6="X",VLOOKUP(EF$10,'VK-Transport'!$C:$X,2+$B113,0))+IF(EF$8="X",VLOOKUP(EF$10,'VK-Elekter'!$C:$X,2+$D113,0))+IF(EF$9="X",VLOOKUP(EF$10,'VK-Biokütused'!$C:$U,2+$E113,0))+IF(EF$5="X",VLOOKUP(EF$10,'VK-Põlevkivi'!$C:$X,2+$G113,0))+IF(EF$4="X",VLOOKUP(EF$10,'VK-Võrgud'!$C:$X,2+$F113,0)))/1000</f>
        <v>8.4968849906373194</v>
      </c>
      <c r="EG113" s="209">
        <f>(IF(EG$7="X",VLOOKUP(EG$10,'VK-Hooned-Soojus'!$C:$X,2+$C113,FALSE),0)+IF(EG$6="X",VLOOKUP(EG$10,'VK-Transport'!$C:$X,2+$B113,0))+IF(EG$8="X",VLOOKUP(EG$10,'VK-Elekter'!$C:$X,2+$D113,0))+IF(EG$9="X",VLOOKUP(EG$10,'VK-Biokütused'!$C:$U,2+$E113,0))+IF(EG$5="X",VLOOKUP(EG$10,'VK-Põlevkivi'!$C:$X,2+$G113,0))+IF(EG$4="X",VLOOKUP(EG$10,'VK-Võrgud'!$C:$X,2+$F113,0)))</f>
        <v>0.81</v>
      </c>
      <c r="EH113" s="209">
        <f>(IF(EH$7="X",VLOOKUP(EH$10,'VK-Hooned-Soojus'!$C:$X,2+$C113,FALSE),0)+IF(EH$6="X",VLOOKUP(EH$10,'VK-Transport'!$C:$X,2+$B113,0))+IF(EH$8="X",VLOOKUP(EH$10,'VK-Elekter'!$C:$X,2+$D113,0))+IF(EH$9="X",VLOOKUP(EH$10,'VK-Biokütused'!$C:$U,2+$E113,0)))+AR113+AS113+AU113+AX113</f>
        <v>90.263055555555553</v>
      </c>
      <c r="EI113" s="320">
        <f t="shared" si="88"/>
        <v>61.835011875436592</v>
      </c>
      <c r="EJ113" s="322">
        <f t="shared" si="89"/>
        <v>2.3132392489112068E-2</v>
      </c>
      <c r="EK113" s="323">
        <f t="shared" si="77"/>
        <v>0.4427532296478886</v>
      </c>
      <c r="EM113" s="209"/>
      <c r="EN113" s="209">
        <f t="shared" ca="1" si="90"/>
        <v>0</v>
      </c>
      <c r="EO113" s="209"/>
      <c r="EP113" s="234"/>
      <c r="EQ113" s="209">
        <f>(IF(EQ$7="X",VLOOKUP(EQ$10,'VK-Hooned-Soojus'!$C:$X,2+$C113,FALSE),0)+IF(EQ$6="X",VLOOKUP(EQ$10,'VK-Transport'!$C:$X,2+$B113,0))+IF(EQ$8="X",VLOOKUP(EQ$10,'VK-Elekter'!$C:$X,2+$D113,0))+IF(EQ$9="X",VLOOKUP(EQ$10,'VK-Biokütused'!$C:$U,2+$E113,0))+IF(EQ$5="X",VLOOKUP(EQ$10,'VK-Põlevkivi'!$C:$X,2+$G113,0))+IF(EQ$4="X",VLOOKUP(EQ$10,'VK-Võrgud'!$C:$X,2+$F113,0)))/1000</f>
        <v>0.22900000000000001</v>
      </c>
      <c r="ER113" s="209">
        <f>(IF(ER$7="X",VLOOKUP(ER$10,'VK-Hooned-Soojus'!$C:$X,2+$C113,FALSE),0)+IF(ER$6="X",VLOOKUP(ER$10,'VK-Transport'!$C:$X,2+$B113,0))+IF(ER$8="X",VLOOKUP(ER$10,'VK-Elekter'!$C:$X,2+$D113,0))+IF(ER$9="X",VLOOKUP(ER$10,'VK-Biokütused'!$C:$U,2+$E113,0))+IF(ER$5="X",VLOOKUP(ER$10,'VK-Põlevkivi'!$C:$X,2+$G113,0))+IF(ER$4="X",VLOOKUP(ER$10,'VK-Võrgud'!$C:$X,2+$F113,0)))</f>
        <v>0.82899999999999996</v>
      </c>
      <c r="ES113" s="209">
        <f>(IF(ES$7="X",VLOOKUP(ES$10,'VK-Hooned-Soojus'!$C:$X,2+$C113,FALSE),0)+IF(ES$6="X",VLOOKUP(ES$10,'VK-Transport'!$C:$X,2+$B113,0))+IF(ES$8="X",VLOOKUP(ES$10,'VK-Elekter'!$C:$X,2+$D113,0))+IF(ES$9="X",VLOOKUP(ES$10,'VK-Biokütused'!$C:$U,2+$E113,0))+IF(ES$5="X",VLOOKUP(ES$10,'VK-Põlevkivi'!$C:$X,2+$G113,0))+IF(ES$4="X",VLOOKUP(ES$10,'VK-Võrgud'!$C:$X,2+$F113,0)))</f>
        <v>6.78</v>
      </c>
      <c r="ET113" s="209"/>
      <c r="EU113" s="209"/>
      <c r="EV113" s="87">
        <f>'KSH järjestus'!AS106</f>
        <v>1736</v>
      </c>
      <c r="EZ113" s="237">
        <f t="shared" si="91"/>
        <v>0</v>
      </c>
      <c r="FA113" s="209">
        <f>IF(FA$7="X",VLOOKUP(FA$10,'VK-Hooned-Soojus'!$C:$X,2+$C113,FALSE),0)+IF(FA$6="X",VLOOKUP(FA$10,'VK-Transport'!$C:$X,2+$B113,0))+IF(FA$8="X",VLOOKUP(FA$10,'VK-Elekter'!$C:$X,2+$D113,0))+IF(FA$9="X",VLOOKUP(FA$10,'VK-Biokütused'!$C:$U,2+$E113,0))+IF(FA$5="X",VLOOKUP(FA$10,'VK-Põlevkivi'!$C:$X,2+$G113,0))+IF(FA$4="X",VLOOKUP(FA$10,'VK-Võrgud'!$C:$X,2+$F113,0))</f>
        <v>2814.9189999999999</v>
      </c>
      <c r="FB113" s="279">
        <f>(IF(FB$7="X",VLOOKUP(FB$10,'VK-Hooned-Soojus'!$C:$X,2+$C113,FALSE),0)+IF(FB$6="X",VLOOKUP(FB$10,'VK-Transport'!$C:$X,2+$B113,0))+IF(FB$8="X",VLOOKUP(FB$10,'VK-Elekter'!$C:$X,2+$D113,0))+IF(FB$9="X",VLOOKUP(FB$10,'VK-Biokütused'!$C:$U,2+$E113,0))+IF(FB$5="X",VLOOKUP(FB$10,'VK-Põlevkivi'!$C:$X,2+$G113,0))+IF(FB$4="X",VLOOKUP(FB$10,'VK-Võrgud'!$C:$X,2+$F113,0)))/16</f>
        <v>685.8521817754937</v>
      </c>
      <c r="FC113" s="209">
        <f>IF(FC$7="X",VLOOKUP(FC$10,'VK-Hooned-Soojus'!$C:$X,2+$C113,FALSE),0)+IF(FC$6="X",VLOOKUP(FC$10,'VK-Transport'!$C:$X,2+$B113,0))+IF(FC$8="X",VLOOKUP(FC$10,'VK-Elekter'!$C:$X,2+$D113,0))+IF(FC$9="X",VLOOKUP(FC$10,'VK-Biokütused'!$C:$U,2+$E113,0))+IF(FC$5="X",VLOOKUP(FC$10,'VK-Põlevkivi'!$C:$X,2+$G113,0))+IF(FC$4="X",VLOOKUP(FC$10,'VK-Võrgud'!$C:$X,2+$F113,0))</f>
        <v>315.39999999999998</v>
      </c>
      <c r="FD113" s="209">
        <f>(IF(FD$7="X",VLOOKUP(FD$10,'VK-Hooned-Soojus'!$C:$X,2+$C113,FALSE),0)+IF(FD$6="X",VLOOKUP(FD$10,'VK-Transport'!$C:$X,2+$B113,0))+IF(FD$8="X",VLOOKUP(FD$10,'VK-Elekter'!$C:$X,2+$D113,0))+IF(FD$9="X",VLOOKUP(FD$10,'VK-Biokütused'!$C:$U,2+$E113,0))+IF(FD$5="X",VLOOKUP(FD$10,'VK-Põlevkivi'!$C:$X,2+$G113,0))+IF(FD$4="X",VLOOKUP(FD$10,'VK-Võrgud'!$C:$X,2+$F113,0)))/16</f>
        <v>685.8521817754937</v>
      </c>
      <c r="FE113" s="209">
        <f>(IF(FE$7="X",VLOOKUP(FE$10,'VK-Hooned-Soojus'!$C:$X,2+$C113,FALSE),0)+IF(FE$6="X",VLOOKUP(FE$10,'VK-Transport'!$C:$X,2+$B113,0))+IF(FE$8="X",VLOOKUP(FE$10,'VK-Elekter'!$C:$X,2+$D113,0))+IF(FE$9="X",VLOOKUP(FE$10,'VK-Biokütused'!$C:$U,2+$E113,0))+IF(FE$5="X",VLOOKUP(FE$10,'VK-Põlevkivi'!$C:$X,2+$G113,0))+IF(FE$4="X",VLOOKUP(FE$10,'VK-Võrgud'!$C:$X,2+$F113,0)))/16</f>
        <v>-40.537500000000001</v>
      </c>
      <c r="FF113" s="209">
        <f>(IF(FF$7="X",VLOOKUP(FF$10,'VK-Hooned-Soojus'!$C:$X,2+$C113,FALSE),0)+IF(FF$6="X",VLOOKUP(FF$10,'VK-Transport'!$C:$X,2+$B113,0))+IF(FF$8="X",VLOOKUP(FF$10,'VK-Elekter'!$C:$X,2+$D113,0))+IF(FF$9="X",VLOOKUP(FF$10,'VK-Biokütused'!$C:$U,2+$E113,0))+IF(FF$5="X",VLOOKUP(FF$10,'VK-Põlevkivi'!$C:$X,2+$G113,0))+IF(FF$4="X",VLOOKUP(FF$10,'VK-Võrgud'!$C:$X,2+$F113,0)))/16</f>
        <v>233.99078644333377</v>
      </c>
      <c r="FG113" s="88">
        <f t="shared" ca="1" si="78"/>
        <v>193.45328644333378</v>
      </c>
      <c r="FH113" s="88"/>
      <c r="FI113" s="88"/>
      <c r="FJ113" s="88">
        <f>VLOOKUP(Tulemused!$BN$12,data!M$7:N$12,2,FALSE)-SUM(L113,M113)</f>
        <v>-0.80250937302436398</v>
      </c>
      <c r="FK113" s="209" t="str">
        <f>IF(AZ113&lt;=VLOOKUP(Tulemused!$BN$15,data!$E$36:$F$39,2,FALSE),"JAH","EI")</f>
        <v>JAH</v>
      </c>
      <c r="FL113" s="235">
        <f ca="1">IF(ISNA(MATCH($A113,INDIRECT(VLOOKUP(Tulemused!$BF$11,data!$J$57:$M$71,4,FALSE)))),0,MATCH($A113,INDIRECT(VLOOKUP(Tulemused!$BF$11,data!$J$57:$M$71,4,FALSE))))</f>
        <v>0</v>
      </c>
      <c r="FM113" s="235" t="str">
        <f t="shared" ca="1" si="92"/>
        <v>JAH</v>
      </c>
      <c r="FN113" s="209">
        <f>VLOOKUP(Tulemused!$BN$13,data!$C$132:$D$137,2,FALSE)-KOMBI!R113</f>
        <v>4.9030850093626803</v>
      </c>
      <c r="FO113" s="209"/>
      <c r="FP113" s="209">
        <f>VLOOKUP(Tulemused!$BN$17,NO_x,2,FALSE)-CJ113</f>
        <v>6.8889999999999993</v>
      </c>
      <c r="FQ113" s="209">
        <f>VLOOKUP(Tulemused!$BN$18,SO_2,2,FALSE)-CK113</f>
        <v>12.464330445765981</v>
      </c>
      <c r="FR113" s="209">
        <f>VLOOKUP(Tulemused!$BN$19,LOU,2,FALSE)-CN113</f>
        <v>34.029000000000003</v>
      </c>
      <c r="FS113" s="209">
        <f>VLOOKUP(Tulemused!$BN$20,PM_2.5,2,FALSE)-CM113</f>
        <v>8.4500103843950836</v>
      </c>
      <c r="FT113" s="209">
        <f>VLOOKUP(Tulemused!$BN$13,data!$C$132:$D$137,2,FALSE)-FA113/1000</f>
        <v>3.431051000000001</v>
      </c>
      <c r="FU113" s="209">
        <f>VLOOKUP(Tulemused!$BN$17,NO_x,2,FALSE)-CO113</f>
        <v>-2.5362337356995113E-2</v>
      </c>
      <c r="FV113" s="209">
        <f>VLOOKUP(Tulemused!$BN$18,SO_2,2,FALSE)-CP113</f>
        <v>19.164125985002066</v>
      </c>
      <c r="FW113" s="209">
        <f>VLOOKUP(Tulemused!$BN$19,LOU,2,FALSE)-CS113</f>
        <v>33.241350490137769</v>
      </c>
      <c r="FX113" s="209">
        <f>VLOOKUP(Tulemused!$BN$20,PM_2.5,2,FALSE)-CR113</f>
        <v>8.5172481626003087</v>
      </c>
      <c r="FY113" s="209">
        <f>VLOOKUP(Tulemused!$BN$14,KHG_2050,2,FALSE)-EF113</f>
        <v>91.503115009362688</v>
      </c>
      <c r="FZ113" s="231" t="str">
        <f t="shared" ca="1" si="79"/>
        <v>EI</v>
      </c>
      <c r="GA113" s="209"/>
      <c r="GB113" s="209"/>
      <c r="GC113" s="209"/>
      <c r="GD113" s="231"/>
      <c r="GE113" s="87">
        <f t="shared" si="93"/>
        <v>1736</v>
      </c>
      <c r="GF113" s="232" t="str">
        <f t="shared" ca="1" si="80"/>
        <v/>
      </c>
      <c r="GH113" s="238" t="e">
        <f t="shared" ca="1" si="94"/>
        <v>#NUM!</v>
      </c>
      <c r="GI113" s="87" t="e">
        <f t="array" aca="1" ref="GI113" ca="1">INDEX($A$11:$A$145, SMALL(IF(GH113=$GF$11:$GF$145, MATCH(ROW($GF$11:$GF$145), ROW($GF$11:$GF$145))), SUM(--(GH113=$GH$11:GH113))))</f>
        <v>#NUM!</v>
      </c>
      <c r="GM113" s="209">
        <f>IF(GM$7="X",VLOOKUP(GM$10,'VK-Hooned-Soojus'!$C:$X,2+$C113,FALSE),0)+IF(GM$6="X",VLOOKUP(GM$10,'VK-Transport'!$C:$X,2+$B113,0))+IF(GM$8="X",VLOOKUP(GM$10,'VK-Elekter'!$C:$X,2+$D113,0))+IF(GM$9="X",VLOOKUP(GM$10,'VK-Biokütused'!$C:$U,2+$E113,0))+IF(GM$5="X",VLOOKUP(GM$10,'VK-Põlevkivi'!$C:$X,2+$G113,0))+IF(GM$4="X",VLOOKUP(GM$10,'VK-Võrgud'!$C:$X,2+$F113,0))</f>
        <v>11.189888530766083</v>
      </c>
      <c r="GN113" s="209">
        <f>IF(GN$7="X",VLOOKUP(GN$10,'VK-Hooned-Soojus'!$C:$X,2+$C113,FALSE),0)+IF(GN$6="X",VLOOKUP(GN$10,'VK-Transport'!$C:$X,2+$B113,0))+IF(GN$8="X",VLOOKUP(GN$10,'VK-Elekter'!$C:$X,2+$D113,0))+IF(GN$9="X",VLOOKUP(GN$10,'VK-Biokütused'!$C:$U,2+$E113,0))+IF(GN$5="X",VLOOKUP(GN$10,'VK-Põlevkivi'!$C:$X,2+$G113,0))+IF(GN$4="X",VLOOKUP(GN$10,'VK-Võrgud'!$C:$X,2+$F113,0))</f>
        <v>2.9930837725682502</v>
      </c>
      <c r="GO113" s="209">
        <f>IF(GO$7="X",VLOOKUP(GO$10,'VK-Hooned-Soojus'!$C:$X,2+$C113,FALSE),0)+IF(GO$6="X",VLOOKUP(GO$10,'VK-Transport'!$C:$X,2+$B113,0))+IF(GO$8="X",VLOOKUP(GO$10,'VK-Elekter'!$C:$X,2+$D113,0))+IF(GO$9="X",VLOOKUP(GO$10,'VK-Biokütused'!$C:$U,2+$E113,0))+IF(GO$5="X",VLOOKUP(GO$10,'VK-Põlevkivi'!$C:$X,2+$G113,0))+IF(GO$4="X",VLOOKUP(GO$10,'VK-Võrgud'!$C:$X,2+$F113,0))</f>
        <v>8.7471755658278116</v>
      </c>
      <c r="GP113" s="209">
        <f>IF(GP$7="X",VLOOKUP(GP$10,'VK-Hooned-Soojus'!$C:$X,2+$C113,FALSE),0)+IF(GP$6="X",VLOOKUP(GP$10,'VK-Transport'!$C:$X,2+$B113,0))+IF(GP$8="X",VLOOKUP(GP$10,'VK-Elekter'!$C:$X,2+$D113,0))+IF(GP$9="X",VLOOKUP(GP$10,'VK-Biokütused'!$C:$U,2+$E113,0))+IF(GP$5="X",VLOOKUP(GP$10,'VK-Põlevkivi'!$C:$X,2+$G113,0))+IF(GP$4="X",VLOOKUP(GP$10,'VK-Võrgud'!$C:$X,2+$F113,0))</f>
        <v>9.3279335818485372</v>
      </c>
      <c r="GQ113" s="88">
        <f>IF(GQ$7="X",VLOOKUP(GQ$10,'VK-Hooned-Soojus'!$C:$X,2+$C113,FALSE),0)+IF(GQ$6="X",VLOOKUP(GQ$10,'VK-Transport'!$C:$X,2+$B113,0))+IF(GQ$8="X",VLOOKUP(GQ$10,'VK-Elekter'!$C:$X,2+$D113,0))+IF(GQ$9="X",VLOOKUP(GQ$10,'VK-Biokütused'!$C:$U,2+$E113,0))+IF(GQ$5="X",VLOOKUP(GQ$10,'VK-Põlevkivi'!$C:$X,2+$G113,0))+IF(GQ$4="X",VLOOKUP(GQ$10,'VK-Võrgud'!$C:$X,2+$F113,0))</f>
        <v>0.89042766952822527</v>
      </c>
      <c r="GR113" s="186">
        <f t="shared" si="81"/>
        <v>0.39278500094726765</v>
      </c>
    </row>
    <row r="114" spans="1:200" x14ac:dyDescent="0.2">
      <c r="A114" s="184">
        <v>104</v>
      </c>
      <c r="B114" s="87">
        <v>3</v>
      </c>
      <c r="C114" s="87">
        <v>1</v>
      </c>
      <c r="D114" s="87">
        <v>5</v>
      </c>
      <c r="E114" s="87">
        <v>2</v>
      </c>
      <c r="F114" s="87">
        <f>VLOOKUP(Tulemused!$BF$7,data!$J$6:$K$8,2,FALSE)</f>
        <v>2</v>
      </c>
      <c r="G114" s="87">
        <f>VLOOKUP(data!$H$2,data!$J$12:$K$14,2,FALSE)</f>
        <v>2</v>
      </c>
      <c r="I114" s="209">
        <f>IF(I$7="X",VLOOKUP(I$10,'VK-Hooned-Soojus'!$C:$X,2+$C114,FALSE),0)+IF(I$6="X",VLOOKUP(I$10,'VK-Transport'!$C:$X,2+$B114,0))+IF(I$8="X",VLOOKUP(I$10,'VK-Elekter'!$C:$X,2+$D114,0))+IF(I$9="X",VLOOKUP(I$10,'VK-Biokütused'!$C:$U,2+$E114,0))+IF(I$5="X",VLOOKUP(I$10,'VK-Põlevkivi'!$C:$X,2+$G114,0))+IF(I$4="X",VLOOKUP(I$10,'VK-Võrgud'!$C:$X,2+$F114,0))</f>
        <v>26.89</v>
      </c>
      <c r="J114" s="209">
        <f>IF(J$7="X",VLOOKUP(J$10,'VK-Hooned-Soojus'!$C:$X,2+$C114,FALSE),0)+IF(J$6="X",VLOOKUP(J$10,'VK-Transport'!$C:$X,2+$B114,0))+IF(J$8="X",VLOOKUP(J$10,'VK-Elekter'!$C:$X,2+$D114,0))+IF(J$9="X",VLOOKUP(J$10,'VK-Biokütused'!$C:$U,2+$E114,0))+IF(J$5="X",VLOOKUP(J$10,'VK-Põlevkivi'!$C:$X,2+$G114,0))+IF(J$4="X",VLOOKUP(J$10,'VK-Võrgud'!$C:$X,2+$F114,0))</f>
        <v>8.1258333333333344</v>
      </c>
      <c r="K114" s="209">
        <f>IF(K$7="X",VLOOKUP(K$10,'VK-Hooned-Soojus'!$C:$X,2+$C114,FALSE),0)+IF(K$6="X",VLOOKUP(K$10,'VK-Transport'!$C:$X,2+$B114,0))+IF(K$8="X",VLOOKUP(K$10,'VK-Elekter'!$C:$X,2+$D114,0))+IF(K$9="X",VLOOKUP(K$10,'VK-Biokütused'!$C:$U,2+$E114,0))+IF(K$5="X",VLOOKUP(K$10,'VK-Põlevkivi'!$C:$X,2+$G114,0))+IF(K$4="X",VLOOKUP(K$10,'VK-Võrgud'!$C:$X,2+$F114,0))</f>
        <v>16.75</v>
      </c>
      <c r="L114" s="209">
        <f>IF(L$7="X",VLOOKUP(L$10,'VK-Hooned-Soojus'!$C:$X,2+$C114,FALSE),0)+IF(L$6="X",VLOOKUP(L$10,'VK-Transport'!$C:$X,2+$B114,0))+IF(L$8="X",VLOOKUP(L$10,'VK-Elekter'!$C:$X,2+$D114,0))+IF(L$9="X",VLOOKUP(L$10,'VK-Biokütused'!$C:$U,2+$E114,0))+IF(L$5="X",VLOOKUP(L$10,'VK-Põlevkivi'!$C:$X,2+$G114,0))+IF(L$4="X",VLOOKUP(L$10,'VK-Võrgud'!$C:$X,2+$F114,0))</f>
        <v>24.95</v>
      </c>
      <c r="M114" s="209">
        <f>IF(M$7="X",VLOOKUP(M$10,'VK-Hooned-Soojus'!$C:$X,2+$C114,FALSE),0)+IF(M$6="X",VLOOKUP(M$10,'VK-Transport'!$C:$X,2+$B114,0))+IF(M$8="X",VLOOKUP(M$10,'VK-Elekter'!$C:$X,2+$D114,0))+IF(M$9="X",VLOOKUP(M$10,'VK-Biokütused'!$C:$U,2+$E114,0))+IF(M$5="X",VLOOKUP(M$10,'VK-Põlevkivi'!$C:$X,2+$G114,0))+IF(M$4="X",VLOOKUP(M$10,'VK-Võrgud'!$C:$X,2+$F114,0))</f>
        <v>8.68530937302436</v>
      </c>
      <c r="N114" s="209">
        <f>IF(N$7="X",VLOOKUP(N$10,'VK-Hooned-Soojus'!$C:$X,2+$C114,FALSE),0)+IF(N$6="X",VLOOKUP(N$10,'VK-Transport'!$C:$X,2+$B114,0))+IF(N$8="X",VLOOKUP(N$10,'VK-Elekter'!$C:$X,2+$D114,0))+IF(N$9="X",VLOOKUP(N$10,'VK-Biokütused'!$C:$U,2+$E114,0))+IF(N$5="X",VLOOKUP(N$10,'VK-Põlevkivi'!$C:$X,2+$G114,0))+IF(N$4="X",VLOOKUP(N$10,'VK-Võrgud'!$C:$X,2+$F114,0))</f>
        <v>16.75</v>
      </c>
      <c r="O114" s="209">
        <f t="shared" si="60"/>
        <v>35.015833333333333</v>
      </c>
      <c r="P114" s="209"/>
      <c r="Q114" s="209">
        <f>(IF(Q$7="X",VLOOKUP(Q$10,'VK-Hooned-Soojus'!$C:$X,2+$C114,FALSE),0)+IF(Q$6="X",VLOOKUP(Q$10,'VK-Transport'!$C:$X,2+$B114,0))+IF(Q$8="X",VLOOKUP(Q$10,'VK-Elekter'!$C:$X,2+$D114,0))+IF(Q$9="X",VLOOKUP(Q$10,'VK-Biokütused'!$C:$U,2+$E114,0))+IF(Q$5="X",VLOOKUP(Q$10,'VK-Põlevkivi'!$C:$X,2+$G114,0))+IF(Q$4="X",VLOOKUP(Q$10,'VK-Võrgud'!$C:$X,2+$F114,0)))/1000</f>
        <v>6.3289999999999997</v>
      </c>
      <c r="R114" s="209">
        <f>(IF(R$7="X",VLOOKUP(R$10,'VK-Hooned-Soojus'!$C:$X,2+$C114,FALSE),0)+IF(R$6="X",VLOOKUP(R$10,'VK-Transport'!$C:$X,2+$B114,0))+IF(R$8="X",VLOOKUP(R$10,'VK-Elekter'!$C:$X,2+$D114,0))+IF(R$9="X",VLOOKUP(R$10,'VK-Biokütused'!$C:$U,2+$E114,0))+IF(R$5="X",VLOOKUP(R$10,'VK-Põlevkivi'!$C:$X,2+$G114,0))+IF(R$4="X",VLOOKUP(R$10,'VK-Võrgud'!$C:$X,2+$F114,0)))/1000</f>
        <v>1.7203849906373201</v>
      </c>
      <c r="S114" s="226">
        <f>VLOOKUP(S$10,'VK-Hooned-Soojus'!$C:$I,2+$C114,FALSE) + VLOOKUP(S$10,'VK-Transport'!$C:$I,2+$B114,FALSE)+ VLOOKUP(S$10,'VK-Biokütused'!$C:$G,2+$E114,FALSE)+ VLOOKUP(S$10,'VK-Elekter'!$C:$I,2+$D114,FALSE)+ VLOOKUP(S$10,'VK-Põlevkivi'!$C:$I,2+$G114,FALSE)+ VLOOKUP(S$10,'VK-Võrgud'!$C:$I,2+$F114,FALSE)</f>
        <v>3.1530751489587394E-2</v>
      </c>
      <c r="T114" s="226">
        <f>VLOOKUP(T$10,'VK-Hooned-Soojus'!$C:$I,2+$C114,FALSE) + VLOOKUP(T$10,'VK-Transport'!$C:$I,2+$B114,FALSE)+ VLOOKUP(T$10,'VK-Biokütused'!$C:$G,2+$E114,FALSE)+ VLOOKUP(T$10,'VK-Elekter'!$C:$I,2+$D114,FALSE)+ VLOOKUP(T$10,'VK-Põlevkivi'!$C:$I,2+$G114,FALSE)+ VLOOKUP(T$10,'VK-Võrgud'!$C:$I,2+$F114,FALSE)</f>
        <v>1.3218516407520075E-2</v>
      </c>
      <c r="U114" s="226">
        <f>VLOOKUP(U$10,'VK-Hooned-Soojus'!$C:$I,2+$C114,FALSE) + VLOOKUP(U$10,'VK-Transport'!$C:$I,2+$B114,FALSE)+ VLOOKUP(U$10,'VK-Biokütused'!$C:$G,2+$E114,FALSE)+ VLOOKUP(U$10,'VK-Elekter'!$C:$I,2+$D114,FALSE)+ VLOOKUP(U$10,'VK-Põlevkivi'!$C:$I,2+$G114,FALSE)+ VLOOKUP(U$10,'VK-Võrgud'!$C:$I,2+$F114,FALSE)</f>
        <v>1.6105624387829282E-2</v>
      </c>
      <c r="V114" s="226">
        <f>VLOOKUP(V$10,'VK-Hooned-Soojus'!$C:$I,2+$C114,FALSE) + VLOOKUP(V$10,'VK-Transport'!$C:$I,2+$B114,FALSE)+ VLOOKUP(V$10,'VK-Biokütused'!$C:$G,2+$E114,FALSE)+ VLOOKUP(V$10,'VK-Elekter'!$C:$I,2+$D114,FALSE)+ VLOOKUP(V$10,'VK-Põlevkivi'!$C:$I,2+$G114,FALSE)+ VLOOKUP(V$10,'VK-Võrgud'!$C:$I,2+$F114,FALSE)</f>
        <v>1.5802452319726136E-2</v>
      </c>
      <c r="W114" s="226">
        <f>VLOOKUP(W$10,'VK-Hooned-Soojus'!$C:$I,2+$C114,FALSE) + VLOOKUP(W$10,'VK-Transport'!$C:$I,2+$B114,FALSE)+ VLOOKUP(W$10,'VK-Biokütused'!$C:$G,2+$E114,FALSE)+ VLOOKUP(W$10,'VK-Elekter'!$C:$I,2+$D114,FALSE)+ VLOOKUP(W$10,'VK-Põlevkivi'!$C:$I,2+$G114,FALSE)+ VLOOKUP(W$10,'VK-Võrgud'!$C:$I,2+$F114,FALSE)</f>
        <v>-1.7242858835831334E-2</v>
      </c>
      <c r="X114" s="226">
        <f>VLOOKUP(X$10,'VK-Hooned-Soojus'!$C:$I,2+$C114,FALSE) + VLOOKUP(X$10,'VK-Transport'!$C:$I,2+$B114,FALSE)+ VLOOKUP(X$10,'VK-Biokütused'!$C:$G,2+$E114,FALSE)+ VLOOKUP(X$10,'VK-Elekter'!$C:$I,2+$D114,FALSE)+ VLOOKUP(X$10,'VK-Põlevkivi'!$C:$I,2+$G114,FALSE)+ VLOOKUP(X$10,'VK-Võrgud'!$C:$I,2+$F114,FALSE)</f>
        <v>4.873627901502188E-2</v>
      </c>
      <c r="Y114" s="226">
        <f>VLOOKUP(Y$10,'VK-Hooned-Soojus'!$C:$I,2+$C114,FALSE) + VLOOKUP(Y$10,'VK-Transport'!$C:$I,2+$B114,FALSE)+ VLOOKUP(Y$10,'VK-Biokütused'!$C:$G,2+$E114,FALSE)+ VLOOKUP(Y$10,'VK-Elekter'!$C:$I,2+$D114,FALSE)+ VLOOKUP(Y$10,'VK-Põlevkivi'!$C:$I,2+$G114,FALSE)+ VLOOKUP(Y$10,'VK-Võrgud'!$C:$I,2+$F114,FALSE)</f>
        <v>4.6131044789891287E-2</v>
      </c>
      <c r="Z114" s="227">
        <f>(S114*Tulemused!$Q$9*10+T114*Tulemused!$Q$10*10+KOMBI!U114*Tulemused!$Q$11*10+KOMBI!V114*Tulemused!$Q$12*10)*Tulemused!$Q$8+-(W114*Tulemused!$Q$14*10+KOMBI!X114*Tulemused!$Q$15*10+KOMBI!Y114*Tulemused!$Q$16*10)*Tulemused!$Q$13</f>
        <v>6.9406595127015009</v>
      </c>
      <c r="AA114" s="228">
        <f>(IF(AA$7="X",VLOOKUP(AA$10,'VK-Hooned-Soojus'!$C:$X,2+$C114,FALSE),0)+IF(AA$6="X",VLOOKUP(AA$10,'VK-Transport'!$C:$X,2+$B114,0))+IF(AA$8="X",VLOOKUP(AA$10,'VK-Elekter'!$C:$X,2+$D114,0))+IF(AA$9="X",VLOOKUP(AA$10,'VK-Biokütused'!$C:$U,2+$E114,0))+IF(AA$5="X",VLOOKUP(AA$10,'VK-Põlevkivi'!$C:$X,2+$G114,0))+IF(AA$4="X",VLOOKUP(AA$10,'VK-Võrgud'!$C:$X,2+$F114,0)))</f>
        <v>4727</v>
      </c>
      <c r="AB114" s="228">
        <f>(IF(AB$7="X",VLOOKUP(AB$10,'VK-Hooned-Soojus'!$C:$X,2+$C114,FALSE),0)+IF(AB$6="X",VLOOKUP(AB$10,'VK-Transport'!$C:$X,2+$B114,0))+IF(AB$8="X",VLOOKUP(AB$10,'VK-Elekter'!$C:$X,2+$D114,0))+IF(AB$9="X",VLOOKUP(AB$10,'VK-Biokütused'!$C:$U,2+$E114,0))+IF(AB$5="X",VLOOKUP(AB$10,'VK-Põlevkivi'!$C:$X,2+$G114,0))+IF(AB$4="X",VLOOKUP(AB$10,'VK-Võrgud'!$C:$X,2+$F114,0)))</f>
        <v>1602</v>
      </c>
      <c r="AC114" s="228">
        <f>(IF(AC$7="X",VLOOKUP(AC$10,'VK-Hooned-Soojus'!$C:$X,2+$C114,FALSE),0)+IF(AC$6="X",VLOOKUP(AC$10,'VK-Transport'!$C:$X,2+$B114,0))+IF(AC$8="X",VLOOKUP(AC$10,'VK-Elekter'!$C:$X,2+$D114,0))+IF(AC$9="X",VLOOKUP(AC$10,'VK-Biokütused'!$C:$U,2+$E114,0))+IF(AC$5="X",VLOOKUP(AC$10,'VK-Põlevkivi'!$C:$X,2+$G114,0))+IF(AC$4="X",VLOOKUP(AC$10,'VK-Võrgud'!$C:$X,2+$F114,0)))</f>
        <v>2346</v>
      </c>
      <c r="AD114" s="228">
        <f>(IF(AD$7="X",VLOOKUP(AD$10,'VK-Hooned-Soojus'!$C:$X,2+$C114,FALSE),0)+IF(AD$6="X",VLOOKUP(AD$10,'VK-Transport'!$C:$X,2+$B114,0))+IF(AD$8="X",VLOOKUP(AD$10,'VK-Elekter'!$C:$X,2+$D114,0))+IF(AD$9="X",VLOOKUP(AD$10,'VK-Biokütused'!$C:$U,2+$E114,0))+IF(AD$5="X",VLOOKUP(AD$10,'VK-Põlevkivi'!$C:$X,2+$G114,0))+IF(AD$4="X",VLOOKUP(AD$10,'VK-Võrgud'!$C:$X,2+$F114,0)))</f>
        <v>377.5</v>
      </c>
      <c r="AE114" s="228">
        <f>(IF(AE$7="X",VLOOKUP(AE$10,'VK-Hooned-Soojus'!$C:$X,2+$C114,FALSE),0)+IF(AE$6="X",VLOOKUP(AE$10,'VK-Transport'!$C:$X,2+$B114,0))+IF(AE$8="X",VLOOKUP(AE$10,'VK-Elekter'!$C:$X,2+$D114,0))+IF(AE$9="X",VLOOKUP(AE$10,'VK-Biokütused'!$C:$U,2+$E114,0))+IF(AE$5="X",VLOOKUP(AE$10,'VK-Põlevkivi'!$C:$X,2+$G114,0))+IF(AE$4="X",VLOOKUP(AE$10,'VK-Võrgud'!$C:$X,2+$F114,0)))</f>
        <v>812</v>
      </c>
      <c r="AF114" s="228">
        <f>(IF(AF$7="X",VLOOKUP(AF$10,'VK-Hooned-Soojus'!$C:$X,2+$C114,FALSE),0)+IF(AF$6="X",VLOOKUP(AF$10,'VK-Transport'!$C:$X,2+$B114,0))+IF(AF$8="X",VLOOKUP(AF$10,'VK-Elekter'!$C:$X,2+$D114,0))+IF(AF$9="X",VLOOKUP(AF$10,'VK-Biokütused'!$C:$U,2+$E114,0))+IF(AF$5="X",VLOOKUP(AF$10,'VK-Põlevkivi'!$C:$X,2+$G114,0))+IF(AF$4="X",VLOOKUP(AF$10,'VK-Võrgud'!$C:$X,2+$F114,0)))</f>
        <v>530.88499063732002</v>
      </c>
      <c r="AG114" s="209"/>
      <c r="AH114" s="209">
        <f>IF(AH$7="X",VLOOKUP(AH$10,'VK-Hooned-Soojus'!$C:$X,2+$C114,FALSE),0)+IF(AH$6="X",VLOOKUP(AH$10,'VK-Transport'!$C:$X,2+$B114,0))+IF(AH$8="X",VLOOKUP(AH$10,'VK-Elekter'!$C:$X,2+$D114,0))+IF(AH$9="X",VLOOKUP(AH$10,'VK-Biokütused'!$C:$U,2+$E114,0))+IF(AH$5="X",VLOOKUP(AH$10,'VK-Põlevkivi'!$C:$X,2+$G114,0))+IF(AH$4="X",VLOOKUP(AH$10,'VK-Võrgud'!$C:$X,2+$F114,0))</f>
        <v>17.400000000000002</v>
      </c>
      <c r="AI114" s="209">
        <f>IF(AI$7="X",VLOOKUP(AI$10,'VK-Hooned-Soojus'!$C:$X,2+$C114,FALSE),0)+IF(AI$6="X",VLOOKUP(AI$10,'VK-Transport'!$C:$X,2+$B114,0))+IF(AI$8="X",VLOOKUP(AI$10,'VK-Elekter'!$C:$X,2+$D114,0))+IF(AI$9="X",VLOOKUP(AI$10,'VK-Biokütused'!$C:$U,2+$E114,0))+IF(AI$5="X",VLOOKUP(AI$10,'VK-Põlevkivi'!$C:$X,2+$G114,0))+IF(AI$4="X",VLOOKUP(AI$10,'VK-Võrgud'!$C:$X,2+$F114,0))</f>
        <v>2.3100000000000005</v>
      </c>
      <c r="AJ114" s="209">
        <f>IF(AJ$7="X",VLOOKUP(AJ$10,'VK-Hooned-Soojus'!$C:$X,2+$C114,FALSE),0)+IF(AJ$6="X",VLOOKUP(AJ$10,'VK-Transport'!$C:$X,2+$B114,0))+IF(AJ$8="X",VLOOKUP(AJ$10,'VK-Elekter'!$C:$X,2+$D114,0))+IF(AJ$9="X",VLOOKUP(AJ$10,'VK-Biokütused'!$C:$U,2+$E114,0))+IF(AJ$5="X",VLOOKUP(AJ$10,'VK-Põlevkivi'!$C:$X,2+$G114,0))+IF(AJ$4="X",VLOOKUP(AJ$10,'VK-Võrgud'!$C:$X,2+$F114,0))</f>
        <v>4.59</v>
      </c>
      <c r="AK114" s="209">
        <f>IF(AK$7="X",VLOOKUP(AK$10,'VK-Hooned-Soojus'!$C:$X,2+$C114,FALSE),0)+IF(AK$6="X",VLOOKUP(AK$10,'VK-Transport'!$C:$X,2+$B114,0))+IF(AK$8="X",VLOOKUP(AK$10,'VK-Elekter'!$C:$X,2+$D114,0))+IF(AK$9="X",VLOOKUP(AK$10,'VK-Biokütused'!$C:$U,2+$E114,0))+IF(AK$5="X",VLOOKUP(AK$10,'VK-Põlevkivi'!$C:$X,2+$G114,0))+IF(AK$4="X",VLOOKUP(AK$10,'VK-Võrgud'!$C:$X,2+$F114,0))</f>
        <v>-0.41</v>
      </c>
      <c r="AL114" s="209">
        <f>IF(AL$7="X",VLOOKUP(AL$10,'VK-Hooned-Soojus'!$C:$X,2+$C114,FALSE),0)+IF(AL$6="X",VLOOKUP(AL$10,'VK-Transport'!$C:$X,2+$B114,0))+IF(AL$8="X",VLOOKUP(AL$10,'VK-Elekter'!$C:$X,2+$D114,0))+IF(AL$9="X",VLOOKUP(AL$10,'VK-Biokütused'!$C:$U,2+$E114,0))+IF(AL$5="X",VLOOKUP(AL$10,'VK-Põlevkivi'!$C:$X,2+$G114,0))+IF(AL$4="X",VLOOKUP(AL$10,'VK-Võrgud'!$C:$X,2+$F114,0))</f>
        <v>7.1999999999999993</v>
      </c>
      <c r="AM114" s="209">
        <f>IF(AM$7="X",VLOOKUP(AM$10,'VK-Hooned-Soojus'!$C:$X,2+$C114,FALSE),0)+IF(AM$6="X",VLOOKUP(AM$10,'VK-Transport'!$C:$X,2+$B114,0))+IF(AM$8="X",VLOOKUP(AM$10,'VK-Elekter'!$C:$X,2+$D114,0))+IF(AM$9="X",VLOOKUP(AM$10,'VK-Biokütused'!$C:$U,2+$E114,0))+IF(AM$5="X",VLOOKUP(AM$10,'VK-Põlevkivi'!$C:$X,2+$G114,0))+IF(AM$4="X",VLOOKUP(AM$10,'VK-Võrgud'!$C:$X,2+$F114,0))</f>
        <v>12.9</v>
      </c>
      <c r="AN114" s="209">
        <f>IF(AN$7="X",VLOOKUP(AN$10,'VK-Hooned-Soojus'!$C:$X,2+$C114,FALSE),0)+IF(AN$6="X",VLOOKUP(AN$10,'VK-Transport'!$C:$X,2+$B114,0))+IF(AN$8="X",VLOOKUP(AN$10,'VK-Elekter'!$C:$X,2+$D114,0))+IF(AN$9="X",VLOOKUP(AN$10,'VK-Biokütused'!$C:$U,2+$E114,0))+IF(AN$5="X",VLOOKUP(AN$10,'VK-Põlevkivi'!$C:$X,2+$G114,0))+IF(AN$4="X",VLOOKUP(AN$10,'VK-Võrgud'!$C:$X,2+$F114,0))</f>
        <v>5.6999999999999993</v>
      </c>
      <c r="AO114" s="209">
        <f>IF(AO$7="X",VLOOKUP(AO$10,'VK-Hooned-Soojus'!$C:$X,2+$C114,FALSE),0)+IF(AO$6="X",VLOOKUP(AO$10,'VK-Transport'!$C:$X,2+$B114,0))+IF(AO$8="X",VLOOKUP(AO$10,'VK-Elekter'!$C:$X,2+$D114,0))+IF(AO$9="X",VLOOKUP(AO$10,'VK-Biokütused'!$C:$U,2+$E114,0))+IF(AO$5="X",VLOOKUP(AO$10,'VK-Põlevkivi'!$C:$X,2+$G114,0))+IF(AO$4="X",VLOOKUP(AO$10,'VK-Võrgud'!$C:$X,2+$F114,0))</f>
        <v>13.56</v>
      </c>
      <c r="AP114" s="209">
        <f>IF(AP$7="X",VLOOKUP(AP$10,'VK-Hooned-Soojus'!$C:$X,2+$C114,FALSE),0)+IF(AP$6="X",VLOOKUP(AP$10,'VK-Transport'!$C:$X,2+$B114,0))+IF(AP$8="X",VLOOKUP(AP$10,'VK-Elekter'!$C:$X,2+$D114,0))+IF(AP$9="X",VLOOKUP(AP$10,'VK-Biokütused'!$C:$U,2+$E114,0))+IF(AP$5="X",VLOOKUP(AP$10,'VK-Põlevkivi'!$C:$X,2+$G114,0))+IF(AP$4="X",VLOOKUP(AP$10,'VK-Võrgud'!$C:$X,2+$F114,0))</f>
        <v>6.78</v>
      </c>
      <c r="AQ114" s="320">
        <f t="shared" si="61"/>
        <v>1.2599999999999998</v>
      </c>
      <c r="AR114" s="209">
        <f>IF(AR$7="X",VLOOKUP(AR$10,'VK-Hooned-Soojus'!$C:$X,2+$C114,FALSE),0)+IF(AR$6="X",VLOOKUP(AR$10,'VK-Transport'!$C:$X,2+$B114,0))+IF(AR$8="X",VLOOKUP(AR$10,'VK-Elekter'!$C:$X,2+$D114,0))+IF(AR$9="X",VLOOKUP(AR$10,'VK-Biokütused'!$C:$U,2+$E114,0))+IF(AR$5="X",VLOOKUP(AR$10,'VK-Põlevkivi'!$C:$X,2+$G114,0))+IF(AR$4="X",VLOOKUP(AR$10,'VK-Võrgud'!$C:$X,2+$F114,0))</f>
        <v>13.909999999999998</v>
      </c>
      <c r="AS114" s="235">
        <f>'VK-Põlevkivi'!$F$8-AR114-AU114</f>
        <v>14.198622986547708</v>
      </c>
      <c r="AT114" s="209">
        <f>IF(AT$7="X",VLOOKUP(AT$10,'VK-Hooned-Soojus'!$C:$X,2+$C114,FALSE),0)+IF(AT$6="X",VLOOKUP(AT$10,'VK-Transport'!$C:$X,2+$B114,0))+IF(AT$8="X",VLOOKUP(AT$10,'VK-Elekter'!$C:$X,2+$D114,0))+IF(AT$9="X",VLOOKUP(AT$10,'VK-Biokütused'!$C:$U,2+$E114,0))+IF(AT$5="X",VLOOKUP(AT$10,'VK-Põlevkivi'!$C:$X,2+$G114,0))+IF(AT$4="X",VLOOKUP(AT$10,'VK-Võrgud'!$C:$X,2+$F114,0))</f>
        <v>5.7045296564339489</v>
      </c>
      <c r="AU114" s="235">
        <f>'VK-Põlevkivi'!$F$9-VLOOKUP("Kütuste tarbimine @ 2030 - PÕLEVKIVIÕLI",'VK-Hooned-Soojus'!$C:$X,2+$C114,FALSE)</f>
        <v>28.428043680118964</v>
      </c>
      <c r="AV114" s="209">
        <f>IF(AV$7="X",VLOOKUP(AV$10,'VK-Hooned-Soojus'!$C:$X,2+$C114,FALSE),0)+IF(AV$6="X",VLOOKUP(AV$10,'VK-Transport'!$C:$X,2+$B114,0))+IF(AV$8="X",VLOOKUP(AV$10,'VK-Elekter'!$C:$X,2+$D114,0))+IF(AV$9="X",VLOOKUP(AV$10,'VK-Biokütused'!$C:$U,2+$E114,0))+IF(AV$5="X",VLOOKUP(AV$10,'VK-Põlevkivi'!$C:$X,2+$G114,0))+IF(AV$4="X",VLOOKUP(AV$10,'VK-Võrgud'!$C:$X,2+$F114,0))</f>
        <v>2.1219844082566364</v>
      </c>
      <c r="AW114" s="209">
        <f>IF(AW$7="X",VLOOKUP(AW$10,'VK-Hooned-Soojus'!$C:$X,2+$C114,FALSE),0)+IF(AW$6="X",VLOOKUP(AW$10,'VK-Transport'!$C:$X,2+$B114,0))+IF(AW$8="X",VLOOKUP(AW$10,'VK-Elekter'!$C:$X,2+$D114,0))+IF(AW$9="X",VLOOKUP(AW$10,'VK-Biokütused'!$C:$U,2+$E114,0))+IF(AW$5="X",VLOOKUP(AW$10,'VK-Põlevkivi'!$C:$X,2+$G114,0))+IF(AW$4="X",VLOOKUP(AW$10,'VK-Võrgud'!$C:$X,2+$F114,0))</f>
        <v>2.141</v>
      </c>
      <c r="AX114" s="229">
        <f t="shared" si="62"/>
        <v>1.9015591743363647E-2</v>
      </c>
      <c r="AY114" s="229">
        <f t="shared" si="63"/>
        <v>0</v>
      </c>
      <c r="AZ114" s="230">
        <f t="shared" si="83"/>
        <v>0.27904142221549655</v>
      </c>
      <c r="BA114" s="209">
        <f>IF(BA$7="X",VLOOKUP(BA$10,'VK-Hooned-Soojus'!$C:$X,2+$C114,FALSE),0)+IF(BA$6="X",VLOOKUP(BA$10,'VK-Transport'!$C:$X,2+$B114,0))+IF(BA$8="X",VLOOKUP(BA$10,'VK-Elekter'!$C:$X,2+$D114,0))+IF(BA$9="X",VLOOKUP(BA$10,'VK-Biokütused'!$C:$U,2+$E114,0))+IF(BA$5="X",VLOOKUP(BA$10,'VK-Põlevkivi'!$C:$X,2+$G114,0))+IF(BA$4="X",VLOOKUP(BA$10,'VK-Võrgud'!$C:$X,2+$F114,0))</f>
        <v>7.41</v>
      </c>
      <c r="BB114" s="209">
        <f>IF(BB$7="X",VLOOKUP(BB$10,'VK-Hooned-Soojus'!$C:$X,2+$C114,FALSE),0)+IF(BB$6="X",VLOOKUP(BB$10,'VK-Transport'!$C:$X,2+$B114,0))+IF(BB$8="X",VLOOKUP(BB$10,'VK-Elekter'!$C:$X,2+$D114,0))+IF(BB$9="X",VLOOKUP(BB$10,'VK-Biokütused'!$C:$U,2+$E114,0))+IF(BB$5="X",VLOOKUP(BB$10,'VK-Põlevkivi'!$C:$X,2+$G114,0))+IF(BB$4="X",VLOOKUP(BB$10,'VK-Võrgud'!$C:$X,2+$F114,0))</f>
        <v>2.96</v>
      </c>
      <c r="BC114" s="209">
        <f>IF(BC$7="X",VLOOKUP(BC$10,'VK-Hooned-Soojus'!$C:$X,2+$C114,FALSE),0)+IF(BC$6="X",VLOOKUP(BC$10,'VK-Transport'!$C:$X,2+$B114,0))+IF(BC$8="X",VLOOKUP(BC$10,'VK-Elekter'!$C:$X,2+$D114,0))+IF(BC$9="X",VLOOKUP(BC$10,'VK-Biokütused'!$C:$U,2+$E114,0))+IF(BC$5="X",VLOOKUP(BC$10,'VK-Põlevkivi'!$C:$X,2+$G114,0))+IF(BC$4="X",VLOOKUP(BC$10,'VK-Võrgud'!$C:$X,2+$F114,0))</f>
        <v>8.0523611111111126</v>
      </c>
      <c r="BD114" s="209">
        <f>IF(BD$7="X",VLOOKUP(BD$10,'VK-Hooned-Soojus'!$C:$X,2+$C114,FALSE),0)+IF(BD$6="X",VLOOKUP(BD$10,'VK-Transport'!$C:$X,2+$B114,0))+IF(BD$8="X",VLOOKUP(BD$10,'VK-Elekter'!$C:$X,2+$D114,0))+IF(BD$9="X",VLOOKUP(BD$10,'VK-Biokütused'!$C:$U,2+$E114,0))+IF(BD$5="X",VLOOKUP(BD$10,'VK-Põlevkivi'!$C:$X,2+$G114,0))+IF(BD$4="X",VLOOKUP(BD$10,'VK-Võrgud'!$C:$X,2+$F114,0))</f>
        <v>10.42138888888889</v>
      </c>
      <c r="BE114" s="230"/>
      <c r="BF114" s="229">
        <f t="shared" si="64"/>
        <v>0.28029402570781442</v>
      </c>
      <c r="BG114" s="209" t="e">
        <f>(IF(BG$7="X",VLOOKUP(BG$10,'VK-Hooned-Soojus'!$C:$X,2+$C114,FALSE),0)+IF(BG$6="X",VLOOKUP(BG$10,'VK-Transport'!$C:$X,2+$B114,0))+IF(BG$8="X",VLOOKUP(BG$10,'VK-Elekter'!$C:$X,2+$D114,0))+IF(BG$9="X",VLOOKUP(BG$10,'VK-Biokütused'!$C:$U,2+$E114,0))+IF(BG$5="X",VLOOKUP(BG$10,'VK-Põlevkivi'!$C:$X,2+$G114,0))+IF(BG$4="X",VLOOKUP(BG$10,'VK-Võrgud'!$C:$X,2+$F114,0)))/20</f>
        <v>#N/A</v>
      </c>
      <c r="BH114" s="209">
        <f>(IF(BH$7="X",VLOOKUP(BH$10,'VK-Hooned-Soojus'!$C:$X,2+$C114,FALSE),0)+IF(BH$6="X",VLOOKUP(BH$10,'VK-Transport'!$C:$X,2+$B114,0))+IF(BH$8="X",VLOOKUP(BH$10,'VK-Elekter'!$C:$X,2+$D114,0))+IF(BH$9="X",VLOOKUP(BH$10,'VK-Biokütused'!$C:$U,2+$E114,0))+IF(BH$5="X",VLOOKUP(BH$10,'VK-Põlevkivi'!$C:$X,2+$G114,0))+IF(BH$4="X",VLOOKUP(BH$10,'VK-Võrgud'!$C:$X,2+$F114,0)))/20</f>
        <v>13.99</v>
      </c>
      <c r="BI114" s="209">
        <f>(IF(BI$7="X",VLOOKUP(BI$10,'VK-Hooned-Soojus'!$C:$X,2+$C114,FALSE),0)+IF(BI$6="X",VLOOKUP(BI$10,'VK-Transport'!$C:$X,2+$B114,0))+IF(BI$8="X",VLOOKUP(BI$10,'VK-Elekter'!$C:$X,2+$D114,0))+IF(BI$9="X",VLOOKUP(BI$10,'VK-Biokütused'!$C:$U,2+$E114,0))+IF(BI$5="X",VLOOKUP(BI$10,'VK-Põlevkivi'!$C:$X,2+$G114,0))+IF(BI$4="X",VLOOKUP(BI$10,'VK-Võrgud'!$C:$X,2+$F114,0)))/16</f>
        <v>17.75</v>
      </c>
      <c r="BJ114" s="209">
        <f>(IF(BJ$7="X",VLOOKUP(BJ$10,'VK-Hooned-Soojus'!$C:$X,2+$C114,FALSE),0)+IF(BJ$6="X",VLOOKUP(BJ$10,'VK-Transport'!$C:$X,2+$B114,0))+IF(BJ$8="X",VLOOKUP(BJ$10,'VK-Elekter'!$C:$X,2+$D114,0))+IF(BJ$9="X",VLOOKUP(BJ$10,'VK-Biokütused'!$C:$U,2+$E114,0))+IF(BJ$5="X",VLOOKUP(BJ$10,'VK-Põlevkivi'!$C:$X,2+$G114,0))+IF(BJ$4="X",VLOOKUP(BJ$10,'VK-Võrgud'!$C:$X,2+$F114,0)))/20</f>
        <v>1.85</v>
      </c>
      <c r="BK114" s="209"/>
      <c r="BL114" s="209"/>
      <c r="BM114" s="209"/>
      <c r="BN114" s="209" t="e">
        <f>(IF(BN$7="X",VLOOKUP(BN$10,'VK-Hooned-Soojus'!$C:$X,2+$C114,FALSE),0)+IF(BN$6="X",VLOOKUP(BN$10,'VK-Transport'!$C:$X,2+$B114,0))+IF(BN$8="X",VLOOKUP(BN$10,'VK-Elekter'!$C:$X,2+$D114,0))+IF(BN$9="X",VLOOKUP(BN$10,'VK-Biokütused'!$C:$U,2+$E114,0))+IF(BN$5="X",VLOOKUP(BN$10,'VK-Põlevkivi'!$C:$X,2+$G114,0))+IF(BN$4="X",VLOOKUP(BN$10,'VK-Võrgud'!$C:$X,2+$F114,0)))/16</f>
        <v>#N/A</v>
      </c>
      <c r="BO114" s="209">
        <f>(IF(BO$7="X",VLOOKUP(BO$10,'VK-Hooned-Soojus'!$C:$X,2+$C114,FALSE),0)+IF(BO$6="X",VLOOKUP(BO$10,'VK-Transport'!$C:$X,2+$B114,0))+IF(BO$8="X",VLOOKUP(BO$10,'VK-Elekter'!$C:$X,2+$D114,0))+IF(BO$9="X",VLOOKUP(BO$10,'VK-Biokütused'!$C:$U,2+$E114,0))+IF(BO$5="X",VLOOKUP(BO$10,'VK-Põlevkivi'!$C:$X,2+$G114,0))+IF(BO$4="X",VLOOKUP(BO$10,'VK-Võrgud'!$C:$X,2+$F114,0)))/16</f>
        <v>322.79374999999999</v>
      </c>
      <c r="BP114" s="209"/>
      <c r="BQ114" s="209">
        <f>(IF(BQ$7="X",VLOOKUP(BQ$10,'VK-Hooned-Soojus'!$C:$X,2+$C114,FALSE),0)+IF(BQ$6="X",VLOOKUP(BQ$10,'VK-Transport'!$C:$X,2+$B114,0))+IF(BQ$8="X",VLOOKUP(BQ$10,'VK-Elekter'!$C:$X,2+$D114,0))+IF(BQ$9="X",VLOOKUP(BQ$10,'VK-Biokütused'!$C:$U,2+$E114,0))+IF(BQ$5="X",VLOOKUP(BQ$10,'VK-Põlevkivi'!$C:$X,2+$G114,0))+IF(BQ$4="X",VLOOKUP(BQ$10,'VK-Võrgud'!$C:$X,2+$F114,0)))/16</f>
        <v>233.20625000000001</v>
      </c>
      <c r="BR114" s="209">
        <f>(IF(BR$7="X",VLOOKUP(BR$10,'VK-Hooned-Soojus'!$C:$X,2+$C114,FALSE),0)+IF(BR$6="X",VLOOKUP(BR$10,'VK-Transport'!$C:$X,2+$B114,0))+IF(BR$8="X",VLOOKUP(BR$10,'VK-Elekter'!$C:$X,2+$D114,0))+IF(BR$9="X",VLOOKUP(BR$10,'VK-Biokütused'!$C:$U,2+$E114,0))+IF(BR$5="X",VLOOKUP(BR$10,'VK-Põlevkivi'!$C:$X,2+$G114,0))+IF(BR$4="X",VLOOKUP(BR$10,'VK-Võrgud'!$C:$X,2+$F114,0)))/16</f>
        <v>74.512500000000003</v>
      </c>
      <c r="BS114" s="209">
        <f>(IF(BS$7="X",VLOOKUP(BS$10,'VK-Hooned-Soojus'!$C:$X,2+$C114,FALSE),0)+IF(BS$6="X",VLOOKUP(BS$10,'VK-Transport'!$C:$X,2+$B114,0))+IF(BS$8="X",VLOOKUP(BS$10,'VK-Elekter'!$C:$X,2+$D114,0))+IF(BS$9="X",VLOOKUP(BS$10,'VK-Biokütused'!$C:$U,2+$E114,0))+IF(BS$5="X",VLOOKUP(BS$10,'VK-Põlevkivi'!$C:$X,2+$G114,0))+IF(BS$4="X",VLOOKUP(BS$10,'VK-Võrgud'!$C:$X,2+$F114,0)))/16</f>
        <v>-21.475000000000001</v>
      </c>
      <c r="BT114" s="209"/>
      <c r="BU114" s="209"/>
      <c r="BV114" s="209">
        <f>(IF(BV$7="X",VLOOKUP(BV$10,'VK-Hooned-Soojus'!$C:$X,2+$C114,FALSE),0)+IF(BV$6="X",VLOOKUP(BV$10,'VK-Transport'!$C:$X,2+$B114,0))+IF(BV$8="X",VLOOKUP(BV$10,'VK-Elekter'!$C:$X,2+$D114,0))+IF(BV$9="X",VLOOKUP(BV$10,'VK-Biokütused'!$C:$U,2+$E114,0))+IF(BV$5="X",VLOOKUP(BV$10,'VK-Põlevkivi'!$C:$X,2+$G114,0))+IF(BV$4="X",VLOOKUP(BV$10,'VK-Võrgud'!$C:$X,2+$F114,0)))/16</f>
        <v>0</v>
      </c>
      <c r="BW114" s="209"/>
      <c r="BX114" s="209">
        <f>(IF(BX$7="X",VLOOKUP(BX$10,'VK-Hooned-Soojus'!$C:$X,2+$C114,FALSE),0)+IF(BX$6="X",VLOOKUP(BX$10,'VK-Transport'!$C:$X,2+$B114,0))+IF(BX$8="X",VLOOKUP(BX$10,'VK-Elekter'!$C:$X,2+$D114,0))+IF(BX$9="X",VLOOKUP(BX$10,'VK-Biokütused'!$C:$U,2+$E114,0))+IF(BX$5="X",VLOOKUP(BX$10,'VK-Põlevkivi'!$C:$X,2+$G114,0))+IF(BX$4="X",VLOOKUP(BX$10,'VK-Võrgud'!$C:$X,2+$F114,0)))/16</f>
        <v>-145.125</v>
      </c>
      <c r="BY114" s="209"/>
      <c r="BZ114" s="209"/>
      <c r="CA114" s="209" t="e">
        <f>(IF(CA$7="X",VLOOKUP(CA$10,'VK-Hooned-Soojus'!$C:$X,2+$C114,FALSE),0)+IF(CA$6="X",VLOOKUP(CA$10,'VK-Transport'!$C:$X,2+$B114,0))+IF(CA$8="X",VLOOKUP(CA$10,'VK-Elekter'!$C:$X,2+$D114,0))+IF(CA$9="X",VLOOKUP(CA$10,'VK-Biokütused'!$C:$U,2+$E114,0))+IF(CA$5="X",VLOOKUP(CA$10,'VK-Põlevkivi'!$C:$X,2+$G114,0))+IF(CA$4="X",VLOOKUP(CA$10,'VK-Võrgud'!$C:$X,2+$F114,0)))/16</f>
        <v>#N/A</v>
      </c>
      <c r="CB114" s="209">
        <f>(IF(CB$7="X",VLOOKUP(CB$10,'VK-Hooned-Soojus'!$C:$X,2+$C114,FALSE),0)+IF(CB$6="X",VLOOKUP(CB$10,'VK-Transport'!$C:$X,2+$B114,0))+IF(CB$8="X",VLOOKUP(CB$10,'VK-Elekter'!$C:$X,2+$D114,0))+IF(CB$9="X",VLOOKUP(CB$10,'VK-Biokütused'!$C:$U,2+$E114,0))+IF(CB$5="X",VLOOKUP(CB$10,'VK-Põlevkivi'!$C:$X,2+$G114,0))+IF(CB$4="X",VLOOKUP(CB$10,'VK-Võrgud'!$C:$X,2+$F114,0)))/16</f>
        <v>0</v>
      </c>
      <c r="CC114" s="209">
        <f>(IF(CC$7="X",VLOOKUP(CC$10,'VK-Hooned-Soojus'!$C:$X,2+$C114,FALSE),0)+IF(CC$6="X",VLOOKUP(CC$10,'VK-Transport'!$C:$X,2+$B114,0))+IF(CC$8="X",VLOOKUP(CC$10,'VK-Elekter'!$C:$X,2+$D114,0))+IF(CC$9="X",VLOOKUP(CC$10,'VK-Biokütused'!$C:$U,2+$E114,0))+IF(CC$5="X",VLOOKUP(CC$10,'VK-Põlevkivi'!$C:$X,2+$G114,0))+IF(CC$4="X",VLOOKUP(CC$10,'VK-Võrgud'!$C:$X,2+$F114,0)))/16</f>
        <v>0</v>
      </c>
      <c r="CD114" s="209"/>
      <c r="CE114" s="209">
        <f>(IF(CE$7="X",VLOOKUP(CE$10,'VK-Hooned-Soojus'!$C:$X,2+$C114,FALSE),0)+IF(CE$6="X",VLOOKUP(CE$10,'VK-Transport'!$C:$X,2+$B114,0))+IF(CE$8="X",VLOOKUP(CE$10,'VK-Elekter'!$C:$X,2+$D114,0))+IF(CE$9="X",VLOOKUP(CE$10,'VK-Biokütused'!$C:$U,2+$E114,0))+IF(CE$5="X",VLOOKUP(CE$10,'VK-Põlevkivi'!$C:$X,2+$G114,0))+IF(CE$4="X",VLOOKUP(CE$10,'VK-Võrgud'!$C:$X,2+$F114,0)))/16</f>
        <v>24.15625</v>
      </c>
      <c r="CF114" s="209"/>
      <c r="CG114" s="209">
        <f>(IF(CG$7="X",VLOOKUP(CG$10,'VK-Hooned-Soojus'!$C:$X,2+$C114,FALSE),0)+IF(CG$6="X",VLOOKUP(CG$10,'VK-Transport'!$C:$X,2+$B114,0))+IF(CG$8="X",VLOOKUP(CG$10,'VK-Elekter'!$C:$X,2+$D114,0))+IF(CG$9="X",VLOOKUP(CG$10,'VK-Biokütused'!$C:$U,2+$E114,0))+IF(CG$5="X",VLOOKUP(CG$10,'VK-Põlevkivi'!$C:$X,2+$G114,0))+IF(CG$4="X",VLOOKUP(CG$10,'VK-Võrgud'!$C:$X,2+$F114,0)))/16</f>
        <v>0</v>
      </c>
      <c r="CH114" s="209">
        <f>(IF(CH$7="X",VLOOKUP(CH$10,'VK-Hooned-Soojus'!$C:$X,2+$C114,FALSE),0)+IF(CH$6="X",VLOOKUP(CH$10,'VK-Transport'!$C:$X,2+$B114,0))+IF(CH$8="X",VLOOKUP(CH$10,'VK-Elekter'!$C:$X,2+$D114,0))+IF(CH$9="X",VLOOKUP(CH$10,'VK-Biokütused'!$C:$U,2+$E114,0))+IF(CH$5="X",VLOOKUP(CH$10,'VK-Põlevkivi'!$C:$X,2+$G114,0))+IF(CH$4="X",VLOOKUP(CH$10,'VK-Võrgud'!$C:$X,2+$F114,0)))/20*0.21</f>
        <v>5.6122500000000004</v>
      </c>
      <c r="CI114" s="209"/>
      <c r="CJ114" s="209">
        <f>(IF(CJ$7="X",VLOOKUP(CJ$10,'VK-Hooned-Soojus'!$C:$X,2+$C114,FALSE),0)+IF(CJ$6="X",VLOOKUP(CJ$10,'VK-Transport'!$C:$X,2+$B114,0))+IF(CJ$8="X",VLOOKUP(CJ$10,'VK-Elekter'!$C:$X,2+$D114,0))+IF(CJ$9="X",VLOOKUP(CJ$10,'VK-Biokütused'!$C:$U,2+$E114,0))+IF(CJ$5="X",VLOOKUP(CJ$10,'VK-Põlevkivi'!$C:$X,2+$G114,0))+IF(CJ$4="X",VLOOKUP(CJ$10,'VK-Võrgud'!$C:$X,2+$F114,0)))/1000</f>
        <v>22.548999999999999</v>
      </c>
      <c r="CK114" s="209">
        <f>(IF(CK$7="X",VLOOKUP(CK$10,'VK-Hooned-Soojus'!$C:$X,2+$C114,FALSE),0)+IF(CK$6="X",VLOOKUP(CK$10,'VK-Transport'!$C:$X,2+$B114,0))+IF(CK$8="X",VLOOKUP(CK$10,'VK-Elekter'!$C:$X,2+$D114,0))+IF(CK$9="X",VLOOKUP(CK$10,'VK-Biokütused'!$C:$U,2+$E114,0))+IF(CK$5="X",VLOOKUP(CK$10,'VK-Põlevkivi'!$C:$X,2+$G114,0))+IF(CK$4="X",VLOOKUP(CK$10,'VK-Võrgud'!$C:$X,2+$F114,0)))/1000</f>
        <v>39.419669554234019</v>
      </c>
      <c r="CL114" s="209">
        <f>(IF(CL$7="X",VLOOKUP(CL$10,'VK-Hooned-Soojus'!$C:$X,2+$C114,FALSE),0)+IF(CL$6="X",VLOOKUP(CL$10,'VK-Transport'!$C:$X,2+$B114,0))+IF(CL$8="X",VLOOKUP(CL$10,'VK-Elekter'!$C:$X,2+$D114,0))+IF(CL$9="X",VLOOKUP(CL$10,'VK-Biokütused'!$C:$U,2+$E114,0))+IF(CL$5="X",VLOOKUP(CL$10,'VK-Põlevkivi'!$C:$X,2+$G114,0))+IF(CL$4="X",VLOOKUP(CL$10,'VK-Võrgud'!$C:$X,2+$F114,0)))/1000</f>
        <v>11.244630311598682</v>
      </c>
      <c r="CM114" s="209">
        <f>(IF(CM$7="X",VLOOKUP(CM$10,'VK-Hooned-Soojus'!$C:$X,2+$C114,FALSE),0)+IF(CM$6="X",VLOOKUP(CM$10,'VK-Transport'!$C:$X,2+$B114,0))+IF(CM$8="X",VLOOKUP(CM$10,'VK-Elekter'!$C:$X,2+$D114,0))+IF(CM$9="X",VLOOKUP(CM$10,'VK-Biokütused'!$C:$U,2+$E114,0))+IF(CM$5="X",VLOOKUP(CM$10,'VK-Põlevkivi'!$C:$X,2+$G114,0))+IF(CM$4="X",VLOOKUP(CM$10,'VK-Võrgud'!$C:$X,2+$F114,0)))/1000</f>
        <v>8.4649896156049156</v>
      </c>
      <c r="CN114" s="209">
        <f>(IF(CN$7="X",VLOOKUP(CN$10,'VK-Hooned-Soojus'!$C:$X,2+$C114,FALSE),0)+IF(CN$6="X",VLOOKUP(CN$10,'VK-Transport'!$C:$X,2+$B114,0))+IF(CN$8="X",VLOOKUP(CN$10,'VK-Elekter'!$C:$X,2+$D114,0))+IF(CN$9="X",VLOOKUP(CN$10,'VK-Biokütused'!$C:$U,2+$E114,0))+IF(CN$5="X",VLOOKUP(CN$10,'VK-Põlevkivi'!$C:$X,2+$G114,0))+IF(CN$4="X",VLOOKUP(CN$10,'VK-Võrgud'!$C:$X,2+$F114,0)))/1000</f>
        <v>3.0510000000000002</v>
      </c>
      <c r="CO114" s="209">
        <f>(IF(CO$7="X",VLOOKUP(CO$10,'VK-Hooned-Soojus'!$C:$X,2+$C114,FALSE),0)+IF(CO$6="X",VLOOKUP(CO$10,'VK-Transport'!$C:$X,2+$B114,0))+IF(CO$8="X",VLOOKUP(CO$10,'VK-Elekter'!$C:$X,2+$D114,0))+IF(CO$9="X",VLOOKUP(CO$10,'VK-Biokütused'!$C:$U,2+$E114,0))+IF(CO$5="X",VLOOKUP(CO$10,'VK-Põlevkivi'!$C:$X,2+$G114,0))+IF(CO$4="X",VLOOKUP(CO$10,'VK-Võrgud'!$C:$X,2+$F114,0)))/1000</f>
        <v>29.463362337356994</v>
      </c>
      <c r="CP114" s="209">
        <f>(IF(CP$7="X",VLOOKUP(CP$10,'VK-Hooned-Soojus'!$C:$X,2+$C114,FALSE),0)+IF(CP$6="X",VLOOKUP(CP$10,'VK-Transport'!$C:$X,2+$B114,0))+IF(CP$8="X",VLOOKUP(CP$10,'VK-Elekter'!$C:$X,2+$D114,0))+IF(CP$9="X",VLOOKUP(CP$10,'VK-Biokütused'!$C:$U,2+$E114,0))+IF(CP$5="X",VLOOKUP(CP$10,'VK-Põlevkivi'!$C:$X,2+$G114,0))+IF(CP$4="X",VLOOKUP(CP$10,'VK-Võrgud'!$C:$X,2+$F114,0)))/1000</f>
        <v>32.719874014997934</v>
      </c>
      <c r="CQ114" s="209">
        <f>(IF(CQ$7="X",VLOOKUP(CQ$10,'VK-Hooned-Soojus'!$C:$X,2+$C114,FALSE),0)+IF(CQ$6="X",VLOOKUP(CQ$10,'VK-Transport'!$C:$X,2+$B114,0))+IF(CQ$8="X",VLOOKUP(CQ$10,'VK-Elekter'!$C:$X,2+$D114,0))+IF(CQ$9="X",VLOOKUP(CQ$10,'VK-Biokütused'!$C:$U,2+$E114,0))+IF(CQ$5="X",VLOOKUP(CQ$10,'VK-Põlevkivi'!$C:$X,2+$G114,0))+IF(CQ$4="X",VLOOKUP(CQ$10,'VK-Võrgud'!$C:$X,2+$F114,0)))/1000</f>
        <v>16.921919000000003</v>
      </c>
      <c r="CR114" s="209">
        <f>(IF(CR$7="X",VLOOKUP(CR$10,'VK-Hooned-Soojus'!$C:$X,2+$C114,FALSE),0)+IF(CR$6="X",VLOOKUP(CR$10,'VK-Transport'!$C:$X,2+$B114,0))+IF(CR$8="X",VLOOKUP(CR$10,'VK-Elekter'!$C:$X,2+$D114,0))+IF(CR$9="X",VLOOKUP(CR$10,'VK-Biokütused'!$C:$U,2+$E114,0))+IF(CR$5="X",VLOOKUP(CR$10,'VK-Põlevkivi'!$C:$X,2+$G114,0))+IF(CR$4="X",VLOOKUP(CR$10,'VK-Võrgud'!$C:$X,2+$F114,0)))/1000</f>
        <v>8.3977518373996904</v>
      </c>
      <c r="CS114" s="209">
        <f>(IF(CS$7="X",VLOOKUP(CS$10,'VK-Hooned-Soojus'!$C:$X,2+$C114,FALSE),0)+IF(CS$6="X",VLOOKUP(CS$10,'VK-Transport'!$C:$X,2+$B114,0))+IF(CS$8="X",VLOOKUP(CS$10,'VK-Elekter'!$C:$X,2+$D114,0))+IF(CS$9="X",VLOOKUP(CS$10,'VK-Biokütused'!$C:$U,2+$E114,0))+IF(CS$5="X",VLOOKUP(CS$10,'VK-Põlevkivi'!$C:$X,2+$G114,0))+IF(CS$4="X",VLOOKUP(CS$10,'VK-Võrgud'!$C:$X,2+$F114,0)))/1000</f>
        <v>3.838649509862238</v>
      </c>
      <c r="CT114" s="209">
        <f>IF(CT$7="X",VLOOKUP(CT$10,'VK-Hooned-Soojus'!$C:$X,2+$C114,FALSE),0)+IF(CT$6="X",VLOOKUP(CT$10,'VK-Transport'!$C:$X,2+$B114,0))+IF(CT$8="X",VLOOKUP(CT$10,'VK-Elekter'!$C:$X,2+$D114,0))+IF(CT$9="X",VLOOKUP(CT$10,'VK-Biokütused'!$C:$U,2+$E114,0))+IF(CT$5="X",VLOOKUP(CT$10,'VK-Põlevkivi'!$C:$X,2+$G114,0))+IF(CT$4="X",VLOOKUP(CT$10,'VK-Võrgud'!$C:$X,2+$F114,0))</f>
        <v>90</v>
      </c>
      <c r="CU114" s="209">
        <f>IF(CU$7="X",VLOOKUP(CU$10,'VK-Hooned-Soojus'!$C:$X,2+$C114,FALSE),0)+IF(CU$6="X",VLOOKUP(CU$10,'VK-Transport'!$C:$X,2+$B114,0))+IF(CU$8="X",VLOOKUP(CU$10,'VK-Elekter'!$C:$X,2+$D114,0))+IF(CU$9="X",VLOOKUP(CU$10,'VK-Biokütused'!$C:$U,2+$E114,0))+IF(CU$5="X",VLOOKUP(CU$10,'VK-Põlevkivi'!$C:$X,2+$G114,0))+IF(CU$4="X",VLOOKUP(CU$10,'VK-Võrgud'!$C:$X,2+$F114,0))</f>
        <v>1</v>
      </c>
      <c r="CV114" s="209">
        <f t="shared" si="84"/>
        <v>0.72887234460741657</v>
      </c>
      <c r="CW114" s="209">
        <f>(IF(CW$7="X",VLOOKUP(CW$10,'VK-Hooned-Soojus'!$C:$X,2+$C114,FALSE),0)+IF(CW$6="X",VLOOKUP(CW$10,'VK-Transport'!$C:$X,2+$B114,0))+IF(CW$8="X",VLOOKUP(CW$10,'VK-Elekter'!$C:$X,2+$D114,0))+IF(CW$9="X",VLOOKUP(CW$10,'VK-Biokütused'!$C:$U,2+$E114,0))+IF(CW$5="X",VLOOKUP(CW$10,'VK-Põlevkivi'!$C:$X,2+$G114,0))+IF(CW$4="X",VLOOKUP(CW$10,'VK-Võrgud'!$C:$X,2+$F114,0)))/16</f>
        <v>59.743749999999999</v>
      </c>
      <c r="CY114" s="209">
        <f>(IF(CY$7="X",VLOOKUP(CY$10,'VK-Hooned-Soojus'!$C:$X,2+$C114,FALSE),0)+IF(CY$6="X",VLOOKUP(CY$10,'VK-Transport'!$C:$X,2+$B114,0))+IF(CY$8="X",VLOOKUP(CY$10,'VK-Elekter'!$C:$X,2+$D114,0))+IF(CY$9="X",VLOOKUP(CY$10,'VK-Biokütused'!$C:$U,2+$E114,0))+IF(CY$5="X",VLOOKUP(CY$10,'VK-Põlevkivi'!$C:$X,2+$G114,0))+IF(CY$4="X",VLOOKUP(CY$10,'VK-Võrgud'!$C:$X,2+$F114,0)))/1000</f>
        <v>11.494999999999999</v>
      </c>
      <c r="CZ114" s="209">
        <f>(IF(CZ$7="X",VLOOKUP(CZ$10,'VK-Hooned-Soojus'!$C:$X,2+$C114,FALSE),0)+IF(CZ$6="X",VLOOKUP(CZ$10,'VK-Transport'!$C:$X,2+$B114,0))+IF(CZ$8="X",VLOOKUP(CZ$10,'VK-Elekter'!$C:$X,2+$D114,0))+IF(CZ$9="X",VLOOKUP(CZ$10,'VK-Biokütused'!$C:$U,2+$E114,0))+IF(CZ$5="X",VLOOKUP(CZ$10,'VK-Põlevkivi'!$C:$X,2+$G114,0))+IF(CZ$4="X",VLOOKUP(CZ$10,'VK-Võrgud'!$C:$X,2+$F114,0)))</f>
        <v>95.4</v>
      </c>
      <c r="DA114" s="209">
        <f>(IF(DA$7="X",VLOOKUP(DA$10,'VK-Hooned-Soojus'!$C:$X,2+$C114,FALSE),0)+IF(DA$6="X",VLOOKUP(DA$10,'VK-Transport'!$C:$X,2+$B114,0))+IF(DA$8="X",VLOOKUP(DA$10,'VK-Elekter'!$C:$X,2+$D114,0))+IF(DA$9="X",VLOOKUP(DA$10,'VK-Biokütused'!$C:$U,2+$E114,0))+IF(DA$5="X",VLOOKUP(DA$10,'VK-Põlevkivi'!$C:$X,2+$G114,0))+IF(DA$4="X",VLOOKUP(DA$10,'VK-Võrgud'!$C:$X,2+$F114,0)))/1000</f>
        <v>16.370999999999999</v>
      </c>
      <c r="DB114" s="209">
        <f>(IF(DB$7="X",VLOOKUP(DB$10,'VK-Hooned-Soojus'!$C:$X,2+$C114,FALSE),0)+IF(DB$6="X",VLOOKUP(DB$10,'VK-Transport'!$C:$X,2+$B114,0))+IF(DB$8="X",VLOOKUP(DB$10,'VK-Elekter'!$C:$X,2+$D114,0))+IF(DB$9="X",VLOOKUP(DB$10,'VK-Biokütused'!$C:$U,2+$E114,0))+IF(DB$5="X",VLOOKUP(DB$10,'VK-Põlevkivi'!$C:$X,2+$G114,0))+IF(DB$4="X",VLOOKUP(DB$10,'VK-Võrgud'!$C:$X,2+$F114,0)))/1000/3.6</f>
        <v>135.93111111111111</v>
      </c>
      <c r="DC114" s="209">
        <f>(IF(DC$7="X",VLOOKUP(DC$10,'VK-Hooned-Soojus'!$C:$X,2+$C114,FALSE),0)+IF(DC$6="X",VLOOKUP(DC$10,'VK-Transport'!$C:$X,2+$B114,0))+IF(DC$8="X",VLOOKUP(DC$10,'VK-Elekter'!$C:$X,2+$D114,0))+IF(DC$9="X",VLOOKUP(DC$10,'VK-Biokütused'!$C:$U,2+$E114,0))+IF(DC$5="X",VLOOKUP(DC$10,'VK-Põlevkivi'!$C:$X,2+$G114,0))+IF(DC$4="X",VLOOKUP(DC$10,'VK-Võrgud'!$C:$X,2+$F114,0)))/1000000</f>
        <v>7.3454519999999999</v>
      </c>
      <c r="DD114" s="209"/>
      <c r="DE114" s="88">
        <f>VLOOKUP(Tulemused!$BN$12,data!M$7:N$12,2,FALSE)-SUM(L114,M114)</f>
        <v>-0.80250937302436398</v>
      </c>
      <c r="DF114" s="209" t="str">
        <f>IF(AZ114&lt;=VLOOKUP(Tulemused!$BN$15,data!$E$36:$F$39,2,FALSE),"JAH","EI")</f>
        <v>JAH</v>
      </c>
      <c r="DG114" s="209"/>
      <c r="DH114" s="209">
        <f t="shared" si="85"/>
        <v>6.78</v>
      </c>
      <c r="DI114" s="231" t="str">
        <f t="shared" si="65"/>
        <v>EI</v>
      </c>
      <c r="DK114" s="232">
        <f t="shared" si="86"/>
        <v>-993.05934048729853</v>
      </c>
      <c r="DM114" s="233">
        <f t="shared" si="87"/>
        <v>-996.95045203019913</v>
      </c>
      <c r="DN114" s="87">
        <f t="array" ref="DN114">INDEX($A$11:$A$145, SMALL(IF(DM114=$DK$11:$DK$145, MATCH(ROW($DK$11:$DK$145), ROW($DK$11:$DK$145))), SUM(--(DM114=$DM$11:DM114))))</f>
        <v>64</v>
      </c>
      <c r="DP114" s="87" t="e">
        <f t="shared" ca="1" si="66"/>
        <v>#N/A</v>
      </c>
      <c r="DQ114" s="87" t="e">
        <f t="shared" ca="1" si="67"/>
        <v>#N/A</v>
      </c>
      <c r="DR114" s="87">
        <f t="shared" ca="1" si="68"/>
        <v>0</v>
      </c>
      <c r="DS114" s="87" t="e">
        <f t="shared" ca="1" si="69"/>
        <v>#N/A</v>
      </c>
      <c r="DT114" s="87">
        <f t="shared" ca="1" si="70"/>
        <v>0</v>
      </c>
      <c r="DU114" s="87" t="e">
        <f t="shared" ca="1" si="71"/>
        <v>#N/A</v>
      </c>
      <c r="DV114" s="87" t="e">
        <f t="shared" ca="1" si="72"/>
        <v>#N/A</v>
      </c>
      <c r="DW114" s="87">
        <f t="shared" ca="1" si="73"/>
        <v>0</v>
      </c>
      <c r="DX114" s="87">
        <f t="shared" ca="1" si="74"/>
        <v>0</v>
      </c>
      <c r="DZ114" s="87">
        <f t="shared" ca="1" si="82"/>
        <v>0</v>
      </c>
      <c r="EB114" s="87">
        <f t="shared" ca="1" si="75"/>
        <v>0</v>
      </c>
      <c r="EC114" s="87" t="e">
        <f t="shared" ca="1" si="76"/>
        <v>#N/A</v>
      </c>
      <c r="EE114" s="228">
        <f>(IF(EE$7="X",VLOOKUP(EE$10,'VK-Hooned-Soojus'!$C:$X,2+$C114,FALSE),0)+IF(EE$6="X",VLOOKUP(EE$10,'VK-Transport'!$C:$X,2+$B114,0))+IF(EE$8="X",VLOOKUP(EE$10,'VK-Elekter'!$C:$X,2+$D114,0))+IF(EE$9="X",VLOOKUP(EE$10,'VK-Biokütused'!$C:$U,2+$E114,0))+IF(EE$5="X",VLOOKUP(EE$10,'VK-Põlevkivi'!$C:$X,2+$G114,0))+IF(EE$4="X",VLOOKUP(EE$10,'VK-Võrgud'!$C:$X,2+$F114,0)))</f>
        <v>10428.160920186272</v>
      </c>
      <c r="EF114" s="209">
        <f>(IF(EF$7="X",VLOOKUP(EF$10,'VK-Hooned-Soojus'!$C:$X,2+$C114,FALSE),0)+IF(EF$6="X",VLOOKUP(EF$10,'VK-Transport'!$C:$X,2+$B114,0))+IF(EF$8="X",VLOOKUP(EF$10,'VK-Elekter'!$C:$X,2+$D114,0))+IF(EF$9="X",VLOOKUP(EF$10,'VK-Biokütused'!$C:$U,2+$E114,0))+IF(EF$5="X",VLOOKUP(EF$10,'VK-Põlevkivi'!$C:$X,2+$G114,0))+IF(EF$4="X",VLOOKUP(EF$10,'VK-Võrgud'!$C:$X,2+$F114,0)))/1000</f>
        <v>8.4968849906373194</v>
      </c>
      <c r="EG114" s="209">
        <f>(IF(EG$7="X",VLOOKUP(EG$10,'VK-Hooned-Soojus'!$C:$X,2+$C114,FALSE),0)+IF(EG$6="X",VLOOKUP(EG$10,'VK-Transport'!$C:$X,2+$B114,0))+IF(EG$8="X",VLOOKUP(EG$10,'VK-Elekter'!$C:$X,2+$D114,0))+IF(EG$9="X",VLOOKUP(EG$10,'VK-Biokütused'!$C:$U,2+$E114,0))+IF(EG$5="X",VLOOKUP(EG$10,'VK-Põlevkivi'!$C:$X,2+$G114,0))+IF(EG$4="X",VLOOKUP(EG$10,'VK-Võrgud'!$C:$X,2+$F114,0)))</f>
        <v>0.81</v>
      </c>
      <c r="EH114" s="209">
        <f>(IF(EH$7="X",VLOOKUP(EH$10,'VK-Hooned-Soojus'!$C:$X,2+$C114,FALSE),0)+IF(EH$6="X",VLOOKUP(EH$10,'VK-Transport'!$C:$X,2+$B114,0))+IF(EH$8="X",VLOOKUP(EH$10,'VK-Elekter'!$C:$X,2+$D114,0))+IF(EH$9="X",VLOOKUP(EH$10,'VK-Biokütused'!$C:$U,2+$E114,0)))+AR114+AS114+AU114+AX114</f>
        <v>90.282071147298922</v>
      </c>
      <c r="EI114" s="320">
        <f t="shared" si="88"/>
        <v>61.835011875436599</v>
      </c>
      <c r="EJ114" s="322">
        <f t="shared" si="89"/>
        <v>2.3132392489112068E-2</v>
      </c>
      <c r="EK114" s="323">
        <f t="shared" si="77"/>
        <v>0.4427532296478886</v>
      </c>
      <c r="EM114" s="209"/>
      <c r="EN114" s="209">
        <f t="shared" ca="1" si="90"/>
        <v>0</v>
      </c>
      <c r="EO114" s="209"/>
      <c r="EP114" s="234"/>
      <c r="EQ114" s="209">
        <f>(IF(EQ$7="X",VLOOKUP(EQ$10,'VK-Hooned-Soojus'!$C:$X,2+$C114,FALSE),0)+IF(EQ$6="X",VLOOKUP(EQ$10,'VK-Transport'!$C:$X,2+$B114,0))+IF(EQ$8="X",VLOOKUP(EQ$10,'VK-Elekter'!$C:$X,2+$D114,0))+IF(EQ$9="X",VLOOKUP(EQ$10,'VK-Biokütused'!$C:$U,2+$E114,0))+IF(EQ$5="X",VLOOKUP(EQ$10,'VK-Põlevkivi'!$C:$X,2+$G114,0))+IF(EQ$4="X",VLOOKUP(EQ$10,'VK-Võrgud'!$C:$X,2+$F114,0)))/1000</f>
        <v>0.22900000000000001</v>
      </c>
      <c r="ER114" s="209">
        <f>(IF(ER$7="X",VLOOKUP(ER$10,'VK-Hooned-Soojus'!$C:$X,2+$C114,FALSE),0)+IF(ER$6="X",VLOOKUP(ER$10,'VK-Transport'!$C:$X,2+$B114,0))+IF(ER$8="X",VLOOKUP(ER$10,'VK-Elekter'!$C:$X,2+$D114,0))+IF(ER$9="X",VLOOKUP(ER$10,'VK-Biokütused'!$C:$U,2+$E114,0))+IF(ER$5="X",VLOOKUP(ER$10,'VK-Põlevkivi'!$C:$X,2+$G114,0))+IF(ER$4="X",VLOOKUP(ER$10,'VK-Võrgud'!$C:$X,2+$F114,0)))</f>
        <v>0.82899999999999996</v>
      </c>
      <c r="ES114" s="209">
        <f>(IF(ES$7="X",VLOOKUP(ES$10,'VK-Hooned-Soojus'!$C:$X,2+$C114,FALSE),0)+IF(ES$6="X",VLOOKUP(ES$10,'VK-Transport'!$C:$X,2+$B114,0))+IF(ES$8="X",VLOOKUP(ES$10,'VK-Elekter'!$C:$X,2+$D114,0))+IF(ES$9="X",VLOOKUP(ES$10,'VK-Biokütused'!$C:$U,2+$E114,0))+IF(ES$5="X",VLOOKUP(ES$10,'VK-Põlevkivi'!$C:$X,2+$G114,0))+IF(ES$4="X",VLOOKUP(ES$10,'VK-Võrgud'!$C:$X,2+$F114,0)))</f>
        <v>6.78</v>
      </c>
      <c r="ET114" s="209"/>
      <c r="EU114" s="209"/>
      <c r="EV114" s="87">
        <f>'KSH järjestus'!AS107</f>
        <v>1674</v>
      </c>
      <c r="EZ114" s="237">
        <f t="shared" si="91"/>
        <v>0</v>
      </c>
      <c r="FA114" s="209">
        <f>IF(FA$7="X",VLOOKUP(FA$10,'VK-Hooned-Soojus'!$C:$X,2+$C114,FALSE),0)+IF(FA$6="X",VLOOKUP(FA$10,'VK-Transport'!$C:$X,2+$B114,0))+IF(FA$8="X",VLOOKUP(FA$10,'VK-Elekter'!$C:$X,2+$D114,0))+IF(FA$9="X",VLOOKUP(FA$10,'VK-Biokütused'!$C:$U,2+$E114,0))+IF(FA$5="X",VLOOKUP(FA$10,'VK-Põlevkivi'!$C:$X,2+$G114,0))+IF(FA$4="X",VLOOKUP(FA$10,'VK-Võrgud'!$C:$X,2+$F114,0))</f>
        <v>3026.9189999999999</v>
      </c>
      <c r="FB114" s="279">
        <f>(IF(FB$7="X",VLOOKUP(FB$10,'VK-Hooned-Soojus'!$C:$X,2+$C114,FALSE),0)+IF(FB$6="X",VLOOKUP(FB$10,'VK-Transport'!$C:$X,2+$B114,0))+IF(FB$8="X",VLOOKUP(FB$10,'VK-Elekter'!$C:$X,2+$D114,0))+IF(FB$9="X",VLOOKUP(FB$10,'VK-Biokütused'!$C:$U,2+$E114,0))+IF(FB$5="X",VLOOKUP(FB$10,'VK-Põlevkivi'!$C:$X,2+$G114,0))+IF(FB$4="X",VLOOKUP(FB$10,'VK-Võrgud'!$C:$X,2+$F114,0)))/16</f>
        <v>846.33221404475694</v>
      </c>
      <c r="FC114" s="209">
        <f>IF(FC$7="X",VLOOKUP(FC$10,'VK-Hooned-Soojus'!$C:$X,2+$C114,FALSE),0)+IF(FC$6="X",VLOOKUP(FC$10,'VK-Transport'!$C:$X,2+$B114,0))+IF(FC$8="X",VLOOKUP(FC$10,'VK-Elekter'!$C:$X,2+$D114,0))+IF(FC$9="X",VLOOKUP(FC$10,'VK-Biokütused'!$C:$U,2+$E114,0))+IF(FC$5="X",VLOOKUP(FC$10,'VK-Põlevkivi'!$C:$X,2+$G114,0))+IF(FC$4="X",VLOOKUP(FC$10,'VK-Võrgud'!$C:$X,2+$F114,0))</f>
        <v>315.39999999999998</v>
      </c>
      <c r="FD114" s="209">
        <f>(IF(FD$7="X",VLOOKUP(FD$10,'VK-Hooned-Soojus'!$C:$X,2+$C114,FALSE),0)+IF(FD$6="X",VLOOKUP(FD$10,'VK-Transport'!$C:$X,2+$B114,0))+IF(FD$8="X",VLOOKUP(FD$10,'VK-Elekter'!$C:$X,2+$D114,0))+IF(FD$9="X",VLOOKUP(FD$10,'VK-Biokütused'!$C:$U,2+$E114,0))+IF(FD$5="X",VLOOKUP(FD$10,'VK-Põlevkivi'!$C:$X,2+$G114,0))+IF(FD$4="X",VLOOKUP(FD$10,'VK-Võrgud'!$C:$X,2+$F114,0)))/16</f>
        <v>846.33221404475694</v>
      </c>
      <c r="FE114" s="209">
        <f>(IF(FE$7="X",VLOOKUP(FE$10,'VK-Hooned-Soojus'!$C:$X,2+$C114,FALSE),0)+IF(FE$6="X",VLOOKUP(FE$10,'VK-Transport'!$C:$X,2+$B114,0))+IF(FE$8="X",VLOOKUP(FE$10,'VK-Elekter'!$C:$X,2+$D114,0))+IF(FE$9="X",VLOOKUP(FE$10,'VK-Biokütused'!$C:$U,2+$E114,0))+IF(FE$5="X",VLOOKUP(FE$10,'VK-Põlevkivi'!$C:$X,2+$G114,0))+IF(FE$4="X",VLOOKUP(FE$10,'VK-Võrgud'!$C:$X,2+$F114,0)))/16</f>
        <v>-55.7707198806321</v>
      </c>
      <c r="FF114" s="209">
        <f>(IF(FF$7="X",VLOOKUP(FF$10,'VK-Hooned-Soojus'!$C:$X,2+$C114,FALSE),0)+IF(FF$6="X",VLOOKUP(FF$10,'VK-Transport'!$C:$X,2+$B114,0))+IF(FF$8="X",VLOOKUP(FF$10,'VK-Elekter'!$C:$X,2+$D114,0))+IF(FF$9="X",VLOOKUP(FF$10,'VK-Biokütused'!$C:$U,2+$E114,0))+IF(FF$5="X",VLOOKUP(FF$10,'VK-Põlevkivi'!$C:$X,2+$G114,0))+IF(FF$4="X",VLOOKUP(FF$10,'VK-Võrgud'!$C:$X,2+$F114,0)))/16</f>
        <v>278.38932835250097</v>
      </c>
      <c r="FG114" s="88">
        <f t="shared" ca="1" si="78"/>
        <v>222.61860847186887</v>
      </c>
      <c r="FH114" s="88"/>
      <c r="FI114" s="88"/>
      <c r="FJ114" s="88">
        <f>VLOOKUP(Tulemused!$BN$12,data!M$7:N$12,2,FALSE)-SUM(L114,M114)</f>
        <v>-0.80250937302436398</v>
      </c>
      <c r="FK114" s="209" t="str">
        <f>IF(AZ114&lt;=VLOOKUP(Tulemused!$BN$15,data!$E$36:$F$39,2,FALSE),"JAH","EI")</f>
        <v>JAH</v>
      </c>
      <c r="FL114" s="235">
        <f ca="1">IF(ISNA(MATCH($A114,INDIRECT(VLOOKUP(Tulemused!$BF$11,data!$J$57:$M$71,4,FALSE)))),0,MATCH($A114,INDIRECT(VLOOKUP(Tulemused!$BF$11,data!$J$57:$M$71,4,FALSE))))</f>
        <v>0</v>
      </c>
      <c r="FM114" s="235" t="str">
        <f t="shared" ca="1" si="92"/>
        <v>JAH</v>
      </c>
      <c r="FN114" s="209">
        <f>VLOOKUP(Tulemused!$BN$13,data!$C$132:$D$137,2,FALSE)-KOMBI!R114</f>
        <v>4.5255850093626808</v>
      </c>
      <c r="FO114" s="209"/>
      <c r="FP114" s="209">
        <f>VLOOKUP(Tulemused!$BN$17,NO_x,2,FALSE)-CJ114</f>
        <v>6.8889999999999993</v>
      </c>
      <c r="FQ114" s="209">
        <f>VLOOKUP(Tulemused!$BN$18,SO_2,2,FALSE)-CK114</f>
        <v>12.464330445765981</v>
      </c>
      <c r="FR114" s="209">
        <f>VLOOKUP(Tulemused!$BN$19,LOU,2,FALSE)-CN114</f>
        <v>34.029000000000003</v>
      </c>
      <c r="FS114" s="209">
        <f>VLOOKUP(Tulemused!$BN$20,PM_2.5,2,FALSE)-CM114</f>
        <v>8.4500103843950836</v>
      </c>
      <c r="FT114" s="209">
        <f>VLOOKUP(Tulemused!$BN$13,data!$C$132:$D$137,2,FALSE)-FA114/1000</f>
        <v>3.2190510000000008</v>
      </c>
      <c r="FU114" s="209">
        <f>VLOOKUP(Tulemused!$BN$17,NO_x,2,FALSE)-CO114</f>
        <v>-2.5362337356995113E-2</v>
      </c>
      <c r="FV114" s="209">
        <f>VLOOKUP(Tulemused!$BN$18,SO_2,2,FALSE)-CP114</f>
        <v>19.164125985002066</v>
      </c>
      <c r="FW114" s="209">
        <f>VLOOKUP(Tulemused!$BN$19,LOU,2,FALSE)-CS114</f>
        <v>33.241350490137769</v>
      </c>
      <c r="FX114" s="209">
        <f>VLOOKUP(Tulemused!$BN$20,PM_2.5,2,FALSE)-CR114</f>
        <v>8.5172481626003087</v>
      </c>
      <c r="FY114" s="209">
        <f>VLOOKUP(Tulemused!$BN$14,KHG_2050,2,FALSE)-EF114</f>
        <v>91.503115009362688</v>
      </c>
      <c r="FZ114" s="231" t="str">
        <f t="shared" ca="1" si="79"/>
        <v>EI</v>
      </c>
      <c r="GA114" s="209"/>
      <c r="GB114" s="209"/>
      <c r="GC114" s="209"/>
      <c r="GD114" s="231"/>
      <c r="GE114" s="87">
        <f t="shared" si="93"/>
        <v>1674</v>
      </c>
      <c r="GF114" s="232" t="str">
        <f t="shared" ca="1" si="80"/>
        <v/>
      </c>
      <c r="GH114" s="238" t="e">
        <f t="shared" ca="1" si="94"/>
        <v>#NUM!</v>
      </c>
      <c r="GI114" s="87" t="e">
        <f t="array" aca="1" ref="GI114" ca="1">INDEX($A$11:$A$145, SMALL(IF(GH114=$GF$11:$GF$145, MATCH(ROW($GF$11:$GF$145), ROW($GF$11:$GF$145))), SUM(--(GH114=$GH$11:GH114))))</f>
        <v>#NUM!</v>
      </c>
      <c r="GM114" s="209">
        <f>IF(GM$7="X",VLOOKUP(GM$10,'VK-Hooned-Soojus'!$C:$X,2+$C114,FALSE),0)+IF(GM$6="X",VLOOKUP(GM$10,'VK-Transport'!$C:$X,2+$B114,0))+IF(GM$8="X",VLOOKUP(GM$10,'VK-Elekter'!$C:$X,2+$D114,0))+IF(GM$9="X",VLOOKUP(GM$10,'VK-Biokütused'!$C:$U,2+$E114,0))+IF(GM$5="X",VLOOKUP(GM$10,'VK-Põlevkivi'!$C:$X,2+$G114,0))+IF(GM$4="X",VLOOKUP(GM$10,'VK-Võrgud'!$C:$X,2+$F114,0))</f>
        <v>11.189888530766083</v>
      </c>
      <c r="GN114" s="209">
        <f>IF(GN$7="X",VLOOKUP(GN$10,'VK-Hooned-Soojus'!$C:$X,2+$C114,FALSE),0)+IF(GN$6="X",VLOOKUP(GN$10,'VK-Transport'!$C:$X,2+$B114,0))+IF(GN$8="X",VLOOKUP(GN$10,'VK-Elekter'!$C:$X,2+$D114,0))+IF(GN$9="X",VLOOKUP(GN$10,'VK-Biokütused'!$C:$U,2+$E114,0))+IF(GN$5="X",VLOOKUP(GN$10,'VK-Põlevkivi'!$C:$X,2+$G114,0))+IF(GN$4="X",VLOOKUP(GN$10,'VK-Võrgud'!$C:$X,2+$F114,0))</f>
        <v>2.9930837725682502</v>
      </c>
      <c r="GO114" s="209">
        <f>IF(GO$7="X",VLOOKUP(GO$10,'VK-Hooned-Soojus'!$C:$X,2+$C114,FALSE),0)+IF(GO$6="X",VLOOKUP(GO$10,'VK-Transport'!$C:$X,2+$B114,0))+IF(GO$8="X",VLOOKUP(GO$10,'VK-Elekter'!$C:$X,2+$D114,0))+IF(GO$9="X",VLOOKUP(GO$10,'VK-Biokütused'!$C:$U,2+$E114,0))+IF(GO$5="X",VLOOKUP(GO$10,'VK-Põlevkivi'!$C:$X,2+$G114,0))+IF(GO$4="X",VLOOKUP(GO$10,'VK-Võrgud'!$C:$X,2+$F114,0))</f>
        <v>8.7471755658278116</v>
      </c>
      <c r="GP114" s="209">
        <f>IF(GP$7="X",VLOOKUP(GP$10,'VK-Hooned-Soojus'!$C:$X,2+$C114,FALSE),0)+IF(GP$6="X",VLOOKUP(GP$10,'VK-Transport'!$C:$X,2+$B114,0))+IF(GP$8="X",VLOOKUP(GP$10,'VK-Elekter'!$C:$X,2+$D114,0))+IF(GP$9="X",VLOOKUP(GP$10,'VK-Biokütused'!$C:$U,2+$E114,0))+IF(GP$5="X",VLOOKUP(GP$10,'VK-Põlevkivi'!$C:$X,2+$G114,0))+IF(GP$4="X",VLOOKUP(GP$10,'VK-Võrgud'!$C:$X,2+$F114,0))</f>
        <v>9.3279335818485372</v>
      </c>
      <c r="GQ114" s="88">
        <f>IF(GQ$7="X",VLOOKUP(GQ$10,'VK-Hooned-Soojus'!$C:$X,2+$C114,FALSE),0)+IF(GQ$6="X",VLOOKUP(GQ$10,'VK-Transport'!$C:$X,2+$B114,0))+IF(GQ$8="X",VLOOKUP(GQ$10,'VK-Elekter'!$C:$X,2+$D114,0))+IF(GQ$9="X",VLOOKUP(GQ$10,'VK-Biokütused'!$C:$U,2+$E114,0))+IF(GQ$5="X",VLOOKUP(GQ$10,'VK-Põlevkivi'!$C:$X,2+$G114,0))+IF(GQ$4="X",VLOOKUP(GQ$10,'VK-Võrgud'!$C:$X,2+$F114,0))</f>
        <v>0.89042766952822527</v>
      </c>
      <c r="GR114" s="186">
        <f t="shared" si="81"/>
        <v>0.39278500094726765</v>
      </c>
    </row>
    <row r="115" spans="1:200" x14ac:dyDescent="0.2">
      <c r="A115" s="184">
        <v>105</v>
      </c>
      <c r="B115" s="87">
        <v>3</v>
      </c>
      <c r="C115" s="87">
        <v>1</v>
      </c>
      <c r="D115" s="87">
        <v>5</v>
      </c>
      <c r="E115" s="87">
        <v>3</v>
      </c>
      <c r="F115" s="87">
        <f>VLOOKUP(Tulemused!$BF$7,data!$J$6:$K$8,2,FALSE)</f>
        <v>2</v>
      </c>
      <c r="G115" s="87">
        <f>VLOOKUP(data!$H$2,data!$J$12:$K$14,2,FALSE)</f>
        <v>2</v>
      </c>
      <c r="I115" s="209">
        <f>IF(I$7="X",VLOOKUP(I$10,'VK-Hooned-Soojus'!$C:$X,2+$C115,FALSE),0)+IF(I$6="X",VLOOKUP(I$10,'VK-Transport'!$C:$X,2+$B115,0))+IF(I$8="X",VLOOKUP(I$10,'VK-Elekter'!$C:$X,2+$D115,0))+IF(I$9="X",VLOOKUP(I$10,'VK-Biokütused'!$C:$U,2+$E115,0))+IF(I$5="X",VLOOKUP(I$10,'VK-Põlevkivi'!$C:$X,2+$G115,0))+IF(I$4="X",VLOOKUP(I$10,'VK-Võrgud'!$C:$X,2+$F115,0))</f>
        <v>26.89</v>
      </c>
      <c r="J115" s="209">
        <f>IF(J$7="X",VLOOKUP(J$10,'VK-Hooned-Soojus'!$C:$X,2+$C115,FALSE),0)+IF(J$6="X",VLOOKUP(J$10,'VK-Transport'!$C:$X,2+$B115,0))+IF(J$8="X",VLOOKUP(J$10,'VK-Elekter'!$C:$X,2+$D115,0))+IF(J$9="X",VLOOKUP(J$10,'VK-Biokütused'!$C:$U,2+$E115,0))+IF(J$5="X",VLOOKUP(J$10,'VK-Põlevkivi'!$C:$X,2+$G115,0))+IF(J$4="X",VLOOKUP(J$10,'VK-Võrgud'!$C:$X,2+$F115,0))</f>
        <v>8.1258333333333344</v>
      </c>
      <c r="K115" s="209">
        <f>IF(K$7="X",VLOOKUP(K$10,'VK-Hooned-Soojus'!$C:$X,2+$C115,FALSE),0)+IF(K$6="X",VLOOKUP(K$10,'VK-Transport'!$C:$X,2+$B115,0))+IF(K$8="X",VLOOKUP(K$10,'VK-Elekter'!$C:$X,2+$D115,0))+IF(K$9="X",VLOOKUP(K$10,'VK-Biokütused'!$C:$U,2+$E115,0))+IF(K$5="X",VLOOKUP(K$10,'VK-Põlevkivi'!$C:$X,2+$G115,0))+IF(K$4="X",VLOOKUP(K$10,'VK-Võrgud'!$C:$X,2+$F115,0))</f>
        <v>16.75</v>
      </c>
      <c r="L115" s="209">
        <f>IF(L$7="X",VLOOKUP(L$10,'VK-Hooned-Soojus'!$C:$X,2+$C115,FALSE),0)+IF(L$6="X",VLOOKUP(L$10,'VK-Transport'!$C:$X,2+$B115,0))+IF(L$8="X",VLOOKUP(L$10,'VK-Elekter'!$C:$X,2+$D115,0))+IF(L$9="X",VLOOKUP(L$10,'VK-Biokütused'!$C:$U,2+$E115,0))+IF(L$5="X",VLOOKUP(L$10,'VK-Põlevkivi'!$C:$X,2+$G115,0))+IF(L$4="X",VLOOKUP(L$10,'VK-Võrgud'!$C:$X,2+$F115,0))</f>
        <v>24.95</v>
      </c>
      <c r="M115" s="209">
        <f>IF(M$7="X",VLOOKUP(M$10,'VK-Hooned-Soojus'!$C:$X,2+$C115,FALSE),0)+IF(M$6="X",VLOOKUP(M$10,'VK-Transport'!$C:$X,2+$B115,0))+IF(M$8="X",VLOOKUP(M$10,'VK-Elekter'!$C:$X,2+$D115,0))+IF(M$9="X",VLOOKUP(M$10,'VK-Biokütused'!$C:$U,2+$E115,0))+IF(M$5="X",VLOOKUP(M$10,'VK-Põlevkivi'!$C:$X,2+$G115,0))+IF(M$4="X",VLOOKUP(M$10,'VK-Võrgud'!$C:$X,2+$F115,0))</f>
        <v>8.68530937302436</v>
      </c>
      <c r="N115" s="209">
        <f>IF(N$7="X",VLOOKUP(N$10,'VK-Hooned-Soojus'!$C:$X,2+$C115,FALSE),0)+IF(N$6="X",VLOOKUP(N$10,'VK-Transport'!$C:$X,2+$B115,0))+IF(N$8="X",VLOOKUP(N$10,'VK-Elekter'!$C:$X,2+$D115,0))+IF(N$9="X",VLOOKUP(N$10,'VK-Biokütused'!$C:$U,2+$E115,0))+IF(N$5="X",VLOOKUP(N$10,'VK-Põlevkivi'!$C:$X,2+$G115,0))+IF(N$4="X",VLOOKUP(N$10,'VK-Võrgud'!$C:$X,2+$F115,0))</f>
        <v>16.75</v>
      </c>
      <c r="O115" s="209">
        <f t="shared" si="60"/>
        <v>35.015833333333333</v>
      </c>
      <c r="P115" s="209"/>
      <c r="Q115" s="209">
        <f>(IF(Q$7="X",VLOOKUP(Q$10,'VK-Hooned-Soojus'!$C:$X,2+$C115,FALSE),0)+IF(Q$6="X",VLOOKUP(Q$10,'VK-Transport'!$C:$X,2+$B115,0))+IF(Q$8="X",VLOOKUP(Q$10,'VK-Elekter'!$C:$X,2+$D115,0))+IF(Q$9="X",VLOOKUP(Q$10,'VK-Biokütused'!$C:$U,2+$E115,0))+IF(Q$5="X",VLOOKUP(Q$10,'VK-Põlevkivi'!$C:$X,2+$G115,0))+IF(Q$4="X",VLOOKUP(Q$10,'VK-Võrgud'!$C:$X,2+$F115,0)))/1000</f>
        <v>6.3289999999999997</v>
      </c>
      <c r="R115" s="209">
        <f>(IF(R$7="X",VLOOKUP(R$10,'VK-Hooned-Soojus'!$C:$X,2+$C115,FALSE),0)+IF(R$6="X",VLOOKUP(R$10,'VK-Transport'!$C:$X,2+$B115,0))+IF(R$8="X",VLOOKUP(R$10,'VK-Elekter'!$C:$X,2+$D115,0))+IF(R$9="X",VLOOKUP(R$10,'VK-Biokütused'!$C:$U,2+$E115,0))+IF(R$5="X",VLOOKUP(R$10,'VK-Põlevkivi'!$C:$X,2+$G115,0))+IF(R$4="X",VLOOKUP(R$10,'VK-Võrgud'!$C:$X,2+$F115,0)))/1000</f>
        <v>1.92908499063732</v>
      </c>
      <c r="S115" s="226">
        <f>VLOOKUP(S$10,'VK-Hooned-Soojus'!$C:$I,2+$C115,FALSE) + VLOOKUP(S$10,'VK-Transport'!$C:$I,2+$B115,FALSE)+ VLOOKUP(S$10,'VK-Biokütused'!$C:$G,2+$E115,FALSE)+ VLOOKUP(S$10,'VK-Elekter'!$C:$I,2+$D115,FALSE)+ VLOOKUP(S$10,'VK-Põlevkivi'!$C:$I,2+$G115,FALSE)+ VLOOKUP(S$10,'VK-Võrgud'!$C:$I,2+$F115,FALSE)</f>
        <v>3.6181806867833913E-2</v>
      </c>
      <c r="T115" s="226">
        <f>VLOOKUP(T$10,'VK-Hooned-Soojus'!$C:$I,2+$C115,FALSE) + VLOOKUP(T$10,'VK-Transport'!$C:$I,2+$B115,FALSE)+ VLOOKUP(T$10,'VK-Biokütused'!$C:$G,2+$E115,FALSE)+ VLOOKUP(T$10,'VK-Elekter'!$C:$I,2+$D115,FALSE)+ VLOOKUP(T$10,'VK-Põlevkivi'!$C:$I,2+$G115,FALSE)+ VLOOKUP(T$10,'VK-Võrgud'!$C:$I,2+$F115,FALSE)</f>
        <v>1.3231282134561465E-2</v>
      </c>
      <c r="U115" s="226">
        <f>VLOOKUP(U$10,'VK-Hooned-Soojus'!$C:$I,2+$C115,FALSE) + VLOOKUP(U$10,'VK-Transport'!$C:$I,2+$B115,FALSE)+ VLOOKUP(U$10,'VK-Biokütused'!$C:$G,2+$E115,FALSE)+ VLOOKUP(U$10,'VK-Elekter'!$C:$I,2+$D115,FALSE)+ VLOOKUP(U$10,'VK-Põlevkivi'!$C:$I,2+$G115,FALSE)+ VLOOKUP(U$10,'VK-Võrgud'!$C:$I,2+$F115,FALSE)</f>
        <v>1.7436414223876012E-2</v>
      </c>
      <c r="V115" s="226">
        <f>VLOOKUP(V$10,'VK-Hooned-Soojus'!$C:$I,2+$C115,FALSE) + VLOOKUP(V$10,'VK-Transport'!$C:$I,2+$B115,FALSE)+ VLOOKUP(V$10,'VK-Biokütused'!$C:$G,2+$E115,FALSE)+ VLOOKUP(V$10,'VK-Elekter'!$C:$I,2+$D115,FALSE)+ VLOOKUP(V$10,'VK-Põlevkivi'!$C:$I,2+$G115,FALSE)+ VLOOKUP(V$10,'VK-Võrgud'!$C:$I,2+$F115,FALSE)</f>
        <v>1.9196315767890989E-2</v>
      </c>
      <c r="W115" s="226">
        <f>VLOOKUP(W$10,'VK-Hooned-Soojus'!$C:$I,2+$C115,FALSE) + VLOOKUP(W$10,'VK-Transport'!$C:$I,2+$B115,FALSE)+ VLOOKUP(W$10,'VK-Biokütused'!$C:$G,2+$E115,FALSE)+ VLOOKUP(W$10,'VK-Elekter'!$C:$I,2+$D115,FALSE)+ VLOOKUP(W$10,'VK-Põlevkivi'!$C:$I,2+$G115,FALSE)+ VLOOKUP(W$10,'VK-Võrgud'!$C:$I,2+$F115,FALSE)</f>
        <v>-1.3263371705385435E-2</v>
      </c>
      <c r="X115" s="226">
        <f>VLOOKUP(X$10,'VK-Hooned-Soojus'!$C:$I,2+$C115,FALSE) + VLOOKUP(X$10,'VK-Transport'!$C:$I,2+$B115,FALSE)+ VLOOKUP(X$10,'VK-Biokütused'!$C:$G,2+$E115,FALSE)+ VLOOKUP(X$10,'VK-Elekter'!$C:$I,2+$D115,FALSE)+ VLOOKUP(X$10,'VK-Põlevkivi'!$C:$I,2+$G115,FALSE)+ VLOOKUP(X$10,'VK-Võrgud'!$C:$I,2+$F115,FALSE)</f>
        <v>4.9995438931310331E-2</v>
      </c>
      <c r="Y115" s="226">
        <f>VLOOKUP(Y$10,'VK-Hooned-Soojus'!$C:$I,2+$C115,FALSE) + VLOOKUP(Y$10,'VK-Transport'!$C:$I,2+$B115,FALSE)+ VLOOKUP(Y$10,'VK-Biokütused'!$C:$G,2+$E115,FALSE)+ VLOOKUP(Y$10,'VK-Elekter'!$C:$I,2+$D115,FALSE)+ VLOOKUP(Y$10,'VK-Põlevkivi'!$C:$I,2+$G115,FALSE)+ VLOOKUP(Y$10,'VK-Võrgud'!$C:$I,2+$F115,FALSE)</f>
        <v>4.7591763763117544E-2</v>
      </c>
      <c r="Z115" s="227">
        <f>(S115*Tulemused!$Q$9*10+T115*Tulemused!$Q$10*10+KOMBI!U115*Tulemused!$Q$11*10+KOMBI!V115*Tulemused!$Q$12*10)*Tulemused!$Q$8+-(W115*Tulemused!$Q$14*10+KOMBI!X115*Tulemused!$Q$15*10+KOMBI!Y115*Tulemused!$Q$16*10)*Tulemused!$Q$13</f>
        <v>7.8457592349430261</v>
      </c>
      <c r="AA115" s="228">
        <f>(IF(AA$7="X",VLOOKUP(AA$10,'VK-Hooned-Soojus'!$C:$X,2+$C115,FALSE),0)+IF(AA$6="X",VLOOKUP(AA$10,'VK-Transport'!$C:$X,2+$B115,0))+IF(AA$8="X",VLOOKUP(AA$10,'VK-Elekter'!$C:$X,2+$D115,0))+IF(AA$9="X",VLOOKUP(AA$10,'VK-Biokütused'!$C:$U,2+$E115,0))+IF(AA$5="X",VLOOKUP(AA$10,'VK-Põlevkivi'!$C:$X,2+$G115,0))+IF(AA$4="X",VLOOKUP(AA$10,'VK-Võrgud'!$C:$X,2+$F115,0)))</f>
        <v>4727</v>
      </c>
      <c r="AB115" s="228">
        <f>(IF(AB$7="X",VLOOKUP(AB$10,'VK-Hooned-Soojus'!$C:$X,2+$C115,FALSE),0)+IF(AB$6="X",VLOOKUP(AB$10,'VK-Transport'!$C:$X,2+$B115,0))+IF(AB$8="X",VLOOKUP(AB$10,'VK-Elekter'!$C:$X,2+$D115,0))+IF(AB$9="X",VLOOKUP(AB$10,'VK-Biokütused'!$C:$U,2+$E115,0))+IF(AB$5="X",VLOOKUP(AB$10,'VK-Põlevkivi'!$C:$X,2+$G115,0))+IF(AB$4="X",VLOOKUP(AB$10,'VK-Võrgud'!$C:$X,2+$F115,0)))</f>
        <v>1602</v>
      </c>
      <c r="AC115" s="228">
        <f>(IF(AC$7="X",VLOOKUP(AC$10,'VK-Hooned-Soojus'!$C:$X,2+$C115,FALSE),0)+IF(AC$6="X",VLOOKUP(AC$10,'VK-Transport'!$C:$X,2+$B115,0))+IF(AC$8="X",VLOOKUP(AC$10,'VK-Elekter'!$C:$X,2+$D115,0))+IF(AC$9="X",VLOOKUP(AC$10,'VK-Biokütused'!$C:$U,2+$E115,0))+IF(AC$5="X",VLOOKUP(AC$10,'VK-Põlevkivi'!$C:$X,2+$G115,0))+IF(AC$4="X",VLOOKUP(AC$10,'VK-Võrgud'!$C:$X,2+$F115,0)))</f>
        <v>2346</v>
      </c>
      <c r="AD115" s="228">
        <f>(IF(AD$7="X",VLOOKUP(AD$10,'VK-Hooned-Soojus'!$C:$X,2+$C115,FALSE),0)+IF(AD$6="X",VLOOKUP(AD$10,'VK-Transport'!$C:$X,2+$B115,0))+IF(AD$8="X",VLOOKUP(AD$10,'VK-Elekter'!$C:$X,2+$D115,0))+IF(AD$9="X",VLOOKUP(AD$10,'VK-Biokütused'!$C:$U,2+$E115,0))+IF(AD$5="X",VLOOKUP(AD$10,'VK-Põlevkivi'!$C:$X,2+$G115,0))+IF(AD$4="X",VLOOKUP(AD$10,'VK-Võrgud'!$C:$X,2+$F115,0)))</f>
        <v>586.20000000000005</v>
      </c>
      <c r="AE115" s="228">
        <f>(IF(AE$7="X",VLOOKUP(AE$10,'VK-Hooned-Soojus'!$C:$X,2+$C115,FALSE),0)+IF(AE$6="X",VLOOKUP(AE$10,'VK-Transport'!$C:$X,2+$B115,0))+IF(AE$8="X",VLOOKUP(AE$10,'VK-Elekter'!$C:$X,2+$D115,0))+IF(AE$9="X",VLOOKUP(AE$10,'VK-Biokütused'!$C:$U,2+$E115,0))+IF(AE$5="X",VLOOKUP(AE$10,'VK-Põlevkivi'!$C:$X,2+$G115,0))+IF(AE$4="X",VLOOKUP(AE$10,'VK-Võrgud'!$C:$X,2+$F115,0)))</f>
        <v>812</v>
      </c>
      <c r="AF115" s="228">
        <f>(IF(AF$7="X",VLOOKUP(AF$10,'VK-Hooned-Soojus'!$C:$X,2+$C115,FALSE),0)+IF(AF$6="X",VLOOKUP(AF$10,'VK-Transport'!$C:$X,2+$B115,0))+IF(AF$8="X",VLOOKUP(AF$10,'VK-Elekter'!$C:$X,2+$D115,0))+IF(AF$9="X",VLOOKUP(AF$10,'VK-Biokütused'!$C:$U,2+$E115,0))+IF(AF$5="X",VLOOKUP(AF$10,'VK-Põlevkivi'!$C:$X,2+$G115,0))+IF(AF$4="X",VLOOKUP(AF$10,'VK-Võrgud'!$C:$X,2+$F115,0)))</f>
        <v>530.88499063732002</v>
      </c>
      <c r="AG115" s="209"/>
      <c r="AH115" s="209">
        <f>IF(AH$7="X",VLOOKUP(AH$10,'VK-Hooned-Soojus'!$C:$X,2+$C115,FALSE),0)+IF(AH$6="X",VLOOKUP(AH$10,'VK-Transport'!$C:$X,2+$B115,0))+IF(AH$8="X",VLOOKUP(AH$10,'VK-Elekter'!$C:$X,2+$D115,0))+IF(AH$9="X",VLOOKUP(AH$10,'VK-Biokütused'!$C:$U,2+$E115,0))+IF(AH$5="X",VLOOKUP(AH$10,'VK-Põlevkivi'!$C:$X,2+$G115,0))+IF(AH$4="X",VLOOKUP(AH$10,'VK-Võrgud'!$C:$X,2+$F115,0))</f>
        <v>17.400000000000002</v>
      </c>
      <c r="AI115" s="209">
        <f>IF(AI$7="X",VLOOKUP(AI$10,'VK-Hooned-Soojus'!$C:$X,2+$C115,FALSE),0)+IF(AI$6="X",VLOOKUP(AI$10,'VK-Transport'!$C:$X,2+$B115,0))+IF(AI$8="X",VLOOKUP(AI$10,'VK-Elekter'!$C:$X,2+$D115,0))+IF(AI$9="X",VLOOKUP(AI$10,'VK-Biokütused'!$C:$U,2+$E115,0))+IF(AI$5="X",VLOOKUP(AI$10,'VK-Põlevkivi'!$C:$X,2+$G115,0))+IF(AI$4="X",VLOOKUP(AI$10,'VK-Võrgud'!$C:$X,2+$F115,0))</f>
        <v>2.3100000000000005</v>
      </c>
      <c r="AJ115" s="209">
        <f>IF(AJ$7="X",VLOOKUP(AJ$10,'VK-Hooned-Soojus'!$C:$X,2+$C115,FALSE),0)+IF(AJ$6="X",VLOOKUP(AJ$10,'VK-Transport'!$C:$X,2+$B115,0))+IF(AJ$8="X",VLOOKUP(AJ$10,'VK-Elekter'!$C:$X,2+$D115,0))+IF(AJ$9="X",VLOOKUP(AJ$10,'VK-Biokütused'!$C:$U,2+$E115,0))+IF(AJ$5="X",VLOOKUP(AJ$10,'VK-Põlevkivi'!$C:$X,2+$G115,0))+IF(AJ$4="X",VLOOKUP(AJ$10,'VK-Võrgud'!$C:$X,2+$F115,0))</f>
        <v>4.59</v>
      </c>
      <c r="AK115" s="209">
        <f>IF(AK$7="X",VLOOKUP(AK$10,'VK-Hooned-Soojus'!$C:$X,2+$C115,FALSE),0)+IF(AK$6="X",VLOOKUP(AK$10,'VK-Transport'!$C:$X,2+$B115,0))+IF(AK$8="X",VLOOKUP(AK$10,'VK-Elekter'!$C:$X,2+$D115,0))+IF(AK$9="X",VLOOKUP(AK$10,'VK-Biokütused'!$C:$U,2+$E115,0))+IF(AK$5="X",VLOOKUP(AK$10,'VK-Põlevkivi'!$C:$X,2+$G115,0))+IF(AK$4="X",VLOOKUP(AK$10,'VK-Võrgud'!$C:$X,2+$F115,0))</f>
        <v>-0.41</v>
      </c>
      <c r="AL115" s="209">
        <f>IF(AL$7="X",VLOOKUP(AL$10,'VK-Hooned-Soojus'!$C:$X,2+$C115,FALSE),0)+IF(AL$6="X",VLOOKUP(AL$10,'VK-Transport'!$C:$X,2+$B115,0))+IF(AL$8="X",VLOOKUP(AL$10,'VK-Elekter'!$C:$X,2+$D115,0))+IF(AL$9="X",VLOOKUP(AL$10,'VK-Biokütused'!$C:$U,2+$E115,0))+IF(AL$5="X",VLOOKUP(AL$10,'VK-Põlevkivi'!$C:$X,2+$G115,0))+IF(AL$4="X",VLOOKUP(AL$10,'VK-Võrgud'!$C:$X,2+$F115,0))</f>
        <v>7.1999999999999993</v>
      </c>
      <c r="AM115" s="209">
        <f>IF(AM$7="X",VLOOKUP(AM$10,'VK-Hooned-Soojus'!$C:$X,2+$C115,FALSE),0)+IF(AM$6="X",VLOOKUP(AM$10,'VK-Transport'!$C:$X,2+$B115,0))+IF(AM$8="X",VLOOKUP(AM$10,'VK-Elekter'!$C:$X,2+$D115,0))+IF(AM$9="X",VLOOKUP(AM$10,'VK-Biokütused'!$C:$U,2+$E115,0))+IF(AM$5="X",VLOOKUP(AM$10,'VK-Põlevkivi'!$C:$X,2+$G115,0))+IF(AM$4="X",VLOOKUP(AM$10,'VK-Võrgud'!$C:$X,2+$F115,0))</f>
        <v>12.9</v>
      </c>
      <c r="AN115" s="209">
        <f>IF(AN$7="X",VLOOKUP(AN$10,'VK-Hooned-Soojus'!$C:$X,2+$C115,FALSE),0)+IF(AN$6="X",VLOOKUP(AN$10,'VK-Transport'!$C:$X,2+$B115,0))+IF(AN$8="X",VLOOKUP(AN$10,'VK-Elekter'!$C:$X,2+$D115,0))+IF(AN$9="X",VLOOKUP(AN$10,'VK-Biokütused'!$C:$U,2+$E115,0))+IF(AN$5="X",VLOOKUP(AN$10,'VK-Põlevkivi'!$C:$X,2+$G115,0))+IF(AN$4="X",VLOOKUP(AN$10,'VK-Võrgud'!$C:$X,2+$F115,0))</f>
        <v>5.6999999999999993</v>
      </c>
      <c r="AO115" s="209">
        <f>IF(AO$7="X",VLOOKUP(AO$10,'VK-Hooned-Soojus'!$C:$X,2+$C115,FALSE),0)+IF(AO$6="X",VLOOKUP(AO$10,'VK-Transport'!$C:$X,2+$B115,0))+IF(AO$8="X",VLOOKUP(AO$10,'VK-Elekter'!$C:$X,2+$D115,0))+IF(AO$9="X",VLOOKUP(AO$10,'VK-Biokütused'!$C:$U,2+$E115,0))+IF(AO$5="X",VLOOKUP(AO$10,'VK-Põlevkivi'!$C:$X,2+$G115,0))+IF(AO$4="X",VLOOKUP(AO$10,'VK-Võrgud'!$C:$X,2+$F115,0))</f>
        <v>13.56</v>
      </c>
      <c r="AP115" s="209">
        <f>IF(AP$7="X",VLOOKUP(AP$10,'VK-Hooned-Soojus'!$C:$X,2+$C115,FALSE),0)+IF(AP$6="X",VLOOKUP(AP$10,'VK-Transport'!$C:$X,2+$B115,0))+IF(AP$8="X",VLOOKUP(AP$10,'VK-Elekter'!$C:$X,2+$D115,0))+IF(AP$9="X",VLOOKUP(AP$10,'VK-Biokütused'!$C:$U,2+$E115,0))+IF(AP$5="X",VLOOKUP(AP$10,'VK-Põlevkivi'!$C:$X,2+$G115,0))+IF(AP$4="X",VLOOKUP(AP$10,'VK-Võrgud'!$C:$X,2+$F115,0))</f>
        <v>6.78</v>
      </c>
      <c r="AQ115" s="320">
        <f t="shared" si="61"/>
        <v>1.2599999999999998</v>
      </c>
      <c r="AR115" s="209">
        <f>IF(AR$7="X",VLOOKUP(AR$10,'VK-Hooned-Soojus'!$C:$X,2+$C115,FALSE),0)+IF(AR$6="X",VLOOKUP(AR$10,'VK-Transport'!$C:$X,2+$B115,0))+IF(AR$8="X",VLOOKUP(AR$10,'VK-Elekter'!$C:$X,2+$D115,0))+IF(AR$9="X",VLOOKUP(AR$10,'VK-Biokütused'!$C:$U,2+$E115,0))+IF(AR$5="X",VLOOKUP(AR$10,'VK-Põlevkivi'!$C:$X,2+$G115,0))+IF(AR$4="X",VLOOKUP(AR$10,'VK-Võrgud'!$C:$X,2+$F115,0))</f>
        <v>13.909999999999998</v>
      </c>
      <c r="AS115" s="235">
        <f>'VK-Põlevkivi'!$F$8-AR115-AU115</f>
        <v>14.198622986547708</v>
      </c>
      <c r="AT115" s="209">
        <f>IF(AT$7="X",VLOOKUP(AT$10,'VK-Hooned-Soojus'!$C:$X,2+$C115,FALSE),0)+IF(AT$6="X",VLOOKUP(AT$10,'VK-Transport'!$C:$X,2+$B115,0))+IF(AT$8="X",VLOOKUP(AT$10,'VK-Elekter'!$C:$X,2+$D115,0))+IF(AT$9="X",VLOOKUP(AT$10,'VK-Biokütused'!$C:$U,2+$E115,0))+IF(AT$5="X",VLOOKUP(AT$10,'VK-Põlevkivi'!$C:$X,2+$G115,0))+IF(AT$4="X",VLOOKUP(AT$10,'VK-Võrgud'!$C:$X,2+$F115,0))</f>
        <v>5.7045296564339489</v>
      </c>
      <c r="AU115" s="235">
        <f>'VK-Põlevkivi'!$F$9-VLOOKUP("Kütuste tarbimine @ 2030 - PÕLEVKIVIÕLI",'VK-Hooned-Soojus'!$C:$X,2+$C115,FALSE)</f>
        <v>28.428043680118964</v>
      </c>
      <c r="AV115" s="209">
        <f>IF(AV$7="X",VLOOKUP(AV$10,'VK-Hooned-Soojus'!$C:$X,2+$C115,FALSE),0)+IF(AV$6="X",VLOOKUP(AV$10,'VK-Transport'!$C:$X,2+$B115,0))+IF(AV$8="X",VLOOKUP(AV$10,'VK-Elekter'!$C:$X,2+$D115,0))+IF(AV$9="X",VLOOKUP(AV$10,'VK-Biokütused'!$C:$U,2+$E115,0))+IF(AV$5="X",VLOOKUP(AV$10,'VK-Põlevkivi'!$C:$X,2+$G115,0))+IF(AV$4="X",VLOOKUP(AV$10,'VK-Võrgud'!$C:$X,2+$F115,0))</f>
        <v>2.1219844082566364</v>
      </c>
      <c r="AW115" s="209">
        <f>IF(AW$7="X",VLOOKUP(AW$10,'VK-Hooned-Soojus'!$C:$X,2+$C115,FALSE),0)+IF(AW$6="X",VLOOKUP(AW$10,'VK-Transport'!$C:$X,2+$B115,0))+IF(AW$8="X",VLOOKUP(AW$10,'VK-Elekter'!$C:$X,2+$D115,0))+IF(AW$9="X",VLOOKUP(AW$10,'VK-Biokütused'!$C:$U,2+$E115,0))+IF(AW$5="X",VLOOKUP(AW$10,'VK-Põlevkivi'!$C:$X,2+$G115,0))+IF(AW$4="X",VLOOKUP(AW$10,'VK-Võrgud'!$C:$X,2+$F115,0))</f>
        <v>4.2799999999999994</v>
      </c>
      <c r="AX115" s="229">
        <f t="shared" si="62"/>
        <v>2.158015591743363</v>
      </c>
      <c r="AY115" s="229">
        <f t="shared" si="63"/>
        <v>0</v>
      </c>
      <c r="AZ115" s="230">
        <f t="shared" si="83"/>
        <v>0.2790414222154966</v>
      </c>
      <c r="BA115" s="209">
        <f>IF(BA$7="X",VLOOKUP(BA$10,'VK-Hooned-Soojus'!$C:$X,2+$C115,FALSE),0)+IF(BA$6="X",VLOOKUP(BA$10,'VK-Transport'!$C:$X,2+$B115,0))+IF(BA$8="X",VLOOKUP(BA$10,'VK-Elekter'!$C:$X,2+$D115,0))+IF(BA$9="X",VLOOKUP(BA$10,'VK-Biokütused'!$C:$U,2+$E115,0))+IF(BA$5="X",VLOOKUP(BA$10,'VK-Põlevkivi'!$C:$X,2+$G115,0))+IF(BA$4="X",VLOOKUP(BA$10,'VK-Võrgud'!$C:$X,2+$F115,0))</f>
        <v>7.41</v>
      </c>
      <c r="BB115" s="209">
        <f>IF(BB$7="X",VLOOKUP(BB$10,'VK-Hooned-Soojus'!$C:$X,2+$C115,FALSE),0)+IF(BB$6="X",VLOOKUP(BB$10,'VK-Transport'!$C:$X,2+$B115,0))+IF(BB$8="X",VLOOKUP(BB$10,'VK-Elekter'!$C:$X,2+$D115,0))+IF(BB$9="X",VLOOKUP(BB$10,'VK-Biokütused'!$C:$U,2+$E115,0))+IF(BB$5="X",VLOOKUP(BB$10,'VK-Põlevkivi'!$C:$X,2+$G115,0))+IF(BB$4="X",VLOOKUP(BB$10,'VK-Võrgud'!$C:$X,2+$F115,0))</f>
        <v>2.96</v>
      </c>
      <c r="BC115" s="209">
        <f>IF(BC$7="X",VLOOKUP(BC$10,'VK-Hooned-Soojus'!$C:$X,2+$C115,FALSE),0)+IF(BC$6="X",VLOOKUP(BC$10,'VK-Transport'!$C:$X,2+$B115,0))+IF(BC$8="X",VLOOKUP(BC$10,'VK-Elekter'!$C:$X,2+$D115,0))+IF(BC$9="X",VLOOKUP(BC$10,'VK-Biokütused'!$C:$U,2+$E115,0))+IF(BC$5="X",VLOOKUP(BC$10,'VK-Põlevkivi'!$C:$X,2+$G115,0))+IF(BC$4="X",VLOOKUP(BC$10,'VK-Võrgud'!$C:$X,2+$F115,0))</f>
        <v>8.0523611111111126</v>
      </c>
      <c r="BD115" s="209">
        <f>IF(BD$7="X",VLOOKUP(BD$10,'VK-Hooned-Soojus'!$C:$X,2+$C115,FALSE),0)+IF(BD$6="X",VLOOKUP(BD$10,'VK-Transport'!$C:$X,2+$B115,0))+IF(BD$8="X",VLOOKUP(BD$10,'VK-Elekter'!$C:$X,2+$D115,0))+IF(BD$9="X",VLOOKUP(BD$10,'VK-Biokütused'!$C:$U,2+$E115,0))+IF(BD$5="X",VLOOKUP(BD$10,'VK-Põlevkivi'!$C:$X,2+$G115,0))+IF(BD$4="X",VLOOKUP(BD$10,'VK-Võrgud'!$C:$X,2+$F115,0))</f>
        <v>10.42138888888889</v>
      </c>
      <c r="BE115" s="230"/>
      <c r="BF115" s="229">
        <f t="shared" si="64"/>
        <v>0.28029402570781448</v>
      </c>
      <c r="BG115" s="209" t="e">
        <f>(IF(BG$7="X",VLOOKUP(BG$10,'VK-Hooned-Soojus'!$C:$X,2+$C115,FALSE),0)+IF(BG$6="X",VLOOKUP(BG$10,'VK-Transport'!$C:$X,2+$B115,0))+IF(BG$8="X",VLOOKUP(BG$10,'VK-Elekter'!$C:$X,2+$D115,0))+IF(BG$9="X",VLOOKUP(BG$10,'VK-Biokütused'!$C:$U,2+$E115,0))+IF(BG$5="X",VLOOKUP(BG$10,'VK-Põlevkivi'!$C:$X,2+$G115,0))+IF(BG$4="X",VLOOKUP(BG$10,'VK-Võrgud'!$C:$X,2+$F115,0)))/20</f>
        <v>#N/A</v>
      </c>
      <c r="BH115" s="209">
        <f>(IF(BH$7="X",VLOOKUP(BH$10,'VK-Hooned-Soojus'!$C:$X,2+$C115,FALSE),0)+IF(BH$6="X",VLOOKUP(BH$10,'VK-Transport'!$C:$X,2+$B115,0))+IF(BH$8="X",VLOOKUP(BH$10,'VK-Elekter'!$C:$X,2+$D115,0))+IF(BH$9="X",VLOOKUP(BH$10,'VK-Biokütused'!$C:$U,2+$E115,0))+IF(BH$5="X",VLOOKUP(BH$10,'VK-Põlevkivi'!$C:$X,2+$G115,0))+IF(BH$4="X",VLOOKUP(BH$10,'VK-Võrgud'!$C:$X,2+$F115,0)))/20</f>
        <v>13.99</v>
      </c>
      <c r="BI115" s="209">
        <f>(IF(BI$7="X",VLOOKUP(BI$10,'VK-Hooned-Soojus'!$C:$X,2+$C115,FALSE),0)+IF(BI$6="X",VLOOKUP(BI$10,'VK-Transport'!$C:$X,2+$B115,0))+IF(BI$8="X",VLOOKUP(BI$10,'VK-Elekter'!$C:$X,2+$D115,0))+IF(BI$9="X",VLOOKUP(BI$10,'VK-Biokütused'!$C:$U,2+$E115,0))+IF(BI$5="X",VLOOKUP(BI$10,'VK-Põlevkivi'!$C:$X,2+$G115,0))+IF(BI$4="X",VLOOKUP(BI$10,'VK-Võrgud'!$C:$X,2+$F115,0)))/16</f>
        <v>17.75</v>
      </c>
      <c r="BJ115" s="209">
        <f>(IF(BJ$7="X",VLOOKUP(BJ$10,'VK-Hooned-Soojus'!$C:$X,2+$C115,FALSE),0)+IF(BJ$6="X",VLOOKUP(BJ$10,'VK-Transport'!$C:$X,2+$B115,0))+IF(BJ$8="X",VLOOKUP(BJ$10,'VK-Elekter'!$C:$X,2+$D115,0))+IF(BJ$9="X",VLOOKUP(BJ$10,'VK-Biokütused'!$C:$U,2+$E115,0))+IF(BJ$5="X",VLOOKUP(BJ$10,'VK-Põlevkivi'!$C:$X,2+$G115,0))+IF(BJ$4="X",VLOOKUP(BJ$10,'VK-Võrgud'!$C:$X,2+$F115,0)))/20</f>
        <v>1.85</v>
      </c>
      <c r="BK115" s="209"/>
      <c r="BL115" s="209"/>
      <c r="BM115" s="209"/>
      <c r="BN115" s="209" t="e">
        <f>(IF(BN$7="X",VLOOKUP(BN$10,'VK-Hooned-Soojus'!$C:$X,2+$C115,FALSE),0)+IF(BN$6="X",VLOOKUP(BN$10,'VK-Transport'!$C:$X,2+$B115,0))+IF(BN$8="X",VLOOKUP(BN$10,'VK-Elekter'!$C:$X,2+$D115,0))+IF(BN$9="X",VLOOKUP(BN$10,'VK-Biokütused'!$C:$U,2+$E115,0))+IF(BN$5="X",VLOOKUP(BN$10,'VK-Põlevkivi'!$C:$X,2+$G115,0))+IF(BN$4="X",VLOOKUP(BN$10,'VK-Võrgud'!$C:$X,2+$F115,0)))/16</f>
        <v>#N/A</v>
      </c>
      <c r="BO115" s="209">
        <f>(IF(BO$7="X",VLOOKUP(BO$10,'VK-Hooned-Soojus'!$C:$X,2+$C115,FALSE),0)+IF(BO$6="X",VLOOKUP(BO$10,'VK-Transport'!$C:$X,2+$B115,0))+IF(BO$8="X",VLOOKUP(BO$10,'VK-Elekter'!$C:$X,2+$D115,0))+IF(BO$9="X",VLOOKUP(BO$10,'VK-Biokütused'!$C:$U,2+$E115,0))+IF(BO$5="X",VLOOKUP(BO$10,'VK-Põlevkivi'!$C:$X,2+$G115,0))+IF(BO$4="X",VLOOKUP(BO$10,'VK-Võrgud'!$C:$X,2+$F115,0)))/16</f>
        <v>322.79374999999999</v>
      </c>
      <c r="BP115" s="209"/>
      <c r="BQ115" s="209">
        <f>(IF(BQ$7="X",VLOOKUP(BQ$10,'VK-Hooned-Soojus'!$C:$X,2+$C115,FALSE),0)+IF(BQ$6="X",VLOOKUP(BQ$10,'VK-Transport'!$C:$X,2+$B115,0))+IF(BQ$8="X",VLOOKUP(BQ$10,'VK-Elekter'!$C:$X,2+$D115,0))+IF(BQ$9="X",VLOOKUP(BQ$10,'VK-Biokütused'!$C:$U,2+$E115,0))+IF(BQ$5="X",VLOOKUP(BQ$10,'VK-Põlevkivi'!$C:$X,2+$G115,0))+IF(BQ$4="X",VLOOKUP(BQ$10,'VK-Võrgud'!$C:$X,2+$F115,0)))/16</f>
        <v>233.20625000000001</v>
      </c>
      <c r="BR115" s="209">
        <f>(IF(BR$7="X",VLOOKUP(BR$10,'VK-Hooned-Soojus'!$C:$X,2+$C115,FALSE),0)+IF(BR$6="X",VLOOKUP(BR$10,'VK-Transport'!$C:$X,2+$B115,0))+IF(BR$8="X",VLOOKUP(BR$10,'VK-Elekter'!$C:$X,2+$D115,0))+IF(BR$9="X",VLOOKUP(BR$10,'VK-Biokütused'!$C:$U,2+$E115,0))+IF(BR$5="X",VLOOKUP(BR$10,'VK-Põlevkivi'!$C:$X,2+$G115,0))+IF(BR$4="X",VLOOKUP(BR$10,'VK-Võrgud'!$C:$X,2+$F115,0)))/16</f>
        <v>74.512500000000003</v>
      </c>
      <c r="BS115" s="209">
        <f>(IF(BS$7="X",VLOOKUP(BS$10,'VK-Hooned-Soojus'!$C:$X,2+$C115,FALSE),0)+IF(BS$6="X",VLOOKUP(BS$10,'VK-Transport'!$C:$X,2+$B115,0))+IF(BS$8="X",VLOOKUP(BS$10,'VK-Elekter'!$C:$X,2+$D115,0))+IF(BS$9="X",VLOOKUP(BS$10,'VK-Biokütused'!$C:$U,2+$E115,0))+IF(BS$5="X",VLOOKUP(BS$10,'VK-Põlevkivi'!$C:$X,2+$G115,0))+IF(BS$4="X",VLOOKUP(BS$10,'VK-Võrgud'!$C:$X,2+$F115,0)))/16</f>
        <v>-21.475000000000001</v>
      </c>
      <c r="BT115" s="209"/>
      <c r="BU115" s="209"/>
      <c r="BV115" s="209">
        <f>(IF(BV$7="X",VLOOKUP(BV$10,'VK-Hooned-Soojus'!$C:$X,2+$C115,FALSE),0)+IF(BV$6="X",VLOOKUP(BV$10,'VK-Transport'!$C:$X,2+$B115,0))+IF(BV$8="X",VLOOKUP(BV$10,'VK-Elekter'!$C:$X,2+$D115,0))+IF(BV$9="X",VLOOKUP(BV$10,'VK-Biokütused'!$C:$U,2+$E115,0))+IF(BV$5="X",VLOOKUP(BV$10,'VK-Põlevkivi'!$C:$X,2+$G115,0))+IF(BV$4="X",VLOOKUP(BV$10,'VK-Võrgud'!$C:$X,2+$F115,0)))/16</f>
        <v>0</v>
      </c>
      <c r="BW115" s="209"/>
      <c r="BX115" s="209">
        <f>(IF(BX$7="X",VLOOKUP(BX$10,'VK-Hooned-Soojus'!$C:$X,2+$C115,FALSE),0)+IF(BX$6="X",VLOOKUP(BX$10,'VK-Transport'!$C:$X,2+$B115,0))+IF(BX$8="X",VLOOKUP(BX$10,'VK-Elekter'!$C:$X,2+$D115,0))+IF(BX$9="X",VLOOKUP(BX$10,'VK-Biokütused'!$C:$U,2+$E115,0))+IF(BX$5="X",VLOOKUP(BX$10,'VK-Põlevkivi'!$C:$X,2+$G115,0))+IF(BX$4="X",VLOOKUP(BX$10,'VK-Võrgud'!$C:$X,2+$F115,0)))/16</f>
        <v>-145.125</v>
      </c>
      <c r="BY115" s="209"/>
      <c r="BZ115" s="209"/>
      <c r="CA115" s="209" t="e">
        <f>(IF(CA$7="X",VLOOKUP(CA$10,'VK-Hooned-Soojus'!$C:$X,2+$C115,FALSE),0)+IF(CA$6="X",VLOOKUP(CA$10,'VK-Transport'!$C:$X,2+$B115,0))+IF(CA$8="X",VLOOKUP(CA$10,'VK-Elekter'!$C:$X,2+$D115,0))+IF(CA$9="X",VLOOKUP(CA$10,'VK-Biokütused'!$C:$U,2+$E115,0))+IF(CA$5="X",VLOOKUP(CA$10,'VK-Põlevkivi'!$C:$X,2+$G115,0))+IF(CA$4="X",VLOOKUP(CA$10,'VK-Võrgud'!$C:$X,2+$F115,0)))/16</f>
        <v>#N/A</v>
      </c>
      <c r="CB115" s="209">
        <f>(IF(CB$7="X",VLOOKUP(CB$10,'VK-Hooned-Soojus'!$C:$X,2+$C115,FALSE),0)+IF(CB$6="X",VLOOKUP(CB$10,'VK-Transport'!$C:$X,2+$B115,0))+IF(CB$8="X",VLOOKUP(CB$10,'VK-Elekter'!$C:$X,2+$D115,0))+IF(CB$9="X",VLOOKUP(CB$10,'VK-Biokütused'!$C:$U,2+$E115,0))+IF(CB$5="X",VLOOKUP(CB$10,'VK-Põlevkivi'!$C:$X,2+$G115,0))+IF(CB$4="X",VLOOKUP(CB$10,'VK-Võrgud'!$C:$X,2+$F115,0)))/16</f>
        <v>0</v>
      </c>
      <c r="CC115" s="209">
        <f>(IF(CC$7="X",VLOOKUP(CC$10,'VK-Hooned-Soojus'!$C:$X,2+$C115,FALSE),0)+IF(CC$6="X",VLOOKUP(CC$10,'VK-Transport'!$C:$X,2+$B115,0))+IF(CC$8="X",VLOOKUP(CC$10,'VK-Elekter'!$C:$X,2+$D115,0))+IF(CC$9="X",VLOOKUP(CC$10,'VK-Biokütused'!$C:$U,2+$E115,0))+IF(CC$5="X",VLOOKUP(CC$10,'VK-Põlevkivi'!$C:$X,2+$G115,0))+IF(CC$4="X",VLOOKUP(CC$10,'VK-Võrgud'!$C:$X,2+$F115,0)))/16</f>
        <v>0</v>
      </c>
      <c r="CD115" s="209"/>
      <c r="CE115" s="209">
        <f>(IF(CE$7="X",VLOOKUP(CE$10,'VK-Hooned-Soojus'!$C:$X,2+$C115,FALSE),0)+IF(CE$6="X",VLOOKUP(CE$10,'VK-Transport'!$C:$X,2+$B115,0))+IF(CE$8="X",VLOOKUP(CE$10,'VK-Elekter'!$C:$X,2+$D115,0))+IF(CE$9="X",VLOOKUP(CE$10,'VK-Biokütused'!$C:$U,2+$E115,0))+IF(CE$5="X",VLOOKUP(CE$10,'VK-Põlevkivi'!$C:$X,2+$G115,0))+IF(CE$4="X",VLOOKUP(CE$10,'VK-Võrgud'!$C:$X,2+$F115,0)))/16</f>
        <v>24.15625</v>
      </c>
      <c r="CF115" s="209"/>
      <c r="CG115" s="209">
        <f>(IF(CG$7="X",VLOOKUP(CG$10,'VK-Hooned-Soojus'!$C:$X,2+$C115,FALSE),0)+IF(CG$6="X",VLOOKUP(CG$10,'VK-Transport'!$C:$X,2+$B115,0))+IF(CG$8="X",VLOOKUP(CG$10,'VK-Elekter'!$C:$X,2+$D115,0))+IF(CG$9="X",VLOOKUP(CG$10,'VK-Biokütused'!$C:$U,2+$E115,0))+IF(CG$5="X",VLOOKUP(CG$10,'VK-Põlevkivi'!$C:$X,2+$G115,0))+IF(CG$4="X",VLOOKUP(CG$10,'VK-Võrgud'!$C:$X,2+$F115,0)))/16</f>
        <v>0</v>
      </c>
      <c r="CH115" s="209">
        <f>(IF(CH$7="X",VLOOKUP(CH$10,'VK-Hooned-Soojus'!$C:$X,2+$C115,FALSE),0)+IF(CH$6="X",VLOOKUP(CH$10,'VK-Transport'!$C:$X,2+$B115,0))+IF(CH$8="X",VLOOKUP(CH$10,'VK-Elekter'!$C:$X,2+$D115,0))+IF(CH$9="X",VLOOKUP(CH$10,'VK-Biokütused'!$C:$U,2+$E115,0))+IF(CH$5="X",VLOOKUP(CH$10,'VK-Põlevkivi'!$C:$X,2+$G115,0))+IF(CH$4="X",VLOOKUP(CH$10,'VK-Võrgud'!$C:$X,2+$F115,0)))/20*0.21</f>
        <v>5.6122500000000004</v>
      </c>
      <c r="CI115" s="209"/>
      <c r="CJ115" s="209">
        <f>(IF(CJ$7="X",VLOOKUP(CJ$10,'VK-Hooned-Soojus'!$C:$X,2+$C115,FALSE),0)+IF(CJ$6="X",VLOOKUP(CJ$10,'VK-Transport'!$C:$X,2+$B115,0))+IF(CJ$8="X",VLOOKUP(CJ$10,'VK-Elekter'!$C:$X,2+$D115,0))+IF(CJ$9="X",VLOOKUP(CJ$10,'VK-Biokütused'!$C:$U,2+$E115,0))+IF(CJ$5="X",VLOOKUP(CJ$10,'VK-Põlevkivi'!$C:$X,2+$G115,0))+IF(CJ$4="X",VLOOKUP(CJ$10,'VK-Võrgud'!$C:$X,2+$F115,0)))/1000</f>
        <v>22.548999999999999</v>
      </c>
      <c r="CK115" s="209">
        <f>(IF(CK$7="X",VLOOKUP(CK$10,'VK-Hooned-Soojus'!$C:$X,2+$C115,FALSE),0)+IF(CK$6="X",VLOOKUP(CK$10,'VK-Transport'!$C:$X,2+$B115,0))+IF(CK$8="X",VLOOKUP(CK$10,'VK-Elekter'!$C:$X,2+$D115,0))+IF(CK$9="X",VLOOKUP(CK$10,'VK-Biokütused'!$C:$U,2+$E115,0))+IF(CK$5="X",VLOOKUP(CK$10,'VK-Põlevkivi'!$C:$X,2+$G115,0))+IF(CK$4="X",VLOOKUP(CK$10,'VK-Võrgud'!$C:$X,2+$F115,0)))/1000</f>
        <v>39.419669554234019</v>
      </c>
      <c r="CL115" s="209">
        <f>(IF(CL$7="X",VLOOKUP(CL$10,'VK-Hooned-Soojus'!$C:$X,2+$C115,FALSE),0)+IF(CL$6="X",VLOOKUP(CL$10,'VK-Transport'!$C:$X,2+$B115,0))+IF(CL$8="X",VLOOKUP(CL$10,'VK-Elekter'!$C:$X,2+$D115,0))+IF(CL$9="X",VLOOKUP(CL$10,'VK-Biokütused'!$C:$U,2+$E115,0))+IF(CL$5="X",VLOOKUP(CL$10,'VK-Põlevkivi'!$C:$X,2+$G115,0))+IF(CL$4="X",VLOOKUP(CL$10,'VK-Võrgud'!$C:$X,2+$F115,0)))/1000</f>
        <v>11.244630311598682</v>
      </c>
      <c r="CM115" s="209">
        <f>(IF(CM$7="X",VLOOKUP(CM$10,'VK-Hooned-Soojus'!$C:$X,2+$C115,FALSE),0)+IF(CM$6="X",VLOOKUP(CM$10,'VK-Transport'!$C:$X,2+$B115,0))+IF(CM$8="X",VLOOKUP(CM$10,'VK-Elekter'!$C:$X,2+$D115,0))+IF(CM$9="X",VLOOKUP(CM$10,'VK-Biokütused'!$C:$U,2+$E115,0))+IF(CM$5="X",VLOOKUP(CM$10,'VK-Põlevkivi'!$C:$X,2+$G115,0))+IF(CM$4="X",VLOOKUP(CM$10,'VK-Võrgud'!$C:$X,2+$F115,0)))/1000</f>
        <v>8.4649896156049156</v>
      </c>
      <c r="CN115" s="209">
        <f>(IF(CN$7="X",VLOOKUP(CN$10,'VK-Hooned-Soojus'!$C:$X,2+$C115,FALSE),0)+IF(CN$6="X",VLOOKUP(CN$10,'VK-Transport'!$C:$X,2+$B115,0))+IF(CN$8="X",VLOOKUP(CN$10,'VK-Elekter'!$C:$X,2+$D115,0))+IF(CN$9="X",VLOOKUP(CN$10,'VK-Biokütused'!$C:$U,2+$E115,0))+IF(CN$5="X",VLOOKUP(CN$10,'VK-Põlevkivi'!$C:$X,2+$G115,0))+IF(CN$4="X",VLOOKUP(CN$10,'VK-Võrgud'!$C:$X,2+$F115,0)))/1000</f>
        <v>3.0510000000000002</v>
      </c>
      <c r="CO115" s="209">
        <f>(IF(CO$7="X",VLOOKUP(CO$10,'VK-Hooned-Soojus'!$C:$X,2+$C115,FALSE),0)+IF(CO$6="X",VLOOKUP(CO$10,'VK-Transport'!$C:$X,2+$B115,0))+IF(CO$8="X",VLOOKUP(CO$10,'VK-Elekter'!$C:$X,2+$D115,0))+IF(CO$9="X",VLOOKUP(CO$10,'VK-Biokütused'!$C:$U,2+$E115,0))+IF(CO$5="X",VLOOKUP(CO$10,'VK-Põlevkivi'!$C:$X,2+$G115,0))+IF(CO$4="X",VLOOKUP(CO$10,'VK-Võrgud'!$C:$X,2+$F115,0)))/1000</f>
        <v>29.463362337356994</v>
      </c>
      <c r="CP115" s="209">
        <f>(IF(CP$7="X",VLOOKUP(CP$10,'VK-Hooned-Soojus'!$C:$X,2+$C115,FALSE),0)+IF(CP$6="X",VLOOKUP(CP$10,'VK-Transport'!$C:$X,2+$B115,0))+IF(CP$8="X",VLOOKUP(CP$10,'VK-Elekter'!$C:$X,2+$D115,0))+IF(CP$9="X",VLOOKUP(CP$10,'VK-Biokütused'!$C:$U,2+$E115,0))+IF(CP$5="X",VLOOKUP(CP$10,'VK-Põlevkivi'!$C:$X,2+$G115,0))+IF(CP$4="X",VLOOKUP(CP$10,'VK-Võrgud'!$C:$X,2+$F115,0)))/1000</f>
        <v>32.719874014997934</v>
      </c>
      <c r="CQ115" s="209">
        <f>(IF(CQ$7="X",VLOOKUP(CQ$10,'VK-Hooned-Soojus'!$C:$X,2+$C115,FALSE),0)+IF(CQ$6="X",VLOOKUP(CQ$10,'VK-Transport'!$C:$X,2+$B115,0))+IF(CQ$8="X",VLOOKUP(CQ$10,'VK-Elekter'!$C:$X,2+$D115,0))+IF(CQ$9="X",VLOOKUP(CQ$10,'VK-Biokütused'!$C:$U,2+$E115,0))+IF(CQ$5="X",VLOOKUP(CQ$10,'VK-Põlevkivi'!$C:$X,2+$G115,0))+IF(CQ$4="X",VLOOKUP(CQ$10,'VK-Võrgud'!$C:$X,2+$F115,0)))/1000</f>
        <v>16.921919000000003</v>
      </c>
      <c r="CR115" s="209">
        <f>(IF(CR$7="X",VLOOKUP(CR$10,'VK-Hooned-Soojus'!$C:$X,2+$C115,FALSE),0)+IF(CR$6="X",VLOOKUP(CR$10,'VK-Transport'!$C:$X,2+$B115,0))+IF(CR$8="X",VLOOKUP(CR$10,'VK-Elekter'!$C:$X,2+$D115,0))+IF(CR$9="X",VLOOKUP(CR$10,'VK-Biokütused'!$C:$U,2+$E115,0))+IF(CR$5="X",VLOOKUP(CR$10,'VK-Põlevkivi'!$C:$X,2+$G115,0))+IF(CR$4="X",VLOOKUP(CR$10,'VK-Võrgud'!$C:$X,2+$F115,0)))/1000</f>
        <v>8.3977518373996904</v>
      </c>
      <c r="CS115" s="209">
        <f>(IF(CS$7="X",VLOOKUP(CS$10,'VK-Hooned-Soojus'!$C:$X,2+$C115,FALSE),0)+IF(CS$6="X",VLOOKUP(CS$10,'VK-Transport'!$C:$X,2+$B115,0))+IF(CS$8="X",VLOOKUP(CS$10,'VK-Elekter'!$C:$X,2+$D115,0))+IF(CS$9="X",VLOOKUP(CS$10,'VK-Biokütused'!$C:$U,2+$E115,0))+IF(CS$5="X",VLOOKUP(CS$10,'VK-Põlevkivi'!$C:$X,2+$G115,0))+IF(CS$4="X",VLOOKUP(CS$10,'VK-Võrgud'!$C:$X,2+$F115,0)))/1000</f>
        <v>3.838649509862238</v>
      </c>
      <c r="CT115" s="209">
        <f>IF(CT$7="X",VLOOKUP(CT$10,'VK-Hooned-Soojus'!$C:$X,2+$C115,FALSE),0)+IF(CT$6="X",VLOOKUP(CT$10,'VK-Transport'!$C:$X,2+$B115,0))+IF(CT$8="X",VLOOKUP(CT$10,'VK-Elekter'!$C:$X,2+$D115,0))+IF(CT$9="X",VLOOKUP(CT$10,'VK-Biokütused'!$C:$U,2+$E115,0))+IF(CT$5="X",VLOOKUP(CT$10,'VK-Põlevkivi'!$C:$X,2+$G115,0))+IF(CT$4="X",VLOOKUP(CT$10,'VK-Võrgud'!$C:$X,2+$F115,0))</f>
        <v>90</v>
      </c>
      <c r="CU115" s="209">
        <f>IF(CU$7="X",VLOOKUP(CU$10,'VK-Hooned-Soojus'!$C:$X,2+$C115,FALSE),0)+IF(CU$6="X",VLOOKUP(CU$10,'VK-Transport'!$C:$X,2+$B115,0))+IF(CU$8="X",VLOOKUP(CU$10,'VK-Elekter'!$C:$X,2+$D115,0))+IF(CU$9="X",VLOOKUP(CU$10,'VK-Biokütused'!$C:$U,2+$E115,0))+IF(CU$5="X",VLOOKUP(CU$10,'VK-Põlevkivi'!$C:$X,2+$G115,0))+IF(CU$4="X",VLOOKUP(CU$10,'VK-Võrgud'!$C:$X,2+$F115,0))</f>
        <v>1</v>
      </c>
      <c r="CV115" s="209">
        <f t="shared" si="84"/>
        <v>0.72887234460741646</v>
      </c>
      <c r="CW115" s="209">
        <f>(IF(CW$7="X",VLOOKUP(CW$10,'VK-Hooned-Soojus'!$C:$X,2+$C115,FALSE),0)+IF(CW$6="X",VLOOKUP(CW$10,'VK-Transport'!$C:$X,2+$B115,0))+IF(CW$8="X",VLOOKUP(CW$10,'VK-Elekter'!$C:$X,2+$D115,0))+IF(CW$9="X",VLOOKUP(CW$10,'VK-Biokütused'!$C:$U,2+$E115,0))+IF(CW$5="X",VLOOKUP(CW$10,'VK-Põlevkivi'!$C:$X,2+$G115,0))+IF(CW$4="X",VLOOKUP(CW$10,'VK-Võrgud'!$C:$X,2+$F115,0)))/16</f>
        <v>126.01875</v>
      </c>
      <c r="CY115" s="209">
        <f>(IF(CY$7="X",VLOOKUP(CY$10,'VK-Hooned-Soojus'!$C:$X,2+$C115,FALSE),0)+IF(CY$6="X",VLOOKUP(CY$10,'VK-Transport'!$C:$X,2+$B115,0))+IF(CY$8="X",VLOOKUP(CY$10,'VK-Elekter'!$C:$X,2+$D115,0))+IF(CY$9="X",VLOOKUP(CY$10,'VK-Biokütused'!$C:$U,2+$E115,0))+IF(CY$5="X",VLOOKUP(CY$10,'VK-Põlevkivi'!$C:$X,2+$G115,0))+IF(CY$4="X",VLOOKUP(CY$10,'VK-Võrgud'!$C:$X,2+$F115,0)))/1000</f>
        <v>11.718999999999999</v>
      </c>
      <c r="CZ115" s="209">
        <f>(IF(CZ$7="X",VLOOKUP(CZ$10,'VK-Hooned-Soojus'!$C:$X,2+$C115,FALSE),0)+IF(CZ$6="X",VLOOKUP(CZ$10,'VK-Transport'!$C:$X,2+$B115,0))+IF(CZ$8="X",VLOOKUP(CZ$10,'VK-Elekter'!$C:$X,2+$D115,0))+IF(CZ$9="X",VLOOKUP(CZ$10,'VK-Biokütused'!$C:$U,2+$E115,0))+IF(CZ$5="X",VLOOKUP(CZ$10,'VK-Põlevkivi'!$C:$X,2+$G115,0))+IF(CZ$4="X",VLOOKUP(CZ$10,'VK-Võrgud'!$C:$X,2+$F115,0)))</f>
        <v>97</v>
      </c>
      <c r="DA115" s="209">
        <f>(IF(DA$7="X",VLOOKUP(DA$10,'VK-Hooned-Soojus'!$C:$X,2+$C115,FALSE),0)+IF(DA$6="X",VLOOKUP(DA$10,'VK-Transport'!$C:$X,2+$B115,0))+IF(DA$8="X",VLOOKUP(DA$10,'VK-Elekter'!$C:$X,2+$D115,0))+IF(DA$9="X",VLOOKUP(DA$10,'VK-Biokütused'!$C:$U,2+$E115,0))+IF(DA$5="X",VLOOKUP(DA$10,'VK-Põlevkivi'!$C:$X,2+$G115,0))+IF(DA$4="X",VLOOKUP(DA$10,'VK-Võrgud'!$C:$X,2+$F115,0)))/1000</f>
        <v>16.623000000000001</v>
      </c>
      <c r="DB115" s="209">
        <f>(IF(DB$7="X",VLOOKUP(DB$10,'VK-Hooned-Soojus'!$C:$X,2+$C115,FALSE),0)+IF(DB$6="X",VLOOKUP(DB$10,'VK-Transport'!$C:$X,2+$B115,0))+IF(DB$8="X",VLOOKUP(DB$10,'VK-Elekter'!$C:$X,2+$D115,0))+IF(DB$9="X",VLOOKUP(DB$10,'VK-Biokütused'!$C:$U,2+$E115,0))+IF(DB$5="X",VLOOKUP(DB$10,'VK-Põlevkivi'!$C:$X,2+$G115,0))+IF(DB$4="X",VLOOKUP(DB$10,'VK-Võrgud'!$C:$X,2+$F115,0)))/1000/3.6</f>
        <v>136.83916666666667</v>
      </c>
      <c r="DC115" s="209">
        <f>(IF(DC$7="X",VLOOKUP(DC$10,'VK-Hooned-Soojus'!$C:$X,2+$C115,FALSE),0)+IF(DC$6="X",VLOOKUP(DC$10,'VK-Transport'!$C:$X,2+$B115,0))+IF(DC$8="X",VLOOKUP(DC$10,'VK-Elekter'!$C:$X,2+$D115,0))+IF(DC$9="X",VLOOKUP(DC$10,'VK-Biokütused'!$C:$U,2+$E115,0))+IF(DC$5="X",VLOOKUP(DC$10,'VK-Põlevkivi'!$C:$X,2+$G115,0))+IF(DC$4="X",VLOOKUP(DC$10,'VK-Võrgud'!$C:$X,2+$F115,0)))/1000000</f>
        <v>7.4387970000000001</v>
      </c>
      <c r="DD115" s="209"/>
      <c r="DE115" s="88">
        <f>VLOOKUP(Tulemused!$BN$12,data!M$7:N$12,2,FALSE)-SUM(L115,M115)</f>
        <v>-0.80250937302436398</v>
      </c>
      <c r="DF115" s="209" t="str">
        <f>IF(AZ115&lt;=VLOOKUP(Tulemused!$BN$15,data!$E$36:$F$39,2,FALSE),"JAH","EI")</f>
        <v>JAH</v>
      </c>
      <c r="DG115" s="209"/>
      <c r="DH115" s="209">
        <f t="shared" si="85"/>
        <v>6.78</v>
      </c>
      <c r="DI115" s="231" t="str">
        <f t="shared" si="65"/>
        <v>EI</v>
      </c>
      <c r="DK115" s="232">
        <f t="shared" si="86"/>
        <v>-992.15424076505701</v>
      </c>
      <c r="DM115" s="233">
        <f t="shared" si="87"/>
        <v>-996.95387186281869</v>
      </c>
      <c r="DN115" s="87">
        <f t="array" ref="DN115">INDEX($A$11:$A$145, SMALL(IF(DM115=$DK$11:$DK$145, MATCH(ROW($DK$11:$DK$145), ROW($DK$11:$DK$145))), SUM(--(DM115=$DM$11:DM115))))</f>
        <v>61</v>
      </c>
      <c r="DP115" s="87" t="e">
        <f t="shared" ca="1" si="66"/>
        <v>#N/A</v>
      </c>
      <c r="DQ115" s="87" t="e">
        <f t="shared" ca="1" si="67"/>
        <v>#N/A</v>
      </c>
      <c r="DR115" s="87">
        <f t="shared" ca="1" si="68"/>
        <v>0</v>
      </c>
      <c r="DS115" s="87" t="e">
        <f t="shared" ca="1" si="69"/>
        <v>#N/A</v>
      </c>
      <c r="DT115" s="87">
        <f t="shared" ca="1" si="70"/>
        <v>0</v>
      </c>
      <c r="DU115" s="87" t="e">
        <f t="shared" ca="1" si="71"/>
        <v>#N/A</v>
      </c>
      <c r="DV115" s="87" t="e">
        <f t="shared" ca="1" si="72"/>
        <v>#N/A</v>
      </c>
      <c r="DW115" s="87">
        <f t="shared" ca="1" si="73"/>
        <v>0</v>
      </c>
      <c r="DX115" s="87">
        <f t="shared" ca="1" si="74"/>
        <v>0</v>
      </c>
      <c r="DZ115" s="87">
        <f t="shared" ca="1" si="82"/>
        <v>0</v>
      </c>
      <c r="EB115" s="87">
        <f t="shared" ca="1" si="75"/>
        <v>0</v>
      </c>
      <c r="EC115" s="87" t="e">
        <f t="shared" ca="1" si="76"/>
        <v>#N/A</v>
      </c>
      <c r="EE115" s="228">
        <f>(IF(EE$7="X",VLOOKUP(EE$10,'VK-Hooned-Soojus'!$C:$X,2+$C115,FALSE),0)+IF(EE$6="X",VLOOKUP(EE$10,'VK-Transport'!$C:$X,2+$B115,0))+IF(EE$8="X",VLOOKUP(EE$10,'VK-Elekter'!$C:$X,2+$D115,0))+IF(EE$9="X",VLOOKUP(EE$10,'VK-Biokütused'!$C:$U,2+$E115,0))+IF(EE$5="X",VLOOKUP(EE$10,'VK-Põlevkivi'!$C:$X,2+$G115,0))+IF(EE$4="X",VLOOKUP(EE$10,'VK-Võrgud'!$C:$X,2+$F115,0)))</f>
        <v>13499.750861385122</v>
      </c>
      <c r="EF115" s="209">
        <f>(IF(EF$7="X",VLOOKUP(EF$10,'VK-Hooned-Soojus'!$C:$X,2+$C115,FALSE),0)+IF(EF$6="X",VLOOKUP(EF$10,'VK-Transport'!$C:$X,2+$B115,0))+IF(EF$8="X",VLOOKUP(EF$10,'VK-Elekter'!$C:$X,2+$D115,0))+IF(EF$9="X",VLOOKUP(EF$10,'VK-Biokütused'!$C:$U,2+$E115,0))+IF(EF$5="X",VLOOKUP(EF$10,'VK-Põlevkivi'!$C:$X,2+$G115,0))+IF(EF$4="X",VLOOKUP(EF$10,'VK-Võrgud'!$C:$X,2+$F115,0)))/1000</f>
        <v>8.4968849906373194</v>
      </c>
      <c r="EG115" s="209">
        <f>(IF(EG$7="X",VLOOKUP(EG$10,'VK-Hooned-Soojus'!$C:$X,2+$C115,FALSE),0)+IF(EG$6="X",VLOOKUP(EG$10,'VK-Transport'!$C:$X,2+$B115,0))+IF(EG$8="X",VLOOKUP(EG$10,'VK-Elekter'!$C:$X,2+$D115,0))+IF(EG$9="X",VLOOKUP(EG$10,'VK-Biokütused'!$C:$U,2+$E115,0))+IF(EG$5="X",VLOOKUP(EG$10,'VK-Põlevkivi'!$C:$X,2+$G115,0))+IF(EG$4="X",VLOOKUP(EG$10,'VK-Võrgud'!$C:$X,2+$F115,0)))</f>
        <v>0.81</v>
      </c>
      <c r="EH115" s="209">
        <f>(IF(EH$7="X",VLOOKUP(EH$10,'VK-Hooned-Soojus'!$C:$X,2+$C115,FALSE),0)+IF(EH$6="X",VLOOKUP(EH$10,'VK-Transport'!$C:$X,2+$B115,0))+IF(EH$8="X",VLOOKUP(EH$10,'VK-Elekter'!$C:$X,2+$D115,0))+IF(EH$9="X",VLOOKUP(EH$10,'VK-Biokütused'!$C:$U,2+$E115,0)))+AR115+AS115+AU115+AX115</f>
        <v>92.421071147298917</v>
      </c>
      <c r="EI115" s="320">
        <f t="shared" si="88"/>
        <v>61.835011875436592</v>
      </c>
      <c r="EJ115" s="322">
        <f t="shared" si="89"/>
        <v>2.3132392489112068E-2</v>
      </c>
      <c r="EK115" s="323">
        <f t="shared" si="77"/>
        <v>0.4427532296478886</v>
      </c>
      <c r="EM115" s="209"/>
      <c r="EN115" s="209">
        <f t="shared" ca="1" si="90"/>
        <v>0</v>
      </c>
      <c r="EO115" s="209"/>
      <c r="EP115" s="234"/>
      <c r="EQ115" s="209">
        <f>(IF(EQ$7="X",VLOOKUP(EQ$10,'VK-Hooned-Soojus'!$C:$X,2+$C115,FALSE),0)+IF(EQ$6="X",VLOOKUP(EQ$10,'VK-Transport'!$C:$X,2+$B115,0))+IF(EQ$8="X",VLOOKUP(EQ$10,'VK-Elekter'!$C:$X,2+$D115,0))+IF(EQ$9="X",VLOOKUP(EQ$10,'VK-Biokütused'!$C:$U,2+$E115,0))+IF(EQ$5="X",VLOOKUP(EQ$10,'VK-Põlevkivi'!$C:$X,2+$G115,0))+IF(EQ$4="X",VLOOKUP(EQ$10,'VK-Võrgud'!$C:$X,2+$F115,0)))/1000</f>
        <v>0.22900000000000001</v>
      </c>
      <c r="ER115" s="209">
        <f>(IF(ER$7="X",VLOOKUP(ER$10,'VK-Hooned-Soojus'!$C:$X,2+$C115,FALSE),0)+IF(ER$6="X",VLOOKUP(ER$10,'VK-Transport'!$C:$X,2+$B115,0))+IF(ER$8="X",VLOOKUP(ER$10,'VK-Elekter'!$C:$X,2+$D115,0))+IF(ER$9="X",VLOOKUP(ER$10,'VK-Biokütused'!$C:$U,2+$E115,0))+IF(ER$5="X",VLOOKUP(ER$10,'VK-Põlevkivi'!$C:$X,2+$G115,0))+IF(ER$4="X",VLOOKUP(ER$10,'VK-Võrgud'!$C:$X,2+$F115,0)))</f>
        <v>0.82899999999999996</v>
      </c>
      <c r="ES115" s="209">
        <f>(IF(ES$7="X",VLOOKUP(ES$10,'VK-Hooned-Soojus'!$C:$X,2+$C115,FALSE),0)+IF(ES$6="X",VLOOKUP(ES$10,'VK-Transport'!$C:$X,2+$B115,0))+IF(ES$8="X",VLOOKUP(ES$10,'VK-Elekter'!$C:$X,2+$D115,0))+IF(ES$9="X",VLOOKUP(ES$10,'VK-Biokütused'!$C:$U,2+$E115,0))+IF(ES$5="X",VLOOKUP(ES$10,'VK-Põlevkivi'!$C:$X,2+$G115,0))+IF(ES$4="X",VLOOKUP(ES$10,'VK-Võrgud'!$C:$X,2+$F115,0)))</f>
        <v>6.78</v>
      </c>
      <c r="ET115" s="209"/>
      <c r="EU115" s="209"/>
      <c r="EV115" s="87">
        <f>'KSH järjestus'!AS108</f>
        <v>1638</v>
      </c>
      <c r="EZ115" s="237">
        <f t="shared" si="91"/>
        <v>0</v>
      </c>
      <c r="FA115" s="209">
        <f>IF(FA$7="X",VLOOKUP(FA$10,'VK-Hooned-Soojus'!$C:$X,2+$C115,FALSE),0)+IF(FA$6="X",VLOOKUP(FA$10,'VK-Transport'!$C:$X,2+$B115,0))+IF(FA$8="X",VLOOKUP(FA$10,'VK-Elekter'!$C:$X,2+$D115,0))+IF(FA$9="X",VLOOKUP(FA$10,'VK-Biokütused'!$C:$U,2+$E115,0))+IF(FA$5="X",VLOOKUP(FA$10,'VK-Põlevkivi'!$C:$X,2+$G115,0))+IF(FA$4="X",VLOOKUP(FA$10,'VK-Võrgud'!$C:$X,2+$F115,0))</f>
        <v>3103.9189999999999</v>
      </c>
      <c r="FB115" s="279">
        <f>(IF(FB$7="X",VLOOKUP(FB$10,'VK-Hooned-Soojus'!$C:$X,2+$C115,FALSE),0)+IF(FB$6="X",VLOOKUP(FB$10,'VK-Transport'!$C:$X,2+$B115,0))+IF(FB$8="X",VLOOKUP(FB$10,'VK-Elekter'!$C:$X,2+$D115,0))+IF(FB$9="X",VLOOKUP(FB$10,'VK-Biokütused'!$C:$U,2+$E115,0))+IF(FB$5="X",VLOOKUP(FB$10,'VK-Põlevkivi'!$C:$X,2+$G115,0))+IF(FB$4="X",VLOOKUP(FB$10,'VK-Võrgud'!$C:$X,2+$F115,0)))/16</f>
        <v>962.94300506223624</v>
      </c>
      <c r="FC115" s="209">
        <f>IF(FC$7="X",VLOOKUP(FC$10,'VK-Hooned-Soojus'!$C:$X,2+$C115,FALSE),0)+IF(FC$6="X",VLOOKUP(FC$10,'VK-Transport'!$C:$X,2+$B115,0))+IF(FC$8="X",VLOOKUP(FC$10,'VK-Elekter'!$C:$X,2+$D115,0))+IF(FC$9="X",VLOOKUP(FC$10,'VK-Biokütused'!$C:$U,2+$E115,0))+IF(FC$5="X",VLOOKUP(FC$10,'VK-Põlevkivi'!$C:$X,2+$G115,0))+IF(FC$4="X",VLOOKUP(FC$10,'VK-Võrgud'!$C:$X,2+$F115,0))</f>
        <v>315.39999999999998</v>
      </c>
      <c r="FD115" s="209">
        <f>(IF(FD$7="X",VLOOKUP(FD$10,'VK-Hooned-Soojus'!$C:$X,2+$C115,FALSE),0)+IF(FD$6="X",VLOOKUP(FD$10,'VK-Transport'!$C:$X,2+$B115,0))+IF(FD$8="X",VLOOKUP(FD$10,'VK-Elekter'!$C:$X,2+$D115,0))+IF(FD$9="X",VLOOKUP(FD$10,'VK-Biokütused'!$C:$U,2+$E115,0))+IF(FD$5="X",VLOOKUP(FD$10,'VK-Põlevkivi'!$C:$X,2+$G115,0))+IF(FD$4="X",VLOOKUP(FD$10,'VK-Võrgud'!$C:$X,2+$F115,0)))/16</f>
        <v>962.94300506223624</v>
      </c>
      <c r="FE115" s="209">
        <f>(IF(FE$7="X",VLOOKUP(FE$10,'VK-Hooned-Soojus'!$C:$X,2+$C115,FALSE),0)+IF(FE$6="X",VLOOKUP(FE$10,'VK-Transport'!$C:$X,2+$B115,0))+IF(FE$8="X",VLOOKUP(FE$10,'VK-Elekter'!$C:$X,2+$D115,0))+IF(FE$9="X",VLOOKUP(FE$10,'VK-Biokütused'!$C:$U,2+$E115,0))+IF(FE$5="X",VLOOKUP(FE$10,'VK-Põlevkivi'!$C:$X,2+$G115,0))+IF(FE$4="X",VLOOKUP(FE$10,'VK-Võrgud'!$C:$X,2+$F115,0)))/16</f>
        <v>-74.878313699091038</v>
      </c>
      <c r="FF115" s="209">
        <f>(IF(FF$7="X",VLOOKUP(FF$10,'VK-Hooned-Soojus'!$C:$X,2+$C115,FALSE),0)+IF(FF$6="X",VLOOKUP(FF$10,'VK-Transport'!$C:$X,2+$B115,0))+IF(FF$8="X",VLOOKUP(FF$10,'VK-Elekter'!$C:$X,2+$D115,0))+IF(FF$9="X",VLOOKUP(FF$10,'VK-Biokütused'!$C:$U,2+$E115,0))+IF(FF$5="X",VLOOKUP(FF$10,'VK-Põlevkivi'!$C:$X,2+$G115,0))+IF(FF$4="X",VLOOKUP(FF$10,'VK-Võrgud'!$C:$X,2+$F115,0)))/16</f>
        <v>314.05133653004481</v>
      </c>
      <c r="FG115" s="88">
        <f t="shared" ca="1" si="78"/>
        <v>239.17302283095376</v>
      </c>
      <c r="FH115" s="88"/>
      <c r="FI115" s="88"/>
      <c r="FJ115" s="88">
        <f>VLOOKUP(Tulemused!$BN$12,data!M$7:N$12,2,FALSE)-SUM(L115,M115)</f>
        <v>-0.80250937302436398</v>
      </c>
      <c r="FK115" s="209" t="str">
        <f>IF(AZ115&lt;=VLOOKUP(Tulemused!$BN$15,data!$E$36:$F$39,2,FALSE),"JAH","EI")</f>
        <v>JAH</v>
      </c>
      <c r="FL115" s="235">
        <f ca="1">IF(ISNA(MATCH($A115,INDIRECT(VLOOKUP(Tulemused!$BF$11,data!$J$57:$M$71,4,FALSE)))),0,MATCH($A115,INDIRECT(VLOOKUP(Tulemused!$BF$11,data!$J$57:$M$71,4,FALSE))))</f>
        <v>0</v>
      </c>
      <c r="FM115" s="235" t="str">
        <f t="shared" ca="1" si="92"/>
        <v>JAH</v>
      </c>
      <c r="FN115" s="209">
        <f>VLOOKUP(Tulemused!$BN$13,data!$C$132:$D$137,2,FALSE)-KOMBI!R115</f>
        <v>4.3168850093626805</v>
      </c>
      <c r="FO115" s="209"/>
      <c r="FP115" s="209">
        <f>VLOOKUP(Tulemused!$BN$17,NO_x,2,FALSE)-CJ115</f>
        <v>6.8889999999999993</v>
      </c>
      <c r="FQ115" s="209">
        <f>VLOOKUP(Tulemused!$BN$18,SO_2,2,FALSE)-CK115</f>
        <v>12.464330445765981</v>
      </c>
      <c r="FR115" s="209">
        <f>VLOOKUP(Tulemused!$BN$19,LOU,2,FALSE)-CN115</f>
        <v>34.029000000000003</v>
      </c>
      <c r="FS115" s="209">
        <f>VLOOKUP(Tulemused!$BN$20,PM_2.5,2,FALSE)-CM115</f>
        <v>8.4500103843950836</v>
      </c>
      <c r="FT115" s="209">
        <f>VLOOKUP(Tulemused!$BN$13,data!$C$132:$D$137,2,FALSE)-FA115/1000</f>
        <v>3.1420510000000008</v>
      </c>
      <c r="FU115" s="209">
        <f>VLOOKUP(Tulemused!$BN$17,NO_x,2,FALSE)-CO115</f>
        <v>-2.5362337356995113E-2</v>
      </c>
      <c r="FV115" s="209">
        <f>VLOOKUP(Tulemused!$BN$18,SO_2,2,FALSE)-CP115</f>
        <v>19.164125985002066</v>
      </c>
      <c r="FW115" s="209">
        <f>VLOOKUP(Tulemused!$BN$19,LOU,2,FALSE)-CS115</f>
        <v>33.241350490137769</v>
      </c>
      <c r="FX115" s="209">
        <f>VLOOKUP(Tulemused!$BN$20,PM_2.5,2,FALSE)-CR115</f>
        <v>8.5172481626003087</v>
      </c>
      <c r="FY115" s="209">
        <f>VLOOKUP(Tulemused!$BN$14,KHG_2050,2,FALSE)-EF115</f>
        <v>91.503115009362688</v>
      </c>
      <c r="FZ115" s="231" t="str">
        <f t="shared" ca="1" si="79"/>
        <v>EI</v>
      </c>
      <c r="GA115" s="209"/>
      <c r="GB115" s="209"/>
      <c r="GC115" s="209"/>
      <c r="GD115" s="231"/>
      <c r="GE115" s="87">
        <f t="shared" si="93"/>
        <v>1638</v>
      </c>
      <c r="GF115" s="232" t="str">
        <f t="shared" ca="1" si="80"/>
        <v/>
      </c>
      <c r="GH115" s="238" t="e">
        <f t="shared" ca="1" si="94"/>
        <v>#NUM!</v>
      </c>
      <c r="GI115" s="87" t="e">
        <f t="array" aca="1" ref="GI115" ca="1">INDEX($A$11:$A$145, SMALL(IF(GH115=$GF$11:$GF$145, MATCH(ROW($GF$11:$GF$145), ROW($GF$11:$GF$145))), SUM(--(GH115=$GH$11:GH115))))</f>
        <v>#NUM!</v>
      </c>
      <c r="GM115" s="209">
        <f>IF(GM$7="X",VLOOKUP(GM$10,'VK-Hooned-Soojus'!$C:$X,2+$C115,FALSE),0)+IF(GM$6="X",VLOOKUP(GM$10,'VK-Transport'!$C:$X,2+$B115,0))+IF(GM$8="X",VLOOKUP(GM$10,'VK-Elekter'!$C:$X,2+$D115,0))+IF(GM$9="X",VLOOKUP(GM$10,'VK-Biokütused'!$C:$U,2+$E115,0))+IF(GM$5="X",VLOOKUP(GM$10,'VK-Põlevkivi'!$C:$X,2+$G115,0))+IF(GM$4="X",VLOOKUP(GM$10,'VK-Võrgud'!$C:$X,2+$F115,0))</f>
        <v>11.189888530766083</v>
      </c>
      <c r="GN115" s="209">
        <f>IF(GN$7="X",VLOOKUP(GN$10,'VK-Hooned-Soojus'!$C:$X,2+$C115,FALSE),0)+IF(GN$6="X",VLOOKUP(GN$10,'VK-Transport'!$C:$X,2+$B115,0))+IF(GN$8="X",VLOOKUP(GN$10,'VK-Elekter'!$C:$X,2+$D115,0))+IF(GN$9="X",VLOOKUP(GN$10,'VK-Biokütused'!$C:$U,2+$E115,0))+IF(GN$5="X",VLOOKUP(GN$10,'VK-Põlevkivi'!$C:$X,2+$G115,0))+IF(GN$4="X",VLOOKUP(GN$10,'VK-Võrgud'!$C:$X,2+$F115,0))</f>
        <v>2.9930837725682502</v>
      </c>
      <c r="GO115" s="209">
        <f>IF(GO$7="X",VLOOKUP(GO$10,'VK-Hooned-Soojus'!$C:$X,2+$C115,FALSE),0)+IF(GO$6="X",VLOOKUP(GO$10,'VK-Transport'!$C:$X,2+$B115,0))+IF(GO$8="X",VLOOKUP(GO$10,'VK-Elekter'!$C:$X,2+$D115,0))+IF(GO$9="X",VLOOKUP(GO$10,'VK-Biokütused'!$C:$U,2+$E115,0))+IF(GO$5="X",VLOOKUP(GO$10,'VK-Põlevkivi'!$C:$X,2+$G115,0))+IF(GO$4="X",VLOOKUP(GO$10,'VK-Võrgud'!$C:$X,2+$F115,0))</f>
        <v>8.7471755658278116</v>
      </c>
      <c r="GP115" s="209">
        <f>IF(GP$7="X",VLOOKUP(GP$10,'VK-Hooned-Soojus'!$C:$X,2+$C115,FALSE),0)+IF(GP$6="X",VLOOKUP(GP$10,'VK-Transport'!$C:$X,2+$B115,0))+IF(GP$8="X",VLOOKUP(GP$10,'VK-Elekter'!$C:$X,2+$D115,0))+IF(GP$9="X",VLOOKUP(GP$10,'VK-Biokütused'!$C:$U,2+$E115,0))+IF(GP$5="X",VLOOKUP(GP$10,'VK-Põlevkivi'!$C:$X,2+$G115,0))+IF(GP$4="X",VLOOKUP(GP$10,'VK-Võrgud'!$C:$X,2+$F115,0))</f>
        <v>9.3279335818485372</v>
      </c>
      <c r="GQ115" s="88">
        <f>IF(GQ$7="X",VLOOKUP(GQ$10,'VK-Hooned-Soojus'!$C:$X,2+$C115,FALSE),0)+IF(GQ$6="X",VLOOKUP(GQ$10,'VK-Transport'!$C:$X,2+$B115,0))+IF(GQ$8="X",VLOOKUP(GQ$10,'VK-Elekter'!$C:$X,2+$D115,0))+IF(GQ$9="X",VLOOKUP(GQ$10,'VK-Biokütused'!$C:$U,2+$E115,0))+IF(GQ$5="X",VLOOKUP(GQ$10,'VK-Põlevkivi'!$C:$X,2+$G115,0))+IF(GQ$4="X",VLOOKUP(GQ$10,'VK-Võrgud'!$C:$X,2+$F115,0))</f>
        <v>0.89042766952822527</v>
      </c>
      <c r="GR115" s="186">
        <f t="shared" si="81"/>
        <v>0.39278500094726765</v>
      </c>
    </row>
    <row r="116" spans="1:200" x14ac:dyDescent="0.2">
      <c r="A116" s="184">
        <v>106</v>
      </c>
      <c r="B116" s="87">
        <v>3</v>
      </c>
      <c r="C116" s="87">
        <v>2</v>
      </c>
      <c r="D116" s="87">
        <v>1</v>
      </c>
      <c r="E116" s="87">
        <v>1</v>
      </c>
      <c r="F116" s="87">
        <f>VLOOKUP(Tulemused!$BF$7,data!$J$6:$K$8,2,FALSE)</f>
        <v>2</v>
      </c>
      <c r="G116" s="87">
        <f>VLOOKUP(data!$H$2,data!$J$12:$K$14,2,FALSE)</f>
        <v>2</v>
      </c>
      <c r="I116" s="209">
        <f>IF(I$7="X",VLOOKUP(I$10,'VK-Hooned-Soojus'!$C:$X,2+$C116,FALSE),0)+IF(I$6="X",VLOOKUP(I$10,'VK-Transport'!$C:$X,2+$B116,0))+IF(I$8="X",VLOOKUP(I$10,'VK-Elekter'!$C:$X,2+$D116,0))+IF(I$9="X",VLOOKUP(I$10,'VK-Biokütused'!$C:$U,2+$E116,0))+IF(I$5="X",VLOOKUP(I$10,'VK-Põlevkivi'!$C:$X,2+$G116,0))+IF(I$4="X",VLOOKUP(I$10,'VK-Võrgud'!$C:$X,2+$F116,0))</f>
        <v>24.79</v>
      </c>
      <c r="J116" s="209">
        <f>IF(J$7="X",VLOOKUP(J$10,'VK-Hooned-Soojus'!$C:$X,2+$C116,FALSE),0)+IF(J$6="X",VLOOKUP(J$10,'VK-Transport'!$C:$X,2+$B116,0))+IF(J$8="X",VLOOKUP(J$10,'VK-Elekter'!$C:$X,2+$D116,0))+IF(J$9="X",VLOOKUP(J$10,'VK-Biokütused'!$C:$U,2+$E116,0))+IF(J$5="X",VLOOKUP(J$10,'VK-Põlevkivi'!$C:$X,2+$G116,0))+IF(J$4="X",VLOOKUP(J$10,'VK-Võrgud'!$C:$X,2+$F116,0))</f>
        <v>8.1258333333333344</v>
      </c>
      <c r="K116" s="209">
        <f>IF(K$7="X",VLOOKUP(K$10,'VK-Hooned-Soojus'!$C:$X,2+$C116,FALSE),0)+IF(K$6="X",VLOOKUP(K$10,'VK-Transport'!$C:$X,2+$B116,0))+IF(K$8="X",VLOOKUP(K$10,'VK-Elekter'!$C:$X,2+$D116,0))+IF(K$9="X",VLOOKUP(K$10,'VK-Biokütused'!$C:$U,2+$E116,0))+IF(K$5="X",VLOOKUP(K$10,'VK-Põlevkivi'!$C:$X,2+$G116,0))+IF(K$4="X",VLOOKUP(K$10,'VK-Võrgud'!$C:$X,2+$F116,0))</f>
        <v>15.27</v>
      </c>
      <c r="L116" s="209">
        <f>IF(L$7="X",VLOOKUP(L$10,'VK-Hooned-Soojus'!$C:$X,2+$C116,FALSE),0)+IF(L$6="X",VLOOKUP(L$10,'VK-Transport'!$C:$X,2+$B116,0))+IF(L$8="X",VLOOKUP(L$10,'VK-Elekter'!$C:$X,2+$D116,0))+IF(L$9="X",VLOOKUP(L$10,'VK-Biokütused'!$C:$U,2+$E116,0))+IF(L$5="X",VLOOKUP(L$10,'VK-Põlevkivi'!$C:$X,2+$G116,0))+IF(L$4="X",VLOOKUP(L$10,'VK-Võrgud'!$C:$X,2+$F116,0))</f>
        <v>24.2</v>
      </c>
      <c r="M116" s="209">
        <f>IF(M$7="X",VLOOKUP(M$10,'VK-Hooned-Soojus'!$C:$X,2+$C116,FALSE),0)+IF(M$6="X",VLOOKUP(M$10,'VK-Transport'!$C:$X,2+$B116,0))+IF(M$8="X",VLOOKUP(M$10,'VK-Elekter'!$C:$X,2+$D116,0))+IF(M$9="X",VLOOKUP(M$10,'VK-Biokütused'!$C:$U,2+$E116,0))+IF(M$5="X",VLOOKUP(M$10,'VK-Põlevkivi'!$C:$X,2+$G116,0))+IF(M$4="X",VLOOKUP(M$10,'VK-Võrgud'!$C:$X,2+$F116,0))</f>
        <v>8.68530937302436</v>
      </c>
      <c r="N116" s="209">
        <f>IF(N$7="X",VLOOKUP(N$10,'VK-Hooned-Soojus'!$C:$X,2+$C116,FALSE),0)+IF(N$6="X",VLOOKUP(N$10,'VK-Transport'!$C:$X,2+$B116,0))+IF(N$8="X",VLOOKUP(N$10,'VK-Elekter'!$C:$X,2+$D116,0))+IF(N$9="X",VLOOKUP(N$10,'VK-Biokütused'!$C:$U,2+$E116,0))+IF(N$5="X",VLOOKUP(N$10,'VK-Põlevkivi'!$C:$X,2+$G116,0))+IF(N$4="X",VLOOKUP(N$10,'VK-Võrgud'!$C:$X,2+$F116,0))</f>
        <v>16.09</v>
      </c>
      <c r="O116" s="209">
        <f t="shared" si="60"/>
        <v>32.915833333333332</v>
      </c>
      <c r="P116" s="209"/>
      <c r="Q116" s="209">
        <f>(IF(Q$7="X",VLOOKUP(Q$10,'VK-Hooned-Soojus'!$C:$X,2+$C116,FALSE),0)+IF(Q$6="X",VLOOKUP(Q$10,'VK-Transport'!$C:$X,2+$B116,0))+IF(Q$8="X",VLOOKUP(Q$10,'VK-Elekter'!$C:$X,2+$D116,0))+IF(Q$9="X",VLOOKUP(Q$10,'VK-Biokütused'!$C:$U,2+$E116,0))+IF(Q$5="X",VLOOKUP(Q$10,'VK-Põlevkivi'!$C:$X,2+$G116,0))+IF(Q$4="X",VLOOKUP(Q$10,'VK-Võrgud'!$C:$X,2+$F116,0)))/1000</f>
        <v>5.0659999999999998</v>
      </c>
      <c r="R116" s="209">
        <f>(IF(R$7="X",VLOOKUP(R$10,'VK-Hooned-Soojus'!$C:$X,2+$C116,FALSE),0)+IF(R$6="X",VLOOKUP(R$10,'VK-Transport'!$C:$X,2+$B116,0))+IF(R$8="X",VLOOKUP(R$10,'VK-Elekter'!$C:$X,2+$D116,0))+IF(R$9="X",VLOOKUP(R$10,'VK-Biokütused'!$C:$U,2+$E116,0))+IF(R$5="X",VLOOKUP(R$10,'VK-Põlevkivi'!$C:$X,2+$G116,0))+IF(R$4="X",VLOOKUP(R$10,'VK-Võrgud'!$C:$X,2+$F116,0)))/1000</f>
        <v>1.19688499063732</v>
      </c>
      <c r="S116" s="226">
        <f>VLOOKUP(S$10,'VK-Hooned-Soojus'!$C:$I,2+$C116,FALSE) + VLOOKUP(S$10,'VK-Transport'!$C:$I,2+$B116,FALSE)+ VLOOKUP(S$10,'VK-Biokütused'!$C:$G,2+$E116,FALSE)+ VLOOKUP(S$10,'VK-Elekter'!$C:$I,2+$D116,FALSE)+ VLOOKUP(S$10,'VK-Põlevkivi'!$C:$I,2+$G116,FALSE)+ VLOOKUP(S$10,'VK-Võrgud'!$C:$I,2+$F116,FALSE)</f>
        <v>1.1688466272393026E-2</v>
      </c>
      <c r="T116" s="226">
        <f>VLOOKUP(T$10,'VK-Hooned-Soojus'!$C:$I,2+$C116,FALSE) + VLOOKUP(T$10,'VK-Transport'!$C:$I,2+$B116,FALSE)+ VLOOKUP(T$10,'VK-Biokütused'!$C:$G,2+$E116,FALSE)+ VLOOKUP(T$10,'VK-Elekter'!$C:$I,2+$D116,FALSE)+ VLOOKUP(T$10,'VK-Põlevkivi'!$C:$I,2+$G116,FALSE)+ VLOOKUP(T$10,'VK-Võrgud'!$C:$I,2+$F116,FALSE)</f>
        <v>7.463592809490615E-3</v>
      </c>
      <c r="U116" s="226">
        <f>VLOOKUP(U$10,'VK-Hooned-Soojus'!$C:$I,2+$C116,FALSE) + VLOOKUP(U$10,'VK-Transport'!$C:$I,2+$B116,FALSE)+ VLOOKUP(U$10,'VK-Biokütused'!$C:$G,2+$E116,FALSE)+ VLOOKUP(U$10,'VK-Elekter'!$C:$I,2+$D116,FALSE)+ VLOOKUP(U$10,'VK-Põlevkivi'!$C:$I,2+$G116,FALSE)+ VLOOKUP(U$10,'VK-Võrgud'!$C:$I,2+$F116,FALSE)</f>
        <v>3.4127136808293212E-3</v>
      </c>
      <c r="V116" s="226">
        <f>VLOOKUP(V$10,'VK-Hooned-Soojus'!$C:$I,2+$C116,FALSE) + VLOOKUP(V$10,'VK-Transport'!$C:$I,2+$B116,FALSE)+ VLOOKUP(V$10,'VK-Biokütused'!$C:$G,2+$E116,FALSE)+ VLOOKUP(V$10,'VK-Elekter'!$C:$I,2+$D116,FALSE)+ VLOOKUP(V$10,'VK-Põlevkivi'!$C:$I,2+$G116,FALSE)+ VLOOKUP(V$10,'VK-Võrgud'!$C:$I,2+$F116,FALSE)</f>
        <v>8.3480100557141081E-3</v>
      </c>
      <c r="W116" s="226">
        <f>VLOOKUP(W$10,'VK-Hooned-Soojus'!$C:$I,2+$C116,FALSE) + VLOOKUP(W$10,'VK-Transport'!$C:$I,2+$B116,FALSE)+ VLOOKUP(W$10,'VK-Biokütused'!$C:$G,2+$E116,FALSE)+ VLOOKUP(W$10,'VK-Elekter'!$C:$I,2+$D116,FALSE)+ VLOOKUP(W$10,'VK-Põlevkivi'!$C:$I,2+$G116,FALSE)+ VLOOKUP(W$10,'VK-Võrgud'!$C:$I,2+$F116,FALSE)</f>
        <v>-4.4092604979207625E-2</v>
      </c>
      <c r="X116" s="226">
        <f>VLOOKUP(X$10,'VK-Hooned-Soojus'!$C:$I,2+$C116,FALSE) + VLOOKUP(X$10,'VK-Transport'!$C:$I,2+$B116,FALSE)+ VLOOKUP(X$10,'VK-Biokütused'!$C:$G,2+$E116,FALSE)+ VLOOKUP(X$10,'VK-Elekter'!$C:$I,2+$D116,FALSE)+ VLOOKUP(X$10,'VK-Põlevkivi'!$C:$I,2+$G116,FALSE)+ VLOOKUP(X$10,'VK-Võrgud'!$C:$I,2+$F116,FALSE)</f>
        <v>-5.1779657802158124E-2</v>
      </c>
      <c r="Y116" s="226">
        <f>VLOOKUP(Y$10,'VK-Hooned-Soojus'!$C:$I,2+$C116,FALSE) + VLOOKUP(Y$10,'VK-Transport'!$C:$I,2+$B116,FALSE)+ VLOOKUP(Y$10,'VK-Biokütused'!$C:$G,2+$E116,FALSE)+ VLOOKUP(Y$10,'VK-Elekter'!$C:$I,2+$D116,FALSE)+ VLOOKUP(Y$10,'VK-Põlevkivi'!$C:$I,2+$G116,FALSE)+ VLOOKUP(Y$10,'VK-Võrgud'!$C:$I,2+$F116,FALSE)</f>
        <v>-6.9396334462157566E-2</v>
      </c>
      <c r="Z116" s="227">
        <f>(S116*Tulemused!$Q$9*10+T116*Tulemused!$Q$10*10+KOMBI!U116*Tulemused!$Q$11*10+KOMBI!V116*Tulemused!$Q$12*10)*Tulemused!$Q$8+-(W116*Tulemused!$Q$14*10+KOMBI!X116*Tulemused!$Q$15*10+KOMBI!Y116*Tulemused!$Q$16*10)*Tulemused!$Q$13</f>
        <v>5.3488602860472536</v>
      </c>
      <c r="AA116" s="228">
        <f>(IF(AA$7="X",VLOOKUP(AA$10,'VK-Hooned-Soojus'!$C:$X,2+$C116,FALSE),0)+IF(AA$6="X",VLOOKUP(AA$10,'VK-Transport'!$C:$X,2+$B116,0))+IF(AA$8="X",VLOOKUP(AA$10,'VK-Elekter'!$C:$X,2+$D116,0))+IF(AA$9="X",VLOOKUP(AA$10,'VK-Biokütused'!$C:$U,2+$E116,0))+IF(AA$5="X",VLOOKUP(AA$10,'VK-Põlevkivi'!$C:$X,2+$G116,0))+IF(AA$4="X",VLOOKUP(AA$10,'VK-Võrgud'!$C:$X,2+$F116,0)))</f>
        <v>3729</v>
      </c>
      <c r="AB116" s="228">
        <f>(IF(AB$7="X",VLOOKUP(AB$10,'VK-Hooned-Soojus'!$C:$X,2+$C116,FALSE),0)+IF(AB$6="X",VLOOKUP(AB$10,'VK-Transport'!$C:$X,2+$B116,0))+IF(AB$8="X",VLOOKUP(AB$10,'VK-Elekter'!$C:$X,2+$D116,0))+IF(AB$9="X",VLOOKUP(AB$10,'VK-Biokütused'!$C:$U,2+$E116,0))+IF(AB$5="X",VLOOKUP(AB$10,'VK-Põlevkivi'!$C:$X,2+$G116,0))+IF(AB$4="X",VLOOKUP(AB$10,'VK-Võrgud'!$C:$X,2+$F116,0)))</f>
        <v>1337</v>
      </c>
      <c r="AC116" s="228">
        <f>(IF(AC$7="X",VLOOKUP(AC$10,'VK-Hooned-Soojus'!$C:$X,2+$C116,FALSE),0)+IF(AC$6="X",VLOOKUP(AC$10,'VK-Transport'!$C:$X,2+$B116,0))+IF(AC$8="X",VLOOKUP(AC$10,'VK-Elekter'!$C:$X,2+$D116,0))+IF(AC$9="X",VLOOKUP(AC$10,'VK-Biokütused'!$C:$U,2+$E116,0))+IF(AC$5="X",VLOOKUP(AC$10,'VK-Põlevkivi'!$C:$X,2+$G116,0))+IF(AC$4="X",VLOOKUP(AC$10,'VK-Võrgud'!$C:$X,2+$F116,0)))</f>
        <v>2346</v>
      </c>
      <c r="AD116" s="228">
        <f>(IF(AD$7="X",VLOOKUP(AD$10,'VK-Hooned-Soojus'!$C:$X,2+$C116,FALSE),0)+IF(AD$6="X",VLOOKUP(AD$10,'VK-Transport'!$C:$X,2+$B116,0))+IF(AD$8="X",VLOOKUP(AD$10,'VK-Elekter'!$C:$X,2+$D116,0))+IF(AD$9="X",VLOOKUP(AD$10,'VK-Biokütused'!$C:$U,2+$E116,0))+IF(AD$5="X",VLOOKUP(AD$10,'VK-Põlevkivi'!$C:$X,2+$G116,0))+IF(AD$4="X",VLOOKUP(AD$10,'VK-Võrgud'!$C:$X,2+$F116,0)))</f>
        <v>0</v>
      </c>
      <c r="AE116" s="228">
        <f>(IF(AE$7="X",VLOOKUP(AE$10,'VK-Hooned-Soojus'!$C:$X,2+$C116,FALSE),0)+IF(AE$6="X",VLOOKUP(AE$10,'VK-Transport'!$C:$X,2+$B116,0))+IF(AE$8="X",VLOOKUP(AE$10,'VK-Elekter'!$C:$X,2+$D116,0))+IF(AE$9="X",VLOOKUP(AE$10,'VK-Biokütused'!$C:$U,2+$E116,0))+IF(AE$5="X",VLOOKUP(AE$10,'VK-Põlevkivi'!$C:$X,2+$G116,0))+IF(AE$4="X",VLOOKUP(AE$10,'VK-Võrgud'!$C:$X,2+$F116,0)))</f>
        <v>666</v>
      </c>
      <c r="AF116" s="228">
        <f>(IF(AF$7="X",VLOOKUP(AF$10,'VK-Hooned-Soojus'!$C:$X,2+$C116,FALSE),0)+IF(AF$6="X",VLOOKUP(AF$10,'VK-Transport'!$C:$X,2+$B116,0))+IF(AF$8="X",VLOOKUP(AF$10,'VK-Elekter'!$C:$X,2+$D116,0))+IF(AF$9="X",VLOOKUP(AF$10,'VK-Biokütused'!$C:$U,2+$E116,0))+IF(AF$5="X",VLOOKUP(AF$10,'VK-Põlevkivi'!$C:$X,2+$G116,0))+IF(AF$4="X",VLOOKUP(AF$10,'VK-Võrgud'!$C:$X,2+$F116,0)))</f>
        <v>530.88499063732002</v>
      </c>
      <c r="AG116" s="209"/>
      <c r="AH116" s="209">
        <f>IF(AH$7="X",VLOOKUP(AH$10,'VK-Hooned-Soojus'!$C:$X,2+$C116,FALSE),0)+IF(AH$6="X",VLOOKUP(AH$10,'VK-Transport'!$C:$X,2+$B116,0))+IF(AH$8="X",VLOOKUP(AH$10,'VK-Elekter'!$C:$X,2+$D116,0))+IF(AH$9="X",VLOOKUP(AH$10,'VK-Biokütused'!$C:$U,2+$E116,0))+IF(AH$5="X",VLOOKUP(AH$10,'VK-Põlevkivi'!$C:$X,2+$G116,0))+IF(AH$4="X",VLOOKUP(AH$10,'VK-Võrgud'!$C:$X,2+$F116,0))</f>
        <v>11.629999999999999</v>
      </c>
      <c r="AI116" s="209">
        <f>IF(AI$7="X",VLOOKUP(AI$10,'VK-Hooned-Soojus'!$C:$X,2+$C116,FALSE),0)+IF(AI$6="X",VLOOKUP(AI$10,'VK-Transport'!$C:$X,2+$B116,0))+IF(AI$8="X",VLOOKUP(AI$10,'VK-Elekter'!$C:$X,2+$D116,0))+IF(AI$9="X",VLOOKUP(AI$10,'VK-Biokütused'!$C:$U,2+$E116,0))+IF(AI$5="X",VLOOKUP(AI$10,'VK-Põlevkivi'!$C:$X,2+$G116,0))+IF(AI$4="X",VLOOKUP(AI$10,'VK-Võrgud'!$C:$X,2+$F116,0))</f>
        <v>2.3100000000000005</v>
      </c>
      <c r="AJ116" s="209">
        <f>IF(AJ$7="X",VLOOKUP(AJ$10,'VK-Hooned-Soojus'!$C:$X,2+$C116,FALSE),0)+IF(AJ$6="X",VLOOKUP(AJ$10,'VK-Transport'!$C:$X,2+$B116,0))+IF(AJ$8="X",VLOOKUP(AJ$10,'VK-Elekter'!$C:$X,2+$D116,0))+IF(AJ$9="X",VLOOKUP(AJ$10,'VK-Biokütused'!$C:$U,2+$E116,0))+IF(AJ$5="X",VLOOKUP(AJ$10,'VK-Põlevkivi'!$C:$X,2+$G116,0))+IF(AJ$4="X",VLOOKUP(AJ$10,'VK-Võrgud'!$C:$X,2+$F116,0))</f>
        <v>9.24</v>
      </c>
      <c r="AK116" s="209">
        <f>IF(AK$7="X",VLOOKUP(AK$10,'VK-Hooned-Soojus'!$C:$X,2+$C116,FALSE),0)+IF(AK$6="X",VLOOKUP(AK$10,'VK-Transport'!$C:$X,2+$B116,0))+IF(AK$8="X",VLOOKUP(AK$10,'VK-Elekter'!$C:$X,2+$D116,0))+IF(AK$9="X",VLOOKUP(AK$10,'VK-Biokütused'!$C:$U,2+$E116,0))+IF(AK$5="X",VLOOKUP(AK$10,'VK-Põlevkivi'!$C:$X,2+$G116,0))+IF(AK$4="X",VLOOKUP(AK$10,'VK-Võrgud'!$C:$X,2+$F116,0))</f>
        <v>2.78</v>
      </c>
      <c r="AL116" s="209">
        <f>IF(AL$7="X",VLOOKUP(AL$10,'VK-Hooned-Soojus'!$C:$X,2+$C116,FALSE),0)+IF(AL$6="X",VLOOKUP(AL$10,'VK-Transport'!$C:$X,2+$B116,0))+IF(AL$8="X",VLOOKUP(AL$10,'VK-Elekter'!$C:$X,2+$D116,0))+IF(AL$9="X",VLOOKUP(AL$10,'VK-Biokütused'!$C:$U,2+$E116,0))+IF(AL$5="X",VLOOKUP(AL$10,'VK-Põlevkivi'!$C:$X,2+$G116,0))+IF(AL$4="X",VLOOKUP(AL$10,'VK-Võrgud'!$C:$X,2+$F116,0))</f>
        <v>7.1999999999999993</v>
      </c>
      <c r="AM116" s="209">
        <f>IF(AM$7="X",VLOOKUP(AM$10,'VK-Hooned-Soojus'!$C:$X,2+$C116,FALSE),0)+IF(AM$6="X",VLOOKUP(AM$10,'VK-Transport'!$C:$X,2+$B116,0))+IF(AM$8="X",VLOOKUP(AM$10,'VK-Elekter'!$C:$X,2+$D116,0))+IF(AM$9="X",VLOOKUP(AM$10,'VK-Biokütused'!$C:$U,2+$E116,0))+IF(AM$5="X",VLOOKUP(AM$10,'VK-Põlevkivi'!$C:$X,2+$G116,0))+IF(AM$4="X",VLOOKUP(AM$10,'VK-Võrgud'!$C:$X,2+$F116,0))</f>
        <v>11.9</v>
      </c>
      <c r="AN116" s="209">
        <f>IF(AN$7="X",VLOOKUP(AN$10,'VK-Hooned-Soojus'!$C:$X,2+$C116,FALSE),0)+IF(AN$6="X",VLOOKUP(AN$10,'VK-Transport'!$C:$X,2+$B116,0))+IF(AN$8="X",VLOOKUP(AN$10,'VK-Elekter'!$C:$X,2+$D116,0))+IF(AN$9="X",VLOOKUP(AN$10,'VK-Biokütused'!$C:$U,2+$E116,0))+IF(AN$5="X",VLOOKUP(AN$10,'VK-Põlevkivi'!$C:$X,2+$G116,0))+IF(AN$4="X",VLOOKUP(AN$10,'VK-Võrgud'!$C:$X,2+$F116,0))</f>
        <v>4.8999999999999995</v>
      </c>
      <c r="AO116" s="209">
        <f>IF(AO$7="X",VLOOKUP(AO$10,'VK-Hooned-Soojus'!$C:$X,2+$C116,FALSE),0)+IF(AO$6="X",VLOOKUP(AO$10,'VK-Transport'!$C:$X,2+$B116,0))+IF(AO$8="X",VLOOKUP(AO$10,'VK-Elekter'!$C:$X,2+$D116,0))+IF(AO$9="X",VLOOKUP(AO$10,'VK-Biokütused'!$C:$U,2+$E116,0))+IF(AO$5="X",VLOOKUP(AO$10,'VK-Põlevkivi'!$C:$X,2+$G116,0))+IF(AO$4="X",VLOOKUP(AO$10,'VK-Võrgud'!$C:$X,2+$F116,0))</f>
        <v>12.56</v>
      </c>
      <c r="AP116" s="209">
        <f>IF(AP$7="X",VLOOKUP(AP$10,'VK-Hooned-Soojus'!$C:$X,2+$C116,FALSE),0)+IF(AP$6="X",VLOOKUP(AP$10,'VK-Transport'!$C:$X,2+$B116,0))+IF(AP$8="X",VLOOKUP(AP$10,'VK-Elekter'!$C:$X,2+$D116,0))+IF(AP$9="X",VLOOKUP(AP$10,'VK-Biokütused'!$C:$U,2+$E116,0))+IF(AP$5="X",VLOOKUP(AP$10,'VK-Põlevkivi'!$C:$X,2+$G116,0))+IF(AP$4="X",VLOOKUP(AP$10,'VK-Võrgud'!$C:$X,2+$F116,0))</f>
        <v>6.28</v>
      </c>
      <c r="AQ116" s="320">
        <f t="shared" si="61"/>
        <v>0.25999999999999979</v>
      </c>
      <c r="AR116" s="209">
        <f>IF(AR$7="X",VLOOKUP(AR$10,'VK-Hooned-Soojus'!$C:$X,2+$C116,FALSE),0)+IF(AR$6="X",VLOOKUP(AR$10,'VK-Transport'!$C:$X,2+$B116,0))+IF(AR$8="X",VLOOKUP(AR$10,'VK-Elekter'!$C:$X,2+$D116,0))+IF(AR$9="X",VLOOKUP(AR$10,'VK-Biokütused'!$C:$U,2+$E116,0))+IF(AR$5="X",VLOOKUP(AR$10,'VK-Põlevkivi'!$C:$X,2+$G116,0))+IF(AR$4="X",VLOOKUP(AR$10,'VK-Võrgud'!$C:$X,2+$F116,0))</f>
        <v>2.8899999999999997</v>
      </c>
      <c r="AS116" s="320">
        <f>VLOOKUP("Kütuste tarbimine @ 2030 - UTTEGAAS",'VK-Hooned-Soojus'!$C:$X,2+$C116,FALSE)/0.172+VLOOKUP("Kütuste tarbimine @ 2030 - UTTEGAAS",'VK-Elekter'!$C:$X,2+$D116,FALSE)/0.172-AR116-AU116</f>
        <v>2.8565116279069773</v>
      </c>
      <c r="AT116" s="209">
        <f>IF(AT$7="X",VLOOKUP(AT$10,'VK-Hooned-Soojus'!$C:$X,2+$C116,FALSE),0)+IF(AT$6="X",VLOOKUP(AT$10,'VK-Transport'!$C:$X,2+$B116,0))+IF(AT$8="X",VLOOKUP(AT$10,'VK-Elekter'!$C:$X,2+$D116,0))+IF(AT$9="X",VLOOKUP(AT$10,'VK-Biokütused'!$C:$U,2+$E116,0))+IF(AT$5="X",VLOOKUP(AT$10,'VK-Põlevkivi'!$C:$X,2+$G116,0))+IF(AT$4="X",VLOOKUP(AT$10,'VK-Võrgud'!$C:$X,2+$F116,0))</f>
        <v>5.7045296564339489</v>
      </c>
      <c r="AU116" s="229">
        <f>MAX(0,(VLOOKUP("Kütuste tarbimine @ 2030 - UTTEGAAS",'VK-Hooned-Soojus'!$C:$X,2+$C116,FALSE)/0.172+VLOOKUP("Kütuste tarbimine @ 2030 - UTTEGAAS",'VK-Elekter'!$C:$X,2+$D116,FALSE)/0.172)*0.52-VLOOKUP("Kütuste tarbimine @ 2030 - PÕLEVKIVIÕLI",'VK-Hooned-Soojus'!$C:$X,2+$C116,FALSE))</f>
        <v>5.1837209302325586</v>
      </c>
      <c r="AV116" s="209">
        <f>IF(AV$7="X",VLOOKUP(AV$10,'VK-Hooned-Soojus'!$C:$X,2+$C116,FALSE),0)+IF(AV$6="X",VLOOKUP(AV$10,'VK-Transport'!$C:$X,2+$B116,0))+IF(AV$8="X",VLOOKUP(AV$10,'VK-Elekter'!$C:$X,2+$D116,0))+IF(AV$9="X",VLOOKUP(AV$10,'VK-Biokütused'!$C:$U,2+$E116,0))+IF(AV$5="X",VLOOKUP(AV$10,'VK-Põlevkivi'!$C:$X,2+$G116,0))+IF(AV$4="X",VLOOKUP(AV$10,'VK-Võrgud'!$C:$X,2+$F116,0))</f>
        <v>2.1219844082566364</v>
      </c>
      <c r="AW116" s="209">
        <f>IF(AW$7="X",VLOOKUP(AW$10,'VK-Hooned-Soojus'!$C:$X,2+$C116,FALSE),0)+IF(AW$6="X",VLOOKUP(AW$10,'VK-Transport'!$C:$X,2+$B116,0))+IF(AW$8="X",VLOOKUP(AW$10,'VK-Elekter'!$C:$X,2+$D116,0))+IF(AW$9="X",VLOOKUP(AW$10,'VK-Biokütused'!$C:$U,2+$E116,0))+IF(AW$5="X",VLOOKUP(AW$10,'VK-Põlevkivi'!$C:$X,2+$G116,0))+IF(AW$4="X",VLOOKUP(AW$10,'VK-Võrgud'!$C:$X,2+$F116,0))</f>
        <v>0</v>
      </c>
      <c r="AX116" s="229">
        <f t="shared" si="62"/>
        <v>0</v>
      </c>
      <c r="AY116" s="229">
        <f t="shared" si="63"/>
        <v>2.1219844082566364</v>
      </c>
      <c r="AZ116" s="230">
        <f t="shared" si="83"/>
        <v>0.55443250385589748</v>
      </c>
      <c r="BA116" s="209">
        <f>IF(BA$7="X",VLOOKUP(BA$10,'VK-Hooned-Soojus'!$C:$X,2+$C116,FALSE),0)+IF(BA$6="X",VLOOKUP(BA$10,'VK-Transport'!$C:$X,2+$B116,0))+IF(BA$8="X",VLOOKUP(BA$10,'VK-Elekter'!$C:$X,2+$D116,0))+IF(BA$9="X",VLOOKUP(BA$10,'VK-Biokütused'!$C:$U,2+$E116,0))+IF(BA$5="X",VLOOKUP(BA$10,'VK-Põlevkivi'!$C:$X,2+$G116,0))+IF(BA$4="X",VLOOKUP(BA$10,'VK-Võrgud'!$C:$X,2+$F116,0))</f>
        <v>4.25</v>
      </c>
      <c r="BB116" s="209">
        <f>IF(BB$7="X",VLOOKUP(BB$10,'VK-Hooned-Soojus'!$C:$X,2+$C116,FALSE),0)+IF(BB$6="X",VLOOKUP(BB$10,'VK-Transport'!$C:$X,2+$B116,0))+IF(BB$8="X",VLOOKUP(BB$10,'VK-Elekter'!$C:$X,2+$D116,0))+IF(BB$9="X",VLOOKUP(BB$10,'VK-Biokütused'!$C:$U,2+$E116,0))+IF(BB$5="X",VLOOKUP(BB$10,'VK-Põlevkivi'!$C:$X,2+$G116,0))+IF(BB$4="X",VLOOKUP(BB$10,'VK-Võrgud'!$C:$X,2+$F116,0))</f>
        <v>2.93</v>
      </c>
      <c r="BC116" s="209">
        <f>IF(BC$7="X",VLOOKUP(BC$10,'VK-Hooned-Soojus'!$C:$X,2+$C116,FALSE),0)+IF(BC$6="X",VLOOKUP(BC$10,'VK-Transport'!$C:$X,2+$B116,0))+IF(BC$8="X",VLOOKUP(BC$10,'VK-Elekter'!$C:$X,2+$D116,0))+IF(BC$9="X",VLOOKUP(BC$10,'VK-Biokütused'!$C:$U,2+$E116,0))+IF(BC$5="X",VLOOKUP(BC$10,'VK-Põlevkivi'!$C:$X,2+$G116,0))+IF(BC$4="X",VLOOKUP(BC$10,'VK-Võrgud'!$C:$X,2+$F116,0))</f>
        <v>6.5993333333333322</v>
      </c>
      <c r="BD116" s="209">
        <f>IF(BD$7="X",VLOOKUP(BD$10,'VK-Hooned-Soojus'!$C:$X,2+$C116,FALSE),0)+IF(BD$6="X",VLOOKUP(BD$10,'VK-Transport'!$C:$X,2+$B116,0))+IF(BD$8="X",VLOOKUP(BD$10,'VK-Elekter'!$C:$X,2+$D116,0))+IF(BD$9="X",VLOOKUP(BD$10,'VK-Biokütused'!$C:$U,2+$E116,0))+IF(BD$5="X",VLOOKUP(BD$10,'VK-Põlevkivi'!$C:$X,2+$G116,0))+IF(BD$4="X",VLOOKUP(BD$10,'VK-Võrgud'!$C:$X,2+$F116,0))</f>
        <v>9.425416666666667</v>
      </c>
      <c r="BE116" s="230"/>
      <c r="BF116" s="229">
        <f t="shared" si="64"/>
        <v>0.36210496932840874</v>
      </c>
      <c r="BG116" s="209" t="e">
        <f>(IF(BG$7="X",VLOOKUP(BG$10,'VK-Hooned-Soojus'!$C:$X,2+$C116,FALSE),0)+IF(BG$6="X",VLOOKUP(BG$10,'VK-Transport'!$C:$X,2+$B116,0))+IF(BG$8="X",VLOOKUP(BG$10,'VK-Elekter'!$C:$X,2+$D116,0))+IF(BG$9="X",VLOOKUP(BG$10,'VK-Biokütused'!$C:$U,2+$E116,0))+IF(BG$5="X",VLOOKUP(BG$10,'VK-Põlevkivi'!$C:$X,2+$G116,0))+IF(BG$4="X",VLOOKUP(BG$10,'VK-Võrgud'!$C:$X,2+$F116,0)))/20</f>
        <v>#N/A</v>
      </c>
      <c r="BH116" s="209">
        <f>(IF(BH$7="X",VLOOKUP(BH$10,'VK-Hooned-Soojus'!$C:$X,2+$C116,FALSE),0)+IF(BH$6="X",VLOOKUP(BH$10,'VK-Transport'!$C:$X,2+$B116,0))+IF(BH$8="X",VLOOKUP(BH$10,'VK-Elekter'!$C:$X,2+$D116,0))+IF(BH$9="X",VLOOKUP(BH$10,'VK-Biokütused'!$C:$U,2+$E116,0))+IF(BH$5="X",VLOOKUP(BH$10,'VK-Põlevkivi'!$C:$X,2+$G116,0))+IF(BH$4="X",VLOOKUP(BH$10,'VK-Võrgud'!$C:$X,2+$F116,0)))/20</f>
        <v>45.08</v>
      </c>
      <c r="BI116" s="209">
        <f>(IF(BI$7="X",VLOOKUP(BI$10,'VK-Hooned-Soojus'!$C:$X,2+$C116,FALSE),0)+IF(BI$6="X",VLOOKUP(BI$10,'VK-Transport'!$C:$X,2+$B116,0))+IF(BI$8="X",VLOOKUP(BI$10,'VK-Elekter'!$C:$X,2+$D116,0))+IF(BI$9="X",VLOOKUP(BI$10,'VK-Biokütused'!$C:$U,2+$E116,0))+IF(BI$5="X",VLOOKUP(BI$10,'VK-Põlevkivi'!$C:$X,2+$G116,0))+IF(BI$4="X",VLOOKUP(BI$10,'VK-Võrgud'!$C:$X,2+$F116,0)))/16</f>
        <v>14.1875</v>
      </c>
      <c r="BJ116" s="209">
        <f>(IF(BJ$7="X",VLOOKUP(BJ$10,'VK-Hooned-Soojus'!$C:$X,2+$C116,FALSE),0)+IF(BJ$6="X",VLOOKUP(BJ$10,'VK-Transport'!$C:$X,2+$B116,0))+IF(BJ$8="X",VLOOKUP(BJ$10,'VK-Elekter'!$C:$X,2+$D116,0))+IF(BJ$9="X",VLOOKUP(BJ$10,'VK-Biokütused'!$C:$U,2+$E116,0))+IF(BJ$5="X",VLOOKUP(BJ$10,'VK-Põlevkivi'!$C:$X,2+$G116,0))+IF(BJ$4="X",VLOOKUP(BJ$10,'VK-Võrgud'!$C:$X,2+$F116,0)))/20</f>
        <v>3.91</v>
      </c>
      <c r="BK116" s="209"/>
      <c r="BL116" s="209"/>
      <c r="BM116" s="209"/>
      <c r="BN116" s="209" t="e">
        <f>(IF(BN$7="X",VLOOKUP(BN$10,'VK-Hooned-Soojus'!$C:$X,2+$C116,FALSE),0)+IF(BN$6="X",VLOOKUP(BN$10,'VK-Transport'!$C:$X,2+$B116,0))+IF(BN$8="X",VLOOKUP(BN$10,'VK-Elekter'!$C:$X,2+$D116,0))+IF(BN$9="X",VLOOKUP(BN$10,'VK-Biokütused'!$C:$U,2+$E116,0))+IF(BN$5="X",VLOOKUP(BN$10,'VK-Põlevkivi'!$C:$X,2+$G116,0))+IF(BN$4="X",VLOOKUP(BN$10,'VK-Võrgud'!$C:$X,2+$F116,0)))/16</f>
        <v>#N/A</v>
      </c>
      <c r="BO116" s="209">
        <f>(IF(BO$7="X",VLOOKUP(BO$10,'VK-Hooned-Soojus'!$C:$X,2+$C116,FALSE),0)+IF(BO$6="X",VLOOKUP(BO$10,'VK-Transport'!$C:$X,2+$B116,0))+IF(BO$8="X",VLOOKUP(BO$10,'VK-Elekter'!$C:$X,2+$D116,0))+IF(BO$9="X",VLOOKUP(BO$10,'VK-Biokütused'!$C:$U,2+$E116,0))+IF(BO$5="X",VLOOKUP(BO$10,'VK-Põlevkivi'!$C:$X,2+$G116,0))+IF(BO$4="X",VLOOKUP(BO$10,'VK-Võrgud'!$C:$X,2+$F116,0)))/16</f>
        <v>322.79374999999999</v>
      </c>
      <c r="BP116" s="209"/>
      <c r="BQ116" s="209">
        <f>(IF(BQ$7="X",VLOOKUP(BQ$10,'VK-Hooned-Soojus'!$C:$X,2+$C116,FALSE),0)+IF(BQ$6="X",VLOOKUP(BQ$10,'VK-Transport'!$C:$X,2+$B116,0))+IF(BQ$8="X",VLOOKUP(BQ$10,'VK-Elekter'!$C:$X,2+$D116,0))+IF(BQ$9="X",VLOOKUP(BQ$10,'VK-Biokütused'!$C:$U,2+$E116,0))+IF(BQ$5="X",VLOOKUP(BQ$10,'VK-Põlevkivi'!$C:$X,2+$G116,0))+IF(BQ$4="X",VLOOKUP(BQ$10,'VK-Võrgud'!$C:$X,2+$F116,0)))/16</f>
        <v>233.20625000000001</v>
      </c>
      <c r="BR116" s="209">
        <f>(IF(BR$7="X",VLOOKUP(BR$10,'VK-Hooned-Soojus'!$C:$X,2+$C116,FALSE),0)+IF(BR$6="X",VLOOKUP(BR$10,'VK-Transport'!$C:$X,2+$B116,0))+IF(BR$8="X",VLOOKUP(BR$10,'VK-Elekter'!$C:$X,2+$D116,0))+IF(BR$9="X",VLOOKUP(BR$10,'VK-Biokütused'!$C:$U,2+$E116,0))+IF(BR$5="X",VLOOKUP(BR$10,'VK-Põlevkivi'!$C:$X,2+$G116,0))+IF(BR$4="X",VLOOKUP(BR$10,'VK-Võrgud'!$C:$X,2+$F116,0)))/16</f>
        <v>74.512500000000003</v>
      </c>
      <c r="BS116" s="209">
        <f>(IF(BS$7="X",VLOOKUP(BS$10,'VK-Hooned-Soojus'!$C:$X,2+$C116,FALSE),0)+IF(BS$6="X",VLOOKUP(BS$10,'VK-Transport'!$C:$X,2+$B116,0))+IF(BS$8="X",VLOOKUP(BS$10,'VK-Elekter'!$C:$X,2+$D116,0))+IF(BS$9="X",VLOOKUP(BS$10,'VK-Biokütused'!$C:$U,2+$E116,0))+IF(BS$5="X",VLOOKUP(BS$10,'VK-Põlevkivi'!$C:$X,2+$G116,0))+IF(BS$4="X",VLOOKUP(BS$10,'VK-Võrgud'!$C:$X,2+$F116,0)))/16</f>
        <v>-21.475000000000001</v>
      </c>
      <c r="BT116" s="209"/>
      <c r="BU116" s="209"/>
      <c r="BV116" s="209">
        <f>(IF(BV$7="X",VLOOKUP(BV$10,'VK-Hooned-Soojus'!$C:$X,2+$C116,FALSE),0)+IF(BV$6="X",VLOOKUP(BV$10,'VK-Transport'!$C:$X,2+$B116,0))+IF(BV$8="X",VLOOKUP(BV$10,'VK-Elekter'!$C:$X,2+$D116,0))+IF(BV$9="X",VLOOKUP(BV$10,'VK-Biokütused'!$C:$U,2+$E116,0))+IF(BV$5="X",VLOOKUP(BV$10,'VK-Põlevkivi'!$C:$X,2+$G116,0))+IF(BV$4="X",VLOOKUP(BV$10,'VK-Võrgud'!$C:$X,2+$F116,0)))/16</f>
        <v>0</v>
      </c>
      <c r="BW116" s="209"/>
      <c r="BX116" s="209">
        <f>(IF(BX$7="X",VLOOKUP(BX$10,'VK-Hooned-Soojus'!$C:$X,2+$C116,FALSE),0)+IF(BX$6="X",VLOOKUP(BX$10,'VK-Transport'!$C:$X,2+$B116,0))+IF(BX$8="X",VLOOKUP(BX$10,'VK-Elekter'!$C:$X,2+$D116,0))+IF(BX$9="X",VLOOKUP(BX$10,'VK-Biokütused'!$C:$U,2+$E116,0))+IF(BX$5="X",VLOOKUP(BX$10,'VK-Põlevkivi'!$C:$X,2+$G116,0))+IF(BX$4="X",VLOOKUP(BX$10,'VK-Võrgud'!$C:$X,2+$F116,0)))/16</f>
        <v>-99.6875</v>
      </c>
      <c r="BY116" s="209"/>
      <c r="BZ116" s="209"/>
      <c r="CA116" s="209" t="e">
        <f>(IF(CA$7="X",VLOOKUP(CA$10,'VK-Hooned-Soojus'!$C:$X,2+$C116,FALSE),0)+IF(CA$6="X",VLOOKUP(CA$10,'VK-Transport'!$C:$X,2+$B116,0))+IF(CA$8="X",VLOOKUP(CA$10,'VK-Elekter'!$C:$X,2+$D116,0))+IF(CA$9="X",VLOOKUP(CA$10,'VK-Biokütused'!$C:$U,2+$E116,0))+IF(CA$5="X",VLOOKUP(CA$10,'VK-Põlevkivi'!$C:$X,2+$G116,0))+IF(CA$4="X",VLOOKUP(CA$10,'VK-Võrgud'!$C:$X,2+$F116,0)))/16</f>
        <v>#N/A</v>
      </c>
      <c r="CB116" s="209">
        <f>(IF(CB$7="X",VLOOKUP(CB$10,'VK-Hooned-Soojus'!$C:$X,2+$C116,FALSE),0)+IF(CB$6="X",VLOOKUP(CB$10,'VK-Transport'!$C:$X,2+$B116,0))+IF(CB$8="X",VLOOKUP(CB$10,'VK-Elekter'!$C:$X,2+$D116,0))+IF(CB$9="X",VLOOKUP(CB$10,'VK-Biokütused'!$C:$U,2+$E116,0))+IF(CB$5="X",VLOOKUP(CB$10,'VK-Põlevkivi'!$C:$X,2+$G116,0))+IF(CB$4="X",VLOOKUP(CB$10,'VK-Võrgud'!$C:$X,2+$F116,0)))/16</f>
        <v>0</v>
      </c>
      <c r="CC116" s="209">
        <f>(IF(CC$7="X",VLOOKUP(CC$10,'VK-Hooned-Soojus'!$C:$X,2+$C116,FALSE),0)+IF(CC$6="X",VLOOKUP(CC$10,'VK-Transport'!$C:$X,2+$B116,0))+IF(CC$8="X",VLOOKUP(CC$10,'VK-Elekter'!$C:$X,2+$D116,0))+IF(CC$9="X",VLOOKUP(CC$10,'VK-Biokütused'!$C:$U,2+$E116,0))+IF(CC$5="X",VLOOKUP(CC$10,'VK-Põlevkivi'!$C:$X,2+$G116,0))+IF(CC$4="X",VLOOKUP(CC$10,'VK-Võrgud'!$C:$X,2+$F116,0)))/16</f>
        <v>0</v>
      </c>
      <c r="CD116" s="209"/>
      <c r="CE116" s="209">
        <f>(IF(CE$7="X",VLOOKUP(CE$10,'VK-Hooned-Soojus'!$C:$X,2+$C116,FALSE),0)+IF(CE$6="X",VLOOKUP(CE$10,'VK-Transport'!$C:$X,2+$B116,0))+IF(CE$8="X",VLOOKUP(CE$10,'VK-Elekter'!$C:$X,2+$D116,0))+IF(CE$9="X",VLOOKUP(CE$10,'VK-Biokütused'!$C:$U,2+$E116,0))+IF(CE$5="X",VLOOKUP(CE$10,'VK-Põlevkivi'!$C:$X,2+$G116,0))+IF(CE$4="X",VLOOKUP(CE$10,'VK-Võrgud'!$C:$X,2+$F116,0)))/16</f>
        <v>24.15625</v>
      </c>
      <c r="CF116" s="209"/>
      <c r="CG116" s="209">
        <f>(IF(CG$7="X",VLOOKUP(CG$10,'VK-Hooned-Soojus'!$C:$X,2+$C116,FALSE),0)+IF(CG$6="X",VLOOKUP(CG$10,'VK-Transport'!$C:$X,2+$B116,0))+IF(CG$8="X",VLOOKUP(CG$10,'VK-Elekter'!$C:$X,2+$D116,0))+IF(CG$9="X",VLOOKUP(CG$10,'VK-Biokütused'!$C:$U,2+$E116,0))+IF(CG$5="X",VLOOKUP(CG$10,'VK-Põlevkivi'!$C:$X,2+$G116,0))+IF(CG$4="X",VLOOKUP(CG$10,'VK-Võrgud'!$C:$X,2+$F116,0)))/16</f>
        <v>0</v>
      </c>
      <c r="CH116" s="209">
        <f>(IF(CH$7="X",VLOOKUP(CH$10,'VK-Hooned-Soojus'!$C:$X,2+$C116,FALSE),0)+IF(CH$6="X",VLOOKUP(CH$10,'VK-Transport'!$C:$X,2+$B116,0))+IF(CH$8="X",VLOOKUP(CH$10,'VK-Elekter'!$C:$X,2+$D116,0))+IF(CH$9="X",VLOOKUP(CH$10,'VK-Biokütused'!$C:$U,2+$E116,0))+IF(CH$5="X",VLOOKUP(CH$10,'VK-Põlevkivi'!$C:$X,2+$G116,0))+IF(CH$4="X",VLOOKUP(CH$10,'VK-Võrgud'!$C:$X,2+$F116,0)))/20*0.21</f>
        <v>11.225549999999998</v>
      </c>
      <c r="CI116" s="209"/>
      <c r="CJ116" s="209">
        <f>(IF(CJ$7="X",VLOOKUP(CJ$10,'VK-Hooned-Soojus'!$C:$X,2+$C116,FALSE),0)+IF(CJ$6="X",VLOOKUP(CJ$10,'VK-Transport'!$C:$X,2+$B116,0))+IF(CJ$8="X",VLOOKUP(CJ$10,'VK-Elekter'!$C:$X,2+$D116,0))+IF(CJ$9="X",VLOOKUP(CJ$10,'VK-Biokütused'!$C:$U,2+$E116,0))+IF(CJ$5="X",VLOOKUP(CJ$10,'VK-Põlevkivi'!$C:$X,2+$G116,0))+IF(CJ$4="X",VLOOKUP(CJ$10,'VK-Võrgud'!$C:$X,2+$F116,0)))/1000</f>
        <v>17.161999999999999</v>
      </c>
      <c r="CK116" s="209">
        <f>(IF(CK$7="X",VLOOKUP(CK$10,'VK-Hooned-Soojus'!$C:$X,2+$C116,FALSE),0)+IF(CK$6="X",VLOOKUP(CK$10,'VK-Transport'!$C:$X,2+$B116,0))+IF(CK$8="X",VLOOKUP(CK$10,'VK-Elekter'!$C:$X,2+$D116,0))+IF(CK$9="X",VLOOKUP(CK$10,'VK-Biokütused'!$C:$U,2+$E116,0))+IF(CK$5="X",VLOOKUP(CK$10,'VK-Põlevkivi'!$C:$X,2+$G116,0))+IF(CK$4="X",VLOOKUP(CK$10,'VK-Võrgud'!$C:$X,2+$F116,0)))/1000</f>
        <v>11.870496548433506</v>
      </c>
      <c r="CL116" s="235">
        <f>(IF(CL$7="X",VLOOKUP(CL$10,'VK-Hooned-Soojus'!$C:$X,2+$C116,FALSE),0)+IF(CL$6="X",VLOOKUP(CL$10,'VK-Transport'!$C:$X,2+$B116,0))+IF(CL$8="X",VLOOKUP(CL$10,'VK-Elekter'!$C:$X,2+$D116,0))+IF(CL$9="X",VLOOKUP(CL$10,'VK-Biokütused'!$C:$U,2+$E116,0)))/1000</f>
        <v>7.4946303115986801</v>
      </c>
      <c r="CM116" s="209">
        <f>(IF(CM$7="X",VLOOKUP(CM$10,'VK-Hooned-Soojus'!$C:$X,2+$C116,FALSE),0)+IF(CM$6="X",VLOOKUP(CM$10,'VK-Transport'!$C:$X,2+$B116,0))+IF(CM$8="X",VLOOKUP(CM$10,'VK-Elekter'!$C:$X,2+$D116,0))+IF(CM$9="X",VLOOKUP(CM$10,'VK-Biokütused'!$C:$U,2+$E116,0))+IF(CM$5="X",VLOOKUP(CM$10,'VK-Põlevkivi'!$C:$X,2+$G116,0))+IF(CM$4="X",VLOOKUP(CM$10,'VK-Võrgud'!$C:$X,2+$F116,0)))/1000</f>
        <v>7.7469999999999999</v>
      </c>
      <c r="CN116" s="209">
        <f>(IF(CN$7="X",VLOOKUP(CN$10,'VK-Hooned-Soojus'!$C:$X,2+$C116,FALSE),0)+IF(CN$6="X",VLOOKUP(CN$10,'VK-Transport'!$C:$X,2+$B116,0))+IF(CN$8="X",VLOOKUP(CN$10,'VK-Elekter'!$C:$X,2+$D116,0))+IF(CN$9="X",VLOOKUP(CN$10,'VK-Biokütused'!$C:$U,2+$E116,0))+IF(CN$5="X",VLOOKUP(CN$10,'VK-Põlevkivi'!$C:$X,2+$G116,0))+IF(CN$4="X",VLOOKUP(CN$10,'VK-Võrgud'!$C:$X,2+$F116,0)))/1000</f>
        <v>2.8759999999999999</v>
      </c>
      <c r="CO116" s="209">
        <f>(IF(CO$7="X",VLOOKUP(CO$10,'VK-Hooned-Soojus'!$C:$X,2+$C116,FALSE),0)+IF(CO$6="X",VLOOKUP(CO$10,'VK-Transport'!$C:$X,2+$B116,0))+IF(CO$8="X",VLOOKUP(CO$10,'VK-Elekter'!$C:$X,2+$D116,0))+IF(CO$9="X",VLOOKUP(CO$10,'VK-Biokütused'!$C:$U,2+$E116,0))+IF(CO$5="X",VLOOKUP(CO$10,'VK-Põlevkivi'!$C:$X,2+$G116,0))+IF(CO$4="X",VLOOKUP(CO$10,'VK-Võrgud'!$C:$X,2+$F116,0)))/1000</f>
        <v>23.737362337356995</v>
      </c>
      <c r="CP116" s="209">
        <f>(IF(CP$7="X",VLOOKUP(CP$10,'VK-Hooned-Soojus'!$C:$X,2+$C116,FALSE),0)+IF(CP$6="X",VLOOKUP(CP$10,'VK-Transport'!$C:$X,2+$B116,0))+IF(CP$8="X",VLOOKUP(CP$10,'VK-Elekter'!$C:$X,2+$D116,0))+IF(CP$9="X",VLOOKUP(CP$10,'VK-Biokütused'!$C:$U,2+$E116,0))+IF(CP$5="X",VLOOKUP(CP$10,'VK-Põlevkivi'!$C:$X,2+$G116,0))+IF(CP$4="X",VLOOKUP(CP$10,'VK-Võrgud'!$C:$X,2+$F116,0)))/1000</f>
        <v>13.441392120693662</v>
      </c>
      <c r="CQ116" s="235">
        <f>(IF(CQ$7="X",VLOOKUP(CQ$10,'VK-Hooned-Soojus'!$C:$X,2+$C116,FALSE),0)+IF(CQ$6="X",VLOOKUP(CQ$10,'VK-Transport'!$C:$X,2+$B116,0))+IF(CQ$8="X",VLOOKUP(CQ$10,'VK-Elekter'!$C:$X,2+$D116,0))+IF(CQ$9="X",VLOOKUP(CQ$10,'VK-Biokütused'!$C:$U,2+$E116,0)))/1000</f>
        <v>10.298919</v>
      </c>
      <c r="CR116" s="209">
        <f>(IF(CR$7="X",VLOOKUP(CR$10,'VK-Hooned-Soojus'!$C:$X,2+$C116,FALSE),0)+IF(CR$6="X",VLOOKUP(CR$10,'VK-Transport'!$C:$X,2+$B116,0))+IF(CR$8="X",VLOOKUP(CR$10,'VK-Elekter'!$C:$X,2+$D116,0))+IF(CR$9="X",VLOOKUP(CR$10,'VK-Biokütused'!$C:$U,2+$E116,0))+IF(CR$5="X",VLOOKUP(CR$10,'VK-Põlevkivi'!$C:$X,2+$G116,0))+IF(CR$4="X",VLOOKUP(CR$10,'VK-Võrgud'!$C:$X,2+$F116,0)))/1000</f>
        <v>7.8547518373996894</v>
      </c>
      <c r="CS116" s="209">
        <f>(IF(CS$7="X",VLOOKUP(CS$10,'VK-Hooned-Soojus'!$C:$X,2+$C116,FALSE),0)+IF(CS$6="X",VLOOKUP(CS$10,'VK-Transport'!$C:$X,2+$B116,0))+IF(CS$8="X",VLOOKUP(CS$10,'VK-Elekter'!$C:$X,2+$D116,0))+IF(CS$9="X",VLOOKUP(CS$10,'VK-Biokütused'!$C:$U,2+$E116,0))+IF(CS$5="X",VLOOKUP(CS$10,'VK-Põlevkivi'!$C:$X,2+$G116,0))+IF(CS$4="X",VLOOKUP(CS$10,'VK-Võrgud'!$C:$X,2+$F116,0)))/1000</f>
        <v>3.8186495098622379</v>
      </c>
      <c r="CT116" s="209">
        <f>IF(CT$7="X",VLOOKUP(CT$10,'VK-Hooned-Soojus'!$C:$X,2+$C116,FALSE),0)+IF(CT$6="X",VLOOKUP(CT$10,'VK-Transport'!$C:$X,2+$B116,0))+IF(CT$8="X",VLOOKUP(CT$10,'VK-Elekter'!$C:$X,2+$D116,0))+IF(CT$9="X",VLOOKUP(CT$10,'VK-Biokütused'!$C:$U,2+$E116,0))+IF(CT$5="X",VLOOKUP(CT$10,'VK-Põlevkivi'!$C:$X,2+$G116,0))+IF(CT$4="X",VLOOKUP(CT$10,'VK-Võrgud'!$C:$X,2+$F116,0))</f>
        <v>90</v>
      </c>
      <c r="CU116" s="209">
        <f>IF(CU$7="X",VLOOKUP(CU$10,'VK-Hooned-Soojus'!$C:$X,2+$C116,FALSE),0)+IF(CU$6="X",VLOOKUP(CU$10,'VK-Transport'!$C:$X,2+$B116,0))+IF(CU$8="X",VLOOKUP(CU$10,'VK-Elekter'!$C:$X,2+$D116,0))+IF(CU$9="X",VLOOKUP(CU$10,'VK-Biokütused'!$C:$U,2+$E116,0))+IF(CU$5="X",VLOOKUP(CU$10,'VK-Põlevkivi'!$C:$X,2+$G116,0))+IF(CU$4="X",VLOOKUP(CU$10,'VK-Võrgud'!$C:$X,2+$F116,0))</f>
        <v>0.72088353413654627</v>
      </c>
      <c r="CV116" s="209">
        <f t="shared" si="84"/>
        <v>1</v>
      </c>
      <c r="CW116" s="209">
        <f>(IF(CW$7="X",VLOOKUP(CW$10,'VK-Hooned-Soojus'!$C:$X,2+$C116,FALSE),0)+IF(CW$6="X",VLOOKUP(CW$10,'VK-Transport'!$C:$X,2+$B116,0))+IF(CW$8="X",VLOOKUP(CW$10,'VK-Elekter'!$C:$X,2+$D116,0))+IF(CW$9="X",VLOOKUP(CW$10,'VK-Biokütused'!$C:$U,2+$E116,0))+IF(CW$5="X",VLOOKUP(CW$10,'VK-Põlevkivi'!$C:$X,2+$G116,0))+IF(CW$4="X",VLOOKUP(CW$10,'VK-Võrgud'!$C:$X,2+$F116,0)))/16</f>
        <v>0</v>
      </c>
      <c r="CY116" s="209">
        <f>(IF(CY$7="X",VLOOKUP(CY$10,'VK-Hooned-Soojus'!$C:$X,2+$C116,FALSE),0)+IF(CY$6="X",VLOOKUP(CY$10,'VK-Transport'!$C:$X,2+$B116,0))+IF(CY$8="X",VLOOKUP(CY$10,'VK-Elekter'!$C:$X,2+$D116,0))+IF(CY$9="X",VLOOKUP(CY$10,'VK-Biokütused'!$C:$U,2+$E116,0))+IF(CY$5="X",VLOOKUP(CY$10,'VK-Põlevkivi'!$C:$X,2+$G116,0))+IF(CY$4="X",VLOOKUP(CY$10,'VK-Võrgud'!$C:$X,2+$F116,0)))/1000</f>
        <v>9.8089999999999993</v>
      </c>
      <c r="CZ116" s="209">
        <f>(IF(CZ$7="X",VLOOKUP(CZ$10,'VK-Hooned-Soojus'!$C:$X,2+$C116,FALSE),0)+IF(CZ$6="X",VLOOKUP(CZ$10,'VK-Transport'!$C:$X,2+$B116,0))+IF(CZ$8="X",VLOOKUP(CZ$10,'VK-Elekter'!$C:$X,2+$D116,0))+IF(CZ$9="X",VLOOKUP(CZ$10,'VK-Biokütused'!$C:$U,2+$E116,0))+IF(CZ$5="X",VLOOKUP(CZ$10,'VK-Põlevkivi'!$C:$X,2+$G116,0))+IF(CZ$4="X",VLOOKUP(CZ$10,'VK-Võrgud'!$C:$X,2+$F116,0)))</f>
        <v>66</v>
      </c>
      <c r="DA116" s="209">
        <f>(IF(DA$7="X",VLOOKUP(DA$10,'VK-Hooned-Soojus'!$C:$X,2+$C116,FALSE),0)+IF(DA$6="X",VLOOKUP(DA$10,'VK-Transport'!$C:$X,2+$B116,0))+IF(DA$8="X",VLOOKUP(DA$10,'VK-Elekter'!$C:$X,2+$D116,0))+IF(DA$9="X",VLOOKUP(DA$10,'VK-Biokütused'!$C:$U,2+$E116,0))+IF(DA$5="X",VLOOKUP(DA$10,'VK-Põlevkivi'!$C:$X,2+$G116,0))+IF(DA$4="X",VLOOKUP(DA$10,'VK-Võrgud'!$C:$X,2+$F116,0)))/1000</f>
        <v>12.872999999999999</v>
      </c>
      <c r="DB116" s="209">
        <f>(IF(DB$7="X",VLOOKUP(DB$10,'VK-Hooned-Soojus'!$C:$X,2+$C116,FALSE),0)+IF(DB$6="X",VLOOKUP(DB$10,'VK-Transport'!$C:$X,2+$B116,0))+IF(DB$8="X",VLOOKUP(DB$10,'VK-Elekter'!$C:$X,2+$D116,0))+IF(DB$9="X",VLOOKUP(DB$10,'VK-Biokütused'!$C:$U,2+$E116,0))+IF(DB$5="X",VLOOKUP(DB$10,'VK-Põlevkivi'!$C:$X,2+$G116,0))+IF(DB$4="X",VLOOKUP(DB$10,'VK-Võrgud'!$C:$X,2+$F116,0)))/1000/3.6</f>
        <v>58.217222222222219</v>
      </c>
      <c r="DC116" s="209">
        <f>(IF(DC$7="X",VLOOKUP(DC$10,'VK-Hooned-Soojus'!$C:$X,2+$C116,FALSE),0)+IF(DC$6="X",VLOOKUP(DC$10,'VK-Transport'!$C:$X,2+$B116,0))+IF(DC$8="X",VLOOKUP(DC$10,'VK-Elekter'!$C:$X,2+$D116,0))+IF(DC$9="X",VLOOKUP(DC$10,'VK-Biokütused'!$C:$U,2+$E116,0))+IF(DC$5="X",VLOOKUP(DC$10,'VK-Põlevkivi'!$C:$X,2+$G116,0))+IF(DC$4="X",VLOOKUP(DC$10,'VK-Võrgud'!$C:$X,2+$F116,0)))/1000000</f>
        <v>4.6579420000000002</v>
      </c>
      <c r="DD116" s="209"/>
      <c r="DE116" s="88">
        <f>VLOOKUP(Tulemused!$BN$12,data!M$7:N$12,2,FALSE)-SUM(L116,M116)</f>
        <v>-5.2509373024363981E-2</v>
      </c>
      <c r="DF116" s="209" t="str">
        <f>IF(AZ116&lt;=VLOOKUP(Tulemused!$BN$15,data!$E$36:$F$39,2,FALSE),"JAH","EI")</f>
        <v>JAH</v>
      </c>
      <c r="DG116" s="209"/>
      <c r="DH116" s="209">
        <f t="shared" si="85"/>
        <v>6.28</v>
      </c>
      <c r="DI116" s="231" t="str">
        <f t="shared" si="65"/>
        <v>EI</v>
      </c>
      <c r="DK116" s="232">
        <f t="shared" si="86"/>
        <v>-994.65113971395272</v>
      </c>
      <c r="DM116" s="233">
        <f t="shared" si="87"/>
        <v>-997.14674161777452</v>
      </c>
      <c r="DN116" s="87">
        <f t="array" ref="DN116">INDEX($A$11:$A$145, SMALL(IF(DM116=$DK$11:$DK$145, MATCH(ROW($DK$11:$DK$145), ROW($DK$11:$DK$145))), SUM(--(DM116=$DM$11:DM116))))</f>
        <v>38</v>
      </c>
      <c r="DP116" s="87" t="e">
        <f t="shared" ca="1" si="66"/>
        <v>#N/A</v>
      </c>
      <c r="DQ116" s="87" t="e">
        <f t="shared" ca="1" si="67"/>
        <v>#N/A</v>
      </c>
      <c r="DR116" s="87">
        <f t="shared" ca="1" si="68"/>
        <v>0</v>
      </c>
      <c r="DS116" s="87" t="e">
        <f t="shared" ca="1" si="69"/>
        <v>#N/A</v>
      </c>
      <c r="DT116" s="87">
        <f t="shared" ca="1" si="70"/>
        <v>0</v>
      </c>
      <c r="DU116" s="87" t="e">
        <f t="shared" ca="1" si="71"/>
        <v>#N/A</v>
      </c>
      <c r="DV116" s="87" t="e">
        <f t="shared" ca="1" si="72"/>
        <v>#N/A</v>
      </c>
      <c r="DW116" s="87">
        <f t="shared" ca="1" si="73"/>
        <v>0</v>
      </c>
      <c r="DX116" s="87">
        <f t="shared" ca="1" si="74"/>
        <v>0</v>
      </c>
      <c r="DZ116" s="87">
        <f t="shared" ca="1" si="82"/>
        <v>0</v>
      </c>
      <c r="EB116" s="87">
        <f t="shared" ca="1" si="75"/>
        <v>0</v>
      </c>
      <c r="EC116" s="87" t="e">
        <f t="shared" ca="1" si="76"/>
        <v>#N/A</v>
      </c>
      <c r="EE116" s="228">
        <f>(IF(EE$7="X",VLOOKUP(EE$10,'VK-Hooned-Soojus'!$C:$X,2+$C116,FALSE),0)+IF(EE$6="X",VLOOKUP(EE$10,'VK-Transport'!$C:$X,2+$B116,0))+IF(EE$8="X",VLOOKUP(EE$10,'VK-Elekter'!$C:$X,2+$D116,0))+IF(EE$9="X",VLOOKUP(EE$10,'VK-Biokütused'!$C:$U,2+$E116,0))+IF(EE$5="X",VLOOKUP(EE$10,'VK-Põlevkivi'!$C:$X,2+$G116,0))+IF(EE$4="X",VLOOKUP(EE$10,'VK-Võrgud'!$C:$X,2+$F116,0)))</f>
        <v>4959.5320813453691</v>
      </c>
      <c r="EF116" s="235">
        <f>(IF(EF$7="X",VLOOKUP(EF$10,'VK-Hooned-Soojus'!$C:$X,2+$C116,FALSE),0)+IF(EF$6="X",VLOOKUP(EF$10,'VK-Transport'!$C:$X,2+$B116,0))+IF(EF$8="X",VLOOKUP(EF$10,'VK-Elekter'!$C:$X,2+$D116,0))+IF(EF$9="X",VLOOKUP(EF$10,'VK-Biokütused'!$C:$U,2+$E116,0)))/1000</f>
        <v>2.9818849906373197</v>
      </c>
      <c r="EG116" s="209">
        <f>(IF(EG$7="X",VLOOKUP(EG$10,'VK-Hooned-Soojus'!$C:$X,2+$C116,FALSE),0)+IF(EG$6="X",VLOOKUP(EG$10,'VK-Transport'!$C:$X,2+$B116,0))+IF(EG$8="X",VLOOKUP(EG$10,'VK-Elekter'!$C:$X,2+$D116,0))+IF(EG$9="X",VLOOKUP(EG$10,'VK-Biokütused'!$C:$U,2+$E116,0))+IF(EG$5="X",VLOOKUP(EG$10,'VK-Põlevkivi'!$C:$X,2+$G116,0))+IF(EG$4="X",VLOOKUP(EG$10,'VK-Võrgud'!$C:$X,2+$F116,0)))</f>
        <v>0.81</v>
      </c>
      <c r="EH116" s="209">
        <f>(IF(EH$7="X",VLOOKUP(EH$10,'VK-Hooned-Soojus'!$C:$X,2+$C116,FALSE),0)+IF(EH$6="X",VLOOKUP(EH$10,'VK-Transport'!$C:$X,2+$B116,0))+IF(EH$8="X",VLOOKUP(EH$10,'VK-Elekter'!$C:$X,2+$D116,0))+IF(EH$9="X",VLOOKUP(EH$10,'VK-Biokütused'!$C:$U,2+$E116,0)))+AR116+AS116+AU116+AX116</f>
        <v>50.286621447028423</v>
      </c>
      <c r="EI116" s="320">
        <f t="shared" si="88"/>
        <v>45.102900516795863</v>
      </c>
      <c r="EJ116" s="322">
        <f t="shared" si="89"/>
        <v>2.4608217929567841E-2</v>
      </c>
      <c r="EK116" s="323">
        <f t="shared" si="77"/>
        <v>0.43983091445120043</v>
      </c>
      <c r="EM116" s="209"/>
      <c r="EN116" s="209">
        <f t="shared" ca="1" si="90"/>
        <v>0</v>
      </c>
      <c r="EO116" s="209"/>
      <c r="EP116" s="234"/>
      <c r="EQ116" s="209">
        <f>(IF(EQ$7="X",VLOOKUP(EQ$10,'VK-Hooned-Soojus'!$C:$X,2+$C116,FALSE),0)+IF(EQ$6="X",VLOOKUP(EQ$10,'VK-Transport'!$C:$X,2+$B116,0))+IF(EQ$8="X",VLOOKUP(EQ$10,'VK-Elekter'!$C:$X,2+$D116,0))+IF(EQ$9="X",VLOOKUP(EQ$10,'VK-Biokütused'!$C:$U,2+$E116,0))+IF(EQ$5="X",VLOOKUP(EQ$10,'VK-Põlevkivi'!$C:$X,2+$G116,0))+IF(EQ$4="X",VLOOKUP(EQ$10,'VK-Võrgud'!$C:$X,2+$F116,0)))/1000</f>
        <v>0.21099999999999999</v>
      </c>
      <c r="ER116" s="209">
        <f>(IF(ER$7="X",VLOOKUP(ER$10,'VK-Hooned-Soojus'!$C:$X,2+$C116,FALSE),0)+IF(ER$6="X",VLOOKUP(ER$10,'VK-Transport'!$C:$X,2+$B116,0))+IF(ER$8="X",VLOOKUP(ER$10,'VK-Elekter'!$C:$X,2+$D116,0))+IF(ER$9="X",VLOOKUP(ER$10,'VK-Biokütused'!$C:$U,2+$E116,0))+IF(ER$5="X",VLOOKUP(ER$10,'VK-Põlevkivi'!$C:$X,2+$G116,0))+IF(ER$4="X",VLOOKUP(ER$10,'VK-Võrgud'!$C:$X,2+$F116,0)))</f>
        <v>0.76300000000000001</v>
      </c>
      <c r="ES116" s="209">
        <f>(IF(ES$7="X",VLOOKUP(ES$10,'VK-Hooned-Soojus'!$C:$X,2+$C116,FALSE),0)+IF(ES$6="X",VLOOKUP(ES$10,'VK-Transport'!$C:$X,2+$B116,0))+IF(ES$8="X",VLOOKUP(ES$10,'VK-Elekter'!$C:$X,2+$D116,0))+IF(ES$9="X",VLOOKUP(ES$10,'VK-Biokütused'!$C:$U,2+$E116,0))+IF(ES$5="X",VLOOKUP(ES$10,'VK-Põlevkivi'!$C:$X,2+$G116,0))+IF(ES$4="X",VLOOKUP(ES$10,'VK-Võrgud'!$C:$X,2+$F116,0)))</f>
        <v>6.28</v>
      </c>
      <c r="ET116" s="209"/>
      <c r="EU116" s="209"/>
      <c r="EV116" s="87">
        <f>'KSH järjestus'!AS109</f>
        <v>1106</v>
      </c>
      <c r="EZ116" s="237">
        <f t="shared" si="91"/>
        <v>0.27911646586345373</v>
      </c>
      <c r="FA116" s="209">
        <f>IF(FA$7="X",VLOOKUP(FA$10,'VK-Hooned-Soojus'!$C:$X,2+$C116,FALSE),0)+IF(FA$6="X",VLOOKUP(FA$10,'VK-Transport'!$C:$X,2+$B116,0))+IF(FA$8="X",VLOOKUP(FA$10,'VK-Elekter'!$C:$X,2+$D116,0))+IF(FA$9="X",VLOOKUP(FA$10,'VK-Biokütused'!$C:$U,2+$E116,0))+IF(FA$5="X",VLOOKUP(FA$10,'VK-Põlevkivi'!$C:$X,2+$G116,0))+IF(FA$4="X",VLOOKUP(FA$10,'VK-Võrgud'!$C:$X,2+$F116,0))</f>
        <v>2702.9189999999999</v>
      </c>
      <c r="FB116" s="279">
        <f>(IF(FB$7="X",VLOOKUP(FB$10,'VK-Hooned-Soojus'!$C:$X,2+$C116,FALSE),0)+IF(FB$6="X",VLOOKUP(FB$10,'VK-Transport'!$C:$X,2+$B116,0))+IF(FB$8="X",VLOOKUP(FB$10,'VK-Elekter'!$C:$X,2+$D116,0))+IF(FB$9="X",VLOOKUP(FB$10,'VK-Biokütused'!$C:$U,2+$E116,0))+IF(FB$5="X",VLOOKUP(FB$10,'VK-Põlevkivi'!$C:$X,2+$G116,0))+IF(FB$4="X",VLOOKUP(FB$10,'VK-Võrgud'!$C:$X,2+$F116,0)))/16</f>
        <v>301.79908426434832</v>
      </c>
      <c r="FC116" s="209">
        <f>IF(FC$7="X",VLOOKUP(FC$10,'VK-Hooned-Soojus'!$C:$X,2+$C116,FALSE),0)+IF(FC$6="X",VLOOKUP(FC$10,'VK-Transport'!$C:$X,2+$B116,0))+IF(FC$8="X",VLOOKUP(FC$10,'VK-Elekter'!$C:$X,2+$D116,0))+IF(FC$9="X",VLOOKUP(FC$10,'VK-Biokütused'!$C:$U,2+$E116,0))+IF(FC$5="X",VLOOKUP(FC$10,'VK-Põlevkivi'!$C:$X,2+$G116,0))+IF(FC$4="X",VLOOKUP(FC$10,'VK-Võrgud'!$C:$X,2+$F116,0))</f>
        <v>294.39999999999998</v>
      </c>
      <c r="FD116" s="209">
        <f>(IF(FD$7="X",VLOOKUP(FD$10,'VK-Hooned-Soojus'!$C:$X,2+$C116,FALSE),0)+IF(FD$6="X",VLOOKUP(FD$10,'VK-Transport'!$C:$X,2+$B116,0))+IF(FD$8="X",VLOOKUP(FD$10,'VK-Elekter'!$C:$X,2+$D116,0))+IF(FD$9="X",VLOOKUP(FD$10,'VK-Biokütused'!$C:$U,2+$E116,0))+IF(FD$5="X",VLOOKUP(FD$10,'VK-Põlevkivi'!$C:$X,2+$G116,0))+IF(FD$4="X",VLOOKUP(FD$10,'VK-Võrgud'!$C:$X,2+$F116,0)))/16</f>
        <v>301.79908426434832</v>
      </c>
      <c r="FE116" s="209">
        <f>(IF(FE$7="X",VLOOKUP(FE$10,'VK-Hooned-Soojus'!$C:$X,2+$C116,FALSE),0)+IF(FE$6="X",VLOOKUP(FE$10,'VK-Transport'!$C:$X,2+$B116,0))+IF(FE$8="X",VLOOKUP(FE$10,'VK-Elekter'!$C:$X,2+$D116,0))+IF(FE$9="X",VLOOKUP(FE$10,'VK-Biokütused'!$C:$U,2+$E116,0))+IF(FE$5="X",VLOOKUP(FE$10,'VK-Põlevkivi'!$C:$X,2+$G116,0))+IF(FE$4="X",VLOOKUP(FE$10,'VK-Võrgud'!$C:$X,2+$F116,0)))/16</f>
        <v>-77.297499999999999</v>
      </c>
      <c r="FF116" s="209">
        <f>(IF(FF$7="X",VLOOKUP(FF$10,'VK-Hooned-Soojus'!$C:$X,2+$C116,FALSE),0)+IF(FF$6="X",VLOOKUP(FF$10,'VK-Transport'!$C:$X,2+$B116,0))+IF(FF$8="X",VLOOKUP(FF$10,'VK-Elekter'!$C:$X,2+$D116,0))+IF(FF$9="X",VLOOKUP(FF$10,'VK-Biokütused'!$C:$U,2+$E116,0))+IF(FF$5="X",VLOOKUP(FF$10,'VK-Põlevkivi'!$C:$X,2+$G116,0))+IF(FF$4="X",VLOOKUP(FF$10,'VK-Võrgud'!$C:$X,2+$F116,0)))/16</f>
        <v>156.18643772421018</v>
      </c>
      <c r="FG116" s="88">
        <f t="shared" ca="1" si="78"/>
        <v>78.88893772421018</v>
      </c>
      <c r="FH116" s="88"/>
      <c r="FI116" s="88"/>
      <c r="FJ116" s="88">
        <f>VLOOKUP(Tulemused!$BN$12,data!M$7:N$12,2,FALSE)-SUM(L116,M116)</f>
        <v>-5.2509373024363981E-2</v>
      </c>
      <c r="FK116" s="209" t="str">
        <f>IF(AZ116&lt;=VLOOKUP(Tulemused!$BN$15,data!$E$36:$F$39,2,FALSE),"JAH","EI")</f>
        <v>JAH</v>
      </c>
      <c r="FL116" s="235">
        <f ca="1">IF(ISNA(MATCH($A116,INDIRECT(VLOOKUP(Tulemused!$BF$11,data!$J$57:$M$71,4,FALSE)))),0,MATCH($A116,INDIRECT(VLOOKUP(Tulemused!$BF$11,data!$J$57:$M$71,4,FALSE))))</f>
        <v>0</v>
      </c>
      <c r="FM116" s="235" t="str">
        <f t="shared" ca="1" si="92"/>
        <v>JAH</v>
      </c>
      <c r="FN116" s="209">
        <f>VLOOKUP(Tulemused!$BN$13,data!$C$132:$D$137,2,FALSE)-KOMBI!R116</f>
        <v>5.0490850093626811</v>
      </c>
      <c r="FO116" s="209"/>
      <c r="FP116" s="209">
        <f>VLOOKUP(Tulemused!$BN$17,NO_x,2,FALSE)-CJ116</f>
        <v>12.276</v>
      </c>
      <c r="FQ116" s="209">
        <f>VLOOKUP(Tulemused!$BN$18,SO_2,2,FALSE)-CK116</f>
        <v>40.013503451566493</v>
      </c>
      <c r="FR116" s="209">
        <f>VLOOKUP(Tulemused!$BN$19,LOU,2,FALSE)-CN116</f>
        <v>34.204000000000008</v>
      </c>
      <c r="FS116" s="209">
        <f>VLOOKUP(Tulemused!$BN$20,PM_2.5,2,FALSE)-CM116</f>
        <v>9.1679999999999993</v>
      </c>
      <c r="FT116" s="209">
        <f>VLOOKUP(Tulemused!$BN$13,data!$C$132:$D$137,2,FALSE)-FA116/1000</f>
        <v>3.5430510000000006</v>
      </c>
      <c r="FU116" s="209">
        <f>VLOOKUP(Tulemused!$BN$17,NO_x,2,FALSE)-CO116</f>
        <v>5.700637662643004</v>
      </c>
      <c r="FV116" s="209">
        <f>VLOOKUP(Tulemused!$BN$18,SO_2,2,FALSE)-CP116</f>
        <v>38.442607879306337</v>
      </c>
      <c r="FW116" s="209">
        <f>VLOOKUP(Tulemused!$BN$19,LOU,2,FALSE)-CS116</f>
        <v>33.261350490137765</v>
      </c>
      <c r="FX116" s="209">
        <f>VLOOKUP(Tulemused!$BN$20,PM_2.5,2,FALSE)-CR116</f>
        <v>9.0602481626003097</v>
      </c>
      <c r="FY116" s="209">
        <f>VLOOKUP(Tulemused!$BN$14,KHG_2050,2,FALSE)-EF116</f>
        <v>97.018115009362674</v>
      </c>
      <c r="FZ116" s="231" t="str">
        <f t="shared" ca="1" si="79"/>
        <v>EI</v>
      </c>
      <c r="GA116" s="209"/>
      <c r="GB116" s="209"/>
      <c r="GC116" s="209"/>
      <c r="GD116" s="231"/>
      <c r="GE116" s="87">
        <f t="shared" si="93"/>
        <v>1106</v>
      </c>
      <c r="GF116" s="232" t="str">
        <f t="shared" ca="1" si="80"/>
        <v/>
      </c>
      <c r="GH116" s="238" t="e">
        <f t="shared" ca="1" si="94"/>
        <v>#NUM!</v>
      </c>
      <c r="GI116" s="87" t="e">
        <f t="array" aca="1" ref="GI116" ca="1">INDEX($A$11:$A$145, SMALL(IF(GH116=$GF$11:$GF$145, MATCH(ROW($GF$11:$GF$145), ROW($GF$11:$GF$145))), SUM(--(GH116=$GH$11:GH116))))</f>
        <v>#NUM!</v>
      </c>
      <c r="GM116" s="209">
        <f>IF(GM$7="X",VLOOKUP(GM$10,'VK-Hooned-Soojus'!$C:$X,2+$C116,FALSE),0)+IF(GM$6="X",VLOOKUP(GM$10,'VK-Transport'!$C:$X,2+$B116,0))+IF(GM$8="X",VLOOKUP(GM$10,'VK-Elekter'!$C:$X,2+$D116,0))+IF(GM$9="X",VLOOKUP(GM$10,'VK-Biokütused'!$C:$U,2+$E116,0))+IF(GM$5="X",VLOOKUP(GM$10,'VK-Põlevkivi'!$C:$X,2+$G116,0))+IF(GM$4="X",VLOOKUP(GM$10,'VK-Võrgud'!$C:$X,2+$F116,0))</f>
        <v>6.012827991027228</v>
      </c>
      <c r="GN116" s="209">
        <f>IF(GN$7="X",VLOOKUP(GN$10,'VK-Hooned-Soojus'!$C:$X,2+$C116,FALSE),0)+IF(GN$6="X",VLOOKUP(GN$10,'VK-Transport'!$C:$X,2+$B116,0))+IF(GN$8="X",VLOOKUP(GN$10,'VK-Elekter'!$C:$X,2+$D116,0))+IF(GN$9="X",VLOOKUP(GN$10,'VK-Biokütused'!$C:$U,2+$E116,0))+IF(GN$5="X",VLOOKUP(GN$10,'VK-Põlevkivi'!$C:$X,2+$G116,0))+IF(GN$4="X",VLOOKUP(GN$10,'VK-Võrgud'!$C:$X,2+$F116,0))</f>
        <v>3.4467619395011728</v>
      </c>
      <c r="GO116" s="209">
        <f>IF(GO$7="X",VLOOKUP(GO$10,'VK-Hooned-Soojus'!$C:$X,2+$C116,FALSE),0)+IF(GO$6="X",VLOOKUP(GO$10,'VK-Transport'!$C:$X,2+$B116,0))+IF(GO$8="X",VLOOKUP(GO$10,'VK-Elekter'!$C:$X,2+$D116,0))+IF(GO$9="X",VLOOKUP(GO$10,'VK-Biokütused'!$C:$U,2+$E116,0))+IF(GO$5="X",VLOOKUP(GO$10,'VK-Põlevkivi'!$C:$X,2+$G116,0))+IF(GO$4="X",VLOOKUP(GO$10,'VK-Võrgud'!$C:$X,2+$F116,0))</f>
        <v>7.936370010272257</v>
      </c>
      <c r="GP116" s="209">
        <f>IF(GP$7="X",VLOOKUP(GP$10,'VK-Hooned-Soojus'!$C:$X,2+$C116,FALSE),0)+IF(GP$6="X",VLOOKUP(GP$10,'VK-Transport'!$C:$X,2+$B116,0))+IF(GP$8="X",VLOOKUP(GP$10,'VK-Elekter'!$C:$X,2+$D116,0))+IF(GP$9="X",VLOOKUP(GP$10,'VK-Biokütused'!$C:$U,2+$E116,0))+IF(GP$5="X",VLOOKUP(GP$10,'VK-Põlevkivi'!$C:$X,2+$G116,0))+IF(GP$4="X",VLOOKUP(GP$10,'VK-Võrgud'!$C:$X,2+$F116,0))</f>
        <v>9.1527946929596489</v>
      </c>
      <c r="GQ116" s="88">
        <f>IF(GQ$7="X",VLOOKUP(GQ$10,'VK-Hooned-Soojus'!$C:$X,2+$C116,FALSE),0)+IF(GQ$6="X",VLOOKUP(GQ$10,'VK-Transport'!$C:$X,2+$B116,0))+IF(GQ$8="X",VLOOKUP(GQ$10,'VK-Elekter'!$C:$X,2+$D116,0))+IF(GQ$9="X",VLOOKUP(GQ$10,'VK-Biokütused'!$C:$U,2+$E116,0))+IF(GQ$5="X",VLOOKUP(GQ$10,'VK-Põlevkivi'!$C:$X,2+$G116,0))+IF(GQ$4="X",VLOOKUP(GQ$10,'VK-Võrgud'!$C:$X,2+$F116,0))</f>
        <v>0.89042766952822527</v>
      </c>
      <c r="GR116" s="186">
        <f t="shared" si="81"/>
        <v>0.41021308782500948</v>
      </c>
    </row>
    <row r="117" spans="1:200" x14ac:dyDescent="0.2">
      <c r="A117" s="184">
        <v>107</v>
      </c>
      <c r="B117" s="87">
        <v>3</v>
      </c>
      <c r="C117" s="87">
        <v>2</v>
      </c>
      <c r="D117" s="87">
        <v>1</v>
      </c>
      <c r="E117" s="87">
        <v>2</v>
      </c>
      <c r="F117" s="87">
        <f>VLOOKUP(Tulemused!$BF$7,data!$J$6:$K$8,2,FALSE)</f>
        <v>2</v>
      </c>
      <c r="G117" s="87">
        <f>VLOOKUP(data!$H$2,data!$J$12:$K$14,2,FALSE)</f>
        <v>2</v>
      </c>
      <c r="I117" s="209">
        <f>IF(I$7="X",VLOOKUP(I$10,'VK-Hooned-Soojus'!$C:$X,2+$C117,FALSE),0)+IF(I$6="X",VLOOKUP(I$10,'VK-Transport'!$C:$X,2+$B117,0))+IF(I$8="X",VLOOKUP(I$10,'VK-Elekter'!$C:$X,2+$D117,0))+IF(I$9="X",VLOOKUP(I$10,'VK-Biokütused'!$C:$U,2+$E117,0))+IF(I$5="X",VLOOKUP(I$10,'VK-Põlevkivi'!$C:$X,2+$G117,0))+IF(I$4="X",VLOOKUP(I$10,'VK-Võrgud'!$C:$X,2+$F117,0))</f>
        <v>24.79</v>
      </c>
      <c r="J117" s="209">
        <f>IF(J$7="X",VLOOKUP(J$10,'VK-Hooned-Soojus'!$C:$X,2+$C117,FALSE),0)+IF(J$6="X",VLOOKUP(J$10,'VK-Transport'!$C:$X,2+$B117,0))+IF(J$8="X",VLOOKUP(J$10,'VK-Elekter'!$C:$X,2+$D117,0))+IF(J$9="X",VLOOKUP(J$10,'VK-Biokütused'!$C:$U,2+$E117,0))+IF(J$5="X",VLOOKUP(J$10,'VK-Põlevkivi'!$C:$X,2+$G117,0))+IF(J$4="X",VLOOKUP(J$10,'VK-Võrgud'!$C:$X,2+$F117,0))</f>
        <v>8.1258333333333344</v>
      </c>
      <c r="K117" s="209">
        <f>IF(K$7="X",VLOOKUP(K$10,'VK-Hooned-Soojus'!$C:$X,2+$C117,FALSE),0)+IF(K$6="X",VLOOKUP(K$10,'VK-Transport'!$C:$X,2+$B117,0))+IF(K$8="X",VLOOKUP(K$10,'VK-Elekter'!$C:$X,2+$D117,0))+IF(K$9="X",VLOOKUP(K$10,'VK-Biokütused'!$C:$U,2+$E117,0))+IF(K$5="X",VLOOKUP(K$10,'VK-Põlevkivi'!$C:$X,2+$G117,0))+IF(K$4="X",VLOOKUP(K$10,'VK-Võrgud'!$C:$X,2+$F117,0))</f>
        <v>15.27</v>
      </c>
      <c r="L117" s="209">
        <f>IF(L$7="X",VLOOKUP(L$10,'VK-Hooned-Soojus'!$C:$X,2+$C117,FALSE),0)+IF(L$6="X",VLOOKUP(L$10,'VK-Transport'!$C:$X,2+$B117,0))+IF(L$8="X",VLOOKUP(L$10,'VK-Elekter'!$C:$X,2+$D117,0))+IF(L$9="X",VLOOKUP(L$10,'VK-Biokütused'!$C:$U,2+$E117,0))+IF(L$5="X",VLOOKUP(L$10,'VK-Põlevkivi'!$C:$X,2+$G117,0))+IF(L$4="X",VLOOKUP(L$10,'VK-Võrgud'!$C:$X,2+$F117,0))</f>
        <v>24.2</v>
      </c>
      <c r="M117" s="209">
        <f>IF(M$7="X",VLOOKUP(M$10,'VK-Hooned-Soojus'!$C:$X,2+$C117,FALSE),0)+IF(M$6="X",VLOOKUP(M$10,'VK-Transport'!$C:$X,2+$B117,0))+IF(M$8="X",VLOOKUP(M$10,'VK-Elekter'!$C:$X,2+$D117,0))+IF(M$9="X",VLOOKUP(M$10,'VK-Biokütused'!$C:$U,2+$E117,0))+IF(M$5="X",VLOOKUP(M$10,'VK-Põlevkivi'!$C:$X,2+$G117,0))+IF(M$4="X",VLOOKUP(M$10,'VK-Võrgud'!$C:$X,2+$F117,0))</f>
        <v>8.68530937302436</v>
      </c>
      <c r="N117" s="209">
        <f>IF(N$7="X",VLOOKUP(N$10,'VK-Hooned-Soojus'!$C:$X,2+$C117,FALSE),0)+IF(N$6="X",VLOOKUP(N$10,'VK-Transport'!$C:$X,2+$B117,0))+IF(N$8="X",VLOOKUP(N$10,'VK-Elekter'!$C:$X,2+$D117,0))+IF(N$9="X",VLOOKUP(N$10,'VK-Biokütused'!$C:$U,2+$E117,0))+IF(N$5="X",VLOOKUP(N$10,'VK-Põlevkivi'!$C:$X,2+$G117,0))+IF(N$4="X",VLOOKUP(N$10,'VK-Võrgud'!$C:$X,2+$F117,0))</f>
        <v>16.09</v>
      </c>
      <c r="O117" s="209">
        <f t="shared" si="60"/>
        <v>32.915833333333332</v>
      </c>
      <c r="P117" s="209"/>
      <c r="Q117" s="209">
        <f>(IF(Q$7="X",VLOOKUP(Q$10,'VK-Hooned-Soojus'!$C:$X,2+$C117,FALSE),0)+IF(Q$6="X",VLOOKUP(Q$10,'VK-Transport'!$C:$X,2+$B117,0))+IF(Q$8="X",VLOOKUP(Q$10,'VK-Elekter'!$C:$X,2+$D117,0))+IF(Q$9="X",VLOOKUP(Q$10,'VK-Biokütused'!$C:$U,2+$E117,0))+IF(Q$5="X",VLOOKUP(Q$10,'VK-Põlevkivi'!$C:$X,2+$G117,0))+IF(Q$4="X",VLOOKUP(Q$10,'VK-Võrgud'!$C:$X,2+$F117,0)))/1000</f>
        <v>5.0659999999999998</v>
      </c>
      <c r="R117" s="209">
        <f>(IF(R$7="X",VLOOKUP(R$10,'VK-Hooned-Soojus'!$C:$X,2+$C117,FALSE),0)+IF(R$6="X",VLOOKUP(R$10,'VK-Transport'!$C:$X,2+$B117,0))+IF(R$8="X",VLOOKUP(R$10,'VK-Elekter'!$C:$X,2+$D117,0))+IF(R$9="X",VLOOKUP(R$10,'VK-Biokütused'!$C:$U,2+$E117,0))+IF(R$5="X",VLOOKUP(R$10,'VK-Põlevkivi'!$C:$X,2+$G117,0))+IF(R$4="X",VLOOKUP(R$10,'VK-Võrgud'!$C:$X,2+$F117,0)))/1000</f>
        <v>1.57438499063732</v>
      </c>
      <c r="S117" s="226">
        <f>VLOOKUP(S$10,'VK-Hooned-Soojus'!$C:$I,2+$C117,FALSE) + VLOOKUP(S$10,'VK-Transport'!$C:$I,2+$B117,FALSE)+ VLOOKUP(S$10,'VK-Biokütused'!$C:$G,2+$E117,FALSE)+ VLOOKUP(S$10,'VK-Elekter'!$C:$I,2+$D117,FALSE)+ VLOOKUP(S$10,'VK-Põlevkivi'!$C:$I,2+$G117,FALSE)+ VLOOKUP(S$10,'VK-Võrgud'!$C:$I,2+$F117,FALSE)</f>
        <v>1.7970859358815355E-2</v>
      </c>
      <c r="T117" s="226">
        <f>VLOOKUP(T$10,'VK-Hooned-Soojus'!$C:$I,2+$C117,FALSE) + VLOOKUP(T$10,'VK-Transport'!$C:$I,2+$B117,FALSE)+ VLOOKUP(T$10,'VK-Biokütused'!$C:$G,2+$E117,FALSE)+ VLOOKUP(T$10,'VK-Elekter'!$C:$I,2+$D117,FALSE)+ VLOOKUP(T$10,'VK-Põlevkivi'!$C:$I,2+$G117,FALSE)+ VLOOKUP(T$10,'VK-Võrgud'!$C:$I,2+$F117,FALSE)</f>
        <v>4.7705399600750011E-3</v>
      </c>
      <c r="U117" s="226">
        <f>VLOOKUP(U$10,'VK-Hooned-Soojus'!$C:$I,2+$C117,FALSE) + VLOOKUP(U$10,'VK-Transport'!$C:$I,2+$B117,FALSE)+ VLOOKUP(U$10,'VK-Biokütused'!$C:$G,2+$E117,FALSE)+ VLOOKUP(U$10,'VK-Elekter'!$C:$I,2+$D117,FALSE)+ VLOOKUP(U$10,'VK-Põlevkivi'!$C:$I,2+$G117,FALSE)+ VLOOKUP(U$10,'VK-Võrgud'!$C:$I,2+$F117,FALSE)</f>
        <v>5.9055835421871483E-3</v>
      </c>
      <c r="V117" s="226">
        <f>VLOOKUP(V$10,'VK-Hooned-Soojus'!$C:$I,2+$C117,FALSE) + VLOOKUP(V$10,'VK-Transport'!$C:$I,2+$B117,FALSE)+ VLOOKUP(V$10,'VK-Biokütused'!$C:$G,2+$E117,FALSE)+ VLOOKUP(V$10,'VK-Elekter'!$C:$I,2+$D117,FALSE)+ VLOOKUP(V$10,'VK-Põlevkivi'!$C:$I,2+$G117,FALSE)+ VLOOKUP(V$10,'VK-Võrgud'!$C:$I,2+$F117,FALSE)</f>
        <v>1.2172896599590935E-2</v>
      </c>
      <c r="W117" s="226">
        <f>VLOOKUP(W$10,'VK-Hooned-Soojus'!$C:$I,2+$C117,FALSE) + VLOOKUP(W$10,'VK-Transport'!$C:$I,2+$B117,FALSE)+ VLOOKUP(W$10,'VK-Biokütused'!$C:$G,2+$E117,FALSE)+ VLOOKUP(W$10,'VK-Elekter'!$C:$I,2+$D117,FALSE)+ VLOOKUP(W$10,'VK-Põlevkivi'!$C:$I,2+$G117,FALSE)+ VLOOKUP(W$10,'VK-Võrgud'!$C:$I,2+$F117,FALSE)</f>
        <v>-3.9858805967942904E-2</v>
      </c>
      <c r="X117" s="226">
        <f>VLOOKUP(X$10,'VK-Hooned-Soojus'!$C:$I,2+$C117,FALSE) + VLOOKUP(X$10,'VK-Transport'!$C:$I,2+$B117,FALSE)+ VLOOKUP(X$10,'VK-Biokütused'!$C:$G,2+$E117,FALSE)+ VLOOKUP(X$10,'VK-Elekter'!$C:$I,2+$D117,FALSE)+ VLOOKUP(X$10,'VK-Põlevkivi'!$C:$I,2+$G117,FALSE)+ VLOOKUP(X$10,'VK-Võrgud'!$C:$I,2+$F117,FALSE)</f>
        <v>-5.0446045582522567E-2</v>
      </c>
      <c r="Y117" s="226">
        <f>VLOOKUP(Y$10,'VK-Hooned-Soojus'!$C:$I,2+$C117,FALSE) + VLOOKUP(Y$10,'VK-Transport'!$C:$I,2+$B117,FALSE)+ VLOOKUP(Y$10,'VK-Biokütused'!$C:$G,2+$E117,FALSE)+ VLOOKUP(Y$10,'VK-Elekter'!$C:$I,2+$D117,FALSE)+ VLOOKUP(Y$10,'VK-Põlevkivi'!$C:$I,2+$G117,FALSE)+ VLOOKUP(Y$10,'VK-Võrgud'!$C:$I,2+$F117,FALSE)</f>
        <v>-6.8297371662763603E-2</v>
      </c>
      <c r="Z117" s="227">
        <f>(S117*Tulemused!$Q$9*10+T117*Tulemused!$Q$10*10+KOMBI!U117*Tulemused!$Q$11*10+KOMBI!V117*Tulemused!$Q$12*10)*Tulemused!$Q$8+-(W117*Tulemused!$Q$14*10+KOMBI!X117*Tulemused!$Q$15*10+KOMBI!Y117*Tulemused!$Q$16*10)*Tulemused!$Q$13</f>
        <v>6.2647719346930941</v>
      </c>
      <c r="AA117" s="228">
        <f>(IF(AA$7="X",VLOOKUP(AA$10,'VK-Hooned-Soojus'!$C:$X,2+$C117,FALSE),0)+IF(AA$6="X",VLOOKUP(AA$10,'VK-Transport'!$C:$X,2+$B117,0))+IF(AA$8="X",VLOOKUP(AA$10,'VK-Elekter'!$C:$X,2+$D117,0))+IF(AA$9="X",VLOOKUP(AA$10,'VK-Biokütused'!$C:$U,2+$E117,0))+IF(AA$5="X",VLOOKUP(AA$10,'VK-Põlevkivi'!$C:$X,2+$G117,0))+IF(AA$4="X",VLOOKUP(AA$10,'VK-Võrgud'!$C:$X,2+$F117,0)))</f>
        <v>3729</v>
      </c>
      <c r="AB117" s="228">
        <f>(IF(AB$7="X",VLOOKUP(AB$10,'VK-Hooned-Soojus'!$C:$X,2+$C117,FALSE),0)+IF(AB$6="X",VLOOKUP(AB$10,'VK-Transport'!$C:$X,2+$B117,0))+IF(AB$8="X",VLOOKUP(AB$10,'VK-Elekter'!$C:$X,2+$D117,0))+IF(AB$9="X",VLOOKUP(AB$10,'VK-Biokütused'!$C:$U,2+$E117,0))+IF(AB$5="X",VLOOKUP(AB$10,'VK-Põlevkivi'!$C:$X,2+$G117,0))+IF(AB$4="X",VLOOKUP(AB$10,'VK-Võrgud'!$C:$X,2+$F117,0)))</f>
        <v>1337</v>
      </c>
      <c r="AC117" s="228">
        <f>(IF(AC$7="X",VLOOKUP(AC$10,'VK-Hooned-Soojus'!$C:$X,2+$C117,FALSE),0)+IF(AC$6="X",VLOOKUP(AC$10,'VK-Transport'!$C:$X,2+$B117,0))+IF(AC$8="X",VLOOKUP(AC$10,'VK-Elekter'!$C:$X,2+$D117,0))+IF(AC$9="X",VLOOKUP(AC$10,'VK-Biokütused'!$C:$U,2+$E117,0))+IF(AC$5="X",VLOOKUP(AC$10,'VK-Põlevkivi'!$C:$X,2+$G117,0))+IF(AC$4="X",VLOOKUP(AC$10,'VK-Võrgud'!$C:$X,2+$F117,0)))</f>
        <v>2346</v>
      </c>
      <c r="AD117" s="228">
        <f>(IF(AD$7="X",VLOOKUP(AD$10,'VK-Hooned-Soojus'!$C:$X,2+$C117,FALSE),0)+IF(AD$6="X",VLOOKUP(AD$10,'VK-Transport'!$C:$X,2+$B117,0))+IF(AD$8="X",VLOOKUP(AD$10,'VK-Elekter'!$C:$X,2+$D117,0))+IF(AD$9="X",VLOOKUP(AD$10,'VK-Biokütused'!$C:$U,2+$E117,0))+IF(AD$5="X",VLOOKUP(AD$10,'VK-Põlevkivi'!$C:$X,2+$G117,0))+IF(AD$4="X",VLOOKUP(AD$10,'VK-Võrgud'!$C:$X,2+$F117,0)))</f>
        <v>377.5</v>
      </c>
      <c r="AE117" s="228">
        <f>(IF(AE$7="X",VLOOKUP(AE$10,'VK-Hooned-Soojus'!$C:$X,2+$C117,FALSE),0)+IF(AE$6="X",VLOOKUP(AE$10,'VK-Transport'!$C:$X,2+$B117,0))+IF(AE$8="X",VLOOKUP(AE$10,'VK-Elekter'!$C:$X,2+$D117,0))+IF(AE$9="X",VLOOKUP(AE$10,'VK-Biokütused'!$C:$U,2+$E117,0))+IF(AE$5="X",VLOOKUP(AE$10,'VK-Põlevkivi'!$C:$X,2+$G117,0))+IF(AE$4="X",VLOOKUP(AE$10,'VK-Võrgud'!$C:$X,2+$F117,0)))</f>
        <v>666</v>
      </c>
      <c r="AF117" s="228">
        <f>(IF(AF$7="X",VLOOKUP(AF$10,'VK-Hooned-Soojus'!$C:$X,2+$C117,FALSE),0)+IF(AF$6="X",VLOOKUP(AF$10,'VK-Transport'!$C:$X,2+$B117,0))+IF(AF$8="X",VLOOKUP(AF$10,'VK-Elekter'!$C:$X,2+$D117,0))+IF(AF$9="X",VLOOKUP(AF$10,'VK-Biokütused'!$C:$U,2+$E117,0))+IF(AF$5="X",VLOOKUP(AF$10,'VK-Põlevkivi'!$C:$X,2+$G117,0))+IF(AF$4="X",VLOOKUP(AF$10,'VK-Võrgud'!$C:$X,2+$F117,0)))</f>
        <v>530.88499063732002</v>
      </c>
      <c r="AG117" s="209"/>
      <c r="AH117" s="209">
        <f>IF(AH$7="X",VLOOKUP(AH$10,'VK-Hooned-Soojus'!$C:$X,2+$C117,FALSE),0)+IF(AH$6="X",VLOOKUP(AH$10,'VK-Transport'!$C:$X,2+$B117,0))+IF(AH$8="X",VLOOKUP(AH$10,'VK-Elekter'!$C:$X,2+$D117,0))+IF(AH$9="X",VLOOKUP(AH$10,'VK-Biokütused'!$C:$U,2+$E117,0))+IF(AH$5="X",VLOOKUP(AH$10,'VK-Põlevkivi'!$C:$X,2+$G117,0))+IF(AH$4="X",VLOOKUP(AH$10,'VK-Võrgud'!$C:$X,2+$F117,0))</f>
        <v>11.629999999999999</v>
      </c>
      <c r="AI117" s="209">
        <f>IF(AI$7="X",VLOOKUP(AI$10,'VK-Hooned-Soojus'!$C:$X,2+$C117,FALSE),0)+IF(AI$6="X",VLOOKUP(AI$10,'VK-Transport'!$C:$X,2+$B117,0))+IF(AI$8="X",VLOOKUP(AI$10,'VK-Elekter'!$C:$X,2+$D117,0))+IF(AI$9="X",VLOOKUP(AI$10,'VK-Biokütused'!$C:$U,2+$E117,0))+IF(AI$5="X",VLOOKUP(AI$10,'VK-Põlevkivi'!$C:$X,2+$G117,0))+IF(AI$4="X",VLOOKUP(AI$10,'VK-Võrgud'!$C:$X,2+$F117,0))</f>
        <v>2.3100000000000005</v>
      </c>
      <c r="AJ117" s="209">
        <f>IF(AJ$7="X",VLOOKUP(AJ$10,'VK-Hooned-Soojus'!$C:$X,2+$C117,FALSE),0)+IF(AJ$6="X",VLOOKUP(AJ$10,'VK-Transport'!$C:$X,2+$B117,0))+IF(AJ$8="X",VLOOKUP(AJ$10,'VK-Elekter'!$C:$X,2+$D117,0))+IF(AJ$9="X",VLOOKUP(AJ$10,'VK-Biokütused'!$C:$U,2+$E117,0))+IF(AJ$5="X",VLOOKUP(AJ$10,'VK-Põlevkivi'!$C:$X,2+$G117,0))+IF(AJ$4="X",VLOOKUP(AJ$10,'VK-Võrgud'!$C:$X,2+$F117,0))</f>
        <v>9.24</v>
      </c>
      <c r="AK117" s="209">
        <f>IF(AK$7="X",VLOOKUP(AK$10,'VK-Hooned-Soojus'!$C:$X,2+$C117,FALSE),0)+IF(AK$6="X",VLOOKUP(AK$10,'VK-Transport'!$C:$X,2+$B117,0))+IF(AK$8="X",VLOOKUP(AK$10,'VK-Elekter'!$C:$X,2+$D117,0))+IF(AK$9="X",VLOOKUP(AK$10,'VK-Biokütused'!$C:$U,2+$E117,0))+IF(AK$5="X",VLOOKUP(AK$10,'VK-Põlevkivi'!$C:$X,2+$G117,0))+IF(AK$4="X",VLOOKUP(AK$10,'VK-Võrgud'!$C:$X,2+$F117,0))</f>
        <v>2.78</v>
      </c>
      <c r="AL117" s="209">
        <f>IF(AL$7="X",VLOOKUP(AL$10,'VK-Hooned-Soojus'!$C:$X,2+$C117,FALSE),0)+IF(AL$6="X",VLOOKUP(AL$10,'VK-Transport'!$C:$X,2+$B117,0))+IF(AL$8="X",VLOOKUP(AL$10,'VK-Elekter'!$C:$X,2+$D117,0))+IF(AL$9="X",VLOOKUP(AL$10,'VK-Biokütused'!$C:$U,2+$E117,0))+IF(AL$5="X",VLOOKUP(AL$10,'VK-Põlevkivi'!$C:$X,2+$G117,0))+IF(AL$4="X",VLOOKUP(AL$10,'VK-Võrgud'!$C:$X,2+$F117,0))</f>
        <v>7.1999999999999993</v>
      </c>
      <c r="AM117" s="209">
        <f>IF(AM$7="X",VLOOKUP(AM$10,'VK-Hooned-Soojus'!$C:$X,2+$C117,FALSE),0)+IF(AM$6="X",VLOOKUP(AM$10,'VK-Transport'!$C:$X,2+$B117,0))+IF(AM$8="X",VLOOKUP(AM$10,'VK-Elekter'!$C:$X,2+$D117,0))+IF(AM$9="X",VLOOKUP(AM$10,'VK-Biokütused'!$C:$U,2+$E117,0))+IF(AM$5="X",VLOOKUP(AM$10,'VK-Põlevkivi'!$C:$X,2+$G117,0))+IF(AM$4="X",VLOOKUP(AM$10,'VK-Võrgud'!$C:$X,2+$F117,0))</f>
        <v>11.9</v>
      </c>
      <c r="AN117" s="209">
        <f>IF(AN$7="X",VLOOKUP(AN$10,'VK-Hooned-Soojus'!$C:$X,2+$C117,FALSE),0)+IF(AN$6="X",VLOOKUP(AN$10,'VK-Transport'!$C:$X,2+$B117,0))+IF(AN$8="X",VLOOKUP(AN$10,'VK-Elekter'!$C:$X,2+$D117,0))+IF(AN$9="X",VLOOKUP(AN$10,'VK-Biokütused'!$C:$U,2+$E117,0))+IF(AN$5="X",VLOOKUP(AN$10,'VK-Põlevkivi'!$C:$X,2+$G117,0))+IF(AN$4="X",VLOOKUP(AN$10,'VK-Võrgud'!$C:$X,2+$F117,0))</f>
        <v>4.8999999999999995</v>
      </c>
      <c r="AO117" s="209">
        <f>IF(AO$7="X",VLOOKUP(AO$10,'VK-Hooned-Soojus'!$C:$X,2+$C117,FALSE),0)+IF(AO$6="X",VLOOKUP(AO$10,'VK-Transport'!$C:$X,2+$B117,0))+IF(AO$8="X",VLOOKUP(AO$10,'VK-Elekter'!$C:$X,2+$D117,0))+IF(AO$9="X",VLOOKUP(AO$10,'VK-Biokütused'!$C:$U,2+$E117,0))+IF(AO$5="X",VLOOKUP(AO$10,'VK-Põlevkivi'!$C:$X,2+$G117,0))+IF(AO$4="X",VLOOKUP(AO$10,'VK-Võrgud'!$C:$X,2+$F117,0))</f>
        <v>12.56</v>
      </c>
      <c r="AP117" s="209">
        <f>IF(AP$7="X",VLOOKUP(AP$10,'VK-Hooned-Soojus'!$C:$X,2+$C117,FALSE),0)+IF(AP$6="X",VLOOKUP(AP$10,'VK-Transport'!$C:$X,2+$B117,0))+IF(AP$8="X",VLOOKUP(AP$10,'VK-Elekter'!$C:$X,2+$D117,0))+IF(AP$9="X",VLOOKUP(AP$10,'VK-Biokütused'!$C:$U,2+$E117,0))+IF(AP$5="X",VLOOKUP(AP$10,'VK-Põlevkivi'!$C:$X,2+$G117,0))+IF(AP$4="X",VLOOKUP(AP$10,'VK-Võrgud'!$C:$X,2+$F117,0))</f>
        <v>6.28</v>
      </c>
      <c r="AQ117" s="320">
        <f t="shared" si="61"/>
        <v>0.25999999999999979</v>
      </c>
      <c r="AR117" s="209">
        <f>IF(AR$7="X",VLOOKUP(AR$10,'VK-Hooned-Soojus'!$C:$X,2+$C117,FALSE),0)+IF(AR$6="X",VLOOKUP(AR$10,'VK-Transport'!$C:$X,2+$B117,0))+IF(AR$8="X",VLOOKUP(AR$10,'VK-Elekter'!$C:$X,2+$D117,0))+IF(AR$9="X",VLOOKUP(AR$10,'VK-Biokütused'!$C:$U,2+$E117,0))+IF(AR$5="X",VLOOKUP(AR$10,'VK-Põlevkivi'!$C:$X,2+$G117,0))+IF(AR$4="X",VLOOKUP(AR$10,'VK-Võrgud'!$C:$X,2+$F117,0))</f>
        <v>2.8899999999999997</v>
      </c>
      <c r="AS117" s="320">
        <f>VLOOKUP("Kütuste tarbimine @ 2030 - UTTEGAAS",'VK-Hooned-Soojus'!$C:$X,2+$C117,FALSE)/0.172+VLOOKUP("Kütuste tarbimine @ 2030 - UTTEGAAS",'VK-Elekter'!$C:$X,2+$D117,FALSE)/0.172-AR117-AU117</f>
        <v>2.8565116279069773</v>
      </c>
      <c r="AT117" s="209">
        <f>IF(AT$7="X",VLOOKUP(AT$10,'VK-Hooned-Soojus'!$C:$X,2+$C117,FALSE),0)+IF(AT$6="X",VLOOKUP(AT$10,'VK-Transport'!$C:$X,2+$B117,0))+IF(AT$8="X",VLOOKUP(AT$10,'VK-Elekter'!$C:$X,2+$D117,0))+IF(AT$9="X",VLOOKUP(AT$10,'VK-Biokütused'!$C:$U,2+$E117,0))+IF(AT$5="X",VLOOKUP(AT$10,'VK-Põlevkivi'!$C:$X,2+$G117,0))+IF(AT$4="X",VLOOKUP(AT$10,'VK-Võrgud'!$C:$X,2+$F117,0))</f>
        <v>5.7045296564339489</v>
      </c>
      <c r="AU117" s="229">
        <f>MAX(0,(VLOOKUP("Kütuste tarbimine @ 2030 - UTTEGAAS",'VK-Hooned-Soojus'!$C:$X,2+$C117,FALSE)/0.172+VLOOKUP("Kütuste tarbimine @ 2030 - UTTEGAAS",'VK-Elekter'!$C:$X,2+$D117,FALSE)/0.172)*0.52-VLOOKUP("Kütuste tarbimine @ 2030 - PÕLEVKIVIÕLI",'VK-Hooned-Soojus'!$C:$X,2+$C117,FALSE))</f>
        <v>5.1837209302325586</v>
      </c>
      <c r="AV117" s="209">
        <f>IF(AV$7="X",VLOOKUP(AV$10,'VK-Hooned-Soojus'!$C:$X,2+$C117,FALSE),0)+IF(AV$6="X",VLOOKUP(AV$10,'VK-Transport'!$C:$X,2+$B117,0))+IF(AV$8="X",VLOOKUP(AV$10,'VK-Elekter'!$C:$X,2+$D117,0))+IF(AV$9="X",VLOOKUP(AV$10,'VK-Biokütused'!$C:$U,2+$E117,0))+IF(AV$5="X",VLOOKUP(AV$10,'VK-Põlevkivi'!$C:$X,2+$G117,0))+IF(AV$4="X",VLOOKUP(AV$10,'VK-Võrgud'!$C:$X,2+$F117,0))</f>
        <v>2.1219844082566364</v>
      </c>
      <c r="AW117" s="209">
        <f>IF(AW$7="X",VLOOKUP(AW$10,'VK-Hooned-Soojus'!$C:$X,2+$C117,FALSE),0)+IF(AW$6="X",VLOOKUP(AW$10,'VK-Transport'!$C:$X,2+$B117,0))+IF(AW$8="X",VLOOKUP(AW$10,'VK-Elekter'!$C:$X,2+$D117,0))+IF(AW$9="X",VLOOKUP(AW$10,'VK-Biokütused'!$C:$U,2+$E117,0))+IF(AW$5="X",VLOOKUP(AW$10,'VK-Põlevkivi'!$C:$X,2+$G117,0))+IF(AW$4="X",VLOOKUP(AW$10,'VK-Võrgud'!$C:$X,2+$F117,0))</f>
        <v>2.141</v>
      </c>
      <c r="AX117" s="229">
        <f t="shared" si="62"/>
        <v>1.9015591743363647E-2</v>
      </c>
      <c r="AY117" s="229">
        <f t="shared" si="63"/>
        <v>0</v>
      </c>
      <c r="AZ117" s="230">
        <f t="shared" si="83"/>
        <v>0.50738487756262995</v>
      </c>
      <c r="BA117" s="209">
        <f>IF(BA$7="X",VLOOKUP(BA$10,'VK-Hooned-Soojus'!$C:$X,2+$C117,FALSE),0)+IF(BA$6="X",VLOOKUP(BA$10,'VK-Transport'!$C:$X,2+$B117,0))+IF(BA$8="X",VLOOKUP(BA$10,'VK-Elekter'!$C:$X,2+$D117,0))+IF(BA$9="X",VLOOKUP(BA$10,'VK-Biokütused'!$C:$U,2+$E117,0))+IF(BA$5="X",VLOOKUP(BA$10,'VK-Põlevkivi'!$C:$X,2+$G117,0))+IF(BA$4="X",VLOOKUP(BA$10,'VK-Võrgud'!$C:$X,2+$F117,0))</f>
        <v>4.25</v>
      </c>
      <c r="BB117" s="209">
        <f>IF(BB$7="X",VLOOKUP(BB$10,'VK-Hooned-Soojus'!$C:$X,2+$C117,FALSE),0)+IF(BB$6="X",VLOOKUP(BB$10,'VK-Transport'!$C:$X,2+$B117,0))+IF(BB$8="X",VLOOKUP(BB$10,'VK-Elekter'!$C:$X,2+$D117,0))+IF(BB$9="X",VLOOKUP(BB$10,'VK-Biokütused'!$C:$U,2+$E117,0))+IF(BB$5="X",VLOOKUP(BB$10,'VK-Põlevkivi'!$C:$X,2+$G117,0))+IF(BB$4="X",VLOOKUP(BB$10,'VK-Võrgud'!$C:$X,2+$F117,0))</f>
        <v>2.93</v>
      </c>
      <c r="BC117" s="209">
        <f>IF(BC$7="X",VLOOKUP(BC$10,'VK-Hooned-Soojus'!$C:$X,2+$C117,FALSE),0)+IF(BC$6="X",VLOOKUP(BC$10,'VK-Transport'!$C:$X,2+$B117,0))+IF(BC$8="X",VLOOKUP(BC$10,'VK-Elekter'!$C:$X,2+$D117,0))+IF(BC$9="X",VLOOKUP(BC$10,'VK-Biokütused'!$C:$U,2+$E117,0))+IF(BC$5="X",VLOOKUP(BC$10,'VK-Põlevkivi'!$C:$X,2+$G117,0))+IF(BC$4="X",VLOOKUP(BC$10,'VK-Võrgud'!$C:$X,2+$F117,0))</f>
        <v>6.5993333333333322</v>
      </c>
      <c r="BD117" s="209">
        <f>IF(BD$7="X",VLOOKUP(BD$10,'VK-Hooned-Soojus'!$C:$X,2+$C117,FALSE),0)+IF(BD$6="X",VLOOKUP(BD$10,'VK-Transport'!$C:$X,2+$B117,0))+IF(BD$8="X",VLOOKUP(BD$10,'VK-Elekter'!$C:$X,2+$D117,0))+IF(BD$9="X",VLOOKUP(BD$10,'VK-Biokütused'!$C:$U,2+$E117,0))+IF(BD$5="X",VLOOKUP(BD$10,'VK-Põlevkivi'!$C:$X,2+$G117,0))+IF(BD$4="X",VLOOKUP(BD$10,'VK-Võrgud'!$C:$X,2+$F117,0))</f>
        <v>9.425416666666667</v>
      </c>
      <c r="BE117" s="230"/>
      <c r="BF117" s="229">
        <f t="shared" si="64"/>
        <v>0.36210496932840874</v>
      </c>
      <c r="BG117" s="209" t="e">
        <f>(IF(BG$7="X",VLOOKUP(BG$10,'VK-Hooned-Soojus'!$C:$X,2+$C117,FALSE),0)+IF(BG$6="X",VLOOKUP(BG$10,'VK-Transport'!$C:$X,2+$B117,0))+IF(BG$8="X",VLOOKUP(BG$10,'VK-Elekter'!$C:$X,2+$D117,0))+IF(BG$9="X",VLOOKUP(BG$10,'VK-Biokütused'!$C:$U,2+$E117,0))+IF(BG$5="X",VLOOKUP(BG$10,'VK-Põlevkivi'!$C:$X,2+$G117,0))+IF(BG$4="X",VLOOKUP(BG$10,'VK-Võrgud'!$C:$X,2+$F117,0)))/20</f>
        <v>#N/A</v>
      </c>
      <c r="BH117" s="209">
        <f>(IF(BH$7="X",VLOOKUP(BH$10,'VK-Hooned-Soojus'!$C:$X,2+$C117,FALSE),0)+IF(BH$6="X",VLOOKUP(BH$10,'VK-Transport'!$C:$X,2+$B117,0))+IF(BH$8="X",VLOOKUP(BH$10,'VK-Elekter'!$C:$X,2+$D117,0))+IF(BH$9="X",VLOOKUP(BH$10,'VK-Biokütused'!$C:$U,2+$E117,0))+IF(BH$5="X",VLOOKUP(BH$10,'VK-Põlevkivi'!$C:$X,2+$G117,0))+IF(BH$4="X",VLOOKUP(BH$10,'VK-Võrgud'!$C:$X,2+$F117,0)))/20</f>
        <v>45.08</v>
      </c>
      <c r="BI117" s="209">
        <f>(IF(BI$7="X",VLOOKUP(BI$10,'VK-Hooned-Soojus'!$C:$X,2+$C117,FALSE),0)+IF(BI$6="X",VLOOKUP(BI$10,'VK-Transport'!$C:$X,2+$B117,0))+IF(BI$8="X",VLOOKUP(BI$10,'VK-Elekter'!$C:$X,2+$D117,0))+IF(BI$9="X",VLOOKUP(BI$10,'VK-Biokütused'!$C:$U,2+$E117,0))+IF(BI$5="X",VLOOKUP(BI$10,'VK-Põlevkivi'!$C:$X,2+$G117,0))+IF(BI$4="X",VLOOKUP(BI$10,'VK-Võrgud'!$C:$X,2+$F117,0)))/16</f>
        <v>14.1875</v>
      </c>
      <c r="BJ117" s="209">
        <f>(IF(BJ$7="X",VLOOKUP(BJ$10,'VK-Hooned-Soojus'!$C:$X,2+$C117,FALSE),0)+IF(BJ$6="X",VLOOKUP(BJ$10,'VK-Transport'!$C:$X,2+$B117,0))+IF(BJ$8="X",VLOOKUP(BJ$10,'VK-Elekter'!$C:$X,2+$D117,0))+IF(BJ$9="X",VLOOKUP(BJ$10,'VK-Biokütused'!$C:$U,2+$E117,0))+IF(BJ$5="X",VLOOKUP(BJ$10,'VK-Põlevkivi'!$C:$X,2+$G117,0))+IF(BJ$4="X",VLOOKUP(BJ$10,'VK-Võrgud'!$C:$X,2+$F117,0)))/20</f>
        <v>3.91</v>
      </c>
      <c r="BK117" s="209"/>
      <c r="BL117" s="209"/>
      <c r="BM117" s="209"/>
      <c r="BN117" s="209" t="e">
        <f>(IF(BN$7="X",VLOOKUP(BN$10,'VK-Hooned-Soojus'!$C:$X,2+$C117,FALSE),0)+IF(BN$6="X",VLOOKUP(BN$10,'VK-Transport'!$C:$X,2+$B117,0))+IF(BN$8="X",VLOOKUP(BN$10,'VK-Elekter'!$C:$X,2+$D117,0))+IF(BN$9="X",VLOOKUP(BN$10,'VK-Biokütused'!$C:$U,2+$E117,0))+IF(BN$5="X",VLOOKUP(BN$10,'VK-Põlevkivi'!$C:$X,2+$G117,0))+IF(BN$4="X",VLOOKUP(BN$10,'VK-Võrgud'!$C:$X,2+$F117,0)))/16</f>
        <v>#N/A</v>
      </c>
      <c r="BO117" s="209">
        <f>(IF(BO$7="X",VLOOKUP(BO$10,'VK-Hooned-Soojus'!$C:$X,2+$C117,FALSE),0)+IF(BO$6="X",VLOOKUP(BO$10,'VK-Transport'!$C:$X,2+$B117,0))+IF(BO$8="X",VLOOKUP(BO$10,'VK-Elekter'!$C:$X,2+$D117,0))+IF(BO$9="X",VLOOKUP(BO$10,'VK-Biokütused'!$C:$U,2+$E117,0))+IF(BO$5="X",VLOOKUP(BO$10,'VK-Põlevkivi'!$C:$X,2+$G117,0))+IF(BO$4="X",VLOOKUP(BO$10,'VK-Võrgud'!$C:$X,2+$F117,0)))/16</f>
        <v>322.79374999999999</v>
      </c>
      <c r="BP117" s="209"/>
      <c r="BQ117" s="209">
        <f>(IF(BQ$7="X",VLOOKUP(BQ$10,'VK-Hooned-Soojus'!$C:$X,2+$C117,FALSE),0)+IF(BQ$6="X",VLOOKUP(BQ$10,'VK-Transport'!$C:$X,2+$B117,0))+IF(BQ$8="X",VLOOKUP(BQ$10,'VK-Elekter'!$C:$X,2+$D117,0))+IF(BQ$9="X",VLOOKUP(BQ$10,'VK-Biokütused'!$C:$U,2+$E117,0))+IF(BQ$5="X",VLOOKUP(BQ$10,'VK-Põlevkivi'!$C:$X,2+$G117,0))+IF(BQ$4="X",VLOOKUP(BQ$10,'VK-Võrgud'!$C:$X,2+$F117,0)))/16</f>
        <v>233.20625000000001</v>
      </c>
      <c r="BR117" s="209">
        <f>(IF(BR$7="X",VLOOKUP(BR$10,'VK-Hooned-Soojus'!$C:$X,2+$C117,FALSE),0)+IF(BR$6="X",VLOOKUP(BR$10,'VK-Transport'!$C:$X,2+$B117,0))+IF(BR$8="X",VLOOKUP(BR$10,'VK-Elekter'!$C:$X,2+$D117,0))+IF(BR$9="X",VLOOKUP(BR$10,'VK-Biokütused'!$C:$U,2+$E117,0))+IF(BR$5="X",VLOOKUP(BR$10,'VK-Põlevkivi'!$C:$X,2+$G117,0))+IF(BR$4="X",VLOOKUP(BR$10,'VK-Võrgud'!$C:$X,2+$F117,0)))/16</f>
        <v>74.512500000000003</v>
      </c>
      <c r="BS117" s="209">
        <f>(IF(BS$7="X",VLOOKUP(BS$10,'VK-Hooned-Soojus'!$C:$X,2+$C117,FALSE),0)+IF(BS$6="X",VLOOKUP(BS$10,'VK-Transport'!$C:$X,2+$B117,0))+IF(BS$8="X",VLOOKUP(BS$10,'VK-Elekter'!$C:$X,2+$D117,0))+IF(BS$9="X",VLOOKUP(BS$10,'VK-Biokütused'!$C:$U,2+$E117,0))+IF(BS$5="X",VLOOKUP(BS$10,'VK-Põlevkivi'!$C:$X,2+$G117,0))+IF(BS$4="X",VLOOKUP(BS$10,'VK-Võrgud'!$C:$X,2+$F117,0)))/16</f>
        <v>-21.475000000000001</v>
      </c>
      <c r="BT117" s="209"/>
      <c r="BU117" s="209"/>
      <c r="BV117" s="209">
        <f>(IF(BV$7="X",VLOOKUP(BV$10,'VK-Hooned-Soojus'!$C:$X,2+$C117,FALSE),0)+IF(BV$6="X",VLOOKUP(BV$10,'VK-Transport'!$C:$X,2+$B117,0))+IF(BV$8="X",VLOOKUP(BV$10,'VK-Elekter'!$C:$X,2+$D117,0))+IF(BV$9="X",VLOOKUP(BV$10,'VK-Biokütused'!$C:$U,2+$E117,0))+IF(BV$5="X",VLOOKUP(BV$10,'VK-Põlevkivi'!$C:$X,2+$G117,0))+IF(BV$4="X",VLOOKUP(BV$10,'VK-Võrgud'!$C:$X,2+$F117,0)))/16</f>
        <v>0</v>
      </c>
      <c r="BW117" s="209"/>
      <c r="BX117" s="209">
        <f>(IF(BX$7="X",VLOOKUP(BX$10,'VK-Hooned-Soojus'!$C:$X,2+$C117,FALSE),0)+IF(BX$6="X",VLOOKUP(BX$10,'VK-Transport'!$C:$X,2+$B117,0))+IF(BX$8="X",VLOOKUP(BX$10,'VK-Elekter'!$C:$X,2+$D117,0))+IF(BX$9="X",VLOOKUP(BX$10,'VK-Biokütused'!$C:$U,2+$E117,0))+IF(BX$5="X",VLOOKUP(BX$10,'VK-Põlevkivi'!$C:$X,2+$G117,0))+IF(BX$4="X",VLOOKUP(BX$10,'VK-Võrgud'!$C:$X,2+$F117,0)))/16</f>
        <v>-99.6875</v>
      </c>
      <c r="BY117" s="209"/>
      <c r="BZ117" s="209"/>
      <c r="CA117" s="209" t="e">
        <f>(IF(CA$7="X",VLOOKUP(CA$10,'VK-Hooned-Soojus'!$C:$X,2+$C117,FALSE),0)+IF(CA$6="X",VLOOKUP(CA$10,'VK-Transport'!$C:$X,2+$B117,0))+IF(CA$8="X",VLOOKUP(CA$10,'VK-Elekter'!$C:$X,2+$D117,0))+IF(CA$9="X",VLOOKUP(CA$10,'VK-Biokütused'!$C:$U,2+$E117,0))+IF(CA$5="X",VLOOKUP(CA$10,'VK-Põlevkivi'!$C:$X,2+$G117,0))+IF(CA$4="X",VLOOKUP(CA$10,'VK-Võrgud'!$C:$X,2+$F117,0)))/16</f>
        <v>#N/A</v>
      </c>
      <c r="CB117" s="209">
        <f>(IF(CB$7="X",VLOOKUP(CB$10,'VK-Hooned-Soojus'!$C:$X,2+$C117,FALSE),0)+IF(CB$6="X",VLOOKUP(CB$10,'VK-Transport'!$C:$X,2+$B117,0))+IF(CB$8="X",VLOOKUP(CB$10,'VK-Elekter'!$C:$X,2+$D117,0))+IF(CB$9="X",VLOOKUP(CB$10,'VK-Biokütused'!$C:$U,2+$E117,0))+IF(CB$5="X",VLOOKUP(CB$10,'VK-Põlevkivi'!$C:$X,2+$G117,0))+IF(CB$4="X",VLOOKUP(CB$10,'VK-Võrgud'!$C:$X,2+$F117,0)))/16</f>
        <v>0</v>
      </c>
      <c r="CC117" s="209">
        <f>(IF(CC$7="X",VLOOKUP(CC$10,'VK-Hooned-Soojus'!$C:$X,2+$C117,FALSE),0)+IF(CC$6="X",VLOOKUP(CC$10,'VK-Transport'!$C:$X,2+$B117,0))+IF(CC$8="X",VLOOKUP(CC$10,'VK-Elekter'!$C:$X,2+$D117,0))+IF(CC$9="X",VLOOKUP(CC$10,'VK-Biokütused'!$C:$U,2+$E117,0))+IF(CC$5="X",VLOOKUP(CC$10,'VK-Põlevkivi'!$C:$X,2+$G117,0))+IF(CC$4="X",VLOOKUP(CC$10,'VK-Võrgud'!$C:$X,2+$F117,0)))/16</f>
        <v>0</v>
      </c>
      <c r="CD117" s="209"/>
      <c r="CE117" s="209">
        <f>(IF(CE$7="X",VLOOKUP(CE$10,'VK-Hooned-Soojus'!$C:$X,2+$C117,FALSE),0)+IF(CE$6="X",VLOOKUP(CE$10,'VK-Transport'!$C:$X,2+$B117,0))+IF(CE$8="X",VLOOKUP(CE$10,'VK-Elekter'!$C:$X,2+$D117,0))+IF(CE$9="X",VLOOKUP(CE$10,'VK-Biokütused'!$C:$U,2+$E117,0))+IF(CE$5="X",VLOOKUP(CE$10,'VK-Põlevkivi'!$C:$X,2+$G117,0))+IF(CE$4="X",VLOOKUP(CE$10,'VK-Võrgud'!$C:$X,2+$F117,0)))/16</f>
        <v>24.15625</v>
      </c>
      <c r="CF117" s="209"/>
      <c r="CG117" s="209">
        <f>(IF(CG$7="X",VLOOKUP(CG$10,'VK-Hooned-Soojus'!$C:$X,2+$C117,FALSE),0)+IF(CG$6="X",VLOOKUP(CG$10,'VK-Transport'!$C:$X,2+$B117,0))+IF(CG$8="X",VLOOKUP(CG$10,'VK-Elekter'!$C:$X,2+$D117,0))+IF(CG$9="X",VLOOKUP(CG$10,'VK-Biokütused'!$C:$U,2+$E117,0))+IF(CG$5="X",VLOOKUP(CG$10,'VK-Põlevkivi'!$C:$X,2+$G117,0))+IF(CG$4="X",VLOOKUP(CG$10,'VK-Võrgud'!$C:$X,2+$F117,0)))/16</f>
        <v>0</v>
      </c>
      <c r="CH117" s="209">
        <f>(IF(CH$7="X",VLOOKUP(CH$10,'VK-Hooned-Soojus'!$C:$X,2+$C117,FALSE),0)+IF(CH$6="X",VLOOKUP(CH$10,'VK-Transport'!$C:$X,2+$B117,0))+IF(CH$8="X",VLOOKUP(CH$10,'VK-Elekter'!$C:$X,2+$D117,0))+IF(CH$9="X",VLOOKUP(CH$10,'VK-Biokütused'!$C:$U,2+$E117,0))+IF(CH$5="X",VLOOKUP(CH$10,'VK-Põlevkivi'!$C:$X,2+$G117,0))+IF(CH$4="X",VLOOKUP(CH$10,'VK-Võrgud'!$C:$X,2+$F117,0)))/20*0.21</f>
        <v>11.225549999999998</v>
      </c>
      <c r="CI117" s="209"/>
      <c r="CJ117" s="209">
        <f>(IF(CJ$7="X",VLOOKUP(CJ$10,'VK-Hooned-Soojus'!$C:$X,2+$C117,FALSE),0)+IF(CJ$6="X",VLOOKUP(CJ$10,'VK-Transport'!$C:$X,2+$B117,0))+IF(CJ$8="X",VLOOKUP(CJ$10,'VK-Elekter'!$C:$X,2+$D117,0))+IF(CJ$9="X",VLOOKUP(CJ$10,'VK-Biokütused'!$C:$U,2+$E117,0))+IF(CJ$5="X",VLOOKUP(CJ$10,'VK-Põlevkivi'!$C:$X,2+$G117,0))+IF(CJ$4="X",VLOOKUP(CJ$10,'VK-Võrgud'!$C:$X,2+$F117,0)))/1000</f>
        <v>17.161999999999999</v>
      </c>
      <c r="CK117" s="209">
        <f>(IF(CK$7="X",VLOOKUP(CK$10,'VK-Hooned-Soojus'!$C:$X,2+$C117,FALSE),0)+IF(CK$6="X",VLOOKUP(CK$10,'VK-Transport'!$C:$X,2+$B117,0))+IF(CK$8="X",VLOOKUP(CK$10,'VK-Elekter'!$C:$X,2+$D117,0))+IF(CK$9="X",VLOOKUP(CK$10,'VK-Biokütused'!$C:$U,2+$E117,0))+IF(CK$5="X",VLOOKUP(CK$10,'VK-Põlevkivi'!$C:$X,2+$G117,0))+IF(CK$4="X",VLOOKUP(CK$10,'VK-Võrgud'!$C:$X,2+$F117,0)))/1000</f>
        <v>11.870496548433506</v>
      </c>
      <c r="CL117" s="235">
        <f>(IF(CL$7="X",VLOOKUP(CL$10,'VK-Hooned-Soojus'!$C:$X,2+$C117,FALSE),0)+IF(CL$6="X",VLOOKUP(CL$10,'VK-Transport'!$C:$X,2+$B117,0))+IF(CL$8="X",VLOOKUP(CL$10,'VK-Elekter'!$C:$X,2+$D117,0))+IF(CL$9="X",VLOOKUP(CL$10,'VK-Biokütused'!$C:$U,2+$E117,0)))/1000</f>
        <v>7.4946303115986801</v>
      </c>
      <c r="CM117" s="209">
        <f>(IF(CM$7="X",VLOOKUP(CM$10,'VK-Hooned-Soojus'!$C:$X,2+$C117,FALSE),0)+IF(CM$6="X",VLOOKUP(CM$10,'VK-Transport'!$C:$X,2+$B117,0))+IF(CM$8="X",VLOOKUP(CM$10,'VK-Elekter'!$C:$X,2+$D117,0))+IF(CM$9="X",VLOOKUP(CM$10,'VK-Biokütused'!$C:$U,2+$E117,0))+IF(CM$5="X",VLOOKUP(CM$10,'VK-Põlevkivi'!$C:$X,2+$G117,0))+IF(CM$4="X",VLOOKUP(CM$10,'VK-Võrgud'!$C:$X,2+$F117,0)))/1000</f>
        <v>7.7469999999999999</v>
      </c>
      <c r="CN117" s="209">
        <f>(IF(CN$7="X",VLOOKUP(CN$10,'VK-Hooned-Soojus'!$C:$X,2+$C117,FALSE),0)+IF(CN$6="X",VLOOKUP(CN$10,'VK-Transport'!$C:$X,2+$B117,0))+IF(CN$8="X",VLOOKUP(CN$10,'VK-Elekter'!$C:$X,2+$D117,0))+IF(CN$9="X",VLOOKUP(CN$10,'VK-Biokütused'!$C:$U,2+$E117,0))+IF(CN$5="X",VLOOKUP(CN$10,'VK-Põlevkivi'!$C:$X,2+$G117,0))+IF(CN$4="X",VLOOKUP(CN$10,'VK-Võrgud'!$C:$X,2+$F117,0)))/1000</f>
        <v>2.8759999999999999</v>
      </c>
      <c r="CO117" s="209">
        <f>(IF(CO$7="X",VLOOKUP(CO$10,'VK-Hooned-Soojus'!$C:$X,2+$C117,FALSE),0)+IF(CO$6="X",VLOOKUP(CO$10,'VK-Transport'!$C:$X,2+$B117,0))+IF(CO$8="X",VLOOKUP(CO$10,'VK-Elekter'!$C:$X,2+$D117,0))+IF(CO$9="X",VLOOKUP(CO$10,'VK-Biokütused'!$C:$U,2+$E117,0))+IF(CO$5="X",VLOOKUP(CO$10,'VK-Põlevkivi'!$C:$X,2+$G117,0))+IF(CO$4="X",VLOOKUP(CO$10,'VK-Võrgud'!$C:$X,2+$F117,0)))/1000</f>
        <v>23.737362337356995</v>
      </c>
      <c r="CP117" s="209">
        <f>(IF(CP$7="X",VLOOKUP(CP$10,'VK-Hooned-Soojus'!$C:$X,2+$C117,FALSE),0)+IF(CP$6="X",VLOOKUP(CP$10,'VK-Transport'!$C:$X,2+$B117,0))+IF(CP$8="X",VLOOKUP(CP$10,'VK-Elekter'!$C:$X,2+$D117,0))+IF(CP$9="X",VLOOKUP(CP$10,'VK-Biokütused'!$C:$U,2+$E117,0))+IF(CP$5="X",VLOOKUP(CP$10,'VK-Põlevkivi'!$C:$X,2+$G117,0))+IF(CP$4="X",VLOOKUP(CP$10,'VK-Võrgud'!$C:$X,2+$F117,0)))/1000</f>
        <v>13.441392120693662</v>
      </c>
      <c r="CQ117" s="235">
        <f>(IF(CQ$7="X",VLOOKUP(CQ$10,'VK-Hooned-Soojus'!$C:$X,2+$C117,FALSE),0)+IF(CQ$6="X",VLOOKUP(CQ$10,'VK-Transport'!$C:$X,2+$B117,0))+IF(CQ$8="X",VLOOKUP(CQ$10,'VK-Elekter'!$C:$X,2+$D117,0))+IF(CQ$9="X",VLOOKUP(CQ$10,'VK-Biokütused'!$C:$U,2+$E117,0)))/1000</f>
        <v>10.298919</v>
      </c>
      <c r="CR117" s="209">
        <f>(IF(CR$7="X",VLOOKUP(CR$10,'VK-Hooned-Soojus'!$C:$X,2+$C117,FALSE),0)+IF(CR$6="X",VLOOKUP(CR$10,'VK-Transport'!$C:$X,2+$B117,0))+IF(CR$8="X",VLOOKUP(CR$10,'VK-Elekter'!$C:$X,2+$D117,0))+IF(CR$9="X",VLOOKUP(CR$10,'VK-Biokütused'!$C:$U,2+$E117,0))+IF(CR$5="X",VLOOKUP(CR$10,'VK-Põlevkivi'!$C:$X,2+$G117,0))+IF(CR$4="X",VLOOKUP(CR$10,'VK-Võrgud'!$C:$X,2+$F117,0)))/1000</f>
        <v>7.8547518373996894</v>
      </c>
      <c r="CS117" s="209">
        <f>(IF(CS$7="X",VLOOKUP(CS$10,'VK-Hooned-Soojus'!$C:$X,2+$C117,FALSE),0)+IF(CS$6="X",VLOOKUP(CS$10,'VK-Transport'!$C:$X,2+$B117,0))+IF(CS$8="X",VLOOKUP(CS$10,'VK-Elekter'!$C:$X,2+$D117,0))+IF(CS$9="X",VLOOKUP(CS$10,'VK-Biokütused'!$C:$U,2+$E117,0))+IF(CS$5="X",VLOOKUP(CS$10,'VK-Põlevkivi'!$C:$X,2+$G117,0))+IF(CS$4="X",VLOOKUP(CS$10,'VK-Võrgud'!$C:$X,2+$F117,0)))/1000</f>
        <v>3.8186495098622379</v>
      </c>
      <c r="CT117" s="209">
        <f>IF(CT$7="X",VLOOKUP(CT$10,'VK-Hooned-Soojus'!$C:$X,2+$C117,FALSE),0)+IF(CT$6="X",VLOOKUP(CT$10,'VK-Transport'!$C:$X,2+$B117,0))+IF(CT$8="X",VLOOKUP(CT$10,'VK-Elekter'!$C:$X,2+$D117,0))+IF(CT$9="X",VLOOKUP(CT$10,'VK-Biokütused'!$C:$U,2+$E117,0))+IF(CT$5="X",VLOOKUP(CT$10,'VK-Põlevkivi'!$C:$X,2+$G117,0))+IF(CT$4="X",VLOOKUP(CT$10,'VK-Võrgud'!$C:$X,2+$F117,0))</f>
        <v>90</v>
      </c>
      <c r="CU117" s="209">
        <f>IF(CU$7="X",VLOOKUP(CU$10,'VK-Hooned-Soojus'!$C:$X,2+$C117,FALSE),0)+IF(CU$6="X",VLOOKUP(CU$10,'VK-Transport'!$C:$X,2+$B117,0))+IF(CU$8="X",VLOOKUP(CU$10,'VK-Elekter'!$C:$X,2+$D117,0))+IF(CU$9="X",VLOOKUP(CU$10,'VK-Biokütused'!$C:$U,2+$E117,0))+IF(CU$5="X",VLOOKUP(CU$10,'VK-Põlevkivi'!$C:$X,2+$G117,0))+IF(CU$4="X",VLOOKUP(CU$10,'VK-Võrgud'!$C:$X,2+$F117,0))</f>
        <v>0.72088353413654627</v>
      </c>
      <c r="CV117" s="209">
        <f t="shared" si="84"/>
        <v>0.72887234460741657</v>
      </c>
      <c r="CW117" s="209">
        <f>(IF(CW$7="X",VLOOKUP(CW$10,'VK-Hooned-Soojus'!$C:$X,2+$C117,FALSE),0)+IF(CW$6="X",VLOOKUP(CW$10,'VK-Transport'!$C:$X,2+$B117,0))+IF(CW$8="X",VLOOKUP(CW$10,'VK-Elekter'!$C:$X,2+$D117,0))+IF(CW$9="X",VLOOKUP(CW$10,'VK-Biokütused'!$C:$U,2+$E117,0))+IF(CW$5="X",VLOOKUP(CW$10,'VK-Põlevkivi'!$C:$X,2+$G117,0))+IF(CW$4="X",VLOOKUP(CW$10,'VK-Võrgud'!$C:$X,2+$F117,0)))/16</f>
        <v>59.743749999999999</v>
      </c>
      <c r="CY117" s="209">
        <f>(IF(CY$7="X",VLOOKUP(CY$10,'VK-Hooned-Soojus'!$C:$X,2+$C117,FALSE),0)+IF(CY$6="X",VLOOKUP(CY$10,'VK-Transport'!$C:$X,2+$B117,0))+IF(CY$8="X",VLOOKUP(CY$10,'VK-Elekter'!$C:$X,2+$D117,0))+IF(CY$9="X",VLOOKUP(CY$10,'VK-Biokütused'!$C:$U,2+$E117,0))+IF(CY$5="X",VLOOKUP(CY$10,'VK-Põlevkivi'!$C:$X,2+$G117,0))+IF(CY$4="X",VLOOKUP(CY$10,'VK-Võrgud'!$C:$X,2+$F117,0)))/1000</f>
        <v>9.9</v>
      </c>
      <c r="CZ117" s="209">
        <f>(IF(CZ$7="X",VLOOKUP(CZ$10,'VK-Hooned-Soojus'!$C:$X,2+$C117,FALSE),0)+IF(CZ$6="X",VLOOKUP(CZ$10,'VK-Transport'!$C:$X,2+$B117,0))+IF(CZ$8="X",VLOOKUP(CZ$10,'VK-Elekter'!$C:$X,2+$D117,0))+IF(CZ$9="X",VLOOKUP(CZ$10,'VK-Biokütused'!$C:$U,2+$E117,0))+IF(CZ$5="X",VLOOKUP(CZ$10,'VK-Põlevkivi'!$C:$X,2+$G117,0))+IF(CZ$4="X",VLOOKUP(CZ$10,'VK-Võrgud'!$C:$X,2+$F117,0)))</f>
        <v>66.400000000000006</v>
      </c>
      <c r="DA117" s="209">
        <f>(IF(DA$7="X",VLOOKUP(DA$10,'VK-Hooned-Soojus'!$C:$X,2+$C117,FALSE),0)+IF(DA$6="X",VLOOKUP(DA$10,'VK-Transport'!$C:$X,2+$B117,0))+IF(DA$8="X",VLOOKUP(DA$10,'VK-Elekter'!$C:$X,2+$D117,0))+IF(DA$9="X",VLOOKUP(DA$10,'VK-Biokütused'!$C:$U,2+$E117,0))+IF(DA$5="X",VLOOKUP(DA$10,'VK-Põlevkivi'!$C:$X,2+$G117,0))+IF(DA$4="X",VLOOKUP(DA$10,'VK-Võrgud'!$C:$X,2+$F117,0)))/1000</f>
        <v>12.962</v>
      </c>
      <c r="DB117" s="209">
        <f>(IF(DB$7="X",VLOOKUP(DB$10,'VK-Hooned-Soojus'!$C:$X,2+$C117,FALSE),0)+IF(DB$6="X",VLOOKUP(DB$10,'VK-Transport'!$C:$X,2+$B117,0))+IF(DB$8="X",VLOOKUP(DB$10,'VK-Elekter'!$C:$X,2+$D117,0))+IF(DB$9="X",VLOOKUP(DB$10,'VK-Biokütused'!$C:$U,2+$E117,0))+IF(DB$5="X",VLOOKUP(DB$10,'VK-Põlevkivi'!$C:$X,2+$G117,0))+IF(DB$4="X",VLOOKUP(DB$10,'VK-Võrgud'!$C:$X,2+$F117,0)))/1000/3.6</f>
        <v>58.557499999999997</v>
      </c>
      <c r="DC117" s="209">
        <f>(IF(DC$7="X",VLOOKUP(DC$10,'VK-Hooned-Soojus'!$C:$X,2+$C117,FALSE),0)+IF(DC$6="X",VLOOKUP(DC$10,'VK-Transport'!$C:$X,2+$B117,0))+IF(DC$8="X",VLOOKUP(DC$10,'VK-Elekter'!$C:$X,2+$D117,0))+IF(DC$9="X",VLOOKUP(DC$10,'VK-Biokütused'!$C:$U,2+$E117,0))+IF(DC$5="X",VLOOKUP(DC$10,'VK-Põlevkivi'!$C:$X,2+$G117,0))+IF(DC$4="X",VLOOKUP(DC$10,'VK-Võrgud'!$C:$X,2+$F117,0)))/1000000</f>
        <v>4.6912339999999997</v>
      </c>
      <c r="DD117" s="209"/>
      <c r="DE117" s="88">
        <f>VLOOKUP(Tulemused!$BN$12,data!M$7:N$12,2,FALSE)-SUM(L117,M117)</f>
        <v>-5.2509373024363981E-2</v>
      </c>
      <c r="DF117" s="209" t="str">
        <f>IF(AZ117&lt;=VLOOKUP(Tulemused!$BN$15,data!$E$36:$F$39,2,FALSE),"JAH","EI")</f>
        <v>JAH</v>
      </c>
      <c r="DG117" s="209"/>
      <c r="DH117" s="209">
        <f t="shared" si="85"/>
        <v>6.28</v>
      </c>
      <c r="DI117" s="231" t="str">
        <f t="shared" si="65"/>
        <v>EI</v>
      </c>
      <c r="DK117" s="232">
        <f t="shared" si="86"/>
        <v>-993.73522806530696</v>
      </c>
      <c r="DM117" s="233">
        <f t="shared" si="87"/>
        <v>-997.15927029719535</v>
      </c>
      <c r="DN117" s="87">
        <f t="array" ref="DN117">INDEX($A$11:$A$145, SMALL(IF(DM117=$DK$11:$DK$145, MATCH(ROW($DK$11:$DK$145), ROW($DK$11:$DK$145))), SUM(--(DM117=$DM$11:DM117))))</f>
        <v>43</v>
      </c>
      <c r="DP117" s="87" t="e">
        <f t="shared" ca="1" si="66"/>
        <v>#N/A</v>
      </c>
      <c r="DQ117" s="87" t="e">
        <f t="shared" ca="1" si="67"/>
        <v>#N/A</v>
      </c>
      <c r="DR117" s="87">
        <f t="shared" ca="1" si="68"/>
        <v>0</v>
      </c>
      <c r="DS117" s="87" t="e">
        <f t="shared" ca="1" si="69"/>
        <v>#N/A</v>
      </c>
      <c r="DT117" s="87">
        <f t="shared" ca="1" si="70"/>
        <v>0</v>
      </c>
      <c r="DU117" s="87" t="e">
        <f t="shared" ca="1" si="71"/>
        <v>#N/A</v>
      </c>
      <c r="DV117" s="87" t="e">
        <f t="shared" ca="1" si="72"/>
        <v>#N/A</v>
      </c>
      <c r="DW117" s="87">
        <f t="shared" ca="1" si="73"/>
        <v>0</v>
      </c>
      <c r="DX117" s="87">
        <f t="shared" ca="1" si="74"/>
        <v>0</v>
      </c>
      <c r="DZ117" s="87">
        <f t="shared" ca="1" si="82"/>
        <v>0</v>
      </c>
      <c r="EB117" s="87">
        <f t="shared" ca="1" si="75"/>
        <v>0</v>
      </c>
      <c r="EC117" s="87" t="e">
        <f t="shared" ca="1" si="76"/>
        <v>#N/A</v>
      </c>
      <c r="EE117" s="228">
        <f>(IF(EE$7="X",VLOOKUP(EE$10,'VK-Hooned-Soojus'!$C:$X,2+$C117,FALSE),0)+IF(EE$6="X",VLOOKUP(EE$10,'VK-Transport'!$C:$X,2+$B117,0))+IF(EE$8="X",VLOOKUP(EE$10,'VK-Elekter'!$C:$X,2+$D117,0))+IF(EE$9="X",VLOOKUP(EE$10,'VK-Biokütused'!$C:$U,2+$E117,0))+IF(EE$5="X",VLOOKUP(EE$10,'VK-Põlevkivi'!$C:$X,2+$G117,0))+IF(EE$4="X",VLOOKUP(EE$10,'VK-Võrgud'!$C:$X,2+$F117,0)))</f>
        <v>8073.0213271662387</v>
      </c>
      <c r="EF117" s="235">
        <f>(IF(EF$7="X",VLOOKUP(EF$10,'VK-Hooned-Soojus'!$C:$X,2+$C117,FALSE),0)+IF(EF$6="X",VLOOKUP(EF$10,'VK-Transport'!$C:$X,2+$B117,0))+IF(EF$8="X",VLOOKUP(EF$10,'VK-Elekter'!$C:$X,2+$D117,0))+IF(EF$9="X",VLOOKUP(EF$10,'VK-Biokütused'!$C:$U,2+$E117,0)))/1000</f>
        <v>2.9818849906373197</v>
      </c>
      <c r="EG117" s="209">
        <f>(IF(EG$7="X",VLOOKUP(EG$10,'VK-Hooned-Soojus'!$C:$X,2+$C117,FALSE),0)+IF(EG$6="X",VLOOKUP(EG$10,'VK-Transport'!$C:$X,2+$B117,0))+IF(EG$8="X",VLOOKUP(EG$10,'VK-Elekter'!$C:$X,2+$D117,0))+IF(EG$9="X",VLOOKUP(EG$10,'VK-Biokütused'!$C:$U,2+$E117,0))+IF(EG$5="X",VLOOKUP(EG$10,'VK-Põlevkivi'!$C:$X,2+$G117,0))+IF(EG$4="X",VLOOKUP(EG$10,'VK-Võrgud'!$C:$X,2+$F117,0)))</f>
        <v>0.81</v>
      </c>
      <c r="EH117" s="209">
        <f>(IF(EH$7="X",VLOOKUP(EH$10,'VK-Hooned-Soojus'!$C:$X,2+$C117,FALSE),0)+IF(EH$6="X",VLOOKUP(EH$10,'VK-Transport'!$C:$X,2+$B117,0))+IF(EH$8="X",VLOOKUP(EH$10,'VK-Elekter'!$C:$X,2+$D117,0))+IF(EH$9="X",VLOOKUP(EH$10,'VK-Biokütused'!$C:$U,2+$E117,0)))+AR117+AS117+AU117+AX117</f>
        <v>50.305637038771785</v>
      </c>
      <c r="EI117" s="320">
        <f t="shared" si="88"/>
        <v>45.102900516795863</v>
      </c>
      <c r="EJ117" s="322">
        <f t="shared" si="89"/>
        <v>2.4608217929567841E-2</v>
      </c>
      <c r="EK117" s="323">
        <f t="shared" si="77"/>
        <v>0.43983091445120043</v>
      </c>
      <c r="EM117" s="209"/>
      <c r="EN117" s="209">
        <f t="shared" ca="1" si="90"/>
        <v>0</v>
      </c>
      <c r="EO117" s="209"/>
      <c r="EP117" s="234"/>
      <c r="EQ117" s="209">
        <f>(IF(EQ$7="X",VLOOKUP(EQ$10,'VK-Hooned-Soojus'!$C:$X,2+$C117,FALSE),0)+IF(EQ$6="X",VLOOKUP(EQ$10,'VK-Transport'!$C:$X,2+$B117,0))+IF(EQ$8="X",VLOOKUP(EQ$10,'VK-Elekter'!$C:$X,2+$D117,0))+IF(EQ$9="X",VLOOKUP(EQ$10,'VK-Biokütused'!$C:$U,2+$E117,0))+IF(EQ$5="X",VLOOKUP(EQ$10,'VK-Põlevkivi'!$C:$X,2+$G117,0))+IF(EQ$4="X",VLOOKUP(EQ$10,'VK-Võrgud'!$C:$X,2+$F117,0)))/1000</f>
        <v>0.21099999999999999</v>
      </c>
      <c r="ER117" s="209">
        <f>(IF(ER$7="X",VLOOKUP(ER$10,'VK-Hooned-Soojus'!$C:$X,2+$C117,FALSE),0)+IF(ER$6="X",VLOOKUP(ER$10,'VK-Transport'!$C:$X,2+$B117,0))+IF(ER$8="X",VLOOKUP(ER$10,'VK-Elekter'!$C:$X,2+$D117,0))+IF(ER$9="X",VLOOKUP(ER$10,'VK-Biokütused'!$C:$U,2+$E117,0))+IF(ER$5="X",VLOOKUP(ER$10,'VK-Põlevkivi'!$C:$X,2+$G117,0))+IF(ER$4="X",VLOOKUP(ER$10,'VK-Võrgud'!$C:$X,2+$F117,0)))</f>
        <v>0.76300000000000001</v>
      </c>
      <c r="ES117" s="209">
        <f>(IF(ES$7="X",VLOOKUP(ES$10,'VK-Hooned-Soojus'!$C:$X,2+$C117,FALSE),0)+IF(ES$6="X",VLOOKUP(ES$10,'VK-Transport'!$C:$X,2+$B117,0))+IF(ES$8="X",VLOOKUP(ES$10,'VK-Elekter'!$C:$X,2+$D117,0))+IF(ES$9="X",VLOOKUP(ES$10,'VK-Biokütused'!$C:$U,2+$E117,0))+IF(ES$5="X",VLOOKUP(ES$10,'VK-Põlevkivi'!$C:$X,2+$G117,0))+IF(ES$4="X",VLOOKUP(ES$10,'VK-Võrgud'!$C:$X,2+$F117,0)))</f>
        <v>6.28</v>
      </c>
      <c r="ET117" s="209"/>
      <c r="EU117" s="209"/>
      <c r="EV117" s="87">
        <f>'KSH järjestus'!AS110</f>
        <v>973</v>
      </c>
      <c r="EZ117" s="237">
        <f t="shared" si="91"/>
        <v>0.27911646586345373</v>
      </c>
      <c r="FA117" s="209">
        <f>IF(FA$7="X",VLOOKUP(FA$10,'VK-Hooned-Soojus'!$C:$X,2+$C117,FALSE),0)+IF(FA$6="X",VLOOKUP(FA$10,'VK-Transport'!$C:$X,2+$B117,0))+IF(FA$8="X",VLOOKUP(FA$10,'VK-Elekter'!$C:$X,2+$D117,0))+IF(FA$9="X",VLOOKUP(FA$10,'VK-Biokütused'!$C:$U,2+$E117,0))+IF(FA$5="X",VLOOKUP(FA$10,'VK-Põlevkivi'!$C:$X,2+$G117,0))+IF(FA$4="X",VLOOKUP(FA$10,'VK-Võrgud'!$C:$X,2+$F117,0))</f>
        <v>2914.9189999999999</v>
      </c>
      <c r="FB117" s="279">
        <f>(IF(FB$7="X",VLOOKUP(FB$10,'VK-Hooned-Soojus'!$C:$X,2+$C117,FALSE),0)+IF(FB$6="X",VLOOKUP(FB$10,'VK-Transport'!$C:$X,2+$B117,0))+IF(FB$8="X",VLOOKUP(FB$10,'VK-Elekter'!$C:$X,2+$D117,0))+IF(FB$9="X",VLOOKUP(FB$10,'VK-Biokütused'!$C:$U,2+$E117,0))+IF(FB$5="X",VLOOKUP(FB$10,'VK-Põlevkivi'!$C:$X,2+$G117,0))+IF(FB$4="X",VLOOKUP(FB$10,'VK-Võrgud'!$C:$X,2+$F117,0)))/16</f>
        <v>462.27911653361156</v>
      </c>
      <c r="FC117" s="209">
        <f>IF(FC$7="X",VLOOKUP(FC$10,'VK-Hooned-Soojus'!$C:$X,2+$C117,FALSE),0)+IF(FC$6="X",VLOOKUP(FC$10,'VK-Transport'!$C:$X,2+$B117,0))+IF(FC$8="X",VLOOKUP(FC$10,'VK-Elekter'!$C:$X,2+$D117,0))+IF(FC$9="X",VLOOKUP(FC$10,'VK-Biokütused'!$C:$U,2+$E117,0))+IF(FC$5="X",VLOOKUP(FC$10,'VK-Põlevkivi'!$C:$X,2+$G117,0))+IF(FC$4="X",VLOOKUP(FC$10,'VK-Võrgud'!$C:$X,2+$F117,0))</f>
        <v>294.39999999999998</v>
      </c>
      <c r="FD117" s="209">
        <f>(IF(FD$7="X",VLOOKUP(FD$10,'VK-Hooned-Soojus'!$C:$X,2+$C117,FALSE),0)+IF(FD$6="X",VLOOKUP(FD$10,'VK-Transport'!$C:$X,2+$B117,0))+IF(FD$8="X",VLOOKUP(FD$10,'VK-Elekter'!$C:$X,2+$D117,0))+IF(FD$9="X",VLOOKUP(FD$10,'VK-Biokütused'!$C:$U,2+$E117,0))+IF(FD$5="X",VLOOKUP(FD$10,'VK-Põlevkivi'!$C:$X,2+$G117,0))+IF(FD$4="X",VLOOKUP(FD$10,'VK-Võrgud'!$C:$X,2+$F117,0)))/16</f>
        <v>462.27911653361156</v>
      </c>
      <c r="FE117" s="209">
        <f>(IF(FE$7="X",VLOOKUP(FE$10,'VK-Hooned-Soojus'!$C:$X,2+$C117,FALSE),0)+IF(FE$6="X",VLOOKUP(FE$10,'VK-Transport'!$C:$X,2+$B117,0))+IF(FE$8="X",VLOOKUP(FE$10,'VK-Elekter'!$C:$X,2+$D117,0))+IF(FE$9="X",VLOOKUP(FE$10,'VK-Biokütused'!$C:$U,2+$E117,0))+IF(FE$5="X",VLOOKUP(FE$10,'VK-Põlevkivi'!$C:$X,2+$G117,0))+IF(FE$4="X",VLOOKUP(FE$10,'VK-Võrgud'!$C:$X,2+$F117,0)))/16</f>
        <v>-92.530719880632105</v>
      </c>
      <c r="FF117" s="209">
        <f>(IF(FF$7="X",VLOOKUP(FF$10,'VK-Hooned-Soojus'!$C:$X,2+$C117,FALSE),0)+IF(FF$6="X",VLOOKUP(FF$10,'VK-Transport'!$C:$X,2+$B117,0))+IF(FF$8="X",VLOOKUP(FF$10,'VK-Elekter'!$C:$X,2+$D117,0))+IF(FF$9="X",VLOOKUP(FF$10,'VK-Biokütused'!$C:$U,2+$E117,0))+IF(FF$5="X",VLOOKUP(FF$10,'VK-Põlevkivi'!$C:$X,2+$G117,0))+IF(FF$4="X",VLOOKUP(FF$10,'VK-Võrgud'!$C:$X,2+$F117,0)))/16</f>
        <v>200.58497963337737</v>
      </c>
      <c r="FG117" s="88">
        <f t="shared" ca="1" si="78"/>
        <v>108.05425975274527</v>
      </c>
      <c r="FH117" s="88"/>
      <c r="FI117" s="88"/>
      <c r="FJ117" s="88">
        <f>VLOOKUP(Tulemused!$BN$12,data!M$7:N$12,2,FALSE)-SUM(L117,M117)</f>
        <v>-5.2509373024363981E-2</v>
      </c>
      <c r="FK117" s="209" t="str">
        <f>IF(AZ117&lt;=VLOOKUP(Tulemused!$BN$15,data!$E$36:$F$39,2,FALSE),"JAH","EI")</f>
        <v>JAH</v>
      </c>
      <c r="FL117" s="235">
        <f ca="1">IF(ISNA(MATCH($A117,INDIRECT(VLOOKUP(Tulemused!$BF$11,data!$J$57:$M$71,4,FALSE)))),0,MATCH($A117,INDIRECT(VLOOKUP(Tulemused!$BF$11,data!$J$57:$M$71,4,FALSE))))</f>
        <v>0</v>
      </c>
      <c r="FM117" s="235" t="str">
        <f t="shared" ca="1" si="92"/>
        <v>JAH</v>
      </c>
      <c r="FN117" s="209">
        <f>VLOOKUP(Tulemused!$BN$13,data!$C$132:$D$137,2,FALSE)-KOMBI!R117</f>
        <v>4.6715850093626807</v>
      </c>
      <c r="FO117" s="209"/>
      <c r="FP117" s="209">
        <f>VLOOKUP(Tulemused!$BN$17,NO_x,2,FALSE)-CJ117</f>
        <v>12.276</v>
      </c>
      <c r="FQ117" s="209">
        <f>VLOOKUP(Tulemused!$BN$18,SO_2,2,FALSE)-CK117</f>
        <v>40.013503451566493</v>
      </c>
      <c r="FR117" s="209">
        <f>VLOOKUP(Tulemused!$BN$19,LOU,2,FALSE)-CN117</f>
        <v>34.204000000000008</v>
      </c>
      <c r="FS117" s="209">
        <f>VLOOKUP(Tulemused!$BN$20,PM_2.5,2,FALSE)-CM117</f>
        <v>9.1679999999999993</v>
      </c>
      <c r="FT117" s="209">
        <f>VLOOKUP(Tulemused!$BN$13,data!$C$132:$D$137,2,FALSE)-FA117/1000</f>
        <v>3.3310510000000009</v>
      </c>
      <c r="FU117" s="209">
        <f>VLOOKUP(Tulemused!$BN$17,NO_x,2,FALSE)-CO117</f>
        <v>5.700637662643004</v>
      </c>
      <c r="FV117" s="209">
        <f>VLOOKUP(Tulemused!$BN$18,SO_2,2,FALSE)-CP117</f>
        <v>38.442607879306337</v>
      </c>
      <c r="FW117" s="209">
        <f>VLOOKUP(Tulemused!$BN$19,LOU,2,FALSE)-CS117</f>
        <v>33.261350490137765</v>
      </c>
      <c r="FX117" s="209">
        <f>VLOOKUP(Tulemused!$BN$20,PM_2.5,2,FALSE)-CR117</f>
        <v>9.0602481626003097</v>
      </c>
      <c r="FY117" s="209">
        <f>VLOOKUP(Tulemused!$BN$14,KHG_2050,2,FALSE)-EF117</f>
        <v>97.018115009362674</v>
      </c>
      <c r="FZ117" s="231" t="str">
        <f t="shared" ca="1" si="79"/>
        <v>EI</v>
      </c>
      <c r="GA117" s="209"/>
      <c r="GB117" s="209"/>
      <c r="GC117" s="209"/>
      <c r="GD117" s="231"/>
      <c r="GE117" s="87">
        <f t="shared" si="93"/>
        <v>973</v>
      </c>
      <c r="GF117" s="232" t="str">
        <f t="shared" ca="1" si="80"/>
        <v/>
      </c>
      <c r="GH117" s="238" t="e">
        <f t="shared" ca="1" si="94"/>
        <v>#NUM!</v>
      </c>
      <c r="GI117" s="87" t="e">
        <f t="array" aca="1" ref="GI117" ca="1">INDEX($A$11:$A$145, SMALL(IF(GH117=$GF$11:$GF$145, MATCH(ROW($GF$11:$GF$145), ROW($GF$11:$GF$145))), SUM(--(GH117=$GH$11:GH117))))</f>
        <v>#NUM!</v>
      </c>
      <c r="GM117" s="209">
        <f>IF(GM$7="X",VLOOKUP(GM$10,'VK-Hooned-Soojus'!$C:$X,2+$C117,FALSE),0)+IF(GM$6="X",VLOOKUP(GM$10,'VK-Transport'!$C:$X,2+$B117,0))+IF(GM$8="X",VLOOKUP(GM$10,'VK-Elekter'!$C:$X,2+$D117,0))+IF(GM$9="X",VLOOKUP(GM$10,'VK-Biokütused'!$C:$U,2+$E117,0))+IF(GM$5="X",VLOOKUP(GM$10,'VK-Põlevkivi'!$C:$X,2+$G117,0))+IF(GM$4="X",VLOOKUP(GM$10,'VK-Võrgud'!$C:$X,2+$F117,0))</f>
        <v>6.012827991027228</v>
      </c>
      <c r="GN117" s="209">
        <f>IF(GN$7="X",VLOOKUP(GN$10,'VK-Hooned-Soojus'!$C:$X,2+$C117,FALSE),0)+IF(GN$6="X",VLOOKUP(GN$10,'VK-Transport'!$C:$X,2+$B117,0))+IF(GN$8="X",VLOOKUP(GN$10,'VK-Elekter'!$C:$X,2+$D117,0))+IF(GN$9="X",VLOOKUP(GN$10,'VK-Biokütused'!$C:$U,2+$E117,0))+IF(GN$5="X",VLOOKUP(GN$10,'VK-Põlevkivi'!$C:$X,2+$G117,0))+IF(GN$4="X",VLOOKUP(GN$10,'VK-Võrgud'!$C:$X,2+$F117,0))</f>
        <v>3.4467619395011728</v>
      </c>
      <c r="GO117" s="209">
        <f>IF(GO$7="X",VLOOKUP(GO$10,'VK-Hooned-Soojus'!$C:$X,2+$C117,FALSE),0)+IF(GO$6="X",VLOOKUP(GO$10,'VK-Transport'!$C:$X,2+$B117,0))+IF(GO$8="X",VLOOKUP(GO$10,'VK-Elekter'!$C:$X,2+$D117,0))+IF(GO$9="X",VLOOKUP(GO$10,'VK-Biokütused'!$C:$U,2+$E117,0))+IF(GO$5="X",VLOOKUP(GO$10,'VK-Põlevkivi'!$C:$X,2+$G117,0))+IF(GO$4="X",VLOOKUP(GO$10,'VK-Võrgud'!$C:$X,2+$F117,0))</f>
        <v>7.936370010272257</v>
      </c>
      <c r="GP117" s="209">
        <f>IF(GP$7="X",VLOOKUP(GP$10,'VK-Hooned-Soojus'!$C:$X,2+$C117,FALSE),0)+IF(GP$6="X",VLOOKUP(GP$10,'VK-Transport'!$C:$X,2+$B117,0))+IF(GP$8="X",VLOOKUP(GP$10,'VK-Elekter'!$C:$X,2+$D117,0))+IF(GP$9="X",VLOOKUP(GP$10,'VK-Biokütused'!$C:$U,2+$E117,0))+IF(GP$5="X",VLOOKUP(GP$10,'VK-Põlevkivi'!$C:$X,2+$G117,0))+IF(GP$4="X",VLOOKUP(GP$10,'VK-Võrgud'!$C:$X,2+$F117,0))</f>
        <v>9.1527946929596489</v>
      </c>
      <c r="GQ117" s="88">
        <f>IF(GQ$7="X",VLOOKUP(GQ$10,'VK-Hooned-Soojus'!$C:$X,2+$C117,FALSE),0)+IF(GQ$6="X",VLOOKUP(GQ$10,'VK-Transport'!$C:$X,2+$B117,0))+IF(GQ$8="X",VLOOKUP(GQ$10,'VK-Elekter'!$C:$X,2+$D117,0))+IF(GQ$9="X",VLOOKUP(GQ$10,'VK-Biokütused'!$C:$U,2+$E117,0))+IF(GQ$5="X",VLOOKUP(GQ$10,'VK-Põlevkivi'!$C:$X,2+$G117,0))+IF(GQ$4="X",VLOOKUP(GQ$10,'VK-Võrgud'!$C:$X,2+$F117,0))</f>
        <v>0.89042766952822527</v>
      </c>
      <c r="GR117" s="186">
        <f t="shared" si="81"/>
        <v>0.41021308782500948</v>
      </c>
    </row>
    <row r="118" spans="1:200" x14ac:dyDescent="0.2">
      <c r="A118" s="184">
        <v>108</v>
      </c>
      <c r="B118" s="87">
        <v>3</v>
      </c>
      <c r="C118" s="87">
        <v>2</v>
      </c>
      <c r="D118" s="87">
        <v>1</v>
      </c>
      <c r="E118" s="87">
        <v>3</v>
      </c>
      <c r="F118" s="87">
        <f>VLOOKUP(Tulemused!$BF$7,data!$J$6:$K$8,2,FALSE)</f>
        <v>2</v>
      </c>
      <c r="G118" s="87">
        <f>VLOOKUP(data!$H$2,data!$J$12:$K$14,2,FALSE)</f>
        <v>2</v>
      </c>
      <c r="I118" s="209">
        <f>IF(I$7="X",VLOOKUP(I$10,'VK-Hooned-Soojus'!$C:$X,2+$C118,FALSE),0)+IF(I$6="X",VLOOKUP(I$10,'VK-Transport'!$C:$X,2+$B118,0))+IF(I$8="X",VLOOKUP(I$10,'VK-Elekter'!$C:$X,2+$D118,0))+IF(I$9="X",VLOOKUP(I$10,'VK-Biokütused'!$C:$U,2+$E118,0))+IF(I$5="X",VLOOKUP(I$10,'VK-Põlevkivi'!$C:$X,2+$G118,0))+IF(I$4="X",VLOOKUP(I$10,'VK-Võrgud'!$C:$X,2+$F118,0))</f>
        <v>24.79</v>
      </c>
      <c r="J118" s="209">
        <f>IF(J$7="X",VLOOKUP(J$10,'VK-Hooned-Soojus'!$C:$X,2+$C118,FALSE),0)+IF(J$6="X",VLOOKUP(J$10,'VK-Transport'!$C:$X,2+$B118,0))+IF(J$8="X",VLOOKUP(J$10,'VK-Elekter'!$C:$X,2+$D118,0))+IF(J$9="X",VLOOKUP(J$10,'VK-Biokütused'!$C:$U,2+$E118,0))+IF(J$5="X",VLOOKUP(J$10,'VK-Põlevkivi'!$C:$X,2+$G118,0))+IF(J$4="X",VLOOKUP(J$10,'VK-Võrgud'!$C:$X,2+$F118,0))</f>
        <v>8.1258333333333344</v>
      </c>
      <c r="K118" s="209">
        <f>IF(K$7="X",VLOOKUP(K$10,'VK-Hooned-Soojus'!$C:$X,2+$C118,FALSE),0)+IF(K$6="X",VLOOKUP(K$10,'VK-Transport'!$C:$X,2+$B118,0))+IF(K$8="X",VLOOKUP(K$10,'VK-Elekter'!$C:$X,2+$D118,0))+IF(K$9="X",VLOOKUP(K$10,'VK-Biokütused'!$C:$U,2+$E118,0))+IF(K$5="X",VLOOKUP(K$10,'VK-Põlevkivi'!$C:$X,2+$G118,0))+IF(K$4="X",VLOOKUP(K$10,'VK-Võrgud'!$C:$X,2+$F118,0))</f>
        <v>15.27</v>
      </c>
      <c r="L118" s="209">
        <f>IF(L$7="X",VLOOKUP(L$10,'VK-Hooned-Soojus'!$C:$X,2+$C118,FALSE),0)+IF(L$6="X",VLOOKUP(L$10,'VK-Transport'!$C:$X,2+$B118,0))+IF(L$8="X",VLOOKUP(L$10,'VK-Elekter'!$C:$X,2+$D118,0))+IF(L$9="X",VLOOKUP(L$10,'VK-Biokütused'!$C:$U,2+$E118,0))+IF(L$5="X",VLOOKUP(L$10,'VK-Põlevkivi'!$C:$X,2+$G118,0))+IF(L$4="X",VLOOKUP(L$10,'VK-Võrgud'!$C:$X,2+$F118,0))</f>
        <v>24.2</v>
      </c>
      <c r="M118" s="209">
        <f>IF(M$7="X",VLOOKUP(M$10,'VK-Hooned-Soojus'!$C:$X,2+$C118,FALSE),0)+IF(M$6="X",VLOOKUP(M$10,'VK-Transport'!$C:$X,2+$B118,0))+IF(M$8="X",VLOOKUP(M$10,'VK-Elekter'!$C:$X,2+$D118,0))+IF(M$9="X",VLOOKUP(M$10,'VK-Biokütused'!$C:$U,2+$E118,0))+IF(M$5="X",VLOOKUP(M$10,'VK-Põlevkivi'!$C:$X,2+$G118,0))+IF(M$4="X",VLOOKUP(M$10,'VK-Võrgud'!$C:$X,2+$F118,0))</f>
        <v>8.68530937302436</v>
      </c>
      <c r="N118" s="209">
        <f>IF(N$7="X",VLOOKUP(N$10,'VK-Hooned-Soojus'!$C:$X,2+$C118,FALSE),0)+IF(N$6="X",VLOOKUP(N$10,'VK-Transport'!$C:$X,2+$B118,0))+IF(N$8="X",VLOOKUP(N$10,'VK-Elekter'!$C:$X,2+$D118,0))+IF(N$9="X",VLOOKUP(N$10,'VK-Biokütused'!$C:$U,2+$E118,0))+IF(N$5="X",VLOOKUP(N$10,'VK-Põlevkivi'!$C:$X,2+$G118,0))+IF(N$4="X",VLOOKUP(N$10,'VK-Võrgud'!$C:$X,2+$F118,0))</f>
        <v>16.09</v>
      </c>
      <c r="O118" s="209">
        <f t="shared" si="60"/>
        <v>32.915833333333332</v>
      </c>
      <c r="P118" s="209"/>
      <c r="Q118" s="209">
        <f>(IF(Q$7="X",VLOOKUP(Q$10,'VK-Hooned-Soojus'!$C:$X,2+$C118,FALSE),0)+IF(Q$6="X",VLOOKUP(Q$10,'VK-Transport'!$C:$X,2+$B118,0))+IF(Q$8="X",VLOOKUP(Q$10,'VK-Elekter'!$C:$X,2+$D118,0))+IF(Q$9="X",VLOOKUP(Q$10,'VK-Biokütused'!$C:$U,2+$E118,0))+IF(Q$5="X",VLOOKUP(Q$10,'VK-Põlevkivi'!$C:$X,2+$G118,0))+IF(Q$4="X",VLOOKUP(Q$10,'VK-Võrgud'!$C:$X,2+$F118,0)))/1000</f>
        <v>5.0659999999999998</v>
      </c>
      <c r="R118" s="209">
        <f>(IF(R$7="X",VLOOKUP(R$10,'VK-Hooned-Soojus'!$C:$X,2+$C118,FALSE),0)+IF(R$6="X",VLOOKUP(R$10,'VK-Transport'!$C:$X,2+$B118,0))+IF(R$8="X",VLOOKUP(R$10,'VK-Elekter'!$C:$X,2+$D118,0))+IF(R$9="X",VLOOKUP(R$10,'VK-Biokütused'!$C:$U,2+$E118,0))+IF(R$5="X",VLOOKUP(R$10,'VK-Põlevkivi'!$C:$X,2+$G118,0))+IF(R$4="X",VLOOKUP(R$10,'VK-Võrgud'!$C:$X,2+$F118,0)))/1000</f>
        <v>1.7830849906373201</v>
      </c>
      <c r="S118" s="226">
        <f>VLOOKUP(S$10,'VK-Hooned-Soojus'!$C:$I,2+$C118,FALSE) + VLOOKUP(S$10,'VK-Transport'!$C:$I,2+$B118,FALSE)+ VLOOKUP(S$10,'VK-Biokütused'!$C:$G,2+$E118,FALSE)+ VLOOKUP(S$10,'VK-Elekter'!$C:$I,2+$D118,FALSE)+ VLOOKUP(S$10,'VK-Põlevkivi'!$C:$I,2+$G118,FALSE)+ VLOOKUP(S$10,'VK-Võrgud'!$C:$I,2+$F118,FALSE)</f>
        <v>2.2621914737061873E-2</v>
      </c>
      <c r="T118" s="226">
        <f>VLOOKUP(T$10,'VK-Hooned-Soojus'!$C:$I,2+$C118,FALSE) + VLOOKUP(T$10,'VK-Transport'!$C:$I,2+$B118,FALSE)+ VLOOKUP(T$10,'VK-Biokütused'!$C:$G,2+$E118,FALSE)+ VLOOKUP(T$10,'VK-Elekter'!$C:$I,2+$D118,FALSE)+ VLOOKUP(T$10,'VK-Põlevkivi'!$C:$I,2+$G118,FALSE)+ VLOOKUP(T$10,'VK-Võrgud'!$C:$I,2+$F118,FALSE)</f>
        <v>4.7833056871163879E-3</v>
      </c>
      <c r="U118" s="226">
        <f>VLOOKUP(U$10,'VK-Hooned-Soojus'!$C:$I,2+$C118,FALSE) + VLOOKUP(U$10,'VK-Transport'!$C:$I,2+$B118,FALSE)+ VLOOKUP(U$10,'VK-Biokütused'!$C:$G,2+$E118,FALSE)+ VLOOKUP(U$10,'VK-Elekter'!$C:$I,2+$D118,FALSE)+ VLOOKUP(U$10,'VK-Põlevkivi'!$C:$I,2+$G118,FALSE)+ VLOOKUP(U$10,'VK-Võrgud'!$C:$I,2+$F118,FALSE)</f>
        <v>7.2363733782338791E-3</v>
      </c>
      <c r="V118" s="226">
        <f>VLOOKUP(V$10,'VK-Hooned-Soojus'!$C:$I,2+$C118,FALSE) + VLOOKUP(V$10,'VK-Transport'!$C:$I,2+$B118,FALSE)+ VLOOKUP(V$10,'VK-Biokütused'!$C:$G,2+$E118,FALSE)+ VLOOKUP(V$10,'VK-Elekter'!$C:$I,2+$D118,FALSE)+ VLOOKUP(V$10,'VK-Põlevkivi'!$C:$I,2+$G118,FALSE)+ VLOOKUP(V$10,'VK-Võrgud'!$C:$I,2+$F118,FALSE)</f>
        <v>1.556676004775579E-2</v>
      </c>
      <c r="W118" s="226">
        <f>VLOOKUP(W$10,'VK-Hooned-Soojus'!$C:$I,2+$C118,FALSE) + VLOOKUP(W$10,'VK-Transport'!$C:$I,2+$B118,FALSE)+ VLOOKUP(W$10,'VK-Biokütused'!$C:$G,2+$E118,FALSE)+ VLOOKUP(W$10,'VK-Elekter'!$C:$I,2+$D118,FALSE)+ VLOOKUP(W$10,'VK-Põlevkivi'!$C:$I,2+$G118,FALSE)+ VLOOKUP(W$10,'VK-Võrgud'!$C:$I,2+$F118,FALSE)</f>
        <v>-3.587931883749701E-2</v>
      </c>
      <c r="X118" s="226">
        <f>VLOOKUP(X$10,'VK-Hooned-Soojus'!$C:$I,2+$C118,FALSE) + VLOOKUP(X$10,'VK-Transport'!$C:$I,2+$B118,FALSE)+ VLOOKUP(X$10,'VK-Biokütused'!$C:$G,2+$E118,FALSE)+ VLOOKUP(X$10,'VK-Elekter'!$C:$I,2+$D118,FALSE)+ VLOOKUP(X$10,'VK-Põlevkivi'!$C:$I,2+$G118,FALSE)+ VLOOKUP(X$10,'VK-Võrgud'!$C:$I,2+$F118,FALSE)</f>
        <v>-4.9186885666234116E-2</v>
      </c>
      <c r="Y118" s="226">
        <f>VLOOKUP(Y$10,'VK-Hooned-Soojus'!$C:$I,2+$C118,FALSE) + VLOOKUP(Y$10,'VK-Transport'!$C:$I,2+$B118,FALSE)+ VLOOKUP(Y$10,'VK-Biokütused'!$C:$G,2+$E118,FALSE)+ VLOOKUP(Y$10,'VK-Elekter'!$C:$I,2+$D118,FALSE)+ VLOOKUP(Y$10,'VK-Põlevkivi'!$C:$I,2+$G118,FALSE)+ VLOOKUP(Y$10,'VK-Võrgud'!$C:$I,2+$F118,FALSE)</f>
        <v>-6.6836652689537354E-2</v>
      </c>
      <c r="Z118" s="227">
        <f>(S118*Tulemused!$Q$9*10+T118*Tulemused!$Q$10*10+KOMBI!U118*Tulemused!$Q$11*10+KOMBI!V118*Tulemused!$Q$12*10)*Tulemused!$Q$8+-(W118*Tulemused!$Q$14*10+KOMBI!X118*Tulemused!$Q$15*10+KOMBI!Y118*Tulemused!$Q$16*10)*Tulemused!$Q$13</f>
        <v>7.169871656934621</v>
      </c>
      <c r="AA118" s="228">
        <f>(IF(AA$7="X",VLOOKUP(AA$10,'VK-Hooned-Soojus'!$C:$X,2+$C118,FALSE),0)+IF(AA$6="X",VLOOKUP(AA$10,'VK-Transport'!$C:$X,2+$B118,0))+IF(AA$8="X",VLOOKUP(AA$10,'VK-Elekter'!$C:$X,2+$D118,0))+IF(AA$9="X",VLOOKUP(AA$10,'VK-Biokütused'!$C:$U,2+$E118,0))+IF(AA$5="X",VLOOKUP(AA$10,'VK-Põlevkivi'!$C:$X,2+$G118,0))+IF(AA$4="X",VLOOKUP(AA$10,'VK-Võrgud'!$C:$X,2+$F118,0)))</f>
        <v>3729</v>
      </c>
      <c r="AB118" s="228">
        <f>(IF(AB$7="X",VLOOKUP(AB$10,'VK-Hooned-Soojus'!$C:$X,2+$C118,FALSE),0)+IF(AB$6="X",VLOOKUP(AB$10,'VK-Transport'!$C:$X,2+$B118,0))+IF(AB$8="X",VLOOKUP(AB$10,'VK-Elekter'!$C:$X,2+$D118,0))+IF(AB$9="X",VLOOKUP(AB$10,'VK-Biokütused'!$C:$U,2+$E118,0))+IF(AB$5="X",VLOOKUP(AB$10,'VK-Põlevkivi'!$C:$X,2+$G118,0))+IF(AB$4="X",VLOOKUP(AB$10,'VK-Võrgud'!$C:$X,2+$F118,0)))</f>
        <v>1337</v>
      </c>
      <c r="AC118" s="228">
        <f>(IF(AC$7="X",VLOOKUP(AC$10,'VK-Hooned-Soojus'!$C:$X,2+$C118,FALSE),0)+IF(AC$6="X",VLOOKUP(AC$10,'VK-Transport'!$C:$X,2+$B118,0))+IF(AC$8="X",VLOOKUP(AC$10,'VK-Elekter'!$C:$X,2+$D118,0))+IF(AC$9="X",VLOOKUP(AC$10,'VK-Biokütused'!$C:$U,2+$E118,0))+IF(AC$5="X",VLOOKUP(AC$10,'VK-Põlevkivi'!$C:$X,2+$G118,0))+IF(AC$4="X",VLOOKUP(AC$10,'VK-Võrgud'!$C:$X,2+$F118,0)))</f>
        <v>2346</v>
      </c>
      <c r="AD118" s="228">
        <f>(IF(AD$7="X",VLOOKUP(AD$10,'VK-Hooned-Soojus'!$C:$X,2+$C118,FALSE),0)+IF(AD$6="X",VLOOKUP(AD$10,'VK-Transport'!$C:$X,2+$B118,0))+IF(AD$8="X",VLOOKUP(AD$10,'VK-Elekter'!$C:$X,2+$D118,0))+IF(AD$9="X",VLOOKUP(AD$10,'VK-Biokütused'!$C:$U,2+$E118,0))+IF(AD$5="X",VLOOKUP(AD$10,'VK-Põlevkivi'!$C:$X,2+$G118,0))+IF(AD$4="X",VLOOKUP(AD$10,'VK-Võrgud'!$C:$X,2+$F118,0)))</f>
        <v>586.20000000000005</v>
      </c>
      <c r="AE118" s="228">
        <f>(IF(AE$7="X",VLOOKUP(AE$10,'VK-Hooned-Soojus'!$C:$X,2+$C118,FALSE),0)+IF(AE$6="X",VLOOKUP(AE$10,'VK-Transport'!$C:$X,2+$B118,0))+IF(AE$8="X",VLOOKUP(AE$10,'VK-Elekter'!$C:$X,2+$D118,0))+IF(AE$9="X",VLOOKUP(AE$10,'VK-Biokütused'!$C:$U,2+$E118,0))+IF(AE$5="X",VLOOKUP(AE$10,'VK-Põlevkivi'!$C:$X,2+$G118,0))+IF(AE$4="X",VLOOKUP(AE$10,'VK-Võrgud'!$C:$X,2+$F118,0)))</f>
        <v>666</v>
      </c>
      <c r="AF118" s="228">
        <f>(IF(AF$7="X",VLOOKUP(AF$10,'VK-Hooned-Soojus'!$C:$X,2+$C118,FALSE),0)+IF(AF$6="X",VLOOKUP(AF$10,'VK-Transport'!$C:$X,2+$B118,0))+IF(AF$8="X",VLOOKUP(AF$10,'VK-Elekter'!$C:$X,2+$D118,0))+IF(AF$9="X",VLOOKUP(AF$10,'VK-Biokütused'!$C:$U,2+$E118,0))+IF(AF$5="X",VLOOKUP(AF$10,'VK-Põlevkivi'!$C:$X,2+$G118,0))+IF(AF$4="X",VLOOKUP(AF$10,'VK-Võrgud'!$C:$X,2+$F118,0)))</f>
        <v>530.88499063732002</v>
      </c>
      <c r="AG118" s="209"/>
      <c r="AH118" s="209">
        <f>IF(AH$7="X",VLOOKUP(AH$10,'VK-Hooned-Soojus'!$C:$X,2+$C118,FALSE),0)+IF(AH$6="X",VLOOKUP(AH$10,'VK-Transport'!$C:$X,2+$B118,0))+IF(AH$8="X",VLOOKUP(AH$10,'VK-Elekter'!$C:$X,2+$D118,0))+IF(AH$9="X",VLOOKUP(AH$10,'VK-Biokütused'!$C:$U,2+$E118,0))+IF(AH$5="X",VLOOKUP(AH$10,'VK-Põlevkivi'!$C:$X,2+$G118,0))+IF(AH$4="X",VLOOKUP(AH$10,'VK-Võrgud'!$C:$X,2+$F118,0))</f>
        <v>11.629999999999999</v>
      </c>
      <c r="AI118" s="209">
        <f>IF(AI$7="X",VLOOKUP(AI$10,'VK-Hooned-Soojus'!$C:$X,2+$C118,FALSE),0)+IF(AI$6="X",VLOOKUP(AI$10,'VK-Transport'!$C:$X,2+$B118,0))+IF(AI$8="X",VLOOKUP(AI$10,'VK-Elekter'!$C:$X,2+$D118,0))+IF(AI$9="X",VLOOKUP(AI$10,'VK-Biokütused'!$C:$U,2+$E118,0))+IF(AI$5="X",VLOOKUP(AI$10,'VK-Põlevkivi'!$C:$X,2+$G118,0))+IF(AI$4="X",VLOOKUP(AI$10,'VK-Võrgud'!$C:$X,2+$F118,0))</f>
        <v>2.3100000000000005</v>
      </c>
      <c r="AJ118" s="209">
        <f>IF(AJ$7="X",VLOOKUP(AJ$10,'VK-Hooned-Soojus'!$C:$X,2+$C118,FALSE),0)+IF(AJ$6="X",VLOOKUP(AJ$10,'VK-Transport'!$C:$X,2+$B118,0))+IF(AJ$8="X",VLOOKUP(AJ$10,'VK-Elekter'!$C:$X,2+$D118,0))+IF(AJ$9="X",VLOOKUP(AJ$10,'VK-Biokütused'!$C:$U,2+$E118,0))+IF(AJ$5="X",VLOOKUP(AJ$10,'VK-Põlevkivi'!$C:$X,2+$G118,0))+IF(AJ$4="X",VLOOKUP(AJ$10,'VK-Võrgud'!$C:$X,2+$F118,0))</f>
        <v>9.24</v>
      </c>
      <c r="AK118" s="209">
        <f>IF(AK$7="X",VLOOKUP(AK$10,'VK-Hooned-Soojus'!$C:$X,2+$C118,FALSE),0)+IF(AK$6="X",VLOOKUP(AK$10,'VK-Transport'!$C:$X,2+$B118,0))+IF(AK$8="X",VLOOKUP(AK$10,'VK-Elekter'!$C:$X,2+$D118,0))+IF(AK$9="X",VLOOKUP(AK$10,'VK-Biokütused'!$C:$U,2+$E118,0))+IF(AK$5="X",VLOOKUP(AK$10,'VK-Põlevkivi'!$C:$X,2+$G118,0))+IF(AK$4="X",VLOOKUP(AK$10,'VK-Võrgud'!$C:$X,2+$F118,0))</f>
        <v>2.78</v>
      </c>
      <c r="AL118" s="209">
        <f>IF(AL$7="X",VLOOKUP(AL$10,'VK-Hooned-Soojus'!$C:$X,2+$C118,FALSE),0)+IF(AL$6="X",VLOOKUP(AL$10,'VK-Transport'!$C:$X,2+$B118,0))+IF(AL$8="X",VLOOKUP(AL$10,'VK-Elekter'!$C:$X,2+$D118,0))+IF(AL$9="X",VLOOKUP(AL$10,'VK-Biokütused'!$C:$U,2+$E118,0))+IF(AL$5="X",VLOOKUP(AL$10,'VK-Põlevkivi'!$C:$X,2+$G118,0))+IF(AL$4="X",VLOOKUP(AL$10,'VK-Võrgud'!$C:$X,2+$F118,0))</f>
        <v>7.1999999999999993</v>
      </c>
      <c r="AM118" s="209">
        <f>IF(AM$7="X",VLOOKUP(AM$10,'VK-Hooned-Soojus'!$C:$X,2+$C118,FALSE),0)+IF(AM$6="X",VLOOKUP(AM$10,'VK-Transport'!$C:$X,2+$B118,0))+IF(AM$8="X",VLOOKUP(AM$10,'VK-Elekter'!$C:$X,2+$D118,0))+IF(AM$9="X",VLOOKUP(AM$10,'VK-Biokütused'!$C:$U,2+$E118,0))+IF(AM$5="X",VLOOKUP(AM$10,'VK-Põlevkivi'!$C:$X,2+$G118,0))+IF(AM$4="X",VLOOKUP(AM$10,'VK-Võrgud'!$C:$X,2+$F118,0))</f>
        <v>11.9</v>
      </c>
      <c r="AN118" s="209">
        <f>IF(AN$7="X",VLOOKUP(AN$10,'VK-Hooned-Soojus'!$C:$X,2+$C118,FALSE),0)+IF(AN$6="X",VLOOKUP(AN$10,'VK-Transport'!$C:$X,2+$B118,0))+IF(AN$8="X",VLOOKUP(AN$10,'VK-Elekter'!$C:$X,2+$D118,0))+IF(AN$9="X",VLOOKUP(AN$10,'VK-Biokütused'!$C:$U,2+$E118,0))+IF(AN$5="X",VLOOKUP(AN$10,'VK-Põlevkivi'!$C:$X,2+$G118,0))+IF(AN$4="X",VLOOKUP(AN$10,'VK-Võrgud'!$C:$X,2+$F118,0))</f>
        <v>4.8999999999999995</v>
      </c>
      <c r="AO118" s="209">
        <f>IF(AO$7="X",VLOOKUP(AO$10,'VK-Hooned-Soojus'!$C:$X,2+$C118,FALSE),0)+IF(AO$6="X",VLOOKUP(AO$10,'VK-Transport'!$C:$X,2+$B118,0))+IF(AO$8="X",VLOOKUP(AO$10,'VK-Elekter'!$C:$X,2+$D118,0))+IF(AO$9="X",VLOOKUP(AO$10,'VK-Biokütused'!$C:$U,2+$E118,0))+IF(AO$5="X",VLOOKUP(AO$10,'VK-Põlevkivi'!$C:$X,2+$G118,0))+IF(AO$4="X",VLOOKUP(AO$10,'VK-Võrgud'!$C:$X,2+$F118,0))</f>
        <v>12.56</v>
      </c>
      <c r="AP118" s="209">
        <f>IF(AP$7="X",VLOOKUP(AP$10,'VK-Hooned-Soojus'!$C:$X,2+$C118,FALSE),0)+IF(AP$6="X",VLOOKUP(AP$10,'VK-Transport'!$C:$X,2+$B118,0))+IF(AP$8="X",VLOOKUP(AP$10,'VK-Elekter'!$C:$X,2+$D118,0))+IF(AP$9="X",VLOOKUP(AP$10,'VK-Biokütused'!$C:$U,2+$E118,0))+IF(AP$5="X",VLOOKUP(AP$10,'VK-Põlevkivi'!$C:$X,2+$G118,0))+IF(AP$4="X",VLOOKUP(AP$10,'VK-Võrgud'!$C:$X,2+$F118,0))</f>
        <v>6.28</v>
      </c>
      <c r="AQ118" s="320">
        <f t="shared" si="61"/>
        <v>0.25999999999999979</v>
      </c>
      <c r="AR118" s="209">
        <f>IF(AR$7="X",VLOOKUP(AR$10,'VK-Hooned-Soojus'!$C:$X,2+$C118,FALSE),0)+IF(AR$6="X",VLOOKUP(AR$10,'VK-Transport'!$C:$X,2+$B118,0))+IF(AR$8="X",VLOOKUP(AR$10,'VK-Elekter'!$C:$X,2+$D118,0))+IF(AR$9="X",VLOOKUP(AR$10,'VK-Biokütused'!$C:$U,2+$E118,0))+IF(AR$5="X",VLOOKUP(AR$10,'VK-Põlevkivi'!$C:$X,2+$G118,0))+IF(AR$4="X",VLOOKUP(AR$10,'VK-Võrgud'!$C:$X,2+$F118,0))</f>
        <v>2.8899999999999997</v>
      </c>
      <c r="AS118" s="320">
        <f>VLOOKUP("Kütuste tarbimine @ 2030 - UTTEGAAS",'VK-Hooned-Soojus'!$C:$X,2+$C118,FALSE)/0.172+VLOOKUP("Kütuste tarbimine @ 2030 - UTTEGAAS",'VK-Elekter'!$C:$X,2+$D118,FALSE)/0.172-AR118-AU118</f>
        <v>2.8565116279069773</v>
      </c>
      <c r="AT118" s="209">
        <f>IF(AT$7="X",VLOOKUP(AT$10,'VK-Hooned-Soojus'!$C:$X,2+$C118,FALSE),0)+IF(AT$6="X",VLOOKUP(AT$10,'VK-Transport'!$C:$X,2+$B118,0))+IF(AT$8="X",VLOOKUP(AT$10,'VK-Elekter'!$C:$X,2+$D118,0))+IF(AT$9="X",VLOOKUP(AT$10,'VK-Biokütused'!$C:$U,2+$E118,0))+IF(AT$5="X",VLOOKUP(AT$10,'VK-Põlevkivi'!$C:$X,2+$G118,0))+IF(AT$4="X",VLOOKUP(AT$10,'VK-Võrgud'!$C:$X,2+$F118,0))</f>
        <v>5.7045296564339489</v>
      </c>
      <c r="AU118" s="229">
        <f>MAX(0,(VLOOKUP("Kütuste tarbimine @ 2030 - UTTEGAAS",'VK-Hooned-Soojus'!$C:$X,2+$C118,FALSE)/0.172+VLOOKUP("Kütuste tarbimine @ 2030 - UTTEGAAS",'VK-Elekter'!$C:$X,2+$D118,FALSE)/0.172)*0.52-VLOOKUP("Kütuste tarbimine @ 2030 - PÕLEVKIVIÕLI",'VK-Hooned-Soojus'!$C:$X,2+$C118,FALSE))</f>
        <v>5.1837209302325586</v>
      </c>
      <c r="AV118" s="209">
        <f>IF(AV$7="X",VLOOKUP(AV$10,'VK-Hooned-Soojus'!$C:$X,2+$C118,FALSE),0)+IF(AV$6="X",VLOOKUP(AV$10,'VK-Transport'!$C:$X,2+$B118,0))+IF(AV$8="X",VLOOKUP(AV$10,'VK-Elekter'!$C:$X,2+$D118,0))+IF(AV$9="X",VLOOKUP(AV$10,'VK-Biokütused'!$C:$U,2+$E118,0))+IF(AV$5="X",VLOOKUP(AV$10,'VK-Põlevkivi'!$C:$X,2+$G118,0))+IF(AV$4="X",VLOOKUP(AV$10,'VK-Võrgud'!$C:$X,2+$F118,0))</f>
        <v>2.1219844082566364</v>
      </c>
      <c r="AW118" s="209">
        <f>IF(AW$7="X",VLOOKUP(AW$10,'VK-Hooned-Soojus'!$C:$X,2+$C118,FALSE),0)+IF(AW$6="X",VLOOKUP(AW$10,'VK-Transport'!$C:$X,2+$B118,0))+IF(AW$8="X",VLOOKUP(AW$10,'VK-Elekter'!$C:$X,2+$D118,0))+IF(AW$9="X",VLOOKUP(AW$10,'VK-Biokütused'!$C:$U,2+$E118,0))+IF(AW$5="X",VLOOKUP(AW$10,'VK-Põlevkivi'!$C:$X,2+$G118,0))+IF(AW$4="X",VLOOKUP(AW$10,'VK-Võrgud'!$C:$X,2+$F118,0))</f>
        <v>4.2799999999999994</v>
      </c>
      <c r="AX118" s="229">
        <f t="shared" si="62"/>
        <v>2.158015591743363</v>
      </c>
      <c r="AY118" s="229">
        <f t="shared" si="63"/>
        <v>0</v>
      </c>
      <c r="AZ118" s="230">
        <f t="shared" si="83"/>
        <v>0.50738487756262995</v>
      </c>
      <c r="BA118" s="209">
        <f>IF(BA$7="X",VLOOKUP(BA$10,'VK-Hooned-Soojus'!$C:$X,2+$C118,FALSE),0)+IF(BA$6="X",VLOOKUP(BA$10,'VK-Transport'!$C:$X,2+$B118,0))+IF(BA$8="X",VLOOKUP(BA$10,'VK-Elekter'!$C:$X,2+$D118,0))+IF(BA$9="X",VLOOKUP(BA$10,'VK-Biokütused'!$C:$U,2+$E118,0))+IF(BA$5="X",VLOOKUP(BA$10,'VK-Põlevkivi'!$C:$X,2+$G118,0))+IF(BA$4="X",VLOOKUP(BA$10,'VK-Võrgud'!$C:$X,2+$F118,0))</f>
        <v>4.25</v>
      </c>
      <c r="BB118" s="209">
        <f>IF(BB$7="X",VLOOKUP(BB$10,'VK-Hooned-Soojus'!$C:$X,2+$C118,FALSE),0)+IF(BB$6="X",VLOOKUP(BB$10,'VK-Transport'!$C:$X,2+$B118,0))+IF(BB$8="X",VLOOKUP(BB$10,'VK-Elekter'!$C:$X,2+$D118,0))+IF(BB$9="X",VLOOKUP(BB$10,'VK-Biokütused'!$C:$U,2+$E118,0))+IF(BB$5="X",VLOOKUP(BB$10,'VK-Põlevkivi'!$C:$X,2+$G118,0))+IF(BB$4="X",VLOOKUP(BB$10,'VK-Võrgud'!$C:$X,2+$F118,0))</f>
        <v>2.93</v>
      </c>
      <c r="BC118" s="209">
        <f>IF(BC$7="X",VLOOKUP(BC$10,'VK-Hooned-Soojus'!$C:$X,2+$C118,FALSE),0)+IF(BC$6="X",VLOOKUP(BC$10,'VK-Transport'!$C:$X,2+$B118,0))+IF(BC$8="X",VLOOKUP(BC$10,'VK-Elekter'!$C:$X,2+$D118,0))+IF(BC$9="X",VLOOKUP(BC$10,'VK-Biokütused'!$C:$U,2+$E118,0))+IF(BC$5="X",VLOOKUP(BC$10,'VK-Põlevkivi'!$C:$X,2+$G118,0))+IF(BC$4="X",VLOOKUP(BC$10,'VK-Võrgud'!$C:$X,2+$F118,0))</f>
        <v>6.5993333333333322</v>
      </c>
      <c r="BD118" s="209">
        <f>IF(BD$7="X",VLOOKUP(BD$10,'VK-Hooned-Soojus'!$C:$X,2+$C118,FALSE),0)+IF(BD$6="X",VLOOKUP(BD$10,'VK-Transport'!$C:$X,2+$B118,0))+IF(BD$8="X",VLOOKUP(BD$10,'VK-Elekter'!$C:$X,2+$D118,0))+IF(BD$9="X",VLOOKUP(BD$10,'VK-Biokütused'!$C:$U,2+$E118,0))+IF(BD$5="X",VLOOKUP(BD$10,'VK-Põlevkivi'!$C:$X,2+$G118,0))+IF(BD$4="X",VLOOKUP(BD$10,'VK-Võrgud'!$C:$X,2+$F118,0))</f>
        <v>9.425416666666667</v>
      </c>
      <c r="BE118" s="230"/>
      <c r="BF118" s="229">
        <f t="shared" si="64"/>
        <v>0.36210496932840874</v>
      </c>
      <c r="BG118" s="209" t="e">
        <f>(IF(BG$7="X",VLOOKUP(BG$10,'VK-Hooned-Soojus'!$C:$X,2+$C118,FALSE),0)+IF(BG$6="X",VLOOKUP(BG$10,'VK-Transport'!$C:$X,2+$B118,0))+IF(BG$8="X",VLOOKUP(BG$10,'VK-Elekter'!$C:$X,2+$D118,0))+IF(BG$9="X",VLOOKUP(BG$10,'VK-Biokütused'!$C:$U,2+$E118,0))+IF(BG$5="X",VLOOKUP(BG$10,'VK-Põlevkivi'!$C:$X,2+$G118,0))+IF(BG$4="X",VLOOKUP(BG$10,'VK-Võrgud'!$C:$X,2+$F118,0)))/20</f>
        <v>#N/A</v>
      </c>
      <c r="BH118" s="209">
        <f>(IF(BH$7="X",VLOOKUP(BH$10,'VK-Hooned-Soojus'!$C:$X,2+$C118,FALSE),0)+IF(BH$6="X",VLOOKUP(BH$10,'VK-Transport'!$C:$X,2+$B118,0))+IF(BH$8="X",VLOOKUP(BH$10,'VK-Elekter'!$C:$X,2+$D118,0))+IF(BH$9="X",VLOOKUP(BH$10,'VK-Biokütused'!$C:$U,2+$E118,0))+IF(BH$5="X",VLOOKUP(BH$10,'VK-Põlevkivi'!$C:$X,2+$G118,0))+IF(BH$4="X",VLOOKUP(BH$10,'VK-Võrgud'!$C:$X,2+$F118,0)))/20</f>
        <v>45.08</v>
      </c>
      <c r="BI118" s="209">
        <f>(IF(BI$7="X",VLOOKUP(BI$10,'VK-Hooned-Soojus'!$C:$X,2+$C118,FALSE),0)+IF(BI$6="X",VLOOKUP(BI$10,'VK-Transport'!$C:$X,2+$B118,0))+IF(BI$8="X",VLOOKUP(BI$10,'VK-Elekter'!$C:$X,2+$D118,0))+IF(BI$9="X",VLOOKUP(BI$10,'VK-Biokütused'!$C:$U,2+$E118,0))+IF(BI$5="X",VLOOKUP(BI$10,'VK-Põlevkivi'!$C:$X,2+$G118,0))+IF(BI$4="X",VLOOKUP(BI$10,'VK-Võrgud'!$C:$X,2+$F118,0)))/16</f>
        <v>14.1875</v>
      </c>
      <c r="BJ118" s="209">
        <f>(IF(BJ$7="X",VLOOKUP(BJ$10,'VK-Hooned-Soojus'!$C:$X,2+$C118,FALSE),0)+IF(BJ$6="X",VLOOKUP(BJ$10,'VK-Transport'!$C:$X,2+$B118,0))+IF(BJ$8="X",VLOOKUP(BJ$10,'VK-Elekter'!$C:$X,2+$D118,0))+IF(BJ$9="X",VLOOKUP(BJ$10,'VK-Biokütused'!$C:$U,2+$E118,0))+IF(BJ$5="X",VLOOKUP(BJ$10,'VK-Põlevkivi'!$C:$X,2+$G118,0))+IF(BJ$4="X",VLOOKUP(BJ$10,'VK-Võrgud'!$C:$X,2+$F118,0)))/20</f>
        <v>3.91</v>
      </c>
      <c r="BK118" s="209"/>
      <c r="BL118" s="209"/>
      <c r="BM118" s="209"/>
      <c r="BN118" s="209" t="e">
        <f>(IF(BN$7="X",VLOOKUP(BN$10,'VK-Hooned-Soojus'!$C:$X,2+$C118,FALSE),0)+IF(BN$6="X",VLOOKUP(BN$10,'VK-Transport'!$C:$X,2+$B118,0))+IF(BN$8="X",VLOOKUP(BN$10,'VK-Elekter'!$C:$X,2+$D118,0))+IF(BN$9="X",VLOOKUP(BN$10,'VK-Biokütused'!$C:$U,2+$E118,0))+IF(BN$5="X",VLOOKUP(BN$10,'VK-Põlevkivi'!$C:$X,2+$G118,0))+IF(BN$4="X",VLOOKUP(BN$10,'VK-Võrgud'!$C:$X,2+$F118,0)))/16</f>
        <v>#N/A</v>
      </c>
      <c r="BO118" s="209">
        <f>(IF(BO$7="X",VLOOKUP(BO$10,'VK-Hooned-Soojus'!$C:$X,2+$C118,FALSE),0)+IF(BO$6="X",VLOOKUP(BO$10,'VK-Transport'!$C:$X,2+$B118,0))+IF(BO$8="X",VLOOKUP(BO$10,'VK-Elekter'!$C:$X,2+$D118,0))+IF(BO$9="X",VLOOKUP(BO$10,'VK-Biokütused'!$C:$U,2+$E118,0))+IF(BO$5="X",VLOOKUP(BO$10,'VK-Põlevkivi'!$C:$X,2+$G118,0))+IF(BO$4="X",VLOOKUP(BO$10,'VK-Võrgud'!$C:$X,2+$F118,0)))/16</f>
        <v>322.79374999999999</v>
      </c>
      <c r="BP118" s="209"/>
      <c r="BQ118" s="209">
        <f>(IF(BQ$7="X",VLOOKUP(BQ$10,'VK-Hooned-Soojus'!$C:$X,2+$C118,FALSE),0)+IF(BQ$6="X",VLOOKUP(BQ$10,'VK-Transport'!$C:$X,2+$B118,0))+IF(BQ$8="X",VLOOKUP(BQ$10,'VK-Elekter'!$C:$X,2+$D118,0))+IF(BQ$9="X",VLOOKUP(BQ$10,'VK-Biokütused'!$C:$U,2+$E118,0))+IF(BQ$5="X",VLOOKUP(BQ$10,'VK-Põlevkivi'!$C:$X,2+$G118,0))+IF(BQ$4="X",VLOOKUP(BQ$10,'VK-Võrgud'!$C:$X,2+$F118,0)))/16</f>
        <v>233.20625000000001</v>
      </c>
      <c r="BR118" s="209">
        <f>(IF(BR$7="X",VLOOKUP(BR$10,'VK-Hooned-Soojus'!$C:$X,2+$C118,FALSE),0)+IF(BR$6="X",VLOOKUP(BR$10,'VK-Transport'!$C:$X,2+$B118,0))+IF(BR$8="X",VLOOKUP(BR$10,'VK-Elekter'!$C:$X,2+$D118,0))+IF(BR$9="X",VLOOKUP(BR$10,'VK-Biokütused'!$C:$U,2+$E118,0))+IF(BR$5="X",VLOOKUP(BR$10,'VK-Põlevkivi'!$C:$X,2+$G118,0))+IF(BR$4="X",VLOOKUP(BR$10,'VK-Võrgud'!$C:$X,2+$F118,0)))/16</f>
        <v>74.512500000000003</v>
      </c>
      <c r="BS118" s="209">
        <f>(IF(BS$7="X",VLOOKUP(BS$10,'VK-Hooned-Soojus'!$C:$X,2+$C118,FALSE),0)+IF(BS$6="X",VLOOKUP(BS$10,'VK-Transport'!$C:$X,2+$B118,0))+IF(BS$8="X",VLOOKUP(BS$10,'VK-Elekter'!$C:$X,2+$D118,0))+IF(BS$9="X",VLOOKUP(BS$10,'VK-Biokütused'!$C:$U,2+$E118,0))+IF(BS$5="X",VLOOKUP(BS$10,'VK-Põlevkivi'!$C:$X,2+$G118,0))+IF(BS$4="X",VLOOKUP(BS$10,'VK-Võrgud'!$C:$X,2+$F118,0)))/16</f>
        <v>-21.475000000000001</v>
      </c>
      <c r="BT118" s="209"/>
      <c r="BU118" s="209"/>
      <c r="BV118" s="209">
        <f>(IF(BV$7="X",VLOOKUP(BV$10,'VK-Hooned-Soojus'!$C:$X,2+$C118,FALSE),0)+IF(BV$6="X",VLOOKUP(BV$10,'VK-Transport'!$C:$X,2+$B118,0))+IF(BV$8="X",VLOOKUP(BV$10,'VK-Elekter'!$C:$X,2+$D118,0))+IF(BV$9="X",VLOOKUP(BV$10,'VK-Biokütused'!$C:$U,2+$E118,0))+IF(BV$5="X",VLOOKUP(BV$10,'VK-Põlevkivi'!$C:$X,2+$G118,0))+IF(BV$4="X",VLOOKUP(BV$10,'VK-Võrgud'!$C:$X,2+$F118,0)))/16</f>
        <v>0</v>
      </c>
      <c r="BW118" s="209"/>
      <c r="BX118" s="209">
        <f>(IF(BX$7="X",VLOOKUP(BX$10,'VK-Hooned-Soojus'!$C:$X,2+$C118,FALSE),0)+IF(BX$6="X",VLOOKUP(BX$10,'VK-Transport'!$C:$X,2+$B118,0))+IF(BX$8="X",VLOOKUP(BX$10,'VK-Elekter'!$C:$X,2+$D118,0))+IF(BX$9="X",VLOOKUP(BX$10,'VK-Biokütused'!$C:$U,2+$E118,0))+IF(BX$5="X",VLOOKUP(BX$10,'VK-Põlevkivi'!$C:$X,2+$G118,0))+IF(BX$4="X",VLOOKUP(BX$10,'VK-Võrgud'!$C:$X,2+$F118,0)))/16</f>
        <v>-99.6875</v>
      </c>
      <c r="BY118" s="209"/>
      <c r="BZ118" s="209"/>
      <c r="CA118" s="209" t="e">
        <f>(IF(CA$7="X",VLOOKUP(CA$10,'VK-Hooned-Soojus'!$C:$X,2+$C118,FALSE),0)+IF(CA$6="X",VLOOKUP(CA$10,'VK-Transport'!$C:$X,2+$B118,0))+IF(CA$8="X",VLOOKUP(CA$10,'VK-Elekter'!$C:$X,2+$D118,0))+IF(CA$9="X",VLOOKUP(CA$10,'VK-Biokütused'!$C:$U,2+$E118,0))+IF(CA$5="X",VLOOKUP(CA$10,'VK-Põlevkivi'!$C:$X,2+$G118,0))+IF(CA$4="X",VLOOKUP(CA$10,'VK-Võrgud'!$C:$X,2+$F118,0)))/16</f>
        <v>#N/A</v>
      </c>
      <c r="CB118" s="209">
        <f>(IF(CB$7="X",VLOOKUP(CB$10,'VK-Hooned-Soojus'!$C:$X,2+$C118,FALSE),0)+IF(CB$6="X",VLOOKUP(CB$10,'VK-Transport'!$C:$X,2+$B118,0))+IF(CB$8="X",VLOOKUP(CB$10,'VK-Elekter'!$C:$X,2+$D118,0))+IF(CB$9="X",VLOOKUP(CB$10,'VK-Biokütused'!$C:$U,2+$E118,0))+IF(CB$5="X",VLOOKUP(CB$10,'VK-Põlevkivi'!$C:$X,2+$G118,0))+IF(CB$4="X",VLOOKUP(CB$10,'VK-Võrgud'!$C:$X,2+$F118,0)))/16</f>
        <v>0</v>
      </c>
      <c r="CC118" s="209">
        <f>(IF(CC$7="X",VLOOKUP(CC$10,'VK-Hooned-Soojus'!$C:$X,2+$C118,FALSE),0)+IF(CC$6="X",VLOOKUP(CC$10,'VK-Transport'!$C:$X,2+$B118,0))+IF(CC$8="X",VLOOKUP(CC$10,'VK-Elekter'!$C:$X,2+$D118,0))+IF(CC$9="X",VLOOKUP(CC$10,'VK-Biokütused'!$C:$U,2+$E118,0))+IF(CC$5="X",VLOOKUP(CC$10,'VK-Põlevkivi'!$C:$X,2+$G118,0))+IF(CC$4="X",VLOOKUP(CC$10,'VK-Võrgud'!$C:$X,2+$F118,0)))/16</f>
        <v>0</v>
      </c>
      <c r="CD118" s="209"/>
      <c r="CE118" s="209">
        <f>(IF(CE$7="X",VLOOKUP(CE$10,'VK-Hooned-Soojus'!$C:$X,2+$C118,FALSE),0)+IF(CE$6="X",VLOOKUP(CE$10,'VK-Transport'!$C:$X,2+$B118,0))+IF(CE$8="X",VLOOKUP(CE$10,'VK-Elekter'!$C:$X,2+$D118,0))+IF(CE$9="X",VLOOKUP(CE$10,'VK-Biokütused'!$C:$U,2+$E118,0))+IF(CE$5="X",VLOOKUP(CE$10,'VK-Põlevkivi'!$C:$X,2+$G118,0))+IF(CE$4="X",VLOOKUP(CE$10,'VK-Võrgud'!$C:$X,2+$F118,0)))/16</f>
        <v>24.15625</v>
      </c>
      <c r="CF118" s="209"/>
      <c r="CG118" s="209">
        <f>(IF(CG$7="X",VLOOKUP(CG$10,'VK-Hooned-Soojus'!$C:$X,2+$C118,FALSE),0)+IF(CG$6="X",VLOOKUP(CG$10,'VK-Transport'!$C:$X,2+$B118,0))+IF(CG$8="X",VLOOKUP(CG$10,'VK-Elekter'!$C:$X,2+$D118,0))+IF(CG$9="X",VLOOKUP(CG$10,'VK-Biokütused'!$C:$U,2+$E118,0))+IF(CG$5="X",VLOOKUP(CG$10,'VK-Põlevkivi'!$C:$X,2+$G118,0))+IF(CG$4="X",VLOOKUP(CG$10,'VK-Võrgud'!$C:$X,2+$F118,0)))/16</f>
        <v>0</v>
      </c>
      <c r="CH118" s="209">
        <f>(IF(CH$7="X",VLOOKUP(CH$10,'VK-Hooned-Soojus'!$C:$X,2+$C118,FALSE),0)+IF(CH$6="X",VLOOKUP(CH$10,'VK-Transport'!$C:$X,2+$B118,0))+IF(CH$8="X",VLOOKUP(CH$10,'VK-Elekter'!$C:$X,2+$D118,0))+IF(CH$9="X",VLOOKUP(CH$10,'VK-Biokütused'!$C:$U,2+$E118,0))+IF(CH$5="X",VLOOKUP(CH$10,'VK-Põlevkivi'!$C:$X,2+$G118,0))+IF(CH$4="X",VLOOKUP(CH$10,'VK-Võrgud'!$C:$X,2+$F118,0)))/20*0.21</f>
        <v>11.225549999999998</v>
      </c>
      <c r="CI118" s="209"/>
      <c r="CJ118" s="209">
        <f>(IF(CJ$7="X",VLOOKUP(CJ$10,'VK-Hooned-Soojus'!$C:$X,2+$C118,FALSE),0)+IF(CJ$6="X",VLOOKUP(CJ$10,'VK-Transport'!$C:$X,2+$B118,0))+IF(CJ$8="X",VLOOKUP(CJ$10,'VK-Elekter'!$C:$X,2+$D118,0))+IF(CJ$9="X",VLOOKUP(CJ$10,'VK-Biokütused'!$C:$U,2+$E118,0))+IF(CJ$5="X",VLOOKUP(CJ$10,'VK-Põlevkivi'!$C:$X,2+$G118,0))+IF(CJ$4="X",VLOOKUP(CJ$10,'VK-Võrgud'!$C:$X,2+$F118,0)))/1000</f>
        <v>17.161999999999999</v>
      </c>
      <c r="CK118" s="209">
        <f>(IF(CK$7="X",VLOOKUP(CK$10,'VK-Hooned-Soojus'!$C:$X,2+$C118,FALSE),0)+IF(CK$6="X",VLOOKUP(CK$10,'VK-Transport'!$C:$X,2+$B118,0))+IF(CK$8="X",VLOOKUP(CK$10,'VK-Elekter'!$C:$X,2+$D118,0))+IF(CK$9="X",VLOOKUP(CK$10,'VK-Biokütused'!$C:$U,2+$E118,0))+IF(CK$5="X",VLOOKUP(CK$10,'VK-Põlevkivi'!$C:$X,2+$G118,0))+IF(CK$4="X",VLOOKUP(CK$10,'VK-Võrgud'!$C:$X,2+$F118,0)))/1000</f>
        <v>11.870496548433506</v>
      </c>
      <c r="CL118" s="235">
        <f>(IF(CL$7="X",VLOOKUP(CL$10,'VK-Hooned-Soojus'!$C:$X,2+$C118,FALSE),0)+IF(CL$6="X",VLOOKUP(CL$10,'VK-Transport'!$C:$X,2+$B118,0))+IF(CL$8="X",VLOOKUP(CL$10,'VK-Elekter'!$C:$X,2+$D118,0))+IF(CL$9="X",VLOOKUP(CL$10,'VK-Biokütused'!$C:$U,2+$E118,0)))/1000</f>
        <v>7.4946303115986801</v>
      </c>
      <c r="CM118" s="209">
        <f>(IF(CM$7="X",VLOOKUP(CM$10,'VK-Hooned-Soojus'!$C:$X,2+$C118,FALSE),0)+IF(CM$6="X",VLOOKUP(CM$10,'VK-Transport'!$C:$X,2+$B118,0))+IF(CM$8="X",VLOOKUP(CM$10,'VK-Elekter'!$C:$X,2+$D118,0))+IF(CM$9="X",VLOOKUP(CM$10,'VK-Biokütused'!$C:$U,2+$E118,0))+IF(CM$5="X",VLOOKUP(CM$10,'VK-Põlevkivi'!$C:$X,2+$G118,0))+IF(CM$4="X",VLOOKUP(CM$10,'VK-Võrgud'!$C:$X,2+$F118,0)))/1000</f>
        <v>7.7469999999999999</v>
      </c>
      <c r="CN118" s="209">
        <f>(IF(CN$7="X",VLOOKUP(CN$10,'VK-Hooned-Soojus'!$C:$X,2+$C118,FALSE),0)+IF(CN$6="X",VLOOKUP(CN$10,'VK-Transport'!$C:$X,2+$B118,0))+IF(CN$8="X",VLOOKUP(CN$10,'VK-Elekter'!$C:$X,2+$D118,0))+IF(CN$9="X",VLOOKUP(CN$10,'VK-Biokütused'!$C:$U,2+$E118,0))+IF(CN$5="X",VLOOKUP(CN$10,'VK-Põlevkivi'!$C:$X,2+$G118,0))+IF(CN$4="X",VLOOKUP(CN$10,'VK-Võrgud'!$C:$X,2+$F118,0)))/1000</f>
        <v>2.8759999999999999</v>
      </c>
      <c r="CO118" s="209">
        <f>(IF(CO$7="X",VLOOKUP(CO$10,'VK-Hooned-Soojus'!$C:$X,2+$C118,FALSE),0)+IF(CO$6="X",VLOOKUP(CO$10,'VK-Transport'!$C:$X,2+$B118,0))+IF(CO$8="X",VLOOKUP(CO$10,'VK-Elekter'!$C:$X,2+$D118,0))+IF(CO$9="X",VLOOKUP(CO$10,'VK-Biokütused'!$C:$U,2+$E118,0))+IF(CO$5="X",VLOOKUP(CO$10,'VK-Põlevkivi'!$C:$X,2+$G118,0))+IF(CO$4="X",VLOOKUP(CO$10,'VK-Võrgud'!$C:$X,2+$F118,0)))/1000</f>
        <v>23.737362337356995</v>
      </c>
      <c r="CP118" s="209">
        <f>(IF(CP$7="X",VLOOKUP(CP$10,'VK-Hooned-Soojus'!$C:$X,2+$C118,FALSE),0)+IF(CP$6="X",VLOOKUP(CP$10,'VK-Transport'!$C:$X,2+$B118,0))+IF(CP$8="X",VLOOKUP(CP$10,'VK-Elekter'!$C:$X,2+$D118,0))+IF(CP$9="X",VLOOKUP(CP$10,'VK-Biokütused'!$C:$U,2+$E118,0))+IF(CP$5="X",VLOOKUP(CP$10,'VK-Põlevkivi'!$C:$X,2+$G118,0))+IF(CP$4="X",VLOOKUP(CP$10,'VK-Võrgud'!$C:$X,2+$F118,0)))/1000</f>
        <v>13.441392120693662</v>
      </c>
      <c r="CQ118" s="235">
        <f>(IF(CQ$7="X",VLOOKUP(CQ$10,'VK-Hooned-Soojus'!$C:$X,2+$C118,FALSE),0)+IF(CQ$6="X",VLOOKUP(CQ$10,'VK-Transport'!$C:$X,2+$B118,0))+IF(CQ$8="X",VLOOKUP(CQ$10,'VK-Elekter'!$C:$X,2+$D118,0))+IF(CQ$9="X",VLOOKUP(CQ$10,'VK-Biokütused'!$C:$U,2+$E118,0)))/1000</f>
        <v>10.298919</v>
      </c>
      <c r="CR118" s="209">
        <f>(IF(CR$7="X",VLOOKUP(CR$10,'VK-Hooned-Soojus'!$C:$X,2+$C118,FALSE),0)+IF(CR$6="X",VLOOKUP(CR$10,'VK-Transport'!$C:$X,2+$B118,0))+IF(CR$8="X",VLOOKUP(CR$10,'VK-Elekter'!$C:$X,2+$D118,0))+IF(CR$9="X",VLOOKUP(CR$10,'VK-Biokütused'!$C:$U,2+$E118,0))+IF(CR$5="X",VLOOKUP(CR$10,'VK-Põlevkivi'!$C:$X,2+$G118,0))+IF(CR$4="X",VLOOKUP(CR$10,'VK-Võrgud'!$C:$X,2+$F118,0)))/1000</f>
        <v>7.8547518373996894</v>
      </c>
      <c r="CS118" s="209">
        <f>(IF(CS$7="X",VLOOKUP(CS$10,'VK-Hooned-Soojus'!$C:$X,2+$C118,FALSE),0)+IF(CS$6="X",VLOOKUP(CS$10,'VK-Transport'!$C:$X,2+$B118,0))+IF(CS$8="X",VLOOKUP(CS$10,'VK-Elekter'!$C:$X,2+$D118,0))+IF(CS$9="X",VLOOKUP(CS$10,'VK-Biokütused'!$C:$U,2+$E118,0))+IF(CS$5="X",VLOOKUP(CS$10,'VK-Põlevkivi'!$C:$X,2+$G118,0))+IF(CS$4="X",VLOOKUP(CS$10,'VK-Võrgud'!$C:$X,2+$F118,0)))/1000</f>
        <v>3.8186495098622379</v>
      </c>
      <c r="CT118" s="209">
        <f>IF(CT$7="X",VLOOKUP(CT$10,'VK-Hooned-Soojus'!$C:$X,2+$C118,FALSE),0)+IF(CT$6="X",VLOOKUP(CT$10,'VK-Transport'!$C:$X,2+$B118,0))+IF(CT$8="X",VLOOKUP(CT$10,'VK-Elekter'!$C:$X,2+$D118,0))+IF(CT$9="X",VLOOKUP(CT$10,'VK-Biokütused'!$C:$U,2+$E118,0))+IF(CT$5="X",VLOOKUP(CT$10,'VK-Põlevkivi'!$C:$X,2+$G118,0))+IF(CT$4="X",VLOOKUP(CT$10,'VK-Võrgud'!$C:$X,2+$F118,0))</f>
        <v>90</v>
      </c>
      <c r="CU118" s="209">
        <f>IF(CU$7="X",VLOOKUP(CU$10,'VK-Hooned-Soojus'!$C:$X,2+$C118,FALSE),0)+IF(CU$6="X",VLOOKUP(CU$10,'VK-Transport'!$C:$X,2+$B118,0))+IF(CU$8="X",VLOOKUP(CU$10,'VK-Elekter'!$C:$X,2+$D118,0))+IF(CU$9="X",VLOOKUP(CU$10,'VK-Biokütused'!$C:$U,2+$E118,0))+IF(CU$5="X",VLOOKUP(CU$10,'VK-Põlevkivi'!$C:$X,2+$G118,0))+IF(CU$4="X",VLOOKUP(CU$10,'VK-Võrgud'!$C:$X,2+$F118,0))</f>
        <v>0.72088353413654627</v>
      </c>
      <c r="CV118" s="209">
        <f t="shared" si="84"/>
        <v>0.72887234460741646</v>
      </c>
      <c r="CW118" s="209">
        <f>(IF(CW$7="X",VLOOKUP(CW$10,'VK-Hooned-Soojus'!$C:$X,2+$C118,FALSE),0)+IF(CW$6="X",VLOOKUP(CW$10,'VK-Transport'!$C:$X,2+$B118,0))+IF(CW$8="X",VLOOKUP(CW$10,'VK-Elekter'!$C:$X,2+$D118,0))+IF(CW$9="X",VLOOKUP(CW$10,'VK-Biokütused'!$C:$U,2+$E118,0))+IF(CW$5="X",VLOOKUP(CW$10,'VK-Põlevkivi'!$C:$X,2+$G118,0))+IF(CW$4="X",VLOOKUP(CW$10,'VK-Võrgud'!$C:$X,2+$F118,0)))/16</f>
        <v>126.01875</v>
      </c>
      <c r="CY118" s="209">
        <f>(IF(CY$7="X",VLOOKUP(CY$10,'VK-Hooned-Soojus'!$C:$X,2+$C118,FALSE),0)+IF(CY$6="X",VLOOKUP(CY$10,'VK-Transport'!$C:$X,2+$B118,0))+IF(CY$8="X",VLOOKUP(CY$10,'VK-Elekter'!$C:$X,2+$D118,0))+IF(CY$9="X",VLOOKUP(CY$10,'VK-Biokütused'!$C:$U,2+$E118,0))+IF(CY$5="X",VLOOKUP(CY$10,'VK-Põlevkivi'!$C:$X,2+$G118,0))+IF(CY$4="X",VLOOKUP(CY$10,'VK-Võrgud'!$C:$X,2+$F118,0)))/1000</f>
        <v>10.124000000000001</v>
      </c>
      <c r="CZ118" s="209">
        <f>(IF(CZ$7="X",VLOOKUP(CZ$10,'VK-Hooned-Soojus'!$C:$X,2+$C118,FALSE),0)+IF(CZ$6="X",VLOOKUP(CZ$10,'VK-Transport'!$C:$X,2+$B118,0))+IF(CZ$8="X",VLOOKUP(CZ$10,'VK-Elekter'!$C:$X,2+$D118,0))+IF(CZ$9="X",VLOOKUP(CZ$10,'VK-Biokütused'!$C:$U,2+$E118,0))+IF(CZ$5="X",VLOOKUP(CZ$10,'VK-Põlevkivi'!$C:$X,2+$G118,0))+IF(CZ$4="X",VLOOKUP(CZ$10,'VK-Võrgud'!$C:$X,2+$F118,0)))</f>
        <v>68</v>
      </c>
      <c r="DA118" s="209">
        <f>(IF(DA$7="X",VLOOKUP(DA$10,'VK-Hooned-Soojus'!$C:$X,2+$C118,FALSE),0)+IF(DA$6="X",VLOOKUP(DA$10,'VK-Transport'!$C:$X,2+$B118,0))+IF(DA$8="X",VLOOKUP(DA$10,'VK-Elekter'!$C:$X,2+$D118,0))+IF(DA$9="X",VLOOKUP(DA$10,'VK-Biokütused'!$C:$U,2+$E118,0))+IF(DA$5="X",VLOOKUP(DA$10,'VK-Põlevkivi'!$C:$X,2+$G118,0))+IF(DA$4="X",VLOOKUP(DA$10,'VK-Võrgud'!$C:$X,2+$F118,0)))/1000</f>
        <v>13.214</v>
      </c>
      <c r="DB118" s="209">
        <f>(IF(DB$7="X",VLOOKUP(DB$10,'VK-Hooned-Soojus'!$C:$X,2+$C118,FALSE),0)+IF(DB$6="X",VLOOKUP(DB$10,'VK-Transport'!$C:$X,2+$B118,0))+IF(DB$8="X",VLOOKUP(DB$10,'VK-Elekter'!$C:$X,2+$D118,0))+IF(DB$9="X",VLOOKUP(DB$10,'VK-Biokütused'!$C:$U,2+$E118,0))+IF(DB$5="X",VLOOKUP(DB$10,'VK-Põlevkivi'!$C:$X,2+$G118,0))+IF(DB$4="X",VLOOKUP(DB$10,'VK-Võrgud'!$C:$X,2+$F118,0)))/1000/3.6</f>
        <v>59.465555555555554</v>
      </c>
      <c r="DC118" s="209">
        <f>(IF(DC$7="X",VLOOKUP(DC$10,'VK-Hooned-Soojus'!$C:$X,2+$C118,FALSE),0)+IF(DC$6="X",VLOOKUP(DC$10,'VK-Transport'!$C:$X,2+$B118,0))+IF(DC$8="X",VLOOKUP(DC$10,'VK-Elekter'!$C:$X,2+$D118,0))+IF(DC$9="X",VLOOKUP(DC$10,'VK-Biokütused'!$C:$U,2+$E118,0))+IF(DC$5="X",VLOOKUP(DC$10,'VK-Põlevkivi'!$C:$X,2+$G118,0))+IF(DC$4="X",VLOOKUP(DC$10,'VK-Võrgud'!$C:$X,2+$F118,0)))/1000000</f>
        <v>4.7845789999999999</v>
      </c>
      <c r="DD118" s="209"/>
      <c r="DE118" s="88">
        <f>VLOOKUP(Tulemused!$BN$12,data!M$7:N$12,2,FALSE)-SUM(L118,M118)</f>
        <v>-5.2509373024363981E-2</v>
      </c>
      <c r="DF118" s="209" t="str">
        <f>IF(AZ118&lt;=VLOOKUP(Tulemused!$BN$15,data!$E$36:$F$39,2,FALSE),"JAH","EI")</f>
        <v>JAH</v>
      </c>
      <c r="DG118" s="209"/>
      <c r="DH118" s="209">
        <f t="shared" si="85"/>
        <v>6.28</v>
      </c>
      <c r="DI118" s="231" t="str">
        <f t="shared" si="65"/>
        <v>EI</v>
      </c>
      <c r="DK118" s="232">
        <f t="shared" si="86"/>
        <v>-992.83012834306533</v>
      </c>
      <c r="DM118" s="233">
        <f t="shared" si="87"/>
        <v>-997.18136725403519</v>
      </c>
      <c r="DN118" s="87">
        <f t="array" ref="DN118">INDEX($A$11:$A$145, SMALL(IF(DM118=$DK$11:$DK$145, MATCH(ROW($DK$11:$DK$145), ROW($DK$11:$DK$145))), SUM(--(DM118=$DM$11:DM118))))</f>
        <v>52</v>
      </c>
      <c r="DP118" s="87" t="e">
        <f t="shared" ca="1" si="66"/>
        <v>#N/A</v>
      </c>
      <c r="DQ118" s="87" t="e">
        <f t="shared" ca="1" si="67"/>
        <v>#N/A</v>
      </c>
      <c r="DR118" s="87">
        <f t="shared" ca="1" si="68"/>
        <v>0</v>
      </c>
      <c r="DS118" s="87" t="e">
        <f t="shared" ca="1" si="69"/>
        <v>#N/A</v>
      </c>
      <c r="DT118" s="87">
        <f t="shared" ca="1" si="70"/>
        <v>0</v>
      </c>
      <c r="DU118" s="87" t="e">
        <f t="shared" ca="1" si="71"/>
        <v>#N/A</v>
      </c>
      <c r="DV118" s="87" t="e">
        <f t="shared" ca="1" si="72"/>
        <v>#N/A</v>
      </c>
      <c r="DW118" s="87">
        <f t="shared" ca="1" si="73"/>
        <v>0</v>
      </c>
      <c r="DX118" s="87">
        <f t="shared" ca="1" si="74"/>
        <v>0</v>
      </c>
      <c r="DZ118" s="87">
        <f t="shared" ca="1" si="82"/>
        <v>0</v>
      </c>
      <c r="EB118" s="87">
        <f t="shared" ca="1" si="75"/>
        <v>0</v>
      </c>
      <c r="EC118" s="87" t="e">
        <f t="shared" ca="1" si="76"/>
        <v>#N/A</v>
      </c>
      <c r="EE118" s="228">
        <f>(IF(EE$7="X",VLOOKUP(EE$10,'VK-Hooned-Soojus'!$C:$X,2+$C118,FALSE),0)+IF(EE$6="X",VLOOKUP(EE$10,'VK-Transport'!$C:$X,2+$B118,0))+IF(EE$8="X",VLOOKUP(EE$10,'VK-Elekter'!$C:$X,2+$D118,0))+IF(EE$9="X",VLOOKUP(EE$10,'VK-Biokütused'!$C:$U,2+$E118,0))+IF(EE$5="X",VLOOKUP(EE$10,'VK-Põlevkivi'!$C:$X,2+$G118,0))+IF(EE$4="X",VLOOKUP(EE$10,'VK-Võrgud'!$C:$X,2+$F118,0)))</f>
        <v>11144.611268365088</v>
      </c>
      <c r="EF118" s="235">
        <f>(IF(EF$7="X",VLOOKUP(EF$10,'VK-Hooned-Soojus'!$C:$X,2+$C118,FALSE),0)+IF(EF$6="X",VLOOKUP(EF$10,'VK-Transport'!$C:$X,2+$B118,0))+IF(EF$8="X",VLOOKUP(EF$10,'VK-Elekter'!$C:$X,2+$D118,0))+IF(EF$9="X",VLOOKUP(EF$10,'VK-Biokütused'!$C:$U,2+$E118,0)))/1000</f>
        <v>2.9818849906373197</v>
      </c>
      <c r="EG118" s="209">
        <f>(IF(EG$7="X",VLOOKUP(EG$10,'VK-Hooned-Soojus'!$C:$X,2+$C118,FALSE),0)+IF(EG$6="X",VLOOKUP(EG$10,'VK-Transport'!$C:$X,2+$B118,0))+IF(EG$8="X",VLOOKUP(EG$10,'VK-Elekter'!$C:$X,2+$D118,0))+IF(EG$9="X",VLOOKUP(EG$10,'VK-Biokütused'!$C:$U,2+$E118,0))+IF(EG$5="X",VLOOKUP(EG$10,'VK-Põlevkivi'!$C:$X,2+$G118,0))+IF(EG$4="X",VLOOKUP(EG$10,'VK-Võrgud'!$C:$X,2+$F118,0)))</f>
        <v>0.81</v>
      </c>
      <c r="EH118" s="209">
        <f>(IF(EH$7="X",VLOOKUP(EH$10,'VK-Hooned-Soojus'!$C:$X,2+$C118,FALSE),0)+IF(EH$6="X",VLOOKUP(EH$10,'VK-Transport'!$C:$X,2+$B118,0))+IF(EH$8="X",VLOOKUP(EH$10,'VK-Elekter'!$C:$X,2+$D118,0))+IF(EH$9="X",VLOOKUP(EH$10,'VK-Biokütused'!$C:$U,2+$E118,0)))+AR118+AS118+AU118+AX118</f>
        <v>52.444637038771788</v>
      </c>
      <c r="EI118" s="320">
        <f t="shared" si="88"/>
        <v>45.102900516795863</v>
      </c>
      <c r="EJ118" s="322">
        <f t="shared" si="89"/>
        <v>2.4608217929567841E-2</v>
      </c>
      <c r="EK118" s="323">
        <f t="shared" si="77"/>
        <v>0.43983091445120043</v>
      </c>
      <c r="EM118" s="209"/>
      <c r="EN118" s="209">
        <f t="shared" ca="1" si="90"/>
        <v>0</v>
      </c>
      <c r="EO118" s="209"/>
      <c r="EP118" s="234"/>
      <c r="EQ118" s="209">
        <f>(IF(EQ$7="X",VLOOKUP(EQ$10,'VK-Hooned-Soojus'!$C:$X,2+$C118,FALSE),0)+IF(EQ$6="X",VLOOKUP(EQ$10,'VK-Transport'!$C:$X,2+$B118,0))+IF(EQ$8="X",VLOOKUP(EQ$10,'VK-Elekter'!$C:$X,2+$D118,0))+IF(EQ$9="X",VLOOKUP(EQ$10,'VK-Biokütused'!$C:$U,2+$E118,0))+IF(EQ$5="X",VLOOKUP(EQ$10,'VK-Põlevkivi'!$C:$X,2+$G118,0))+IF(EQ$4="X",VLOOKUP(EQ$10,'VK-Võrgud'!$C:$X,2+$F118,0)))/1000</f>
        <v>0.21099999999999999</v>
      </c>
      <c r="ER118" s="209">
        <f>(IF(ER$7="X",VLOOKUP(ER$10,'VK-Hooned-Soojus'!$C:$X,2+$C118,FALSE),0)+IF(ER$6="X",VLOOKUP(ER$10,'VK-Transport'!$C:$X,2+$B118,0))+IF(ER$8="X",VLOOKUP(ER$10,'VK-Elekter'!$C:$X,2+$D118,0))+IF(ER$9="X",VLOOKUP(ER$10,'VK-Biokütused'!$C:$U,2+$E118,0))+IF(ER$5="X",VLOOKUP(ER$10,'VK-Põlevkivi'!$C:$X,2+$G118,0))+IF(ER$4="X",VLOOKUP(ER$10,'VK-Võrgud'!$C:$X,2+$F118,0)))</f>
        <v>0.76300000000000001</v>
      </c>
      <c r="ES118" s="209">
        <f>(IF(ES$7="X",VLOOKUP(ES$10,'VK-Hooned-Soojus'!$C:$X,2+$C118,FALSE),0)+IF(ES$6="X",VLOOKUP(ES$10,'VK-Transport'!$C:$X,2+$B118,0))+IF(ES$8="X",VLOOKUP(ES$10,'VK-Elekter'!$C:$X,2+$D118,0))+IF(ES$9="X",VLOOKUP(ES$10,'VK-Biokütused'!$C:$U,2+$E118,0))+IF(ES$5="X",VLOOKUP(ES$10,'VK-Põlevkivi'!$C:$X,2+$G118,0))+IF(ES$4="X",VLOOKUP(ES$10,'VK-Võrgud'!$C:$X,2+$F118,0)))</f>
        <v>6.28</v>
      </c>
      <c r="ET118" s="209"/>
      <c r="EU118" s="209"/>
      <c r="EV118" s="87">
        <f>'KSH järjestus'!AS111</f>
        <v>909</v>
      </c>
      <c r="EZ118" s="237">
        <f t="shared" si="91"/>
        <v>0.27911646586345373</v>
      </c>
      <c r="FA118" s="209">
        <f>IF(FA$7="X",VLOOKUP(FA$10,'VK-Hooned-Soojus'!$C:$X,2+$C118,FALSE),0)+IF(FA$6="X",VLOOKUP(FA$10,'VK-Transport'!$C:$X,2+$B118,0))+IF(FA$8="X",VLOOKUP(FA$10,'VK-Elekter'!$C:$X,2+$D118,0))+IF(FA$9="X",VLOOKUP(FA$10,'VK-Biokütused'!$C:$U,2+$E118,0))+IF(FA$5="X",VLOOKUP(FA$10,'VK-Põlevkivi'!$C:$X,2+$G118,0))+IF(FA$4="X",VLOOKUP(FA$10,'VK-Võrgud'!$C:$X,2+$F118,0))</f>
        <v>2991.9189999999999</v>
      </c>
      <c r="FB118" s="279">
        <f>(IF(FB$7="X",VLOOKUP(FB$10,'VK-Hooned-Soojus'!$C:$X,2+$C118,FALSE),0)+IF(FB$6="X",VLOOKUP(FB$10,'VK-Transport'!$C:$X,2+$B118,0))+IF(FB$8="X",VLOOKUP(FB$10,'VK-Elekter'!$C:$X,2+$D118,0))+IF(FB$9="X",VLOOKUP(FB$10,'VK-Biokütused'!$C:$U,2+$E118,0))+IF(FB$5="X",VLOOKUP(FB$10,'VK-Põlevkivi'!$C:$X,2+$G118,0))+IF(FB$4="X",VLOOKUP(FB$10,'VK-Võrgud'!$C:$X,2+$F118,0)))/16</f>
        <v>578.8899075510908</v>
      </c>
      <c r="FC118" s="209">
        <f>IF(FC$7="X",VLOOKUP(FC$10,'VK-Hooned-Soojus'!$C:$X,2+$C118,FALSE),0)+IF(FC$6="X",VLOOKUP(FC$10,'VK-Transport'!$C:$X,2+$B118,0))+IF(FC$8="X",VLOOKUP(FC$10,'VK-Elekter'!$C:$X,2+$D118,0))+IF(FC$9="X",VLOOKUP(FC$10,'VK-Biokütused'!$C:$U,2+$E118,0))+IF(FC$5="X",VLOOKUP(FC$10,'VK-Põlevkivi'!$C:$X,2+$G118,0))+IF(FC$4="X",VLOOKUP(FC$10,'VK-Võrgud'!$C:$X,2+$F118,0))</f>
        <v>294.39999999999998</v>
      </c>
      <c r="FD118" s="209">
        <f>(IF(FD$7="X",VLOOKUP(FD$10,'VK-Hooned-Soojus'!$C:$X,2+$C118,FALSE),0)+IF(FD$6="X",VLOOKUP(FD$10,'VK-Transport'!$C:$X,2+$B118,0))+IF(FD$8="X",VLOOKUP(FD$10,'VK-Elekter'!$C:$X,2+$D118,0))+IF(FD$9="X",VLOOKUP(FD$10,'VK-Biokütused'!$C:$U,2+$E118,0))+IF(FD$5="X",VLOOKUP(FD$10,'VK-Põlevkivi'!$C:$X,2+$G118,0))+IF(FD$4="X",VLOOKUP(FD$10,'VK-Võrgud'!$C:$X,2+$F118,0)))/16</f>
        <v>578.8899075510908</v>
      </c>
      <c r="FE118" s="209">
        <f>(IF(FE$7="X",VLOOKUP(FE$10,'VK-Hooned-Soojus'!$C:$X,2+$C118,FALSE),0)+IF(FE$6="X",VLOOKUP(FE$10,'VK-Transport'!$C:$X,2+$B118,0))+IF(FE$8="X",VLOOKUP(FE$10,'VK-Elekter'!$C:$X,2+$D118,0))+IF(FE$9="X",VLOOKUP(FE$10,'VK-Biokütused'!$C:$U,2+$E118,0))+IF(FE$5="X",VLOOKUP(FE$10,'VK-Põlevkivi'!$C:$X,2+$G118,0))+IF(FE$4="X",VLOOKUP(FE$10,'VK-Võrgud'!$C:$X,2+$F118,0)))/16</f>
        <v>-111.63831369909104</v>
      </c>
      <c r="FF118" s="209">
        <f>(IF(FF$7="X",VLOOKUP(FF$10,'VK-Hooned-Soojus'!$C:$X,2+$C118,FALSE),0)+IF(FF$6="X",VLOOKUP(FF$10,'VK-Transport'!$C:$X,2+$B118,0))+IF(FF$8="X",VLOOKUP(FF$10,'VK-Elekter'!$C:$X,2+$D118,0))+IF(FF$9="X",VLOOKUP(FF$10,'VK-Biokütused'!$C:$U,2+$E118,0))+IF(FF$5="X",VLOOKUP(FF$10,'VK-Põlevkivi'!$C:$X,2+$G118,0))+IF(FF$4="X",VLOOKUP(FF$10,'VK-Võrgud'!$C:$X,2+$F118,0)))/16</f>
        <v>236.24698781092124</v>
      </c>
      <c r="FG118" s="88">
        <f t="shared" ca="1" si="78"/>
        <v>124.6086741118302</v>
      </c>
      <c r="FH118" s="88"/>
      <c r="FI118" s="88"/>
      <c r="FJ118" s="88">
        <f>VLOOKUP(Tulemused!$BN$12,data!M$7:N$12,2,FALSE)-SUM(L118,M118)</f>
        <v>-5.2509373024363981E-2</v>
      </c>
      <c r="FK118" s="209" t="str">
        <f>IF(AZ118&lt;=VLOOKUP(Tulemused!$BN$15,data!$E$36:$F$39,2,FALSE),"JAH","EI")</f>
        <v>JAH</v>
      </c>
      <c r="FL118" s="235">
        <f ca="1">IF(ISNA(MATCH($A118,INDIRECT(VLOOKUP(Tulemused!$BF$11,data!$J$57:$M$71,4,FALSE)))),0,MATCH($A118,INDIRECT(VLOOKUP(Tulemused!$BF$11,data!$J$57:$M$71,4,FALSE))))</f>
        <v>0</v>
      </c>
      <c r="FM118" s="235" t="str">
        <f t="shared" ca="1" si="92"/>
        <v>JAH</v>
      </c>
      <c r="FN118" s="209">
        <f>VLOOKUP(Tulemused!$BN$13,data!$C$132:$D$137,2,FALSE)-KOMBI!R118</f>
        <v>4.4628850093626804</v>
      </c>
      <c r="FO118" s="209"/>
      <c r="FP118" s="209">
        <f>VLOOKUP(Tulemused!$BN$17,NO_x,2,FALSE)-CJ118</f>
        <v>12.276</v>
      </c>
      <c r="FQ118" s="209">
        <f>VLOOKUP(Tulemused!$BN$18,SO_2,2,FALSE)-CK118</f>
        <v>40.013503451566493</v>
      </c>
      <c r="FR118" s="209">
        <f>VLOOKUP(Tulemused!$BN$19,LOU,2,FALSE)-CN118</f>
        <v>34.204000000000008</v>
      </c>
      <c r="FS118" s="209">
        <f>VLOOKUP(Tulemused!$BN$20,PM_2.5,2,FALSE)-CM118</f>
        <v>9.1679999999999993</v>
      </c>
      <c r="FT118" s="209">
        <f>VLOOKUP(Tulemused!$BN$13,data!$C$132:$D$137,2,FALSE)-FA118/1000</f>
        <v>3.2540510000000009</v>
      </c>
      <c r="FU118" s="209">
        <f>VLOOKUP(Tulemused!$BN$17,NO_x,2,FALSE)-CO118</f>
        <v>5.700637662643004</v>
      </c>
      <c r="FV118" s="209">
        <f>VLOOKUP(Tulemused!$BN$18,SO_2,2,FALSE)-CP118</f>
        <v>38.442607879306337</v>
      </c>
      <c r="FW118" s="209">
        <f>VLOOKUP(Tulemused!$BN$19,LOU,2,FALSE)-CS118</f>
        <v>33.261350490137765</v>
      </c>
      <c r="FX118" s="209">
        <f>VLOOKUP(Tulemused!$BN$20,PM_2.5,2,FALSE)-CR118</f>
        <v>9.0602481626003097</v>
      </c>
      <c r="FY118" s="209">
        <f>VLOOKUP(Tulemused!$BN$14,KHG_2050,2,FALSE)-EF118</f>
        <v>97.018115009362674</v>
      </c>
      <c r="FZ118" s="231" t="str">
        <f t="shared" ca="1" si="79"/>
        <v>EI</v>
      </c>
      <c r="GA118" s="209"/>
      <c r="GB118" s="209"/>
      <c r="GC118" s="209"/>
      <c r="GD118" s="231"/>
      <c r="GE118" s="87">
        <f t="shared" si="93"/>
        <v>909</v>
      </c>
      <c r="GF118" s="232" t="str">
        <f t="shared" ca="1" si="80"/>
        <v/>
      </c>
      <c r="GH118" s="238" t="e">
        <f t="shared" ca="1" si="94"/>
        <v>#NUM!</v>
      </c>
      <c r="GI118" s="87" t="e">
        <f t="array" aca="1" ref="GI118" ca="1">INDEX($A$11:$A$145, SMALL(IF(GH118=$GF$11:$GF$145, MATCH(ROW($GF$11:$GF$145), ROW($GF$11:$GF$145))), SUM(--(GH118=$GH$11:GH118))))</f>
        <v>#NUM!</v>
      </c>
      <c r="GM118" s="209">
        <f>IF(GM$7="X",VLOOKUP(GM$10,'VK-Hooned-Soojus'!$C:$X,2+$C118,FALSE),0)+IF(GM$6="X",VLOOKUP(GM$10,'VK-Transport'!$C:$X,2+$B118,0))+IF(GM$8="X",VLOOKUP(GM$10,'VK-Elekter'!$C:$X,2+$D118,0))+IF(GM$9="X",VLOOKUP(GM$10,'VK-Biokütused'!$C:$U,2+$E118,0))+IF(GM$5="X",VLOOKUP(GM$10,'VK-Põlevkivi'!$C:$X,2+$G118,0))+IF(GM$4="X",VLOOKUP(GM$10,'VK-Võrgud'!$C:$X,2+$F118,0))</f>
        <v>6.012827991027228</v>
      </c>
      <c r="GN118" s="209">
        <f>IF(GN$7="X",VLOOKUP(GN$10,'VK-Hooned-Soojus'!$C:$X,2+$C118,FALSE),0)+IF(GN$6="X",VLOOKUP(GN$10,'VK-Transport'!$C:$X,2+$B118,0))+IF(GN$8="X",VLOOKUP(GN$10,'VK-Elekter'!$C:$X,2+$D118,0))+IF(GN$9="X",VLOOKUP(GN$10,'VK-Biokütused'!$C:$U,2+$E118,0))+IF(GN$5="X",VLOOKUP(GN$10,'VK-Põlevkivi'!$C:$X,2+$G118,0))+IF(GN$4="X",VLOOKUP(GN$10,'VK-Võrgud'!$C:$X,2+$F118,0))</f>
        <v>3.4467619395011728</v>
      </c>
      <c r="GO118" s="209">
        <f>IF(GO$7="X",VLOOKUP(GO$10,'VK-Hooned-Soojus'!$C:$X,2+$C118,FALSE),0)+IF(GO$6="X",VLOOKUP(GO$10,'VK-Transport'!$C:$X,2+$B118,0))+IF(GO$8="X",VLOOKUP(GO$10,'VK-Elekter'!$C:$X,2+$D118,0))+IF(GO$9="X",VLOOKUP(GO$10,'VK-Biokütused'!$C:$U,2+$E118,0))+IF(GO$5="X",VLOOKUP(GO$10,'VK-Põlevkivi'!$C:$X,2+$G118,0))+IF(GO$4="X",VLOOKUP(GO$10,'VK-Võrgud'!$C:$X,2+$F118,0))</f>
        <v>7.936370010272257</v>
      </c>
      <c r="GP118" s="209">
        <f>IF(GP$7="X",VLOOKUP(GP$10,'VK-Hooned-Soojus'!$C:$X,2+$C118,FALSE),0)+IF(GP$6="X",VLOOKUP(GP$10,'VK-Transport'!$C:$X,2+$B118,0))+IF(GP$8="X",VLOOKUP(GP$10,'VK-Elekter'!$C:$X,2+$D118,0))+IF(GP$9="X",VLOOKUP(GP$10,'VK-Biokütused'!$C:$U,2+$E118,0))+IF(GP$5="X",VLOOKUP(GP$10,'VK-Põlevkivi'!$C:$X,2+$G118,0))+IF(GP$4="X",VLOOKUP(GP$10,'VK-Võrgud'!$C:$X,2+$F118,0))</f>
        <v>9.1527946929596489</v>
      </c>
      <c r="GQ118" s="88">
        <f>IF(GQ$7="X",VLOOKUP(GQ$10,'VK-Hooned-Soojus'!$C:$X,2+$C118,FALSE),0)+IF(GQ$6="X",VLOOKUP(GQ$10,'VK-Transport'!$C:$X,2+$B118,0))+IF(GQ$8="X",VLOOKUP(GQ$10,'VK-Elekter'!$C:$X,2+$D118,0))+IF(GQ$9="X",VLOOKUP(GQ$10,'VK-Biokütused'!$C:$U,2+$E118,0))+IF(GQ$5="X",VLOOKUP(GQ$10,'VK-Põlevkivi'!$C:$X,2+$G118,0))+IF(GQ$4="X",VLOOKUP(GQ$10,'VK-Võrgud'!$C:$X,2+$F118,0))</f>
        <v>0.89042766952822527</v>
      </c>
      <c r="GR118" s="186">
        <f t="shared" si="81"/>
        <v>0.41021308782500948</v>
      </c>
    </row>
    <row r="119" spans="1:200" x14ac:dyDescent="0.2">
      <c r="A119" s="184">
        <v>109</v>
      </c>
      <c r="B119" s="87">
        <v>3</v>
      </c>
      <c r="C119" s="87">
        <v>2</v>
      </c>
      <c r="D119" s="87">
        <v>2</v>
      </c>
      <c r="E119" s="87">
        <v>1</v>
      </c>
      <c r="F119" s="87">
        <f>VLOOKUP(Tulemused!$BF$7,data!$J$6:$K$8,2,FALSE)</f>
        <v>2</v>
      </c>
      <c r="G119" s="87">
        <f>VLOOKUP(data!$H$2,data!$J$12:$K$14,2,FALSE)</f>
        <v>2</v>
      </c>
      <c r="I119" s="209">
        <f>IF(I$7="X",VLOOKUP(I$10,'VK-Hooned-Soojus'!$C:$X,2+$C119,FALSE),0)+IF(I$6="X",VLOOKUP(I$10,'VK-Transport'!$C:$X,2+$B119,0))+IF(I$8="X",VLOOKUP(I$10,'VK-Elekter'!$C:$X,2+$D119,0))+IF(I$9="X",VLOOKUP(I$10,'VK-Biokütused'!$C:$U,2+$E119,0))+IF(I$5="X",VLOOKUP(I$10,'VK-Põlevkivi'!$C:$X,2+$G119,0))+IF(I$4="X",VLOOKUP(I$10,'VK-Võrgud'!$C:$X,2+$F119,0))</f>
        <v>24.79</v>
      </c>
      <c r="J119" s="209">
        <f>IF(J$7="X",VLOOKUP(J$10,'VK-Hooned-Soojus'!$C:$X,2+$C119,FALSE),0)+IF(J$6="X",VLOOKUP(J$10,'VK-Transport'!$C:$X,2+$B119,0))+IF(J$8="X",VLOOKUP(J$10,'VK-Elekter'!$C:$X,2+$D119,0))+IF(J$9="X",VLOOKUP(J$10,'VK-Biokütused'!$C:$U,2+$E119,0))+IF(J$5="X",VLOOKUP(J$10,'VK-Põlevkivi'!$C:$X,2+$G119,0))+IF(J$4="X",VLOOKUP(J$10,'VK-Võrgud'!$C:$X,2+$F119,0))</f>
        <v>8.1258333333333344</v>
      </c>
      <c r="K119" s="209">
        <f>IF(K$7="X",VLOOKUP(K$10,'VK-Hooned-Soojus'!$C:$X,2+$C119,FALSE),0)+IF(K$6="X",VLOOKUP(K$10,'VK-Transport'!$C:$X,2+$B119,0))+IF(K$8="X",VLOOKUP(K$10,'VK-Elekter'!$C:$X,2+$D119,0))+IF(K$9="X",VLOOKUP(K$10,'VK-Biokütused'!$C:$U,2+$E119,0))+IF(K$5="X",VLOOKUP(K$10,'VK-Põlevkivi'!$C:$X,2+$G119,0))+IF(K$4="X",VLOOKUP(K$10,'VK-Võrgud'!$C:$X,2+$F119,0))</f>
        <v>15.27</v>
      </c>
      <c r="L119" s="209">
        <f>IF(L$7="X",VLOOKUP(L$10,'VK-Hooned-Soojus'!$C:$X,2+$C119,FALSE),0)+IF(L$6="X",VLOOKUP(L$10,'VK-Transport'!$C:$X,2+$B119,0))+IF(L$8="X",VLOOKUP(L$10,'VK-Elekter'!$C:$X,2+$D119,0))+IF(L$9="X",VLOOKUP(L$10,'VK-Biokütused'!$C:$U,2+$E119,0))+IF(L$5="X",VLOOKUP(L$10,'VK-Põlevkivi'!$C:$X,2+$G119,0))+IF(L$4="X",VLOOKUP(L$10,'VK-Võrgud'!$C:$X,2+$F119,0))</f>
        <v>24.2</v>
      </c>
      <c r="M119" s="209">
        <f>IF(M$7="X",VLOOKUP(M$10,'VK-Hooned-Soojus'!$C:$X,2+$C119,FALSE),0)+IF(M$6="X",VLOOKUP(M$10,'VK-Transport'!$C:$X,2+$B119,0))+IF(M$8="X",VLOOKUP(M$10,'VK-Elekter'!$C:$X,2+$D119,0))+IF(M$9="X",VLOOKUP(M$10,'VK-Biokütused'!$C:$U,2+$E119,0))+IF(M$5="X",VLOOKUP(M$10,'VK-Põlevkivi'!$C:$X,2+$G119,0))+IF(M$4="X",VLOOKUP(M$10,'VK-Võrgud'!$C:$X,2+$F119,0))</f>
        <v>8.68530937302436</v>
      </c>
      <c r="N119" s="209">
        <f>IF(N$7="X",VLOOKUP(N$10,'VK-Hooned-Soojus'!$C:$X,2+$C119,FALSE),0)+IF(N$6="X",VLOOKUP(N$10,'VK-Transport'!$C:$X,2+$B119,0))+IF(N$8="X",VLOOKUP(N$10,'VK-Elekter'!$C:$X,2+$D119,0))+IF(N$9="X",VLOOKUP(N$10,'VK-Biokütused'!$C:$U,2+$E119,0))+IF(N$5="X",VLOOKUP(N$10,'VK-Põlevkivi'!$C:$X,2+$G119,0))+IF(N$4="X",VLOOKUP(N$10,'VK-Võrgud'!$C:$X,2+$F119,0))</f>
        <v>16.09</v>
      </c>
      <c r="O119" s="209">
        <f t="shared" si="60"/>
        <v>32.915833333333332</v>
      </c>
      <c r="P119" s="209"/>
      <c r="Q119" s="209">
        <f>(IF(Q$7="X",VLOOKUP(Q$10,'VK-Hooned-Soojus'!$C:$X,2+$C119,FALSE),0)+IF(Q$6="X",VLOOKUP(Q$10,'VK-Transport'!$C:$X,2+$B119,0))+IF(Q$8="X",VLOOKUP(Q$10,'VK-Elekter'!$C:$X,2+$D119,0))+IF(Q$9="X",VLOOKUP(Q$10,'VK-Biokütused'!$C:$U,2+$E119,0))+IF(Q$5="X",VLOOKUP(Q$10,'VK-Põlevkivi'!$C:$X,2+$G119,0))+IF(Q$4="X",VLOOKUP(Q$10,'VK-Võrgud'!$C:$X,2+$F119,0)))/1000</f>
        <v>5.0979999999999999</v>
      </c>
      <c r="R119" s="209">
        <f>(IF(R$7="X",VLOOKUP(R$10,'VK-Hooned-Soojus'!$C:$X,2+$C119,FALSE),0)+IF(R$6="X",VLOOKUP(R$10,'VK-Transport'!$C:$X,2+$B119,0))+IF(R$8="X",VLOOKUP(R$10,'VK-Elekter'!$C:$X,2+$D119,0))+IF(R$9="X",VLOOKUP(R$10,'VK-Biokütused'!$C:$U,2+$E119,0))+IF(R$5="X",VLOOKUP(R$10,'VK-Põlevkivi'!$C:$X,2+$G119,0))+IF(R$4="X",VLOOKUP(R$10,'VK-Võrgud'!$C:$X,2+$F119,0)))/1000</f>
        <v>1.19688499063732</v>
      </c>
      <c r="S119" s="226">
        <f>VLOOKUP(S$10,'VK-Hooned-Soojus'!$C:$I,2+$C119,FALSE) + VLOOKUP(S$10,'VK-Transport'!$C:$I,2+$B119,FALSE)+ VLOOKUP(S$10,'VK-Biokütused'!$C:$G,2+$E119,FALSE)+ VLOOKUP(S$10,'VK-Elekter'!$C:$I,2+$D119,FALSE)+ VLOOKUP(S$10,'VK-Põlevkivi'!$C:$I,2+$G119,FALSE)+ VLOOKUP(S$10,'VK-Võrgud'!$C:$I,2+$F119,FALSE)</f>
        <v>1.1727327048324868E-2</v>
      </c>
      <c r="T119" s="226">
        <f>VLOOKUP(T$10,'VK-Hooned-Soojus'!$C:$I,2+$C119,FALSE) + VLOOKUP(T$10,'VK-Transport'!$C:$I,2+$B119,FALSE)+ VLOOKUP(T$10,'VK-Biokütused'!$C:$G,2+$E119,FALSE)+ VLOOKUP(T$10,'VK-Elekter'!$C:$I,2+$D119,FALSE)+ VLOOKUP(T$10,'VK-Põlevkivi'!$C:$I,2+$G119,FALSE)+ VLOOKUP(T$10,'VK-Võrgud'!$C:$I,2+$F119,FALSE)</f>
        <v>7.4308402775248045E-3</v>
      </c>
      <c r="U119" s="226">
        <f>VLOOKUP(U$10,'VK-Hooned-Soojus'!$C:$I,2+$C119,FALSE) + VLOOKUP(U$10,'VK-Transport'!$C:$I,2+$B119,FALSE)+ VLOOKUP(U$10,'VK-Biokütused'!$C:$G,2+$E119,FALSE)+ VLOOKUP(U$10,'VK-Elekter'!$C:$I,2+$D119,FALSE)+ VLOOKUP(U$10,'VK-Põlevkivi'!$C:$I,2+$G119,FALSE)+ VLOOKUP(U$10,'VK-Võrgud'!$C:$I,2+$F119,FALSE)</f>
        <v>3.4297111779667822E-3</v>
      </c>
      <c r="V119" s="226">
        <f>VLOOKUP(V$10,'VK-Hooned-Soojus'!$C:$I,2+$C119,FALSE) + VLOOKUP(V$10,'VK-Transport'!$C:$I,2+$B119,FALSE)+ VLOOKUP(V$10,'VK-Biokütused'!$C:$G,2+$E119,FALSE)+ VLOOKUP(V$10,'VK-Elekter'!$C:$I,2+$D119,FALSE)+ VLOOKUP(V$10,'VK-Põlevkivi'!$C:$I,2+$G119,FALSE)+ VLOOKUP(V$10,'VK-Võrgud'!$C:$I,2+$F119,FALSE)</f>
        <v>8.3698758440176185E-3</v>
      </c>
      <c r="W119" s="226">
        <f>VLOOKUP(W$10,'VK-Hooned-Soojus'!$C:$I,2+$C119,FALSE) + VLOOKUP(W$10,'VK-Transport'!$C:$I,2+$B119,FALSE)+ VLOOKUP(W$10,'VK-Biokütused'!$C:$G,2+$E119,FALSE)+ VLOOKUP(W$10,'VK-Elekter'!$C:$I,2+$D119,FALSE)+ VLOOKUP(W$10,'VK-Põlevkivi'!$C:$I,2+$G119,FALSE)+ VLOOKUP(W$10,'VK-Võrgud'!$C:$I,2+$F119,FALSE)</f>
        <v>-4.4074108128470596E-2</v>
      </c>
      <c r="X119" s="226">
        <f>VLOOKUP(X$10,'VK-Hooned-Soojus'!$C:$I,2+$C119,FALSE) + VLOOKUP(X$10,'VK-Transport'!$C:$I,2+$B119,FALSE)+ VLOOKUP(X$10,'VK-Biokütused'!$C:$G,2+$E119,FALSE)+ VLOOKUP(X$10,'VK-Elekter'!$C:$I,2+$D119,FALSE)+ VLOOKUP(X$10,'VK-Põlevkivi'!$C:$I,2+$G119,FALSE)+ VLOOKUP(X$10,'VK-Võrgud'!$C:$I,2+$F119,FALSE)</f>
        <v>-5.1758797517041162E-2</v>
      </c>
      <c r="Y119" s="226">
        <f>VLOOKUP(Y$10,'VK-Hooned-Soojus'!$C:$I,2+$C119,FALSE) + VLOOKUP(Y$10,'VK-Transport'!$C:$I,2+$B119,FALSE)+ VLOOKUP(Y$10,'VK-Biokütused'!$C:$G,2+$E119,FALSE)+ VLOOKUP(Y$10,'VK-Elekter'!$C:$I,2+$D119,FALSE)+ VLOOKUP(Y$10,'VK-Põlevkivi'!$C:$I,2+$G119,FALSE)+ VLOOKUP(Y$10,'VK-Võrgud'!$C:$I,2+$F119,FALSE)</f>
        <v>-6.9358272267420265E-2</v>
      </c>
      <c r="Z119" s="227">
        <f>(S119*Tulemused!$Q$9*10+T119*Tulemused!$Q$10*10+KOMBI!U119*Tulemused!$Q$11*10+KOMBI!V119*Tulemused!$Q$12*10)*Tulemused!$Q$8+-(W119*Tulemused!$Q$14*10+KOMBI!X119*Tulemused!$Q$15*10+KOMBI!Y119*Tulemused!$Q$16*10)*Tulemused!$Q$13</f>
        <v>5.3522801186667115</v>
      </c>
      <c r="AA119" s="228">
        <f>(IF(AA$7="X",VLOOKUP(AA$10,'VK-Hooned-Soojus'!$C:$X,2+$C119,FALSE),0)+IF(AA$6="X",VLOOKUP(AA$10,'VK-Transport'!$C:$X,2+$B119,0))+IF(AA$8="X",VLOOKUP(AA$10,'VK-Elekter'!$C:$X,2+$D119,0))+IF(AA$9="X",VLOOKUP(AA$10,'VK-Biokütused'!$C:$U,2+$E119,0))+IF(AA$5="X",VLOOKUP(AA$10,'VK-Põlevkivi'!$C:$X,2+$G119,0))+IF(AA$4="X",VLOOKUP(AA$10,'VK-Võrgud'!$C:$X,2+$F119,0)))</f>
        <v>3761</v>
      </c>
      <c r="AB119" s="228">
        <f>(IF(AB$7="X",VLOOKUP(AB$10,'VK-Hooned-Soojus'!$C:$X,2+$C119,FALSE),0)+IF(AB$6="X",VLOOKUP(AB$10,'VK-Transport'!$C:$X,2+$B119,0))+IF(AB$8="X",VLOOKUP(AB$10,'VK-Elekter'!$C:$X,2+$D119,0))+IF(AB$9="X",VLOOKUP(AB$10,'VK-Biokütused'!$C:$U,2+$E119,0))+IF(AB$5="X",VLOOKUP(AB$10,'VK-Põlevkivi'!$C:$X,2+$G119,0))+IF(AB$4="X",VLOOKUP(AB$10,'VK-Võrgud'!$C:$X,2+$F119,0)))</f>
        <v>1337</v>
      </c>
      <c r="AC119" s="228">
        <f>(IF(AC$7="X",VLOOKUP(AC$10,'VK-Hooned-Soojus'!$C:$X,2+$C119,FALSE),0)+IF(AC$6="X",VLOOKUP(AC$10,'VK-Transport'!$C:$X,2+$B119,0))+IF(AC$8="X",VLOOKUP(AC$10,'VK-Elekter'!$C:$X,2+$D119,0))+IF(AC$9="X",VLOOKUP(AC$10,'VK-Biokütused'!$C:$U,2+$E119,0))+IF(AC$5="X",VLOOKUP(AC$10,'VK-Põlevkivi'!$C:$X,2+$G119,0))+IF(AC$4="X",VLOOKUP(AC$10,'VK-Võrgud'!$C:$X,2+$F119,0)))</f>
        <v>2346</v>
      </c>
      <c r="AD119" s="228">
        <f>(IF(AD$7="X",VLOOKUP(AD$10,'VK-Hooned-Soojus'!$C:$X,2+$C119,FALSE),0)+IF(AD$6="X",VLOOKUP(AD$10,'VK-Transport'!$C:$X,2+$B119,0))+IF(AD$8="X",VLOOKUP(AD$10,'VK-Elekter'!$C:$X,2+$D119,0))+IF(AD$9="X",VLOOKUP(AD$10,'VK-Biokütused'!$C:$U,2+$E119,0))+IF(AD$5="X",VLOOKUP(AD$10,'VK-Põlevkivi'!$C:$X,2+$G119,0))+IF(AD$4="X",VLOOKUP(AD$10,'VK-Võrgud'!$C:$X,2+$F119,0)))</f>
        <v>0</v>
      </c>
      <c r="AE119" s="228">
        <f>(IF(AE$7="X",VLOOKUP(AE$10,'VK-Hooned-Soojus'!$C:$X,2+$C119,FALSE),0)+IF(AE$6="X",VLOOKUP(AE$10,'VK-Transport'!$C:$X,2+$B119,0))+IF(AE$8="X",VLOOKUP(AE$10,'VK-Elekter'!$C:$X,2+$D119,0))+IF(AE$9="X",VLOOKUP(AE$10,'VK-Biokütused'!$C:$U,2+$E119,0))+IF(AE$5="X",VLOOKUP(AE$10,'VK-Põlevkivi'!$C:$X,2+$G119,0))+IF(AE$4="X",VLOOKUP(AE$10,'VK-Võrgud'!$C:$X,2+$F119,0)))</f>
        <v>666</v>
      </c>
      <c r="AF119" s="228">
        <f>(IF(AF$7="X",VLOOKUP(AF$10,'VK-Hooned-Soojus'!$C:$X,2+$C119,FALSE),0)+IF(AF$6="X",VLOOKUP(AF$10,'VK-Transport'!$C:$X,2+$B119,0))+IF(AF$8="X",VLOOKUP(AF$10,'VK-Elekter'!$C:$X,2+$D119,0))+IF(AF$9="X",VLOOKUP(AF$10,'VK-Biokütused'!$C:$U,2+$E119,0))+IF(AF$5="X",VLOOKUP(AF$10,'VK-Põlevkivi'!$C:$X,2+$G119,0))+IF(AF$4="X",VLOOKUP(AF$10,'VK-Võrgud'!$C:$X,2+$F119,0)))</f>
        <v>530.88499063732002</v>
      </c>
      <c r="AG119" s="209"/>
      <c r="AH119" s="209">
        <f>IF(AH$7="X",VLOOKUP(AH$10,'VK-Hooned-Soojus'!$C:$X,2+$C119,FALSE),0)+IF(AH$6="X",VLOOKUP(AH$10,'VK-Transport'!$C:$X,2+$B119,0))+IF(AH$8="X",VLOOKUP(AH$10,'VK-Elekter'!$C:$X,2+$D119,0))+IF(AH$9="X",VLOOKUP(AH$10,'VK-Biokütused'!$C:$U,2+$E119,0))+IF(AH$5="X",VLOOKUP(AH$10,'VK-Põlevkivi'!$C:$X,2+$G119,0))+IF(AH$4="X",VLOOKUP(AH$10,'VK-Võrgud'!$C:$X,2+$F119,0))</f>
        <v>11.64</v>
      </c>
      <c r="AI119" s="209">
        <f>IF(AI$7="X",VLOOKUP(AI$10,'VK-Hooned-Soojus'!$C:$X,2+$C119,FALSE),0)+IF(AI$6="X",VLOOKUP(AI$10,'VK-Transport'!$C:$X,2+$B119,0))+IF(AI$8="X",VLOOKUP(AI$10,'VK-Elekter'!$C:$X,2+$D119,0))+IF(AI$9="X",VLOOKUP(AI$10,'VK-Biokütused'!$C:$U,2+$E119,0))+IF(AI$5="X",VLOOKUP(AI$10,'VK-Põlevkivi'!$C:$X,2+$G119,0))+IF(AI$4="X",VLOOKUP(AI$10,'VK-Võrgud'!$C:$X,2+$F119,0))</f>
        <v>2.3100000000000005</v>
      </c>
      <c r="AJ119" s="209">
        <f>IF(AJ$7="X",VLOOKUP(AJ$10,'VK-Hooned-Soojus'!$C:$X,2+$C119,FALSE),0)+IF(AJ$6="X",VLOOKUP(AJ$10,'VK-Transport'!$C:$X,2+$B119,0))+IF(AJ$8="X",VLOOKUP(AJ$10,'VK-Elekter'!$C:$X,2+$D119,0))+IF(AJ$9="X",VLOOKUP(AJ$10,'VK-Biokütused'!$C:$U,2+$E119,0))+IF(AJ$5="X",VLOOKUP(AJ$10,'VK-Põlevkivi'!$C:$X,2+$G119,0))+IF(AJ$4="X",VLOOKUP(AJ$10,'VK-Võrgud'!$C:$X,2+$F119,0))</f>
        <v>9.25</v>
      </c>
      <c r="AK119" s="209">
        <f>IF(AK$7="X",VLOOKUP(AK$10,'VK-Hooned-Soojus'!$C:$X,2+$C119,FALSE),0)+IF(AK$6="X",VLOOKUP(AK$10,'VK-Transport'!$C:$X,2+$B119,0))+IF(AK$8="X",VLOOKUP(AK$10,'VK-Elekter'!$C:$X,2+$D119,0))+IF(AK$9="X",VLOOKUP(AK$10,'VK-Biokütused'!$C:$U,2+$E119,0))+IF(AK$5="X",VLOOKUP(AK$10,'VK-Põlevkivi'!$C:$X,2+$G119,0))+IF(AK$4="X",VLOOKUP(AK$10,'VK-Võrgud'!$C:$X,2+$F119,0))</f>
        <v>2.78</v>
      </c>
      <c r="AL119" s="209">
        <f>IF(AL$7="X",VLOOKUP(AL$10,'VK-Hooned-Soojus'!$C:$X,2+$C119,FALSE),0)+IF(AL$6="X",VLOOKUP(AL$10,'VK-Transport'!$C:$X,2+$B119,0))+IF(AL$8="X",VLOOKUP(AL$10,'VK-Elekter'!$C:$X,2+$D119,0))+IF(AL$9="X",VLOOKUP(AL$10,'VK-Biokütused'!$C:$U,2+$E119,0))+IF(AL$5="X",VLOOKUP(AL$10,'VK-Põlevkivi'!$C:$X,2+$G119,0))+IF(AL$4="X",VLOOKUP(AL$10,'VK-Võrgud'!$C:$X,2+$F119,0))</f>
        <v>7.1999999999999993</v>
      </c>
      <c r="AM119" s="209">
        <f>IF(AM$7="X",VLOOKUP(AM$10,'VK-Hooned-Soojus'!$C:$X,2+$C119,FALSE),0)+IF(AM$6="X",VLOOKUP(AM$10,'VK-Transport'!$C:$X,2+$B119,0))+IF(AM$8="X",VLOOKUP(AM$10,'VK-Elekter'!$C:$X,2+$D119,0))+IF(AM$9="X",VLOOKUP(AM$10,'VK-Biokütused'!$C:$U,2+$E119,0))+IF(AM$5="X",VLOOKUP(AM$10,'VK-Põlevkivi'!$C:$X,2+$G119,0))+IF(AM$4="X",VLOOKUP(AM$10,'VK-Võrgud'!$C:$X,2+$F119,0))</f>
        <v>11.9</v>
      </c>
      <c r="AN119" s="209">
        <f>IF(AN$7="X",VLOOKUP(AN$10,'VK-Hooned-Soojus'!$C:$X,2+$C119,FALSE),0)+IF(AN$6="X",VLOOKUP(AN$10,'VK-Transport'!$C:$X,2+$B119,0))+IF(AN$8="X",VLOOKUP(AN$10,'VK-Elekter'!$C:$X,2+$D119,0))+IF(AN$9="X",VLOOKUP(AN$10,'VK-Biokütused'!$C:$U,2+$E119,0))+IF(AN$5="X",VLOOKUP(AN$10,'VK-Põlevkivi'!$C:$X,2+$G119,0))+IF(AN$4="X",VLOOKUP(AN$10,'VK-Võrgud'!$C:$X,2+$F119,0))</f>
        <v>4.8999999999999995</v>
      </c>
      <c r="AO119" s="209">
        <f>IF(AO$7="X",VLOOKUP(AO$10,'VK-Hooned-Soojus'!$C:$X,2+$C119,FALSE),0)+IF(AO$6="X",VLOOKUP(AO$10,'VK-Transport'!$C:$X,2+$B119,0))+IF(AO$8="X",VLOOKUP(AO$10,'VK-Elekter'!$C:$X,2+$D119,0))+IF(AO$9="X",VLOOKUP(AO$10,'VK-Biokütused'!$C:$U,2+$E119,0))+IF(AO$5="X",VLOOKUP(AO$10,'VK-Põlevkivi'!$C:$X,2+$G119,0))+IF(AO$4="X",VLOOKUP(AO$10,'VK-Võrgud'!$C:$X,2+$F119,0))</f>
        <v>12.56</v>
      </c>
      <c r="AP119" s="209">
        <f>IF(AP$7="X",VLOOKUP(AP$10,'VK-Hooned-Soojus'!$C:$X,2+$C119,FALSE),0)+IF(AP$6="X",VLOOKUP(AP$10,'VK-Transport'!$C:$X,2+$B119,0))+IF(AP$8="X",VLOOKUP(AP$10,'VK-Elekter'!$C:$X,2+$D119,0))+IF(AP$9="X",VLOOKUP(AP$10,'VK-Biokütused'!$C:$U,2+$E119,0))+IF(AP$5="X",VLOOKUP(AP$10,'VK-Põlevkivi'!$C:$X,2+$G119,0))+IF(AP$4="X",VLOOKUP(AP$10,'VK-Võrgud'!$C:$X,2+$F119,0))</f>
        <v>6.28</v>
      </c>
      <c r="AQ119" s="320">
        <f t="shared" si="61"/>
        <v>0.25999999999999979</v>
      </c>
      <c r="AR119" s="209">
        <f>IF(AR$7="X",VLOOKUP(AR$10,'VK-Hooned-Soojus'!$C:$X,2+$C119,FALSE),0)+IF(AR$6="X",VLOOKUP(AR$10,'VK-Transport'!$C:$X,2+$B119,0))+IF(AR$8="X",VLOOKUP(AR$10,'VK-Elekter'!$C:$X,2+$D119,0))+IF(AR$9="X",VLOOKUP(AR$10,'VK-Biokütused'!$C:$U,2+$E119,0))+IF(AR$5="X",VLOOKUP(AR$10,'VK-Põlevkivi'!$C:$X,2+$G119,0))+IF(AR$4="X",VLOOKUP(AR$10,'VK-Võrgud'!$C:$X,2+$F119,0))</f>
        <v>2.8899999999999997</v>
      </c>
      <c r="AS119" s="320">
        <f>VLOOKUP("Kütuste tarbimine @ 2030 - UTTEGAAS",'VK-Hooned-Soojus'!$C:$X,2+$C119,FALSE)/0.172+VLOOKUP("Kütuste tarbimine @ 2030 - UTTEGAAS",'VK-Elekter'!$C:$X,2+$D119,FALSE)/0.172-AR119-AU119</f>
        <v>2.8565116279069773</v>
      </c>
      <c r="AT119" s="209">
        <f>IF(AT$7="X",VLOOKUP(AT$10,'VK-Hooned-Soojus'!$C:$X,2+$C119,FALSE),0)+IF(AT$6="X",VLOOKUP(AT$10,'VK-Transport'!$C:$X,2+$B119,0))+IF(AT$8="X",VLOOKUP(AT$10,'VK-Elekter'!$C:$X,2+$D119,0))+IF(AT$9="X",VLOOKUP(AT$10,'VK-Biokütused'!$C:$U,2+$E119,0))+IF(AT$5="X",VLOOKUP(AT$10,'VK-Põlevkivi'!$C:$X,2+$G119,0))+IF(AT$4="X",VLOOKUP(AT$10,'VK-Võrgud'!$C:$X,2+$F119,0))</f>
        <v>5.7045296564339489</v>
      </c>
      <c r="AU119" s="229">
        <f>MAX(0,(VLOOKUP("Kütuste tarbimine @ 2030 - UTTEGAAS",'VK-Hooned-Soojus'!$C:$X,2+$C119,FALSE)/0.172+VLOOKUP("Kütuste tarbimine @ 2030 - UTTEGAAS",'VK-Elekter'!$C:$X,2+$D119,FALSE)/0.172)*0.52-VLOOKUP("Kütuste tarbimine @ 2030 - PÕLEVKIVIÕLI",'VK-Hooned-Soojus'!$C:$X,2+$C119,FALSE))</f>
        <v>5.1837209302325586</v>
      </c>
      <c r="AV119" s="209">
        <f>IF(AV$7="X",VLOOKUP(AV$10,'VK-Hooned-Soojus'!$C:$X,2+$C119,FALSE),0)+IF(AV$6="X",VLOOKUP(AV$10,'VK-Transport'!$C:$X,2+$B119,0))+IF(AV$8="X",VLOOKUP(AV$10,'VK-Elekter'!$C:$X,2+$D119,0))+IF(AV$9="X",VLOOKUP(AV$10,'VK-Biokütused'!$C:$U,2+$E119,0))+IF(AV$5="X",VLOOKUP(AV$10,'VK-Põlevkivi'!$C:$X,2+$G119,0))+IF(AV$4="X",VLOOKUP(AV$10,'VK-Võrgud'!$C:$X,2+$F119,0))</f>
        <v>2.1219844082566364</v>
      </c>
      <c r="AW119" s="209">
        <f>IF(AW$7="X",VLOOKUP(AW$10,'VK-Hooned-Soojus'!$C:$X,2+$C119,FALSE),0)+IF(AW$6="X",VLOOKUP(AW$10,'VK-Transport'!$C:$X,2+$B119,0))+IF(AW$8="X",VLOOKUP(AW$10,'VK-Elekter'!$C:$X,2+$D119,0))+IF(AW$9="X",VLOOKUP(AW$10,'VK-Biokütused'!$C:$U,2+$E119,0))+IF(AW$5="X",VLOOKUP(AW$10,'VK-Põlevkivi'!$C:$X,2+$G119,0))+IF(AW$4="X",VLOOKUP(AW$10,'VK-Võrgud'!$C:$X,2+$F119,0))</f>
        <v>0</v>
      </c>
      <c r="AX119" s="229">
        <f t="shared" si="62"/>
        <v>0</v>
      </c>
      <c r="AY119" s="229">
        <f t="shared" si="63"/>
        <v>2.1219844082566364</v>
      </c>
      <c r="AZ119" s="230">
        <f t="shared" si="83"/>
        <v>0.55453127105797051</v>
      </c>
      <c r="BA119" s="209">
        <f>IF(BA$7="X",VLOOKUP(BA$10,'VK-Hooned-Soojus'!$C:$X,2+$C119,FALSE),0)+IF(BA$6="X",VLOOKUP(BA$10,'VK-Transport'!$C:$X,2+$B119,0))+IF(BA$8="X",VLOOKUP(BA$10,'VK-Elekter'!$C:$X,2+$D119,0))+IF(BA$9="X",VLOOKUP(BA$10,'VK-Biokütused'!$C:$U,2+$E119,0))+IF(BA$5="X",VLOOKUP(BA$10,'VK-Põlevkivi'!$C:$X,2+$G119,0))+IF(BA$4="X",VLOOKUP(BA$10,'VK-Võrgud'!$C:$X,2+$F119,0))</f>
        <v>4.25</v>
      </c>
      <c r="BB119" s="209">
        <f>IF(BB$7="X",VLOOKUP(BB$10,'VK-Hooned-Soojus'!$C:$X,2+$C119,FALSE),0)+IF(BB$6="X",VLOOKUP(BB$10,'VK-Transport'!$C:$X,2+$B119,0))+IF(BB$8="X",VLOOKUP(BB$10,'VK-Elekter'!$C:$X,2+$D119,0))+IF(BB$9="X",VLOOKUP(BB$10,'VK-Biokütused'!$C:$U,2+$E119,0))+IF(BB$5="X",VLOOKUP(BB$10,'VK-Põlevkivi'!$C:$X,2+$G119,0))+IF(BB$4="X",VLOOKUP(BB$10,'VK-Võrgud'!$C:$X,2+$F119,0))</f>
        <v>2.93</v>
      </c>
      <c r="BC119" s="209">
        <f>IF(BC$7="X",VLOOKUP(BC$10,'VK-Hooned-Soojus'!$C:$X,2+$C119,FALSE),0)+IF(BC$6="X",VLOOKUP(BC$10,'VK-Transport'!$C:$X,2+$B119,0))+IF(BC$8="X",VLOOKUP(BC$10,'VK-Elekter'!$C:$X,2+$D119,0))+IF(BC$9="X",VLOOKUP(BC$10,'VK-Biokütused'!$C:$U,2+$E119,0))+IF(BC$5="X",VLOOKUP(BC$10,'VK-Põlevkivi'!$C:$X,2+$G119,0))+IF(BC$4="X",VLOOKUP(BC$10,'VK-Võrgud'!$C:$X,2+$F119,0))</f>
        <v>6.5993333333333322</v>
      </c>
      <c r="BD119" s="209">
        <f>IF(BD$7="X",VLOOKUP(BD$10,'VK-Hooned-Soojus'!$C:$X,2+$C119,FALSE),0)+IF(BD$6="X",VLOOKUP(BD$10,'VK-Transport'!$C:$X,2+$B119,0))+IF(BD$8="X",VLOOKUP(BD$10,'VK-Elekter'!$C:$X,2+$D119,0))+IF(BD$9="X",VLOOKUP(BD$10,'VK-Biokütused'!$C:$U,2+$E119,0))+IF(BD$5="X",VLOOKUP(BD$10,'VK-Põlevkivi'!$C:$X,2+$G119,0))+IF(BD$4="X",VLOOKUP(BD$10,'VK-Võrgud'!$C:$X,2+$F119,0))</f>
        <v>9.425416666666667</v>
      </c>
      <c r="BE119" s="230"/>
      <c r="BF119" s="229">
        <f t="shared" si="64"/>
        <v>0.36202470293782418</v>
      </c>
      <c r="BG119" s="209" t="e">
        <f>(IF(BG$7="X",VLOOKUP(BG$10,'VK-Hooned-Soojus'!$C:$X,2+$C119,FALSE),0)+IF(BG$6="X",VLOOKUP(BG$10,'VK-Transport'!$C:$X,2+$B119,0))+IF(BG$8="X",VLOOKUP(BG$10,'VK-Elekter'!$C:$X,2+$D119,0))+IF(BG$9="X",VLOOKUP(BG$10,'VK-Biokütused'!$C:$U,2+$E119,0))+IF(BG$5="X",VLOOKUP(BG$10,'VK-Põlevkivi'!$C:$X,2+$G119,0))+IF(BG$4="X",VLOOKUP(BG$10,'VK-Võrgud'!$C:$X,2+$F119,0)))/20</f>
        <v>#N/A</v>
      </c>
      <c r="BH119" s="209">
        <f>(IF(BH$7="X",VLOOKUP(BH$10,'VK-Hooned-Soojus'!$C:$X,2+$C119,FALSE),0)+IF(BH$6="X",VLOOKUP(BH$10,'VK-Transport'!$C:$X,2+$B119,0))+IF(BH$8="X",VLOOKUP(BH$10,'VK-Elekter'!$C:$X,2+$D119,0))+IF(BH$9="X",VLOOKUP(BH$10,'VK-Biokütused'!$C:$U,2+$E119,0))+IF(BH$5="X",VLOOKUP(BH$10,'VK-Põlevkivi'!$C:$X,2+$G119,0))+IF(BH$4="X",VLOOKUP(BH$10,'VK-Võrgud'!$C:$X,2+$F119,0)))/20</f>
        <v>45.08</v>
      </c>
      <c r="BI119" s="209">
        <f>(IF(BI$7="X",VLOOKUP(BI$10,'VK-Hooned-Soojus'!$C:$X,2+$C119,FALSE),0)+IF(BI$6="X",VLOOKUP(BI$10,'VK-Transport'!$C:$X,2+$B119,0))+IF(BI$8="X",VLOOKUP(BI$10,'VK-Elekter'!$C:$X,2+$D119,0))+IF(BI$9="X",VLOOKUP(BI$10,'VK-Biokütused'!$C:$U,2+$E119,0))+IF(BI$5="X",VLOOKUP(BI$10,'VK-Põlevkivi'!$C:$X,2+$G119,0))+IF(BI$4="X",VLOOKUP(BI$10,'VK-Võrgud'!$C:$X,2+$F119,0)))/16</f>
        <v>14.1875</v>
      </c>
      <c r="BJ119" s="209">
        <f>(IF(BJ$7="X",VLOOKUP(BJ$10,'VK-Hooned-Soojus'!$C:$X,2+$C119,FALSE),0)+IF(BJ$6="X",VLOOKUP(BJ$10,'VK-Transport'!$C:$X,2+$B119,0))+IF(BJ$8="X",VLOOKUP(BJ$10,'VK-Elekter'!$C:$X,2+$D119,0))+IF(BJ$9="X",VLOOKUP(BJ$10,'VK-Biokütused'!$C:$U,2+$E119,0))+IF(BJ$5="X",VLOOKUP(BJ$10,'VK-Põlevkivi'!$C:$X,2+$G119,0))+IF(BJ$4="X",VLOOKUP(BJ$10,'VK-Võrgud'!$C:$X,2+$F119,0)))/20</f>
        <v>3.91</v>
      </c>
      <c r="BK119" s="209"/>
      <c r="BL119" s="209"/>
      <c r="BM119" s="209"/>
      <c r="BN119" s="209" t="e">
        <f>(IF(BN$7="X",VLOOKUP(BN$10,'VK-Hooned-Soojus'!$C:$X,2+$C119,FALSE),0)+IF(BN$6="X",VLOOKUP(BN$10,'VK-Transport'!$C:$X,2+$B119,0))+IF(BN$8="X",VLOOKUP(BN$10,'VK-Elekter'!$C:$X,2+$D119,0))+IF(BN$9="X",VLOOKUP(BN$10,'VK-Biokütused'!$C:$U,2+$E119,0))+IF(BN$5="X",VLOOKUP(BN$10,'VK-Põlevkivi'!$C:$X,2+$G119,0))+IF(BN$4="X",VLOOKUP(BN$10,'VK-Võrgud'!$C:$X,2+$F119,0)))/16</f>
        <v>#N/A</v>
      </c>
      <c r="BO119" s="209">
        <f>(IF(BO$7="X",VLOOKUP(BO$10,'VK-Hooned-Soojus'!$C:$X,2+$C119,FALSE),0)+IF(BO$6="X",VLOOKUP(BO$10,'VK-Transport'!$C:$X,2+$B119,0))+IF(BO$8="X",VLOOKUP(BO$10,'VK-Elekter'!$C:$X,2+$D119,0))+IF(BO$9="X",VLOOKUP(BO$10,'VK-Biokütused'!$C:$U,2+$E119,0))+IF(BO$5="X",VLOOKUP(BO$10,'VK-Põlevkivi'!$C:$X,2+$G119,0))+IF(BO$4="X",VLOOKUP(BO$10,'VK-Võrgud'!$C:$X,2+$F119,0)))/16</f>
        <v>322.79374999999999</v>
      </c>
      <c r="BP119" s="209"/>
      <c r="BQ119" s="209">
        <f>(IF(BQ$7="X",VLOOKUP(BQ$10,'VK-Hooned-Soojus'!$C:$X,2+$C119,FALSE),0)+IF(BQ$6="X",VLOOKUP(BQ$10,'VK-Transport'!$C:$X,2+$B119,0))+IF(BQ$8="X",VLOOKUP(BQ$10,'VK-Elekter'!$C:$X,2+$D119,0))+IF(BQ$9="X",VLOOKUP(BQ$10,'VK-Biokütused'!$C:$U,2+$E119,0))+IF(BQ$5="X",VLOOKUP(BQ$10,'VK-Põlevkivi'!$C:$X,2+$G119,0))+IF(BQ$4="X",VLOOKUP(BQ$10,'VK-Võrgud'!$C:$X,2+$F119,0)))/16</f>
        <v>233.20625000000001</v>
      </c>
      <c r="BR119" s="209">
        <f>(IF(BR$7="X",VLOOKUP(BR$10,'VK-Hooned-Soojus'!$C:$X,2+$C119,FALSE),0)+IF(BR$6="X",VLOOKUP(BR$10,'VK-Transport'!$C:$X,2+$B119,0))+IF(BR$8="X",VLOOKUP(BR$10,'VK-Elekter'!$C:$X,2+$D119,0))+IF(BR$9="X",VLOOKUP(BR$10,'VK-Biokütused'!$C:$U,2+$E119,0))+IF(BR$5="X",VLOOKUP(BR$10,'VK-Põlevkivi'!$C:$X,2+$G119,0))+IF(BR$4="X",VLOOKUP(BR$10,'VK-Võrgud'!$C:$X,2+$F119,0)))/16</f>
        <v>74.512500000000003</v>
      </c>
      <c r="BS119" s="209">
        <f>(IF(BS$7="X",VLOOKUP(BS$10,'VK-Hooned-Soojus'!$C:$X,2+$C119,FALSE),0)+IF(BS$6="X",VLOOKUP(BS$10,'VK-Transport'!$C:$X,2+$B119,0))+IF(BS$8="X",VLOOKUP(BS$10,'VK-Elekter'!$C:$X,2+$D119,0))+IF(BS$9="X",VLOOKUP(BS$10,'VK-Biokütused'!$C:$U,2+$E119,0))+IF(BS$5="X",VLOOKUP(BS$10,'VK-Põlevkivi'!$C:$X,2+$G119,0))+IF(BS$4="X",VLOOKUP(BS$10,'VK-Võrgud'!$C:$X,2+$F119,0)))/16</f>
        <v>-21.475000000000001</v>
      </c>
      <c r="BT119" s="209"/>
      <c r="BU119" s="209"/>
      <c r="BV119" s="209">
        <f>(IF(BV$7="X",VLOOKUP(BV$10,'VK-Hooned-Soojus'!$C:$X,2+$C119,FALSE),0)+IF(BV$6="X",VLOOKUP(BV$10,'VK-Transport'!$C:$X,2+$B119,0))+IF(BV$8="X",VLOOKUP(BV$10,'VK-Elekter'!$C:$X,2+$D119,0))+IF(BV$9="X",VLOOKUP(BV$10,'VK-Biokütused'!$C:$U,2+$E119,0))+IF(BV$5="X",VLOOKUP(BV$10,'VK-Põlevkivi'!$C:$X,2+$G119,0))+IF(BV$4="X",VLOOKUP(BV$10,'VK-Võrgud'!$C:$X,2+$F119,0)))/16</f>
        <v>0</v>
      </c>
      <c r="BW119" s="209"/>
      <c r="BX119" s="209">
        <f>(IF(BX$7="X",VLOOKUP(BX$10,'VK-Hooned-Soojus'!$C:$X,2+$C119,FALSE),0)+IF(BX$6="X",VLOOKUP(BX$10,'VK-Transport'!$C:$X,2+$B119,0))+IF(BX$8="X",VLOOKUP(BX$10,'VK-Elekter'!$C:$X,2+$D119,0))+IF(BX$9="X",VLOOKUP(BX$10,'VK-Biokütused'!$C:$U,2+$E119,0))+IF(BX$5="X",VLOOKUP(BX$10,'VK-Põlevkivi'!$C:$X,2+$G119,0))+IF(BX$4="X",VLOOKUP(BX$10,'VK-Võrgud'!$C:$X,2+$F119,0)))/16</f>
        <v>-99.75</v>
      </c>
      <c r="BY119" s="209"/>
      <c r="BZ119" s="209"/>
      <c r="CA119" s="209" t="e">
        <f>(IF(CA$7="X",VLOOKUP(CA$10,'VK-Hooned-Soojus'!$C:$X,2+$C119,FALSE),0)+IF(CA$6="X",VLOOKUP(CA$10,'VK-Transport'!$C:$X,2+$B119,0))+IF(CA$8="X",VLOOKUP(CA$10,'VK-Elekter'!$C:$X,2+$D119,0))+IF(CA$9="X",VLOOKUP(CA$10,'VK-Biokütused'!$C:$U,2+$E119,0))+IF(CA$5="X",VLOOKUP(CA$10,'VK-Põlevkivi'!$C:$X,2+$G119,0))+IF(CA$4="X",VLOOKUP(CA$10,'VK-Võrgud'!$C:$X,2+$F119,0)))/16</f>
        <v>#N/A</v>
      </c>
      <c r="CB119" s="209">
        <f>(IF(CB$7="X",VLOOKUP(CB$10,'VK-Hooned-Soojus'!$C:$X,2+$C119,FALSE),0)+IF(CB$6="X",VLOOKUP(CB$10,'VK-Transport'!$C:$X,2+$B119,0))+IF(CB$8="X",VLOOKUP(CB$10,'VK-Elekter'!$C:$X,2+$D119,0))+IF(CB$9="X",VLOOKUP(CB$10,'VK-Biokütused'!$C:$U,2+$E119,0))+IF(CB$5="X",VLOOKUP(CB$10,'VK-Põlevkivi'!$C:$X,2+$G119,0))+IF(CB$4="X",VLOOKUP(CB$10,'VK-Võrgud'!$C:$X,2+$F119,0)))/16</f>
        <v>0</v>
      </c>
      <c r="CC119" s="209">
        <f>(IF(CC$7="X",VLOOKUP(CC$10,'VK-Hooned-Soojus'!$C:$X,2+$C119,FALSE),0)+IF(CC$6="X",VLOOKUP(CC$10,'VK-Transport'!$C:$X,2+$B119,0))+IF(CC$8="X",VLOOKUP(CC$10,'VK-Elekter'!$C:$X,2+$D119,0))+IF(CC$9="X",VLOOKUP(CC$10,'VK-Biokütused'!$C:$U,2+$E119,0))+IF(CC$5="X",VLOOKUP(CC$10,'VK-Põlevkivi'!$C:$X,2+$G119,0))+IF(CC$4="X",VLOOKUP(CC$10,'VK-Võrgud'!$C:$X,2+$F119,0)))/16</f>
        <v>0</v>
      </c>
      <c r="CD119" s="209"/>
      <c r="CE119" s="209">
        <f>(IF(CE$7="X",VLOOKUP(CE$10,'VK-Hooned-Soojus'!$C:$X,2+$C119,FALSE),0)+IF(CE$6="X",VLOOKUP(CE$10,'VK-Transport'!$C:$X,2+$B119,0))+IF(CE$8="X",VLOOKUP(CE$10,'VK-Elekter'!$C:$X,2+$D119,0))+IF(CE$9="X",VLOOKUP(CE$10,'VK-Biokütused'!$C:$U,2+$E119,0))+IF(CE$5="X",VLOOKUP(CE$10,'VK-Põlevkivi'!$C:$X,2+$G119,0))+IF(CE$4="X",VLOOKUP(CE$10,'VK-Võrgud'!$C:$X,2+$F119,0)))/16</f>
        <v>24.15625</v>
      </c>
      <c r="CF119" s="209"/>
      <c r="CG119" s="209">
        <f>(IF(CG$7="X",VLOOKUP(CG$10,'VK-Hooned-Soojus'!$C:$X,2+$C119,FALSE),0)+IF(CG$6="X",VLOOKUP(CG$10,'VK-Transport'!$C:$X,2+$B119,0))+IF(CG$8="X",VLOOKUP(CG$10,'VK-Elekter'!$C:$X,2+$D119,0))+IF(CG$9="X",VLOOKUP(CG$10,'VK-Biokütused'!$C:$U,2+$E119,0))+IF(CG$5="X",VLOOKUP(CG$10,'VK-Põlevkivi'!$C:$X,2+$G119,0))+IF(CG$4="X",VLOOKUP(CG$10,'VK-Võrgud'!$C:$X,2+$F119,0)))/16</f>
        <v>0</v>
      </c>
      <c r="CH119" s="209">
        <f>(IF(CH$7="X",VLOOKUP(CH$10,'VK-Hooned-Soojus'!$C:$X,2+$C119,FALSE),0)+IF(CH$6="X",VLOOKUP(CH$10,'VK-Transport'!$C:$X,2+$B119,0))+IF(CH$8="X",VLOOKUP(CH$10,'VK-Elekter'!$C:$X,2+$D119,0))+IF(CH$9="X",VLOOKUP(CH$10,'VK-Biokütused'!$C:$U,2+$E119,0))+IF(CH$5="X",VLOOKUP(CH$10,'VK-Põlevkivi'!$C:$X,2+$G119,0))+IF(CH$4="X",VLOOKUP(CH$10,'VK-Võrgud'!$C:$X,2+$F119,0)))/20*0.21</f>
        <v>11.225549999999998</v>
      </c>
      <c r="CI119" s="209"/>
      <c r="CJ119" s="209">
        <f>(IF(CJ$7="X",VLOOKUP(CJ$10,'VK-Hooned-Soojus'!$C:$X,2+$C119,FALSE),0)+IF(CJ$6="X",VLOOKUP(CJ$10,'VK-Transport'!$C:$X,2+$B119,0))+IF(CJ$8="X",VLOOKUP(CJ$10,'VK-Elekter'!$C:$X,2+$D119,0))+IF(CJ$9="X",VLOOKUP(CJ$10,'VK-Biokütused'!$C:$U,2+$E119,0))+IF(CJ$5="X",VLOOKUP(CJ$10,'VK-Põlevkivi'!$C:$X,2+$G119,0))+IF(CJ$4="X",VLOOKUP(CJ$10,'VK-Võrgud'!$C:$X,2+$F119,0)))/1000</f>
        <v>17.164578011574537</v>
      </c>
      <c r="CK119" s="209">
        <f>(IF(CK$7="X",VLOOKUP(CK$10,'VK-Hooned-Soojus'!$C:$X,2+$C119,FALSE),0)+IF(CK$6="X",VLOOKUP(CK$10,'VK-Transport'!$C:$X,2+$B119,0))+IF(CK$8="X",VLOOKUP(CK$10,'VK-Elekter'!$C:$X,2+$D119,0))+IF(CK$9="X",VLOOKUP(CK$10,'VK-Biokütused'!$C:$U,2+$E119,0))+IF(CK$5="X",VLOOKUP(CK$10,'VK-Põlevkivi'!$C:$X,2+$G119,0))+IF(CK$4="X",VLOOKUP(CK$10,'VK-Võrgud'!$C:$X,2+$F119,0)))/1000</f>
        <v>11.869077976340797</v>
      </c>
      <c r="CL119" s="235">
        <f>(IF(CL$7="X",VLOOKUP(CL$10,'VK-Hooned-Soojus'!$C:$X,2+$C119,FALSE),0)+IF(CL$6="X",VLOOKUP(CL$10,'VK-Transport'!$C:$X,2+$B119,0))+IF(CL$8="X",VLOOKUP(CL$10,'VK-Elekter'!$C:$X,2+$D119,0))+IF(CL$9="X",VLOOKUP(CL$10,'VK-Biokütused'!$C:$U,2+$E119,0)))/1000</f>
        <v>7.5271111109201012</v>
      </c>
      <c r="CM119" s="209">
        <f>(IF(CM$7="X",VLOOKUP(CM$10,'VK-Hooned-Soojus'!$C:$X,2+$C119,FALSE),0)+IF(CM$6="X",VLOOKUP(CM$10,'VK-Transport'!$C:$X,2+$B119,0))+IF(CM$8="X",VLOOKUP(CM$10,'VK-Elekter'!$C:$X,2+$D119,0))+IF(CM$9="X",VLOOKUP(CM$10,'VK-Biokütused'!$C:$U,2+$E119,0))+IF(CM$5="X",VLOOKUP(CM$10,'VK-Põlevkivi'!$C:$X,2+$G119,0))+IF(CM$4="X",VLOOKUP(CM$10,'VK-Võrgud'!$C:$X,2+$F119,0)))/1000</f>
        <v>7.7577605777489067</v>
      </c>
      <c r="CN119" s="209">
        <f>(IF(CN$7="X",VLOOKUP(CN$10,'VK-Hooned-Soojus'!$C:$X,2+$C119,FALSE),0)+IF(CN$6="X",VLOOKUP(CN$10,'VK-Transport'!$C:$X,2+$B119,0))+IF(CN$8="X",VLOOKUP(CN$10,'VK-Elekter'!$C:$X,2+$D119,0))+IF(CN$9="X",VLOOKUP(CN$10,'VK-Biokütused'!$C:$U,2+$E119,0))+IF(CN$5="X",VLOOKUP(CN$10,'VK-Põlevkivi'!$C:$X,2+$G119,0))+IF(CN$4="X",VLOOKUP(CN$10,'VK-Võrgud'!$C:$X,2+$F119,0)))/1000</f>
        <v>2.8759999999999999</v>
      </c>
      <c r="CO119" s="209">
        <f>(IF(CO$7="X",VLOOKUP(CO$10,'VK-Hooned-Soojus'!$C:$X,2+$C119,FALSE),0)+IF(CO$6="X",VLOOKUP(CO$10,'VK-Transport'!$C:$X,2+$B119,0))+IF(CO$8="X",VLOOKUP(CO$10,'VK-Elekter'!$C:$X,2+$D119,0))+IF(CO$9="X",VLOOKUP(CO$10,'VK-Biokütused'!$C:$U,2+$E119,0))+IF(CO$5="X",VLOOKUP(CO$10,'VK-Põlevkivi'!$C:$X,2+$G119,0))+IF(CO$4="X",VLOOKUP(CO$10,'VK-Võrgud'!$C:$X,2+$F119,0)))/1000</f>
        <v>23.737362337356995</v>
      </c>
      <c r="CP119" s="209">
        <f>(IF(CP$7="X",VLOOKUP(CP$10,'VK-Hooned-Soojus'!$C:$X,2+$C119,FALSE),0)+IF(CP$6="X",VLOOKUP(CP$10,'VK-Transport'!$C:$X,2+$B119,0))+IF(CP$8="X",VLOOKUP(CP$10,'VK-Elekter'!$C:$X,2+$D119,0))+IF(CP$9="X",VLOOKUP(CP$10,'VK-Biokütused'!$C:$U,2+$E119,0))+IF(CP$5="X",VLOOKUP(CP$10,'VK-Põlevkivi'!$C:$X,2+$G119,0))+IF(CP$4="X",VLOOKUP(CP$10,'VK-Võrgud'!$C:$X,2+$F119,0)))/1000</f>
        <v>13.441392120693662</v>
      </c>
      <c r="CQ119" s="235">
        <f>(IF(CQ$7="X",VLOOKUP(CQ$10,'VK-Hooned-Soojus'!$C:$X,2+$C119,FALSE),0)+IF(CQ$6="X",VLOOKUP(CQ$10,'VK-Transport'!$C:$X,2+$B119,0))+IF(CQ$8="X",VLOOKUP(CQ$10,'VK-Elekter'!$C:$X,2+$D119,0))+IF(CQ$9="X",VLOOKUP(CQ$10,'VK-Biokütused'!$C:$U,2+$E119,0)))/1000</f>
        <v>10.328918999999999</v>
      </c>
      <c r="CR119" s="209">
        <f>(IF(CR$7="X",VLOOKUP(CR$10,'VK-Hooned-Soojus'!$C:$X,2+$C119,FALSE),0)+IF(CR$6="X",VLOOKUP(CR$10,'VK-Transport'!$C:$X,2+$B119,0))+IF(CR$8="X",VLOOKUP(CR$10,'VK-Elekter'!$C:$X,2+$D119,0))+IF(CR$9="X",VLOOKUP(CR$10,'VK-Biokütused'!$C:$U,2+$E119,0))+IF(CR$5="X",VLOOKUP(CR$10,'VK-Põlevkivi'!$C:$X,2+$G119,0))+IF(CR$4="X",VLOOKUP(CR$10,'VK-Võrgud'!$C:$X,2+$F119,0)))/1000</f>
        <v>7.8657518373996886</v>
      </c>
      <c r="CS119" s="209">
        <f>(IF(CS$7="X",VLOOKUP(CS$10,'VK-Hooned-Soojus'!$C:$X,2+$C119,FALSE),0)+IF(CS$6="X",VLOOKUP(CS$10,'VK-Transport'!$C:$X,2+$B119,0))+IF(CS$8="X",VLOOKUP(CS$10,'VK-Elekter'!$C:$X,2+$D119,0))+IF(CS$9="X",VLOOKUP(CS$10,'VK-Biokütused'!$C:$U,2+$E119,0))+IF(CS$5="X",VLOOKUP(CS$10,'VK-Põlevkivi'!$C:$X,2+$G119,0))+IF(CS$4="X",VLOOKUP(CS$10,'VK-Võrgud'!$C:$X,2+$F119,0)))/1000</f>
        <v>3.8186495098622379</v>
      </c>
      <c r="CT119" s="209">
        <f>IF(CT$7="X",VLOOKUP(CT$10,'VK-Hooned-Soojus'!$C:$X,2+$C119,FALSE),0)+IF(CT$6="X",VLOOKUP(CT$10,'VK-Transport'!$C:$X,2+$B119,0))+IF(CT$8="X",VLOOKUP(CT$10,'VK-Elekter'!$C:$X,2+$D119,0))+IF(CT$9="X",VLOOKUP(CT$10,'VK-Biokütused'!$C:$U,2+$E119,0))+IF(CT$5="X",VLOOKUP(CT$10,'VK-Põlevkivi'!$C:$X,2+$G119,0))+IF(CT$4="X",VLOOKUP(CT$10,'VK-Võrgud'!$C:$X,2+$F119,0))</f>
        <v>90</v>
      </c>
      <c r="CU119" s="209">
        <f>IF(CU$7="X",VLOOKUP(CU$10,'VK-Hooned-Soojus'!$C:$X,2+$C119,FALSE),0)+IF(CU$6="X",VLOOKUP(CU$10,'VK-Transport'!$C:$X,2+$B119,0))+IF(CU$8="X",VLOOKUP(CU$10,'VK-Elekter'!$C:$X,2+$D119,0))+IF(CU$9="X",VLOOKUP(CU$10,'VK-Biokütused'!$C:$U,2+$E119,0))+IF(CU$5="X",VLOOKUP(CU$10,'VK-Põlevkivi'!$C:$X,2+$G119,0))+IF(CU$4="X",VLOOKUP(CU$10,'VK-Võrgud'!$C:$X,2+$F119,0))</f>
        <v>0.72088353413654627</v>
      </c>
      <c r="CV119" s="209">
        <f t="shared" si="84"/>
        <v>1</v>
      </c>
      <c r="CW119" s="209">
        <f>(IF(CW$7="X",VLOOKUP(CW$10,'VK-Hooned-Soojus'!$C:$X,2+$C119,FALSE),0)+IF(CW$6="X",VLOOKUP(CW$10,'VK-Transport'!$C:$X,2+$B119,0))+IF(CW$8="X",VLOOKUP(CW$10,'VK-Elekter'!$C:$X,2+$D119,0))+IF(CW$9="X",VLOOKUP(CW$10,'VK-Biokütused'!$C:$U,2+$E119,0))+IF(CW$5="X",VLOOKUP(CW$10,'VK-Põlevkivi'!$C:$X,2+$G119,0))+IF(CW$4="X",VLOOKUP(CW$10,'VK-Võrgud'!$C:$X,2+$F119,0)))/16</f>
        <v>0</v>
      </c>
      <c r="CY119" s="209">
        <f>(IF(CY$7="X",VLOOKUP(CY$10,'VK-Hooned-Soojus'!$C:$X,2+$C119,FALSE),0)+IF(CY$6="X",VLOOKUP(CY$10,'VK-Transport'!$C:$X,2+$B119,0))+IF(CY$8="X",VLOOKUP(CY$10,'VK-Elekter'!$C:$X,2+$D119,0))+IF(CY$9="X",VLOOKUP(CY$10,'VK-Biokütused'!$C:$U,2+$E119,0))+IF(CY$5="X",VLOOKUP(CY$10,'VK-Põlevkivi'!$C:$X,2+$G119,0))+IF(CY$4="X",VLOOKUP(CY$10,'VK-Võrgud'!$C:$X,2+$F119,0)))/1000</f>
        <v>9.8089999999999993</v>
      </c>
      <c r="CZ119" s="209">
        <f>(IF(CZ$7="X",VLOOKUP(CZ$10,'VK-Hooned-Soojus'!$C:$X,2+$C119,FALSE),0)+IF(CZ$6="X",VLOOKUP(CZ$10,'VK-Transport'!$C:$X,2+$B119,0))+IF(CZ$8="X",VLOOKUP(CZ$10,'VK-Elekter'!$C:$X,2+$D119,0))+IF(CZ$9="X",VLOOKUP(CZ$10,'VK-Biokütused'!$C:$U,2+$E119,0))+IF(CZ$5="X",VLOOKUP(CZ$10,'VK-Põlevkivi'!$C:$X,2+$G119,0))+IF(CZ$4="X",VLOOKUP(CZ$10,'VK-Võrgud'!$C:$X,2+$F119,0)))</f>
        <v>66</v>
      </c>
      <c r="DA119" s="209">
        <f>(IF(DA$7="X",VLOOKUP(DA$10,'VK-Hooned-Soojus'!$C:$X,2+$C119,FALSE),0)+IF(DA$6="X",VLOOKUP(DA$10,'VK-Transport'!$C:$X,2+$B119,0))+IF(DA$8="X",VLOOKUP(DA$10,'VK-Elekter'!$C:$X,2+$D119,0))+IF(DA$9="X",VLOOKUP(DA$10,'VK-Biokütused'!$C:$U,2+$E119,0))+IF(DA$5="X",VLOOKUP(DA$10,'VK-Põlevkivi'!$C:$X,2+$G119,0))+IF(DA$4="X",VLOOKUP(DA$10,'VK-Võrgud'!$C:$X,2+$F119,0)))/1000</f>
        <v>12.875</v>
      </c>
      <c r="DB119" s="209">
        <f>(IF(DB$7="X",VLOOKUP(DB$10,'VK-Hooned-Soojus'!$C:$X,2+$C119,FALSE),0)+IF(DB$6="X",VLOOKUP(DB$10,'VK-Transport'!$C:$X,2+$B119,0))+IF(DB$8="X",VLOOKUP(DB$10,'VK-Elekter'!$C:$X,2+$D119,0))+IF(DB$9="X",VLOOKUP(DB$10,'VK-Biokütused'!$C:$U,2+$E119,0))+IF(DB$5="X",VLOOKUP(DB$10,'VK-Põlevkivi'!$C:$X,2+$G119,0))+IF(DB$4="X",VLOOKUP(DB$10,'VK-Võrgud'!$C:$X,2+$F119,0)))/1000/3.6</f>
        <v>58.224722222222226</v>
      </c>
      <c r="DC119" s="209">
        <f>(IF(DC$7="X",VLOOKUP(DC$10,'VK-Hooned-Soojus'!$C:$X,2+$C119,FALSE),0)+IF(DC$6="X",VLOOKUP(DC$10,'VK-Transport'!$C:$X,2+$B119,0))+IF(DC$8="X",VLOOKUP(DC$10,'VK-Elekter'!$C:$X,2+$D119,0))+IF(DC$9="X",VLOOKUP(DC$10,'VK-Biokütused'!$C:$U,2+$E119,0))+IF(DC$5="X",VLOOKUP(DC$10,'VK-Põlevkivi'!$C:$X,2+$G119,0))+IF(DC$4="X",VLOOKUP(DC$10,'VK-Võrgud'!$C:$X,2+$F119,0)))/1000000</f>
        <v>4.6585109999999998</v>
      </c>
      <c r="DD119" s="209"/>
      <c r="DE119" s="88">
        <f>VLOOKUP(Tulemused!$BN$12,data!M$7:N$12,2,FALSE)-SUM(L119,M119)</f>
        <v>-5.2509373024363981E-2</v>
      </c>
      <c r="DF119" s="209" t="str">
        <f>IF(AZ119&lt;=VLOOKUP(Tulemused!$BN$15,data!$E$36:$F$39,2,FALSE),"JAH","EI")</f>
        <v>JAH</v>
      </c>
      <c r="DG119" s="209"/>
      <c r="DH119" s="209">
        <f t="shared" si="85"/>
        <v>6.28</v>
      </c>
      <c r="DI119" s="231" t="str">
        <f t="shared" si="65"/>
        <v>EI</v>
      </c>
      <c r="DK119" s="232">
        <f t="shared" si="86"/>
        <v>-994.64771988133327</v>
      </c>
      <c r="DM119" s="233">
        <f t="shared" si="87"/>
        <v>-997.21072900700153</v>
      </c>
      <c r="DN119" s="87">
        <f t="array" ref="DN119">INDEX($A$11:$A$145, SMALL(IF(DM119=$DK$11:$DK$145, MATCH(ROW($DK$11:$DK$145), ROW($DK$11:$DK$145))), SUM(--(DM119=$DM$11:DM119))))</f>
        <v>21</v>
      </c>
      <c r="DP119" s="87" t="e">
        <f t="shared" ca="1" si="66"/>
        <v>#N/A</v>
      </c>
      <c r="DQ119" s="87" t="e">
        <f t="shared" ca="1" si="67"/>
        <v>#N/A</v>
      </c>
      <c r="DR119" s="87">
        <f t="shared" ca="1" si="68"/>
        <v>0</v>
      </c>
      <c r="DS119" s="87" t="e">
        <f t="shared" ca="1" si="69"/>
        <v>#N/A</v>
      </c>
      <c r="DT119" s="87">
        <f t="shared" ca="1" si="70"/>
        <v>0</v>
      </c>
      <c r="DU119" s="87" t="e">
        <f t="shared" ca="1" si="71"/>
        <v>#N/A</v>
      </c>
      <c r="DV119" s="87" t="e">
        <f t="shared" ca="1" si="72"/>
        <v>#N/A</v>
      </c>
      <c r="DW119" s="87">
        <f t="shared" ca="1" si="73"/>
        <v>0</v>
      </c>
      <c r="DX119" s="87">
        <f t="shared" ca="1" si="74"/>
        <v>0</v>
      </c>
      <c r="DZ119" s="87">
        <f t="shared" ca="1" si="82"/>
        <v>0</v>
      </c>
      <c r="EB119" s="87">
        <f t="shared" ca="1" si="75"/>
        <v>0</v>
      </c>
      <c r="EC119" s="87" t="e">
        <f t="shared" ca="1" si="76"/>
        <v>#N/A</v>
      </c>
      <c r="EE119" s="228">
        <f>(IF(EE$7="X",VLOOKUP(EE$10,'VK-Hooned-Soojus'!$C:$X,2+$C119,FALSE),0)+IF(EE$6="X",VLOOKUP(EE$10,'VK-Transport'!$C:$X,2+$B119,0))+IF(EE$8="X",VLOOKUP(EE$10,'VK-Elekter'!$C:$X,2+$D119,0))+IF(EE$9="X",VLOOKUP(EE$10,'VK-Biokütused'!$C:$U,2+$E119,0))+IF(EE$5="X",VLOOKUP(EE$10,'VK-Põlevkivi'!$C:$X,2+$G119,0))+IF(EE$4="X",VLOOKUP(EE$10,'VK-Võrgud'!$C:$X,2+$F119,0)))</f>
        <v>4961.3160212400308</v>
      </c>
      <c r="EF119" s="235">
        <f>(IF(EF$7="X",VLOOKUP(EF$10,'VK-Hooned-Soojus'!$C:$X,2+$C119,FALSE),0)+IF(EF$6="X",VLOOKUP(EF$10,'VK-Transport'!$C:$X,2+$B119,0))+IF(EF$8="X",VLOOKUP(EF$10,'VK-Elekter'!$C:$X,2+$D119,0))+IF(EF$9="X",VLOOKUP(EF$10,'VK-Biokütused'!$C:$U,2+$E119,0)))/1000</f>
        <v>3.6968849906373196</v>
      </c>
      <c r="EG119" s="209">
        <f>(IF(EG$7="X",VLOOKUP(EG$10,'VK-Hooned-Soojus'!$C:$X,2+$C119,FALSE),0)+IF(EG$6="X",VLOOKUP(EG$10,'VK-Transport'!$C:$X,2+$B119,0))+IF(EG$8="X",VLOOKUP(EG$10,'VK-Elekter'!$C:$X,2+$D119,0))+IF(EG$9="X",VLOOKUP(EG$10,'VK-Biokütused'!$C:$U,2+$E119,0))+IF(EG$5="X",VLOOKUP(EG$10,'VK-Põlevkivi'!$C:$X,2+$G119,0))+IF(EG$4="X",VLOOKUP(EG$10,'VK-Võrgud'!$C:$X,2+$F119,0)))</f>
        <v>0.81</v>
      </c>
      <c r="EH119" s="209">
        <f>(IF(EH$7="X",VLOOKUP(EH$10,'VK-Hooned-Soojus'!$C:$X,2+$C119,FALSE),0)+IF(EH$6="X",VLOOKUP(EH$10,'VK-Transport'!$C:$X,2+$B119,0))+IF(EH$8="X",VLOOKUP(EH$10,'VK-Elekter'!$C:$X,2+$D119,0))+IF(EH$9="X",VLOOKUP(EH$10,'VK-Biokütused'!$C:$U,2+$E119,0)))+AR119+AS119+AU119+AX119</f>
        <v>50.296621447028421</v>
      </c>
      <c r="EI119" s="320">
        <f t="shared" si="88"/>
        <v>45.112900516795861</v>
      </c>
      <c r="EJ119" s="322">
        <f t="shared" si="89"/>
        <v>2.4608217929567841E-2</v>
      </c>
      <c r="EK119" s="323">
        <f t="shared" si="77"/>
        <v>0.43983091445120043</v>
      </c>
      <c r="EM119" s="209"/>
      <c r="EN119" s="209">
        <f t="shared" ca="1" si="90"/>
        <v>0</v>
      </c>
      <c r="EO119" s="209"/>
      <c r="EP119" s="234"/>
      <c r="EQ119" s="209">
        <f>(IF(EQ$7="X",VLOOKUP(EQ$10,'VK-Hooned-Soojus'!$C:$X,2+$C119,FALSE),0)+IF(EQ$6="X",VLOOKUP(EQ$10,'VK-Transport'!$C:$X,2+$B119,0))+IF(EQ$8="X",VLOOKUP(EQ$10,'VK-Elekter'!$C:$X,2+$D119,0))+IF(EQ$9="X",VLOOKUP(EQ$10,'VK-Biokütused'!$C:$U,2+$E119,0))+IF(EQ$5="X",VLOOKUP(EQ$10,'VK-Põlevkivi'!$C:$X,2+$G119,0))+IF(EQ$4="X",VLOOKUP(EQ$10,'VK-Võrgud'!$C:$X,2+$F119,0)))/1000</f>
        <v>0.21099999999999999</v>
      </c>
      <c r="ER119" s="209">
        <f>(IF(ER$7="X",VLOOKUP(ER$10,'VK-Hooned-Soojus'!$C:$X,2+$C119,FALSE),0)+IF(ER$6="X",VLOOKUP(ER$10,'VK-Transport'!$C:$X,2+$B119,0))+IF(ER$8="X",VLOOKUP(ER$10,'VK-Elekter'!$C:$X,2+$D119,0))+IF(ER$9="X",VLOOKUP(ER$10,'VK-Biokütused'!$C:$U,2+$E119,0))+IF(ER$5="X",VLOOKUP(ER$10,'VK-Põlevkivi'!$C:$X,2+$G119,0))+IF(ER$4="X",VLOOKUP(ER$10,'VK-Võrgud'!$C:$X,2+$F119,0)))</f>
        <v>0.76300000000000001</v>
      </c>
      <c r="ES119" s="209">
        <f>(IF(ES$7="X",VLOOKUP(ES$10,'VK-Hooned-Soojus'!$C:$X,2+$C119,FALSE),0)+IF(ES$6="X",VLOOKUP(ES$10,'VK-Transport'!$C:$X,2+$B119,0))+IF(ES$8="X",VLOOKUP(ES$10,'VK-Elekter'!$C:$X,2+$D119,0))+IF(ES$9="X",VLOOKUP(ES$10,'VK-Biokütused'!$C:$U,2+$E119,0))+IF(ES$5="X",VLOOKUP(ES$10,'VK-Põlevkivi'!$C:$X,2+$G119,0))+IF(ES$4="X",VLOOKUP(ES$10,'VK-Võrgud'!$C:$X,2+$F119,0)))</f>
        <v>6.28</v>
      </c>
      <c r="ET119" s="209"/>
      <c r="EU119" s="209"/>
      <c r="EV119" s="87">
        <f>'KSH järjestus'!AS112</f>
        <v>1108</v>
      </c>
      <c r="EZ119" s="237">
        <f t="shared" si="91"/>
        <v>0.27911646586345373</v>
      </c>
      <c r="FA119" s="209">
        <f>IF(FA$7="X",VLOOKUP(FA$10,'VK-Hooned-Soojus'!$C:$X,2+$C119,FALSE),0)+IF(FA$6="X",VLOOKUP(FA$10,'VK-Transport'!$C:$X,2+$B119,0))+IF(FA$8="X",VLOOKUP(FA$10,'VK-Elekter'!$C:$X,2+$D119,0))+IF(FA$9="X",VLOOKUP(FA$10,'VK-Biokütused'!$C:$U,2+$E119,0))+IF(FA$5="X",VLOOKUP(FA$10,'VK-Põlevkivi'!$C:$X,2+$G119,0))+IF(FA$4="X",VLOOKUP(FA$10,'VK-Võrgud'!$C:$X,2+$F119,0))</f>
        <v>2702.9189999999999</v>
      </c>
      <c r="FB119" s="279">
        <f>(IF(FB$7="X",VLOOKUP(FB$10,'VK-Hooned-Soojus'!$C:$X,2+$C119,FALSE),0)+IF(FB$6="X",VLOOKUP(FB$10,'VK-Transport'!$C:$X,2+$B119,0))+IF(FB$8="X",VLOOKUP(FB$10,'VK-Elekter'!$C:$X,2+$D119,0))+IF(FB$9="X",VLOOKUP(FB$10,'VK-Biokütused'!$C:$U,2+$E119,0))+IF(FB$5="X",VLOOKUP(FB$10,'VK-Põlevkivi'!$C:$X,2+$G119,0))+IF(FB$4="X",VLOOKUP(FB$10,'VK-Võrgud'!$C:$X,2+$F119,0)))/16</f>
        <v>302.38270358083224</v>
      </c>
      <c r="FC119" s="209">
        <f>IF(FC$7="X",VLOOKUP(FC$10,'VK-Hooned-Soojus'!$C:$X,2+$C119,FALSE),0)+IF(FC$6="X",VLOOKUP(FC$10,'VK-Transport'!$C:$X,2+$B119,0))+IF(FC$8="X",VLOOKUP(FC$10,'VK-Elekter'!$C:$X,2+$D119,0))+IF(FC$9="X",VLOOKUP(FC$10,'VK-Biokütused'!$C:$U,2+$E119,0))+IF(FC$5="X",VLOOKUP(FC$10,'VK-Põlevkivi'!$C:$X,2+$G119,0))+IF(FC$4="X",VLOOKUP(FC$10,'VK-Võrgud'!$C:$X,2+$F119,0))</f>
        <v>294.39999999999998</v>
      </c>
      <c r="FD119" s="209">
        <f>(IF(FD$7="X",VLOOKUP(FD$10,'VK-Hooned-Soojus'!$C:$X,2+$C119,FALSE),0)+IF(FD$6="X",VLOOKUP(FD$10,'VK-Transport'!$C:$X,2+$B119,0))+IF(FD$8="X",VLOOKUP(FD$10,'VK-Elekter'!$C:$X,2+$D119,0))+IF(FD$9="X",VLOOKUP(FD$10,'VK-Biokütused'!$C:$U,2+$E119,0))+IF(FD$5="X",VLOOKUP(FD$10,'VK-Põlevkivi'!$C:$X,2+$G119,0))+IF(FD$4="X",VLOOKUP(FD$10,'VK-Võrgud'!$C:$X,2+$F119,0)))/16</f>
        <v>302.38270358083224</v>
      </c>
      <c r="FE119" s="209">
        <f>(IF(FE$7="X",VLOOKUP(FE$10,'VK-Hooned-Soojus'!$C:$X,2+$C119,FALSE),0)+IF(FE$6="X",VLOOKUP(FE$10,'VK-Transport'!$C:$X,2+$B119,0))+IF(FE$8="X",VLOOKUP(FE$10,'VK-Elekter'!$C:$X,2+$D119,0))+IF(FE$9="X",VLOOKUP(FE$10,'VK-Biokütused'!$C:$U,2+$E119,0))+IF(FE$5="X",VLOOKUP(FE$10,'VK-Põlevkivi'!$C:$X,2+$G119,0))+IF(FE$4="X",VLOOKUP(FE$10,'VK-Võrgud'!$C:$X,2+$F119,0)))/16</f>
        <v>-77.297499999999999</v>
      </c>
      <c r="FF119" s="209">
        <f>(IF(FF$7="X",VLOOKUP(FF$10,'VK-Hooned-Soojus'!$C:$X,2+$C119,FALSE),0)+IF(FF$6="X",VLOOKUP(FF$10,'VK-Transport'!$C:$X,2+$B119,0))+IF(FF$8="X",VLOOKUP(FF$10,'VK-Elekter'!$C:$X,2+$D119,0))+IF(FF$9="X",VLOOKUP(FF$10,'VK-Biokütused'!$C:$U,2+$E119,0))+IF(FF$5="X",VLOOKUP(FF$10,'VK-Põlevkivi'!$C:$X,2+$G119,0))+IF(FF$4="X",VLOOKUP(FF$10,'VK-Võrgud'!$C:$X,2+$F119,0)))/16</f>
        <v>156.38384247888376</v>
      </c>
      <c r="FG119" s="88">
        <f t="shared" ca="1" si="78"/>
        <v>79.086342478883765</v>
      </c>
      <c r="FH119" s="88"/>
      <c r="FI119" s="88"/>
      <c r="FJ119" s="88">
        <f>VLOOKUP(Tulemused!$BN$12,data!M$7:N$12,2,FALSE)-SUM(L119,M119)</f>
        <v>-5.2509373024363981E-2</v>
      </c>
      <c r="FK119" s="209" t="str">
        <f>IF(AZ119&lt;=VLOOKUP(Tulemused!$BN$15,data!$E$36:$F$39,2,FALSE),"JAH","EI")</f>
        <v>JAH</v>
      </c>
      <c r="FL119" s="235">
        <f ca="1">IF(ISNA(MATCH($A119,INDIRECT(VLOOKUP(Tulemused!$BF$11,data!$J$57:$M$71,4,FALSE)))),0,MATCH($A119,INDIRECT(VLOOKUP(Tulemused!$BF$11,data!$J$57:$M$71,4,FALSE))))</f>
        <v>0</v>
      </c>
      <c r="FM119" s="235" t="str">
        <f t="shared" ca="1" si="92"/>
        <v>JAH</v>
      </c>
      <c r="FN119" s="209">
        <f>VLOOKUP(Tulemused!$BN$13,data!$C$132:$D$137,2,FALSE)-KOMBI!R119</f>
        <v>5.0490850093626811</v>
      </c>
      <c r="FO119" s="209"/>
      <c r="FP119" s="209">
        <f>VLOOKUP(Tulemused!$BN$17,NO_x,2,FALSE)-CJ119</f>
        <v>12.273421988425461</v>
      </c>
      <c r="FQ119" s="209">
        <f>VLOOKUP(Tulemused!$BN$18,SO_2,2,FALSE)-CK119</f>
        <v>40.014922023659203</v>
      </c>
      <c r="FR119" s="209">
        <f>VLOOKUP(Tulemused!$BN$19,LOU,2,FALSE)-CN119</f>
        <v>34.204000000000008</v>
      </c>
      <c r="FS119" s="209">
        <f>VLOOKUP(Tulemused!$BN$20,PM_2.5,2,FALSE)-CM119</f>
        <v>9.1572394222510916</v>
      </c>
      <c r="FT119" s="209">
        <f>VLOOKUP(Tulemused!$BN$13,data!$C$132:$D$137,2,FALSE)-FA119/1000</f>
        <v>3.5430510000000006</v>
      </c>
      <c r="FU119" s="209">
        <f>VLOOKUP(Tulemused!$BN$17,NO_x,2,FALSE)-CO119</f>
        <v>5.700637662643004</v>
      </c>
      <c r="FV119" s="209">
        <f>VLOOKUP(Tulemused!$BN$18,SO_2,2,FALSE)-CP119</f>
        <v>38.442607879306337</v>
      </c>
      <c r="FW119" s="209">
        <f>VLOOKUP(Tulemused!$BN$19,LOU,2,FALSE)-CS119</f>
        <v>33.261350490137765</v>
      </c>
      <c r="FX119" s="209">
        <f>VLOOKUP(Tulemused!$BN$20,PM_2.5,2,FALSE)-CR119</f>
        <v>9.0492481626003105</v>
      </c>
      <c r="FY119" s="209">
        <f>VLOOKUP(Tulemused!$BN$14,KHG_2050,2,FALSE)-EF119</f>
        <v>96.303115009362685</v>
      </c>
      <c r="FZ119" s="231" t="str">
        <f t="shared" ca="1" si="79"/>
        <v>EI</v>
      </c>
      <c r="GA119" s="209"/>
      <c r="GB119" s="209"/>
      <c r="GC119" s="209"/>
      <c r="GD119" s="231"/>
      <c r="GE119" s="87">
        <f t="shared" si="93"/>
        <v>1108</v>
      </c>
      <c r="GF119" s="232" t="str">
        <f t="shared" ca="1" si="80"/>
        <v/>
      </c>
      <c r="GH119" s="238" t="e">
        <f t="shared" ca="1" si="94"/>
        <v>#NUM!</v>
      </c>
      <c r="GI119" s="87" t="e">
        <f t="array" aca="1" ref="GI119" ca="1">INDEX($A$11:$A$145, SMALL(IF(GH119=$GF$11:$GF$145, MATCH(ROW($GF$11:$GF$145), ROW($GF$11:$GF$145))), SUM(--(GH119=$GH$11:GH119))))</f>
        <v>#NUM!</v>
      </c>
      <c r="GM119" s="209">
        <f>IF(GM$7="X",VLOOKUP(GM$10,'VK-Hooned-Soojus'!$C:$X,2+$C119,FALSE),0)+IF(GM$6="X",VLOOKUP(GM$10,'VK-Transport'!$C:$X,2+$B119,0))+IF(GM$8="X",VLOOKUP(GM$10,'VK-Elekter'!$C:$X,2+$D119,0))+IF(GM$9="X",VLOOKUP(GM$10,'VK-Biokütused'!$C:$U,2+$E119,0))+IF(GM$5="X",VLOOKUP(GM$10,'VK-Põlevkivi'!$C:$X,2+$G119,0))+IF(GM$4="X",VLOOKUP(GM$10,'VK-Võrgud'!$C:$X,2+$F119,0))</f>
        <v>6.0128279910272253</v>
      </c>
      <c r="GN119" s="209">
        <f>IF(GN$7="X",VLOOKUP(GN$10,'VK-Hooned-Soojus'!$C:$X,2+$C119,FALSE),0)+IF(GN$6="X",VLOOKUP(GN$10,'VK-Transport'!$C:$X,2+$B119,0))+IF(GN$8="X",VLOOKUP(GN$10,'VK-Elekter'!$C:$X,2+$D119,0))+IF(GN$9="X",VLOOKUP(GN$10,'VK-Biokütused'!$C:$U,2+$E119,0))+IF(GN$5="X",VLOOKUP(GN$10,'VK-Põlevkivi'!$C:$X,2+$G119,0))+IF(GN$4="X",VLOOKUP(GN$10,'VK-Võrgud'!$C:$X,2+$F119,0))</f>
        <v>3.4467619395011728</v>
      </c>
      <c r="GO119" s="209">
        <f>IF(GO$7="X",VLOOKUP(GO$10,'VK-Hooned-Soojus'!$C:$X,2+$C119,FALSE),0)+IF(GO$6="X",VLOOKUP(GO$10,'VK-Transport'!$C:$X,2+$B119,0))+IF(GO$8="X",VLOOKUP(GO$10,'VK-Elekter'!$C:$X,2+$D119,0))+IF(GO$9="X",VLOOKUP(GO$10,'VK-Biokütused'!$C:$U,2+$E119,0))+IF(GO$5="X",VLOOKUP(GO$10,'VK-Põlevkivi'!$C:$X,2+$G119,0))+IF(GO$4="X",VLOOKUP(GO$10,'VK-Võrgud'!$C:$X,2+$F119,0))</f>
        <v>7.936370010272257</v>
      </c>
      <c r="GP119" s="209">
        <f>IF(GP$7="X",VLOOKUP(GP$10,'VK-Hooned-Soojus'!$C:$X,2+$C119,FALSE),0)+IF(GP$6="X",VLOOKUP(GP$10,'VK-Transport'!$C:$X,2+$B119,0))+IF(GP$8="X",VLOOKUP(GP$10,'VK-Elekter'!$C:$X,2+$D119,0))+IF(GP$9="X",VLOOKUP(GP$10,'VK-Biokütused'!$C:$U,2+$E119,0))+IF(GP$5="X",VLOOKUP(GP$10,'VK-Põlevkivi'!$C:$X,2+$G119,0))+IF(GP$4="X",VLOOKUP(GP$10,'VK-Võrgud'!$C:$X,2+$F119,0))</f>
        <v>9.1527946929596489</v>
      </c>
      <c r="GQ119" s="88">
        <f>IF(GQ$7="X",VLOOKUP(GQ$10,'VK-Hooned-Soojus'!$C:$X,2+$C119,FALSE),0)+IF(GQ$6="X",VLOOKUP(GQ$10,'VK-Transport'!$C:$X,2+$B119,0))+IF(GQ$8="X",VLOOKUP(GQ$10,'VK-Elekter'!$C:$X,2+$D119,0))+IF(GQ$9="X",VLOOKUP(GQ$10,'VK-Biokütused'!$C:$U,2+$E119,0))+IF(GQ$5="X",VLOOKUP(GQ$10,'VK-Põlevkivi'!$C:$X,2+$G119,0))+IF(GQ$4="X",VLOOKUP(GQ$10,'VK-Võrgud'!$C:$X,2+$F119,0))</f>
        <v>0.89042766952822527</v>
      </c>
      <c r="GR119" s="186">
        <f t="shared" si="81"/>
        <v>0.41021308782500948</v>
      </c>
    </row>
    <row r="120" spans="1:200" x14ac:dyDescent="0.2">
      <c r="A120" s="184">
        <v>110</v>
      </c>
      <c r="B120" s="87">
        <v>3</v>
      </c>
      <c r="C120" s="87">
        <v>2</v>
      </c>
      <c r="D120" s="87">
        <v>2</v>
      </c>
      <c r="E120" s="87">
        <v>2</v>
      </c>
      <c r="F120" s="87">
        <f>VLOOKUP(Tulemused!$BF$7,data!$J$6:$K$8,2,FALSE)</f>
        <v>2</v>
      </c>
      <c r="G120" s="87">
        <f>VLOOKUP(data!$H$2,data!$J$12:$K$14,2,FALSE)</f>
        <v>2</v>
      </c>
      <c r="I120" s="209">
        <f>IF(I$7="X",VLOOKUP(I$10,'VK-Hooned-Soojus'!$C:$X,2+$C120,FALSE),0)+IF(I$6="X",VLOOKUP(I$10,'VK-Transport'!$C:$X,2+$B120,0))+IF(I$8="X",VLOOKUP(I$10,'VK-Elekter'!$C:$X,2+$D120,0))+IF(I$9="X",VLOOKUP(I$10,'VK-Biokütused'!$C:$U,2+$E120,0))+IF(I$5="X",VLOOKUP(I$10,'VK-Põlevkivi'!$C:$X,2+$G120,0))+IF(I$4="X",VLOOKUP(I$10,'VK-Võrgud'!$C:$X,2+$F120,0))</f>
        <v>24.79</v>
      </c>
      <c r="J120" s="209">
        <f>IF(J$7="X",VLOOKUP(J$10,'VK-Hooned-Soojus'!$C:$X,2+$C120,FALSE),0)+IF(J$6="X",VLOOKUP(J$10,'VK-Transport'!$C:$X,2+$B120,0))+IF(J$8="X",VLOOKUP(J$10,'VK-Elekter'!$C:$X,2+$D120,0))+IF(J$9="X",VLOOKUP(J$10,'VK-Biokütused'!$C:$U,2+$E120,0))+IF(J$5="X",VLOOKUP(J$10,'VK-Põlevkivi'!$C:$X,2+$G120,0))+IF(J$4="X",VLOOKUP(J$10,'VK-Võrgud'!$C:$X,2+$F120,0))</f>
        <v>8.1258333333333344</v>
      </c>
      <c r="K120" s="209">
        <f>IF(K$7="X",VLOOKUP(K$10,'VK-Hooned-Soojus'!$C:$X,2+$C120,FALSE),0)+IF(K$6="X",VLOOKUP(K$10,'VK-Transport'!$C:$X,2+$B120,0))+IF(K$8="X",VLOOKUP(K$10,'VK-Elekter'!$C:$X,2+$D120,0))+IF(K$9="X",VLOOKUP(K$10,'VK-Biokütused'!$C:$U,2+$E120,0))+IF(K$5="X",VLOOKUP(K$10,'VK-Põlevkivi'!$C:$X,2+$G120,0))+IF(K$4="X",VLOOKUP(K$10,'VK-Võrgud'!$C:$X,2+$F120,0))</f>
        <v>15.27</v>
      </c>
      <c r="L120" s="209">
        <f>IF(L$7="X",VLOOKUP(L$10,'VK-Hooned-Soojus'!$C:$X,2+$C120,FALSE),0)+IF(L$6="X",VLOOKUP(L$10,'VK-Transport'!$C:$X,2+$B120,0))+IF(L$8="X",VLOOKUP(L$10,'VK-Elekter'!$C:$X,2+$D120,0))+IF(L$9="X",VLOOKUP(L$10,'VK-Biokütused'!$C:$U,2+$E120,0))+IF(L$5="X",VLOOKUP(L$10,'VK-Põlevkivi'!$C:$X,2+$G120,0))+IF(L$4="X",VLOOKUP(L$10,'VK-Võrgud'!$C:$X,2+$F120,0))</f>
        <v>24.2</v>
      </c>
      <c r="M120" s="209">
        <f>IF(M$7="X",VLOOKUP(M$10,'VK-Hooned-Soojus'!$C:$X,2+$C120,FALSE),0)+IF(M$6="X",VLOOKUP(M$10,'VK-Transport'!$C:$X,2+$B120,0))+IF(M$8="X",VLOOKUP(M$10,'VK-Elekter'!$C:$X,2+$D120,0))+IF(M$9="X",VLOOKUP(M$10,'VK-Biokütused'!$C:$U,2+$E120,0))+IF(M$5="X",VLOOKUP(M$10,'VK-Põlevkivi'!$C:$X,2+$G120,0))+IF(M$4="X",VLOOKUP(M$10,'VK-Võrgud'!$C:$X,2+$F120,0))</f>
        <v>8.68530937302436</v>
      </c>
      <c r="N120" s="209">
        <f>IF(N$7="X",VLOOKUP(N$10,'VK-Hooned-Soojus'!$C:$X,2+$C120,FALSE),0)+IF(N$6="X",VLOOKUP(N$10,'VK-Transport'!$C:$X,2+$B120,0))+IF(N$8="X",VLOOKUP(N$10,'VK-Elekter'!$C:$X,2+$D120,0))+IF(N$9="X",VLOOKUP(N$10,'VK-Biokütused'!$C:$U,2+$E120,0))+IF(N$5="X",VLOOKUP(N$10,'VK-Põlevkivi'!$C:$X,2+$G120,0))+IF(N$4="X",VLOOKUP(N$10,'VK-Võrgud'!$C:$X,2+$F120,0))</f>
        <v>16.09</v>
      </c>
      <c r="O120" s="209">
        <f t="shared" si="60"/>
        <v>32.915833333333332</v>
      </c>
      <c r="P120" s="209"/>
      <c r="Q120" s="209">
        <f>(IF(Q$7="X",VLOOKUP(Q$10,'VK-Hooned-Soojus'!$C:$X,2+$C120,FALSE),0)+IF(Q$6="X",VLOOKUP(Q$10,'VK-Transport'!$C:$X,2+$B120,0))+IF(Q$8="X",VLOOKUP(Q$10,'VK-Elekter'!$C:$X,2+$D120,0))+IF(Q$9="X",VLOOKUP(Q$10,'VK-Biokütused'!$C:$U,2+$E120,0))+IF(Q$5="X",VLOOKUP(Q$10,'VK-Põlevkivi'!$C:$X,2+$G120,0))+IF(Q$4="X",VLOOKUP(Q$10,'VK-Võrgud'!$C:$X,2+$F120,0)))/1000</f>
        <v>5.0979999999999999</v>
      </c>
      <c r="R120" s="209">
        <f>(IF(R$7="X",VLOOKUP(R$10,'VK-Hooned-Soojus'!$C:$X,2+$C120,FALSE),0)+IF(R$6="X",VLOOKUP(R$10,'VK-Transport'!$C:$X,2+$B120,0))+IF(R$8="X",VLOOKUP(R$10,'VK-Elekter'!$C:$X,2+$D120,0))+IF(R$9="X",VLOOKUP(R$10,'VK-Biokütused'!$C:$U,2+$E120,0))+IF(R$5="X",VLOOKUP(R$10,'VK-Põlevkivi'!$C:$X,2+$G120,0))+IF(R$4="X",VLOOKUP(R$10,'VK-Võrgud'!$C:$X,2+$F120,0)))/1000</f>
        <v>1.57438499063732</v>
      </c>
      <c r="S120" s="226">
        <f>VLOOKUP(S$10,'VK-Hooned-Soojus'!$C:$I,2+$C120,FALSE) + VLOOKUP(S$10,'VK-Transport'!$C:$I,2+$B120,FALSE)+ VLOOKUP(S$10,'VK-Biokütused'!$C:$G,2+$E120,FALSE)+ VLOOKUP(S$10,'VK-Elekter'!$C:$I,2+$D120,FALSE)+ VLOOKUP(S$10,'VK-Põlevkivi'!$C:$I,2+$G120,FALSE)+ VLOOKUP(S$10,'VK-Võrgud'!$C:$I,2+$F120,FALSE)</f>
        <v>1.8009720134747196E-2</v>
      </c>
      <c r="T120" s="226">
        <f>VLOOKUP(T$10,'VK-Hooned-Soojus'!$C:$I,2+$C120,FALSE) + VLOOKUP(T$10,'VK-Transport'!$C:$I,2+$B120,FALSE)+ VLOOKUP(T$10,'VK-Biokütused'!$C:$G,2+$E120,FALSE)+ VLOOKUP(T$10,'VK-Elekter'!$C:$I,2+$D120,FALSE)+ VLOOKUP(T$10,'VK-Põlevkivi'!$C:$I,2+$G120,FALSE)+ VLOOKUP(T$10,'VK-Võrgud'!$C:$I,2+$F120,FALSE)</f>
        <v>4.7377874281091898E-3</v>
      </c>
      <c r="U120" s="226">
        <f>VLOOKUP(U$10,'VK-Hooned-Soojus'!$C:$I,2+$C120,FALSE) + VLOOKUP(U$10,'VK-Transport'!$C:$I,2+$B120,FALSE)+ VLOOKUP(U$10,'VK-Biokütused'!$C:$G,2+$E120,FALSE)+ VLOOKUP(U$10,'VK-Elekter'!$C:$I,2+$D120,FALSE)+ VLOOKUP(U$10,'VK-Põlevkivi'!$C:$I,2+$G120,FALSE)+ VLOOKUP(U$10,'VK-Võrgud'!$C:$I,2+$F120,FALSE)</f>
        <v>5.9225810393246092E-3</v>
      </c>
      <c r="V120" s="226">
        <f>VLOOKUP(V$10,'VK-Hooned-Soojus'!$C:$I,2+$C120,FALSE) + VLOOKUP(V$10,'VK-Transport'!$C:$I,2+$B120,FALSE)+ VLOOKUP(V$10,'VK-Biokütused'!$C:$G,2+$E120,FALSE)+ VLOOKUP(V$10,'VK-Elekter'!$C:$I,2+$D120,FALSE)+ VLOOKUP(V$10,'VK-Põlevkivi'!$C:$I,2+$G120,FALSE)+ VLOOKUP(V$10,'VK-Võrgud'!$C:$I,2+$F120,FALSE)</f>
        <v>1.2194762387894445E-2</v>
      </c>
      <c r="W120" s="226">
        <f>VLOOKUP(W$10,'VK-Hooned-Soojus'!$C:$I,2+$C120,FALSE) + VLOOKUP(W$10,'VK-Transport'!$C:$I,2+$B120,FALSE)+ VLOOKUP(W$10,'VK-Biokütused'!$C:$G,2+$E120,FALSE)+ VLOOKUP(W$10,'VK-Elekter'!$C:$I,2+$D120,FALSE)+ VLOOKUP(W$10,'VK-Põlevkivi'!$C:$I,2+$G120,FALSE)+ VLOOKUP(W$10,'VK-Võrgud'!$C:$I,2+$F120,FALSE)</f>
        <v>-3.9840309117205874E-2</v>
      </c>
      <c r="X120" s="226">
        <f>VLOOKUP(X$10,'VK-Hooned-Soojus'!$C:$I,2+$C120,FALSE) + VLOOKUP(X$10,'VK-Transport'!$C:$I,2+$B120,FALSE)+ VLOOKUP(X$10,'VK-Biokütused'!$C:$G,2+$E120,FALSE)+ VLOOKUP(X$10,'VK-Elekter'!$C:$I,2+$D120,FALSE)+ VLOOKUP(X$10,'VK-Põlevkivi'!$C:$I,2+$G120,FALSE)+ VLOOKUP(X$10,'VK-Võrgud'!$C:$I,2+$F120,FALSE)</f>
        <v>-5.0425185297405604E-2</v>
      </c>
      <c r="Y120" s="226">
        <f>VLOOKUP(Y$10,'VK-Hooned-Soojus'!$C:$I,2+$C120,FALSE) + VLOOKUP(Y$10,'VK-Transport'!$C:$I,2+$B120,FALSE)+ VLOOKUP(Y$10,'VK-Biokütused'!$C:$G,2+$E120,FALSE)+ VLOOKUP(Y$10,'VK-Elekter'!$C:$I,2+$D120,FALSE)+ VLOOKUP(Y$10,'VK-Põlevkivi'!$C:$I,2+$G120,FALSE)+ VLOOKUP(Y$10,'VK-Võrgud'!$C:$I,2+$F120,FALSE)</f>
        <v>-6.8259309468026302E-2</v>
      </c>
      <c r="Z120" s="227">
        <f>(S120*Tulemused!$Q$9*10+T120*Tulemused!$Q$10*10+KOMBI!U120*Tulemused!$Q$11*10+KOMBI!V120*Tulemused!$Q$12*10)*Tulemused!$Q$8+-(W120*Tulemused!$Q$14*10+KOMBI!X120*Tulemused!$Q$15*10+KOMBI!Y120*Tulemused!$Q$16*10)*Tulemused!$Q$13</f>
        <v>6.268191767312552</v>
      </c>
      <c r="AA120" s="228">
        <f>(IF(AA$7="X",VLOOKUP(AA$10,'VK-Hooned-Soojus'!$C:$X,2+$C120,FALSE),0)+IF(AA$6="X",VLOOKUP(AA$10,'VK-Transport'!$C:$X,2+$B120,0))+IF(AA$8="X",VLOOKUP(AA$10,'VK-Elekter'!$C:$X,2+$D120,0))+IF(AA$9="X",VLOOKUP(AA$10,'VK-Biokütused'!$C:$U,2+$E120,0))+IF(AA$5="X",VLOOKUP(AA$10,'VK-Põlevkivi'!$C:$X,2+$G120,0))+IF(AA$4="X",VLOOKUP(AA$10,'VK-Võrgud'!$C:$X,2+$F120,0)))</f>
        <v>3761</v>
      </c>
      <c r="AB120" s="228">
        <f>(IF(AB$7="X",VLOOKUP(AB$10,'VK-Hooned-Soojus'!$C:$X,2+$C120,FALSE),0)+IF(AB$6="X",VLOOKUP(AB$10,'VK-Transport'!$C:$X,2+$B120,0))+IF(AB$8="X",VLOOKUP(AB$10,'VK-Elekter'!$C:$X,2+$D120,0))+IF(AB$9="X",VLOOKUP(AB$10,'VK-Biokütused'!$C:$U,2+$E120,0))+IF(AB$5="X",VLOOKUP(AB$10,'VK-Põlevkivi'!$C:$X,2+$G120,0))+IF(AB$4="X",VLOOKUP(AB$10,'VK-Võrgud'!$C:$X,2+$F120,0)))</f>
        <v>1337</v>
      </c>
      <c r="AC120" s="228">
        <f>(IF(AC$7="X",VLOOKUP(AC$10,'VK-Hooned-Soojus'!$C:$X,2+$C120,FALSE),0)+IF(AC$6="X",VLOOKUP(AC$10,'VK-Transport'!$C:$X,2+$B120,0))+IF(AC$8="X",VLOOKUP(AC$10,'VK-Elekter'!$C:$X,2+$D120,0))+IF(AC$9="X",VLOOKUP(AC$10,'VK-Biokütused'!$C:$U,2+$E120,0))+IF(AC$5="X",VLOOKUP(AC$10,'VK-Põlevkivi'!$C:$X,2+$G120,0))+IF(AC$4="X",VLOOKUP(AC$10,'VK-Võrgud'!$C:$X,2+$F120,0)))</f>
        <v>2346</v>
      </c>
      <c r="AD120" s="228">
        <f>(IF(AD$7="X",VLOOKUP(AD$10,'VK-Hooned-Soojus'!$C:$X,2+$C120,FALSE),0)+IF(AD$6="X",VLOOKUP(AD$10,'VK-Transport'!$C:$X,2+$B120,0))+IF(AD$8="X",VLOOKUP(AD$10,'VK-Elekter'!$C:$X,2+$D120,0))+IF(AD$9="X",VLOOKUP(AD$10,'VK-Biokütused'!$C:$U,2+$E120,0))+IF(AD$5="X",VLOOKUP(AD$10,'VK-Põlevkivi'!$C:$X,2+$G120,0))+IF(AD$4="X",VLOOKUP(AD$10,'VK-Võrgud'!$C:$X,2+$F120,0)))</f>
        <v>377.5</v>
      </c>
      <c r="AE120" s="228">
        <f>(IF(AE$7="X",VLOOKUP(AE$10,'VK-Hooned-Soojus'!$C:$X,2+$C120,FALSE),0)+IF(AE$6="X",VLOOKUP(AE$10,'VK-Transport'!$C:$X,2+$B120,0))+IF(AE$8="X",VLOOKUP(AE$10,'VK-Elekter'!$C:$X,2+$D120,0))+IF(AE$9="X",VLOOKUP(AE$10,'VK-Biokütused'!$C:$U,2+$E120,0))+IF(AE$5="X",VLOOKUP(AE$10,'VK-Põlevkivi'!$C:$X,2+$G120,0))+IF(AE$4="X",VLOOKUP(AE$10,'VK-Võrgud'!$C:$X,2+$F120,0)))</f>
        <v>666</v>
      </c>
      <c r="AF120" s="228">
        <f>(IF(AF$7="X",VLOOKUP(AF$10,'VK-Hooned-Soojus'!$C:$X,2+$C120,FALSE),0)+IF(AF$6="X",VLOOKUP(AF$10,'VK-Transport'!$C:$X,2+$B120,0))+IF(AF$8="X",VLOOKUP(AF$10,'VK-Elekter'!$C:$X,2+$D120,0))+IF(AF$9="X",VLOOKUP(AF$10,'VK-Biokütused'!$C:$U,2+$E120,0))+IF(AF$5="X",VLOOKUP(AF$10,'VK-Põlevkivi'!$C:$X,2+$G120,0))+IF(AF$4="X",VLOOKUP(AF$10,'VK-Võrgud'!$C:$X,2+$F120,0)))</f>
        <v>530.88499063732002</v>
      </c>
      <c r="AG120" s="209"/>
      <c r="AH120" s="209">
        <f>IF(AH$7="X",VLOOKUP(AH$10,'VK-Hooned-Soojus'!$C:$X,2+$C120,FALSE),0)+IF(AH$6="X",VLOOKUP(AH$10,'VK-Transport'!$C:$X,2+$B120,0))+IF(AH$8="X",VLOOKUP(AH$10,'VK-Elekter'!$C:$X,2+$D120,0))+IF(AH$9="X",VLOOKUP(AH$10,'VK-Biokütused'!$C:$U,2+$E120,0))+IF(AH$5="X",VLOOKUP(AH$10,'VK-Põlevkivi'!$C:$X,2+$G120,0))+IF(AH$4="X",VLOOKUP(AH$10,'VK-Võrgud'!$C:$X,2+$F120,0))</f>
        <v>11.64</v>
      </c>
      <c r="AI120" s="209">
        <f>IF(AI$7="X",VLOOKUP(AI$10,'VK-Hooned-Soojus'!$C:$X,2+$C120,FALSE),0)+IF(AI$6="X",VLOOKUP(AI$10,'VK-Transport'!$C:$X,2+$B120,0))+IF(AI$8="X",VLOOKUP(AI$10,'VK-Elekter'!$C:$X,2+$D120,0))+IF(AI$9="X",VLOOKUP(AI$10,'VK-Biokütused'!$C:$U,2+$E120,0))+IF(AI$5="X",VLOOKUP(AI$10,'VK-Põlevkivi'!$C:$X,2+$G120,0))+IF(AI$4="X",VLOOKUP(AI$10,'VK-Võrgud'!$C:$X,2+$F120,0))</f>
        <v>2.3100000000000005</v>
      </c>
      <c r="AJ120" s="209">
        <f>IF(AJ$7="X",VLOOKUP(AJ$10,'VK-Hooned-Soojus'!$C:$X,2+$C120,FALSE),0)+IF(AJ$6="X",VLOOKUP(AJ$10,'VK-Transport'!$C:$X,2+$B120,0))+IF(AJ$8="X",VLOOKUP(AJ$10,'VK-Elekter'!$C:$X,2+$D120,0))+IF(AJ$9="X",VLOOKUP(AJ$10,'VK-Biokütused'!$C:$U,2+$E120,0))+IF(AJ$5="X",VLOOKUP(AJ$10,'VK-Põlevkivi'!$C:$X,2+$G120,0))+IF(AJ$4="X",VLOOKUP(AJ$10,'VK-Võrgud'!$C:$X,2+$F120,0))</f>
        <v>9.25</v>
      </c>
      <c r="AK120" s="209">
        <f>IF(AK$7="X",VLOOKUP(AK$10,'VK-Hooned-Soojus'!$C:$X,2+$C120,FALSE),0)+IF(AK$6="X",VLOOKUP(AK$10,'VK-Transport'!$C:$X,2+$B120,0))+IF(AK$8="X",VLOOKUP(AK$10,'VK-Elekter'!$C:$X,2+$D120,0))+IF(AK$9="X",VLOOKUP(AK$10,'VK-Biokütused'!$C:$U,2+$E120,0))+IF(AK$5="X",VLOOKUP(AK$10,'VK-Põlevkivi'!$C:$X,2+$G120,0))+IF(AK$4="X",VLOOKUP(AK$10,'VK-Võrgud'!$C:$X,2+$F120,0))</f>
        <v>2.78</v>
      </c>
      <c r="AL120" s="209">
        <f>IF(AL$7="X",VLOOKUP(AL$10,'VK-Hooned-Soojus'!$C:$X,2+$C120,FALSE),0)+IF(AL$6="X",VLOOKUP(AL$10,'VK-Transport'!$C:$X,2+$B120,0))+IF(AL$8="X",VLOOKUP(AL$10,'VK-Elekter'!$C:$X,2+$D120,0))+IF(AL$9="X",VLOOKUP(AL$10,'VK-Biokütused'!$C:$U,2+$E120,0))+IF(AL$5="X",VLOOKUP(AL$10,'VK-Põlevkivi'!$C:$X,2+$G120,0))+IF(AL$4="X",VLOOKUP(AL$10,'VK-Võrgud'!$C:$X,2+$F120,0))</f>
        <v>7.1999999999999993</v>
      </c>
      <c r="AM120" s="209">
        <f>IF(AM$7="X",VLOOKUP(AM$10,'VK-Hooned-Soojus'!$C:$X,2+$C120,FALSE),0)+IF(AM$6="X",VLOOKUP(AM$10,'VK-Transport'!$C:$X,2+$B120,0))+IF(AM$8="X",VLOOKUP(AM$10,'VK-Elekter'!$C:$X,2+$D120,0))+IF(AM$9="X",VLOOKUP(AM$10,'VK-Biokütused'!$C:$U,2+$E120,0))+IF(AM$5="X",VLOOKUP(AM$10,'VK-Põlevkivi'!$C:$X,2+$G120,0))+IF(AM$4="X",VLOOKUP(AM$10,'VK-Võrgud'!$C:$X,2+$F120,0))</f>
        <v>11.9</v>
      </c>
      <c r="AN120" s="209">
        <f>IF(AN$7="X",VLOOKUP(AN$10,'VK-Hooned-Soojus'!$C:$X,2+$C120,FALSE),0)+IF(AN$6="X",VLOOKUP(AN$10,'VK-Transport'!$C:$X,2+$B120,0))+IF(AN$8="X",VLOOKUP(AN$10,'VK-Elekter'!$C:$X,2+$D120,0))+IF(AN$9="X",VLOOKUP(AN$10,'VK-Biokütused'!$C:$U,2+$E120,0))+IF(AN$5="X",VLOOKUP(AN$10,'VK-Põlevkivi'!$C:$X,2+$G120,0))+IF(AN$4="X",VLOOKUP(AN$10,'VK-Võrgud'!$C:$X,2+$F120,0))</f>
        <v>4.8999999999999995</v>
      </c>
      <c r="AO120" s="209">
        <f>IF(AO$7="X",VLOOKUP(AO$10,'VK-Hooned-Soojus'!$C:$X,2+$C120,FALSE),0)+IF(AO$6="X",VLOOKUP(AO$10,'VK-Transport'!$C:$X,2+$B120,0))+IF(AO$8="X",VLOOKUP(AO$10,'VK-Elekter'!$C:$X,2+$D120,0))+IF(AO$9="X",VLOOKUP(AO$10,'VK-Biokütused'!$C:$U,2+$E120,0))+IF(AO$5="X",VLOOKUP(AO$10,'VK-Põlevkivi'!$C:$X,2+$G120,0))+IF(AO$4="X",VLOOKUP(AO$10,'VK-Võrgud'!$C:$X,2+$F120,0))</f>
        <v>12.56</v>
      </c>
      <c r="AP120" s="209">
        <f>IF(AP$7="X",VLOOKUP(AP$10,'VK-Hooned-Soojus'!$C:$X,2+$C120,FALSE),0)+IF(AP$6="X",VLOOKUP(AP$10,'VK-Transport'!$C:$X,2+$B120,0))+IF(AP$8="X",VLOOKUP(AP$10,'VK-Elekter'!$C:$X,2+$D120,0))+IF(AP$9="X",VLOOKUP(AP$10,'VK-Biokütused'!$C:$U,2+$E120,0))+IF(AP$5="X",VLOOKUP(AP$10,'VK-Põlevkivi'!$C:$X,2+$G120,0))+IF(AP$4="X",VLOOKUP(AP$10,'VK-Võrgud'!$C:$X,2+$F120,0))</f>
        <v>6.28</v>
      </c>
      <c r="AQ120" s="320">
        <f t="shared" si="61"/>
        <v>0.25999999999999979</v>
      </c>
      <c r="AR120" s="209">
        <f>IF(AR$7="X",VLOOKUP(AR$10,'VK-Hooned-Soojus'!$C:$X,2+$C120,FALSE),0)+IF(AR$6="X",VLOOKUP(AR$10,'VK-Transport'!$C:$X,2+$B120,0))+IF(AR$8="X",VLOOKUP(AR$10,'VK-Elekter'!$C:$X,2+$D120,0))+IF(AR$9="X",VLOOKUP(AR$10,'VK-Biokütused'!$C:$U,2+$E120,0))+IF(AR$5="X",VLOOKUP(AR$10,'VK-Põlevkivi'!$C:$X,2+$G120,0))+IF(AR$4="X",VLOOKUP(AR$10,'VK-Võrgud'!$C:$X,2+$F120,0))</f>
        <v>2.8899999999999997</v>
      </c>
      <c r="AS120" s="320">
        <f>VLOOKUP("Kütuste tarbimine @ 2030 - UTTEGAAS",'VK-Hooned-Soojus'!$C:$X,2+$C120,FALSE)/0.172+VLOOKUP("Kütuste tarbimine @ 2030 - UTTEGAAS",'VK-Elekter'!$C:$X,2+$D120,FALSE)/0.172-AR120-AU120</f>
        <v>2.8565116279069773</v>
      </c>
      <c r="AT120" s="209">
        <f>IF(AT$7="X",VLOOKUP(AT$10,'VK-Hooned-Soojus'!$C:$X,2+$C120,FALSE),0)+IF(AT$6="X",VLOOKUP(AT$10,'VK-Transport'!$C:$X,2+$B120,0))+IF(AT$8="X",VLOOKUP(AT$10,'VK-Elekter'!$C:$X,2+$D120,0))+IF(AT$9="X",VLOOKUP(AT$10,'VK-Biokütused'!$C:$U,2+$E120,0))+IF(AT$5="X",VLOOKUP(AT$10,'VK-Põlevkivi'!$C:$X,2+$G120,0))+IF(AT$4="X",VLOOKUP(AT$10,'VK-Võrgud'!$C:$X,2+$F120,0))</f>
        <v>5.7045296564339489</v>
      </c>
      <c r="AU120" s="229">
        <f>MAX(0,(VLOOKUP("Kütuste tarbimine @ 2030 - UTTEGAAS",'VK-Hooned-Soojus'!$C:$X,2+$C120,FALSE)/0.172+VLOOKUP("Kütuste tarbimine @ 2030 - UTTEGAAS",'VK-Elekter'!$C:$X,2+$D120,FALSE)/0.172)*0.52-VLOOKUP("Kütuste tarbimine @ 2030 - PÕLEVKIVIÕLI",'VK-Hooned-Soojus'!$C:$X,2+$C120,FALSE))</f>
        <v>5.1837209302325586</v>
      </c>
      <c r="AV120" s="209">
        <f>IF(AV$7="X",VLOOKUP(AV$10,'VK-Hooned-Soojus'!$C:$X,2+$C120,FALSE),0)+IF(AV$6="X",VLOOKUP(AV$10,'VK-Transport'!$C:$X,2+$B120,0))+IF(AV$8="X",VLOOKUP(AV$10,'VK-Elekter'!$C:$X,2+$D120,0))+IF(AV$9="X",VLOOKUP(AV$10,'VK-Biokütused'!$C:$U,2+$E120,0))+IF(AV$5="X",VLOOKUP(AV$10,'VK-Põlevkivi'!$C:$X,2+$G120,0))+IF(AV$4="X",VLOOKUP(AV$10,'VK-Võrgud'!$C:$X,2+$F120,0))</f>
        <v>2.1219844082566364</v>
      </c>
      <c r="AW120" s="209">
        <f>IF(AW$7="X",VLOOKUP(AW$10,'VK-Hooned-Soojus'!$C:$X,2+$C120,FALSE),0)+IF(AW$6="X",VLOOKUP(AW$10,'VK-Transport'!$C:$X,2+$B120,0))+IF(AW$8="X",VLOOKUP(AW$10,'VK-Elekter'!$C:$X,2+$D120,0))+IF(AW$9="X",VLOOKUP(AW$10,'VK-Biokütused'!$C:$U,2+$E120,0))+IF(AW$5="X",VLOOKUP(AW$10,'VK-Põlevkivi'!$C:$X,2+$G120,0))+IF(AW$4="X",VLOOKUP(AW$10,'VK-Võrgud'!$C:$X,2+$F120,0))</f>
        <v>2.141</v>
      </c>
      <c r="AX120" s="229">
        <f t="shared" si="62"/>
        <v>1.9015591743363647E-2</v>
      </c>
      <c r="AY120" s="229">
        <f t="shared" si="63"/>
        <v>0</v>
      </c>
      <c r="AZ120" s="230">
        <f t="shared" si="83"/>
        <v>0.50749407362778964</v>
      </c>
      <c r="BA120" s="209">
        <f>IF(BA$7="X",VLOOKUP(BA$10,'VK-Hooned-Soojus'!$C:$X,2+$C120,FALSE),0)+IF(BA$6="X",VLOOKUP(BA$10,'VK-Transport'!$C:$X,2+$B120,0))+IF(BA$8="X",VLOOKUP(BA$10,'VK-Elekter'!$C:$X,2+$D120,0))+IF(BA$9="X",VLOOKUP(BA$10,'VK-Biokütused'!$C:$U,2+$E120,0))+IF(BA$5="X",VLOOKUP(BA$10,'VK-Põlevkivi'!$C:$X,2+$G120,0))+IF(BA$4="X",VLOOKUP(BA$10,'VK-Võrgud'!$C:$X,2+$F120,0))</f>
        <v>4.25</v>
      </c>
      <c r="BB120" s="209">
        <f>IF(BB$7="X",VLOOKUP(BB$10,'VK-Hooned-Soojus'!$C:$X,2+$C120,FALSE),0)+IF(BB$6="X",VLOOKUP(BB$10,'VK-Transport'!$C:$X,2+$B120,0))+IF(BB$8="X",VLOOKUP(BB$10,'VK-Elekter'!$C:$X,2+$D120,0))+IF(BB$9="X",VLOOKUP(BB$10,'VK-Biokütused'!$C:$U,2+$E120,0))+IF(BB$5="X",VLOOKUP(BB$10,'VK-Põlevkivi'!$C:$X,2+$G120,0))+IF(BB$4="X",VLOOKUP(BB$10,'VK-Võrgud'!$C:$X,2+$F120,0))</f>
        <v>2.93</v>
      </c>
      <c r="BC120" s="209">
        <f>IF(BC$7="X",VLOOKUP(BC$10,'VK-Hooned-Soojus'!$C:$X,2+$C120,FALSE),0)+IF(BC$6="X",VLOOKUP(BC$10,'VK-Transport'!$C:$X,2+$B120,0))+IF(BC$8="X",VLOOKUP(BC$10,'VK-Elekter'!$C:$X,2+$D120,0))+IF(BC$9="X",VLOOKUP(BC$10,'VK-Biokütused'!$C:$U,2+$E120,0))+IF(BC$5="X",VLOOKUP(BC$10,'VK-Põlevkivi'!$C:$X,2+$G120,0))+IF(BC$4="X",VLOOKUP(BC$10,'VK-Võrgud'!$C:$X,2+$F120,0))</f>
        <v>6.5993333333333322</v>
      </c>
      <c r="BD120" s="209">
        <f>IF(BD$7="X",VLOOKUP(BD$10,'VK-Hooned-Soojus'!$C:$X,2+$C120,FALSE),0)+IF(BD$6="X",VLOOKUP(BD$10,'VK-Transport'!$C:$X,2+$B120,0))+IF(BD$8="X",VLOOKUP(BD$10,'VK-Elekter'!$C:$X,2+$D120,0))+IF(BD$9="X",VLOOKUP(BD$10,'VK-Biokütused'!$C:$U,2+$E120,0))+IF(BD$5="X",VLOOKUP(BD$10,'VK-Põlevkivi'!$C:$X,2+$G120,0))+IF(BD$4="X",VLOOKUP(BD$10,'VK-Võrgud'!$C:$X,2+$F120,0))</f>
        <v>9.425416666666667</v>
      </c>
      <c r="BE120" s="230"/>
      <c r="BF120" s="229">
        <f t="shared" si="64"/>
        <v>0.36202470293782418</v>
      </c>
      <c r="BG120" s="209" t="e">
        <f>(IF(BG$7="X",VLOOKUP(BG$10,'VK-Hooned-Soojus'!$C:$X,2+$C120,FALSE),0)+IF(BG$6="X",VLOOKUP(BG$10,'VK-Transport'!$C:$X,2+$B120,0))+IF(BG$8="X",VLOOKUP(BG$10,'VK-Elekter'!$C:$X,2+$D120,0))+IF(BG$9="X",VLOOKUP(BG$10,'VK-Biokütused'!$C:$U,2+$E120,0))+IF(BG$5="X",VLOOKUP(BG$10,'VK-Põlevkivi'!$C:$X,2+$G120,0))+IF(BG$4="X",VLOOKUP(BG$10,'VK-Võrgud'!$C:$X,2+$F120,0)))/20</f>
        <v>#N/A</v>
      </c>
      <c r="BH120" s="209">
        <f>(IF(BH$7="X",VLOOKUP(BH$10,'VK-Hooned-Soojus'!$C:$X,2+$C120,FALSE),0)+IF(BH$6="X",VLOOKUP(BH$10,'VK-Transport'!$C:$X,2+$B120,0))+IF(BH$8="X",VLOOKUP(BH$10,'VK-Elekter'!$C:$X,2+$D120,0))+IF(BH$9="X",VLOOKUP(BH$10,'VK-Biokütused'!$C:$U,2+$E120,0))+IF(BH$5="X",VLOOKUP(BH$10,'VK-Põlevkivi'!$C:$X,2+$G120,0))+IF(BH$4="X",VLOOKUP(BH$10,'VK-Võrgud'!$C:$X,2+$F120,0)))/20</f>
        <v>45.08</v>
      </c>
      <c r="BI120" s="209">
        <f>(IF(BI$7="X",VLOOKUP(BI$10,'VK-Hooned-Soojus'!$C:$X,2+$C120,FALSE),0)+IF(BI$6="X",VLOOKUP(BI$10,'VK-Transport'!$C:$X,2+$B120,0))+IF(BI$8="X",VLOOKUP(BI$10,'VK-Elekter'!$C:$X,2+$D120,0))+IF(BI$9="X",VLOOKUP(BI$10,'VK-Biokütused'!$C:$U,2+$E120,0))+IF(BI$5="X",VLOOKUP(BI$10,'VK-Põlevkivi'!$C:$X,2+$G120,0))+IF(BI$4="X",VLOOKUP(BI$10,'VK-Võrgud'!$C:$X,2+$F120,0)))/16</f>
        <v>14.1875</v>
      </c>
      <c r="BJ120" s="209">
        <f>(IF(BJ$7="X",VLOOKUP(BJ$10,'VK-Hooned-Soojus'!$C:$X,2+$C120,FALSE),0)+IF(BJ$6="X",VLOOKUP(BJ$10,'VK-Transport'!$C:$X,2+$B120,0))+IF(BJ$8="X",VLOOKUP(BJ$10,'VK-Elekter'!$C:$X,2+$D120,0))+IF(BJ$9="X",VLOOKUP(BJ$10,'VK-Biokütused'!$C:$U,2+$E120,0))+IF(BJ$5="X",VLOOKUP(BJ$10,'VK-Põlevkivi'!$C:$X,2+$G120,0))+IF(BJ$4="X",VLOOKUP(BJ$10,'VK-Võrgud'!$C:$X,2+$F120,0)))/20</f>
        <v>3.91</v>
      </c>
      <c r="BK120" s="209"/>
      <c r="BL120" s="209"/>
      <c r="BM120" s="209"/>
      <c r="BN120" s="209" t="e">
        <f>(IF(BN$7="X",VLOOKUP(BN$10,'VK-Hooned-Soojus'!$C:$X,2+$C120,FALSE),0)+IF(BN$6="X",VLOOKUP(BN$10,'VK-Transport'!$C:$X,2+$B120,0))+IF(BN$8="X",VLOOKUP(BN$10,'VK-Elekter'!$C:$X,2+$D120,0))+IF(BN$9="X",VLOOKUP(BN$10,'VK-Biokütused'!$C:$U,2+$E120,0))+IF(BN$5="X",VLOOKUP(BN$10,'VK-Põlevkivi'!$C:$X,2+$G120,0))+IF(BN$4="X",VLOOKUP(BN$10,'VK-Võrgud'!$C:$X,2+$F120,0)))/16</f>
        <v>#N/A</v>
      </c>
      <c r="BO120" s="209">
        <f>(IF(BO$7="X",VLOOKUP(BO$10,'VK-Hooned-Soojus'!$C:$X,2+$C120,FALSE),0)+IF(BO$6="X",VLOOKUP(BO$10,'VK-Transport'!$C:$X,2+$B120,0))+IF(BO$8="X",VLOOKUP(BO$10,'VK-Elekter'!$C:$X,2+$D120,0))+IF(BO$9="X",VLOOKUP(BO$10,'VK-Biokütused'!$C:$U,2+$E120,0))+IF(BO$5="X",VLOOKUP(BO$10,'VK-Põlevkivi'!$C:$X,2+$G120,0))+IF(BO$4="X",VLOOKUP(BO$10,'VK-Võrgud'!$C:$X,2+$F120,0)))/16</f>
        <v>322.79374999999999</v>
      </c>
      <c r="BP120" s="209"/>
      <c r="BQ120" s="209">
        <f>(IF(BQ$7="X",VLOOKUP(BQ$10,'VK-Hooned-Soojus'!$C:$X,2+$C120,FALSE),0)+IF(BQ$6="X",VLOOKUP(BQ$10,'VK-Transport'!$C:$X,2+$B120,0))+IF(BQ$8="X",VLOOKUP(BQ$10,'VK-Elekter'!$C:$X,2+$D120,0))+IF(BQ$9="X",VLOOKUP(BQ$10,'VK-Biokütused'!$C:$U,2+$E120,0))+IF(BQ$5="X",VLOOKUP(BQ$10,'VK-Põlevkivi'!$C:$X,2+$G120,0))+IF(BQ$4="X",VLOOKUP(BQ$10,'VK-Võrgud'!$C:$X,2+$F120,0)))/16</f>
        <v>233.20625000000001</v>
      </c>
      <c r="BR120" s="209">
        <f>(IF(BR$7="X",VLOOKUP(BR$10,'VK-Hooned-Soojus'!$C:$X,2+$C120,FALSE),0)+IF(BR$6="X",VLOOKUP(BR$10,'VK-Transport'!$C:$X,2+$B120,0))+IF(BR$8="X",VLOOKUP(BR$10,'VK-Elekter'!$C:$X,2+$D120,0))+IF(BR$9="X",VLOOKUP(BR$10,'VK-Biokütused'!$C:$U,2+$E120,0))+IF(BR$5="X",VLOOKUP(BR$10,'VK-Põlevkivi'!$C:$X,2+$G120,0))+IF(BR$4="X",VLOOKUP(BR$10,'VK-Võrgud'!$C:$X,2+$F120,0)))/16</f>
        <v>74.512500000000003</v>
      </c>
      <c r="BS120" s="209">
        <f>(IF(BS$7="X",VLOOKUP(BS$10,'VK-Hooned-Soojus'!$C:$X,2+$C120,FALSE),0)+IF(BS$6="X",VLOOKUP(BS$10,'VK-Transport'!$C:$X,2+$B120,0))+IF(BS$8="X",VLOOKUP(BS$10,'VK-Elekter'!$C:$X,2+$D120,0))+IF(BS$9="X",VLOOKUP(BS$10,'VK-Biokütused'!$C:$U,2+$E120,0))+IF(BS$5="X",VLOOKUP(BS$10,'VK-Põlevkivi'!$C:$X,2+$G120,0))+IF(BS$4="X",VLOOKUP(BS$10,'VK-Võrgud'!$C:$X,2+$F120,0)))/16</f>
        <v>-21.475000000000001</v>
      </c>
      <c r="BT120" s="209"/>
      <c r="BU120" s="209"/>
      <c r="BV120" s="209">
        <f>(IF(BV$7="X",VLOOKUP(BV$10,'VK-Hooned-Soojus'!$C:$X,2+$C120,FALSE),0)+IF(BV$6="X",VLOOKUP(BV$10,'VK-Transport'!$C:$X,2+$B120,0))+IF(BV$8="X",VLOOKUP(BV$10,'VK-Elekter'!$C:$X,2+$D120,0))+IF(BV$9="X",VLOOKUP(BV$10,'VK-Biokütused'!$C:$U,2+$E120,0))+IF(BV$5="X",VLOOKUP(BV$10,'VK-Põlevkivi'!$C:$X,2+$G120,0))+IF(BV$4="X",VLOOKUP(BV$10,'VK-Võrgud'!$C:$X,2+$F120,0)))/16</f>
        <v>0</v>
      </c>
      <c r="BW120" s="209"/>
      <c r="BX120" s="209">
        <f>(IF(BX$7="X",VLOOKUP(BX$10,'VK-Hooned-Soojus'!$C:$X,2+$C120,FALSE),0)+IF(BX$6="X",VLOOKUP(BX$10,'VK-Transport'!$C:$X,2+$B120,0))+IF(BX$8="X",VLOOKUP(BX$10,'VK-Elekter'!$C:$X,2+$D120,0))+IF(BX$9="X",VLOOKUP(BX$10,'VK-Biokütused'!$C:$U,2+$E120,0))+IF(BX$5="X",VLOOKUP(BX$10,'VK-Põlevkivi'!$C:$X,2+$G120,0))+IF(BX$4="X",VLOOKUP(BX$10,'VK-Võrgud'!$C:$X,2+$F120,0)))/16</f>
        <v>-99.75</v>
      </c>
      <c r="BY120" s="209"/>
      <c r="BZ120" s="209"/>
      <c r="CA120" s="209" t="e">
        <f>(IF(CA$7="X",VLOOKUP(CA$10,'VK-Hooned-Soojus'!$C:$X,2+$C120,FALSE),0)+IF(CA$6="X",VLOOKUP(CA$10,'VK-Transport'!$C:$X,2+$B120,0))+IF(CA$8="X",VLOOKUP(CA$10,'VK-Elekter'!$C:$X,2+$D120,0))+IF(CA$9="X",VLOOKUP(CA$10,'VK-Biokütused'!$C:$U,2+$E120,0))+IF(CA$5="X",VLOOKUP(CA$10,'VK-Põlevkivi'!$C:$X,2+$G120,0))+IF(CA$4="X",VLOOKUP(CA$10,'VK-Võrgud'!$C:$X,2+$F120,0)))/16</f>
        <v>#N/A</v>
      </c>
      <c r="CB120" s="209">
        <f>(IF(CB$7="X",VLOOKUP(CB$10,'VK-Hooned-Soojus'!$C:$X,2+$C120,FALSE),0)+IF(CB$6="X",VLOOKUP(CB$10,'VK-Transport'!$C:$X,2+$B120,0))+IF(CB$8="X",VLOOKUP(CB$10,'VK-Elekter'!$C:$X,2+$D120,0))+IF(CB$9="X",VLOOKUP(CB$10,'VK-Biokütused'!$C:$U,2+$E120,0))+IF(CB$5="X",VLOOKUP(CB$10,'VK-Põlevkivi'!$C:$X,2+$G120,0))+IF(CB$4="X",VLOOKUP(CB$10,'VK-Võrgud'!$C:$X,2+$F120,0)))/16</f>
        <v>0</v>
      </c>
      <c r="CC120" s="209">
        <f>(IF(CC$7="X",VLOOKUP(CC$10,'VK-Hooned-Soojus'!$C:$X,2+$C120,FALSE),0)+IF(CC$6="X",VLOOKUP(CC$10,'VK-Transport'!$C:$X,2+$B120,0))+IF(CC$8="X",VLOOKUP(CC$10,'VK-Elekter'!$C:$X,2+$D120,0))+IF(CC$9="X",VLOOKUP(CC$10,'VK-Biokütused'!$C:$U,2+$E120,0))+IF(CC$5="X",VLOOKUP(CC$10,'VK-Põlevkivi'!$C:$X,2+$G120,0))+IF(CC$4="X",VLOOKUP(CC$10,'VK-Võrgud'!$C:$X,2+$F120,0)))/16</f>
        <v>0</v>
      </c>
      <c r="CD120" s="209"/>
      <c r="CE120" s="209">
        <f>(IF(CE$7="X",VLOOKUP(CE$10,'VK-Hooned-Soojus'!$C:$X,2+$C120,FALSE),0)+IF(CE$6="X",VLOOKUP(CE$10,'VK-Transport'!$C:$X,2+$B120,0))+IF(CE$8="X",VLOOKUP(CE$10,'VK-Elekter'!$C:$X,2+$D120,0))+IF(CE$9="X",VLOOKUP(CE$10,'VK-Biokütused'!$C:$U,2+$E120,0))+IF(CE$5="X",VLOOKUP(CE$10,'VK-Põlevkivi'!$C:$X,2+$G120,0))+IF(CE$4="X",VLOOKUP(CE$10,'VK-Võrgud'!$C:$X,2+$F120,0)))/16</f>
        <v>24.15625</v>
      </c>
      <c r="CF120" s="209"/>
      <c r="CG120" s="209">
        <f>(IF(CG$7="X",VLOOKUP(CG$10,'VK-Hooned-Soojus'!$C:$X,2+$C120,FALSE),0)+IF(CG$6="X",VLOOKUP(CG$10,'VK-Transport'!$C:$X,2+$B120,0))+IF(CG$8="X",VLOOKUP(CG$10,'VK-Elekter'!$C:$X,2+$D120,0))+IF(CG$9="X",VLOOKUP(CG$10,'VK-Biokütused'!$C:$U,2+$E120,0))+IF(CG$5="X",VLOOKUP(CG$10,'VK-Põlevkivi'!$C:$X,2+$G120,0))+IF(CG$4="X",VLOOKUP(CG$10,'VK-Võrgud'!$C:$X,2+$F120,0)))/16</f>
        <v>0</v>
      </c>
      <c r="CH120" s="209">
        <f>(IF(CH$7="X",VLOOKUP(CH$10,'VK-Hooned-Soojus'!$C:$X,2+$C120,FALSE),0)+IF(CH$6="X",VLOOKUP(CH$10,'VK-Transport'!$C:$X,2+$B120,0))+IF(CH$8="X",VLOOKUP(CH$10,'VK-Elekter'!$C:$X,2+$D120,0))+IF(CH$9="X",VLOOKUP(CH$10,'VK-Biokütused'!$C:$U,2+$E120,0))+IF(CH$5="X",VLOOKUP(CH$10,'VK-Põlevkivi'!$C:$X,2+$G120,0))+IF(CH$4="X",VLOOKUP(CH$10,'VK-Võrgud'!$C:$X,2+$F120,0)))/20*0.21</f>
        <v>11.225549999999998</v>
      </c>
      <c r="CI120" s="209"/>
      <c r="CJ120" s="209">
        <f>(IF(CJ$7="X",VLOOKUP(CJ$10,'VK-Hooned-Soojus'!$C:$X,2+$C120,FALSE),0)+IF(CJ$6="X",VLOOKUP(CJ$10,'VK-Transport'!$C:$X,2+$B120,0))+IF(CJ$8="X",VLOOKUP(CJ$10,'VK-Elekter'!$C:$X,2+$D120,0))+IF(CJ$9="X",VLOOKUP(CJ$10,'VK-Biokütused'!$C:$U,2+$E120,0))+IF(CJ$5="X",VLOOKUP(CJ$10,'VK-Põlevkivi'!$C:$X,2+$G120,0))+IF(CJ$4="X",VLOOKUP(CJ$10,'VK-Võrgud'!$C:$X,2+$F120,0)))/1000</f>
        <v>17.164578011574537</v>
      </c>
      <c r="CK120" s="209">
        <f>(IF(CK$7="X",VLOOKUP(CK$10,'VK-Hooned-Soojus'!$C:$X,2+$C120,FALSE),0)+IF(CK$6="X",VLOOKUP(CK$10,'VK-Transport'!$C:$X,2+$B120,0))+IF(CK$8="X",VLOOKUP(CK$10,'VK-Elekter'!$C:$X,2+$D120,0))+IF(CK$9="X",VLOOKUP(CK$10,'VK-Biokütused'!$C:$U,2+$E120,0))+IF(CK$5="X",VLOOKUP(CK$10,'VK-Põlevkivi'!$C:$X,2+$G120,0))+IF(CK$4="X",VLOOKUP(CK$10,'VK-Võrgud'!$C:$X,2+$F120,0)))/1000</f>
        <v>11.869077976340797</v>
      </c>
      <c r="CL120" s="235">
        <f>(IF(CL$7="X",VLOOKUP(CL$10,'VK-Hooned-Soojus'!$C:$X,2+$C120,FALSE),0)+IF(CL$6="X",VLOOKUP(CL$10,'VK-Transport'!$C:$X,2+$B120,0))+IF(CL$8="X",VLOOKUP(CL$10,'VK-Elekter'!$C:$X,2+$D120,0))+IF(CL$9="X",VLOOKUP(CL$10,'VK-Biokütused'!$C:$U,2+$E120,0)))/1000</f>
        <v>7.5271111109201012</v>
      </c>
      <c r="CM120" s="209">
        <f>(IF(CM$7="X",VLOOKUP(CM$10,'VK-Hooned-Soojus'!$C:$X,2+$C120,FALSE),0)+IF(CM$6="X",VLOOKUP(CM$10,'VK-Transport'!$C:$X,2+$B120,0))+IF(CM$8="X",VLOOKUP(CM$10,'VK-Elekter'!$C:$X,2+$D120,0))+IF(CM$9="X",VLOOKUP(CM$10,'VK-Biokütused'!$C:$U,2+$E120,0))+IF(CM$5="X",VLOOKUP(CM$10,'VK-Põlevkivi'!$C:$X,2+$G120,0))+IF(CM$4="X",VLOOKUP(CM$10,'VK-Võrgud'!$C:$X,2+$F120,0)))/1000</f>
        <v>7.7577605777489067</v>
      </c>
      <c r="CN120" s="209">
        <f>(IF(CN$7="X",VLOOKUP(CN$10,'VK-Hooned-Soojus'!$C:$X,2+$C120,FALSE),0)+IF(CN$6="X",VLOOKUP(CN$10,'VK-Transport'!$C:$X,2+$B120,0))+IF(CN$8="X",VLOOKUP(CN$10,'VK-Elekter'!$C:$X,2+$D120,0))+IF(CN$9="X",VLOOKUP(CN$10,'VK-Biokütused'!$C:$U,2+$E120,0))+IF(CN$5="X",VLOOKUP(CN$10,'VK-Põlevkivi'!$C:$X,2+$G120,0))+IF(CN$4="X",VLOOKUP(CN$10,'VK-Võrgud'!$C:$X,2+$F120,0)))/1000</f>
        <v>2.8759999999999999</v>
      </c>
      <c r="CO120" s="209">
        <f>(IF(CO$7="X",VLOOKUP(CO$10,'VK-Hooned-Soojus'!$C:$X,2+$C120,FALSE),0)+IF(CO$6="X",VLOOKUP(CO$10,'VK-Transport'!$C:$X,2+$B120,0))+IF(CO$8="X",VLOOKUP(CO$10,'VK-Elekter'!$C:$X,2+$D120,0))+IF(CO$9="X",VLOOKUP(CO$10,'VK-Biokütused'!$C:$U,2+$E120,0))+IF(CO$5="X",VLOOKUP(CO$10,'VK-Põlevkivi'!$C:$X,2+$G120,0))+IF(CO$4="X",VLOOKUP(CO$10,'VK-Võrgud'!$C:$X,2+$F120,0)))/1000</f>
        <v>23.737362337356995</v>
      </c>
      <c r="CP120" s="209">
        <f>(IF(CP$7="X",VLOOKUP(CP$10,'VK-Hooned-Soojus'!$C:$X,2+$C120,FALSE),0)+IF(CP$6="X",VLOOKUP(CP$10,'VK-Transport'!$C:$X,2+$B120,0))+IF(CP$8="X",VLOOKUP(CP$10,'VK-Elekter'!$C:$X,2+$D120,0))+IF(CP$9="X",VLOOKUP(CP$10,'VK-Biokütused'!$C:$U,2+$E120,0))+IF(CP$5="X",VLOOKUP(CP$10,'VK-Põlevkivi'!$C:$X,2+$G120,0))+IF(CP$4="X",VLOOKUP(CP$10,'VK-Võrgud'!$C:$X,2+$F120,0)))/1000</f>
        <v>13.441392120693662</v>
      </c>
      <c r="CQ120" s="235">
        <f>(IF(CQ$7="X",VLOOKUP(CQ$10,'VK-Hooned-Soojus'!$C:$X,2+$C120,FALSE),0)+IF(CQ$6="X",VLOOKUP(CQ$10,'VK-Transport'!$C:$X,2+$B120,0))+IF(CQ$8="X",VLOOKUP(CQ$10,'VK-Elekter'!$C:$X,2+$D120,0))+IF(CQ$9="X",VLOOKUP(CQ$10,'VK-Biokütused'!$C:$U,2+$E120,0)))/1000</f>
        <v>10.328918999999999</v>
      </c>
      <c r="CR120" s="209">
        <f>(IF(CR$7="X",VLOOKUP(CR$10,'VK-Hooned-Soojus'!$C:$X,2+$C120,FALSE),0)+IF(CR$6="X",VLOOKUP(CR$10,'VK-Transport'!$C:$X,2+$B120,0))+IF(CR$8="X",VLOOKUP(CR$10,'VK-Elekter'!$C:$X,2+$D120,0))+IF(CR$9="X",VLOOKUP(CR$10,'VK-Biokütused'!$C:$U,2+$E120,0))+IF(CR$5="X",VLOOKUP(CR$10,'VK-Põlevkivi'!$C:$X,2+$G120,0))+IF(CR$4="X",VLOOKUP(CR$10,'VK-Võrgud'!$C:$X,2+$F120,0)))/1000</f>
        <v>7.8657518373996886</v>
      </c>
      <c r="CS120" s="209">
        <f>(IF(CS$7="X",VLOOKUP(CS$10,'VK-Hooned-Soojus'!$C:$X,2+$C120,FALSE),0)+IF(CS$6="X",VLOOKUP(CS$10,'VK-Transport'!$C:$X,2+$B120,0))+IF(CS$8="X",VLOOKUP(CS$10,'VK-Elekter'!$C:$X,2+$D120,0))+IF(CS$9="X",VLOOKUP(CS$10,'VK-Biokütused'!$C:$U,2+$E120,0))+IF(CS$5="X",VLOOKUP(CS$10,'VK-Põlevkivi'!$C:$X,2+$G120,0))+IF(CS$4="X",VLOOKUP(CS$10,'VK-Võrgud'!$C:$X,2+$F120,0)))/1000</f>
        <v>3.8186495098622379</v>
      </c>
      <c r="CT120" s="209">
        <f>IF(CT$7="X",VLOOKUP(CT$10,'VK-Hooned-Soojus'!$C:$X,2+$C120,FALSE),0)+IF(CT$6="X",VLOOKUP(CT$10,'VK-Transport'!$C:$X,2+$B120,0))+IF(CT$8="X",VLOOKUP(CT$10,'VK-Elekter'!$C:$X,2+$D120,0))+IF(CT$9="X",VLOOKUP(CT$10,'VK-Biokütused'!$C:$U,2+$E120,0))+IF(CT$5="X",VLOOKUP(CT$10,'VK-Põlevkivi'!$C:$X,2+$G120,0))+IF(CT$4="X",VLOOKUP(CT$10,'VK-Võrgud'!$C:$X,2+$F120,0))</f>
        <v>90</v>
      </c>
      <c r="CU120" s="209">
        <f>IF(CU$7="X",VLOOKUP(CU$10,'VK-Hooned-Soojus'!$C:$X,2+$C120,FALSE),0)+IF(CU$6="X",VLOOKUP(CU$10,'VK-Transport'!$C:$X,2+$B120,0))+IF(CU$8="X",VLOOKUP(CU$10,'VK-Elekter'!$C:$X,2+$D120,0))+IF(CU$9="X",VLOOKUP(CU$10,'VK-Biokütused'!$C:$U,2+$E120,0))+IF(CU$5="X",VLOOKUP(CU$10,'VK-Põlevkivi'!$C:$X,2+$G120,0))+IF(CU$4="X",VLOOKUP(CU$10,'VK-Võrgud'!$C:$X,2+$F120,0))</f>
        <v>0.72088353413654627</v>
      </c>
      <c r="CV120" s="209">
        <f t="shared" si="84"/>
        <v>0.72887234460741657</v>
      </c>
      <c r="CW120" s="209">
        <f>(IF(CW$7="X",VLOOKUP(CW$10,'VK-Hooned-Soojus'!$C:$X,2+$C120,FALSE),0)+IF(CW$6="X",VLOOKUP(CW$10,'VK-Transport'!$C:$X,2+$B120,0))+IF(CW$8="X",VLOOKUP(CW$10,'VK-Elekter'!$C:$X,2+$D120,0))+IF(CW$9="X",VLOOKUP(CW$10,'VK-Biokütused'!$C:$U,2+$E120,0))+IF(CW$5="X",VLOOKUP(CW$10,'VK-Põlevkivi'!$C:$X,2+$G120,0))+IF(CW$4="X",VLOOKUP(CW$10,'VK-Võrgud'!$C:$X,2+$F120,0)))/16</f>
        <v>59.743749999999999</v>
      </c>
      <c r="CY120" s="209">
        <f>(IF(CY$7="X",VLOOKUP(CY$10,'VK-Hooned-Soojus'!$C:$X,2+$C120,FALSE),0)+IF(CY$6="X",VLOOKUP(CY$10,'VK-Transport'!$C:$X,2+$B120,0))+IF(CY$8="X",VLOOKUP(CY$10,'VK-Elekter'!$C:$X,2+$D120,0))+IF(CY$9="X",VLOOKUP(CY$10,'VK-Biokütused'!$C:$U,2+$E120,0))+IF(CY$5="X",VLOOKUP(CY$10,'VK-Põlevkivi'!$C:$X,2+$G120,0))+IF(CY$4="X",VLOOKUP(CY$10,'VK-Võrgud'!$C:$X,2+$F120,0)))/1000</f>
        <v>9.9</v>
      </c>
      <c r="CZ120" s="209">
        <f>(IF(CZ$7="X",VLOOKUP(CZ$10,'VK-Hooned-Soojus'!$C:$X,2+$C120,FALSE),0)+IF(CZ$6="X",VLOOKUP(CZ$10,'VK-Transport'!$C:$X,2+$B120,0))+IF(CZ$8="X",VLOOKUP(CZ$10,'VK-Elekter'!$C:$X,2+$D120,0))+IF(CZ$9="X",VLOOKUP(CZ$10,'VK-Biokütused'!$C:$U,2+$E120,0))+IF(CZ$5="X",VLOOKUP(CZ$10,'VK-Põlevkivi'!$C:$X,2+$G120,0))+IF(CZ$4="X",VLOOKUP(CZ$10,'VK-Võrgud'!$C:$X,2+$F120,0)))</f>
        <v>66.400000000000006</v>
      </c>
      <c r="DA120" s="209">
        <f>(IF(DA$7="X",VLOOKUP(DA$10,'VK-Hooned-Soojus'!$C:$X,2+$C120,FALSE),0)+IF(DA$6="X",VLOOKUP(DA$10,'VK-Transport'!$C:$X,2+$B120,0))+IF(DA$8="X",VLOOKUP(DA$10,'VK-Elekter'!$C:$X,2+$D120,0))+IF(DA$9="X",VLOOKUP(DA$10,'VK-Biokütused'!$C:$U,2+$E120,0))+IF(DA$5="X",VLOOKUP(DA$10,'VK-Põlevkivi'!$C:$X,2+$G120,0))+IF(DA$4="X",VLOOKUP(DA$10,'VK-Võrgud'!$C:$X,2+$F120,0)))/1000</f>
        <v>12.964</v>
      </c>
      <c r="DB120" s="209">
        <f>(IF(DB$7="X",VLOOKUP(DB$10,'VK-Hooned-Soojus'!$C:$X,2+$C120,FALSE),0)+IF(DB$6="X",VLOOKUP(DB$10,'VK-Transport'!$C:$X,2+$B120,0))+IF(DB$8="X",VLOOKUP(DB$10,'VK-Elekter'!$C:$X,2+$D120,0))+IF(DB$9="X",VLOOKUP(DB$10,'VK-Biokütused'!$C:$U,2+$E120,0))+IF(DB$5="X",VLOOKUP(DB$10,'VK-Põlevkivi'!$C:$X,2+$G120,0))+IF(DB$4="X",VLOOKUP(DB$10,'VK-Võrgud'!$C:$X,2+$F120,0)))/1000/3.6</f>
        <v>58.564999999999998</v>
      </c>
      <c r="DC120" s="209">
        <f>(IF(DC$7="X",VLOOKUP(DC$10,'VK-Hooned-Soojus'!$C:$X,2+$C120,FALSE),0)+IF(DC$6="X",VLOOKUP(DC$10,'VK-Transport'!$C:$X,2+$B120,0))+IF(DC$8="X",VLOOKUP(DC$10,'VK-Elekter'!$C:$X,2+$D120,0))+IF(DC$9="X",VLOOKUP(DC$10,'VK-Biokütused'!$C:$U,2+$E120,0))+IF(DC$5="X",VLOOKUP(DC$10,'VK-Põlevkivi'!$C:$X,2+$G120,0))+IF(DC$4="X",VLOOKUP(DC$10,'VK-Võrgud'!$C:$X,2+$F120,0)))/1000000</f>
        <v>4.6918030000000002</v>
      </c>
      <c r="DD120" s="209"/>
      <c r="DE120" s="88">
        <f>VLOOKUP(Tulemused!$BN$12,data!M$7:N$12,2,FALSE)-SUM(L120,M120)</f>
        <v>-5.2509373024363981E-2</v>
      </c>
      <c r="DF120" s="209" t="str">
        <f>IF(AZ120&lt;=VLOOKUP(Tulemused!$BN$15,data!$E$36:$F$39,2,FALSE),"JAH","EI")</f>
        <v>JAH</v>
      </c>
      <c r="DG120" s="209"/>
      <c r="DH120" s="209">
        <f t="shared" si="85"/>
        <v>6.28</v>
      </c>
      <c r="DI120" s="231" t="str">
        <f t="shared" si="65"/>
        <v>EI</v>
      </c>
      <c r="DK120" s="232">
        <f t="shared" si="86"/>
        <v>-993.7318082326874</v>
      </c>
      <c r="DM120" s="233">
        <f t="shared" si="87"/>
        <v>-997.21414883962098</v>
      </c>
      <c r="DN120" s="87">
        <f t="array" ref="DN120">INDEX($A$11:$A$145, SMALL(IF(DM120=$DK$11:$DK$145, MATCH(ROW($DK$11:$DK$145), ROW($DK$11:$DK$145))), SUM(--(DM120=$DM$11:DM120))))</f>
        <v>18</v>
      </c>
      <c r="DP120" s="87" t="e">
        <f t="shared" ca="1" si="66"/>
        <v>#N/A</v>
      </c>
      <c r="DQ120" s="87" t="e">
        <f t="shared" ca="1" si="67"/>
        <v>#N/A</v>
      </c>
      <c r="DR120" s="87">
        <f t="shared" ca="1" si="68"/>
        <v>0</v>
      </c>
      <c r="DS120" s="87" t="e">
        <f t="shared" ca="1" si="69"/>
        <v>#N/A</v>
      </c>
      <c r="DT120" s="87">
        <f t="shared" ca="1" si="70"/>
        <v>0</v>
      </c>
      <c r="DU120" s="87" t="e">
        <f t="shared" ca="1" si="71"/>
        <v>#N/A</v>
      </c>
      <c r="DV120" s="87" t="e">
        <f t="shared" ca="1" si="72"/>
        <v>#N/A</v>
      </c>
      <c r="DW120" s="87">
        <f t="shared" ca="1" si="73"/>
        <v>0</v>
      </c>
      <c r="DX120" s="87">
        <f t="shared" ca="1" si="74"/>
        <v>0</v>
      </c>
      <c r="DZ120" s="87">
        <f t="shared" ca="1" si="82"/>
        <v>0</v>
      </c>
      <c r="EB120" s="87">
        <f t="shared" ca="1" si="75"/>
        <v>0</v>
      </c>
      <c r="EC120" s="87" t="e">
        <f t="shared" ca="1" si="76"/>
        <v>#N/A</v>
      </c>
      <c r="EE120" s="228">
        <f>(IF(EE$7="X",VLOOKUP(EE$10,'VK-Hooned-Soojus'!$C:$X,2+$C120,FALSE),0)+IF(EE$6="X",VLOOKUP(EE$10,'VK-Transport'!$C:$X,2+$B120,0))+IF(EE$8="X",VLOOKUP(EE$10,'VK-Elekter'!$C:$X,2+$D120,0))+IF(EE$9="X",VLOOKUP(EE$10,'VK-Biokütused'!$C:$U,2+$E120,0))+IF(EE$5="X",VLOOKUP(EE$10,'VK-Põlevkivi'!$C:$X,2+$G120,0))+IF(EE$4="X",VLOOKUP(EE$10,'VK-Võrgud'!$C:$X,2+$F120,0)))</f>
        <v>8074.8052670609004</v>
      </c>
      <c r="EF120" s="235">
        <f>(IF(EF$7="X",VLOOKUP(EF$10,'VK-Hooned-Soojus'!$C:$X,2+$C120,FALSE),0)+IF(EF$6="X",VLOOKUP(EF$10,'VK-Transport'!$C:$X,2+$B120,0))+IF(EF$8="X",VLOOKUP(EF$10,'VK-Elekter'!$C:$X,2+$D120,0))+IF(EF$9="X",VLOOKUP(EF$10,'VK-Biokütused'!$C:$U,2+$E120,0)))/1000</f>
        <v>3.6968849906373196</v>
      </c>
      <c r="EG120" s="209">
        <f>(IF(EG$7="X",VLOOKUP(EG$10,'VK-Hooned-Soojus'!$C:$X,2+$C120,FALSE),0)+IF(EG$6="X",VLOOKUP(EG$10,'VK-Transport'!$C:$X,2+$B120,0))+IF(EG$8="X",VLOOKUP(EG$10,'VK-Elekter'!$C:$X,2+$D120,0))+IF(EG$9="X",VLOOKUP(EG$10,'VK-Biokütused'!$C:$U,2+$E120,0))+IF(EG$5="X",VLOOKUP(EG$10,'VK-Põlevkivi'!$C:$X,2+$G120,0))+IF(EG$4="X",VLOOKUP(EG$10,'VK-Võrgud'!$C:$X,2+$F120,0)))</f>
        <v>0.81</v>
      </c>
      <c r="EH120" s="209">
        <f>(IF(EH$7="X",VLOOKUP(EH$10,'VK-Hooned-Soojus'!$C:$X,2+$C120,FALSE),0)+IF(EH$6="X",VLOOKUP(EH$10,'VK-Transport'!$C:$X,2+$B120,0))+IF(EH$8="X",VLOOKUP(EH$10,'VK-Elekter'!$C:$X,2+$D120,0))+IF(EH$9="X",VLOOKUP(EH$10,'VK-Biokütused'!$C:$U,2+$E120,0)))+AR120+AS120+AU120+AX120</f>
        <v>50.315637038771783</v>
      </c>
      <c r="EI120" s="320">
        <f t="shared" si="88"/>
        <v>45.112900516795861</v>
      </c>
      <c r="EJ120" s="322">
        <f t="shared" si="89"/>
        <v>2.4608217929567841E-2</v>
      </c>
      <c r="EK120" s="323">
        <f t="shared" si="77"/>
        <v>0.43983091445120043</v>
      </c>
      <c r="EM120" s="209"/>
      <c r="EN120" s="209">
        <f t="shared" ca="1" si="90"/>
        <v>0</v>
      </c>
      <c r="EO120" s="209"/>
      <c r="EP120" s="234"/>
      <c r="EQ120" s="209">
        <f>(IF(EQ$7="X",VLOOKUP(EQ$10,'VK-Hooned-Soojus'!$C:$X,2+$C120,FALSE),0)+IF(EQ$6="X",VLOOKUP(EQ$10,'VK-Transport'!$C:$X,2+$B120,0))+IF(EQ$8="X",VLOOKUP(EQ$10,'VK-Elekter'!$C:$X,2+$D120,0))+IF(EQ$9="X",VLOOKUP(EQ$10,'VK-Biokütused'!$C:$U,2+$E120,0))+IF(EQ$5="X",VLOOKUP(EQ$10,'VK-Põlevkivi'!$C:$X,2+$G120,0))+IF(EQ$4="X",VLOOKUP(EQ$10,'VK-Võrgud'!$C:$X,2+$F120,0)))/1000</f>
        <v>0.21099999999999999</v>
      </c>
      <c r="ER120" s="209">
        <f>(IF(ER$7="X",VLOOKUP(ER$10,'VK-Hooned-Soojus'!$C:$X,2+$C120,FALSE),0)+IF(ER$6="X",VLOOKUP(ER$10,'VK-Transport'!$C:$X,2+$B120,0))+IF(ER$8="X",VLOOKUP(ER$10,'VK-Elekter'!$C:$X,2+$D120,0))+IF(ER$9="X",VLOOKUP(ER$10,'VK-Biokütused'!$C:$U,2+$E120,0))+IF(ER$5="X",VLOOKUP(ER$10,'VK-Põlevkivi'!$C:$X,2+$G120,0))+IF(ER$4="X",VLOOKUP(ER$10,'VK-Võrgud'!$C:$X,2+$F120,0)))</f>
        <v>0.76300000000000001</v>
      </c>
      <c r="ES120" s="209">
        <f>(IF(ES$7="X",VLOOKUP(ES$10,'VK-Hooned-Soojus'!$C:$X,2+$C120,FALSE),0)+IF(ES$6="X",VLOOKUP(ES$10,'VK-Transport'!$C:$X,2+$B120,0))+IF(ES$8="X",VLOOKUP(ES$10,'VK-Elekter'!$C:$X,2+$D120,0))+IF(ES$9="X",VLOOKUP(ES$10,'VK-Biokütused'!$C:$U,2+$E120,0))+IF(ES$5="X",VLOOKUP(ES$10,'VK-Põlevkivi'!$C:$X,2+$G120,0))+IF(ES$4="X",VLOOKUP(ES$10,'VK-Võrgud'!$C:$X,2+$F120,0)))</f>
        <v>6.28</v>
      </c>
      <c r="ET120" s="209"/>
      <c r="EU120" s="209"/>
      <c r="EV120" s="87">
        <f>'KSH järjestus'!AS113</f>
        <v>978</v>
      </c>
      <c r="EZ120" s="237">
        <f t="shared" si="91"/>
        <v>0.27911646586345373</v>
      </c>
      <c r="FA120" s="209">
        <f>IF(FA$7="X",VLOOKUP(FA$10,'VK-Hooned-Soojus'!$C:$X,2+$C120,FALSE),0)+IF(FA$6="X",VLOOKUP(FA$10,'VK-Transport'!$C:$X,2+$B120,0))+IF(FA$8="X",VLOOKUP(FA$10,'VK-Elekter'!$C:$X,2+$D120,0))+IF(FA$9="X",VLOOKUP(FA$10,'VK-Biokütused'!$C:$U,2+$E120,0))+IF(FA$5="X",VLOOKUP(FA$10,'VK-Põlevkivi'!$C:$X,2+$G120,0))+IF(FA$4="X",VLOOKUP(FA$10,'VK-Võrgud'!$C:$X,2+$F120,0))</f>
        <v>2914.9189999999999</v>
      </c>
      <c r="FB120" s="279">
        <f>(IF(FB$7="X",VLOOKUP(FB$10,'VK-Hooned-Soojus'!$C:$X,2+$C120,FALSE),0)+IF(FB$6="X",VLOOKUP(FB$10,'VK-Transport'!$C:$X,2+$B120,0))+IF(FB$8="X",VLOOKUP(FB$10,'VK-Elekter'!$C:$X,2+$D120,0))+IF(FB$9="X",VLOOKUP(FB$10,'VK-Biokütused'!$C:$U,2+$E120,0))+IF(FB$5="X",VLOOKUP(FB$10,'VK-Põlevkivi'!$C:$X,2+$G120,0))+IF(FB$4="X",VLOOKUP(FB$10,'VK-Võrgud'!$C:$X,2+$F120,0)))/16</f>
        <v>462.86273585009548</v>
      </c>
      <c r="FC120" s="209">
        <f>IF(FC$7="X",VLOOKUP(FC$10,'VK-Hooned-Soojus'!$C:$X,2+$C120,FALSE),0)+IF(FC$6="X",VLOOKUP(FC$10,'VK-Transport'!$C:$X,2+$B120,0))+IF(FC$8="X",VLOOKUP(FC$10,'VK-Elekter'!$C:$X,2+$D120,0))+IF(FC$9="X",VLOOKUP(FC$10,'VK-Biokütused'!$C:$U,2+$E120,0))+IF(FC$5="X",VLOOKUP(FC$10,'VK-Põlevkivi'!$C:$X,2+$G120,0))+IF(FC$4="X",VLOOKUP(FC$10,'VK-Võrgud'!$C:$X,2+$F120,0))</f>
        <v>294.39999999999998</v>
      </c>
      <c r="FD120" s="209">
        <f>(IF(FD$7="X",VLOOKUP(FD$10,'VK-Hooned-Soojus'!$C:$X,2+$C120,FALSE),0)+IF(FD$6="X",VLOOKUP(FD$10,'VK-Transport'!$C:$X,2+$B120,0))+IF(FD$8="X",VLOOKUP(FD$10,'VK-Elekter'!$C:$X,2+$D120,0))+IF(FD$9="X",VLOOKUP(FD$10,'VK-Biokütused'!$C:$U,2+$E120,0))+IF(FD$5="X",VLOOKUP(FD$10,'VK-Põlevkivi'!$C:$X,2+$G120,0))+IF(FD$4="X",VLOOKUP(FD$10,'VK-Võrgud'!$C:$X,2+$F120,0)))/16</f>
        <v>462.86273585009548</v>
      </c>
      <c r="FE120" s="209">
        <f>(IF(FE$7="X",VLOOKUP(FE$10,'VK-Hooned-Soojus'!$C:$X,2+$C120,FALSE),0)+IF(FE$6="X",VLOOKUP(FE$10,'VK-Transport'!$C:$X,2+$B120,0))+IF(FE$8="X",VLOOKUP(FE$10,'VK-Elekter'!$C:$X,2+$D120,0))+IF(FE$9="X",VLOOKUP(FE$10,'VK-Biokütused'!$C:$U,2+$E120,0))+IF(FE$5="X",VLOOKUP(FE$10,'VK-Põlevkivi'!$C:$X,2+$G120,0))+IF(FE$4="X",VLOOKUP(FE$10,'VK-Võrgud'!$C:$X,2+$F120,0)))/16</f>
        <v>-92.530719880632105</v>
      </c>
      <c r="FF120" s="209">
        <f>(IF(FF$7="X",VLOOKUP(FF$10,'VK-Hooned-Soojus'!$C:$X,2+$C120,FALSE),0)+IF(FF$6="X",VLOOKUP(FF$10,'VK-Transport'!$C:$X,2+$B120,0))+IF(FF$8="X",VLOOKUP(FF$10,'VK-Elekter'!$C:$X,2+$D120,0))+IF(FF$9="X",VLOOKUP(FF$10,'VK-Biokütused'!$C:$U,2+$E120,0))+IF(FF$5="X",VLOOKUP(FF$10,'VK-Põlevkivi'!$C:$X,2+$G120,0))+IF(FF$4="X",VLOOKUP(FF$10,'VK-Võrgud'!$C:$X,2+$F120,0)))/16</f>
        <v>200.78238438805096</v>
      </c>
      <c r="FG120" s="88">
        <f t="shared" ca="1" si="78"/>
        <v>108.25166450741885</v>
      </c>
      <c r="FH120" s="88"/>
      <c r="FI120" s="88"/>
      <c r="FJ120" s="88">
        <f>VLOOKUP(Tulemused!$BN$12,data!M$7:N$12,2,FALSE)-SUM(L120,M120)</f>
        <v>-5.2509373024363981E-2</v>
      </c>
      <c r="FK120" s="209" t="str">
        <f>IF(AZ120&lt;=VLOOKUP(Tulemused!$BN$15,data!$E$36:$F$39,2,FALSE),"JAH","EI")</f>
        <v>JAH</v>
      </c>
      <c r="FL120" s="235">
        <f ca="1">IF(ISNA(MATCH($A120,INDIRECT(VLOOKUP(Tulemused!$BF$11,data!$J$57:$M$71,4,FALSE)))),0,MATCH($A120,INDIRECT(VLOOKUP(Tulemused!$BF$11,data!$J$57:$M$71,4,FALSE))))</f>
        <v>0</v>
      </c>
      <c r="FM120" s="235" t="str">
        <f t="shared" ca="1" si="92"/>
        <v>JAH</v>
      </c>
      <c r="FN120" s="209">
        <f>VLOOKUP(Tulemused!$BN$13,data!$C$132:$D$137,2,FALSE)-KOMBI!R120</f>
        <v>4.6715850093626807</v>
      </c>
      <c r="FO120" s="209"/>
      <c r="FP120" s="209">
        <f>VLOOKUP(Tulemused!$BN$17,NO_x,2,FALSE)-CJ120</f>
        <v>12.273421988425461</v>
      </c>
      <c r="FQ120" s="209">
        <f>VLOOKUP(Tulemused!$BN$18,SO_2,2,FALSE)-CK120</f>
        <v>40.014922023659203</v>
      </c>
      <c r="FR120" s="209">
        <f>VLOOKUP(Tulemused!$BN$19,LOU,2,FALSE)-CN120</f>
        <v>34.204000000000008</v>
      </c>
      <c r="FS120" s="209">
        <f>VLOOKUP(Tulemused!$BN$20,PM_2.5,2,FALSE)-CM120</f>
        <v>9.1572394222510916</v>
      </c>
      <c r="FT120" s="209">
        <f>VLOOKUP(Tulemused!$BN$13,data!$C$132:$D$137,2,FALSE)-FA120/1000</f>
        <v>3.3310510000000009</v>
      </c>
      <c r="FU120" s="209">
        <f>VLOOKUP(Tulemused!$BN$17,NO_x,2,FALSE)-CO120</f>
        <v>5.700637662643004</v>
      </c>
      <c r="FV120" s="209">
        <f>VLOOKUP(Tulemused!$BN$18,SO_2,2,FALSE)-CP120</f>
        <v>38.442607879306337</v>
      </c>
      <c r="FW120" s="209">
        <f>VLOOKUP(Tulemused!$BN$19,LOU,2,FALSE)-CS120</f>
        <v>33.261350490137765</v>
      </c>
      <c r="FX120" s="209">
        <f>VLOOKUP(Tulemused!$BN$20,PM_2.5,2,FALSE)-CR120</f>
        <v>9.0492481626003105</v>
      </c>
      <c r="FY120" s="209">
        <f>VLOOKUP(Tulemused!$BN$14,KHG_2050,2,FALSE)-EF120</f>
        <v>96.303115009362685</v>
      </c>
      <c r="FZ120" s="231" t="str">
        <f t="shared" ca="1" si="79"/>
        <v>EI</v>
      </c>
      <c r="GA120" s="209"/>
      <c r="GB120" s="209"/>
      <c r="GC120" s="209"/>
      <c r="GD120" s="231"/>
      <c r="GE120" s="87">
        <f t="shared" si="93"/>
        <v>978</v>
      </c>
      <c r="GF120" s="232" t="str">
        <f t="shared" ca="1" si="80"/>
        <v/>
      </c>
      <c r="GH120" s="238" t="e">
        <f t="shared" ca="1" si="94"/>
        <v>#NUM!</v>
      </c>
      <c r="GI120" s="87" t="e">
        <f t="array" aca="1" ref="GI120" ca="1">INDEX($A$11:$A$145, SMALL(IF(GH120=$GF$11:$GF$145, MATCH(ROW($GF$11:$GF$145), ROW($GF$11:$GF$145))), SUM(--(GH120=$GH$11:GH120))))</f>
        <v>#NUM!</v>
      </c>
      <c r="GM120" s="209">
        <f>IF(GM$7="X",VLOOKUP(GM$10,'VK-Hooned-Soojus'!$C:$X,2+$C120,FALSE),0)+IF(GM$6="X",VLOOKUP(GM$10,'VK-Transport'!$C:$X,2+$B120,0))+IF(GM$8="X",VLOOKUP(GM$10,'VK-Elekter'!$C:$X,2+$D120,0))+IF(GM$9="X",VLOOKUP(GM$10,'VK-Biokütused'!$C:$U,2+$E120,0))+IF(GM$5="X",VLOOKUP(GM$10,'VK-Põlevkivi'!$C:$X,2+$G120,0))+IF(GM$4="X",VLOOKUP(GM$10,'VK-Võrgud'!$C:$X,2+$F120,0))</f>
        <v>6.0128279910272253</v>
      </c>
      <c r="GN120" s="209">
        <f>IF(GN$7="X",VLOOKUP(GN$10,'VK-Hooned-Soojus'!$C:$X,2+$C120,FALSE),0)+IF(GN$6="X",VLOOKUP(GN$10,'VK-Transport'!$C:$X,2+$B120,0))+IF(GN$8="X",VLOOKUP(GN$10,'VK-Elekter'!$C:$X,2+$D120,0))+IF(GN$9="X",VLOOKUP(GN$10,'VK-Biokütused'!$C:$U,2+$E120,0))+IF(GN$5="X",VLOOKUP(GN$10,'VK-Põlevkivi'!$C:$X,2+$G120,0))+IF(GN$4="X",VLOOKUP(GN$10,'VK-Võrgud'!$C:$X,2+$F120,0))</f>
        <v>3.4467619395011728</v>
      </c>
      <c r="GO120" s="209">
        <f>IF(GO$7="X",VLOOKUP(GO$10,'VK-Hooned-Soojus'!$C:$X,2+$C120,FALSE),0)+IF(GO$6="X",VLOOKUP(GO$10,'VK-Transport'!$C:$X,2+$B120,0))+IF(GO$8="X",VLOOKUP(GO$10,'VK-Elekter'!$C:$X,2+$D120,0))+IF(GO$9="X",VLOOKUP(GO$10,'VK-Biokütused'!$C:$U,2+$E120,0))+IF(GO$5="X",VLOOKUP(GO$10,'VK-Põlevkivi'!$C:$X,2+$G120,0))+IF(GO$4="X",VLOOKUP(GO$10,'VK-Võrgud'!$C:$X,2+$F120,0))</f>
        <v>7.936370010272257</v>
      </c>
      <c r="GP120" s="209">
        <f>IF(GP$7="X",VLOOKUP(GP$10,'VK-Hooned-Soojus'!$C:$X,2+$C120,FALSE),0)+IF(GP$6="X",VLOOKUP(GP$10,'VK-Transport'!$C:$X,2+$B120,0))+IF(GP$8="X",VLOOKUP(GP$10,'VK-Elekter'!$C:$X,2+$D120,0))+IF(GP$9="X",VLOOKUP(GP$10,'VK-Biokütused'!$C:$U,2+$E120,0))+IF(GP$5="X",VLOOKUP(GP$10,'VK-Põlevkivi'!$C:$X,2+$G120,0))+IF(GP$4="X",VLOOKUP(GP$10,'VK-Võrgud'!$C:$X,2+$F120,0))</f>
        <v>9.1527946929596489</v>
      </c>
      <c r="GQ120" s="88">
        <f>IF(GQ$7="X",VLOOKUP(GQ$10,'VK-Hooned-Soojus'!$C:$X,2+$C120,FALSE),0)+IF(GQ$6="X",VLOOKUP(GQ$10,'VK-Transport'!$C:$X,2+$B120,0))+IF(GQ$8="X",VLOOKUP(GQ$10,'VK-Elekter'!$C:$X,2+$D120,0))+IF(GQ$9="X",VLOOKUP(GQ$10,'VK-Biokütused'!$C:$U,2+$E120,0))+IF(GQ$5="X",VLOOKUP(GQ$10,'VK-Põlevkivi'!$C:$X,2+$G120,0))+IF(GQ$4="X",VLOOKUP(GQ$10,'VK-Võrgud'!$C:$X,2+$F120,0))</f>
        <v>0.89042766952822527</v>
      </c>
      <c r="GR120" s="186">
        <f t="shared" si="81"/>
        <v>0.41021308782500948</v>
      </c>
    </row>
    <row r="121" spans="1:200" x14ac:dyDescent="0.2">
      <c r="A121" s="184">
        <v>111</v>
      </c>
      <c r="B121" s="87">
        <v>3</v>
      </c>
      <c r="C121" s="87">
        <v>2</v>
      </c>
      <c r="D121" s="87">
        <v>2</v>
      </c>
      <c r="E121" s="87">
        <v>3</v>
      </c>
      <c r="F121" s="87">
        <f>VLOOKUP(Tulemused!$BF$7,data!$J$6:$K$8,2,FALSE)</f>
        <v>2</v>
      </c>
      <c r="G121" s="87">
        <f>VLOOKUP(data!$H$2,data!$J$12:$K$14,2,FALSE)</f>
        <v>2</v>
      </c>
      <c r="I121" s="209">
        <f>IF(I$7="X",VLOOKUP(I$10,'VK-Hooned-Soojus'!$C:$X,2+$C121,FALSE),0)+IF(I$6="X",VLOOKUP(I$10,'VK-Transport'!$C:$X,2+$B121,0))+IF(I$8="X",VLOOKUP(I$10,'VK-Elekter'!$C:$X,2+$D121,0))+IF(I$9="X",VLOOKUP(I$10,'VK-Biokütused'!$C:$U,2+$E121,0))+IF(I$5="X",VLOOKUP(I$10,'VK-Põlevkivi'!$C:$X,2+$G121,0))+IF(I$4="X",VLOOKUP(I$10,'VK-Võrgud'!$C:$X,2+$F121,0))</f>
        <v>24.79</v>
      </c>
      <c r="J121" s="209">
        <f>IF(J$7="X",VLOOKUP(J$10,'VK-Hooned-Soojus'!$C:$X,2+$C121,FALSE),0)+IF(J$6="X",VLOOKUP(J$10,'VK-Transport'!$C:$X,2+$B121,0))+IF(J$8="X",VLOOKUP(J$10,'VK-Elekter'!$C:$X,2+$D121,0))+IF(J$9="X",VLOOKUP(J$10,'VK-Biokütused'!$C:$U,2+$E121,0))+IF(J$5="X",VLOOKUP(J$10,'VK-Põlevkivi'!$C:$X,2+$G121,0))+IF(J$4="X",VLOOKUP(J$10,'VK-Võrgud'!$C:$X,2+$F121,0))</f>
        <v>8.1258333333333344</v>
      </c>
      <c r="K121" s="209">
        <f>IF(K$7="X",VLOOKUP(K$10,'VK-Hooned-Soojus'!$C:$X,2+$C121,FALSE),0)+IF(K$6="X",VLOOKUP(K$10,'VK-Transport'!$C:$X,2+$B121,0))+IF(K$8="X",VLOOKUP(K$10,'VK-Elekter'!$C:$X,2+$D121,0))+IF(K$9="X",VLOOKUP(K$10,'VK-Biokütused'!$C:$U,2+$E121,0))+IF(K$5="X",VLOOKUP(K$10,'VK-Põlevkivi'!$C:$X,2+$G121,0))+IF(K$4="X",VLOOKUP(K$10,'VK-Võrgud'!$C:$X,2+$F121,0))</f>
        <v>15.27</v>
      </c>
      <c r="L121" s="209">
        <f>IF(L$7="X",VLOOKUP(L$10,'VK-Hooned-Soojus'!$C:$X,2+$C121,FALSE),0)+IF(L$6="X",VLOOKUP(L$10,'VK-Transport'!$C:$X,2+$B121,0))+IF(L$8="X",VLOOKUP(L$10,'VK-Elekter'!$C:$X,2+$D121,0))+IF(L$9="X",VLOOKUP(L$10,'VK-Biokütused'!$C:$U,2+$E121,0))+IF(L$5="X",VLOOKUP(L$10,'VK-Põlevkivi'!$C:$X,2+$G121,0))+IF(L$4="X",VLOOKUP(L$10,'VK-Võrgud'!$C:$X,2+$F121,0))</f>
        <v>24.2</v>
      </c>
      <c r="M121" s="209">
        <f>IF(M$7="X",VLOOKUP(M$10,'VK-Hooned-Soojus'!$C:$X,2+$C121,FALSE),0)+IF(M$6="X",VLOOKUP(M$10,'VK-Transport'!$C:$X,2+$B121,0))+IF(M$8="X",VLOOKUP(M$10,'VK-Elekter'!$C:$X,2+$D121,0))+IF(M$9="X",VLOOKUP(M$10,'VK-Biokütused'!$C:$U,2+$E121,0))+IF(M$5="X",VLOOKUP(M$10,'VK-Põlevkivi'!$C:$X,2+$G121,0))+IF(M$4="X",VLOOKUP(M$10,'VK-Võrgud'!$C:$X,2+$F121,0))</f>
        <v>8.68530937302436</v>
      </c>
      <c r="N121" s="209">
        <f>IF(N$7="X",VLOOKUP(N$10,'VK-Hooned-Soojus'!$C:$X,2+$C121,FALSE),0)+IF(N$6="X",VLOOKUP(N$10,'VK-Transport'!$C:$X,2+$B121,0))+IF(N$8="X",VLOOKUP(N$10,'VK-Elekter'!$C:$X,2+$D121,0))+IF(N$9="X",VLOOKUP(N$10,'VK-Biokütused'!$C:$U,2+$E121,0))+IF(N$5="X",VLOOKUP(N$10,'VK-Põlevkivi'!$C:$X,2+$G121,0))+IF(N$4="X",VLOOKUP(N$10,'VK-Võrgud'!$C:$X,2+$F121,0))</f>
        <v>16.09</v>
      </c>
      <c r="O121" s="209">
        <f t="shared" si="60"/>
        <v>32.915833333333332</v>
      </c>
      <c r="P121" s="209"/>
      <c r="Q121" s="209">
        <f>(IF(Q$7="X",VLOOKUP(Q$10,'VK-Hooned-Soojus'!$C:$X,2+$C121,FALSE),0)+IF(Q$6="X",VLOOKUP(Q$10,'VK-Transport'!$C:$X,2+$B121,0))+IF(Q$8="X",VLOOKUP(Q$10,'VK-Elekter'!$C:$X,2+$D121,0))+IF(Q$9="X",VLOOKUP(Q$10,'VK-Biokütused'!$C:$U,2+$E121,0))+IF(Q$5="X",VLOOKUP(Q$10,'VK-Põlevkivi'!$C:$X,2+$G121,0))+IF(Q$4="X",VLOOKUP(Q$10,'VK-Võrgud'!$C:$X,2+$F121,0)))/1000</f>
        <v>5.0979999999999999</v>
      </c>
      <c r="R121" s="209">
        <f>(IF(R$7="X",VLOOKUP(R$10,'VK-Hooned-Soojus'!$C:$X,2+$C121,FALSE),0)+IF(R$6="X",VLOOKUP(R$10,'VK-Transport'!$C:$X,2+$B121,0))+IF(R$8="X",VLOOKUP(R$10,'VK-Elekter'!$C:$X,2+$D121,0))+IF(R$9="X",VLOOKUP(R$10,'VK-Biokütused'!$C:$U,2+$E121,0))+IF(R$5="X",VLOOKUP(R$10,'VK-Põlevkivi'!$C:$X,2+$G121,0))+IF(R$4="X",VLOOKUP(R$10,'VK-Võrgud'!$C:$X,2+$F121,0)))/1000</f>
        <v>1.7830849906373201</v>
      </c>
      <c r="S121" s="226">
        <f>VLOOKUP(S$10,'VK-Hooned-Soojus'!$C:$I,2+$C121,FALSE) + VLOOKUP(S$10,'VK-Transport'!$C:$I,2+$B121,FALSE)+ VLOOKUP(S$10,'VK-Biokütused'!$C:$G,2+$E121,FALSE)+ VLOOKUP(S$10,'VK-Elekter'!$C:$I,2+$D121,FALSE)+ VLOOKUP(S$10,'VK-Põlevkivi'!$C:$I,2+$G121,FALSE)+ VLOOKUP(S$10,'VK-Võrgud'!$C:$I,2+$F121,FALSE)</f>
        <v>2.2660775512993715E-2</v>
      </c>
      <c r="T121" s="226">
        <f>VLOOKUP(T$10,'VK-Hooned-Soojus'!$C:$I,2+$C121,FALSE) + VLOOKUP(T$10,'VK-Transport'!$C:$I,2+$B121,FALSE)+ VLOOKUP(T$10,'VK-Biokütused'!$C:$G,2+$E121,FALSE)+ VLOOKUP(T$10,'VK-Elekter'!$C:$I,2+$D121,FALSE)+ VLOOKUP(T$10,'VK-Põlevkivi'!$C:$I,2+$G121,FALSE)+ VLOOKUP(T$10,'VK-Võrgud'!$C:$I,2+$F121,FALSE)</f>
        <v>4.7505531551505767E-3</v>
      </c>
      <c r="U121" s="226">
        <f>VLOOKUP(U$10,'VK-Hooned-Soojus'!$C:$I,2+$C121,FALSE) + VLOOKUP(U$10,'VK-Transport'!$C:$I,2+$B121,FALSE)+ VLOOKUP(U$10,'VK-Biokütused'!$C:$G,2+$E121,FALSE)+ VLOOKUP(U$10,'VK-Elekter'!$C:$I,2+$D121,FALSE)+ VLOOKUP(U$10,'VK-Põlevkivi'!$C:$I,2+$G121,FALSE)+ VLOOKUP(U$10,'VK-Võrgud'!$C:$I,2+$F121,FALSE)</f>
        <v>7.25337087537134E-3</v>
      </c>
      <c r="V121" s="226">
        <f>VLOOKUP(V$10,'VK-Hooned-Soojus'!$C:$I,2+$C121,FALSE) + VLOOKUP(V$10,'VK-Transport'!$C:$I,2+$B121,FALSE)+ VLOOKUP(V$10,'VK-Biokütused'!$C:$G,2+$E121,FALSE)+ VLOOKUP(V$10,'VK-Elekter'!$C:$I,2+$D121,FALSE)+ VLOOKUP(V$10,'VK-Põlevkivi'!$C:$I,2+$G121,FALSE)+ VLOOKUP(V$10,'VK-Võrgud'!$C:$I,2+$F121,FALSE)</f>
        <v>1.55886258360593E-2</v>
      </c>
      <c r="W121" s="226">
        <f>VLOOKUP(W$10,'VK-Hooned-Soojus'!$C:$I,2+$C121,FALSE) + VLOOKUP(W$10,'VK-Transport'!$C:$I,2+$B121,FALSE)+ VLOOKUP(W$10,'VK-Biokütused'!$C:$G,2+$E121,FALSE)+ VLOOKUP(W$10,'VK-Elekter'!$C:$I,2+$D121,FALSE)+ VLOOKUP(W$10,'VK-Põlevkivi'!$C:$I,2+$G121,FALSE)+ VLOOKUP(W$10,'VK-Võrgud'!$C:$I,2+$F121,FALSE)</f>
        <v>-3.586082198675998E-2</v>
      </c>
      <c r="X121" s="226">
        <f>VLOOKUP(X$10,'VK-Hooned-Soojus'!$C:$I,2+$C121,FALSE) + VLOOKUP(X$10,'VK-Transport'!$C:$I,2+$B121,FALSE)+ VLOOKUP(X$10,'VK-Biokütused'!$C:$G,2+$E121,FALSE)+ VLOOKUP(X$10,'VK-Elekter'!$C:$I,2+$D121,FALSE)+ VLOOKUP(X$10,'VK-Põlevkivi'!$C:$I,2+$G121,FALSE)+ VLOOKUP(X$10,'VK-Võrgud'!$C:$I,2+$F121,FALSE)</f>
        <v>-4.9166025381117154E-2</v>
      </c>
      <c r="Y121" s="226">
        <f>VLOOKUP(Y$10,'VK-Hooned-Soojus'!$C:$I,2+$C121,FALSE) + VLOOKUP(Y$10,'VK-Transport'!$C:$I,2+$B121,FALSE)+ VLOOKUP(Y$10,'VK-Biokütused'!$C:$G,2+$E121,FALSE)+ VLOOKUP(Y$10,'VK-Elekter'!$C:$I,2+$D121,FALSE)+ VLOOKUP(Y$10,'VK-Põlevkivi'!$C:$I,2+$G121,FALSE)+ VLOOKUP(Y$10,'VK-Võrgud'!$C:$I,2+$F121,FALSE)</f>
        <v>-6.6798590494800053E-2</v>
      </c>
      <c r="Z121" s="227">
        <f>(S121*Tulemused!$Q$9*10+T121*Tulemused!$Q$10*10+KOMBI!U121*Tulemused!$Q$11*10+KOMBI!V121*Tulemused!$Q$12*10)*Tulemused!$Q$8+-(W121*Tulemused!$Q$14*10+KOMBI!X121*Tulemused!$Q$15*10+KOMBI!Y121*Tulemused!$Q$16*10)*Tulemused!$Q$13</f>
        <v>7.1732914895540798</v>
      </c>
      <c r="AA121" s="228">
        <f>(IF(AA$7="X",VLOOKUP(AA$10,'VK-Hooned-Soojus'!$C:$X,2+$C121,FALSE),0)+IF(AA$6="X",VLOOKUP(AA$10,'VK-Transport'!$C:$X,2+$B121,0))+IF(AA$8="X",VLOOKUP(AA$10,'VK-Elekter'!$C:$X,2+$D121,0))+IF(AA$9="X",VLOOKUP(AA$10,'VK-Biokütused'!$C:$U,2+$E121,0))+IF(AA$5="X",VLOOKUP(AA$10,'VK-Põlevkivi'!$C:$X,2+$G121,0))+IF(AA$4="X",VLOOKUP(AA$10,'VK-Võrgud'!$C:$X,2+$F121,0)))</f>
        <v>3761</v>
      </c>
      <c r="AB121" s="228">
        <f>(IF(AB$7="X",VLOOKUP(AB$10,'VK-Hooned-Soojus'!$C:$X,2+$C121,FALSE),0)+IF(AB$6="X",VLOOKUP(AB$10,'VK-Transport'!$C:$X,2+$B121,0))+IF(AB$8="X",VLOOKUP(AB$10,'VK-Elekter'!$C:$X,2+$D121,0))+IF(AB$9="X",VLOOKUP(AB$10,'VK-Biokütused'!$C:$U,2+$E121,0))+IF(AB$5="X",VLOOKUP(AB$10,'VK-Põlevkivi'!$C:$X,2+$G121,0))+IF(AB$4="X",VLOOKUP(AB$10,'VK-Võrgud'!$C:$X,2+$F121,0)))</f>
        <v>1337</v>
      </c>
      <c r="AC121" s="228">
        <f>(IF(AC$7="X",VLOOKUP(AC$10,'VK-Hooned-Soojus'!$C:$X,2+$C121,FALSE),0)+IF(AC$6="X",VLOOKUP(AC$10,'VK-Transport'!$C:$X,2+$B121,0))+IF(AC$8="X",VLOOKUP(AC$10,'VK-Elekter'!$C:$X,2+$D121,0))+IF(AC$9="X",VLOOKUP(AC$10,'VK-Biokütused'!$C:$U,2+$E121,0))+IF(AC$5="X",VLOOKUP(AC$10,'VK-Põlevkivi'!$C:$X,2+$G121,0))+IF(AC$4="X",VLOOKUP(AC$10,'VK-Võrgud'!$C:$X,2+$F121,0)))</f>
        <v>2346</v>
      </c>
      <c r="AD121" s="228">
        <f>(IF(AD$7="X",VLOOKUP(AD$10,'VK-Hooned-Soojus'!$C:$X,2+$C121,FALSE),0)+IF(AD$6="X",VLOOKUP(AD$10,'VK-Transport'!$C:$X,2+$B121,0))+IF(AD$8="X",VLOOKUP(AD$10,'VK-Elekter'!$C:$X,2+$D121,0))+IF(AD$9="X",VLOOKUP(AD$10,'VK-Biokütused'!$C:$U,2+$E121,0))+IF(AD$5="X",VLOOKUP(AD$10,'VK-Põlevkivi'!$C:$X,2+$G121,0))+IF(AD$4="X",VLOOKUP(AD$10,'VK-Võrgud'!$C:$X,2+$F121,0)))</f>
        <v>586.20000000000005</v>
      </c>
      <c r="AE121" s="228">
        <f>(IF(AE$7="X",VLOOKUP(AE$10,'VK-Hooned-Soojus'!$C:$X,2+$C121,FALSE),0)+IF(AE$6="X",VLOOKUP(AE$10,'VK-Transport'!$C:$X,2+$B121,0))+IF(AE$8="X",VLOOKUP(AE$10,'VK-Elekter'!$C:$X,2+$D121,0))+IF(AE$9="X",VLOOKUP(AE$10,'VK-Biokütused'!$C:$U,2+$E121,0))+IF(AE$5="X",VLOOKUP(AE$10,'VK-Põlevkivi'!$C:$X,2+$G121,0))+IF(AE$4="X",VLOOKUP(AE$10,'VK-Võrgud'!$C:$X,2+$F121,0)))</f>
        <v>666</v>
      </c>
      <c r="AF121" s="228">
        <f>(IF(AF$7="X",VLOOKUP(AF$10,'VK-Hooned-Soojus'!$C:$X,2+$C121,FALSE),0)+IF(AF$6="X",VLOOKUP(AF$10,'VK-Transport'!$C:$X,2+$B121,0))+IF(AF$8="X",VLOOKUP(AF$10,'VK-Elekter'!$C:$X,2+$D121,0))+IF(AF$9="X",VLOOKUP(AF$10,'VK-Biokütused'!$C:$U,2+$E121,0))+IF(AF$5="X",VLOOKUP(AF$10,'VK-Põlevkivi'!$C:$X,2+$G121,0))+IF(AF$4="X",VLOOKUP(AF$10,'VK-Võrgud'!$C:$X,2+$F121,0)))</f>
        <v>530.88499063732002</v>
      </c>
      <c r="AG121" s="209"/>
      <c r="AH121" s="209">
        <f>IF(AH$7="X",VLOOKUP(AH$10,'VK-Hooned-Soojus'!$C:$X,2+$C121,FALSE),0)+IF(AH$6="X",VLOOKUP(AH$10,'VK-Transport'!$C:$X,2+$B121,0))+IF(AH$8="X",VLOOKUP(AH$10,'VK-Elekter'!$C:$X,2+$D121,0))+IF(AH$9="X",VLOOKUP(AH$10,'VK-Biokütused'!$C:$U,2+$E121,0))+IF(AH$5="X",VLOOKUP(AH$10,'VK-Põlevkivi'!$C:$X,2+$G121,0))+IF(AH$4="X",VLOOKUP(AH$10,'VK-Võrgud'!$C:$X,2+$F121,0))</f>
        <v>11.64</v>
      </c>
      <c r="AI121" s="209">
        <f>IF(AI$7="X",VLOOKUP(AI$10,'VK-Hooned-Soojus'!$C:$X,2+$C121,FALSE),0)+IF(AI$6="X",VLOOKUP(AI$10,'VK-Transport'!$C:$X,2+$B121,0))+IF(AI$8="X",VLOOKUP(AI$10,'VK-Elekter'!$C:$X,2+$D121,0))+IF(AI$9="X",VLOOKUP(AI$10,'VK-Biokütused'!$C:$U,2+$E121,0))+IF(AI$5="X",VLOOKUP(AI$10,'VK-Põlevkivi'!$C:$X,2+$G121,0))+IF(AI$4="X",VLOOKUP(AI$10,'VK-Võrgud'!$C:$X,2+$F121,0))</f>
        <v>2.3100000000000005</v>
      </c>
      <c r="AJ121" s="209">
        <f>IF(AJ$7="X",VLOOKUP(AJ$10,'VK-Hooned-Soojus'!$C:$X,2+$C121,FALSE),0)+IF(AJ$6="X",VLOOKUP(AJ$10,'VK-Transport'!$C:$X,2+$B121,0))+IF(AJ$8="X",VLOOKUP(AJ$10,'VK-Elekter'!$C:$X,2+$D121,0))+IF(AJ$9="X",VLOOKUP(AJ$10,'VK-Biokütused'!$C:$U,2+$E121,0))+IF(AJ$5="X",VLOOKUP(AJ$10,'VK-Põlevkivi'!$C:$X,2+$G121,0))+IF(AJ$4="X",VLOOKUP(AJ$10,'VK-Võrgud'!$C:$X,2+$F121,0))</f>
        <v>9.25</v>
      </c>
      <c r="AK121" s="209">
        <f>IF(AK$7="X",VLOOKUP(AK$10,'VK-Hooned-Soojus'!$C:$X,2+$C121,FALSE),0)+IF(AK$6="X",VLOOKUP(AK$10,'VK-Transport'!$C:$X,2+$B121,0))+IF(AK$8="X",VLOOKUP(AK$10,'VK-Elekter'!$C:$X,2+$D121,0))+IF(AK$9="X",VLOOKUP(AK$10,'VK-Biokütused'!$C:$U,2+$E121,0))+IF(AK$5="X",VLOOKUP(AK$10,'VK-Põlevkivi'!$C:$X,2+$G121,0))+IF(AK$4="X",VLOOKUP(AK$10,'VK-Võrgud'!$C:$X,2+$F121,0))</f>
        <v>2.78</v>
      </c>
      <c r="AL121" s="209">
        <f>IF(AL$7="X",VLOOKUP(AL$10,'VK-Hooned-Soojus'!$C:$X,2+$C121,FALSE),0)+IF(AL$6="X",VLOOKUP(AL$10,'VK-Transport'!$C:$X,2+$B121,0))+IF(AL$8="X",VLOOKUP(AL$10,'VK-Elekter'!$C:$X,2+$D121,0))+IF(AL$9="X",VLOOKUP(AL$10,'VK-Biokütused'!$C:$U,2+$E121,0))+IF(AL$5="X",VLOOKUP(AL$10,'VK-Põlevkivi'!$C:$X,2+$G121,0))+IF(AL$4="X",VLOOKUP(AL$10,'VK-Võrgud'!$C:$X,2+$F121,0))</f>
        <v>7.1999999999999993</v>
      </c>
      <c r="AM121" s="209">
        <f>IF(AM$7="X",VLOOKUP(AM$10,'VK-Hooned-Soojus'!$C:$X,2+$C121,FALSE),0)+IF(AM$6="X",VLOOKUP(AM$10,'VK-Transport'!$C:$X,2+$B121,0))+IF(AM$8="X",VLOOKUP(AM$10,'VK-Elekter'!$C:$X,2+$D121,0))+IF(AM$9="X",VLOOKUP(AM$10,'VK-Biokütused'!$C:$U,2+$E121,0))+IF(AM$5="X",VLOOKUP(AM$10,'VK-Põlevkivi'!$C:$X,2+$G121,0))+IF(AM$4="X",VLOOKUP(AM$10,'VK-Võrgud'!$C:$X,2+$F121,0))</f>
        <v>11.9</v>
      </c>
      <c r="AN121" s="209">
        <f>IF(AN$7="X",VLOOKUP(AN$10,'VK-Hooned-Soojus'!$C:$X,2+$C121,FALSE),0)+IF(AN$6="X",VLOOKUP(AN$10,'VK-Transport'!$C:$X,2+$B121,0))+IF(AN$8="X",VLOOKUP(AN$10,'VK-Elekter'!$C:$X,2+$D121,0))+IF(AN$9="X",VLOOKUP(AN$10,'VK-Biokütused'!$C:$U,2+$E121,0))+IF(AN$5="X",VLOOKUP(AN$10,'VK-Põlevkivi'!$C:$X,2+$G121,0))+IF(AN$4="X",VLOOKUP(AN$10,'VK-Võrgud'!$C:$X,2+$F121,0))</f>
        <v>4.8999999999999995</v>
      </c>
      <c r="AO121" s="209">
        <f>IF(AO$7="X",VLOOKUP(AO$10,'VK-Hooned-Soojus'!$C:$X,2+$C121,FALSE),0)+IF(AO$6="X",VLOOKUP(AO$10,'VK-Transport'!$C:$X,2+$B121,0))+IF(AO$8="X",VLOOKUP(AO$10,'VK-Elekter'!$C:$X,2+$D121,0))+IF(AO$9="X",VLOOKUP(AO$10,'VK-Biokütused'!$C:$U,2+$E121,0))+IF(AO$5="X",VLOOKUP(AO$10,'VK-Põlevkivi'!$C:$X,2+$G121,0))+IF(AO$4="X",VLOOKUP(AO$10,'VK-Võrgud'!$C:$X,2+$F121,0))</f>
        <v>12.56</v>
      </c>
      <c r="AP121" s="209">
        <f>IF(AP$7="X",VLOOKUP(AP$10,'VK-Hooned-Soojus'!$C:$X,2+$C121,FALSE),0)+IF(AP$6="X",VLOOKUP(AP$10,'VK-Transport'!$C:$X,2+$B121,0))+IF(AP$8="X",VLOOKUP(AP$10,'VK-Elekter'!$C:$X,2+$D121,0))+IF(AP$9="X",VLOOKUP(AP$10,'VK-Biokütused'!$C:$U,2+$E121,0))+IF(AP$5="X",VLOOKUP(AP$10,'VK-Põlevkivi'!$C:$X,2+$G121,0))+IF(AP$4="X",VLOOKUP(AP$10,'VK-Võrgud'!$C:$X,2+$F121,0))</f>
        <v>6.28</v>
      </c>
      <c r="AQ121" s="320">
        <f t="shared" si="61"/>
        <v>0.25999999999999979</v>
      </c>
      <c r="AR121" s="209">
        <f>IF(AR$7="X",VLOOKUP(AR$10,'VK-Hooned-Soojus'!$C:$X,2+$C121,FALSE),0)+IF(AR$6="X",VLOOKUP(AR$10,'VK-Transport'!$C:$X,2+$B121,0))+IF(AR$8="X",VLOOKUP(AR$10,'VK-Elekter'!$C:$X,2+$D121,0))+IF(AR$9="X",VLOOKUP(AR$10,'VK-Biokütused'!$C:$U,2+$E121,0))+IF(AR$5="X",VLOOKUP(AR$10,'VK-Põlevkivi'!$C:$X,2+$G121,0))+IF(AR$4="X",VLOOKUP(AR$10,'VK-Võrgud'!$C:$X,2+$F121,0))</f>
        <v>2.8899999999999997</v>
      </c>
      <c r="AS121" s="320">
        <f>VLOOKUP("Kütuste tarbimine @ 2030 - UTTEGAAS",'VK-Hooned-Soojus'!$C:$X,2+$C121,FALSE)/0.172+VLOOKUP("Kütuste tarbimine @ 2030 - UTTEGAAS",'VK-Elekter'!$C:$X,2+$D121,FALSE)/0.172-AR121-AU121</f>
        <v>2.8565116279069773</v>
      </c>
      <c r="AT121" s="209">
        <f>IF(AT$7="X",VLOOKUP(AT$10,'VK-Hooned-Soojus'!$C:$X,2+$C121,FALSE),0)+IF(AT$6="X",VLOOKUP(AT$10,'VK-Transport'!$C:$X,2+$B121,0))+IF(AT$8="X",VLOOKUP(AT$10,'VK-Elekter'!$C:$X,2+$D121,0))+IF(AT$9="X",VLOOKUP(AT$10,'VK-Biokütused'!$C:$U,2+$E121,0))+IF(AT$5="X",VLOOKUP(AT$10,'VK-Põlevkivi'!$C:$X,2+$G121,0))+IF(AT$4="X",VLOOKUP(AT$10,'VK-Võrgud'!$C:$X,2+$F121,0))</f>
        <v>5.7045296564339489</v>
      </c>
      <c r="AU121" s="229">
        <f>MAX(0,(VLOOKUP("Kütuste tarbimine @ 2030 - UTTEGAAS",'VK-Hooned-Soojus'!$C:$X,2+$C121,FALSE)/0.172+VLOOKUP("Kütuste tarbimine @ 2030 - UTTEGAAS",'VK-Elekter'!$C:$X,2+$D121,FALSE)/0.172)*0.52-VLOOKUP("Kütuste tarbimine @ 2030 - PÕLEVKIVIÕLI",'VK-Hooned-Soojus'!$C:$X,2+$C121,FALSE))</f>
        <v>5.1837209302325586</v>
      </c>
      <c r="AV121" s="209">
        <f>IF(AV$7="X",VLOOKUP(AV$10,'VK-Hooned-Soojus'!$C:$X,2+$C121,FALSE),0)+IF(AV$6="X",VLOOKUP(AV$10,'VK-Transport'!$C:$X,2+$B121,0))+IF(AV$8="X",VLOOKUP(AV$10,'VK-Elekter'!$C:$X,2+$D121,0))+IF(AV$9="X",VLOOKUP(AV$10,'VK-Biokütused'!$C:$U,2+$E121,0))+IF(AV$5="X",VLOOKUP(AV$10,'VK-Põlevkivi'!$C:$X,2+$G121,0))+IF(AV$4="X",VLOOKUP(AV$10,'VK-Võrgud'!$C:$X,2+$F121,0))</f>
        <v>2.1219844082566364</v>
      </c>
      <c r="AW121" s="209">
        <f>IF(AW$7="X",VLOOKUP(AW$10,'VK-Hooned-Soojus'!$C:$X,2+$C121,FALSE),0)+IF(AW$6="X",VLOOKUP(AW$10,'VK-Transport'!$C:$X,2+$B121,0))+IF(AW$8="X",VLOOKUP(AW$10,'VK-Elekter'!$C:$X,2+$D121,0))+IF(AW$9="X",VLOOKUP(AW$10,'VK-Biokütused'!$C:$U,2+$E121,0))+IF(AW$5="X",VLOOKUP(AW$10,'VK-Põlevkivi'!$C:$X,2+$G121,0))+IF(AW$4="X",VLOOKUP(AW$10,'VK-Võrgud'!$C:$X,2+$F121,0))</f>
        <v>4.2799999999999994</v>
      </c>
      <c r="AX121" s="229">
        <f t="shared" si="62"/>
        <v>2.158015591743363</v>
      </c>
      <c r="AY121" s="229">
        <f t="shared" si="63"/>
        <v>0</v>
      </c>
      <c r="AZ121" s="230">
        <f t="shared" si="83"/>
        <v>0.50749407362778964</v>
      </c>
      <c r="BA121" s="209">
        <f>IF(BA$7="X",VLOOKUP(BA$10,'VK-Hooned-Soojus'!$C:$X,2+$C121,FALSE),0)+IF(BA$6="X",VLOOKUP(BA$10,'VK-Transport'!$C:$X,2+$B121,0))+IF(BA$8="X",VLOOKUP(BA$10,'VK-Elekter'!$C:$X,2+$D121,0))+IF(BA$9="X",VLOOKUP(BA$10,'VK-Biokütused'!$C:$U,2+$E121,0))+IF(BA$5="X",VLOOKUP(BA$10,'VK-Põlevkivi'!$C:$X,2+$G121,0))+IF(BA$4="X",VLOOKUP(BA$10,'VK-Võrgud'!$C:$X,2+$F121,0))</f>
        <v>4.25</v>
      </c>
      <c r="BB121" s="209">
        <f>IF(BB$7="X",VLOOKUP(BB$10,'VK-Hooned-Soojus'!$C:$X,2+$C121,FALSE),0)+IF(BB$6="X",VLOOKUP(BB$10,'VK-Transport'!$C:$X,2+$B121,0))+IF(BB$8="X",VLOOKUP(BB$10,'VK-Elekter'!$C:$X,2+$D121,0))+IF(BB$9="X",VLOOKUP(BB$10,'VK-Biokütused'!$C:$U,2+$E121,0))+IF(BB$5="X",VLOOKUP(BB$10,'VK-Põlevkivi'!$C:$X,2+$G121,0))+IF(BB$4="X",VLOOKUP(BB$10,'VK-Võrgud'!$C:$X,2+$F121,0))</f>
        <v>2.93</v>
      </c>
      <c r="BC121" s="209">
        <f>IF(BC$7="X",VLOOKUP(BC$10,'VK-Hooned-Soojus'!$C:$X,2+$C121,FALSE),0)+IF(BC$6="X",VLOOKUP(BC$10,'VK-Transport'!$C:$X,2+$B121,0))+IF(BC$8="X",VLOOKUP(BC$10,'VK-Elekter'!$C:$X,2+$D121,0))+IF(BC$9="X",VLOOKUP(BC$10,'VK-Biokütused'!$C:$U,2+$E121,0))+IF(BC$5="X",VLOOKUP(BC$10,'VK-Põlevkivi'!$C:$X,2+$G121,0))+IF(BC$4="X",VLOOKUP(BC$10,'VK-Võrgud'!$C:$X,2+$F121,0))</f>
        <v>6.5993333333333322</v>
      </c>
      <c r="BD121" s="209">
        <f>IF(BD$7="X",VLOOKUP(BD$10,'VK-Hooned-Soojus'!$C:$X,2+$C121,FALSE),0)+IF(BD$6="X",VLOOKUP(BD$10,'VK-Transport'!$C:$X,2+$B121,0))+IF(BD$8="X",VLOOKUP(BD$10,'VK-Elekter'!$C:$X,2+$D121,0))+IF(BD$9="X",VLOOKUP(BD$10,'VK-Biokütused'!$C:$U,2+$E121,0))+IF(BD$5="X",VLOOKUP(BD$10,'VK-Põlevkivi'!$C:$X,2+$G121,0))+IF(BD$4="X",VLOOKUP(BD$10,'VK-Võrgud'!$C:$X,2+$F121,0))</f>
        <v>9.425416666666667</v>
      </c>
      <c r="BE121" s="230"/>
      <c r="BF121" s="229">
        <f t="shared" si="64"/>
        <v>0.36202470293782418</v>
      </c>
      <c r="BG121" s="209" t="e">
        <f>(IF(BG$7="X",VLOOKUP(BG$10,'VK-Hooned-Soojus'!$C:$X,2+$C121,FALSE),0)+IF(BG$6="X",VLOOKUP(BG$10,'VK-Transport'!$C:$X,2+$B121,0))+IF(BG$8="X",VLOOKUP(BG$10,'VK-Elekter'!$C:$X,2+$D121,0))+IF(BG$9="X",VLOOKUP(BG$10,'VK-Biokütused'!$C:$U,2+$E121,0))+IF(BG$5="X",VLOOKUP(BG$10,'VK-Põlevkivi'!$C:$X,2+$G121,0))+IF(BG$4="X",VLOOKUP(BG$10,'VK-Võrgud'!$C:$X,2+$F121,0)))/20</f>
        <v>#N/A</v>
      </c>
      <c r="BH121" s="209">
        <f>(IF(BH$7="X",VLOOKUP(BH$10,'VK-Hooned-Soojus'!$C:$X,2+$C121,FALSE),0)+IF(BH$6="X",VLOOKUP(BH$10,'VK-Transport'!$C:$X,2+$B121,0))+IF(BH$8="X",VLOOKUP(BH$10,'VK-Elekter'!$C:$X,2+$D121,0))+IF(BH$9="X",VLOOKUP(BH$10,'VK-Biokütused'!$C:$U,2+$E121,0))+IF(BH$5="X",VLOOKUP(BH$10,'VK-Põlevkivi'!$C:$X,2+$G121,0))+IF(BH$4="X",VLOOKUP(BH$10,'VK-Võrgud'!$C:$X,2+$F121,0)))/20</f>
        <v>45.08</v>
      </c>
      <c r="BI121" s="209">
        <f>(IF(BI$7="X",VLOOKUP(BI$10,'VK-Hooned-Soojus'!$C:$X,2+$C121,FALSE),0)+IF(BI$6="X",VLOOKUP(BI$10,'VK-Transport'!$C:$X,2+$B121,0))+IF(BI$8="X",VLOOKUP(BI$10,'VK-Elekter'!$C:$X,2+$D121,0))+IF(BI$9="X",VLOOKUP(BI$10,'VK-Biokütused'!$C:$U,2+$E121,0))+IF(BI$5="X",VLOOKUP(BI$10,'VK-Põlevkivi'!$C:$X,2+$G121,0))+IF(BI$4="X",VLOOKUP(BI$10,'VK-Võrgud'!$C:$X,2+$F121,0)))/16</f>
        <v>14.1875</v>
      </c>
      <c r="BJ121" s="209">
        <f>(IF(BJ$7="X",VLOOKUP(BJ$10,'VK-Hooned-Soojus'!$C:$X,2+$C121,FALSE),0)+IF(BJ$6="X",VLOOKUP(BJ$10,'VK-Transport'!$C:$X,2+$B121,0))+IF(BJ$8="X",VLOOKUP(BJ$10,'VK-Elekter'!$C:$X,2+$D121,0))+IF(BJ$9="X",VLOOKUP(BJ$10,'VK-Biokütused'!$C:$U,2+$E121,0))+IF(BJ$5="X",VLOOKUP(BJ$10,'VK-Põlevkivi'!$C:$X,2+$G121,0))+IF(BJ$4="X",VLOOKUP(BJ$10,'VK-Võrgud'!$C:$X,2+$F121,0)))/20</f>
        <v>3.91</v>
      </c>
      <c r="BK121" s="209"/>
      <c r="BL121" s="209"/>
      <c r="BM121" s="209"/>
      <c r="BN121" s="209" t="e">
        <f>(IF(BN$7="X",VLOOKUP(BN$10,'VK-Hooned-Soojus'!$C:$X,2+$C121,FALSE),0)+IF(BN$6="X",VLOOKUP(BN$10,'VK-Transport'!$C:$X,2+$B121,0))+IF(BN$8="X",VLOOKUP(BN$10,'VK-Elekter'!$C:$X,2+$D121,0))+IF(BN$9="X",VLOOKUP(BN$10,'VK-Biokütused'!$C:$U,2+$E121,0))+IF(BN$5="X",VLOOKUP(BN$10,'VK-Põlevkivi'!$C:$X,2+$G121,0))+IF(BN$4="X",VLOOKUP(BN$10,'VK-Võrgud'!$C:$X,2+$F121,0)))/16</f>
        <v>#N/A</v>
      </c>
      <c r="BO121" s="209">
        <f>(IF(BO$7="X",VLOOKUP(BO$10,'VK-Hooned-Soojus'!$C:$X,2+$C121,FALSE),0)+IF(BO$6="X",VLOOKUP(BO$10,'VK-Transport'!$C:$X,2+$B121,0))+IF(BO$8="X",VLOOKUP(BO$10,'VK-Elekter'!$C:$X,2+$D121,0))+IF(BO$9="X",VLOOKUP(BO$10,'VK-Biokütused'!$C:$U,2+$E121,0))+IF(BO$5="X",VLOOKUP(BO$10,'VK-Põlevkivi'!$C:$X,2+$G121,0))+IF(BO$4="X",VLOOKUP(BO$10,'VK-Võrgud'!$C:$X,2+$F121,0)))/16</f>
        <v>322.79374999999999</v>
      </c>
      <c r="BP121" s="209"/>
      <c r="BQ121" s="209">
        <f>(IF(BQ$7="X",VLOOKUP(BQ$10,'VK-Hooned-Soojus'!$C:$X,2+$C121,FALSE),0)+IF(BQ$6="X",VLOOKUP(BQ$10,'VK-Transport'!$C:$X,2+$B121,0))+IF(BQ$8="X",VLOOKUP(BQ$10,'VK-Elekter'!$C:$X,2+$D121,0))+IF(BQ$9="X",VLOOKUP(BQ$10,'VK-Biokütused'!$C:$U,2+$E121,0))+IF(BQ$5="X",VLOOKUP(BQ$10,'VK-Põlevkivi'!$C:$X,2+$G121,0))+IF(BQ$4="X",VLOOKUP(BQ$10,'VK-Võrgud'!$C:$X,2+$F121,0)))/16</f>
        <v>233.20625000000001</v>
      </c>
      <c r="BR121" s="209">
        <f>(IF(BR$7="X",VLOOKUP(BR$10,'VK-Hooned-Soojus'!$C:$X,2+$C121,FALSE),0)+IF(BR$6="X",VLOOKUP(BR$10,'VK-Transport'!$C:$X,2+$B121,0))+IF(BR$8="X",VLOOKUP(BR$10,'VK-Elekter'!$C:$X,2+$D121,0))+IF(BR$9="X",VLOOKUP(BR$10,'VK-Biokütused'!$C:$U,2+$E121,0))+IF(BR$5="X",VLOOKUP(BR$10,'VK-Põlevkivi'!$C:$X,2+$G121,0))+IF(BR$4="X",VLOOKUP(BR$10,'VK-Võrgud'!$C:$X,2+$F121,0)))/16</f>
        <v>74.512500000000003</v>
      </c>
      <c r="BS121" s="209">
        <f>(IF(BS$7="X",VLOOKUP(BS$10,'VK-Hooned-Soojus'!$C:$X,2+$C121,FALSE),0)+IF(BS$6="X",VLOOKUP(BS$10,'VK-Transport'!$C:$X,2+$B121,0))+IF(BS$8="X",VLOOKUP(BS$10,'VK-Elekter'!$C:$X,2+$D121,0))+IF(BS$9="X",VLOOKUP(BS$10,'VK-Biokütused'!$C:$U,2+$E121,0))+IF(BS$5="X",VLOOKUP(BS$10,'VK-Põlevkivi'!$C:$X,2+$G121,0))+IF(BS$4="X",VLOOKUP(BS$10,'VK-Võrgud'!$C:$X,2+$F121,0)))/16</f>
        <v>-21.475000000000001</v>
      </c>
      <c r="BT121" s="209"/>
      <c r="BU121" s="209"/>
      <c r="BV121" s="209">
        <f>(IF(BV$7="X",VLOOKUP(BV$10,'VK-Hooned-Soojus'!$C:$X,2+$C121,FALSE),0)+IF(BV$6="X",VLOOKUP(BV$10,'VK-Transport'!$C:$X,2+$B121,0))+IF(BV$8="X",VLOOKUP(BV$10,'VK-Elekter'!$C:$X,2+$D121,0))+IF(BV$9="X",VLOOKUP(BV$10,'VK-Biokütused'!$C:$U,2+$E121,0))+IF(BV$5="X",VLOOKUP(BV$10,'VK-Põlevkivi'!$C:$X,2+$G121,0))+IF(BV$4="X",VLOOKUP(BV$10,'VK-Võrgud'!$C:$X,2+$F121,0)))/16</f>
        <v>0</v>
      </c>
      <c r="BW121" s="209"/>
      <c r="BX121" s="209">
        <f>(IF(BX$7="X",VLOOKUP(BX$10,'VK-Hooned-Soojus'!$C:$X,2+$C121,FALSE),0)+IF(BX$6="X",VLOOKUP(BX$10,'VK-Transport'!$C:$X,2+$B121,0))+IF(BX$8="X",VLOOKUP(BX$10,'VK-Elekter'!$C:$X,2+$D121,0))+IF(BX$9="X",VLOOKUP(BX$10,'VK-Biokütused'!$C:$U,2+$E121,0))+IF(BX$5="X",VLOOKUP(BX$10,'VK-Põlevkivi'!$C:$X,2+$G121,0))+IF(BX$4="X",VLOOKUP(BX$10,'VK-Võrgud'!$C:$X,2+$F121,0)))/16</f>
        <v>-99.75</v>
      </c>
      <c r="BY121" s="209"/>
      <c r="BZ121" s="209"/>
      <c r="CA121" s="209" t="e">
        <f>(IF(CA$7="X",VLOOKUP(CA$10,'VK-Hooned-Soojus'!$C:$X,2+$C121,FALSE),0)+IF(CA$6="X",VLOOKUP(CA$10,'VK-Transport'!$C:$X,2+$B121,0))+IF(CA$8="X",VLOOKUP(CA$10,'VK-Elekter'!$C:$X,2+$D121,0))+IF(CA$9="X",VLOOKUP(CA$10,'VK-Biokütused'!$C:$U,2+$E121,0))+IF(CA$5="X",VLOOKUP(CA$10,'VK-Põlevkivi'!$C:$X,2+$G121,0))+IF(CA$4="X",VLOOKUP(CA$10,'VK-Võrgud'!$C:$X,2+$F121,0)))/16</f>
        <v>#N/A</v>
      </c>
      <c r="CB121" s="209">
        <f>(IF(CB$7="X",VLOOKUP(CB$10,'VK-Hooned-Soojus'!$C:$X,2+$C121,FALSE),0)+IF(CB$6="X",VLOOKUP(CB$10,'VK-Transport'!$C:$X,2+$B121,0))+IF(CB$8="X",VLOOKUP(CB$10,'VK-Elekter'!$C:$X,2+$D121,0))+IF(CB$9="X",VLOOKUP(CB$10,'VK-Biokütused'!$C:$U,2+$E121,0))+IF(CB$5="X",VLOOKUP(CB$10,'VK-Põlevkivi'!$C:$X,2+$G121,0))+IF(CB$4="X",VLOOKUP(CB$10,'VK-Võrgud'!$C:$X,2+$F121,0)))/16</f>
        <v>0</v>
      </c>
      <c r="CC121" s="209">
        <f>(IF(CC$7="X",VLOOKUP(CC$10,'VK-Hooned-Soojus'!$C:$X,2+$C121,FALSE),0)+IF(CC$6="X",VLOOKUP(CC$10,'VK-Transport'!$C:$X,2+$B121,0))+IF(CC$8="X",VLOOKUP(CC$10,'VK-Elekter'!$C:$X,2+$D121,0))+IF(CC$9="X",VLOOKUP(CC$10,'VK-Biokütused'!$C:$U,2+$E121,0))+IF(CC$5="X",VLOOKUP(CC$10,'VK-Põlevkivi'!$C:$X,2+$G121,0))+IF(CC$4="X",VLOOKUP(CC$10,'VK-Võrgud'!$C:$X,2+$F121,0)))/16</f>
        <v>0</v>
      </c>
      <c r="CD121" s="209"/>
      <c r="CE121" s="209">
        <f>(IF(CE$7="X",VLOOKUP(CE$10,'VK-Hooned-Soojus'!$C:$X,2+$C121,FALSE),0)+IF(CE$6="X",VLOOKUP(CE$10,'VK-Transport'!$C:$X,2+$B121,0))+IF(CE$8="X",VLOOKUP(CE$10,'VK-Elekter'!$C:$X,2+$D121,0))+IF(CE$9="X",VLOOKUP(CE$10,'VK-Biokütused'!$C:$U,2+$E121,0))+IF(CE$5="X",VLOOKUP(CE$10,'VK-Põlevkivi'!$C:$X,2+$G121,0))+IF(CE$4="X",VLOOKUP(CE$10,'VK-Võrgud'!$C:$X,2+$F121,0)))/16</f>
        <v>24.15625</v>
      </c>
      <c r="CF121" s="209"/>
      <c r="CG121" s="209">
        <f>(IF(CG$7="X",VLOOKUP(CG$10,'VK-Hooned-Soojus'!$C:$X,2+$C121,FALSE),0)+IF(CG$6="X",VLOOKUP(CG$10,'VK-Transport'!$C:$X,2+$B121,0))+IF(CG$8="X",VLOOKUP(CG$10,'VK-Elekter'!$C:$X,2+$D121,0))+IF(CG$9="X",VLOOKUP(CG$10,'VK-Biokütused'!$C:$U,2+$E121,0))+IF(CG$5="X",VLOOKUP(CG$10,'VK-Põlevkivi'!$C:$X,2+$G121,0))+IF(CG$4="X",VLOOKUP(CG$10,'VK-Võrgud'!$C:$X,2+$F121,0)))/16</f>
        <v>0</v>
      </c>
      <c r="CH121" s="209">
        <f>(IF(CH$7="X",VLOOKUP(CH$10,'VK-Hooned-Soojus'!$C:$X,2+$C121,FALSE),0)+IF(CH$6="X",VLOOKUP(CH$10,'VK-Transport'!$C:$X,2+$B121,0))+IF(CH$8="X",VLOOKUP(CH$10,'VK-Elekter'!$C:$X,2+$D121,0))+IF(CH$9="X",VLOOKUP(CH$10,'VK-Biokütused'!$C:$U,2+$E121,0))+IF(CH$5="X",VLOOKUP(CH$10,'VK-Põlevkivi'!$C:$X,2+$G121,0))+IF(CH$4="X",VLOOKUP(CH$10,'VK-Võrgud'!$C:$X,2+$F121,0)))/20*0.21</f>
        <v>11.225549999999998</v>
      </c>
      <c r="CI121" s="209"/>
      <c r="CJ121" s="209">
        <f>(IF(CJ$7="X",VLOOKUP(CJ$10,'VK-Hooned-Soojus'!$C:$X,2+$C121,FALSE),0)+IF(CJ$6="X",VLOOKUP(CJ$10,'VK-Transport'!$C:$X,2+$B121,0))+IF(CJ$8="X",VLOOKUP(CJ$10,'VK-Elekter'!$C:$X,2+$D121,0))+IF(CJ$9="X",VLOOKUP(CJ$10,'VK-Biokütused'!$C:$U,2+$E121,0))+IF(CJ$5="X",VLOOKUP(CJ$10,'VK-Põlevkivi'!$C:$X,2+$G121,0))+IF(CJ$4="X",VLOOKUP(CJ$10,'VK-Võrgud'!$C:$X,2+$F121,0)))/1000</f>
        <v>17.164578011574537</v>
      </c>
      <c r="CK121" s="209">
        <f>(IF(CK$7="X",VLOOKUP(CK$10,'VK-Hooned-Soojus'!$C:$X,2+$C121,FALSE),0)+IF(CK$6="X",VLOOKUP(CK$10,'VK-Transport'!$C:$X,2+$B121,0))+IF(CK$8="X",VLOOKUP(CK$10,'VK-Elekter'!$C:$X,2+$D121,0))+IF(CK$9="X",VLOOKUP(CK$10,'VK-Biokütused'!$C:$U,2+$E121,0))+IF(CK$5="X",VLOOKUP(CK$10,'VK-Põlevkivi'!$C:$X,2+$G121,0))+IF(CK$4="X",VLOOKUP(CK$10,'VK-Võrgud'!$C:$X,2+$F121,0)))/1000</f>
        <v>11.869077976340797</v>
      </c>
      <c r="CL121" s="235">
        <f>(IF(CL$7="X",VLOOKUP(CL$10,'VK-Hooned-Soojus'!$C:$X,2+$C121,FALSE),0)+IF(CL$6="X",VLOOKUP(CL$10,'VK-Transport'!$C:$X,2+$B121,0))+IF(CL$8="X",VLOOKUP(CL$10,'VK-Elekter'!$C:$X,2+$D121,0))+IF(CL$9="X",VLOOKUP(CL$10,'VK-Biokütused'!$C:$U,2+$E121,0)))/1000</f>
        <v>7.5271111109201012</v>
      </c>
      <c r="CM121" s="209">
        <f>(IF(CM$7="X",VLOOKUP(CM$10,'VK-Hooned-Soojus'!$C:$X,2+$C121,FALSE),0)+IF(CM$6="X",VLOOKUP(CM$10,'VK-Transport'!$C:$X,2+$B121,0))+IF(CM$8="X",VLOOKUP(CM$10,'VK-Elekter'!$C:$X,2+$D121,0))+IF(CM$9="X",VLOOKUP(CM$10,'VK-Biokütused'!$C:$U,2+$E121,0))+IF(CM$5="X",VLOOKUP(CM$10,'VK-Põlevkivi'!$C:$X,2+$G121,0))+IF(CM$4="X",VLOOKUP(CM$10,'VK-Võrgud'!$C:$X,2+$F121,0)))/1000</f>
        <v>7.7577605777489067</v>
      </c>
      <c r="CN121" s="209">
        <f>(IF(CN$7="X",VLOOKUP(CN$10,'VK-Hooned-Soojus'!$C:$X,2+$C121,FALSE),0)+IF(CN$6="X",VLOOKUP(CN$10,'VK-Transport'!$C:$X,2+$B121,0))+IF(CN$8="X",VLOOKUP(CN$10,'VK-Elekter'!$C:$X,2+$D121,0))+IF(CN$9="X",VLOOKUP(CN$10,'VK-Biokütused'!$C:$U,2+$E121,0))+IF(CN$5="X",VLOOKUP(CN$10,'VK-Põlevkivi'!$C:$X,2+$G121,0))+IF(CN$4="X",VLOOKUP(CN$10,'VK-Võrgud'!$C:$X,2+$F121,0)))/1000</f>
        <v>2.8759999999999999</v>
      </c>
      <c r="CO121" s="209">
        <f>(IF(CO$7="X",VLOOKUP(CO$10,'VK-Hooned-Soojus'!$C:$X,2+$C121,FALSE),0)+IF(CO$6="X",VLOOKUP(CO$10,'VK-Transport'!$C:$X,2+$B121,0))+IF(CO$8="X",VLOOKUP(CO$10,'VK-Elekter'!$C:$X,2+$D121,0))+IF(CO$9="X",VLOOKUP(CO$10,'VK-Biokütused'!$C:$U,2+$E121,0))+IF(CO$5="X",VLOOKUP(CO$10,'VK-Põlevkivi'!$C:$X,2+$G121,0))+IF(CO$4="X",VLOOKUP(CO$10,'VK-Võrgud'!$C:$X,2+$F121,0)))/1000</f>
        <v>23.737362337356995</v>
      </c>
      <c r="CP121" s="209">
        <f>(IF(CP$7="X",VLOOKUP(CP$10,'VK-Hooned-Soojus'!$C:$X,2+$C121,FALSE),0)+IF(CP$6="X",VLOOKUP(CP$10,'VK-Transport'!$C:$X,2+$B121,0))+IF(CP$8="X",VLOOKUP(CP$10,'VK-Elekter'!$C:$X,2+$D121,0))+IF(CP$9="X",VLOOKUP(CP$10,'VK-Biokütused'!$C:$U,2+$E121,0))+IF(CP$5="X",VLOOKUP(CP$10,'VK-Põlevkivi'!$C:$X,2+$G121,0))+IF(CP$4="X",VLOOKUP(CP$10,'VK-Võrgud'!$C:$X,2+$F121,0)))/1000</f>
        <v>13.441392120693662</v>
      </c>
      <c r="CQ121" s="235">
        <f>(IF(CQ$7="X",VLOOKUP(CQ$10,'VK-Hooned-Soojus'!$C:$X,2+$C121,FALSE),0)+IF(CQ$6="X",VLOOKUP(CQ$10,'VK-Transport'!$C:$X,2+$B121,0))+IF(CQ$8="X",VLOOKUP(CQ$10,'VK-Elekter'!$C:$X,2+$D121,0))+IF(CQ$9="X",VLOOKUP(CQ$10,'VK-Biokütused'!$C:$U,2+$E121,0)))/1000</f>
        <v>10.328918999999999</v>
      </c>
      <c r="CR121" s="209">
        <f>(IF(CR$7="X",VLOOKUP(CR$10,'VK-Hooned-Soojus'!$C:$X,2+$C121,FALSE),0)+IF(CR$6="X",VLOOKUP(CR$10,'VK-Transport'!$C:$X,2+$B121,0))+IF(CR$8="X",VLOOKUP(CR$10,'VK-Elekter'!$C:$X,2+$D121,0))+IF(CR$9="X",VLOOKUP(CR$10,'VK-Biokütused'!$C:$U,2+$E121,0))+IF(CR$5="X",VLOOKUP(CR$10,'VK-Põlevkivi'!$C:$X,2+$G121,0))+IF(CR$4="X",VLOOKUP(CR$10,'VK-Võrgud'!$C:$X,2+$F121,0)))/1000</f>
        <v>7.8657518373996886</v>
      </c>
      <c r="CS121" s="209">
        <f>(IF(CS$7="X",VLOOKUP(CS$10,'VK-Hooned-Soojus'!$C:$X,2+$C121,FALSE),0)+IF(CS$6="X",VLOOKUP(CS$10,'VK-Transport'!$C:$X,2+$B121,0))+IF(CS$8="X",VLOOKUP(CS$10,'VK-Elekter'!$C:$X,2+$D121,0))+IF(CS$9="X",VLOOKUP(CS$10,'VK-Biokütused'!$C:$U,2+$E121,0))+IF(CS$5="X",VLOOKUP(CS$10,'VK-Põlevkivi'!$C:$X,2+$G121,0))+IF(CS$4="X",VLOOKUP(CS$10,'VK-Võrgud'!$C:$X,2+$F121,0)))/1000</f>
        <v>3.8186495098622379</v>
      </c>
      <c r="CT121" s="209">
        <f>IF(CT$7="X",VLOOKUP(CT$10,'VK-Hooned-Soojus'!$C:$X,2+$C121,FALSE),0)+IF(CT$6="X",VLOOKUP(CT$10,'VK-Transport'!$C:$X,2+$B121,0))+IF(CT$8="X",VLOOKUP(CT$10,'VK-Elekter'!$C:$X,2+$D121,0))+IF(CT$9="X",VLOOKUP(CT$10,'VK-Biokütused'!$C:$U,2+$E121,0))+IF(CT$5="X",VLOOKUP(CT$10,'VK-Põlevkivi'!$C:$X,2+$G121,0))+IF(CT$4="X",VLOOKUP(CT$10,'VK-Võrgud'!$C:$X,2+$F121,0))</f>
        <v>90</v>
      </c>
      <c r="CU121" s="209">
        <f>IF(CU$7="X",VLOOKUP(CU$10,'VK-Hooned-Soojus'!$C:$X,2+$C121,FALSE),0)+IF(CU$6="X",VLOOKUP(CU$10,'VK-Transport'!$C:$X,2+$B121,0))+IF(CU$8="X",VLOOKUP(CU$10,'VK-Elekter'!$C:$X,2+$D121,0))+IF(CU$9="X",VLOOKUP(CU$10,'VK-Biokütused'!$C:$U,2+$E121,0))+IF(CU$5="X",VLOOKUP(CU$10,'VK-Põlevkivi'!$C:$X,2+$G121,0))+IF(CU$4="X",VLOOKUP(CU$10,'VK-Võrgud'!$C:$X,2+$F121,0))</f>
        <v>0.72088353413654627</v>
      </c>
      <c r="CV121" s="209">
        <f t="shared" si="84"/>
        <v>0.72887234460741646</v>
      </c>
      <c r="CW121" s="209">
        <f>(IF(CW$7="X",VLOOKUP(CW$10,'VK-Hooned-Soojus'!$C:$X,2+$C121,FALSE),0)+IF(CW$6="X",VLOOKUP(CW$10,'VK-Transport'!$C:$X,2+$B121,0))+IF(CW$8="X",VLOOKUP(CW$10,'VK-Elekter'!$C:$X,2+$D121,0))+IF(CW$9="X",VLOOKUP(CW$10,'VK-Biokütused'!$C:$U,2+$E121,0))+IF(CW$5="X",VLOOKUP(CW$10,'VK-Põlevkivi'!$C:$X,2+$G121,0))+IF(CW$4="X",VLOOKUP(CW$10,'VK-Võrgud'!$C:$X,2+$F121,0)))/16</f>
        <v>126.01875</v>
      </c>
      <c r="CY121" s="209">
        <f>(IF(CY$7="X",VLOOKUP(CY$10,'VK-Hooned-Soojus'!$C:$X,2+$C121,FALSE),0)+IF(CY$6="X",VLOOKUP(CY$10,'VK-Transport'!$C:$X,2+$B121,0))+IF(CY$8="X",VLOOKUP(CY$10,'VK-Elekter'!$C:$X,2+$D121,0))+IF(CY$9="X",VLOOKUP(CY$10,'VK-Biokütused'!$C:$U,2+$E121,0))+IF(CY$5="X",VLOOKUP(CY$10,'VK-Põlevkivi'!$C:$X,2+$G121,0))+IF(CY$4="X",VLOOKUP(CY$10,'VK-Võrgud'!$C:$X,2+$F121,0)))/1000</f>
        <v>10.124000000000001</v>
      </c>
      <c r="CZ121" s="209">
        <f>(IF(CZ$7="X",VLOOKUP(CZ$10,'VK-Hooned-Soojus'!$C:$X,2+$C121,FALSE),0)+IF(CZ$6="X",VLOOKUP(CZ$10,'VK-Transport'!$C:$X,2+$B121,0))+IF(CZ$8="X",VLOOKUP(CZ$10,'VK-Elekter'!$C:$X,2+$D121,0))+IF(CZ$9="X",VLOOKUP(CZ$10,'VK-Biokütused'!$C:$U,2+$E121,0))+IF(CZ$5="X",VLOOKUP(CZ$10,'VK-Põlevkivi'!$C:$X,2+$G121,0))+IF(CZ$4="X",VLOOKUP(CZ$10,'VK-Võrgud'!$C:$X,2+$F121,0)))</f>
        <v>68</v>
      </c>
      <c r="DA121" s="209">
        <f>(IF(DA$7="X",VLOOKUP(DA$10,'VK-Hooned-Soojus'!$C:$X,2+$C121,FALSE),0)+IF(DA$6="X",VLOOKUP(DA$10,'VK-Transport'!$C:$X,2+$B121,0))+IF(DA$8="X",VLOOKUP(DA$10,'VK-Elekter'!$C:$X,2+$D121,0))+IF(DA$9="X",VLOOKUP(DA$10,'VK-Biokütused'!$C:$U,2+$E121,0))+IF(DA$5="X",VLOOKUP(DA$10,'VK-Põlevkivi'!$C:$X,2+$G121,0))+IF(DA$4="X",VLOOKUP(DA$10,'VK-Võrgud'!$C:$X,2+$F121,0)))/1000</f>
        <v>13.215999999999999</v>
      </c>
      <c r="DB121" s="209">
        <f>(IF(DB$7="X",VLOOKUP(DB$10,'VK-Hooned-Soojus'!$C:$X,2+$C121,FALSE),0)+IF(DB$6="X",VLOOKUP(DB$10,'VK-Transport'!$C:$X,2+$B121,0))+IF(DB$8="X",VLOOKUP(DB$10,'VK-Elekter'!$C:$X,2+$D121,0))+IF(DB$9="X",VLOOKUP(DB$10,'VK-Biokütused'!$C:$U,2+$E121,0))+IF(DB$5="X",VLOOKUP(DB$10,'VK-Põlevkivi'!$C:$X,2+$G121,0))+IF(DB$4="X",VLOOKUP(DB$10,'VK-Võrgud'!$C:$X,2+$F121,0)))/1000/3.6</f>
        <v>59.473055555555554</v>
      </c>
      <c r="DC121" s="209">
        <f>(IF(DC$7="X",VLOOKUP(DC$10,'VK-Hooned-Soojus'!$C:$X,2+$C121,FALSE),0)+IF(DC$6="X",VLOOKUP(DC$10,'VK-Transport'!$C:$X,2+$B121,0))+IF(DC$8="X",VLOOKUP(DC$10,'VK-Elekter'!$C:$X,2+$D121,0))+IF(DC$9="X",VLOOKUP(DC$10,'VK-Biokütused'!$C:$U,2+$E121,0))+IF(DC$5="X",VLOOKUP(DC$10,'VK-Põlevkivi'!$C:$X,2+$G121,0))+IF(DC$4="X",VLOOKUP(DC$10,'VK-Võrgud'!$C:$X,2+$F121,0)))/1000000</f>
        <v>4.7851480000000004</v>
      </c>
      <c r="DD121" s="209"/>
      <c r="DE121" s="88">
        <f>VLOOKUP(Tulemused!$BN$12,data!M$7:N$12,2,FALSE)-SUM(L121,M121)</f>
        <v>-5.2509373024363981E-2</v>
      </c>
      <c r="DF121" s="209" t="str">
        <f>IF(AZ121&lt;=VLOOKUP(Tulemused!$BN$15,data!$E$36:$F$39,2,FALSE),"JAH","EI")</f>
        <v>JAH</v>
      </c>
      <c r="DG121" s="209"/>
      <c r="DH121" s="209">
        <f t="shared" si="85"/>
        <v>6.28</v>
      </c>
      <c r="DI121" s="231" t="str">
        <f t="shared" si="65"/>
        <v>EI</v>
      </c>
      <c r="DK121" s="232">
        <f t="shared" si="86"/>
        <v>-992.82670851044588</v>
      </c>
      <c r="DM121" s="233">
        <f t="shared" si="87"/>
        <v>-997.44084933269403</v>
      </c>
      <c r="DN121" s="87">
        <f t="array" ref="DN121">INDEX($A$11:$A$145, SMALL(IF(DM121=$DK$11:$DK$145, MATCH(ROW($DK$11:$DK$145), ROW($DK$11:$DK$145))), SUM(--(DM121=$DM$11:DM121))))</f>
        <v>23</v>
      </c>
      <c r="DP121" s="87" t="e">
        <f t="shared" ca="1" si="66"/>
        <v>#N/A</v>
      </c>
      <c r="DQ121" s="87" t="e">
        <f t="shared" ca="1" si="67"/>
        <v>#N/A</v>
      </c>
      <c r="DR121" s="87">
        <f t="shared" ca="1" si="68"/>
        <v>0</v>
      </c>
      <c r="DS121" s="87" t="e">
        <f t="shared" ca="1" si="69"/>
        <v>#N/A</v>
      </c>
      <c r="DT121" s="87">
        <f t="shared" ca="1" si="70"/>
        <v>0</v>
      </c>
      <c r="DU121" s="87" t="e">
        <f t="shared" ca="1" si="71"/>
        <v>#N/A</v>
      </c>
      <c r="DV121" s="87" t="e">
        <f t="shared" ca="1" si="72"/>
        <v>#N/A</v>
      </c>
      <c r="DW121" s="87">
        <f t="shared" ca="1" si="73"/>
        <v>0</v>
      </c>
      <c r="DX121" s="87">
        <f t="shared" ca="1" si="74"/>
        <v>0</v>
      </c>
      <c r="DZ121" s="87">
        <f t="shared" ca="1" si="82"/>
        <v>0</v>
      </c>
      <c r="EB121" s="87">
        <f t="shared" ca="1" si="75"/>
        <v>0</v>
      </c>
      <c r="EC121" s="87" t="e">
        <f t="shared" ca="1" si="76"/>
        <v>#N/A</v>
      </c>
      <c r="EE121" s="228">
        <f>(IF(EE$7="X",VLOOKUP(EE$10,'VK-Hooned-Soojus'!$C:$X,2+$C121,FALSE),0)+IF(EE$6="X",VLOOKUP(EE$10,'VK-Transport'!$C:$X,2+$B121,0))+IF(EE$8="X",VLOOKUP(EE$10,'VK-Elekter'!$C:$X,2+$D121,0))+IF(EE$9="X",VLOOKUP(EE$10,'VK-Biokütused'!$C:$U,2+$E121,0))+IF(EE$5="X",VLOOKUP(EE$10,'VK-Põlevkivi'!$C:$X,2+$G121,0))+IF(EE$4="X",VLOOKUP(EE$10,'VK-Võrgud'!$C:$X,2+$F121,0)))</f>
        <v>11146.39520825975</v>
      </c>
      <c r="EF121" s="235">
        <f>(IF(EF$7="X",VLOOKUP(EF$10,'VK-Hooned-Soojus'!$C:$X,2+$C121,FALSE),0)+IF(EF$6="X",VLOOKUP(EF$10,'VK-Transport'!$C:$X,2+$B121,0))+IF(EF$8="X",VLOOKUP(EF$10,'VK-Elekter'!$C:$X,2+$D121,0))+IF(EF$9="X",VLOOKUP(EF$10,'VK-Biokütused'!$C:$U,2+$E121,0)))/1000</f>
        <v>3.6968849906373196</v>
      </c>
      <c r="EG121" s="209">
        <f>(IF(EG$7="X",VLOOKUP(EG$10,'VK-Hooned-Soojus'!$C:$X,2+$C121,FALSE),0)+IF(EG$6="X",VLOOKUP(EG$10,'VK-Transport'!$C:$X,2+$B121,0))+IF(EG$8="X",VLOOKUP(EG$10,'VK-Elekter'!$C:$X,2+$D121,0))+IF(EG$9="X",VLOOKUP(EG$10,'VK-Biokütused'!$C:$U,2+$E121,0))+IF(EG$5="X",VLOOKUP(EG$10,'VK-Põlevkivi'!$C:$X,2+$G121,0))+IF(EG$4="X",VLOOKUP(EG$10,'VK-Võrgud'!$C:$X,2+$F121,0)))</f>
        <v>0.81</v>
      </c>
      <c r="EH121" s="209">
        <f>(IF(EH$7="X",VLOOKUP(EH$10,'VK-Hooned-Soojus'!$C:$X,2+$C121,FALSE),0)+IF(EH$6="X",VLOOKUP(EH$10,'VK-Transport'!$C:$X,2+$B121,0))+IF(EH$8="X",VLOOKUP(EH$10,'VK-Elekter'!$C:$X,2+$D121,0))+IF(EH$9="X",VLOOKUP(EH$10,'VK-Biokütused'!$C:$U,2+$E121,0)))+AR121+AS121+AU121+AX121</f>
        <v>52.454637038771786</v>
      </c>
      <c r="EI121" s="320">
        <f t="shared" si="88"/>
        <v>45.112900516795861</v>
      </c>
      <c r="EJ121" s="322">
        <f t="shared" si="89"/>
        <v>2.4608217929567841E-2</v>
      </c>
      <c r="EK121" s="323">
        <f t="shared" si="77"/>
        <v>0.43983091445120043</v>
      </c>
      <c r="EM121" s="209"/>
      <c r="EN121" s="209">
        <f t="shared" ca="1" si="90"/>
        <v>0</v>
      </c>
      <c r="EO121" s="209"/>
      <c r="EP121" s="234"/>
      <c r="EQ121" s="209">
        <f>(IF(EQ$7="X",VLOOKUP(EQ$10,'VK-Hooned-Soojus'!$C:$X,2+$C121,FALSE),0)+IF(EQ$6="X",VLOOKUP(EQ$10,'VK-Transport'!$C:$X,2+$B121,0))+IF(EQ$8="X",VLOOKUP(EQ$10,'VK-Elekter'!$C:$X,2+$D121,0))+IF(EQ$9="X",VLOOKUP(EQ$10,'VK-Biokütused'!$C:$U,2+$E121,0))+IF(EQ$5="X",VLOOKUP(EQ$10,'VK-Põlevkivi'!$C:$X,2+$G121,0))+IF(EQ$4="X",VLOOKUP(EQ$10,'VK-Võrgud'!$C:$X,2+$F121,0)))/1000</f>
        <v>0.21099999999999999</v>
      </c>
      <c r="ER121" s="209">
        <f>(IF(ER$7="X",VLOOKUP(ER$10,'VK-Hooned-Soojus'!$C:$X,2+$C121,FALSE),0)+IF(ER$6="X",VLOOKUP(ER$10,'VK-Transport'!$C:$X,2+$B121,0))+IF(ER$8="X",VLOOKUP(ER$10,'VK-Elekter'!$C:$X,2+$D121,0))+IF(ER$9="X",VLOOKUP(ER$10,'VK-Biokütused'!$C:$U,2+$E121,0))+IF(ER$5="X",VLOOKUP(ER$10,'VK-Põlevkivi'!$C:$X,2+$G121,0))+IF(ER$4="X",VLOOKUP(ER$10,'VK-Võrgud'!$C:$X,2+$F121,0)))</f>
        <v>0.76300000000000001</v>
      </c>
      <c r="ES121" s="209">
        <f>(IF(ES$7="X",VLOOKUP(ES$10,'VK-Hooned-Soojus'!$C:$X,2+$C121,FALSE),0)+IF(ES$6="X",VLOOKUP(ES$10,'VK-Transport'!$C:$X,2+$B121,0))+IF(ES$8="X",VLOOKUP(ES$10,'VK-Elekter'!$C:$X,2+$D121,0))+IF(ES$9="X",VLOOKUP(ES$10,'VK-Biokütused'!$C:$U,2+$E121,0))+IF(ES$5="X",VLOOKUP(ES$10,'VK-Põlevkivi'!$C:$X,2+$G121,0))+IF(ES$4="X",VLOOKUP(ES$10,'VK-Võrgud'!$C:$X,2+$F121,0)))</f>
        <v>6.28</v>
      </c>
      <c r="ET121" s="209"/>
      <c r="EU121" s="209"/>
      <c r="EV121" s="87">
        <f>'KSH järjestus'!AS114</f>
        <v>914</v>
      </c>
      <c r="EZ121" s="237">
        <f t="shared" si="91"/>
        <v>0.27911646586345373</v>
      </c>
      <c r="FA121" s="209">
        <f>IF(FA$7="X",VLOOKUP(FA$10,'VK-Hooned-Soojus'!$C:$X,2+$C121,FALSE),0)+IF(FA$6="X",VLOOKUP(FA$10,'VK-Transport'!$C:$X,2+$B121,0))+IF(FA$8="X",VLOOKUP(FA$10,'VK-Elekter'!$C:$X,2+$D121,0))+IF(FA$9="X",VLOOKUP(FA$10,'VK-Biokütused'!$C:$U,2+$E121,0))+IF(FA$5="X",VLOOKUP(FA$10,'VK-Põlevkivi'!$C:$X,2+$G121,0))+IF(FA$4="X",VLOOKUP(FA$10,'VK-Võrgud'!$C:$X,2+$F121,0))</f>
        <v>2991.9189999999999</v>
      </c>
      <c r="FB121" s="279">
        <f>(IF(FB$7="X",VLOOKUP(FB$10,'VK-Hooned-Soojus'!$C:$X,2+$C121,FALSE),0)+IF(FB$6="X",VLOOKUP(FB$10,'VK-Transport'!$C:$X,2+$B121,0))+IF(FB$8="X",VLOOKUP(FB$10,'VK-Elekter'!$C:$X,2+$D121,0))+IF(FB$9="X",VLOOKUP(FB$10,'VK-Biokütused'!$C:$U,2+$E121,0))+IF(FB$5="X",VLOOKUP(FB$10,'VK-Põlevkivi'!$C:$X,2+$G121,0))+IF(FB$4="X",VLOOKUP(FB$10,'VK-Võrgud'!$C:$X,2+$F121,0)))/16</f>
        <v>579.47352686757472</v>
      </c>
      <c r="FC121" s="209">
        <f>IF(FC$7="X",VLOOKUP(FC$10,'VK-Hooned-Soojus'!$C:$X,2+$C121,FALSE),0)+IF(FC$6="X",VLOOKUP(FC$10,'VK-Transport'!$C:$X,2+$B121,0))+IF(FC$8="X",VLOOKUP(FC$10,'VK-Elekter'!$C:$X,2+$D121,0))+IF(FC$9="X",VLOOKUP(FC$10,'VK-Biokütused'!$C:$U,2+$E121,0))+IF(FC$5="X",VLOOKUP(FC$10,'VK-Põlevkivi'!$C:$X,2+$G121,0))+IF(FC$4="X",VLOOKUP(FC$10,'VK-Võrgud'!$C:$X,2+$F121,0))</f>
        <v>294.39999999999998</v>
      </c>
      <c r="FD121" s="209">
        <f>(IF(FD$7="X",VLOOKUP(FD$10,'VK-Hooned-Soojus'!$C:$X,2+$C121,FALSE),0)+IF(FD$6="X",VLOOKUP(FD$10,'VK-Transport'!$C:$X,2+$B121,0))+IF(FD$8="X",VLOOKUP(FD$10,'VK-Elekter'!$C:$X,2+$D121,0))+IF(FD$9="X",VLOOKUP(FD$10,'VK-Biokütused'!$C:$U,2+$E121,0))+IF(FD$5="X",VLOOKUP(FD$10,'VK-Põlevkivi'!$C:$X,2+$G121,0))+IF(FD$4="X",VLOOKUP(FD$10,'VK-Võrgud'!$C:$X,2+$F121,0)))/16</f>
        <v>579.47352686757472</v>
      </c>
      <c r="FE121" s="209">
        <f>(IF(FE$7="X",VLOOKUP(FE$10,'VK-Hooned-Soojus'!$C:$X,2+$C121,FALSE),0)+IF(FE$6="X",VLOOKUP(FE$10,'VK-Transport'!$C:$X,2+$B121,0))+IF(FE$8="X",VLOOKUP(FE$10,'VK-Elekter'!$C:$X,2+$D121,0))+IF(FE$9="X",VLOOKUP(FE$10,'VK-Biokütused'!$C:$U,2+$E121,0))+IF(FE$5="X",VLOOKUP(FE$10,'VK-Põlevkivi'!$C:$X,2+$G121,0))+IF(FE$4="X",VLOOKUP(FE$10,'VK-Võrgud'!$C:$X,2+$F121,0)))/16</f>
        <v>-111.63831369909104</v>
      </c>
      <c r="FF121" s="209">
        <f>(IF(FF$7="X",VLOOKUP(FF$10,'VK-Hooned-Soojus'!$C:$X,2+$C121,FALSE),0)+IF(FF$6="X",VLOOKUP(FF$10,'VK-Transport'!$C:$X,2+$B121,0))+IF(FF$8="X",VLOOKUP(FF$10,'VK-Elekter'!$C:$X,2+$D121,0))+IF(FF$9="X",VLOOKUP(FF$10,'VK-Biokütused'!$C:$U,2+$E121,0))+IF(FF$5="X",VLOOKUP(FF$10,'VK-Põlevkivi'!$C:$X,2+$G121,0))+IF(FF$4="X",VLOOKUP(FF$10,'VK-Võrgud'!$C:$X,2+$F121,0)))/16</f>
        <v>236.44439256559482</v>
      </c>
      <c r="FG121" s="88">
        <f t="shared" ca="1" si="78"/>
        <v>124.80607886650378</v>
      </c>
      <c r="FH121" s="88"/>
      <c r="FI121" s="88"/>
      <c r="FJ121" s="88">
        <f>VLOOKUP(Tulemused!$BN$12,data!M$7:N$12,2,FALSE)-SUM(L121,M121)</f>
        <v>-5.2509373024363981E-2</v>
      </c>
      <c r="FK121" s="209" t="str">
        <f>IF(AZ121&lt;=VLOOKUP(Tulemused!$BN$15,data!$E$36:$F$39,2,FALSE),"JAH","EI")</f>
        <v>JAH</v>
      </c>
      <c r="FL121" s="235">
        <f ca="1">IF(ISNA(MATCH($A121,INDIRECT(VLOOKUP(Tulemused!$BF$11,data!$J$57:$M$71,4,FALSE)))),0,MATCH($A121,INDIRECT(VLOOKUP(Tulemused!$BF$11,data!$J$57:$M$71,4,FALSE))))</f>
        <v>0</v>
      </c>
      <c r="FM121" s="235" t="str">
        <f t="shared" ca="1" si="92"/>
        <v>JAH</v>
      </c>
      <c r="FN121" s="209">
        <f>VLOOKUP(Tulemused!$BN$13,data!$C$132:$D$137,2,FALSE)-KOMBI!R121</f>
        <v>4.4628850093626804</v>
      </c>
      <c r="FO121" s="209"/>
      <c r="FP121" s="209">
        <f>VLOOKUP(Tulemused!$BN$17,NO_x,2,FALSE)-CJ121</f>
        <v>12.273421988425461</v>
      </c>
      <c r="FQ121" s="209">
        <f>VLOOKUP(Tulemused!$BN$18,SO_2,2,FALSE)-CK121</f>
        <v>40.014922023659203</v>
      </c>
      <c r="FR121" s="209">
        <f>VLOOKUP(Tulemused!$BN$19,LOU,2,FALSE)-CN121</f>
        <v>34.204000000000008</v>
      </c>
      <c r="FS121" s="209">
        <f>VLOOKUP(Tulemused!$BN$20,PM_2.5,2,FALSE)-CM121</f>
        <v>9.1572394222510916</v>
      </c>
      <c r="FT121" s="209">
        <f>VLOOKUP(Tulemused!$BN$13,data!$C$132:$D$137,2,FALSE)-FA121/1000</f>
        <v>3.2540510000000009</v>
      </c>
      <c r="FU121" s="209">
        <f>VLOOKUP(Tulemused!$BN$17,NO_x,2,FALSE)-CO121</f>
        <v>5.700637662643004</v>
      </c>
      <c r="FV121" s="209">
        <f>VLOOKUP(Tulemused!$BN$18,SO_2,2,FALSE)-CP121</f>
        <v>38.442607879306337</v>
      </c>
      <c r="FW121" s="209">
        <f>VLOOKUP(Tulemused!$BN$19,LOU,2,FALSE)-CS121</f>
        <v>33.261350490137765</v>
      </c>
      <c r="FX121" s="209">
        <f>VLOOKUP(Tulemused!$BN$20,PM_2.5,2,FALSE)-CR121</f>
        <v>9.0492481626003105</v>
      </c>
      <c r="FY121" s="209">
        <f>VLOOKUP(Tulemused!$BN$14,KHG_2050,2,FALSE)-EF121</f>
        <v>96.303115009362685</v>
      </c>
      <c r="FZ121" s="231" t="str">
        <f t="shared" ca="1" si="79"/>
        <v>EI</v>
      </c>
      <c r="GA121" s="209"/>
      <c r="GB121" s="209"/>
      <c r="GC121" s="209"/>
      <c r="GD121" s="231"/>
      <c r="GE121" s="87">
        <f t="shared" si="93"/>
        <v>914</v>
      </c>
      <c r="GF121" s="232" t="str">
        <f t="shared" ca="1" si="80"/>
        <v/>
      </c>
      <c r="GH121" s="238" t="e">
        <f t="shared" ca="1" si="94"/>
        <v>#NUM!</v>
      </c>
      <c r="GI121" s="87" t="e">
        <f t="array" aca="1" ref="GI121" ca="1">INDEX($A$11:$A$145, SMALL(IF(GH121=$GF$11:$GF$145, MATCH(ROW($GF$11:$GF$145), ROW($GF$11:$GF$145))), SUM(--(GH121=$GH$11:GH121))))</f>
        <v>#NUM!</v>
      </c>
      <c r="GM121" s="209">
        <f>IF(GM$7="X",VLOOKUP(GM$10,'VK-Hooned-Soojus'!$C:$X,2+$C121,FALSE),0)+IF(GM$6="X",VLOOKUP(GM$10,'VK-Transport'!$C:$X,2+$B121,0))+IF(GM$8="X",VLOOKUP(GM$10,'VK-Elekter'!$C:$X,2+$D121,0))+IF(GM$9="X",VLOOKUP(GM$10,'VK-Biokütused'!$C:$U,2+$E121,0))+IF(GM$5="X",VLOOKUP(GM$10,'VK-Põlevkivi'!$C:$X,2+$G121,0))+IF(GM$4="X",VLOOKUP(GM$10,'VK-Võrgud'!$C:$X,2+$F121,0))</f>
        <v>6.0128279910272253</v>
      </c>
      <c r="GN121" s="209">
        <f>IF(GN$7="X",VLOOKUP(GN$10,'VK-Hooned-Soojus'!$C:$X,2+$C121,FALSE),0)+IF(GN$6="X",VLOOKUP(GN$10,'VK-Transport'!$C:$X,2+$B121,0))+IF(GN$8="X",VLOOKUP(GN$10,'VK-Elekter'!$C:$X,2+$D121,0))+IF(GN$9="X",VLOOKUP(GN$10,'VK-Biokütused'!$C:$U,2+$E121,0))+IF(GN$5="X",VLOOKUP(GN$10,'VK-Põlevkivi'!$C:$X,2+$G121,0))+IF(GN$4="X",VLOOKUP(GN$10,'VK-Võrgud'!$C:$X,2+$F121,0))</f>
        <v>3.4467619395011728</v>
      </c>
      <c r="GO121" s="209">
        <f>IF(GO$7="X",VLOOKUP(GO$10,'VK-Hooned-Soojus'!$C:$X,2+$C121,FALSE),0)+IF(GO$6="X",VLOOKUP(GO$10,'VK-Transport'!$C:$X,2+$B121,0))+IF(GO$8="X",VLOOKUP(GO$10,'VK-Elekter'!$C:$X,2+$D121,0))+IF(GO$9="X",VLOOKUP(GO$10,'VK-Biokütused'!$C:$U,2+$E121,0))+IF(GO$5="X",VLOOKUP(GO$10,'VK-Põlevkivi'!$C:$X,2+$G121,0))+IF(GO$4="X",VLOOKUP(GO$10,'VK-Võrgud'!$C:$X,2+$F121,0))</f>
        <v>7.936370010272257</v>
      </c>
      <c r="GP121" s="209">
        <f>IF(GP$7="X",VLOOKUP(GP$10,'VK-Hooned-Soojus'!$C:$X,2+$C121,FALSE),0)+IF(GP$6="X",VLOOKUP(GP$10,'VK-Transport'!$C:$X,2+$B121,0))+IF(GP$8="X",VLOOKUP(GP$10,'VK-Elekter'!$C:$X,2+$D121,0))+IF(GP$9="X",VLOOKUP(GP$10,'VK-Biokütused'!$C:$U,2+$E121,0))+IF(GP$5="X",VLOOKUP(GP$10,'VK-Põlevkivi'!$C:$X,2+$G121,0))+IF(GP$4="X",VLOOKUP(GP$10,'VK-Võrgud'!$C:$X,2+$F121,0))</f>
        <v>9.1527946929596489</v>
      </c>
      <c r="GQ121" s="88">
        <f>IF(GQ$7="X",VLOOKUP(GQ$10,'VK-Hooned-Soojus'!$C:$X,2+$C121,FALSE),0)+IF(GQ$6="X",VLOOKUP(GQ$10,'VK-Transport'!$C:$X,2+$B121,0))+IF(GQ$8="X",VLOOKUP(GQ$10,'VK-Elekter'!$C:$X,2+$D121,0))+IF(GQ$9="X",VLOOKUP(GQ$10,'VK-Biokütused'!$C:$U,2+$E121,0))+IF(GQ$5="X",VLOOKUP(GQ$10,'VK-Põlevkivi'!$C:$X,2+$G121,0))+IF(GQ$4="X",VLOOKUP(GQ$10,'VK-Võrgud'!$C:$X,2+$F121,0))</f>
        <v>0.89042766952822527</v>
      </c>
      <c r="GR121" s="186">
        <f t="shared" si="81"/>
        <v>0.41021308782500948</v>
      </c>
    </row>
    <row r="122" spans="1:200" x14ac:dyDescent="0.2">
      <c r="A122" s="184">
        <v>112</v>
      </c>
      <c r="B122" s="87">
        <v>3</v>
      </c>
      <c r="C122" s="87">
        <v>2</v>
      </c>
      <c r="D122" s="87">
        <v>3</v>
      </c>
      <c r="E122" s="87">
        <v>1</v>
      </c>
      <c r="F122" s="87">
        <f>VLOOKUP(Tulemused!$BF$7,data!$J$6:$K$8,2,FALSE)</f>
        <v>2</v>
      </c>
      <c r="G122" s="87">
        <f>VLOOKUP(data!$H$2,data!$J$12:$K$14,2,FALSE)</f>
        <v>2</v>
      </c>
      <c r="I122" s="209">
        <f>IF(I$7="X",VLOOKUP(I$10,'VK-Hooned-Soojus'!$C:$X,2+$C122,FALSE),0)+IF(I$6="X",VLOOKUP(I$10,'VK-Transport'!$C:$X,2+$B122,0))+IF(I$8="X",VLOOKUP(I$10,'VK-Elekter'!$C:$X,2+$D122,0))+IF(I$9="X",VLOOKUP(I$10,'VK-Biokütused'!$C:$U,2+$E122,0))+IF(I$5="X",VLOOKUP(I$10,'VK-Põlevkivi'!$C:$X,2+$G122,0))+IF(I$4="X",VLOOKUP(I$10,'VK-Võrgud'!$C:$X,2+$F122,0))</f>
        <v>24.79</v>
      </c>
      <c r="J122" s="209">
        <f>IF(J$7="X",VLOOKUP(J$10,'VK-Hooned-Soojus'!$C:$X,2+$C122,FALSE),0)+IF(J$6="X",VLOOKUP(J$10,'VK-Transport'!$C:$X,2+$B122,0))+IF(J$8="X",VLOOKUP(J$10,'VK-Elekter'!$C:$X,2+$D122,0))+IF(J$9="X",VLOOKUP(J$10,'VK-Biokütused'!$C:$U,2+$E122,0))+IF(J$5="X",VLOOKUP(J$10,'VK-Põlevkivi'!$C:$X,2+$G122,0))+IF(J$4="X",VLOOKUP(J$10,'VK-Võrgud'!$C:$X,2+$F122,0))</f>
        <v>8.1258333333333344</v>
      </c>
      <c r="K122" s="209">
        <f>IF(K$7="X",VLOOKUP(K$10,'VK-Hooned-Soojus'!$C:$X,2+$C122,FALSE),0)+IF(K$6="X",VLOOKUP(K$10,'VK-Transport'!$C:$X,2+$B122,0))+IF(K$8="X",VLOOKUP(K$10,'VK-Elekter'!$C:$X,2+$D122,0))+IF(K$9="X",VLOOKUP(K$10,'VK-Biokütused'!$C:$U,2+$E122,0))+IF(K$5="X",VLOOKUP(K$10,'VK-Põlevkivi'!$C:$X,2+$G122,0))+IF(K$4="X",VLOOKUP(K$10,'VK-Võrgud'!$C:$X,2+$F122,0))</f>
        <v>15.27</v>
      </c>
      <c r="L122" s="209">
        <f>IF(L$7="X",VLOOKUP(L$10,'VK-Hooned-Soojus'!$C:$X,2+$C122,FALSE),0)+IF(L$6="X",VLOOKUP(L$10,'VK-Transport'!$C:$X,2+$B122,0))+IF(L$8="X",VLOOKUP(L$10,'VK-Elekter'!$C:$X,2+$D122,0))+IF(L$9="X",VLOOKUP(L$10,'VK-Biokütused'!$C:$U,2+$E122,0))+IF(L$5="X",VLOOKUP(L$10,'VK-Põlevkivi'!$C:$X,2+$G122,0))+IF(L$4="X",VLOOKUP(L$10,'VK-Võrgud'!$C:$X,2+$F122,0))</f>
        <v>24.2</v>
      </c>
      <c r="M122" s="209">
        <f>IF(M$7="X",VLOOKUP(M$10,'VK-Hooned-Soojus'!$C:$X,2+$C122,FALSE),0)+IF(M$6="X",VLOOKUP(M$10,'VK-Transport'!$C:$X,2+$B122,0))+IF(M$8="X",VLOOKUP(M$10,'VK-Elekter'!$C:$X,2+$D122,0))+IF(M$9="X",VLOOKUP(M$10,'VK-Biokütused'!$C:$U,2+$E122,0))+IF(M$5="X",VLOOKUP(M$10,'VK-Põlevkivi'!$C:$X,2+$G122,0))+IF(M$4="X",VLOOKUP(M$10,'VK-Võrgud'!$C:$X,2+$F122,0))</f>
        <v>8.68530937302436</v>
      </c>
      <c r="N122" s="209">
        <f>IF(N$7="X",VLOOKUP(N$10,'VK-Hooned-Soojus'!$C:$X,2+$C122,FALSE),0)+IF(N$6="X",VLOOKUP(N$10,'VK-Transport'!$C:$X,2+$B122,0))+IF(N$8="X",VLOOKUP(N$10,'VK-Elekter'!$C:$X,2+$D122,0))+IF(N$9="X",VLOOKUP(N$10,'VK-Biokütused'!$C:$U,2+$E122,0))+IF(N$5="X",VLOOKUP(N$10,'VK-Põlevkivi'!$C:$X,2+$G122,0))+IF(N$4="X",VLOOKUP(N$10,'VK-Võrgud'!$C:$X,2+$F122,0))</f>
        <v>16.09</v>
      </c>
      <c r="O122" s="209">
        <f t="shared" si="60"/>
        <v>32.915833333333332</v>
      </c>
      <c r="P122" s="209"/>
      <c r="Q122" s="209">
        <f>(IF(Q$7="X",VLOOKUP(Q$10,'VK-Hooned-Soojus'!$C:$X,2+$C122,FALSE),0)+IF(Q$6="X",VLOOKUP(Q$10,'VK-Transport'!$C:$X,2+$B122,0))+IF(Q$8="X",VLOOKUP(Q$10,'VK-Elekter'!$C:$X,2+$D122,0))+IF(Q$9="X",VLOOKUP(Q$10,'VK-Biokütused'!$C:$U,2+$E122,0))+IF(Q$5="X",VLOOKUP(Q$10,'VK-Põlevkivi'!$C:$X,2+$G122,0))+IF(Q$4="X",VLOOKUP(Q$10,'VK-Võrgud'!$C:$X,2+$F122,0)))/1000</f>
        <v>5.0650000000000004</v>
      </c>
      <c r="R122" s="209">
        <f>(IF(R$7="X",VLOOKUP(R$10,'VK-Hooned-Soojus'!$C:$X,2+$C122,FALSE),0)+IF(R$6="X",VLOOKUP(R$10,'VK-Transport'!$C:$X,2+$B122,0))+IF(R$8="X",VLOOKUP(R$10,'VK-Elekter'!$C:$X,2+$D122,0))+IF(R$9="X",VLOOKUP(R$10,'VK-Biokütused'!$C:$U,2+$E122,0))+IF(R$5="X",VLOOKUP(R$10,'VK-Põlevkivi'!$C:$X,2+$G122,0))+IF(R$4="X",VLOOKUP(R$10,'VK-Võrgud'!$C:$X,2+$F122,0)))/1000</f>
        <v>1.19688499063732</v>
      </c>
      <c r="S122" s="226">
        <f>VLOOKUP(S$10,'VK-Hooned-Soojus'!$C:$I,2+$C122,FALSE) + VLOOKUP(S$10,'VK-Transport'!$C:$I,2+$B122,FALSE)+ VLOOKUP(S$10,'VK-Biokütused'!$C:$G,2+$E122,FALSE)+ VLOOKUP(S$10,'VK-Elekter'!$C:$I,2+$D122,FALSE)+ VLOOKUP(S$10,'VK-Põlevkivi'!$C:$I,2+$G122,FALSE)+ VLOOKUP(S$10,'VK-Võrgud'!$C:$I,2+$F122,FALSE)</f>
        <v>1.5337973263321605E-2</v>
      </c>
      <c r="T122" s="226">
        <f>VLOOKUP(T$10,'VK-Hooned-Soojus'!$C:$I,2+$C122,FALSE) + VLOOKUP(T$10,'VK-Transport'!$C:$I,2+$B122,FALSE)+ VLOOKUP(T$10,'VK-Biokütused'!$C:$G,2+$E122,FALSE)+ VLOOKUP(T$10,'VK-Elekter'!$C:$I,2+$D122,FALSE)+ VLOOKUP(T$10,'VK-Põlevkivi'!$C:$I,2+$G122,FALSE)+ VLOOKUP(T$10,'VK-Võrgud'!$C:$I,2+$F122,FALSE)</f>
        <v>6.6416283219323646E-3</v>
      </c>
      <c r="U122" s="226">
        <f>VLOOKUP(U$10,'VK-Hooned-Soojus'!$C:$I,2+$C122,FALSE) + VLOOKUP(U$10,'VK-Transport'!$C:$I,2+$B122,FALSE)+ VLOOKUP(U$10,'VK-Biokütused'!$C:$G,2+$E122,FALSE)+ VLOOKUP(U$10,'VK-Elekter'!$C:$I,2+$D122,FALSE)+ VLOOKUP(U$10,'VK-Põlevkivi'!$C:$I,2+$G122,FALSE)+ VLOOKUP(U$10,'VK-Võrgud'!$C:$I,2+$F122,FALSE)</f>
        <v>5.066595607352925E-3</v>
      </c>
      <c r="V122" s="226">
        <f>VLOOKUP(V$10,'VK-Hooned-Soojus'!$C:$I,2+$C122,FALSE) + VLOOKUP(V$10,'VK-Transport'!$C:$I,2+$B122,FALSE)+ VLOOKUP(V$10,'VK-Biokütused'!$C:$G,2+$E122,FALSE)+ VLOOKUP(V$10,'VK-Elekter'!$C:$I,2+$D122,FALSE)+ VLOOKUP(V$10,'VK-Põlevkivi'!$C:$I,2+$G122,FALSE)+ VLOOKUP(V$10,'VK-Võrgud'!$C:$I,2+$F122,FALSE)</f>
        <v>1.0371010366310893E-2</v>
      </c>
      <c r="W122" s="226">
        <f>VLOOKUP(W$10,'VK-Hooned-Soojus'!$C:$I,2+$C122,FALSE) + VLOOKUP(W$10,'VK-Transport'!$C:$I,2+$B122,FALSE)+ VLOOKUP(W$10,'VK-Biokütused'!$C:$G,2+$E122,FALSE)+ VLOOKUP(W$10,'VK-Elekter'!$C:$I,2+$D122,FALSE)+ VLOOKUP(W$10,'VK-Põlevkivi'!$C:$I,2+$G122,FALSE)+ VLOOKUP(W$10,'VK-Võrgud'!$C:$I,2+$F122,FALSE)</f>
        <v>-4.4057454251868633E-2</v>
      </c>
      <c r="X122" s="226">
        <f>VLOOKUP(X$10,'VK-Hooned-Soojus'!$C:$I,2+$C122,FALSE) + VLOOKUP(X$10,'VK-Transport'!$C:$I,2+$B122,FALSE)+ VLOOKUP(X$10,'VK-Biokütused'!$C:$G,2+$E122,FALSE)+ VLOOKUP(X$10,'VK-Elekter'!$C:$I,2+$D122,FALSE)+ VLOOKUP(X$10,'VK-Põlevkivi'!$C:$I,2+$G122,FALSE)+ VLOOKUP(X$10,'VK-Võrgud'!$C:$I,2+$F122,FALSE)</f>
        <v>-5.209124087157193E-2</v>
      </c>
      <c r="Y122" s="226">
        <f>VLOOKUP(Y$10,'VK-Hooned-Soojus'!$C:$I,2+$C122,FALSE) + VLOOKUP(Y$10,'VK-Transport'!$C:$I,2+$B122,FALSE)+ VLOOKUP(Y$10,'VK-Biokütused'!$C:$G,2+$E122,FALSE)+ VLOOKUP(Y$10,'VK-Elekter'!$C:$I,2+$D122,FALSE)+ VLOOKUP(Y$10,'VK-Põlevkivi'!$C:$I,2+$G122,FALSE)+ VLOOKUP(Y$10,'VK-Võrgud'!$C:$I,2+$F122,FALSE)</f>
        <v>-6.908576190202366E-2</v>
      </c>
      <c r="Z122" s="227">
        <f>(S122*Tulemused!$Q$9*10+T122*Tulemused!$Q$10*10+KOMBI!U122*Tulemused!$Q$11*10+KOMBI!V122*Tulemused!$Q$12*10)*Tulemused!$Q$8+-(W122*Tulemused!$Q$14*10+KOMBI!X122*Tulemused!$Q$15*10+KOMBI!Y122*Tulemused!$Q$16*10)*Tulemused!$Q$13</f>
        <v>6.0272595152157979</v>
      </c>
      <c r="AA122" s="228">
        <f>(IF(AA$7="X",VLOOKUP(AA$10,'VK-Hooned-Soojus'!$C:$X,2+$C122,FALSE),0)+IF(AA$6="X",VLOOKUP(AA$10,'VK-Transport'!$C:$X,2+$B122,0))+IF(AA$8="X",VLOOKUP(AA$10,'VK-Elekter'!$C:$X,2+$D122,0))+IF(AA$9="X",VLOOKUP(AA$10,'VK-Biokütused'!$C:$U,2+$E122,0))+IF(AA$5="X",VLOOKUP(AA$10,'VK-Põlevkivi'!$C:$X,2+$G122,0))+IF(AA$4="X",VLOOKUP(AA$10,'VK-Võrgud'!$C:$X,2+$F122,0)))</f>
        <v>3728</v>
      </c>
      <c r="AB122" s="228">
        <f>(IF(AB$7="X",VLOOKUP(AB$10,'VK-Hooned-Soojus'!$C:$X,2+$C122,FALSE),0)+IF(AB$6="X",VLOOKUP(AB$10,'VK-Transport'!$C:$X,2+$B122,0))+IF(AB$8="X",VLOOKUP(AB$10,'VK-Elekter'!$C:$X,2+$D122,0))+IF(AB$9="X",VLOOKUP(AB$10,'VK-Biokütused'!$C:$U,2+$E122,0))+IF(AB$5="X",VLOOKUP(AB$10,'VK-Põlevkivi'!$C:$X,2+$G122,0))+IF(AB$4="X",VLOOKUP(AB$10,'VK-Võrgud'!$C:$X,2+$F122,0)))</f>
        <v>1337</v>
      </c>
      <c r="AC122" s="228">
        <f>(IF(AC$7="X",VLOOKUP(AC$10,'VK-Hooned-Soojus'!$C:$X,2+$C122,FALSE),0)+IF(AC$6="X",VLOOKUP(AC$10,'VK-Transport'!$C:$X,2+$B122,0))+IF(AC$8="X",VLOOKUP(AC$10,'VK-Elekter'!$C:$X,2+$D122,0))+IF(AC$9="X",VLOOKUP(AC$10,'VK-Biokütused'!$C:$U,2+$E122,0))+IF(AC$5="X",VLOOKUP(AC$10,'VK-Põlevkivi'!$C:$X,2+$G122,0))+IF(AC$4="X",VLOOKUP(AC$10,'VK-Võrgud'!$C:$X,2+$F122,0)))</f>
        <v>2346</v>
      </c>
      <c r="AD122" s="228">
        <f>(IF(AD$7="X",VLOOKUP(AD$10,'VK-Hooned-Soojus'!$C:$X,2+$C122,FALSE),0)+IF(AD$6="X",VLOOKUP(AD$10,'VK-Transport'!$C:$X,2+$B122,0))+IF(AD$8="X",VLOOKUP(AD$10,'VK-Elekter'!$C:$X,2+$D122,0))+IF(AD$9="X",VLOOKUP(AD$10,'VK-Biokütused'!$C:$U,2+$E122,0))+IF(AD$5="X",VLOOKUP(AD$10,'VK-Põlevkivi'!$C:$X,2+$G122,0))+IF(AD$4="X",VLOOKUP(AD$10,'VK-Võrgud'!$C:$X,2+$F122,0)))</f>
        <v>0</v>
      </c>
      <c r="AE122" s="228">
        <f>(IF(AE$7="X",VLOOKUP(AE$10,'VK-Hooned-Soojus'!$C:$X,2+$C122,FALSE),0)+IF(AE$6="X",VLOOKUP(AE$10,'VK-Transport'!$C:$X,2+$B122,0))+IF(AE$8="X",VLOOKUP(AE$10,'VK-Elekter'!$C:$X,2+$D122,0))+IF(AE$9="X",VLOOKUP(AE$10,'VK-Biokütused'!$C:$U,2+$E122,0))+IF(AE$5="X",VLOOKUP(AE$10,'VK-Põlevkivi'!$C:$X,2+$G122,0))+IF(AE$4="X",VLOOKUP(AE$10,'VK-Võrgud'!$C:$X,2+$F122,0)))</f>
        <v>666</v>
      </c>
      <c r="AF122" s="228">
        <f>(IF(AF$7="X",VLOOKUP(AF$10,'VK-Hooned-Soojus'!$C:$X,2+$C122,FALSE),0)+IF(AF$6="X",VLOOKUP(AF$10,'VK-Transport'!$C:$X,2+$B122,0))+IF(AF$8="X",VLOOKUP(AF$10,'VK-Elekter'!$C:$X,2+$D122,0))+IF(AF$9="X",VLOOKUP(AF$10,'VK-Biokütused'!$C:$U,2+$E122,0))+IF(AF$5="X",VLOOKUP(AF$10,'VK-Põlevkivi'!$C:$X,2+$G122,0))+IF(AF$4="X",VLOOKUP(AF$10,'VK-Võrgud'!$C:$X,2+$F122,0)))</f>
        <v>530.88499063732002</v>
      </c>
      <c r="AG122" s="209"/>
      <c r="AH122" s="209">
        <f>IF(AH$7="X",VLOOKUP(AH$10,'VK-Hooned-Soojus'!$C:$X,2+$C122,FALSE),0)+IF(AH$6="X",VLOOKUP(AH$10,'VK-Transport'!$C:$X,2+$B122,0))+IF(AH$8="X",VLOOKUP(AH$10,'VK-Elekter'!$C:$X,2+$D122,0))+IF(AH$9="X",VLOOKUP(AH$10,'VK-Biokütused'!$C:$U,2+$E122,0))+IF(AH$5="X",VLOOKUP(AH$10,'VK-Põlevkivi'!$C:$X,2+$G122,0))+IF(AH$4="X",VLOOKUP(AH$10,'VK-Võrgud'!$C:$X,2+$F122,0))</f>
        <v>11.579999999999998</v>
      </c>
      <c r="AI122" s="209">
        <f>IF(AI$7="X",VLOOKUP(AI$10,'VK-Hooned-Soojus'!$C:$X,2+$C122,FALSE),0)+IF(AI$6="X",VLOOKUP(AI$10,'VK-Transport'!$C:$X,2+$B122,0))+IF(AI$8="X",VLOOKUP(AI$10,'VK-Elekter'!$C:$X,2+$D122,0))+IF(AI$9="X",VLOOKUP(AI$10,'VK-Biokütused'!$C:$U,2+$E122,0))+IF(AI$5="X",VLOOKUP(AI$10,'VK-Põlevkivi'!$C:$X,2+$G122,0))+IF(AI$4="X",VLOOKUP(AI$10,'VK-Võrgud'!$C:$X,2+$F122,0))</f>
        <v>4.45</v>
      </c>
      <c r="AJ122" s="209">
        <f>IF(AJ$7="X",VLOOKUP(AJ$10,'VK-Hooned-Soojus'!$C:$X,2+$C122,FALSE),0)+IF(AJ$6="X",VLOOKUP(AJ$10,'VK-Transport'!$C:$X,2+$B122,0))+IF(AJ$8="X",VLOOKUP(AJ$10,'VK-Elekter'!$C:$X,2+$D122,0))+IF(AJ$9="X",VLOOKUP(AJ$10,'VK-Biokütused'!$C:$U,2+$E122,0))+IF(AJ$5="X",VLOOKUP(AJ$10,'VK-Põlevkivi'!$C:$X,2+$G122,0))+IF(AJ$4="X",VLOOKUP(AJ$10,'VK-Võrgud'!$C:$X,2+$F122,0))</f>
        <v>9.19</v>
      </c>
      <c r="AK122" s="209">
        <f>IF(AK$7="X",VLOOKUP(AK$10,'VK-Hooned-Soojus'!$C:$X,2+$C122,FALSE),0)+IF(AK$6="X",VLOOKUP(AK$10,'VK-Transport'!$C:$X,2+$B122,0))+IF(AK$8="X",VLOOKUP(AK$10,'VK-Elekter'!$C:$X,2+$D122,0))+IF(AK$9="X",VLOOKUP(AK$10,'VK-Biokütused'!$C:$U,2+$E122,0))+IF(AK$5="X",VLOOKUP(AK$10,'VK-Põlevkivi'!$C:$X,2+$G122,0))+IF(AK$4="X",VLOOKUP(AK$10,'VK-Võrgud'!$C:$X,2+$F122,0))</f>
        <v>0.66</v>
      </c>
      <c r="AL122" s="209">
        <f>IF(AL$7="X",VLOOKUP(AL$10,'VK-Hooned-Soojus'!$C:$X,2+$C122,FALSE),0)+IF(AL$6="X",VLOOKUP(AL$10,'VK-Transport'!$C:$X,2+$B122,0))+IF(AL$8="X",VLOOKUP(AL$10,'VK-Elekter'!$C:$X,2+$D122,0))+IF(AL$9="X",VLOOKUP(AL$10,'VK-Biokütused'!$C:$U,2+$E122,0))+IF(AL$5="X",VLOOKUP(AL$10,'VK-Põlevkivi'!$C:$X,2+$G122,0))+IF(AL$4="X",VLOOKUP(AL$10,'VK-Võrgud'!$C:$X,2+$F122,0))</f>
        <v>7.1999999999999993</v>
      </c>
      <c r="AM122" s="209">
        <f>IF(AM$7="X",VLOOKUP(AM$10,'VK-Hooned-Soojus'!$C:$X,2+$C122,FALSE),0)+IF(AM$6="X",VLOOKUP(AM$10,'VK-Transport'!$C:$X,2+$B122,0))+IF(AM$8="X",VLOOKUP(AM$10,'VK-Elekter'!$C:$X,2+$D122,0))+IF(AM$9="X",VLOOKUP(AM$10,'VK-Biokütused'!$C:$U,2+$E122,0))+IF(AM$5="X",VLOOKUP(AM$10,'VK-Põlevkivi'!$C:$X,2+$G122,0))+IF(AM$4="X",VLOOKUP(AM$10,'VK-Võrgud'!$C:$X,2+$F122,0))</f>
        <v>11.9</v>
      </c>
      <c r="AN122" s="209">
        <f>IF(AN$7="X",VLOOKUP(AN$10,'VK-Hooned-Soojus'!$C:$X,2+$C122,FALSE),0)+IF(AN$6="X",VLOOKUP(AN$10,'VK-Transport'!$C:$X,2+$B122,0))+IF(AN$8="X",VLOOKUP(AN$10,'VK-Elekter'!$C:$X,2+$D122,0))+IF(AN$9="X",VLOOKUP(AN$10,'VK-Biokütused'!$C:$U,2+$E122,0))+IF(AN$5="X",VLOOKUP(AN$10,'VK-Põlevkivi'!$C:$X,2+$G122,0))+IF(AN$4="X",VLOOKUP(AN$10,'VK-Võrgud'!$C:$X,2+$F122,0))</f>
        <v>4.8999999999999995</v>
      </c>
      <c r="AO122" s="209">
        <f>IF(AO$7="X",VLOOKUP(AO$10,'VK-Hooned-Soojus'!$C:$X,2+$C122,FALSE),0)+IF(AO$6="X",VLOOKUP(AO$10,'VK-Transport'!$C:$X,2+$B122,0))+IF(AO$8="X",VLOOKUP(AO$10,'VK-Elekter'!$C:$X,2+$D122,0))+IF(AO$9="X",VLOOKUP(AO$10,'VK-Biokütused'!$C:$U,2+$E122,0))+IF(AO$5="X",VLOOKUP(AO$10,'VK-Põlevkivi'!$C:$X,2+$G122,0))+IF(AO$4="X",VLOOKUP(AO$10,'VK-Võrgud'!$C:$X,2+$F122,0))</f>
        <v>12.56</v>
      </c>
      <c r="AP122" s="209">
        <f>IF(AP$7="X",VLOOKUP(AP$10,'VK-Hooned-Soojus'!$C:$X,2+$C122,FALSE),0)+IF(AP$6="X",VLOOKUP(AP$10,'VK-Transport'!$C:$X,2+$B122,0))+IF(AP$8="X",VLOOKUP(AP$10,'VK-Elekter'!$C:$X,2+$D122,0))+IF(AP$9="X",VLOOKUP(AP$10,'VK-Biokütused'!$C:$U,2+$E122,0))+IF(AP$5="X",VLOOKUP(AP$10,'VK-Põlevkivi'!$C:$X,2+$G122,0))+IF(AP$4="X",VLOOKUP(AP$10,'VK-Võrgud'!$C:$X,2+$F122,0))</f>
        <v>6.28</v>
      </c>
      <c r="AQ122" s="320">
        <f t="shared" si="61"/>
        <v>0.25999999999999979</v>
      </c>
      <c r="AR122" s="209">
        <f>IF(AR$7="X",VLOOKUP(AR$10,'VK-Hooned-Soojus'!$C:$X,2+$C122,FALSE),0)+IF(AR$6="X",VLOOKUP(AR$10,'VK-Transport'!$C:$X,2+$B122,0))+IF(AR$8="X",VLOOKUP(AR$10,'VK-Elekter'!$C:$X,2+$D122,0))+IF(AR$9="X",VLOOKUP(AR$10,'VK-Biokütused'!$C:$U,2+$E122,0))+IF(AR$5="X",VLOOKUP(AR$10,'VK-Põlevkivi'!$C:$X,2+$G122,0))+IF(AR$4="X",VLOOKUP(AR$10,'VK-Võrgud'!$C:$X,2+$F122,0))</f>
        <v>2.8899999999999997</v>
      </c>
      <c r="AS122" s="320">
        <f>VLOOKUP("Kütuste tarbimine @ 2030 - UTTEGAAS",'VK-Hooned-Soojus'!$C:$X,2+$C122,FALSE)/0.172+VLOOKUP("Kütuste tarbimine @ 2030 - UTTEGAAS",'VK-Elekter'!$C:$X,2+$D122,FALSE)/0.172-AR122-AU122</f>
        <v>2.8565116279069773</v>
      </c>
      <c r="AT122" s="209">
        <f>IF(AT$7="X",VLOOKUP(AT$10,'VK-Hooned-Soojus'!$C:$X,2+$C122,FALSE),0)+IF(AT$6="X",VLOOKUP(AT$10,'VK-Transport'!$C:$X,2+$B122,0))+IF(AT$8="X",VLOOKUP(AT$10,'VK-Elekter'!$C:$X,2+$D122,0))+IF(AT$9="X",VLOOKUP(AT$10,'VK-Biokütused'!$C:$U,2+$E122,0))+IF(AT$5="X",VLOOKUP(AT$10,'VK-Põlevkivi'!$C:$X,2+$G122,0))+IF(AT$4="X",VLOOKUP(AT$10,'VK-Võrgud'!$C:$X,2+$F122,0))</f>
        <v>5.7045296564339489</v>
      </c>
      <c r="AU122" s="229">
        <f>MAX(0,(VLOOKUP("Kütuste tarbimine @ 2030 - UTTEGAAS",'VK-Hooned-Soojus'!$C:$X,2+$C122,FALSE)/0.172+VLOOKUP("Kütuste tarbimine @ 2030 - UTTEGAAS",'VK-Elekter'!$C:$X,2+$D122,FALSE)/0.172)*0.52-VLOOKUP("Kütuste tarbimine @ 2030 - PÕLEVKIVIÕLI",'VK-Hooned-Soojus'!$C:$X,2+$C122,FALSE))</f>
        <v>5.1837209302325586</v>
      </c>
      <c r="AV122" s="209">
        <f>IF(AV$7="X",VLOOKUP(AV$10,'VK-Hooned-Soojus'!$C:$X,2+$C122,FALSE),0)+IF(AV$6="X",VLOOKUP(AV$10,'VK-Transport'!$C:$X,2+$B122,0))+IF(AV$8="X",VLOOKUP(AV$10,'VK-Elekter'!$C:$X,2+$D122,0))+IF(AV$9="X",VLOOKUP(AV$10,'VK-Biokütused'!$C:$U,2+$E122,0))+IF(AV$5="X",VLOOKUP(AV$10,'VK-Põlevkivi'!$C:$X,2+$G122,0))+IF(AV$4="X",VLOOKUP(AV$10,'VK-Võrgud'!$C:$X,2+$F122,0))</f>
        <v>2.1219844082566364</v>
      </c>
      <c r="AW122" s="209">
        <f>IF(AW$7="X",VLOOKUP(AW$10,'VK-Hooned-Soojus'!$C:$X,2+$C122,FALSE),0)+IF(AW$6="X",VLOOKUP(AW$10,'VK-Transport'!$C:$X,2+$B122,0))+IF(AW$8="X",VLOOKUP(AW$10,'VK-Elekter'!$C:$X,2+$D122,0))+IF(AW$9="X",VLOOKUP(AW$10,'VK-Biokütused'!$C:$U,2+$E122,0))+IF(AW$5="X",VLOOKUP(AW$10,'VK-Põlevkivi'!$C:$X,2+$G122,0))+IF(AW$4="X",VLOOKUP(AW$10,'VK-Võrgud'!$C:$X,2+$F122,0))</f>
        <v>0</v>
      </c>
      <c r="AX122" s="229">
        <f t="shared" si="62"/>
        <v>0</v>
      </c>
      <c r="AY122" s="229">
        <f t="shared" si="63"/>
        <v>2.1219844082566364</v>
      </c>
      <c r="AZ122" s="230">
        <f t="shared" si="83"/>
        <v>0.50665729968234108</v>
      </c>
      <c r="BA122" s="209">
        <f>IF(BA$7="X",VLOOKUP(BA$10,'VK-Hooned-Soojus'!$C:$X,2+$C122,FALSE),0)+IF(BA$6="X",VLOOKUP(BA$10,'VK-Transport'!$C:$X,2+$B122,0))+IF(BA$8="X",VLOOKUP(BA$10,'VK-Elekter'!$C:$X,2+$D122,0))+IF(BA$9="X",VLOOKUP(BA$10,'VK-Biokütused'!$C:$U,2+$E122,0))+IF(BA$5="X",VLOOKUP(BA$10,'VK-Põlevkivi'!$C:$X,2+$G122,0))+IF(BA$4="X",VLOOKUP(BA$10,'VK-Võrgud'!$C:$X,2+$F122,0))</f>
        <v>4.2</v>
      </c>
      <c r="BB122" s="209">
        <f>IF(BB$7="X",VLOOKUP(BB$10,'VK-Hooned-Soojus'!$C:$X,2+$C122,FALSE),0)+IF(BB$6="X",VLOOKUP(BB$10,'VK-Transport'!$C:$X,2+$B122,0))+IF(BB$8="X",VLOOKUP(BB$10,'VK-Elekter'!$C:$X,2+$D122,0))+IF(BB$9="X",VLOOKUP(BB$10,'VK-Biokütused'!$C:$U,2+$E122,0))+IF(BB$5="X",VLOOKUP(BB$10,'VK-Põlevkivi'!$C:$X,2+$G122,0))+IF(BB$4="X",VLOOKUP(BB$10,'VK-Võrgud'!$C:$X,2+$F122,0))</f>
        <v>5.1000000000000005</v>
      </c>
      <c r="BC122" s="209">
        <f>IF(BC$7="X",VLOOKUP(BC$10,'VK-Hooned-Soojus'!$C:$X,2+$C122,FALSE),0)+IF(BC$6="X",VLOOKUP(BC$10,'VK-Transport'!$C:$X,2+$B122,0))+IF(BC$8="X",VLOOKUP(BC$10,'VK-Elekter'!$C:$X,2+$D122,0))+IF(BC$9="X",VLOOKUP(BC$10,'VK-Biokütused'!$C:$U,2+$E122,0))+IF(BC$5="X",VLOOKUP(BC$10,'VK-Põlevkivi'!$C:$X,2+$G122,0))+IF(BC$4="X",VLOOKUP(BC$10,'VK-Võrgud'!$C:$X,2+$F122,0))</f>
        <v>6.5993333333333322</v>
      </c>
      <c r="BD122" s="209">
        <f>IF(BD$7="X",VLOOKUP(BD$10,'VK-Hooned-Soojus'!$C:$X,2+$C122,FALSE),0)+IF(BD$6="X",VLOOKUP(BD$10,'VK-Transport'!$C:$X,2+$B122,0))+IF(BD$8="X",VLOOKUP(BD$10,'VK-Elekter'!$C:$X,2+$D122,0))+IF(BD$9="X",VLOOKUP(BD$10,'VK-Biokütused'!$C:$U,2+$E122,0))+IF(BD$5="X",VLOOKUP(BD$10,'VK-Põlevkivi'!$C:$X,2+$G122,0))+IF(BD$4="X",VLOOKUP(BD$10,'VK-Võrgud'!$C:$X,2+$F122,0))</f>
        <v>9.425416666666667</v>
      </c>
      <c r="BE122" s="230"/>
      <c r="BF122" s="229">
        <f t="shared" si="64"/>
        <v>0.40982462181179752</v>
      </c>
      <c r="BG122" s="209" t="e">
        <f>(IF(BG$7="X",VLOOKUP(BG$10,'VK-Hooned-Soojus'!$C:$X,2+$C122,FALSE),0)+IF(BG$6="X",VLOOKUP(BG$10,'VK-Transport'!$C:$X,2+$B122,0))+IF(BG$8="X",VLOOKUP(BG$10,'VK-Elekter'!$C:$X,2+$D122,0))+IF(BG$9="X",VLOOKUP(BG$10,'VK-Biokütused'!$C:$U,2+$E122,0))+IF(BG$5="X",VLOOKUP(BG$10,'VK-Põlevkivi'!$C:$X,2+$G122,0))+IF(BG$4="X",VLOOKUP(BG$10,'VK-Võrgud'!$C:$X,2+$F122,0)))/20</f>
        <v>#N/A</v>
      </c>
      <c r="BH122" s="209">
        <f>(IF(BH$7="X",VLOOKUP(BH$10,'VK-Hooned-Soojus'!$C:$X,2+$C122,FALSE),0)+IF(BH$6="X",VLOOKUP(BH$10,'VK-Transport'!$C:$X,2+$B122,0))+IF(BH$8="X",VLOOKUP(BH$10,'VK-Elekter'!$C:$X,2+$D122,0))+IF(BH$9="X",VLOOKUP(BH$10,'VK-Biokütused'!$C:$U,2+$E122,0))+IF(BH$5="X",VLOOKUP(BH$10,'VK-Põlevkivi'!$C:$X,2+$G122,0))+IF(BH$4="X",VLOOKUP(BH$10,'VK-Võrgud'!$C:$X,2+$F122,0)))/20</f>
        <v>45.08</v>
      </c>
      <c r="BI122" s="209">
        <f>(IF(BI$7="X",VLOOKUP(BI$10,'VK-Hooned-Soojus'!$C:$X,2+$C122,FALSE),0)+IF(BI$6="X",VLOOKUP(BI$10,'VK-Transport'!$C:$X,2+$B122,0))+IF(BI$8="X",VLOOKUP(BI$10,'VK-Elekter'!$C:$X,2+$D122,0))+IF(BI$9="X",VLOOKUP(BI$10,'VK-Biokütused'!$C:$U,2+$E122,0))+IF(BI$5="X",VLOOKUP(BI$10,'VK-Põlevkivi'!$C:$X,2+$G122,0))+IF(BI$4="X",VLOOKUP(BI$10,'VK-Võrgud'!$C:$X,2+$F122,0)))/16</f>
        <v>14.1875</v>
      </c>
      <c r="BJ122" s="209">
        <f>(IF(BJ$7="X",VLOOKUP(BJ$10,'VK-Hooned-Soojus'!$C:$X,2+$C122,FALSE),0)+IF(BJ$6="X",VLOOKUP(BJ$10,'VK-Transport'!$C:$X,2+$B122,0))+IF(BJ$8="X",VLOOKUP(BJ$10,'VK-Elekter'!$C:$X,2+$D122,0))+IF(BJ$9="X",VLOOKUP(BJ$10,'VK-Biokütused'!$C:$U,2+$E122,0))+IF(BJ$5="X",VLOOKUP(BJ$10,'VK-Põlevkivi'!$C:$X,2+$G122,0))+IF(BJ$4="X",VLOOKUP(BJ$10,'VK-Võrgud'!$C:$X,2+$F122,0)))/20</f>
        <v>3.91</v>
      </c>
      <c r="BK122" s="209"/>
      <c r="BL122" s="209"/>
      <c r="BM122" s="209"/>
      <c r="BN122" s="209" t="e">
        <f>(IF(BN$7="X",VLOOKUP(BN$10,'VK-Hooned-Soojus'!$C:$X,2+$C122,FALSE),0)+IF(BN$6="X",VLOOKUP(BN$10,'VK-Transport'!$C:$X,2+$B122,0))+IF(BN$8="X",VLOOKUP(BN$10,'VK-Elekter'!$C:$X,2+$D122,0))+IF(BN$9="X",VLOOKUP(BN$10,'VK-Biokütused'!$C:$U,2+$E122,0))+IF(BN$5="X",VLOOKUP(BN$10,'VK-Põlevkivi'!$C:$X,2+$G122,0))+IF(BN$4="X",VLOOKUP(BN$10,'VK-Võrgud'!$C:$X,2+$F122,0)))/16</f>
        <v>#N/A</v>
      </c>
      <c r="BO122" s="209">
        <f>(IF(BO$7="X",VLOOKUP(BO$10,'VK-Hooned-Soojus'!$C:$X,2+$C122,FALSE),0)+IF(BO$6="X",VLOOKUP(BO$10,'VK-Transport'!$C:$X,2+$B122,0))+IF(BO$8="X",VLOOKUP(BO$10,'VK-Elekter'!$C:$X,2+$D122,0))+IF(BO$9="X",VLOOKUP(BO$10,'VK-Biokütused'!$C:$U,2+$E122,0))+IF(BO$5="X",VLOOKUP(BO$10,'VK-Põlevkivi'!$C:$X,2+$G122,0))+IF(BO$4="X",VLOOKUP(BO$10,'VK-Võrgud'!$C:$X,2+$F122,0)))/16</f>
        <v>322.79374999999999</v>
      </c>
      <c r="BP122" s="209"/>
      <c r="BQ122" s="209">
        <f>(IF(BQ$7="X",VLOOKUP(BQ$10,'VK-Hooned-Soojus'!$C:$X,2+$C122,FALSE),0)+IF(BQ$6="X",VLOOKUP(BQ$10,'VK-Transport'!$C:$X,2+$B122,0))+IF(BQ$8="X",VLOOKUP(BQ$10,'VK-Elekter'!$C:$X,2+$D122,0))+IF(BQ$9="X",VLOOKUP(BQ$10,'VK-Biokütused'!$C:$U,2+$E122,0))+IF(BQ$5="X",VLOOKUP(BQ$10,'VK-Põlevkivi'!$C:$X,2+$G122,0))+IF(BQ$4="X",VLOOKUP(BQ$10,'VK-Võrgud'!$C:$X,2+$F122,0)))/16</f>
        <v>233.20625000000001</v>
      </c>
      <c r="BR122" s="209">
        <f>(IF(BR$7="X",VLOOKUP(BR$10,'VK-Hooned-Soojus'!$C:$X,2+$C122,FALSE),0)+IF(BR$6="X",VLOOKUP(BR$10,'VK-Transport'!$C:$X,2+$B122,0))+IF(BR$8="X",VLOOKUP(BR$10,'VK-Elekter'!$C:$X,2+$D122,0))+IF(BR$9="X",VLOOKUP(BR$10,'VK-Biokütused'!$C:$U,2+$E122,0))+IF(BR$5="X",VLOOKUP(BR$10,'VK-Põlevkivi'!$C:$X,2+$G122,0))+IF(BR$4="X",VLOOKUP(BR$10,'VK-Võrgud'!$C:$X,2+$F122,0)))/16</f>
        <v>74.512500000000003</v>
      </c>
      <c r="BS122" s="209">
        <f>(IF(BS$7="X",VLOOKUP(BS$10,'VK-Hooned-Soojus'!$C:$X,2+$C122,FALSE),0)+IF(BS$6="X",VLOOKUP(BS$10,'VK-Transport'!$C:$X,2+$B122,0))+IF(BS$8="X",VLOOKUP(BS$10,'VK-Elekter'!$C:$X,2+$D122,0))+IF(BS$9="X",VLOOKUP(BS$10,'VK-Biokütused'!$C:$U,2+$E122,0))+IF(BS$5="X",VLOOKUP(BS$10,'VK-Põlevkivi'!$C:$X,2+$G122,0))+IF(BS$4="X",VLOOKUP(BS$10,'VK-Võrgud'!$C:$X,2+$F122,0)))/16</f>
        <v>-21.475000000000001</v>
      </c>
      <c r="BT122" s="209"/>
      <c r="BU122" s="209"/>
      <c r="BV122" s="209">
        <f>(IF(BV$7="X",VLOOKUP(BV$10,'VK-Hooned-Soojus'!$C:$X,2+$C122,FALSE),0)+IF(BV$6="X",VLOOKUP(BV$10,'VK-Transport'!$C:$X,2+$B122,0))+IF(BV$8="X",VLOOKUP(BV$10,'VK-Elekter'!$C:$X,2+$D122,0))+IF(BV$9="X",VLOOKUP(BV$10,'VK-Biokütused'!$C:$U,2+$E122,0))+IF(BV$5="X",VLOOKUP(BV$10,'VK-Põlevkivi'!$C:$X,2+$G122,0))+IF(BV$4="X",VLOOKUP(BV$10,'VK-Võrgud'!$C:$X,2+$F122,0)))/16</f>
        <v>0</v>
      </c>
      <c r="BW122" s="209"/>
      <c r="BX122" s="209">
        <f>(IF(BX$7="X",VLOOKUP(BX$10,'VK-Hooned-Soojus'!$C:$X,2+$C122,FALSE),0)+IF(BX$6="X",VLOOKUP(BX$10,'VK-Transport'!$C:$X,2+$B122,0))+IF(BX$8="X",VLOOKUP(BX$10,'VK-Elekter'!$C:$X,2+$D122,0))+IF(BX$9="X",VLOOKUP(BX$10,'VK-Biokütused'!$C:$U,2+$E122,0))+IF(BX$5="X",VLOOKUP(BX$10,'VK-Põlevkivi'!$C:$X,2+$G122,0))+IF(BX$4="X",VLOOKUP(BX$10,'VK-Võrgud'!$C:$X,2+$F122,0)))/16</f>
        <v>-99.4375</v>
      </c>
      <c r="BY122" s="209"/>
      <c r="BZ122" s="209"/>
      <c r="CA122" s="209" t="e">
        <f>(IF(CA$7="X",VLOOKUP(CA$10,'VK-Hooned-Soojus'!$C:$X,2+$C122,FALSE),0)+IF(CA$6="X",VLOOKUP(CA$10,'VK-Transport'!$C:$X,2+$B122,0))+IF(CA$8="X",VLOOKUP(CA$10,'VK-Elekter'!$C:$X,2+$D122,0))+IF(CA$9="X",VLOOKUP(CA$10,'VK-Biokütused'!$C:$U,2+$E122,0))+IF(CA$5="X",VLOOKUP(CA$10,'VK-Põlevkivi'!$C:$X,2+$G122,0))+IF(CA$4="X",VLOOKUP(CA$10,'VK-Võrgud'!$C:$X,2+$F122,0)))/16</f>
        <v>#N/A</v>
      </c>
      <c r="CB122" s="209">
        <f>(IF(CB$7="X",VLOOKUP(CB$10,'VK-Hooned-Soojus'!$C:$X,2+$C122,FALSE),0)+IF(CB$6="X",VLOOKUP(CB$10,'VK-Transport'!$C:$X,2+$B122,0))+IF(CB$8="X",VLOOKUP(CB$10,'VK-Elekter'!$C:$X,2+$D122,0))+IF(CB$9="X",VLOOKUP(CB$10,'VK-Biokütused'!$C:$U,2+$E122,0))+IF(CB$5="X",VLOOKUP(CB$10,'VK-Põlevkivi'!$C:$X,2+$G122,0))+IF(CB$4="X",VLOOKUP(CB$10,'VK-Võrgud'!$C:$X,2+$F122,0)))/16</f>
        <v>0</v>
      </c>
      <c r="CC122" s="209">
        <f>(IF(CC$7="X",VLOOKUP(CC$10,'VK-Hooned-Soojus'!$C:$X,2+$C122,FALSE),0)+IF(CC$6="X",VLOOKUP(CC$10,'VK-Transport'!$C:$X,2+$B122,0))+IF(CC$8="X",VLOOKUP(CC$10,'VK-Elekter'!$C:$X,2+$D122,0))+IF(CC$9="X",VLOOKUP(CC$10,'VK-Biokütused'!$C:$U,2+$E122,0))+IF(CC$5="X",VLOOKUP(CC$10,'VK-Põlevkivi'!$C:$X,2+$G122,0))+IF(CC$4="X",VLOOKUP(CC$10,'VK-Võrgud'!$C:$X,2+$F122,0)))/16</f>
        <v>0</v>
      </c>
      <c r="CD122" s="209"/>
      <c r="CE122" s="209">
        <f>(IF(CE$7="X",VLOOKUP(CE$10,'VK-Hooned-Soojus'!$C:$X,2+$C122,FALSE),0)+IF(CE$6="X",VLOOKUP(CE$10,'VK-Transport'!$C:$X,2+$B122,0))+IF(CE$8="X",VLOOKUP(CE$10,'VK-Elekter'!$C:$X,2+$D122,0))+IF(CE$9="X",VLOOKUP(CE$10,'VK-Biokütused'!$C:$U,2+$E122,0))+IF(CE$5="X",VLOOKUP(CE$10,'VK-Põlevkivi'!$C:$X,2+$G122,0))+IF(CE$4="X",VLOOKUP(CE$10,'VK-Võrgud'!$C:$X,2+$F122,0)))/16</f>
        <v>24.15625</v>
      </c>
      <c r="CF122" s="209"/>
      <c r="CG122" s="209">
        <f>(IF(CG$7="X",VLOOKUP(CG$10,'VK-Hooned-Soojus'!$C:$X,2+$C122,FALSE),0)+IF(CG$6="X",VLOOKUP(CG$10,'VK-Transport'!$C:$X,2+$B122,0))+IF(CG$8="X",VLOOKUP(CG$10,'VK-Elekter'!$C:$X,2+$D122,0))+IF(CG$9="X",VLOOKUP(CG$10,'VK-Biokütused'!$C:$U,2+$E122,0))+IF(CG$5="X",VLOOKUP(CG$10,'VK-Põlevkivi'!$C:$X,2+$G122,0))+IF(CG$4="X",VLOOKUP(CG$10,'VK-Võrgud'!$C:$X,2+$F122,0)))/16</f>
        <v>0</v>
      </c>
      <c r="CH122" s="209">
        <f>(IF(CH$7="X",VLOOKUP(CH$10,'VK-Hooned-Soojus'!$C:$X,2+$C122,FALSE),0)+IF(CH$6="X",VLOOKUP(CH$10,'VK-Transport'!$C:$X,2+$B122,0))+IF(CH$8="X",VLOOKUP(CH$10,'VK-Elekter'!$C:$X,2+$D122,0))+IF(CH$9="X",VLOOKUP(CH$10,'VK-Biokütused'!$C:$U,2+$E122,0))+IF(CH$5="X",VLOOKUP(CH$10,'VK-Põlevkivi'!$C:$X,2+$G122,0))+IF(CH$4="X",VLOOKUP(CH$10,'VK-Võrgud'!$C:$X,2+$F122,0)))/20*0.21</f>
        <v>11.225549999999998</v>
      </c>
      <c r="CI122" s="209"/>
      <c r="CJ122" s="209">
        <f>(IF(CJ$7="X",VLOOKUP(CJ$10,'VK-Hooned-Soojus'!$C:$X,2+$C122,FALSE),0)+IF(CJ$6="X",VLOOKUP(CJ$10,'VK-Transport'!$C:$X,2+$B122,0))+IF(CJ$8="X",VLOOKUP(CJ$10,'VK-Elekter'!$C:$X,2+$D122,0))+IF(CJ$9="X",VLOOKUP(CJ$10,'VK-Biokütused'!$C:$U,2+$E122,0))+IF(CJ$5="X",VLOOKUP(CJ$10,'VK-Põlevkivi'!$C:$X,2+$G122,0))+IF(CJ$4="X",VLOOKUP(CJ$10,'VK-Võrgud'!$C:$X,2+$F122,0)))/1000</f>
        <v>17.167861099430585</v>
      </c>
      <c r="CK122" s="209">
        <f>(IF(CK$7="X",VLOOKUP(CK$10,'VK-Hooned-Soojus'!$C:$X,2+$C122,FALSE),0)+IF(CK$6="X",VLOOKUP(CK$10,'VK-Transport'!$C:$X,2+$B122,0))+IF(CK$8="X",VLOOKUP(CK$10,'VK-Elekter'!$C:$X,2+$D122,0))+IF(CK$9="X",VLOOKUP(CK$10,'VK-Biokütused'!$C:$U,2+$E122,0))+IF(CK$5="X",VLOOKUP(CK$10,'VK-Põlevkivi'!$C:$X,2+$G122,0))+IF(CK$4="X",VLOOKUP(CK$10,'VK-Võrgud'!$C:$X,2+$F122,0)))/1000</f>
        <v>11.869077976340797</v>
      </c>
      <c r="CL122" s="235">
        <f>(IF(CL$7="X",VLOOKUP(CL$10,'VK-Hooned-Soojus'!$C:$X,2+$C122,FALSE),0)+IF(CL$6="X",VLOOKUP(CL$10,'VK-Transport'!$C:$X,2+$B122,0))+IF(CL$8="X",VLOOKUP(CL$10,'VK-Elekter'!$C:$X,2+$D122,0))+IF(CL$9="X",VLOOKUP(CL$10,'VK-Biokütused'!$C:$U,2+$E122,0)))/1000</f>
        <v>7.494282692299028</v>
      </c>
      <c r="CM122" s="209">
        <f>(IF(CM$7="X",VLOOKUP(CM$10,'VK-Hooned-Soojus'!$C:$X,2+$C122,FALSE),0)+IF(CM$6="X",VLOOKUP(CM$10,'VK-Transport'!$C:$X,2+$B122,0))+IF(CM$8="X",VLOOKUP(CM$10,'VK-Elekter'!$C:$X,2+$D122,0))+IF(CM$9="X",VLOOKUP(CM$10,'VK-Biokütused'!$C:$U,2+$E122,0))+IF(CM$5="X",VLOOKUP(CM$10,'VK-Põlevkivi'!$C:$X,2+$G122,0))+IF(CM$4="X",VLOOKUP(CM$10,'VK-Võrgud'!$C:$X,2+$F122,0)))/1000</f>
        <v>7.7603156794471024</v>
      </c>
      <c r="CN122" s="209">
        <f>(IF(CN$7="X",VLOOKUP(CN$10,'VK-Hooned-Soojus'!$C:$X,2+$C122,FALSE),0)+IF(CN$6="X",VLOOKUP(CN$10,'VK-Transport'!$C:$X,2+$B122,0))+IF(CN$8="X",VLOOKUP(CN$10,'VK-Elekter'!$C:$X,2+$D122,0))+IF(CN$9="X",VLOOKUP(CN$10,'VK-Biokütused'!$C:$U,2+$E122,0))+IF(CN$5="X",VLOOKUP(CN$10,'VK-Põlevkivi'!$C:$X,2+$G122,0))+IF(CN$4="X",VLOOKUP(CN$10,'VK-Võrgud'!$C:$X,2+$F122,0)))/1000</f>
        <v>2.8759999999999999</v>
      </c>
      <c r="CO122" s="209">
        <f>(IF(CO$7="X",VLOOKUP(CO$10,'VK-Hooned-Soojus'!$C:$X,2+$C122,FALSE),0)+IF(CO$6="X",VLOOKUP(CO$10,'VK-Transport'!$C:$X,2+$B122,0))+IF(CO$8="X",VLOOKUP(CO$10,'VK-Elekter'!$C:$X,2+$D122,0))+IF(CO$9="X",VLOOKUP(CO$10,'VK-Biokütused'!$C:$U,2+$E122,0))+IF(CO$5="X",VLOOKUP(CO$10,'VK-Põlevkivi'!$C:$X,2+$G122,0))+IF(CO$4="X",VLOOKUP(CO$10,'VK-Võrgud'!$C:$X,2+$F122,0)))/1000</f>
        <v>23.745362337356994</v>
      </c>
      <c r="CP122" s="209">
        <f>(IF(CP$7="X",VLOOKUP(CP$10,'VK-Hooned-Soojus'!$C:$X,2+$C122,FALSE),0)+IF(CP$6="X",VLOOKUP(CP$10,'VK-Transport'!$C:$X,2+$B122,0))+IF(CP$8="X",VLOOKUP(CP$10,'VK-Elekter'!$C:$X,2+$D122,0))+IF(CP$9="X",VLOOKUP(CP$10,'VK-Biokütused'!$C:$U,2+$E122,0))+IF(CP$5="X",VLOOKUP(CP$10,'VK-Põlevkivi'!$C:$X,2+$G122,0))+IF(CP$4="X",VLOOKUP(CP$10,'VK-Võrgud'!$C:$X,2+$F122,0)))/1000</f>
        <v>13.441392120693662</v>
      </c>
      <c r="CQ122" s="235">
        <f>(IF(CQ$7="X",VLOOKUP(CQ$10,'VK-Hooned-Soojus'!$C:$X,2+$C122,FALSE),0)+IF(CQ$6="X",VLOOKUP(CQ$10,'VK-Transport'!$C:$X,2+$B122,0))+IF(CQ$8="X",VLOOKUP(CQ$10,'VK-Elekter'!$C:$X,2+$D122,0))+IF(CQ$9="X",VLOOKUP(CQ$10,'VK-Biokütused'!$C:$U,2+$E122,0)))/1000</f>
        <v>10.327919</v>
      </c>
      <c r="CR122" s="209">
        <f>(IF(CR$7="X",VLOOKUP(CR$10,'VK-Hooned-Soojus'!$C:$X,2+$C122,FALSE),0)+IF(CR$6="X",VLOOKUP(CR$10,'VK-Transport'!$C:$X,2+$B122,0))+IF(CR$8="X",VLOOKUP(CR$10,'VK-Elekter'!$C:$X,2+$D122,0))+IF(CR$9="X",VLOOKUP(CR$10,'VK-Biokütused'!$C:$U,2+$E122,0))+IF(CR$5="X",VLOOKUP(CR$10,'VK-Põlevkivi'!$C:$X,2+$G122,0))+IF(CR$4="X",VLOOKUP(CR$10,'VK-Võrgud'!$C:$X,2+$F122,0)))/1000</f>
        <v>7.866751837399689</v>
      </c>
      <c r="CS122" s="209">
        <f>(IF(CS$7="X",VLOOKUP(CS$10,'VK-Hooned-Soojus'!$C:$X,2+$C122,FALSE),0)+IF(CS$6="X",VLOOKUP(CS$10,'VK-Transport'!$C:$X,2+$B122,0))+IF(CS$8="X",VLOOKUP(CS$10,'VK-Elekter'!$C:$X,2+$D122,0))+IF(CS$9="X",VLOOKUP(CS$10,'VK-Biokütused'!$C:$U,2+$E122,0))+IF(CS$5="X",VLOOKUP(CS$10,'VK-Põlevkivi'!$C:$X,2+$G122,0))+IF(CS$4="X",VLOOKUP(CS$10,'VK-Võrgud'!$C:$X,2+$F122,0)))/1000</f>
        <v>3.8186495098622379</v>
      </c>
      <c r="CT122" s="209">
        <f>IF(CT$7="X",VLOOKUP(CT$10,'VK-Hooned-Soojus'!$C:$X,2+$C122,FALSE),0)+IF(CT$6="X",VLOOKUP(CT$10,'VK-Transport'!$C:$X,2+$B122,0))+IF(CT$8="X",VLOOKUP(CT$10,'VK-Elekter'!$C:$X,2+$D122,0))+IF(CT$9="X",VLOOKUP(CT$10,'VK-Biokütused'!$C:$U,2+$E122,0))+IF(CT$5="X",VLOOKUP(CT$10,'VK-Põlevkivi'!$C:$X,2+$G122,0))+IF(CT$4="X",VLOOKUP(CT$10,'VK-Võrgud'!$C:$X,2+$F122,0))</f>
        <v>90</v>
      </c>
      <c r="CU122" s="209">
        <f>IF(CU$7="X",VLOOKUP(CU$10,'VK-Hooned-Soojus'!$C:$X,2+$C122,FALSE),0)+IF(CU$6="X",VLOOKUP(CU$10,'VK-Transport'!$C:$X,2+$B122,0))+IF(CU$8="X",VLOOKUP(CU$10,'VK-Elekter'!$C:$X,2+$D122,0))+IF(CU$9="X",VLOOKUP(CU$10,'VK-Biokütused'!$C:$U,2+$E122,0))+IF(CU$5="X",VLOOKUP(CU$10,'VK-Põlevkivi'!$C:$X,2+$G122,0))+IF(CU$4="X",VLOOKUP(CU$10,'VK-Võrgud'!$C:$X,2+$F122,0))</f>
        <v>0.9337349397590361</v>
      </c>
      <c r="CV122" s="209">
        <f t="shared" si="84"/>
        <v>1</v>
      </c>
      <c r="CW122" s="209">
        <f>(IF(CW$7="X",VLOOKUP(CW$10,'VK-Hooned-Soojus'!$C:$X,2+$C122,FALSE),0)+IF(CW$6="X",VLOOKUP(CW$10,'VK-Transport'!$C:$X,2+$B122,0))+IF(CW$8="X",VLOOKUP(CW$10,'VK-Elekter'!$C:$X,2+$D122,0))+IF(CW$9="X",VLOOKUP(CW$10,'VK-Biokütused'!$C:$U,2+$E122,0))+IF(CW$5="X",VLOOKUP(CW$10,'VK-Põlevkivi'!$C:$X,2+$G122,0))+IF(CW$4="X",VLOOKUP(CW$10,'VK-Võrgud'!$C:$X,2+$F122,0)))/16</f>
        <v>0</v>
      </c>
      <c r="CY122" s="209">
        <f>(IF(CY$7="X",VLOOKUP(CY$10,'VK-Hooned-Soojus'!$C:$X,2+$C122,FALSE),0)+IF(CY$6="X",VLOOKUP(CY$10,'VK-Transport'!$C:$X,2+$B122,0))+IF(CY$8="X",VLOOKUP(CY$10,'VK-Elekter'!$C:$X,2+$D122,0))+IF(CY$9="X",VLOOKUP(CY$10,'VK-Biokütused'!$C:$U,2+$E122,0))+IF(CY$5="X",VLOOKUP(CY$10,'VK-Põlevkivi'!$C:$X,2+$G122,0))+IF(CY$4="X",VLOOKUP(CY$10,'VK-Võrgud'!$C:$X,2+$F122,0)))/1000</f>
        <v>9.8919999999999995</v>
      </c>
      <c r="CZ122" s="209">
        <f>(IF(CZ$7="X",VLOOKUP(CZ$10,'VK-Hooned-Soojus'!$C:$X,2+$C122,FALSE),0)+IF(CZ$6="X",VLOOKUP(CZ$10,'VK-Transport'!$C:$X,2+$B122,0))+IF(CZ$8="X",VLOOKUP(CZ$10,'VK-Elekter'!$C:$X,2+$D122,0))+IF(CZ$9="X",VLOOKUP(CZ$10,'VK-Biokütused'!$C:$U,2+$E122,0))+IF(CZ$5="X",VLOOKUP(CZ$10,'VK-Põlevkivi'!$C:$X,2+$G122,0))+IF(CZ$4="X",VLOOKUP(CZ$10,'VK-Võrgud'!$C:$X,2+$F122,0)))</f>
        <v>67</v>
      </c>
      <c r="DA122" s="209">
        <f>(IF(DA$7="X",VLOOKUP(DA$10,'VK-Hooned-Soojus'!$C:$X,2+$C122,FALSE),0)+IF(DA$6="X",VLOOKUP(DA$10,'VK-Transport'!$C:$X,2+$B122,0))+IF(DA$8="X",VLOOKUP(DA$10,'VK-Elekter'!$C:$X,2+$D122,0))+IF(DA$9="X",VLOOKUP(DA$10,'VK-Biokütused'!$C:$U,2+$E122,0))+IF(DA$5="X",VLOOKUP(DA$10,'VK-Põlevkivi'!$C:$X,2+$G122,0))+IF(DA$4="X",VLOOKUP(DA$10,'VK-Võrgud'!$C:$X,2+$F122,0)))/1000</f>
        <v>12.89</v>
      </c>
      <c r="DB122" s="209">
        <f>(IF(DB$7="X",VLOOKUP(DB$10,'VK-Hooned-Soojus'!$C:$X,2+$C122,FALSE),0)+IF(DB$6="X",VLOOKUP(DB$10,'VK-Transport'!$C:$X,2+$B122,0))+IF(DB$8="X",VLOOKUP(DB$10,'VK-Elekter'!$C:$X,2+$D122,0))+IF(DB$9="X",VLOOKUP(DB$10,'VK-Biokütused'!$C:$U,2+$E122,0))+IF(DB$5="X",VLOOKUP(DB$10,'VK-Põlevkivi'!$C:$X,2+$G122,0))+IF(DB$4="X",VLOOKUP(DB$10,'VK-Võrgud'!$C:$X,2+$F122,0)))/1000/3.6</f>
        <v>58.230555555555554</v>
      </c>
      <c r="DC122" s="209">
        <f>(IF(DC$7="X",VLOOKUP(DC$10,'VK-Hooned-Soojus'!$C:$X,2+$C122,FALSE),0)+IF(DC$6="X",VLOOKUP(DC$10,'VK-Transport'!$C:$X,2+$B122,0))+IF(DC$8="X",VLOOKUP(DC$10,'VK-Elekter'!$C:$X,2+$D122,0))+IF(DC$9="X",VLOOKUP(DC$10,'VK-Biokütused'!$C:$U,2+$E122,0))+IF(DC$5="X",VLOOKUP(DC$10,'VK-Põlevkivi'!$C:$X,2+$G122,0))+IF(DC$4="X",VLOOKUP(DC$10,'VK-Võrgud'!$C:$X,2+$F122,0)))/1000000</f>
        <v>4.6795299999999997</v>
      </c>
      <c r="DD122" s="209"/>
      <c r="DE122" s="88">
        <f>VLOOKUP(Tulemused!$BN$12,data!M$7:N$12,2,FALSE)-SUM(L122,M122)</f>
        <v>-5.2509373024363981E-2</v>
      </c>
      <c r="DF122" s="209" t="str">
        <f>IF(AZ122&lt;=VLOOKUP(Tulemused!$BN$15,data!$E$36:$F$39,2,FALSE),"JAH","EI")</f>
        <v>JAH</v>
      </c>
      <c r="DG122" s="209"/>
      <c r="DH122" s="209">
        <f t="shared" si="85"/>
        <v>6.28</v>
      </c>
      <c r="DI122" s="231" t="str">
        <f t="shared" si="65"/>
        <v>EI</v>
      </c>
      <c r="DK122" s="232">
        <f t="shared" si="86"/>
        <v>-993.97274048478425</v>
      </c>
      <c r="DM122" s="233">
        <f t="shared" si="87"/>
        <v>-997.4416442308376</v>
      </c>
      <c r="DN122" s="87">
        <f t="array" ref="DN122">INDEX($A$11:$A$145, SMALL(IF(DM122=$DK$11:$DK$145, MATCH(ROW($DK$11:$DK$145), ROW($DK$11:$DK$145))), SUM(--(DM122=$DM$11:DM122))))</f>
        <v>9</v>
      </c>
      <c r="DP122" s="87" t="e">
        <f t="shared" ca="1" si="66"/>
        <v>#N/A</v>
      </c>
      <c r="DQ122" s="87" t="e">
        <f t="shared" ca="1" si="67"/>
        <v>#N/A</v>
      </c>
      <c r="DR122" s="87">
        <f t="shared" ca="1" si="68"/>
        <v>0</v>
      </c>
      <c r="DS122" s="87" t="e">
        <f t="shared" ca="1" si="69"/>
        <v>#N/A</v>
      </c>
      <c r="DT122" s="87">
        <f t="shared" ca="1" si="70"/>
        <v>0</v>
      </c>
      <c r="DU122" s="87" t="e">
        <f t="shared" ca="1" si="71"/>
        <v>#N/A</v>
      </c>
      <c r="DV122" s="87" t="e">
        <f t="shared" ca="1" si="72"/>
        <v>#N/A</v>
      </c>
      <c r="DW122" s="87">
        <f t="shared" ca="1" si="73"/>
        <v>0</v>
      </c>
      <c r="DX122" s="87">
        <f t="shared" ca="1" si="74"/>
        <v>0</v>
      </c>
      <c r="DZ122" s="87">
        <f t="shared" ca="1" si="82"/>
        <v>0</v>
      </c>
      <c r="EB122" s="87">
        <f t="shared" ca="1" si="75"/>
        <v>0</v>
      </c>
      <c r="EC122" s="87" t="e">
        <f t="shared" ca="1" si="76"/>
        <v>#N/A</v>
      </c>
      <c r="EE122" s="228">
        <f>(IF(EE$7="X",VLOOKUP(EE$10,'VK-Hooned-Soojus'!$C:$X,2+$C122,FALSE),0)+IF(EE$6="X",VLOOKUP(EE$10,'VK-Transport'!$C:$X,2+$B122,0))+IF(EE$8="X",VLOOKUP(EE$10,'VK-Elekter'!$C:$X,2+$D122,0))+IF(EE$9="X",VLOOKUP(EE$10,'VK-Biokütused'!$C:$U,2+$E122,0))+IF(EE$5="X",VLOOKUP(EE$10,'VK-Põlevkivi'!$C:$X,2+$G122,0))+IF(EE$4="X",VLOOKUP(EE$10,'VK-Võrgud'!$C:$X,2+$F122,0)))</f>
        <v>8869.8545979882856</v>
      </c>
      <c r="EF122" s="235">
        <f>(IF(EF$7="X",VLOOKUP(EF$10,'VK-Hooned-Soojus'!$C:$X,2+$C122,FALSE),0)+IF(EF$6="X",VLOOKUP(EF$10,'VK-Transport'!$C:$X,2+$B122,0))+IF(EF$8="X",VLOOKUP(EF$10,'VK-Elekter'!$C:$X,2+$D122,0))+IF(EF$9="X",VLOOKUP(EF$10,'VK-Biokütused'!$C:$U,2+$E122,0)))/1000</f>
        <v>3.0048849906373198</v>
      </c>
      <c r="EG122" s="209">
        <f>(IF(EG$7="X",VLOOKUP(EG$10,'VK-Hooned-Soojus'!$C:$X,2+$C122,FALSE),0)+IF(EG$6="X",VLOOKUP(EG$10,'VK-Transport'!$C:$X,2+$B122,0))+IF(EG$8="X",VLOOKUP(EG$10,'VK-Elekter'!$C:$X,2+$D122,0))+IF(EG$9="X",VLOOKUP(EG$10,'VK-Biokütused'!$C:$U,2+$E122,0))+IF(EG$5="X",VLOOKUP(EG$10,'VK-Põlevkivi'!$C:$X,2+$G122,0))+IF(EG$4="X",VLOOKUP(EG$10,'VK-Võrgud'!$C:$X,2+$F122,0)))</f>
        <v>2.95</v>
      </c>
      <c r="EH122" s="209">
        <f>(IF(EH$7="X",VLOOKUP(EH$10,'VK-Hooned-Soojus'!$C:$X,2+$C122,FALSE),0)+IF(EH$6="X",VLOOKUP(EH$10,'VK-Transport'!$C:$X,2+$B122,0))+IF(EH$8="X",VLOOKUP(EH$10,'VK-Elekter'!$C:$X,2+$D122,0))+IF(EH$9="X",VLOOKUP(EH$10,'VK-Biokütused'!$C:$U,2+$E122,0)))+AR122+AS122+AU122+AX122</f>
        <v>50.256621447028422</v>
      </c>
      <c r="EI122" s="320">
        <f t="shared" si="88"/>
        <v>45.072900516795862</v>
      </c>
      <c r="EJ122" s="322">
        <f t="shared" si="89"/>
        <v>8.9622522089166823E-2</v>
      </c>
      <c r="EK122" s="323">
        <f t="shared" si="77"/>
        <v>0.50575663408967231</v>
      </c>
      <c r="EM122" s="209"/>
      <c r="EN122" s="209">
        <f t="shared" ca="1" si="90"/>
        <v>0</v>
      </c>
      <c r="EO122" s="209"/>
      <c r="EP122" s="234"/>
      <c r="EQ122" s="209">
        <f>(IF(EQ$7="X",VLOOKUP(EQ$10,'VK-Hooned-Soojus'!$C:$X,2+$C122,FALSE),0)+IF(EQ$6="X",VLOOKUP(EQ$10,'VK-Transport'!$C:$X,2+$B122,0))+IF(EQ$8="X",VLOOKUP(EQ$10,'VK-Elekter'!$C:$X,2+$D122,0))+IF(EQ$9="X",VLOOKUP(EQ$10,'VK-Biokütused'!$C:$U,2+$E122,0))+IF(EQ$5="X",VLOOKUP(EQ$10,'VK-Põlevkivi'!$C:$X,2+$G122,0))+IF(EQ$4="X",VLOOKUP(EQ$10,'VK-Võrgud'!$C:$X,2+$F122,0)))/1000</f>
        <v>0.21099999999999999</v>
      </c>
      <c r="ER122" s="209">
        <f>(IF(ER$7="X",VLOOKUP(ER$10,'VK-Hooned-Soojus'!$C:$X,2+$C122,FALSE),0)+IF(ER$6="X",VLOOKUP(ER$10,'VK-Transport'!$C:$X,2+$B122,0))+IF(ER$8="X",VLOOKUP(ER$10,'VK-Elekter'!$C:$X,2+$D122,0))+IF(ER$9="X",VLOOKUP(ER$10,'VK-Biokütused'!$C:$U,2+$E122,0))+IF(ER$5="X",VLOOKUP(ER$10,'VK-Põlevkivi'!$C:$X,2+$G122,0))+IF(ER$4="X",VLOOKUP(ER$10,'VK-Võrgud'!$C:$X,2+$F122,0)))</f>
        <v>0.76300000000000001</v>
      </c>
      <c r="ES122" s="209">
        <f>(IF(ES$7="X",VLOOKUP(ES$10,'VK-Hooned-Soojus'!$C:$X,2+$C122,FALSE),0)+IF(ES$6="X",VLOOKUP(ES$10,'VK-Transport'!$C:$X,2+$B122,0))+IF(ES$8="X",VLOOKUP(ES$10,'VK-Elekter'!$C:$X,2+$D122,0))+IF(ES$9="X",VLOOKUP(ES$10,'VK-Biokütused'!$C:$U,2+$E122,0))+IF(ES$5="X",VLOOKUP(ES$10,'VK-Põlevkivi'!$C:$X,2+$G122,0))+IF(ES$4="X",VLOOKUP(ES$10,'VK-Võrgud'!$C:$X,2+$F122,0)))</f>
        <v>6.28</v>
      </c>
      <c r="ET122" s="209"/>
      <c r="EU122" s="209"/>
      <c r="EV122" s="87">
        <f>'KSH järjestus'!AS115</f>
        <v>858</v>
      </c>
      <c r="EZ122" s="237">
        <f t="shared" si="91"/>
        <v>6.6265060240963902E-2</v>
      </c>
      <c r="FA122" s="209">
        <f>IF(FA$7="X",VLOOKUP(FA$10,'VK-Hooned-Soojus'!$C:$X,2+$C122,FALSE),0)+IF(FA$6="X",VLOOKUP(FA$10,'VK-Transport'!$C:$X,2+$B122,0))+IF(FA$8="X",VLOOKUP(FA$10,'VK-Elekter'!$C:$X,2+$D122,0))+IF(FA$9="X",VLOOKUP(FA$10,'VK-Biokütused'!$C:$U,2+$E122,0))+IF(FA$5="X",VLOOKUP(FA$10,'VK-Põlevkivi'!$C:$X,2+$G122,0))+IF(FA$4="X",VLOOKUP(FA$10,'VK-Võrgud'!$C:$X,2+$F122,0))</f>
        <v>2702.9189999999999</v>
      </c>
      <c r="FB122" s="279">
        <f>(IF(FB$7="X",VLOOKUP(FB$10,'VK-Hooned-Soojus'!$C:$X,2+$C122,FALSE),0)+IF(FB$6="X",VLOOKUP(FB$10,'VK-Transport'!$C:$X,2+$B122,0))+IF(FB$8="X",VLOOKUP(FB$10,'VK-Elekter'!$C:$X,2+$D122,0))+IF(FB$9="X",VLOOKUP(FB$10,'VK-Biokütused'!$C:$U,2+$E122,0))+IF(FB$5="X",VLOOKUP(FB$10,'VK-Põlevkivi'!$C:$X,2+$G122,0))+IF(FB$4="X",VLOOKUP(FB$10,'VK-Võrgud'!$C:$X,2+$F122,0)))/16</f>
        <v>388.38775916536429</v>
      </c>
      <c r="FC122" s="209">
        <f>IF(FC$7="X",VLOOKUP(FC$10,'VK-Hooned-Soojus'!$C:$X,2+$C122,FALSE),0)+IF(FC$6="X",VLOOKUP(FC$10,'VK-Transport'!$C:$X,2+$B122,0))+IF(FC$8="X",VLOOKUP(FC$10,'VK-Elekter'!$C:$X,2+$D122,0))+IF(FC$9="X",VLOOKUP(FC$10,'VK-Biokütused'!$C:$U,2+$E122,0))+IF(FC$5="X",VLOOKUP(FC$10,'VK-Põlevkivi'!$C:$X,2+$G122,0))+IF(FC$4="X",VLOOKUP(FC$10,'VK-Võrgud'!$C:$X,2+$F122,0))</f>
        <v>294.39999999999998</v>
      </c>
      <c r="FD122" s="209">
        <f>(IF(FD$7="X",VLOOKUP(FD$10,'VK-Hooned-Soojus'!$C:$X,2+$C122,FALSE),0)+IF(FD$6="X",VLOOKUP(FD$10,'VK-Transport'!$C:$X,2+$B122,0))+IF(FD$8="X",VLOOKUP(FD$10,'VK-Elekter'!$C:$X,2+$D122,0))+IF(FD$9="X",VLOOKUP(FD$10,'VK-Biokütused'!$C:$U,2+$E122,0))+IF(FD$5="X",VLOOKUP(FD$10,'VK-Põlevkivi'!$C:$X,2+$G122,0))+IF(FD$4="X",VLOOKUP(FD$10,'VK-Võrgud'!$C:$X,2+$F122,0)))/16</f>
        <v>388.38775916536429</v>
      </c>
      <c r="FE122" s="209">
        <f>(IF(FE$7="X",VLOOKUP(FE$10,'VK-Hooned-Soojus'!$C:$X,2+$C122,FALSE),0)+IF(FE$6="X",VLOOKUP(FE$10,'VK-Transport'!$C:$X,2+$B122,0))+IF(FE$8="X",VLOOKUP(FE$10,'VK-Elekter'!$C:$X,2+$D122,0))+IF(FE$9="X",VLOOKUP(FE$10,'VK-Biokütused'!$C:$U,2+$E122,0))+IF(FE$5="X",VLOOKUP(FE$10,'VK-Põlevkivi'!$C:$X,2+$G122,0))+IF(FE$4="X",VLOOKUP(FE$10,'VK-Võrgud'!$C:$X,2+$F122,0)))/16</f>
        <v>-77.297499999999999</v>
      </c>
      <c r="FF122" s="209">
        <f>(IF(FF$7="X",VLOOKUP(FF$10,'VK-Hooned-Soojus'!$C:$X,2+$C122,FALSE),0)+IF(FF$6="X",VLOOKUP(FF$10,'VK-Transport'!$C:$X,2+$B122,0))+IF(FF$8="X",VLOOKUP(FF$10,'VK-Elekter'!$C:$X,2+$D122,0))+IF(FF$9="X",VLOOKUP(FF$10,'VK-Biokütused'!$C:$U,2+$E122,0))+IF(FF$5="X",VLOOKUP(FF$10,'VK-Põlevkivi'!$C:$X,2+$G122,0))+IF(FF$4="X",VLOOKUP(FF$10,'VK-Võrgud'!$C:$X,2+$F122,0)))/16</f>
        <v>179.20569846243683</v>
      </c>
      <c r="FG122" s="88">
        <f t="shared" ca="1" si="78"/>
        <v>101.90819846243683</v>
      </c>
      <c r="FH122" s="88"/>
      <c r="FI122" s="88"/>
      <c r="FJ122" s="88">
        <f>VLOOKUP(Tulemused!$BN$12,data!M$7:N$12,2,FALSE)-SUM(L122,M122)</f>
        <v>-5.2509373024363981E-2</v>
      </c>
      <c r="FK122" s="209" t="str">
        <f>IF(AZ122&lt;=VLOOKUP(Tulemused!$BN$15,data!$E$36:$F$39,2,FALSE),"JAH","EI")</f>
        <v>JAH</v>
      </c>
      <c r="FL122" s="235">
        <f ca="1">IF(ISNA(MATCH($A122,INDIRECT(VLOOKUP(Tulemused!$BF$11,data!$J$57:$M$71,4,FALSE)))),0,MATCH($A122,INDIRECT(VLOOKUP(Tulemused!$BF$11,data!$J$57:$M$71,4,FALSE))))</f>
        <v>0</v>
      </c>
      <c r="FM122" s="235" t="str">
        <f t="shared" ca="1" si="92"/>
        <v>JAH</v>
      </c>
      <c r="FN122" s="209">
        <f>VLOOKUP(Tulemused!$BN$13,data!$C$132:$D$137,2,FALSE)-KOMBI!R122</f>
        <v>5.0490850093626811</v>
      </c>
      <c r="FO122" s="209"/>
      <c r="FP122" s="209">
        <f>VLOOKUP(Tulemused!$BN$17,NO_x,2,FALSE)-CJ122</f>
        <v>12.270138900569414</v>
      </c>
      <c r="FQ122" s="209">
        <f>VLOOKUP(Tulemused!$BN$18,SO_2,2,FALSE)-CK122</f>
        <v>40.014922023659203</v>
      </c>
      <c r="FR122" s="209">
        <f>VLOOKUP(Tulemused!$BN$19,LOU,2,FALSE)-CN122</f>
        <v>34.204000000000008</v>
      </c>
      <c r="FS122" s="209">
        <f>VLOOKUP(Tulemused!$BN$20,PM_2.5,2,FALSE)-CM122</f>
        <v>9.1546843205528958</v>
      </c>
      <c r="FT122" s="209">
        <f>VLOOKUP(Tulemused!$BN$13,data!$C$132:$D$137,2,FALSE)-FA122/1000</f>
        <v>3.5430510000000006</v>
      </c>
      <c r="FU122" s="209">
        <f>VLOOKUP(Tulemused!$BN$17,NO_x,2,FALSE)-CO122</f>
        <v>5.6926376626430049</v>
      </c>
      <c r="FV122" s="209">
        <f>VLOOKUP(Tulemused!$BN$18,SO_2,2,FALSE)-CP122</f>
        <v>38.442607879306337</v>
      </c>
      <c r="FW122" s="209">
        <f>VLOOKUP(Tulemused!$BN$19,LOU,2,FALSE)-CS122</f>
        <v>33.261350490137765</v>
      </c>
      <c r="FX122" s="209">
        <f>VLOOKUP(Tulemused!$BN$20,PM_2.5,2,FALSE)-CR122</f>
        <v>9.0482481626003093</v>
      </c>
      <c r="FY122" s="209">
        <f>VLOOKUP(Tulemused!$BN$14,KHG_2050,2,FALSE)-EF122</f>
        <v>96.995115009362678</v>
      </c>
      <c r="FZ122" s="231" t="str">
        <f t="shared" ca="1" si="79"/>
        <v>EI</v>
      </c>
      <c r="GA122" s="209"/>
      <c r="GB122" s="209"/>
      <c r="GC122" s="209"/>
      <c r="GD122" s="231"/>
      <c r="GE122" s="87">
        <f t="shared" si="93"/>
        <v>858</v>
      </c>
      <c r="GF122" s="232" t="str">
        <f t="shared" ca="1" si="80"/>
        <v/>
      </c>
      <c r="GH122" s="238" t="e">
        <f t="shared" ca="1" si="94"/>
        <v>#NUM!</v>
      </c>
      <c r="GI122" s="87" t="e">
        <f t="array" aca="1" ref="GI122" ca="1">INDEX($A$11:$A$145, SMALL(IF(GH122=$GF$11:$GF$145, MATCH(ROW($GF$11:$GF$145), ROW($GF$11:$GF$145))), SUM(--(GH122=$GH$11:GH122))))</f>
        <v>#NUM!</v>
      </c>
      <c r="GM122" s="209">
        <f>IF(GM$7="X",VLOOKUP(GM$10,'VK-Hooned-Soojus'!$C:$X,2+$C122,FALSE),0)+IF(GM$6="X",VLOOKUP(GM$10,'VK-Transport'!$C:$X,2+$B122,0))+IF(GM$8="X",VLOOKUP(GM$10,'VK-Elekter'!$C:$X,2+$D122,0))+IF(GM$9="X",VLOOKUP(GM$10,'VK-Biokütused'!$C:$U,2+$E122,0))+IF(GM$5="X",VLOOKUP(GM$10,'VK-Põlevkivi'!$C:$X,2+$G122,0))+IF(GM$4="X",VLOOKUP(GM$10,'VK-Võrgud'!$C:$X,2+$F122,0))</f>
        <v>6.011750640646909</v>
      </c>
      <c r="GN122" s="209">
        <f>IF(GN$7="X",VLOOKUP(GN$10,'VK-Hooned-Soojus'!$C:$X,2+$C122,FALSE),0)+IF(GN$6="X",VLOOKUP(GN$10,'VK-Transport'!$C:$X,2+$B122,0))+IF(GN$8="X",VLOOKUP(GN$10,'VK-Elekter'!$C:$X,2+$D122,0))+IF(GN$9="X",VLOOKUP(GN$10,'VK-Biokütused'!$C:$U,2+$E122,0))+IF(GN$5="X",VLOOKUP(GN$10,'VK-Põlevkivi'!$C:$X,2+$G122,0))+IF(GN$4="X",VLOOKUP(GN$10,'VK-Võrgud'!$C:$X,2+$F122,0))</f>
        <v>3.4528686473995491</v>
      </c>
      <c r="GO122" s="209">
        <f>IF(GO$7="X",VLOOKUP(GO$10,'VK-Hooned-Soojus'!$C:$X,2+$C122,FALSE),0)+IF(GO$6="X",VLOOKUP(GO$10,'VK-Transport'!$C:$X,2+$B122,0))+IF(GO$8="X",VLOOKUP(GO$10,'VK-Elekter'!$C:$X,2+$D122,0))+IF(GO$9="X",VLOOKUP(GO$10,'VK-Biokütused'!$C:$U,2+$E122,0))+IF(GO$5="X",VLOOKUP(GO$10,'VK-Põlevkivi'!$C:$X,2+$G122,0))+IF(GO$4="X",VLOOKUP(GO$10,'VK-Võrgud'!$C:$X,2+$F122,0))</f>
        <v>7.936370010272257</v>
      </c>
      <c r="GP122" s="209">
        <f>IF(GP$7="X",VLOOKUP(GP$10,'VK-Hooned-Soojus'!$C:$X,2+$C122,FALSE),0)+IF(GP$6="X",VLOOKUP(GP$10,'VK-Transport'!$C:$X,2+$B122,0))+IF(GP$8="X",VLOOKUP(GP$10,'VK-Elekter'!$C:$X,2+$D122,0))+IF(GP$9="X",VLOOKUP(GP$10,'VK-Biokütused'!$C:$U,2+$E122,0))+IF(GP$5="X",VLOOKUP(GP$10,'VK-Põlevkivi'!$C:$X,2+$G122,0))+IF(GP$4="X",VLOOKUP(GP$10,'VK-Võrgud'!$C:$X,2+$F122,0))</f>
        <v>9.1527946929596489</v>
      </c>
      <c r="GQ122" s="88">
        <f>IF(GQ$7="X",VLOOKUP(GQ$10,'VK-Hooned-Soojus'!$C:$X,2+$C122,FALSE),0)+IF(GQ$6="X",VLOOKUP(GQ$10,'VK-Transport'!$C:$X,2+$B122,0))+IF(GQ$8="X",VLOOKUP(GQ$10,'VK-Elekter'!$C:$X,2+$D122,0))+IF(GQ$9="X",VLOOKUP(GQ$10,'VK-Biokütused'!$C:$U,2+$E122,0))+IF(GQ$5="X",VLOOKUP(GQ$10,'VK-Põlevkivi'!$C:$X,2+$G122,0))+IF(GQ$4="X",VLOOKUP(GQ$10,'VK-Võrgud'!$C:$X,2+$F122,0))</f>
        <v>0.89042766952822527</v>
      </c>
      <c r="GR122" s="186">
        <f t="shared" si="81"/>
        <v>0.41039878496500309</v>
      </c>
    </row>
    <row r="123" spans="1:200" x14ac:dyDescent="0.2">
      <c r="A123" s="184">
        <v>113</v>
      </c>
      <c r="B123" s="87">
        <v>3</v>
      </c>
      <c r="C123" s="87">
        <v>2</v>
      </c>
      <c r="D123" s="87">
        <v>3</v>
      </c>
      <c r="E123" s="87">
        <v>2</v>
      </c>
      <c r="F123" s="87">
        <f>VLOOKUP(Tulemused!$BF$7,data!$J$6:$K$8,2,FALSE)</f>
        <v>2</v>
      </c>
      <c r="G123" s="87">
        <f>VLOOKUP(data!$H$2,data!$J$12:$K$14,2,FALSE)</f>
        <v>2</v>
      </c>
      <c r="I123" s="209">
        <f>IF(I$7="X",VLOOKUP(I$10,'VK-Hooned-Soojus'!$C:$X,2+$C123,FALSE),0)+IF(I$6="X",VLOOKUP(I$10,'VK-Transport'!$C:$X,2+$B123,0))+IF(I$8="X",VLOOKUP(I$10,'VK-Elekter'!$C:$X,2+$D123,0))+IF(I$9="X",VLOOKUP(I$10,'VK-Biokütused'!$C:$U,2+$E123,0))+IF(I$5="X",VLOOKUP(I$10,'VK-Põlevkivi'!$C:$X,2+$G123,0))+IF(I$4="X",VLOOKUP(I$10,'VK-Võrgud'!$C:$X,2+$F123,0))</f>
        <v>24.79</v>
      </c>
      <c r="J123" s="209">
        <f>IF(J$7="X",VLOOKUP(J$10,'VK-Hooned-Soojus'!$C:$X,2+$C123,FALSE),0)+IF(J$6="X",VLOOKUP(J$10,'VK-Transport'!$C:$X,2+$B123,0))+IF(J$8="X",VLOOKUP(J$10,'VK-Elekter'!$C:$X,2+$D123,0))+IF(J$9="X",VLOOKUP(J$10,'VK-Biokütused'!$C:$U,2+$E123,0))+IF(J$5="X",VLOOKUP(J$10,'VK-Põlevkivi'!$C:$X,2+$G123,0))+IF(J$4="X",VLOOKUP(J$10,'VK-Võrgud'!$C:$X,2+$F123,0))</f>
        <v>8.1258333333333344</v>
      </c>
      <c r="K123" s="209">
        <f>IF(K$7="X",VLOOKUP(K$10,'VK-Hooned-Soojus'!$C:$X,2+$C123,FALSE),0)+IF(K$6="X",VLOOKUP(K$10,'VK-Transport'!$C:$X,2+$B123,0))+IF(K$8="X",VLOOKUP(K$10,'VK-Elekter'!$C:$X,2+$D123,0))+IF(K$9="X",VLOOKUP(K$10,'VK-Biokütused'!$C:$U,2+$E123,0))+IF(K$5="X",VLOOKUP(K$10,'VK-Põlevkivi'!$C:$X,2+$G123,0))+IF(K$4="X",VLOOKUP(K$10,'VK-Võrgud'!$C:$X,2+$F123,0))</f>
        <v>15.27</v>
      </c>
      <c r="L123" s="209">
        <f>IF(L$7="X",VLOOKUP(L$10,'VK-Hooned-Soojus'!$C:$X,2+$C123,FALSE),0)+IF(L$6="X",VLOOKUP(L$10,'VK-Transport'!$C:$X,2+$B123,0))+IF(L$8="X",VLOOKUP(L$10,'VK-Elekter'!$C:$X,2+$D123,0))+IF(L$9="X",VLOOKUP(L$10,'VK-Biokütused'!$C:$U,2+$E123,0))+IF(L$5="X",VLOOKUP(L$10,'VK-Põlevkivi'!$C:$X,2+$G123,0))+IF(L$4="X",VLOOKUP(L$10,'VK-Võrgud'!$C:$X,2+$F123,0))</f>
        <v>24.2</v>
      </c>
      <c r="M123" s="209">
        <f>IF(M$7="X",VLOOKUP(M$10,'VK-Hooned-Soojus'!$C:$X,2+$C123,FALSE),0)+IF(M$6="X",VLOOKUP(M$10,'VK-Transport'!$C:$X,2+$B123,0))+IF(M$8="X",VLOOKUP(M$10,'VK-Elekter'!$C:$X,2+$D123,0))+IF(M$9="X",VLOOKUP(M$10,'VK-Biokütused'!$C:$U,2+$E123,0))+IF(M$5="X",VLOOKUP(M$10,'VK-Põlevkivi'!$C:$X,2+$G123,0))+IF(M$4="X",VLOOKUP(M$10,'VK-Võrgud'!$C:$X,2+$F123,0))</f>
        <v>8.68530937302436</v>
      </c>
      <c r="N123" s="209">
        <f>IF(N$7="X",VLOOKUP(N$10,'VK-Hooned-Soojus'!$C:$X,2+$C123,FALSE),0)+IF(N$6="X",VLOOKUP(N$10,'VK-Transport'!$C:$X,2+$B123,0))+IF(N$8="X",VLOOKUP(N$10,'VK-Elekter'!$C:$X,2+$D123,0))+IF(N$9="X",VLOOKUP(N$10,'VK-Biokütused'!$C:$U,2+$E123,0))+IF(N$5="X",VLOOKUP(N$10,'VK-Põlevkivi'!$C:$X,2+$G123,0))+IF(N$4="X",VLOOKUP(N$10,'VK-Võrgud'!$C:$X,2+$F123,0))</f>
        <v>16.09</v>
      </c>
      <c r="O123" s="209">
        <f t="shared" si="60"/>
        <v>32.915833333333332</v>
      </c>
      <c r="P123" s="209"/>
      <c r="Q123" s="209">
        <f>(IF(Q$7="X",VLOOKUP(Q$10,'VK-Hooned-Soojus'!$C:$X,2+$C123,FALSE),0)+IF(Q$6="X",VLOOKUP(Q$10,'VK-Transport'!$C:$X,2+$B123,0))+IF(Q$8="X",VLOOKUP(Q$10,'VK-Elekter'!$C:$X,2+$D123,0))+IF(Q$9="X",VLOOKUP(Q$10,'VK-Biokütused'!$C:$U,2+$E123,0))+IF(Q$5="X",VLOOKUP(Q$10,'VK-Põlevkivi'!$C:$X,2+$G123,0))+IF(Q$4="X",VLOOKUP(Q$10,'VK-Võrgud'!$C:$X,2+$F123,0)))/1000</f>
        <v>5.0650000000000004</v>
      </c>
      <c r="R123" s="209">
        <f>(IF(R$7="X",VLOOKUP(R$10,'VK-Hooned-Soojus'!$C:$X,2+$C123,FALSE),0)+IF(R$6="X",VLOOKUP(R$10,'VK-Transport'!$C:$X,2+$B123,0))+IF(R$8="X",VLOOKUP(R$10,'VK-Elekter'!$C:$X,2+$D123,0))+IF(R$9="X",VLOOKUP(R$10,'VK-Biokütused'!$C:$U,2+$E123,0))+IF(R$5="X",VLOOKUP(R$10,'VK-Põlevkivi'!$C:$X,2+$G123,0))+IF(R$4="X",VLOOKUP(R$10,'VK-Võrgud'!$C:$X,2+$F123,0)))/1000</f>
        <v>1.57438499063732</v>
      </c>
      <c r="S123" s="226">
        <f>VLOOKUP(S$10,'VK-Hooned-Soojus'!$C:$I,2+$C123,FALSE) + VLOOKUP(S$10,'VK-Transport'!$C:$I,2+$B123,FALSE)+ VLOOKUP(S$10,'VK-Biokütused'!$C:$G,2+$E123,FALSE)+ VLOOKUP(S$10,'VK-Elekter'!$C:$I,2+$D123,FALSE)+ VLOOKUP(S$10,'VK-Põlevkivi'!$C:$I,2+$G123,FALSE)+ VLOOKUP(S$10,'VK-Võrgud'!$C:$I,2+$F123,FALSE)</f>
        <v>2.1620366349743934E-2</v>
      </c>
      <c r="T123" s="226">
        <f>VLOOKUP(T$10,'VK-Hooned-Soojus'!$C:$I,2+$C123,FALSE) + VLOOKUP(T$10,'VK-Transport'!$C:$I,2+$B123,FALSE)+ VLOOKUP(T$10,'VK-Biokütused'!$C:$G,2+$E123,FALSE)+ VLOOKUP(T$10,'VK-Elekter'!$C:$I,2+$D123,FALSE)+ VLOOKUP(T$10,'VK-Põlevkivi'!$C:$I,2+$G123,FALSE)+ VLOOKUP(T$10,'VK-Võrgud'!$C:$I,2+$F123,FALSE)</f>
        <v>3.9485754725167507E-3</v>
      </c>
      <c r="U123" s="226">
        <f>VLOOKUP(U$10,'VK-Hooned-Soojus'!$C:$I,2+$C123,FALSE) + VLOOKUP(U$10,'VK-Transport'!$C:$I,2+$B123,FALSE)+ VLOOKUP(U$10,'VK-Biokütused'!$C:$G,2+$E123,FALSE)+ VLOOKUP(U$10,'VK-Elekter'!$C:$I,2+$D123,FALSE)+ VLOOKUP(U$10,'VK-Põlevkivi'!$C:$I,2+$G123,FALSE)+ VLOOKUP(U$10,'VK-Võrgud'!$C:$I,2+$F123,FALSE)</f>
        <v>7.5594654687107521E-3</v>
      </c>
      <c r="V123" s="226">
        <f>VLOOKUP(V$10,'VK-Hooned-Soojus'!$C:$I,2+$C123,FALSE) + VLOOKUP(V$10,'VK-Transport'!$C:$I,2+$B123,FALSE)+ VLOOKUP(V$10,'VK-Biokütused'!$C:$G,2+$E123,FALSE)+ VLOOKUP(V$10,'VK-Elekter'!$C:$I,2+$D123,FALSE)+ VLOOKUP(V$10,'VK-Põlevkivi'!$C:$I,2+$G123,FALSE)+ VLOOKUP(V$10,'VK-Võrgud'!$C:$I,2+$F123,FALSE)</f>
        <v>1.4195896910187722E-2</v>
      </c>
      <c r="W123" s="226">
        <f>VLOOKUP(W$10,'VK-Hooned-Soojus'!$C:$I,2+$C123,FALSE) + VLOOKUP(W$10,'VK-Transport'!$C:$I,2+$B123,FALSE)+ VLOOKUP(W$10,'VK-Biokütused'!$C:$G,2+$E123,FALSE)+ VLOOKUP(W$10,'VK-Elekter'!$C:$I,2+$D123,FALSE)+ VLOOKUP(W$10,'VK-Põlevkivi'!$C:$I,2+$G123,FALSE)+ VLOOKUP(W$10,'VK-Võrgud'!$C:$I,2+$F123,FALSE)</f>
        <v>-3.9823655240603911E-2</v>
      </c>
      <c r="X123" s="226">
        <f>VLOOKUP(X$10,'VK-Hooned-Soojus'!$C:$I,2+$C123,FALSE) + VLOOKUP(X$10,'VK-Transport'!$C:$I,2+$B123,FALSE)+ VLOOKUP(X$10,'VK-Biokütused'!$C:$G,2+$E123,FALSE)+ VLOOKUP(X$10,'VK-Elekter'!$C:$I,2+$D123,FALSE)+ VLOOKUP(X$10,'VK-Põlevkivi'!$C:$I,2+$G123,FALSE)+ VLOOKUP(X$10,'VK-Võrgud'!$C:$I,2+$F123,FALSE)</f>
        <v>-5.0757628651936372E-2</v>
      </c>
      <c r="Y123" s="226">
        <f>VLOOKUP(Y$10,'VK-Hooned-Soojus'!$C:$I,2+$C123,FALSE) + VLOOKUP(Y$10,'VK-Transport'!$C:$I,2+$B123,FALSE)+ VLOOKUP(Y$10,'VK-Biokütused'!$C:$G,2+$E123,FALSE)+ VLOOKUP(Y$10,'VK-Elekter'!$C:$I,2+$D123,FALSE)+ VLOOKUP(Y$10,'VK-Põlevkivi'!$C:$I,2+$G123,FALSE)+ VLOOKUP(Y$10,'VK-Võrgud'!$C:$I,2+$F123,FALSE)</f>
        <v>-6.7986799102629697E-2</v>
      </c>
      <c r="Z123" s="227">
        <f>(S123*Tulemused!$Q$9*10+T123*Tulemused!$Q$10*10+KOMBI!U123*Tulemused!$Q$11*10+KOMBI!V123*Tulemused!$Q$12*10)*Tulemused!$Q$8+-(W123*Tulemused!$Q$14*10+KOMBI!X123*Tulemused!$Q$15*10+KOMBI!Y123*Tulemused!$Q$16*10)*Tulemused!$Q$13</f>
        <v>6.9431711638616394</v>
      </c>
      <c r="AA123" s="228">
        <f>(IF(AA$7="X",VLOOKUP(AA$10,'VK-Hooned-Soojus'!$C:$X,2+$C123,FALSE),0)+IF(AA$6="X",VLOOKUP(AA$10,'VK-Transport'!$C:$X,2+$B123,0))+IF(AA$8="X",VLOOKUP(AA$10,'VK-Elekter'!$C:$X,2+$D123,0))+IF(AA$9="X",VLOOKUP(AA$10,'VK-Biokütused'!$C:$U,2+$E123,0))+IF(AA$5="X",VLOOKUP(AA$10,'VK-Põlevkivi'!$C:$X,2+$G123,0))+IF(AA$4="X",VLOOKUP(AA$10,'VK-Võrgud'!$C:$X,2+$F123,0)))</f>
        <v>3728</v>
      </c>
      <c r="AB123" s="228">
        <f>(IF(AB$7="X",VLOOKUP(AB$10,'VK-Hooned-Soojus'!$C:$X,2+$C123,FALSE),0)+IF(AB$6="X",VLOOKUP(AB$10,'VK-Transport'!$C:$X,2+$B123,0))+IF(AB$8="X",VLOOKUP(AB$10,'VK-Elekter'!$C:$X,2+$D123,0))+IF(AB$9="X",VLOOKUP(AB$10,'VK-Biokütused'!$C:$U,2+$E123,0))+IF(AB$5="X",VLOOKUP(AB$10,'VK-Põlevkivi'!$C:$X,2+$G123,0))+IF(AB$4="X",VLOOKUP(AB$10,'VK-Võrgud'!$C:$X,2+$F123,0)))</f>
        <v>1337</v>
      </c>
      <c r="AC123" s="228">
        <f>(IF(AC$7="X",VLOOKUP(AC$10,'VK-Hooned-Soojus'!$C:$X,2+$C123,FALSE),0)+IF(AC$6="X",VLOOKUP(AC$10,'VK-Transport'!$C:$X,2+$B123,0))+IF(AC$8="X",VLOOKUP(AC$10,'VK-Elekter'!$C:$X,2+$D123,0))+IF(AC$9="X",VLOOKUP(AC$10,'VK-Biokütused'!$C:$U,2+$E123,0))+IF(AC$5="X",VLOOKUP(AC$10,'VK-Põlevkivi'!$C:$X,2+$G123,0))+IF(AC$4="X",VLOOKUP(AC$10,'VK-Võrgud'!$C:$X,2+$F123,0)))</f>
        <v>2346</v>
      </c>
      <c r="AD123" s="228">
        <f>(IF(AD$7="X",VLOOKUP(AD$10,'VK-Hooned-Soojus'!$C:$X,2+$C123,FALSE),0)+IF(AD$6="X",VLOOKUP(AD$10,'VK-Transport'!$C:$X,2+$B123,0))+IF(AD$8="X",VLOOKUP(AD$10,'VK-Elekter'!$C:$X,2+$D123,0))+IF(AD$9="X",VLOOKUP(AD$10,'VK-Biokütused'!$C:$U,2+$E123,0))+IF(AD$5="X",VLOOKUP(AD$10,'VK-Põlevkivi'!$C:$X,2+$G123,0))+IF(AD$4="X",VLOOKUP(AD$10,'VK-Võrgud'!$C:$X,2+$F123,0)))</f>
        <v>377.5</v>
      </c>
      <c r="AE123" s="228">
        <f>(IF(AE$7="X",VLOOKUP(AE$10,'VK-Hooned-Soojus'!$C:$X,2+$C123,FALSE),0)+IF(AE$6="X",VLOOKUP(AE$10,'VK-Transport'!$C:$X,2+$B123,0))+IF(AE$8="X",VLOOKUP(AE$10,'VK-Elekter'!$C:$X,2+$D123,0))+IF(AE$9="X",VLOOKUP(AE$10,'VK-Biokütused'!$C:$U,2+$E123,0))+IF(AE$5="X",VLOOKUP(AE$10,'VK-Põlevkivi'!$C:$X,2+$G123,0))+IF(AE$4="X",VLOOKUP(AE$10,'VK-Võrgud'!$C:$X,2+$F123,0)))</f>
        <v>666</v>
      </c>
      <c r="AF123" s="228">
        <f>(IF(AF$7="X",VLOOKUP(AF$10,'VK-Hooned-Soojus'!$C:$X,2+$C123,FALSE),0)+IF(AF$6="X",VLOOKUP(AF$10,'VK-Transport'!$C:$X,2+$B123,0))+IF(AF$8="X",VLOOKUP(AF$10,'VK-Elekter'!$C:$X,2+$D123,0))+IF(AF$9="X",VLOOKUP(AF$10,'VK-Biokütused'!$C:$U,2+$E123,0))+IF(AF$5="X",VLOOKUP(AF$10,'VK-Põlevkivi'!$C:$X,2+$G123,0))+IF(AF$4="X",VLOOKUP(AF$10,'VK-Võrgud'!$C:$X,2+$F123,0)))</f>
        <v>530.88499063732002</v>
      </c>
      <c r="AG123" s="209"/>
      <c r="AH123" s="209">
        <f>IF(AH$7="X",VLOOKUP(AH$10,'VK-Hooned-Soojus'!$C:$X,2+$C123,FALSE),0)+IF(AH$6="X",VLOOKUP(AH$10,'VK-Transport'!$C:$X,2+$B123,0))+IF(AH$8="X",VLOOKUP(AH$10,'VK-Elekter'!$C:$X,2+$D123,0))+IF(AH$9="X",VLOOKUP(AH$10,'VK-Biokütused'!$C:$U,2+$E123,0))+IF(AH$5="X",VLOOKUP(AH$10,'VK-Põlevkivi'!$C:$X,2+$G123,0))+IF(AH$4="X",VLOOKUP(AH$10,'VK-Võrgud'!$C:$X,2+$F123,0))</f>
        <v>11.579999999999998</v>
      </c>
      <c r="AI123" s="209">
        <f>IF(AI$7="X",VLOOKUP(AI$10,'VK-Hooned-Soojus'!$C:$X,2+$C123,FALSE),0)+IF(AI$6="X",VLOOKUP(AI$10,'VK-Transport'!$C:$X,2+$B123,0))+IF(AI$8="X",VLOOKUP(AI$10,'VK-Elekter'!$C:$X,2+$D123,0))+IF(AI$9="X",VLOOKUP(AI$10,'VK-Biokütused'!$C:$U,2+$E123,0))+IF(AI$5="X",VLOOKUP(AI$10,'VK-Põlevkivi'!$C:$X,2+$G123,0))+IF(AI$4="X",VLOOKUP(AI$10,'VK-Võrgud'!$C:$X,2+$F123,0))</f>
        <v>4.45</v>
      </c>
      <c r="AJ123" s="209">
        <f>IF(AJ$7="X",VLOOKUP(AJ$10,'VK-Hooned-Soojus'!$C:$X,2+$C123,FALSE),0)+IF(AJ$6="X",VLOOKUP(AJ$10,'VK-Transport'!$C:$X,2+$B123,0))+IF(AJ$8="X",VLOOKUP(AJ$10,'VK-Elekter'!$C:$X,2+$D123,0))+IF(AJ$9="X",VLOOKUP(AJ$10,'VK-Biokütused'!$C:$U,2+$E123,0))+IF(AJ$5="X",VLOOKUP(AJ$10,'VK-Põlevkivi'!$C:$X,2+$G123,0))+IF(AJ$4="X",VLOOKUP(AJ$10,'VK-Võrgud'!$C:$X,2+$F123,0))</f>
        <v>9.19</v>
      </c>
      <c r="AK123" s="209">
        <f>IF(AK$7="X",VLOOKUP(AK$10,'VK-Hooned-Soojus'!$C:$X,2+$C123,FALSE),0)+IF(AK$6="X",VLOOKUP(AK$10,'VK-Transport'!$C:$X,2+$B123,0))+IF(AK$8="X",VLOOKUP(AK$10,'VK-Elekter'!$C:$X,2+$D123,0))+IF(AK$9="X",VLOOKUP(AK$10,'VK-Biokütused'!$C:$U,2+$E123,0))+IF(AK$5="X",VLOOKUP(AK$10,'VK-Põlevkivi'!$C:$X,2+$G123,0))+IF(AK$4="X",VLOOKUP(AK$10,'VK-Võrgud'!$C:$X,2+$F123,0))</f>
        <v>0.66</v>
      </c>
      <c r="AL123" s="209">
        <f>IF(AL$7="X",VLOOKUP(AL$10,'VK-Hooned-Soojus'!$C:$X,2+$C123,FALSE),0)+IF(AL$6="X",VLOOKUP(AL$10,'VK-Transport'!$C:$X,2+$B123,0))+IF(AL$8="X",VLOOKUP(AL$10,'VK-Elekter'!$C:$X,2+$D123,0))+IF(AL$9="X",VLOOKUP(AL$10,'VK-Biokütused'!$C:$U,2+$E123,0))+IF(AL$5="X",VLOOKUP(AL$10,'VK-Põlevkivi'!$C:$X,2+$G123,0))+IF(AL$4="X",VLOOKUP(AL$10,'VK-Võrgud'!$C:$X,2+$F123,0))</f>
        <v>7.1999999999999993</v>
      </c>
      <c r="AM123" s="209">
        <f>IF(AM$7="X",VLOOKUP(AM$10,'VK-Hooned-Soojus'!$C:$X,2+$C123,FALSE),0)+IF(AM$6="X",VLOOKUP(AM$10,'VK-Transport'!$C:$X,2+$B123,0))+IF(AM$8="X",VLOOKUP(AM$10,'VK-Elekter'!$C:$X,2+$D123,0))+IF(AM$9="X",VLOOKUP(AM$10,'VK-Biokütused'!$C:$U,2+$E123,0))+IF(AM$5="X",VLOOKUP(AM$10,'VK-Põlevkivi'!$C:$X,2+$G123,0))+IF(AM$4="X",VLOOKUP(AM$10,'VK-Võrgud'!$C:$X,2+$F123,0))</f>
        <v>11.9</v>
      </c>
      <c r="AN123" s="209">
        <f>IF(AN$7="X",VLOOKUP(AN$10,'VK-Hooned-Soojus'!$C:$X,2+$C123,FALSE),0)+IF(AN$6="X",VLOOKUP(AN$10,'VK-Transport'!$C:$X,2+$B123,0))+IF(AN$8="X",VLOOKUP(AN$10,'VK-Elekter'!$C:$X,2+$D123,0))+IF(AN$9="X",VLOOKUP(AN$10,'VK-Biokütused'!$C:$U,2+$E123,0))+IF(AN$5="X",VLOOKUP(AN$10,'VK-Põlevkivi'!$C:$X,2+$G123,0))+IF(AN$4="X",VLOOKUP(AN$10,'VK-Võrgud'!$C:$X,2+$F123,0))</f>
        <v>4.8999999999999995</v>
      </c>
      <c r="AO123" s="209">
        <f>IF(AO$7="X",VLOOKUP(AO$10,'VK-Hooned-Soojus'!$C:$X,2+$C123,FALSE),0)+IF(AO$6="X",VLOOKUP(AO$10,'VK-Transport'!$C:$X,2+$B123,0))+IF(AO$8="X",VLOOKUP(AO$10,'VK-Elekter'!$C:$X,2+$D123,0))+IF(AO$9="X",VLOOKUP(AO$10,'VK-Biokütused'!$C:$U,2+$E123,0))+IF(AO$5="X",VLOOKUP(AO$10,'VK-Põlevkivi'!$C:$X,2+$G123,0))+IF(AO$4="X",VLOOKUP(AO$10,'VK-Võrgud'!$C:$X,2+$F123,0))</f>
        <v>12.56</v>
      </c>
      <c r="AP123" s="209">
        <f>IF(AP$7="X",VLOOKUP(AP$10,'VK-Hooned-Soojus'!$C:$X,2+$C123,FALSE),0)+IF(AP$6="X",VLOOKUP(AP$10,'VK-Transport'!$C:$X,2+$B123,0))+IF(AP$8="X",VLOOKUP(AP$10,'VK-Elekter'!$C:$X,2+$D123,0))+IF(AP$9="X",VLOOKUP(AP$10,'VK-Biokütused'!$C:$U,2+$E123,0))+IF(AP$5="X",VLOOKUP(AP$10,'VK-Põlevkivi'!$C:$X,2+$G123,0))+IF(AP$4="X",VLOOKUP(AP$10,'VK-Võrgud'!$C:$X,2+$F123,0))</f>
        <v>6.28</v>
      </c>
      <c r="AQ123" s="320">
        <f t="shared" si="61"/>
        <v>0.25999999999999979</v>
      </c>
      <c r="AR123" s="209">
        <f>IF(AR$7="X",VLOOKUP(AR$10,'VK-Hooned-Soojus'!$C:$X,2+$C123,FALSE),0)+IF(AR$6="X",VLOOKUP(AR$10,'VK-Transport'!$C:$X,2+$B123,0))+IF(AR$8="X",VLOOKUP(AR$10,'VK-Elekter'!$C:$X,2+$D123,0))+IF(AR$9="X",VLOOKUP(AR$10,'VK-Biokütused'!$C:$U,2+$E123,0))+IF(AR$5="X",VLOOKUP(AR$10,'VK-Põlevkivi'!$C:$X,2+$G123,0))+IF(AR$4="X",VLOOKUP(AR$10,'VK-Võrgud'!$C:$X,2+$F123,0))</f>
        <v>2.8899999999999997</v>
      </c>
      <c r="AS123" s="320">
        <f>VLOOKUP("Kütuste tarbimine @ 2030 - UTTEGAAS",'VK-Hooned-Soojus'!$C:$X,2+$C123,FALSE)/0.172+VLOOKUP("Kütuste tarbimine @ 2030 - UTTEGAAS",'VK-Elekter'!$C:$X,2+$D123,FALSE)/0.172-AR123-AU123</f>
        <v>2.8565116279069773</v>
      </c>
      <c r="AT123" s="209">
        <f>IF(AT$7="X",VLOOKUP(AT$10,'VK-Hooned-Soojus'!$C:$X,2+$C123,FALSE),0)+IF(AT$6="X",VLOOKUP(AT$10,'VK-Transport'!$C:$X,2+$B123,0))+IF(AT$8="X",VLOOKUP(AT$10,'VK-Elekter'!$C:$X,2+$D123,0))+IF(AT$9="X",VLOOKUP(AT$10,'VK-Biokütused'!$C:$U,2+$E123,0))+IF(AT$5="X",VLOOKUP(AT$10,'VK-Põlevkivi'!$C:$X,2+$G123,0))+IF(AT$4="X",VLOOKUP(AT$10,'VK-Võrgud'!$C:$X,2+$F123,0))</f>
        <v>5.7045296564339489</v>
      </c>
      <c r="AU123" s="229">
        <f>MAX(0,(VLOOKUP("Kütuste tarbimine @ 2030 - UTTEGAAS",'VK-Hooned-Soojus'!$C:$X,2+$C123,FALSE)/0.172+VLOOKUP("Kütuste tarbimine @ 2030 - UTTEGAAS",'VK-Elekter'!$C:$X,2+$D123,FALSE)/0.172)*0.52-VLOOKUP("Kütuste tarbimine @ 2030 - PÕLEVKIVIÕLI",'VK-Hooned-Soojus'!$C:$X,2+$C123,FALSE))</f>
        <v>5.1837209302325586</v>
      </c>
      <c r="AV123" s="209">
        <f>IF(AV$7="X",VLOOKUP(AV$10,'VK-Hooned-Soojus'!$C:$X,2+$C123,FALSE),0)+IF(AV$6="X",VLOOKUP(AV$10,'VK-Transport'!$C:$X,2+$B123,0))+IF(AV$8="X",VLOOKUP(AV$10,'VK-Elekter'!$C:$X,2+$D123,0))+IF(AV$9="X",VLOOKUP(AV$10,'VK-Biokütused'!$C:$U,2+$E123,0))+IF(AV$5="X",VLOOKUP(AV$10,'VK-Põlevkivi'!$C:$X,2+$G123,0))+IF(AV$4="X",VLOOKUP(AV$10,'VK-Võrgud'!$C:$X,2+$F123,0))</f>
        <v>2.1219844082566364</v>
      </c>
      <c r="AW123" s="209">
        <f>IF(AW$7="X",VLOOKUP(AW$10,'VK-Hooned-Soojus'!$C:$X,2+$C123,FALSE),0)+IF(AW$6="X",VLOOKUP(AW$10,'VK-Transport'!$C:$X,2+$B123,0))+IF(AW$8="X",VLOOKUP(AW$10,'VK-Elekter'!$C:$X,2+$D123,0))+IF(AW$9="X",VLOOKUP(AW$10,'VK-Biokütused'!$C:$U,2+$E123,0))+IF(AW$5="X",VLOOKUP(AW$10,'VK-Põlevkivi'!$C:$X,2+$G123,0))+IF(AW$4="X",VLOOKUP(AW$10,'VK-Võrgud'!$C:$X,2+$F123,0))</f>
        <v>2.141</v>
      </c>
      <c r="AX123" s="229">
        <f t="shared" si="62"/>
        <v>1.9015591743363647E-2</v>
      </c>
      <c r="AY123" s="229">
        <f t="shared" si="63"/>
        <v>0</v>
      </c>
      <c r="AZ123" s="230">
        <f t="shared" si="83"/>
        <v>0.45957835903449201</v>
      </c>
      <c r="BA123" s="209">
        <f>IF(BA$7="X",VLOOKUP(BA$10,'VK-Hooned-Soojus'!$C:$X,2+$C123,FALSE),0)+IF(BA$6="X",VLOOKUP(BA$10,'VK-Transport'!$C:$X,2+$B123,0))+IF(BA$8="X",VLOOKUP(BA$10,'VK-Elekter'!$C:$X,2+$D123,0))+IF(BA$9="X",VLOOKUP(BA$10,'VK-Biokütused'!$C:$U,2+$E123,0))+IF(BA$5="X",VLOOKUP(BA$10,'VK-Põlevkivi'!$C:$X,2+$G123,0))+IF(BA$4="X",VLOOKUP(BA$10,'VK-Võrgud'!$C:$X,2+$F123,0))</f>
        <v>4.2</v>
      </c>
      <c r="BB123" s="209">
        <f>IF(BB$7="X",VLOOKUP(BB$10,'VK-Hooned-Soojus'!$C:$X,2+$C123,FALSE),0)+IF(BB$6="X",VLOOKUP(BB$10,'VK-Transport'!$C:$X,2+$B123,0))+IF(BB$8="X",VLOOKUP(BB$10,'VK-Elekter'!$C:$X,2+$D123,0))+IF(BB$9="X",VLOOKUP(BB$10,'VK-Biokütused'!$C:$U,2+$E123,0))+IF(BB$5="X",VLOOKUP(BB$10,'VK-Põlevkivi'!$C:$X,2+$G123,0))+IF(BB$4="X",VLOOKUP(BB$10,'VK-Võrgud'!$C:$X,2+$F123,0))</f>
        <v>5.1000000000000005</v>
      </c>
      <c r="BC123" s="209">
        <f>IF(BC$7="X",VLOOKUP(BC$10,'VK-Hooned-Soojus'!$C:$X,2+$C123,FALSE),0)+IF(BC$6="X",VLOOKUP(BC$10,'VK-Transport'!$C:$X,2+$B123,0))+IF(BC$8="X",VLOOKUP(BC$10,'VK-Elekter'!$C:$X,2+$D123,0))+IF(BC$9="X",VLOOKUP(BC$10,'VK-Biokütused'!$C:$U,2+$E123,0))+IF(BC$5="X",VLOOKUP(BC$10,'VK-Põlevkivi'!$C:$X,2+$G123,0))+IF(BC$4="X",VLOOKUP(BC$10,'VK-Võrgud'!$C:$X,2+$F123,0))</f>
        <v>6.5993333333333322</v>
      </c>
      <c r="BD123" s="209">
        <f>IF(BD$7="X",VLOOKUP(BD$10,'VK-Hooned-Soojus'!$C:$X,2+$C123,FALSE),0)+IF(BD$6="X",VLOOKUP(BD$10,'VK-Transport'!$C:$X,2+$B123,0))+IF(BD$8="X",VLOOKUP(BD$10,'VK-Elekter'!$C:$X,2+$D123,0))+IF(BD$9="X",VLOOKUP(BD$10,'VK-Biokütused'!$C:$U,2+$E123,0))+IF(BD$5="X",VLOOKUP(BD$10,'VK-Põlevkivi'!$C:$X,2+$G123,0))+IF(BD$4="X",VLOOKUP(BD$10,'VK-Võrgud'!$C:$X,2+$F123,0))</f>
        <v>9.425416666666667</v>
      </c>
      <c r="BE123" s="230"/>
      <c r="BF123" s="229">
        <f t="shared" si="64"/>
        <v>0.40982462181179752</v>
      </c>
      <c r="BG123" s="209" t="e">
        <f>(IF(BG$7="X",VLOOKUP(BG$10,'VK-Hooned-Soojus'!$C:$X,2+$C123,FALSE),0)+IF(BG$6="X",VLOOKUP(BG$10,'VK-Transport'!$C:$X,2+$B123,0))+IF(BG$8="X",VLOOKUP(BG$10,'VK-Elekter'!$C:$X,2+$D123,0))+IF(BG$9="X",VLOOKUP(BG$10,'VK-Biokütused'!$C:$U,2+$E123,0))+IF(BG$5="X",VLOOKUP(BG$10,'VK-Põlevkivi'!$C:$X,2+$G123,0))+IF(BG$4="X",VLOOKUP(BG$10,'VK-Võrgud'!$C:$X,2+$F123,0)))/20</f>
        <v>#N/A</v>
      </c>
      <c r="BH123" s="209">
        <f>(IF(BH$7="X",VLOOKUP(BH$10,'VK-Hooned-Soojus'!$C:$X,2+$C123,FALSE),0)+IF(BH$6="X",VLOOKUP(BH$10,'VK-Transport'!$C:$X,2+$B123,0))+IF(BH$8="X",VLOOKUP(BH$10,'VK-Elekter'!$C:$X,2+$D123,0))+IF(BH$9="X",VLOOKUP(BH$10,'VK-Biokütused'!$C:$U,2+$E123,0))+IF(BH$5="X",VLOOKUP(BH$10,'VK-Põlevkivi'!$C:$X,2+$G123,0))+IF(BH$4="X",VLOOKUP(BH$10,'VK-Võrgud'!$C:$X,2+$F123,0)))/20</f>
        <v>45.08</v>
      </c>
      <c r="BI123" s="209">
        <f>(IF(BI$7="X",VLOOKUP(BI$10,'VK-Hooned-Soojus'!$C:$X,2+$C123,FALSE),0)+IF(BI$6="X",VLOOKUP(BI$10,'VK-Transport'!$C:$X,2+$B123,0))+IF(BI$8="X",VLOOKUP(BI$10,'VK-Elekter'!$C:$X,2+$D123,0))+IF(BI$9="X",VLOOKUP(BI$10,'VK-Biokütused'!$C:$U,2+$E123,0))+IF(BI$5="X",VLOOKUP(BI$10,'VK-Põlevkivi'!$C:$X,2+$G123,0))+IF(BI$4="X",VLOOKUP(BI$10,'VK-Võrgud'!$C:$X,2+$F123,0)))/16</f>
        <v>14.1875</v>
      </c>
      <c r="BJ123" s="209">
        <f>(IF(BJ$7="X",VLOOKUP(BJ$10,'VK-Hooned-Soojus'!$C:$X,2+$C123,FALSE),0)+IF(BJ$6="X",VLOOKUP(BJ$10,'VK-Transport'!$C:$X,2+$B123,0))+IF(BJ$8="X",VLOOKUP(BJ$10,'VK-Elekter'!$C:$X,2+$D123,0))+IF(BJ$9="X",VLOOKUP(BJ$10,'VK-Biokütused'!$C:$U,2+$E123,0))+IF(BJ$5="X",VLOOKUP(BJ$10,'VK-Põlevkivi'!$C:$X,2+$G123,0))+IF(BJ$4="X",VLOOKUP(BJ$10,'VK-Võrgud'!$C:$X,2+$F123,0)))/20</f>
        <v>3.91</v>
      </c>
      <c r="BK123" s="209"/>
      <c r="BL123" s="209"/>
      <c r="BM123" s="209"/>
      <c r="BN123" s="209" t="e">
        <f>(IF(BN$7="X",VLOOKUP(BN$10,'VK-Hooned-Soojus'!$C:$X,2+$C123,FALSE),0)+IF(BN$6="X",VLOOKUP(BN$10,'VK-Transport'!$C:$X,2+$B123,0))+IF(BN$8="X",VLOOKUP(BN$10,'VK-Elekter'!$C:$X,2+$D123,0))+IF(BN$9="X",VLOOKUP(BN$10,'VK-Biokütused'!$C:$U,2+$E123,0))+IF(BN$5="X",VLOOKUP(BN$10,'VK-Põlevkivi'!$C:$X,2+$G123,0))+IF(BN$4="X",VLOOKUP(BN$10,'VK-Võrgud'!$C:$X,2+$F123,0)))/16</f>
        <v>#N/A</v>
      </c>
      <c r="BO123" s="209">
        <f>(IF(BO$7="X",VLOOKUP(BO$10,'VK-Hooned-Soojus'!$C:$X,2+$C123,FALSE),0)+IF(BO$6="X",VLOOKUP(BO$10,'VK-Transport'!$C:$X,2+$B123,0))+IF(BO$8="X",VLOOKUP(BO$10,'VK-Elekter'!$C:$X,2+$D123,0))+IF(BO$9="X",VLOOKUP(BO$10,'VK-Biokütused'!$C:$U,2+$E123,0))+IF(BO$5="X",VLOOKUP(BO$10,'VK-Põlevkivi'!$C:$X,2+$G123,0))+IF(BO$4="X",VLOOKUP(BO$10,'VK-Võrgud'!$C:$X,2+$F123,0)))/16</f>
        <v>322.79374999999999</v>
      </c>
      <c r="BP123" s="209"/>
      <c r="BQ123" s="209">
        <f>(IF(BQ$7="X",VLOOKUP(BQ$10,'VK-Hooned-Soojus'!$C:$X,2+$C123,FALSE),0)+IF(BQ$6="X",VLOOKUP(BQ$10,'VK-Transport'!$C:$X,2+$B123,0))+IF(BQ$8="X",VLOOKUP(BQ$10,'VK-Elekter'!$C:$X,2+$D123,0))+IF(BQ$9="X",VLOOKUP(BQ$10,'VK-Biokütused'!$C:$U,2+$E123,0))+IF(BQ$5="X",VLOOKUP(BQ$10,'VK-Põlevkivi'!$C:$X,2+$G123,0))+IF(BQ$4="X",VLOOKUP(BQ$10,'VK-Võrgud'!$C:$X,2+$F123,0)))/16</f>
        <v>233.20625000000001</v>
      </c>
      <c r="BR123" s="209">
        <f>(IF(BR$7="X",VLOOKUP(BR$10,'VK-Hooned-Soojus'!$C:$X,2+$C123,FALSE),0)+IF(BR$6="X",VLOOKUP(BR$10,'VK-Transport'!$C:$X,2+$B123,0))+IF(BR$8="X",VLOOKUP(BR$10,'VK-Elekter'!$C:$X,2+$D123,0))+IF(BR$9="X",VLOOKUP(BR$10,'VK-Biokütused'!$C:$U,2+$E123,0))+IF(BR$5="X",VLOOKUP(BR$10,'VK-Põlevkivi'!$C:$X,2+$G123,0))+IF(BR$4="X",VLOOKUP(BR$10,'VK-Võrgud'!$C:$X,2+$F123,0)))/16</f>
        <v>74.512500000000003</v>
      </c>
      <c r="BS123" s="209">
        <f>(IF(BS$7="X",VLOOKUP(BS$10,'VK-Hooned-Soojus'!$C:$X,2+$C123,FALSE),0)+IF(BS$6="X",VLOOKUP(BS$10,'VK-Transport'!$C:$X,2+$B123,0))+IF(BS$8="X",VLOOKUP(BS$10,'VK-Elekter'!$C:$X,2+$D123,0))+IF(BS$9="X",VLOOKUP(BS$10,'VK-Biokütused'!$C:$U,2+$E123,0))+IF(BS$5="X",VLOOKUP(BS$10,'VK-Põlevkivi'!$C:$X,2+$G123,0))+IF(BS$4="X",VLOOKUP(BS$10,'VK-Võrgud'!$C:$X,2+$F123,0)))/16</f>
        <v>-21.475000000000001</v>
      </c>
      <c r="BT123" s="209"/>
      <c r="BU123" s="209"/>
      <c r="BV123" s="209">
        <f>(IF(BV$7="X",VLOOKUP(BV$10,'VK-Hooned-Soojus'!$C:$X,2+$C123,FALSE),0)+IF(BV$6="X",VLOOKUP(BV$10,'VK-Transport'!$C:$X,2+$B123,0))+IF(BV$8="X",VLOOKUP(BV$10,'VK-Elekter'!$C:$X,2+$D123,0))+IF(BV$9="X",VLOOKUP(BV$10,'VK-Biokütused'!$C:$U,2+$E123,0))+IF(BV$5="X",VLOOKUP(BV$10,'VK-Põlevkivi'!$C:$X,2+$G123,0))+IF(BV$4="X",VLOOKUP(BV$10,'VK-Võrgud'!$C:$X,2+$F123,0)))/16</f>
        <v>0</v>
      </c>
      <c r="BW123" s="209"/>
      <c r="BX123" s="209">
        <f>(IF(BX$7="X",VLOOKUP(BX$10,'VK-Hooned-Soojus'!$C:$X,2+$C123,FALSE),0)+IF(BX$6="X",VLOOKUP(BX$10,'VK-Transport'!$C:$X,2+$B123,0))+IF(BX$8="X",VLOOKUP(BX$10,'VK-Elekter'!$C:$X,2+$D123,0))+IF(BX$9="X",VLOOKUP(BX$10,'VK-Biokütused'!$C:$U,2+$E123,0))+IF(BX$5="X",VLOOKUP(BX$10,'VK-Põlevkivi'!$C:$X,2+$G123,0))+IF(BX$4="X",VLOOKUP(BX$10,'VK-Võrgud'!$C:$X,2+$F123,0)))/16</f>
        <v>-99.4375</v>
      </c>
      <c r="BY123" s="209"/>
      <c r="BZ123" s="209"/>
      <c r="CA123" s="209" t="e">
        <f>(IF(CA$7="X",VLOOKUP(CA$10,'VK-Hooned-Soojus'!$C:$X,2+$C123,FALSE),0)+IF(CA$6="X",VLOOKUP(CA$10,'VK-Transport'!$C:$X,2+$B123,0))+IF(CA$8="X",VLOOKUP(CA$10,'VK-Elekter'!$C:$X,2+$D123,0))+IF(CA$9="X",VLOOKUP(CA$10,'VK-Biokütused'!$C:$U,2+$E123,0))+IF(CA$5="X",VLOOKUP(CA$10,'VK-Põlevkivi'!$C:$X,2+$G123,0))+IF(CA$4="X",VLOOKUP(CA$10,'VK-Võrgud'!$C:$X,2+$F123,0)))/16</f>
        <v>#N/A</v>
      </c>
      <c r="CB123" s="209">
        <f>(IF(CB$7="X",VLOOKUP(CB$10,'VK-Hooned-Soojus'!$C:$X,2+$C123,FALSE),0)+IF(CB$6="X",VLOOKUP(CB$10,'VK-Transport'!$C:$X,2+$B123,0))+IF(CB$8="X",VLOOKUP(CB$10,'VK-Elekter'!$C:$X,2+$D123,0))+IF(CB$9="X",VLOOKUP(CB$10,'VK-Biokütused'!$C:$U,2+$E123,0))+IF(CB$5="X",VLOOKUP(CB$10,'VK-Põlevkivi'!$C:$X,2+$G123,0))+IF(CB$4="X",VLOOKUP(CB$10,'VK-Võrgud'!$C:$X,2+$F123,0)))/16</f>
        <v>0</v>
      </c>
      <c r="CC123" s="209">
        <f>(IF(CC$7="X",VLOOKUP(CC$10,'VK-Hooned-Soojus'!$C:$X,2+$C123,FALSE),0)+IF(CC$6="X",VLOOKUP(CC$10,'VK-Transport'!$C:$X,2+$B123,0))+IF(CC$8="X",VLOOKUP(CC$10,'VK-Elekter'!$C:$X,2+$D123,0))+IF(CC$9="X",VLOOKUP(CC$10,'VK-Biokütused'!$C:$U,2+$E123,0))+IF(CC$5="X",VLOOKUP(CC$10,'VK-Põlevkivi'!$C:$X,2+$G123,0))+IF(CC$4="X",VLOOKUP(CC$10,'VK-Võrgud'!$C:$X,2+$F123,0)))/16</f>
        <v>0</v>
      </c>
      <c r="CD123" s="209"/>
      <c r="CE123" s="209">
        <f>(IF(CE$7="X",VLOOKUP(CE$10,'VK-Hooned-Soojus'!$C:$X,2+$C123,FALSE),0)+IF(CE$6="X",VLOOKUP(CE$10,'VK-Transport'!$C:$X,2+$B123,0))+IF(CE$8="X",VLOOKUP(CE$10,'VK-Elekter'!$C:$X,2+$D123,0))+IF(CE$9="X",VLOOKUP(CE$10,'VK-Biokütused'!$C:$U,2+$E123,0))+IF(CE$5="X",VLOOKUP(CE$10,'VK-Põlevkivi'!$C:$X,2+$G123,0))+IF(CE$4="X",VLOOKUP(CE$10,'VK-Võrgud'!$C:$X,2+$F123,0)))/16</f>
        <v>24.15625</v>
      </c>
      <c r="CF123" s="209"/>
      <c r="CG123" s="209">
        <f>(IF(CG$7="X",VLOOKUP(CG$10,'VK-Hooned-Soojus'!$C:$X,2+$C123,FALSE),0)+IF(CG$6="X",VLOOKUP(CG$10,'VK-Transport'!$C:$X,2+$B123,0))+IF(CG$8="X",VLOOKUP(CG$10,'VK-Elekter'!$C:$X,2+$D123,0))+IF(CG$9="X",VLOOKUP(CG$10,'VK-Biokütused'!$C:$U,2+$E123,0))+IF(CG$5="X",VLOOKUP(CG$10,'VK-Põlevkivi'!$C:$X,2+$G123,0))+IF(CG$4="X",VLOOKUP(CG$10,'VK-Võrgud'!$C:$X,2+$F123,0)))/16</f>
        <v>0</v>
      </c>
      <c r="CH123" s="209">
        <f>(IF(CH$7="X",VLOOKUP(CH$10,'VK-Hooned-Soojus'!$C:$X,2+$C123,FALSE),0)+IF(CH$6="X",VLOOKUP(CH$10,'VK-Transport'!$C:$X,2+$B123,0))+IF(CH$8="X",VLOOKUP(CH$10,'VK-Elekter'!$C:$X,2+$D123,0))+IF(CH$9="X",VLOOKUP(CH$10,'VK-Biokütused'!$C:$U,2+$E123,0))+IF(CH$5="X",VLOOKUP(CH$10,'VK-Põlevkivi'!$C:$X,2+$G123,0))+IF(CH$4="X",VLOOKUP(CH$10,'VK-Võrgud'!$C:$X,2+$F123,0)))/20*0.21</f>
        <v>11.225549999999998</v>
      </c>
      <c r="CI123" s="209"/>
      <c r="CJ123" s="209">
        <f>(IF(CJ$7="X",VLOOKUP(CJ$10,'VK-Hooned-Soojus'!$C:$X,2+$C123,FALSE),0)+IF(CJ$6="X",VLOOKUP(CJ$10,'VK-Transport'!$C:$X,2+$B123,0))+IF(CJ$8="X",VLOOKUP(CJ$10,'VK-Elekter'!$C:$X,2+$D123,0))+IF(CJ$9="X",VLOOKUP(CJ$10,'VK-Biokütused'!$C:$U,2+$E123,0))+IF(CJ$5="X",VLOOKUP(CJ$10,'VK-Põlevkivi'!$C:$X,2+$G123,0))+IF(CJ$4="X",VLOOKUP(CJ$10,'VK-Võrgud'!$C:$X,2+$F123,0)))/1000</f>
        <v>17.167861099430585</v>
      </c>
      <c r="CK123" s="209">
        <f>(IF(CK$7="X",VLOOKUP(CK$10,'VK-Hooned-Soojus'!$C:$X,2+$C123,FALSE),0)+IF(CK$6="X",VLOOKUP(CK$10,'VK-Transport'!$C:$X,2+$B123,0))+IF(CK$8="X",VLOOKUP(CK$10,'VK-Elekter'!$C:$X,2+$D123,0))+IF(CK$9="X",VLOOKUP(CK$10,'VK-Biokütused'!$C:$U,2+$E123,0))+IF(CK$5="X",VLOOKUP(CK$10,'VK-Põlevkivi'!$C:$X,2+$G123,0))+IF(CK$4="X",VLOOKUP(CK$10,'VK-Võrgud'!$C:$X,2+$F123,0)))/1000</f>
        <v>11.869077976340797</v>
      </c>
      <c r="CL123" s="235">
        <f>(IF(CL$7="X",VLOOKUP(CL$10,'VK-Hooned-Soojus'!$C:$X,2+$C123,FALSE),0)+IF(CL$6="X",VLOOKUP(CL$10,'VK-Transport'!$C:$X,2+$B123,0))+IF(CL$8="X",VLOOKUP(CL$10,'VK-Elekter'!$C:$X,2+$D123,0))+IF(CL$9="X",VLOOKUP(CL$10,'VK-Biokütused'!$C:$U,2+$E123,0)))/1000</f>
        <v>7.494282692299028</v>
      </c>
      <c r="CM123" s="209">
        <f>(IF(CM$7="X",VLOOKUP(CM$10,'VK-Hooned-Soojus'!$C:$X,2+$C123,FALSE),0)+IF(CM$6="X",VLOOKUP(CM$10,'VK-Transport'!$C:$X,2+$B123,0))+IF(CM$8="X",VLOOKUP(CM$10,'VK-Elekter'!$C:$X,2+$D123,0))+IF(CM$9="X",VLOOKUP(CM$10,'VK-Biokütused'!$C:$U,2+$E123,0))+IF(CM$5="X",VLOOKUP(CM$10,'VK-Põlevkivi'!$C:$X,2+$G123,0))+IF(CM$4="X",VLOOKUP(CM$10,'VK-Võrgud'!$C:$X,2+$F123,0)))/1000</f>
        <v>7.7603156794471024</v>
      </c>
      <c r="CN123" s="209">
        <f>(IF(CN$7="X",VLOOKUP(CN$10,'VK-Hooned-Soojus'!$C:$X,2+$C123,FALSE),0)+IF(CN$6="X",VLOOKUP(CN$10,'VK-Transport'!$C:$X,2+$B123,0))+IF(CN$8="X",VLOOKUP(CN$10,'VK-Elekter'!$C:$X,2+$D123,0))+IF(CN$9="X",VLOOKUP(CN$10,'VK-Biokütused'!$C:$U,2+$E123,0))+IF(CN$5="X",VLOOKUP(CN$10,'VK-Põlevkivi'!$C:$X,2+$G123,0))+IF(CN$4="X",VLOOKUP(CN$10,'VK-Võrgud'!$C:$X,2+$F123,0)))/1000</f>
        <v>2.8759999999999999</v>
      </c>
      <c r="CO123" s="209">
        <f>(IF(CO$7="X",VLOOKUP(CO$10,'VK-Hooned-Soojus'!$C:$X,2+$C123,FALSE),0)+IF(CO$6="X",VLOOKUP(CO$10,'VK-Transport'!$C:$X,2+$B123,0))+IF(CO$8="X",VLOOKUP(CO$10,'VK-Elekter'!$C:$X,2+$D123,0))+IF(CO$9="X",VLOOKUP(CO$10,'VK-Biokütused'!$C:$U,2+$E123,0))+IF(CO$5="X",VLOOKUP(CO$10,'VK-Põlevkivi'!$C:$X,2+$G123,0))+IF(CO$4="X",VLOOKUP(CO$10,'VK-Võrgud'!$C:$X,2+$F123,0)))/1000</f>
        <v>23.745362337356994</v>
      </c>
      <c r="CP123" s="209">
        <f>(IF(CP$7="X",VLOOKUP(CP$10,'VK-Hooned-Soojus'!$C:$X,2+$C123,FALSE),0)+IF(CP$6="X",VLOOKUP(CP$10,'VK-Transport'!$C:$X,2+$B123,0))+IF(CP$8="X",VLOOKUP(CP$10,'VK-Elekter'!$C:$X,2+$D123,0))+IF(CP$9="X",VLOOKUP(CP$10,'VK-Biokütused'!$C:$U,2+$E123,0))+IF(CP$5="X",VLOOKUP(CP$10,'VK-Põlevkivi'!$C:$X,2+$G123,0))+IF(CP$4="X",VLOOKUP(CP$10,'VK-Võrgud'!$C:$X,2+$F123,0)))/1000</f>
        <v>13.441392120693662</v>
      </c>
      <c r="CQ123" s="235">
        <f>(IF(CQ$7="X",VLOOKUP(CQ$10,'VK-Hooned-Soojus'!$C:$X,2+$C123,FALSE),0)+IF(CQ$6="X",VLOOKUP(CQ$10,'VK-Transport'!$C:$X,2+$B123,0))+IF(CQ$8="X",VLOOKUP(CQ$10,'VK-Elekter'!$C:$X,2+$D123,0))+IF(CQ$9="X",VLOOKUP(CQ$10,'VK-Biokütused'!$C:$U,2+$E123,0)))/1000</f>
        <v>10.327919</v>
      </c>
      <c r="CR123" s="209">
        <f>(IF(CR$7="X",VLOOKUP(CR$10,'VK-Hooned-Soojus'!$C:$X,2+$C123,FALSE),0)+IF(CR$6="X",VLOOKUP(CR$10,'VK-Transport'!$C:$X,2+$B123,0))+IF(CR$8="X",VLOOKUP(CR$10,'VK-Elekter'!$C:$X,2+$D123,0))+IF(CR$9="X",VLOOKUP(CR$10,'VK-Biokütused'!$C:$U,2+$E123,0))+IF(CR$5="X",VLOOKUP(CR$10,'VK-Põlevkivi'!$C:$X,2+$G123,0))+IF(CR$4="X",VLOOKUP(CR$10,'VK-Võrgud'!$C:$X,2+$F123,0)))/1000</f>
        <v>7.866751837399689</v>
      </c>
      <c r="CS123" s="209">
        <f>(IF(CS$7="X",VLOOKUP(CS$10,'VK-Hooned-Soojus'!$C:$X,2+$C123,FALSE),0)+IF(CS$6="X",VLOOKUP(CS$10,'VK-Transport'!$C:$X,2+$B123,0))+IF(CS$8="X",VLOOKUP(CS$10,'VK-Elekter'!$C:$X,2+$D123,0))+IF(CS$9="X",VLOOKUP(CS$10,'VK-Biokütused'!$C:$U,2+$E123,0))+IF(CS$5="X",VLOOKUP(CS$10,'VK-Põlevkivi'!$C:$X,2+$G123,0))+IF(CS$4="X",VLOOKUP(CS$10,'VK-Võrgud'!$C:$X,2+$F123,0)))/1000</f>
        <v>3.8186495098622379</v>
      </c>
      <c r="CT123" s="209">
        <f>IF(CT$7="X",VLOOKUP(CT$10,'VK-Hooned-Soojus'!$C:$X,2+$C123,FALSE),0)+IF(CT$6="X",VLOOKUP(CT$10,'VK-Transport'!$C:$X,2+$B123,0))+IF(CT$8="X",VLOOKUP(CT$10,'VK-Elekter'!$C:$X,2+$D123,0))+IF(CT$9="X",VLOOKUP(CT$10,'VK-Biokütused'!$C:$U,2+$E123,0))+IF(CT$5="X",VLOOKUP(CT$10,'VK-Põlevkivi'!$C:$X,2+$G123,0))+IF(CT$4="X",VLOOKUP(CT$10,'VK-Võrgud'!$C:$X,2+$F123,0))</f>
        <v>90</v>
      </c>
      <c r="CU123" s="209">
        <f>IF(CU$7="X",VLOOKUP(CU$10,'VK-Hooned-Soojus'!$C:$X,2+$C123,FALSE),0)+IF(CU$6="X",VLOOKUP(CU$10,'VK-Transport'!$C:$X,2+$B123,0))+IF(CU$8="X",VLOOKUP(CU$10,'VK-Elekter'!$C:$X,2+$D123,0))+IF(CU$9="X",VLOOKUP(CU$10,'VK-Biokütused'!$C:$U,2+$E123,0))+IF(CU$5="X",VLOOKUP(CU$10,'VK-Põlevkivi'!$C:$X,2+$G123,0))+IF(CU$4="X",VLOOKUP(CU$10,'VK-Võrgud'!$C:$X,2+$F123,0))</f>
        <v>0.9337349397590361</v>
      </c>
      <c r="CV123" s="209">
        <f t="shared" si="84"/>
        <v>0.72887234460741657</v>
      </c>
      <c r="CW123" s="209">
        <f>(IF(CW$7="X",VLOOKUP(CW$10,'VK-Hooned-Soojus'!$C:$X,2+$C123,FALSE),0)+IF(CW$6="X",VLOOKUP(CW$10,'VK-Transport'!$C:$X,2+$B123,0))+IF(CW$8="X",VLOOKUP(CW$10,'VK-Elekter'!$C:$X,2+$D123,0))+IF(CW$9="X",VLOOKUP(CW$10,'VK-Biokütused'!$C:$U,2+$E123,0))+IF(CW$5="X",VLOOKUP(CW$10,'VK-Põlevkivi'!$C:$X,2+$G123,0))+IF(CW$4="X",VLOOKUP(CW$10,'VK-Võrgud'!$C:$X,2+$F123,0)))/16</f>
        <v>59.743749999999999</v>
      </c>
      <c r="CY123" s="209">
        <f>(IF(CY$7="X",VLOOKUP(CY$10,'VK-Hooned-Soojus'!$C:$X,2+$C123,FALSE),0)+IF(CY$6="X",VLOOKUP(CY$10,'VK-Transport'!$C:$X,2+$B123,0))+IF(CY$8="X",VLOOKUP(CY$10,'VK-Elekter'!$C:$X,2+$D123,0))+IF(CY$9="X",VLOOKUP(CY$10,'VK-Biokütused'!$C:$U,2+$E123,0))+IF(CY$5="X",VLOOKUP(CY$10,'VK-Põlevkivi'!$C:$X,2+$G123,0))+IF(CY$4="X",VLOOKUP(CY$10,'VK-Võrgud'!$C:$X,2+$F123,0)))/1000</f>
        <v>9.9830000000000005</v>
      </c>
      <c r="CZ123" s="209">
        <f>(IF(CZ$7="X",VLOOKUP(CZ$10,'VK-Hooned-Soojus'!$C:$X,2+$C123,FALSE),0)+IF(CZ$6="X",VLOOKUP(CZ$10,'VK-Transport'!$C:$X,2+$B123,0))+IF(CZ$8="X",VLOOKUP(CZ$10,'VK-Elekter'!$C:$X,2+$D123,0))+IF(CZ$9="X",VLOOKUP(CZ$10,'VK-Biokütused'!$C:$U,2+$E123,0))+IF(CZ$5="X",VLOOKUP(CZ$10,'VK-Põlevkivi'!$C:$X,2+$G123,0))+IF(CZ$4="X",VLOOKUP(CZ$10,'VK-Võrgud'!$C:$X,2+$F123,0)))</f>
        <v>67.400000000000006</v>
      </c>
      <c r="DA123" s="209">
        <f>(IF(DA$7="X",VLOOKUP(DA$10,'VK-Hooned-Soojus'!$C:$X,2+$C123,FALSE),0)+IF(DA$6="X",VLOOKUP(DA$10,'VK-Transport'!$C:$X,2+$B123,0))+IF(DA$8="X",VLOOKUP(DA$10,'VK-Elekter'!$C:$X,2+$D123,0))+IF(DA$9="X",VLOOKUP(DA$10,'VK-Biokütused'!$C:$U,2+$E123,0))+IF(DA$5="X",VLOOKUP(DA$10,'VK-Põlevkivi'!$C:$X,2+$G123,0))+IF(DA$4="X",VLOOKUP(DA$10,'VK-Võrgud'!$C:$X,2+$F123,0)))/1000</f>
        <v>12.978999999999999</v>
      </c>
      <c r="DB123" s="209">
        <f>(IF(DB$7="X",VLOOKUP(DB$10,'VK-Hooned-Soojus'!$C:$X,2+$C123,FALSE),0)+IF(DB$6="X",VLOOKUP(DB$10,'VK-Transport'!$C:$X,2+$B123,0))+IF(DB$8="X",VLOOKUP(DB$10,'VK-Elekter'!$C:$X,2+$D123,0))+IF(DB$9="X",VLOOKUP(DB$10,'VK-Biokütused'!$C:$U,2+$E123,0))+IF(DB$5="X",VLOOKUP(DB$10,'VK-Põlevkivi'!$C:$X,2+$G123,0))+IF(DB$4="X",VLOOKUP(DB$10,'VK-Võrgud'!$C:$X,2+$F123,0)))/1000/3.6</f>
        <v>58.570833333333326</v>
      </c>
      <c r="DC123" s="209">
        <f>(IF(DC$7="X",VLOOKUP(DC$10,'VK-Hooned-Soojus'!$C:$X,2+$C123,FALSE),0)+IF(DC$6="X",VLOOKUP(DC$10,'VK-Transport'!$C:$X,2+$B123,0))+IF(DC$8="X",VLOOKUP(DC$10,'VK-Elekter'!$C:$X,2+$D123,0))+IF(DC$9="X",VLOOKUP(DC$10,'VK-Biokütused'!$C:$U,2+$E123,0))+IF(DC$5="X",VLOOKUP(DC$10,'VK-Põlevkivi'!$C:$X,2+$G123,0))+IF(DC$4="X",VLOOKUP(DC$10,'VK-Võrgud'!$C:$X,2+$F123,0)))/1000000</f>
        <v>4.7128220000000001</v>
      </c>
      <c r="DD123" s="209"/>
      <c r="DE123" s="88">
        <f>VLOOKUP(Tulemused!$BN$12,data!M$7:N$12,2,FALSE)-SUM(L123,M123)</f>
        <v>-5.2509373024363981E-2</v>
      </c>
      <c r="DF123" s="209" t="str">
        <f>IF(AZ123&lt;=VLOOKUP(Tulemused!$BN$15,data!$E$36:$F$39,2,FALSE),"JAH","EI")</f>
        <v>JAH</v>
      </c>
      <c r="DG123" s="209"/>
      <c r="DH123" s="209">
        <f t="shared" si="85"/>
        <v>6.28</v>
      </c>
      <c r="DI123" s="231" t="str">
        <f t="shared" si="65"/>
        <v>EI</v>
      </c>
      <c r="DK123" s="232">
        <f t="shared" si="86"/>
        <v>-993.05682883613838</v>
      </c>
      <c r="DM123" s="233">
        <f t="shared" si="87"/>
        <v>-997.44336098385418</v>
      </c>
      <c r="DN123" s="87">
        <f t="array" ref="DN123">INDEX($A$11:$A$145, SMALL(IF(DM123=$DK$11:$DK$145, MATCH(ROW($DK$11:$DK$145), ROW($DK$11:$DK$145))), SUM(--(DM123=$DM$11:DM123))))</f>
        <v>14</v>
      </c>
      <c r="DP123" s="87" t="e">
        <f t="shared" ca="1" si="66"/>
        <v>#N/A</v>
      </c>
      <c r="DQ123" s="87" t="e">
        <f t="shared" ca="1" si="67"/>
        <v>#N/A</v>
      </c>
      <c r="DR123" s="87">
        <f t="shared" ca="1" si="68"/>
        <v>0</v>
      </c>
      <c r="DS123" s="87" t="e">
        <f t="shared" ca="1" si="69"/>
        <v>#N/A</v>
      </c>
      <c r="DT123" s="87">
        <f t="shared" ca="1" si="70"/>
        <v>0</v>
      </c>
      <c r="DU123" s="87" t="e">
        <f t="shared" ca="1" si="71"/>
        <v>#N/A</v>
      </c>
      <c r="DV123" s="87" t="e">
        <f t="shared" ca="1" si="72"/>
        <v>#N/A</v>
      </c>
      <c r="DW123" s="87">
        <f t="shared" ca="1" si="73"/>
        <v>0</v>
      </c>
      <c r="DX123" s="87">
        <f t="shared" ca="1" si="74"/>
        <v>0</v>
      </c>
      <c r="DZ123" s="87">
        <f t="shared" ca="1" si="82"/>
        <v>0</v>
      </c>
      <c r="EB123" s="87">
        <f t="shared" ca="1" si="75"/>
        <v>0</v>
      </c>
      <c r="EC123" s="87" t="e">
        <f t="shared" ca="1" si="76"/>
        <v>#N/A</v>
      </c>
      <c r="EE123" s="228">
        <f>(IF(EE$7="X",VLOOKUP(EE$10,'VK-Hooned-Soojus'!$C:$X,2+$C123,FALSE),0)+IF(EE$6="X",VLOOKUP(EE$10,'VK-Transport'!$C:$X,2+$B123,0))+IF(EE$8="X",VLOOKUP(EE$10,'VK-Elekter'!$C:$X,2+$D123,0))+IF(EE$9="X",VLOOKUP(EE$10,'VK-Biokütused'!$C:$U,2+$E123,0))+IF(EE$5="X",VLOOKUP(EE$10,'VK-Põlevkivi'!$C:$X,2+$G123,0))+IF(EE$4="X",VLOOKUP(EE$10,'VK-Võrgud'!$C:$X,2+$F123,0)))</f>
        <v>11983.343843809156</v>
      </c>
      <c r="EF123" s="235">
        <f>(IF(EF$7="X",VLOOKUP(EF$10,'VK-Hooned-Soojus'!$C:$X,2+$C123,FALSE),0)+IF(EF$6="X",VLOOKUP(EF$10,'VK-Transport'!$C:$X,2+$B123,0))+IF(EF$8="X",VLOOKUP(EF$10,'VK-Elekter'!$C:$X,2+$D123,0))+IF(EF$9="X",VLOOKUP(EF$10,'VK-Biokütused'!$C:$U,2+$E123,0)))/1000</f>
        <v>3.0048849906373198</v>
      </c>
      <c r="EG123" s="209">
        <f>(IF(EG$7="X",VLOOKUP(EG$10,'VK-Hooned-Soojus'!$C:$X,2+$C123,FALSE),0)+IF(EG$6="X",VLOOKUP(EG$10,'VK-Transport'!$C:$X,2+$B123,0))+IF(EG$8="X",VLOOKUP(EG$10,'VK-Elekter'!$C:$X,2+$D123,0))+IF(EG$9="X",VLOOKUP(EG$10,'VK-Biokütused'!$C:$U,2+$E123,0))+IF(EG$5="X",VLOOKUP(EG$10,'VK-Põlevkivi'!$C:$X,2+$G123,0))+IF(EG$4="X",VLOOKUP(EG$10,'VK-Võrgud'!$C:$X,2+$F123,0)))</f>
        <v>2.95</v>
      </c>
      <c r="EH123" s="209">
        <f>(IF(EH$7="X",VLOOKUP(EH$10,'VK-Hooned-Soojus'!$C:$X,2+$C123,FALSE),0)+IF(EH$6="X",VLOOKUP(EH$10,'VK-Transport'!$C:$X,2+$B123,0))+IF(EH$8="X",VLOOKUP(EH$10,'VK-Elekter'!$C:$X,2+$D123,0))+IF(EH$9="X",VLOOKUP(EH$10,'VK-Biokütused'!$C:$U,2+$E123,0)))+AR123+AS123+AU123+AX123</f>
        <v>50.275637038771784</v>
      </c>
      <c r="EI123" s="320">
        <f t="shared" si="88"/>
        <v>45.072900516795862</v>
      </c>
      <c r="EJ123" s="322">
        <f t="shared" si="89"/>
        <v>8.9622522089166823E-2</v>
      </c>
      <c r="EK123" s="323">
        <f t="shared" si="77"/>
        <v>0.50575663408967231</v>
      </c>
      <c r="EM123" s="209"/>
      <c r="EN123" s="209">
        <f t="shared" ca="1" si="90"/>
        <v>0</v>
      </c>
      <c r="EO123" s="209"/>
      <c r="EP123" s="234"/>
      <c r="EQ123" s="209">
        <f>(IF(EQ$7="X",VLOOKUP(EQ$10,'VK-Hooned-Soojus'!$C:$X,2+$C123,FALSE),0)+IF(EQ$6="X",VLOOKUP(EQ$10,'VK-Transport'!$C:$X,2+$B123,0))+IF(EQ$8="X",VLOOKUP(EQ$10,'VK-Elekter'!$C:$X,2+$D123,0))+IF(EQ$9="X",VLOOKUP(EQ$10,'VK-Biokütused'!$C:$U,2+$E123,0))+IF(EQ$5="X",VLOOKUP(EQ$10,'VK-Põlevkivi'!$C:$X,2+$G123,0))+IF(EQ$4="X",VLOOKUP(EQ$10,'VK-Võrgud'!$C:$X,2+$F123,0)))/1000</f>
        <v>0.21099999999999999</v>
      </c>
      <c r="ER123" s="209">
        <f>(IF(ER$7="X",VLOOKUP(ER$10,'VK-Hooned-Soojus'!$C:$X,2+$C123,FALSE),0)+IF(ER$6="X",VLOOKUP(ER$10,'VK-Transport'!$C:$X,2+$B123,0))+IF(ER$8="X",VLOOKUP(ER$10,'VK-Elekter'!$C:$X,2+$D123,0))+IF(ER$9="X",VLOOKUP(ER$10,'VK-Biokütused'!$C:$U,2+$E123,0))+IF(ER$5="X",VLOOKUP(ER$10,'VK-Põlevkivi'!$C:$X,2+$G123,0))+IF(ER$4="X",VLOOKUP(ER$10,'VK-Võrgud'!$C:$X,2+$F123,0)))</f>
        <v>0.76300000000000001</v>
      </c>
      <c r="ES123" s="209">
        <f>(IF(ES$7="X",VLOOKUP(ES$10,'VK-Hooned-Soojus'!$C:$X,2+$C123,FALSE),0)+IF(ES$6="X",VLOOKUP(ES$10,'VK-Transport'!$C:$X,2+$B123,0))+IF(ES$8="X",VLOOKUP(ES$10,'VK-Elekter'!$C:$X,2+$D123,0))+IF(ES$9="X",VLOOKUP(ES$10,'VK-Biokütused'!$C:$U,2+$E123,0))+IF(ES$5="X",VLOOKUP(ES$10,'VK-Põlevkivi'!$C:$X,2+$G123,0))+IF(ES$4="X",VLOOKUP(ES$10,'VK-Võrgud'!$C:$X,2+$F123,0)))</f>
        <v>6.28</v>
      </c>
      <c r="ET123" s="209"/>
      <c r="EU123" s="209"/>
      <c r="EV123" s="87">
        <f>'KSH järjestus'!AS116</f>
        <v>768</v>
      </c>
      <c r="EZ123" s="237">
        <f t="shared" si="91"/>
        <v>6.6265060240963902E-2</v>
      </c>
      <c r="FA123" s="209">
        <f>IF(FA$7="X",VLOOKUP(FA$10,'VK-Hooned-Soojus'!$C:$X,2+$C123,FALSE),0)+IF(FA$6="X",VLOOKUP(FA$10,'VK-Transport'!$C:$X,2+$B123,0))+IF(FA$8="X",VLOOKUP(FA$10,'VK-Elekter'!$C:$X,2+$D123,0))+IF(FA$9="X",VLOOKUP(FA$10,'VK-Biokütused'!$C:$U,2+$E123,0))+IF(FA$5="X",VLOOKUP(FA$10,'VK-Põlevkivi'!$C:$X,2+$G123,0))+IF(FA$4="X",VLOOKUP(FA$10,'VK-Võrgud'!$C:$X,2+$F123,0))</f>
        <v>2914.9189999999999</v>
      </c>
      <c r="FB123" s="279">
        <f>(IF(FB$7="X",VLOOKUP(FB$10,'VK-Hooned-Soojus'!$C:$X,2+$C123,FALSE),0)+IF(FB$6="X",VLOOKUP(FB$10,'VK-Transport'!$C:$X,2+$B123,0))+IF(FB$8="X",VLOOKUP(FB$10,'VK-Elekter'!$C:$X,2+$D123,0))+IF(FB$9="X",VLOOKUP(FB$10,'VK-Biokütused'!$C:$U,2+$E123,0))+IF(FB$5="X",VLOOKUP(FB$10,'VK-Põlevkivi'!$C:$X,2+$G123,0))+IF(FB$4="X",VLOOKUP(FB$10,'VK-Võrgud'!$C:$X,2+$F123,0)))/16</f>
        <v>548.86779143462752</v>
      </c>
      <c r="FC123" s="209">
        <f>IF(FC$7="X",VLOOKUP(FC$10,'VK-Hooned-Soojus'!$C:$X,2+$C123,FALSE),0)+IF(FC$6="X",VLOOKUP(FC$10,'VK-Transport'!$C:$X,2+$B123,0))+IF(FC$8="X",VLOOKUP(FC$10,'VK-Elekter'!$C:$X,2+$D123,0))+IF(FC$9="X",VLOOKUP(FC$10,'VK-Biokütused'!$C:$U,2+$E123,0))+IF(FC$5="X",VLOOKUP(FC$10,'VK-Põlevkivi'!$C:$X,2+$G123,0))+IF(FC$4="X",VLOOKUP(FC$10,'VK-Võrgud'!$C:$X,2+$F123,0))</f>
        <v>294.39999999999998</v>
      </c>
      <c r="FD123" s="209">
        <f>(IF(FD$7="X",VLOOKUP(FD$10,'VK-Hooned-Soojus'!$C:$X,2+$C123,FALSE),0)+IF(FD$6="X",VLOOKUP(FD$10,'VK-Transport'!$C:$X,2+$B123,0))+IF(FD$8="X",VLOOKUP(FD$10,'VK-Elekter'!$C:$X,2+$D123,0))+IF(FD$9="X",VLOOKUP(FD$10,'VK-Biokütused'!$C:$U,2+$E123,0))+IF(FD$5="X",VLOOKUP(FD$10,'VK-Põlevkivi'!$C:$X,2+$G123,0))+IF(FD$4="X",VLOOKUP(FD$10,'VK-Võrgud'!$C:$X,2+$F123,0)))/16</f>
        <v>548.86779143462752</v>
      </c>
      <c r="FE123" s="209">
        <f>(IF(FE$7="X",VLOOKUP(FE$10,'VK-Hooned-Soojus'!$C:$X,2+$C123,FALSE),0)+IF(FE$6="X",VLOOKUP(FE$10,'VK-Transport'!$C:$X,2+$B123,0))+IF(FE$8="X",VLOOKUP(FE$10,'VK-Elekter'!$C:$X,2+$D123,0))+IF(FE$9="X",VLOOKUP(FE$10,'VK-Biokütused'!$C:$U,2+$E123,0))+IF(FE$5="X",VLOOKUP(FE$10,'VK-Põlevkivi'!$C:$X,2+$G123,0))+IF(FE$4="X",VLOOKUP(FE$10,'VK-Võrgud'!$C:$X,2+$F123,0)))/16</f>
        <v>-92.530719880632105</v>
      </c>
      <c r="FF123" s="209">
        <f>(IF(FF$7="X",VLOOKUP(FF$10,'VK-Hooned-Soojus'!$C:$X,2+$C123,FALSE),0)+IF(FF$6="X",VLOOKUP(FF$10,'VK-Transport'!$C:$X,2+$B123,0))+IF(FF$8="X",VLOOKUP(FF$10,'VK-Elekter'!$C:$X,2+$D123,0))+IF(FF$9="X",VLOOKUP(FF$10,'VK-Biokütused'!$C:$U,2+$E123,0))+IF(FF$5="X",VLOOKUP(FF$10,'VK-Põlevkivi'!$C:$X,2+$G123,0))+IF(FF$4="X",VLOOKUP(FF$10,'VK-Võrgud'!$C:$X,2+$F123,0)))/16</f>
        <v>223.60424037160402</v>
      </c>
      <c r="FG123" s="88">
        <f t="shared" ca="1" si="78"/>
        <v>131.07352049097193</v>
      </c>
      <c r="FH123" s="88"/>
      <c r="FI123" s="88"/>
      <c r="FJ123" s="88">
        <f>VLOOKUP(Tulemused!$BN$12,data!M$7:N$12,2,FALSE)-SUM(L123,M123)</f>
        <v>-5.2509373024363981E-2</v>
      </c>
      <c r="FK123" s="209" t="str">
        <f>IF(AZ123&lt;=VLOOKUP(Tulemused!$BN$15,data!$E$36:$F$39,2,FALSE),"JAH","EI")</f>
        <v>JAH</v>
      </c>
      <c r="FL123" s="235">
        <f ca="1">IF(ISNA(MATCH($A123,INDIRECT(VLOOKUP(Tulemused!$BF$11,data!$J$57:$M$71,4,FALSE)))),0,MATCH($A123,INDIRECT(VLOOKUP(Tulemused!$BF$11,data!$J$57:$M$71,4,FALSE))))</f>
        <v>0</v>
      </c>
      <c r="FM123" s="235" t="str">
        <f t="shared" ca="1" si="92"/>
        <v>JAH</v>
      </c>
      <c r="FN123" s="209">
        <f>VLOOKUP(Tulemused!$BN$13,data!$C$132:$D$137,2,FALSE)-KOMBI!R123</f>
        <v>4.6715850093626807</v>
      </c>
      <c r="FO123" s="209"/>
      <c r="FP123" s="209">
        <f>VLOOKUP(Tulemused!$BN$17,NO_x,2,FALSE)-CJ123</f>
        <v>12.270138900569414</v>
      </c>
      <c r="FQ123" s="209">
        <f>VLOOKUP(Tulemused!$BN$18,SO_2,2,FALSE)-CK123</f>
        <v>40.014922023659203</v>
      </c>
      <c r="FR123" s="209">
        <f>VLOOKUP(Tulemused!$BN$19,LOU,2,FALSE)-CN123</f>
        <v>34.204000000000008</v>
      </c>
      <c r="FS123" s="209">
        <f>VLOOKUP(Tulemused!$BN$20,PM_2.5,2,FALSE)-CM123</f>
        <v>9.1546843205528958</v>
      </c>
      <c r="FT123" s="209">
        <f>VLOOKUP(Tulemused!$BN$13,data!$C$132:$D$137,2,FALSE)-FA123/1000</f>
        <v>3.3310510000000009</v>
      </c>
      <c r="FU123" s="209">
        <f>VLOOKUP(Tulemused!$BN$17,NO_x,2,FALSE)-CO123</f>
        <v>5.6926376626430049</v>
      </c>
      <c r="FV123" s="209">
        <f>VLOOKUP(Tulemused!$BN$18,SO_2,2,FALSE)-CP123</f>
        <v>38.442607879306337</v>
      </c>
      <c r="FW123" s="209">
        <f>VLOOKUP(Tulemused!$BN$19,LOU,2,FALSE)-CS123</f>
        <v>33.261350490137765</v>
      </c>
      <c r="FX123" s="209">
        <f>VLOOKUP(Tulemused!$BN$20,PM_2.5,2,FALSE)-CR123</f>
        <v>9.0482481626003093</v>
      </c>
      <c r="FY123" s="209">
        <f>VLOOKUP(Tulemused!$BN$14,KHG_2050,2,FALSE)-EF123</f>
        <v>96.995115009362678</v>
      </c>
      <c r="FZ123" s="231" t="str">
        <f t="shared" ca="1" si="79"/>
        <v>EI</v>
      </c>
      <c r="GA123" s="209"/>
      <c r="GB123" s="209"/>
      <c r="GC123" s="209"/>
      <c r="GD123" s="231"/>
      <c r="GE123" s="87">
        <f t="shared" si="93"/>
        <v>768</v>
      </c>
      <c r="GF123" s="232" t="str">
        <f t="shared" ca="1" si="80"/>
        <v/>
      </c>
      <c r="GH123" s="238" t="e">
        <f t="shared" ca="1" si="94"/>
        <v>#NUM!</v>
      </c>
      <c r="GI123" s="87" t="e">
        <f t="array" aca="1" ref="GI123" ca="1">INDEX($A$11:$A$145, SMALL(IF(GH123=$GF$11:$GF$145, MATCH(ROW($GF$11:$GF$145), ROW($GF$11:$GF$145))), SUM(--(GH123=$GH$11:GH123))))</f>
        <v>#NUM!</v>
      </c>
      <c r="GM123" s="209">
        <f>IF(GM$7="X",VLOOKUP(GM$10,'VK-Hooned-Soojus'!$C:$X,2+$C123,FALSE),0)+IF(GM$6="X",VLOOKUP(GM$10,'VK-Transport'!$C:$X,2+$B123,0))+IF(GM$8="X",VLOOKUP(GM$10,'VK-Elekter'!$C:$X,2+$D123,0))+IF(GM$9="X",VLOOKUP(GM$10,'VK-Biokütused'!$C:$U,2+$E123,0))+IF(GM$5="X",VLOOKUP(GM$10,'VK-Põlevkivi'!$C:$X,2+$G123,0))+IF(GM$4="X",VLOOKUP(GM$10,'VK-Võrgud'!$C:$X,2+$F123,0))</f>
        <v>6.011750640646909</v>
      </c>
      <c r="GN123" s="209">
        <f>IF(GN$7="X",VLOOKUP(GN$10,'VK-Hooned-Soojus'!$C:$X,2+$C123,FALSE),0)+IF(GN$6="X",VLOOKUP(GN$10,'VK-Transport'!$C:$X,2+$B123,0))+IF(GN$8="X",VLOOKUP(GN$10,'VK-Elekter'!$C:$X,2+$D123,0))+IF(GN$9="X",VLOOKUP(GN$10,'VK-Biokütused'!$C:$U,2+$E123,0))+IF(GN$5="X",VLOOKUP(GN$10,'VK-Põlevkivi'!$C:$X,2+$G123,0))+IF(GN$4="X",VLOOKUP(GN$10,'VK-Võrgud'!$C:$X,2+$F123,0))</f>
        <v>3.4528686473995491</v>
      </c>
      <c r="GO123" s="209">
        <f>IF(GO$7="X",VLOOKUP(GO$10,'VK-Hooned-Soojus'!$C:$X,2+$C123,FALSE),0)+IF(GO$6="X",VLOOKUP(GO$10,'VK-Transport'!$C:$X,2+$B123,0))+IF(GO$8="X",VLOOKUP(GO$10,'VK-Elekter'!$C:$X,2+$D123,0))+IF(GO$9="X",VLOOKUP(GO$10,'VK-Biokütused'!$C:$U,2+$E123,0))+IF(GO$5="X",VLOOKUP(GO$10,'VK-Põlevkivi'!$C:$X,2+$G123,0))+IF(GO$4="X",VLOOKUP(GO$10,'VK-Võrgud'!$C:$X,2+$F123,0))</f>
        <v>7.936370010272257</v>
      </c>
      <c r="GP123" s="209">
        <f>IF(GP$7="X",VLOOKUP(GP$10,'VK-Hooned-Soojus'!$C:$X,2+$C123,FALSE),0)+IF(GP$6="X",VLOOKUP(GP$10,'VK-Transport'!$C:$X,2+$B123,0))+IF(GP$8="X",VLOOKUP(GP$10,'VK-Elekter'!$C:$X,2+$D123,0))+IF(GP$9="X",VLOOKUP(GP$10,'VK-Biokütused'!$C:$U,2+$E123,0))+IF(GP$5="X",VLOOKUP(GP$10,'VK-Põlevkivi'!$C:$X,2+$G123,0))+IF(GP$4="X",VLOOKUP(GP$10,'VK-Võrgud'!$C:$X,2+$F123,0))</f>
        <v>9.1527946929596489</v>
      </c>
      <c r="GQ123" s="88">
        <f>IF(GQ$7="X",VLOOKUP(GQ$10,'VK-Hooned-Soojus'!$C:$X,2+$C123,FALSE),0)+IF(GQ$6="X",VLOOKUP(GQ$10,'VK-Transport'!$C:$X,2+$B123,0))+IF(GQ$8="X",VLOOKUP(GQ$10,'VK-Elekter'!$C:$X,2+$D123,0))+IF(GQ$9="X",VLOOKUP(GQ$10,'VK-Biokütused'!$C:$U,2+$E123,0))+IF(GQ$5="X",VLOOKUP(GQ$10,'VK-Põlevkivi'!$C:$X,2+$G123,0))+IF(GQ$4="X",VLOOKUP(GQ$10,'VK-Võrgud'!$C:$X,2+$F123,0))</f>
        <v>0.89042766952822527</v>
      </c>
      <c r="GR123" s="186">
        <f t="shared" si="81"/>
        <v>0.41039878496500309</v>
      </c>
    </row>
    <row r="124" spans="1:200" x14ac:dyDescent="0.2">
      <c r="A124" s="184">
        <v>114</v>
      </c>
      <c r="B124" s="87">
        <v>3</v>
      </c>
      <c r="C124" s="87">
        <v>2</v>
      </c>
      <c r="D124" s="87">
        <v>3</v>
      </c>
      <c r="E124" s="87">
        <v>3</v>
      </c>
      <c r="F124" s="87">
        <f>VLOOKUP(Tulemused!$BF$7,data!$J$6:$K$8,2,FALSE)</f>
        <v>2</v>
      </c>
      <c r="G124" s="87">
        <f>VLOOKUP(data!$H$2,data!$J$12:$K$14,2,FALSE)</f>
        <v>2</v>
      </c>
      <c r="I124" s="209">
        <f>IF(I$7="X",VLOOKUP(I$10,'VK-Hooned-Soojus'!$C:$X,2+$C124,FALSE),0)+IF(I$6="X",VLOOKUP(I$10,'VK-Transport'!$C:$X,2+$B124,0))+IF(I$8="X",VLOOKUP(I$10,'VK-Elekter'!$C:$X,2+$D124,0))+IF(I$9="X",VLOOKUP(I$10,'VK-Biokütused'!$C:$U,2+$E124,0))+IF(I$5="X",VLOOKUP(I$10,'VK-Põlevkivi'!$C:$X,2+$G124,0))+IF(I$4="X",VLOOKUP(I$10,'VK-Võrgud'!$C:$X,2+$F124,0))</f>
        <v>24.79</v>
      </c>
      <c r="J124" s="209">
        <f>IF(J$7="X",VLOOKUP(J$10,'VK-Hooned-Soojus'!$C:$X,2+$C124,FALSE),0)+IF(J$6="X",VLOOKUP(J$10,'VK-Transport'!$C:$X,2+$B124,0))+IF(J$8="X",VLOOKUP(J$10,'VK-Elekter'!$C:$X,2+$D124,0))+IF(J$9="X",VLOOKUP(J$10,'VK-Biokütused'!$C:$U,2+$E124,0))+IF(J$5="X",VLOOKUP(J$10,'VK-Põlevkivi'!$C:$X,2+$G124,0))+IF(J$4="X",VLOOKUP(J$10,'VK-Võrgud'!$C:$X,2+$F124,0))</f>
        <v>8.1258333333333344</v>
      </c>
      <c r="K124" s="209">
        <f>IF(K$7="X",VLOOKUP(K$10,'VK-Hooned-Soojus'!$C:$X,2+$C124,FALSE),0)+IF(K$6="X",VLOOKUP(K$10,'VK-Transport'!$C:$X,2+$B124,0))+IF(K$8="X",VLOOKUP(K$10,'VK-Elekter'!$C:$X,2+$D124,0))+IF(K$9="X",VLOOKUP(K$10,'VK-Biokütused'!$C:$U,2+$E124,0))+IF(K$5="X",VLOOKUP(K$10,'VK-Põlevkivi'!$C:$X,2+$G124,0))+IF(K$4="X",VLOOKUP(K$10,'VK-Võrgud'!$C:$X,2+$F124,0))</f>
        <v>15.27</v>
      </c>
      <c r="L124" s="209">
        <f>IF(L$7="X",VLOOKUP(L$10,'VK-Hooned-Soojus'!$C:$X,2+$C124,FALSE),0)+IF(L$6="X",VLOOKUP(L$10,'VK-Transport'!$C:$X,2+$B124,0))+IF(L$8="X",VLOOKUP(L$10,'VK-Elekter'!$C:$X,2+$D124,0))+IF(L$9="X",VLOOKUP(L$10,'VK-Biokütused'!$C:$U,2+$E124,0))+IF(L$5="X",VLOOKUP(L$10,'VK-Põlevkivi'!$C:$X,2+$G124,0))+IF(L$4="X",VLOOKUP(L$10,'VK-Võrgud'!$C:$X,2+$F124,0))</f>
        <v>24.2</v>
      </c>
      <c r="M124" s="209">
        <f>IF(M$7="X",VLOOKUP(M$10,'VK-Hooned-Soojus'!$C:$X,2+$C124,FALSE),0)+IF(M$6="X",VLOOKUP(M$10,'VK-Transport'!$C:$X,2+$B124,0))+IF(M$8="X",VLOOKUP(M$10,'VK-Elekter'!$C:$X,2+$D124,0))+IF(M$9="X",VLOOKUP(M$10,'VK-Biokütused'!$C:$U,2+$E124,0))+IF(M$5="X",VLOOKUP(M$10,'VK-Põlevkivi'!$C:$X,2+$G124,0))+IF(M$4="X",VLOOKUP(M$10,'VK-Võrgud'!$C:$X,2+$F124,0))</f>
        <v>8.68530937302436</v>
      </c>
      <c r="N124" s="209">
        <f>IF(N$7="X",VLOOKUP(N$10,'VK-Hooned-Soojus'!$C:$X,2+$C124,FALSE),0)+IF(N$6="X",VLOOKUP(N$10,'VK-Transport'!$C:$X,2+$B124,0))+IF(N$8="X",VLOOKUP(N$10,'VK-Elekter'!$C:$X,2+$D124,0))+IF(N$9="X",VLOOKUP(N$10,'VK-Biokütused'!$C:$U,2+$E124,0))+IF(N$5="X",VLOOKUP(N$10,'VK-Põlevkivi'!$C:$X,2+$G124,0))+IF(N$4="X",VLOOKUP(N$10,'VK-Võrgud'!$C:$X,2+$F124,0))</f>
        <v>16.09</v>
      </c>
      <c r="O124" s="209">
        <f t="shared" si="60"/>
        <v>32.915833333333332</v>
      </c>
      <c r="P124" s="209"/>
      <c r="Q124" s="209">
        <f>(IF(Q$7="X",VLOOKUP(Q$10,'VK-Hooned-Soojus'!$C:$X,2+$C124,FALSE),0)+IF(Q$6="X",VLOOKUP(Q$10,'VK-Transport'!$C:$X,2+$B124,0))+IF(Q$8="X",VLOOKUP(Q$10,'VK-Elekter'!$C:$X,2+$D124,0))+IF(Q$9="X",VLOOKUP(Q$10,'VK-Biokütused'!$C:$U,2+$E124,0))+IF(Q$5="X",VLOOKUP(Q$10,'VK-Põlevkivi'!$C:$X,2+$G124,0))+IF(Q$4="X",VLOOKUP(Q$10,'VK-Võrgud'!$C:$X,2+$F124,0)))/1000</f>
        <v>5.0650000000000004</v>
      </c>
      <c r="R124" s="209">
        <f>(IF(R$7="X",VLOOKUP(R$10,'VK-Hooned-Soojus'!$C:$X,2+$C124,FALSE),0)+IF(R$6="X",VLOOKUP(R$10,'VK-Transport'!$C:$X,2+$B124,0))+IF(R$8="X",VLOOKUP(R$10,'VK-Elekter'!$C:$X,2+$D124,0))+IF(R$9="X",VLOOKUP(R$10,'VK-Biokütused'!$C:$U,2+$E124,0))+IF(R$5="X",VLOOKUP(R$10,'VK-Põlevkivi'!$C:$X,2+$G124,0))+IF(R$4="X",VLOOKUP(R$10,'VK-Võrgud'!$C:$X,2+$F124,0)))/1000</f>
        <v>1.7830849906373201</v>
      </c>
      <c r="S124" s="226">
        <f>VLOOKUP(S$10,'VK-Hooned-Soojus'!$C:$I,2+$C124,FALSE) + VLOOKUP(S$10,'VK-Transport'!$C:$I,2+$B124,FALSE)+ VLOOKUP(S$10,'VK-Biokütused'!$C:$G,2+$E124,FALSE)+ VLOOKUP(S$10,'VK-Elekter'!$C:$I,2+$D124,FALSE)+ VLOOKUP(S$10,'VK-Põlevkivi'!$C:$I,2+$G124,FALSE)+ VLOOKUP(S$10,'VK-Võrgud'!$C:$I,2+$F124,FALSE)</f>
        <v>2.6271421727990452E-2</v>
      </c>
      <c r="T124" s="226">
        <f>VLOOKUP(T$10,'VK-Hooned-Soojus'!$C:$I,2+$C124,FALSE) + VLOOKUP(T$10,'VK-Transport'!$C:$I,2+$B124,FALSE)+ VLOOKUP(T$10,'VK-Biokütused'!$C:$G,2+$E124,FALSE)+ VLOOKUP(T$10,'VK-Elekter'!$C:$I,2+$D124,FALSE)+ VLOOKUP(T$10,'VK-Põlevkivi'!$C:$I,2+$G124,FALSE)+ VLOOKUP(T$10,'VK-Võrgud'!$C:$I,2+$F124,FALSE)</f>
        <v>3.9613411995581375E-3</v>
      </c>
      <c r="U124" s="226">
        <f>VLOOKUP(U$10,'VK-Hooned-Soojus'!$C:$I,2+$C124,FALSE) + VLOOKUP(U$10,'VK-Transport'!$C:$I,2+$B124,FALSE)+ VLOOKUP(U$10,'VK-Biokütused'!$C:$G,2+$E124,FALSE)+ VLOOKUP(U$10,'VK-Elekter'!$C:$I,2+$D124,FALSE)+ VLOOKUP(U$10,'VK-Põlevkivi'!$C:$I,2+$G124,FALSE)+ VLOOKUP(U$10,'VK-Võrgud'!$C:$I,2+$F124,FALSE)</f>
        <v>8.8902553047574828E-3</v>
      </c>
      <c r="V124" s="226">
        <f>VLOOKUP(V$10,'VK-Hooned-Soojus'!$C:$I,2+$C124,FALSE) + VLOOKUP(V$10,'VK-Transport'!$C:$I,2+$B124,FALSE)+ VLOOKUP(V$10,'VK-Biokütused'!$C:$G,2+$E124,FALSE)+ VLOOKUP(V$10,'VK-Elekter'!$C:$I,2+$D124,FALSE)+ VLOOKUP(V$10,'VK-Põlevkivi'!$C:$I,2+$G124,FALSE)+ VLOOKUP(V$10,'VK-Võrgud'!$C:$I,2+$F124,FALSE)</f>
        <v>1.7589760358352576E-2</v>
      </c>
      <c r="W124" s="226">
        <f>VLOOKUP(W$10,'VK-Hooned-Soojus'!$C:$I,2+$C124,FALSE) + VLOOKUP(W$10,'VK-Transport'!$C:$I,2+$B124,FALSE)+ VLOOKUP(W$10,'VK-Biokütused'!$C:$G,2+$E124,FALSE)+ VLOOKUP(W$10,'VK-Elekter'!$C:$I,2+$D124,FALSE)+ VLOOKUP(W$10,'VK-Põlevkivi'!$C:$I,2+$G124,FALSE)+ VLOOKUP(W$10,'VK-Võrgud'!$C:$I,2+$F124,FALSE)</f>
        <v>-3.5844168110158017E-2</v>
      </c>
      <c r="X124" s="226">
        <f>VLOOKUP(X$10,'VK-Hooned-Soojus'!$C:$I,2+$C124,FALSE) + VLOOKUP(X$10,'VK-Transport'!$C:$I,2+$B124,FALSE)+ VLOOKUP(X$10,'VK-Biokütused'!$C:$G,2+$E124,FALSE)+ VLOOKUP(X$10,'VK-Elekter'!$C:$I,2+$D124,FALSE)+ VLOOKUP(X$10,'VK-Põlevkivi'!$C:$I,2+$G124,FALSE)+ VLOOKUP(X$10,'VK-Võrgud'!$C:$I,2+$F124,FALSE)</f>
        <v>-4.9498468735647921E-2</v>
      </c>
      <c r="Y124" s="226">
        <f>VLOOKUP(Y$10,'VK-Hooned-Soojus'!$C:$I,2+$C124,FALSE) + VLOOKUP(Y$10,'VK-Transport'!$C:$I,2+$B124,FALSE)+ VLOOKUP(Y$10,'VK-Biokütused'!$C:$G,2+$E124,FALSE)+ VLOOKUP(Y$10,'VK-Elekter'!$C:$I,2+$D124,FALSE)+ VLOOKUP(Y$10,'VK-Põlevkivi'!$C:$I,2+$G124,FALSE)+ VLOOKUP(Y$10,'VK-Võrgud'!$C:$I,2+$F124,FALSE)</f>
        <v>-6.6526080129403448E-2</v>
      </c>
      <c r="Z124" s="227">
        <f>(S124*Tulemused!$Q$9*10+T124*Tulemused!$Q$10*10+KOMBI!U124*Tulemused!$Q$11*10+KOMBI!V124*Tulemused!$Q$12*10)*Tulemused!$Q$8+-(W124*Tulemused!$Q$14*10+KOMBI!X124*Tulemused!$Q$15*10+KOMBI!Y124*Tulemused!$Q$16*10)*Tulemused!$Q$13</f>
        <v>7.8482708861031654</v>
      </c>
      <c r="AA124" s="228">
        <f>(IF(AA$7="X",VLOOKUP(AA$10,'VK-Hooned-Soojus'!$C:$X,2+$C124,FALSE),0)+IF(AA$6="X",VLOOKUP(AA$10,'VK-Transport'!$C:$X,2+$B124,0))+IF(AA$8="X",VLOOKUP(AA$10,'VK-Elekter'!$C:$X,2+$D124,0))+IF(AA$9="X",VLOOKUP(AA$10,'VK-Biokütused'!$C:$U,2+$E124,0))+IF(AA$5="X",VLOOKUP(AA$10,'VK-Põlevkivi'!$C:$X,2+$G124,0))+IF(AA$4="X",VLOOKUP(AA$10,'VK-Võrgud'!$C:$X,2+$F124,0)))</f>
        <v>3728</v>
      </c>
      <c r="AB124" s="228">
        <f>(IF(AB$7="X",VLOOKUP(AB$10,'VK-Hooned-Soojus'!$C:$X,2+$C124,FALSE),0)+IF(AB$6="X",VLOOKUP(AB$10,'VK-Transport'!$C:$X,2+$B124,0))+IF(AB$8="X",VLOOKUP(AB$10,'VK-Elekter'!$C:$X,2+$D124,0))+IF(AB$9="X",VLOOKUP(AB$10,'VK-Biokütused'!$C:$U,2+$E124,0))+IF(AB$5="X",VLOOKUP(AB$10,'VK-Põlevkivi'!$C:$X,2+$G124,0))+IF(AB$4="X",VLOOKUP(AB$10,'VK-Võrgud'!$C:$X,2+$F124,0)))</f>
        <v>1337</v>
      </c>
      <c r="AC124" s="228">
        <f>(IF(AC$7="X",VLOOKUP(AC$10,'VK-Hooned-Soojus'!$C:$X,2+$C124,FALSE),0)+IF(AC$6="X",VLOOKUP(AC$10,'VK-Transport'!$C:$X,2+$B124,0))+IF(AC$8="X",VLOOKUP(AC$10,'VK-Elekter'!$C:$X,2+$D124,0))+IF(AC$9="X",VLOOKUP(AC$10,'VK-Biokütused'!$C:$U,2+$E124,0))+IF(AC$5="X",VLOOKUP(AC$10,'VK-Põlevkivi'!$C:$X,2+$G124,0))+IF(AC$4="X",VLOOKUP(AC$10,'VK-Võrgud'!$C:$X,2+$F124,0)))</f>
        <v>2346</v>
      </c>
      <c r="AD124" s="228">
        <f>(IF(AD$7="X",VLOOKUP(AD$10,'VK-Hooned-Soojus'!$C:$X,2+$C124,FALSE),0)+IF(AD$6="X",VLOOKUP(AD$10,'VK-Transport'!$C:$X,2+$B124,0))+IF(AD$8="X",VLOOKUP(AD$10,'VK-Elekter'!$C:$X,2+$D124,0))+IF(AD$9="X",VLOOKUP(AD$10,'VK-Biokütused'!$C:$U,2+$E124,0))+IF(AD$5="X",VLOOKUP(AD$10,'VK-Põlevkivi'!$C:$X,2+$G124,0))+IF(AD$4="X",VLOOKUP(AD$10,'VK-Võrgud'!$C:$X,2+$F124,0)))</f>
        <v>586.20000000000005</v>
      </c>
      <c r="AE124" s="228">
        <f>(IF(AE$7="X",VLOOKUP(AE$10,'VK-Hooned-Soojus'!$C:$X,2+$C124,FALSE),0)+IF(AE$6="X",VLOOKUP(AE$10,'VK-Transport'!$C:$X,2+$B124,0))+IF(AE$8="X",VLOOKUP(AE$10,'VK-Elekter'!$C:$X,2+$D124,0))+IF(AE$9="X",VLOOKUP(AE$10,'VK-Biokütused'!$C:$U,2+$E124,0))+IF(AE$5="X",VLOOKUP(AE$10,'VK-Põlevkivi'!$C:$X,2+$G124,0))+IF(AE$4="X",VLOOKUP(AE$10,'VK-Võrgud'!$C:$X,2+$F124,0)))</f>
        <v>666</v>
      </c>
      <c r="AF124" s="228">
        <f>(IF(AF$7="X",VLOOKUP(AF$10,'VK-Hooned-Soojus'!$C:$X,2+$C124,FALSE),0)+IF(AF$6="X",VLOOKUP(AF$10,'VK-Transport'!$C:$X,2+$B124,0))+IF(AF$8="X",VLOOKUP(AF$10,'VK-Elekter'!$C:$X,2+$D124,0))+IF(AF$9="X",VLOOKUP(AF$10,'VK-Biokütused'!$C:$U,2+$E124,0))+IF(AF$5="X",VLOOKUP(AF$10,'VK-Põlevkivi'!$C:$X,2+$G124,0))+IF(AF$4="X",VLOOKUP(AF$10,'VK-Võrgud'!$C:$X,2+$F124,0)))</f>
        <v>530.88499063732002</v>
      </c>
      <c r="AG124" s="209"/>
      <c r="AH124" s="209">
        <f>IF(AH$7="X",VLOOKUP(AH$10,'VK-Hooned-Soojus'!$C:$X,2+$C124,FALSE),0)+IF(AH$6="X",VLOOKUP(AH$10,'VK-Transport'!$C:$X,2+$B124,0))+IF(AH$8="X",VLOOKUP(AH$10,'VK-Elekter'!$C:$X,2+$D124,0))+IF(AH$9="X",VLOOKUP(AH$10,'VK-Biokütused'!$C:$U,2+$E124,0))+IF(AH$5="X",VLOOKUP(AH$10,'VK-Põlevkivi'!$C:$X,2+$G124,0))+IF(AH$4="X",VLOOKUP(AH$10,'VK-Võrgud'!$C:$X,2+$F124,0))</f>
        <v>11.579999999999998</v>
      </c>
      <c r="AI124" s="209">
        <f>IF(AI$7="X",VLOOKUP(AI$10,'VK-Hooned-Soojus'!$C:$X,2+$C124,FALSE),0)+IF(AI$6="X",VLOOKUP(AI$10,'VK-Transport'!$C:$X,2+$B124,0))+IF(AI$8="X",VLOOKUP(AI$10,'VK-Elekter'!$C:$X,2+$D124,0))+IF(AI$9="X",VLOOKUP(AI$10,'VK-Biokütused'!$C:$U,2+$E124,0))+IF(AI$5="X",VLOOKUP(AI$10,'VK-Põlevkivi'!$C:$X,2+$G124,0))+IF(AI$4="X",VLOOKUP(AI$10,'VK-Võrgud'!$C:$X,2+$F124,0))</f>
        <v>4.45</v>
      </c>
      <c r="AJ124" s="209">
        <f>IF(AJ$7="X",VLOOKUP(AJ$10,'VK-Hooned-Soojus'!$C:$X,2+$C124,FALSE),0)+IF(AJ$6="X",VLOOKUP(AJ$10,'VK-Transport'!$C:$X,2+$B124,0))+IF(AJ$8="X",VLOOKUP(AJ$10,'VK-Elekter'!$C:$X,2+$D124,0))+IF(AJ$9="X",VLOOKUP(AJ$10,'VK-Biokütused'!$C:$U,2+$E124,0))+IF(AJ$5="X",VLOOKUP(AJ$10,'VK-Põlevkivi'!$C:$X,2+$G124,0))+IF(AJ$4="X",VLOOKUP(AJ$10,'VK-Võrgud'!$C:$X,2+$F124,0))</f>
        <v>9.19</v>
      </c>
      <c r="AK124" s="209">
        <f>IF(AK$7="X",VLOOKUP(AK$10,'VK-Hooned-Soojus'!$C:$X,2+$C124,FALSE),0)+IF(AK$6="X",VLOOKUP(AK$10,'VK-Transport'!$C:$X,2+$B124,0))+IF(AK$8="X",VLOOKUP(AK$10,'VK-Elekter'!$C:$X,2+$D124,0))+IF(AK$9="X",VLOOKUP(AK$10,'VK-Biokütused'!$C:$U,2+$E124,0))+IF(AK$5="X",VLOOKUP(AK$10,'VK-Põlevkivi'!$C:$X,2+$G124,0))+IF(AK$4="X",VLOOKUP(AK$10,'VK-Võrgud'!$C:$X,2+$F124,0))</f>
        <v>0.66</v>
      </c>
      <c r="AL124" s="209">
        <f>IF(AL$7="X",VLOOKUP(AL$10,'VK-Hooned-Soojus'!$C:$X,2+$C124,FALSE),0)+IF(AL$6="X",VLOOKUP(AL$10,'VK-Transport'!$C:$X,2+$B124,0))+IF(AL$8="X",VLOOKUP(AL$10,'VK-Elekter'!$C:$X,2+$D124,0))+IF(AL$9="X",VLOOKUP(AL$10,'VK-Biokütused'!$C:$U,2+$E124,0))+IF(AL$5="X",VLOOKUP(AL$10,'VK-Põlevkivi'!$C:$X,2+$G124,0))+IF(AL$4="X",VLOOKUP(AL$10,'VK-Võrgud'!$C:$X,2+$F124,0))</f>
        <v>7.1999999999999993</v>
      </c>
      <c r="AM124" s="209">
        <f>IF(AM$7="X",VLOOKUP(AM$10,'VK-Hooned-Soojus'!$C:$X,2+$C124,FALSE),0)+IF(AM$6="X",VLOOKUP(AM$10,'VK-Transport'!$C:$X,2+$B124,0))+IF(AM$8="X",VLOOKUP(AM$10,'VK-Elekter'!$C:$X,2+$D124,0))+IF(AM$9="X",VLOOKUP(AM$10,'VK-Biokütused'!$C:$U,2+$E124,0))+IF(AM$5="X",VLOOKUP(AM$10,'VK-Põlevkivi'!$C:$X,2+$G124,0))+IF(AM$4="X",VLOOKUP(AM$10,'VK-Võrgud'!$C:$X,2+$F124,0))</f>
        <v>11.9</v>
      </c>
      <c r="AN124" s="209">
        <f>IF(AN$7="X",VLOOKUP(AN$10,'VK-Hooned-Soojus'!$C:$X,2+$C124,FALSE),0)+IF(AN$6="X",VLOOKUP(AN$10,'VK-Transport'!$C:$X,2+$B124,0))+IF(AN$8="X",VLOOKUP(AN$10,'VK-Elekter'!$C:$X,2+$D124,0))+IF(AN$9="X",VLOOKUP(AN$10,'VK-Biokütused'!$C:$U,2+$E124,0))+IF(AN$5="X",VLOOKUP(AN$10,'VK-Põlevkivi'!$C:$X,2+$G124,0))+IF(AN$4="X",VLOOKUP(AN$10,'VK-Võrgud'!$C:$X,2+$F124,0))</f>
        <v>4.8999999999999995</v>
      </c>
      <c r="AO124" s="209">
        <f>IF(AO$7="X",VLOOKUP(AO$10,'VK-Hooned-Soojus'!$C:$X,2+$C124,FALSE),0)+IF(AO$6="X",VLOOKUP(AO$10,'VK-Transport'!$C:$X,2+$B124,0))+IF(AO$8="X",VLOOKUP(AO$10,'VK-Elekter'!$C:$X,2+$D124,0))+IF(AO$9="X",VLOOKUP(AO$10,'VK-Biokütused'!$C:$U,2+$E124,0))+IF(AO$5="X",VLOOKUP(AO$10,'VK-Põlevkivi'!$C:$X,2+$G124,0))+IF(AO$4="X",VLOOKUP(AO$10,'VK-Võrgud'!$C:$X,2+$F124,0))</f>
        <v>12.56</v>
      </c>
      <c r="AP124" s="209">
        <f>IF(AP$7="X",VLOOKUP(AP$10,'VK-Hooned-Soojus'!$C:$X,2+$C124,FALSE),0)+IF(AP$6="X",VLOOKUP(AP$10,'VK-Transport'!$C:$X,2+$B124,0))+IF(AP$8="X",VLOOKUP(AP$10,'VK-Elekter'!$C:$X,2+$D124,0))+IF(AP$9="X",VLOOKUP(AP$10,'VK-Biokütused'!$C:$U,2+$E124,0))+IF(AP$5="X",VLOOKUP(AP$10,'VK-Põlevkivi'!$C:$X,2+$G124,0))+IF(AP$4="X",VLOOKUP(AP$10,'VK-Võrgud'!$C:$X,2+$F124,0))</f>
        <v>6.28</v>
      </c>
      <c r="AQ124" s="320">
        <f t="shared" si="61"/>
        <v>0.25999999999999979</v>
      </c>
      <c r="AR124" s="209">
        <f>IF(AR$7="X",VLOOKUP(AR$10,'VK-Hooned-Soojus'!$C:$X,2+$C124,FALSE),0)+IF(AR$6="X",VLOOKUP(AR$10,'VK-Transport'!$C:$X,2+$B124,0))+IF(AR$8="X",VLOOKUP(AR$10,'VK-Elekter'!$C:$X,2+$D124,0))+IF(AR$9="X",VLOOKUP(AR$10,'VK-Biokütused'!$C:$U,2+$E124,0))+IF(AR$5="X",VLOOKUP(AR$10,'VK-Põlevkivi'!$C:$X,2+$G124,0))+IF(AR$4="X",VLOOKUP(AR$10,'VK-Võrgud'!$C:$X,2+$F124,0))</f>
        <v>2.8899999999999997</v>
      </c>
      <c r="AS124" s="320">
        <f>VLOOKUP("Kütuste tarbimine @ 2030 - UTTEGAAS",'VK-Hooned-Soojus'!$C:$X,2+$C124,FALSE)/0.172+VLOOKUP("Kütuste tarbimine @ 2030 - UTTEGAAS",'VK-Elekter'!$C:$X,2+$D124,FALSE)/0.172-AR124-AU124</f>
        <v>2.8565116279069773</v>
      </c>
      <c r="AT124" s="209">
        <f>IF(AT$7="X",VLOOKUP(AT$10,'VK-Hooned-Soojus'!$C:$X,2+$C124,FALSE),0)+IF(AT$6="X",VLOOKUP(AT$10,'VK-Transport'!$C:$X,2+$B124,0))+IF(AT$8="X",VLOOKUP(AT$10,'VK-Elekter'!$C:$X,2+$D124,0))+IF(AT$9="X",VLOOKUP(AT$10,'VK-Biokütused'!$C:$U,2+$E124,0))+IF(AT$5="X",VLOOKUP(AT$10,'VK-Põlevkivi'!$C:$X,2+$G124,0))+IF(AT$4="X",VLOOKUP(AT$10,'VK-Võrgud'!$C:$X,2+$F124,0))</f>
        <v>5.7045296564339489</v>
      </c>
      <c r="AU124" s="229">
        <f>MAX(0,(VLOOKUP("Kütuste tarbimine @ 2030 - UTTEGAAS",'VK-Hooned-Soojus'!$C:$X,2+$C124,FALSE)/0.172+VLOOKUP("Kütuste tarbimine @ 2030 - UTTEGAAS",'VK-Elekter'!$C:$X,2+$D124,FALSE)/0.172)*0.52-VLOOKUP("Kütuste tarbimine @ 2030 - PÕLEVKIVIÕLI",'VK-Hooned-Soojus'!$C:$X,2+$C124,FALSE))</f>
        <v>5.1837209302325586</v>
      </c>
      <c r="AV124" s="209">
        <f>IF(AV$7="X",VLOOKUP(AV$10,'VK-Hooned-Soojus'!$C:$X,2+$C124,FALSE),0)+IF(AV$6="X",VLOOKUP(AV$10,'VK-Transport'!$C:$X,2+$B124,0))+IF(AV$8="X",VLOOKUP(AV$10,'VK-Elekter'!$C:$X,2+$D124,0))+IF(AV$9="X",VLOOKUP(AV$10,'VK-Biokütused'!$C:$U,2+$E124,0))+IF(AV$5="X",VLOOKUP(AV$10,'VK-Põlevkivi'!$C:$X,2+$G124,0))+IF(AV$4="X",VLOOKUP(AV$10,'VK-Võrgud'!$C:$X,2+$F124,0))</f>
        <v>2.1219844082566364</v>
      </c>
      <c r="AW124" s="209">
        <f>IF(AW$7="X",VLOOKUP(AW$10,'VK-Hooned-Soojus'!$C:$X,2+$C124,FALSE),0)+IF(AW$6="X",VLOOKUP(AW$10,'VK-Transport'!$C:$X,2+$B124,0))+IF(AW$8="X",VLOOKUP(AW$10,'VK-Elekter'!$C:$X,2+$D124,0))+IF(AW$9="X",VLOOKUP(AW$10,'VK-Biokütused'!$C:$U,2+$E124,0))+IF(AW$5="X",VLOOKUP(AW$10,'VK-Põlevkivi'!$C:$X,2+$G124,0))+IF(AW$4="X",VLOOKUP(AW$10,'VK-Võrgud'!$C:$X,2+$F124,0))</f>
        <v>4.2799999999999994</v>
      </c>
      <c r="AX124" s="229">
        <f t="shared" si="62"/>
        <v>2.158015591743363</v>
      </c>
      <c r="AY124" s="229">
        <f t="shared" si="63"/>
        <v>0</v>
      </c>
      <c r="AZ124" s="230">
        <f t="shared" si="83"/>
        <v>0.45957835903449201</v>
      </c>
      <c r="BA124" s="209">
        <f>IF(BA$7="X",VLOOKUP(BA$10,'VK-Hooned-Soojus'!$C:$X,2+$C124,FALSE),0)+IF(BA$6="X",VLOOKUP(BA$10,'VK-Transport'!$C:$X,2+$B124,0))+IF(BA$8="X",VLOOKUP(BA$10,'VK-Elekter'!$C:$X,2+$D124,0))+IF(BA$9="X",VLOOKUP(BA$10,'VK-Biokütused'!$C:$U,2+$E124,0))+IF(BA$5="X",VLOOKUP(BA$10,'VK-Põlevkivi'!$C:$X,2+$G124,0))+IF(BA$4="X",VLOOKUP(BA$10,'VK-Võrgud'!$C:$X,2+$F124,0))</f>
        <v>4.2</v>
      </c>
      <c r="BB124" s="209">
        <f>IF(BB$7="X",VLOOKUP(BB$10,'VK-Hooned-Soojus'!$C:$X,2+$C124,FALSE),0)+IF(BB$6="X",VLOOKUP(BB$10,'VK-Transport'!$C:$X,2+$B124,0))+IF(BB$8="X",VLOOKUP(BB$10,'VK-Elekter'!$C:$X,2+$D124,0))+IF(BB$9="X",VLOOKUP(BB$10,'VK-Biokütused'!$C:$U,2+$E124,0))+IF(BB$5="X",VLOOKUP(BB$10,'VK-Põlevkivi'!$C:$X,2+$G124,0))+IF(BB$4="X",VLOOKUP(BB$10,'VK-Võrgud'!$C:$X,2+$F124,0))</f>
        <v>5.1000000000000005</v>
      </c>
      <c r="BC124" s="209">
        <f>IF(BC$7="X",VLOOKUP(BC$10,'VK-Hooned-Soojus'!$C:$X,2+$C124,FALSE),0)+IF(BC$6="X",VLOOKUP(BC$10,'VK-Transport'!$C:$X,2+$B124,0))+IF(BC$8="X",VLOOKUP(BC$10,'VK-Elekter'!$C:$X,2+$D124,0))+IF(BC$9="X",VLOOKUP(BC$10,'VK-Biokütused'!$C:$U,2+$E124,0))+IF(BC$5="X",VLOOKUP(BC$10,'VK-Põlevkivi'!$C:$X,2+$G124,0))+IF(BC$4="X",VLOOKUP(BC$10,'VK-Võrgud'!$C:$X,2+$F124,0))</f>
        <v>6.5993333333333322</v>
      </c>
      <c r="BD124" s="209">
        <f>IF(BD$7="X",VLOOKUP(BD$10,'VK-Hooned-Soojus'!$C:$X,2+$C124,FALSE),0)+IF(BD$6="X",VLOOKUP(BD$10,'VK-Transport'!$C:$X,2+$B124,0))+IF(BD$8="X",VLOOKUP(BD$10,'VK-Elekter'!$C:$X,2+$D124,0))+IF(BD$9="X",VLOOKUP(BD$10,'VK-Biokütused'!$C:$U,2+$E124,0))+IF(BD$5="X",VLOOKUP(BD$10,'VK-Põlevkivi'!$C:$X,2+$G124,0))+IF(BD$4="X",VLOOKUP(BD$10,'VK-Võrgud'!$C:$X,2+$F124,0))</f>
        <v>9.425416666666667</v>
      </c>
      <c r="BE124" s="230"/>
      <c r="BF124" s="229">
        <f t="shared" si="64"/>
        <v>0.40982462181179752</v>
      </c>
      <c r="BG124" s="209" t="e">
        <f>(IF(BG$7="X",VLOOKUP(BG$10,'VK-Hooned-Soojus'!$C:$X,2+$C124,FALSE),0)+IF(BG$6="X",VLOOKUP(BG$10,'VK-Transport'!$C:$X,2+$B124,0))+IF(BG$8="X",VLOOKUP(BG$10,'VK-Elekter'!$C:$X,2+$D124,0))+IF(BG$9="X",VLOOKUP(BG$10,'VK-Biokütused'!$C:$U,2+$E124,0))+IF(BG$5="X",VLOOKUP(BG$10,'VK-Põlevkivi'!$C:$X,2+$G124,0))+IF(BG$4="X",VLOOKUP(BG$10,'VK-Võrgud'!$C:$X,2+$F124,0)))/20</f>
        <v>#N/A</v>
      </c>
      <c r="BH124" s="209">
        <f>(IF(BH$7="X",VLOOKUP(BH$10,'VK-Hooned-Soojus'!$C:$X,2+$C124,FALSE),0)+IF(BH$6="X",VLOOKUP(BH$10,'VK-Transport'!$C:$X,2+$B124,0))+IF(BH$8="X",VLOOKUP(BH$10,'VK-Elekter'!$C:$X,2+$D124,0))+IF(BH$9="X",VLOOKUP(BH$10,'VK-Biokütused'!$C:$U,2+$E124,0))+IF(BH$5="X",VLOOKUP(BH$10,'VK-Põlevkivi'!$C:$X,2+$G124,0))+IF(BH$4="X",VLOOKUP(BH$10,'VK-Võrgud'!$C:$X,2+$F124,0)))/20</f>
        <v>45.08</v>
      </c>
      <c r="BI124" s="209">
        <f>(IF(BI$7="X",VLOOKUP(BI$10,'VK-Hooned-Soojus'!$C:$X,2+$C124,FALSE),0)+IF(BI$6="X",VLOOKUP(BI$10,'VK-Transport'!$C:$X,2+$B124,0))+IF(BI$8="X",VLOOKUP(BI$10,'VK-Elekter'!$C:$X,2+$D124,0))+IF(BI$9="X",VLOOKUP(BI$10,'VK-Biokütused'!$C:$U,2+$E124,0))+IF(BI$5="X",VLOOKUP(BI$10,'VK-Põlevkivi'!$C:$X,2+$G124,0))+IF(BI$4="X",VLOOKUP(BI$10,'VK-Võrgud'!$C:$X,2+$F124,0)))/16</f>
        <v>14.1875</v>
      </c>
      <c r="BJ124" s="209">
        <f>(IF(BJ$7="X",VLOOKUP(BJ$10,'VK-Hooned-Soojus'!$C:$X,2+$C124,FALSE),0)+IF(BJ$6="X",VLOOKUP(BJ$10,'VK-Transport'!$C:$X,2+$B124,0))+IF(BJ$8="X",VLOOKUP(BJ$10,'VK-Elekter'!$C:$X,2+$D124,0))+IF(BJ$9="X",VLOOKUP(BJ$10,'VK-Biokütused'!$C:$U,2+$E124,0))+IF(BJ$5="X",VLOOKUP(BJ$10,'VK-Põlevkivi'!$C:$X,2+$G124,0))+IF(BJ$4="X",VLOOKUP(BJ$10,'VK-Võrgud'!$C:$X,2+$F124,0)))/20</f>
        <v>3.91</v>
      </c>
      <c r="BK124" s="209"/>
      <c r="BL124" s="209"/>
      <c r="BM124" s="209"/>
      <c r="BN124" s="209" t="e">
        <f>(IF(BN$7="X",VLOOKUP(BN$10,'VK-Hooned-Soojus'!$C:$X,2+$C124,FALSE),0)+IF(BN$6="X",VLOOKUP(BN$10,'VK-Transport'!$C:$X,2+$B124,0))+IF(BN$8="X",VLOOKUP(BN$10,'VK-Elekter'!$C:$X,2+$D124,0))+IF(BN$9="X",VLOOKUP(BN$10,'VK-Biokütused'!$C:$U,2+$E124,0))+IF(BN$5="X",VLOOKUP(BN$10,'VK-Põlevkivi'!$C:$X,2+$G124,0))+IF(BN$4="X",VLOOKUP(BN$10,'VK-Võrgud'!$C:$X,2+$F124,0)))/16</f>
        <v>#N/A</v>
      </c>
      <c r="BO124" s="209">
        <f>(IF(BO$7="X",VLOOKUP(BO$10,'VK-Hooned-Soojus'!$C:$X,2+$C124,FALSE),0)+IF(BO$6="X",VLOOKUP(BO$10,'VK-Transport'!$C:$X,2+$B124,0))+IF(BO$8="X",VLOOKUP(BO$10,'VK-Elekter'!$C:$X,2+$D124,0))+IF(BO$9="X",VLOOKUP(BO$10,'VK-Biokütused'!$C:$U,2+$E124,0))+IF(BO$5="X",VLOOKUP(BO$10,'VK-Põlevkivi'!$C:$X,2+$G124,0))+IF(BO$4="X",VLOOKUP(BO$10,'VK-Võrgud'!$C:$X,2+$F124,0)))/16</f>
        <v>322.79374999999999</v>
      </c>
      <c r="BP124" s="209"/>
      <c r="BQ124" s="209">
        <f>(IF(BQ$7="X",VLOOKUP(BQ$10,'VK-Hooned-Soojus'!$C:$X,2+$C124,FALSE),0)+IF(BQ$6="X",VLOOKUP(BQ$10,'VK-Transport'!$C:$X,2+$B124,0))+IF(BQ$8="X",VLOOKUP(BQ$10,'VK-Elekter'!$C:$X,2+$D124,0))+IF(BQ$9="X",VLOOKUP(BQ$10,'VK-Biokütused'!$C:$U,2+$E124,0))+IF(BQ$5="X",VLOOKUP(BQ$10,'VK-Põlevkivi'!$C:$X,2+$G124,0))+IF(BQ$4="X",VLOOKUP(BQ$10,'VK-Võrgud'!$C:$X,2+$F124,0)))/16</f>
        <v>233.20625000000001</v>
      </c>
      <c r="BR124" s="209">
        <f>(IF(BR$7="X",VLOOKUP(BR$10,'VK-Hooned-Soojus'!$C:$X,2+$C124,FALSE),0)+IF(BR$6="X",VLOOKUP(BR$10,'VK-Transport'!$C:$X,2+$B124,0))+IF(BR$8="X",VLOOKUP(BR$10,'VK-Elekter'!$C:$X,2+$D124,0))+IF(BR$9="X",VLOOKUP(BR$10,'VK-Biokütused'!$C:$U,2+$E124,0))+IF(BR$5="X",VLOOKUP(BR$10,'VK-Põlevkivi'!$C:$X,2+$G124,0))+IF(BR$4="X",VLOOKUP(BR$10,'VK-Võrgud'!$C:$X,2+$F124,0)))/16</f>
        <v>74.512500000000003</v>
      </c>
      <c r="BS124" s="209">
        <f>(IF(BS$7="X",VLOOKUP(BS$10,'VK-Hooned-Soojus'!$C:$X,2+$C124,FALSE),0)+IF(BS$6="X",VLOOKUP(BS$10,'VK-Transport'!$C:$X,2+$B124,0))+IF(BS$8="X",VLOOKUP(BS$10,'VK-Elekter'!$C:$X,2+$D124,0))+IF(BS$9="X",VLOOKUP(BS$10,'VK-Biokütused'!$C:$U,2+$E124,0))+IF(BS$5="X",VLOOKUP(BS$10,'VK-Põlevkivi'!$C:$X,2+$G124,0))+IF(BS$4="X",VLOOKUP(BS$10,'VK-Võrgud'!$C:$X,2+$F124,0)))/16</f>
        <v>-21.475000000000001</v>
      </c>
      <c r="BT124" s="209"/>
      <c r="BU124" s="209"/>
      <c r="BV124" s="209">
        <f>(IF(BV$7="X",VLOOKUP(BV$10,'VK-Hooned-Soojus'!$C:$X,2+$C124,FALSE),0)+IF(BV$6="X",VLOOKUP(BV$10,'VK-Transport'!$C:$X,2+$B124,0))+IF(BV$8="X",VLOOKUP(BV$10,'VK-Elekter'!$C:$X,2+$D124,0))+IF(BV$9="X",VLOOKUP(BV$10,'VK-Biokütused'!$C:$U,2+$E124,0))+IF(BV$5="X",VLOOKUP(BV$10,'VK-Põlevkivi'!$C:$X,2+$G124,0))+IF(BV$4="X",VLOOKUP(BV$10,'VK-Võrgud'!$C:$X,2+$F124,0)))/16</f>
        <v>0</v>
      </c>
      <c r="BW124" s="209"/>
      <c r="BX124" s="209">
        <f>(IF(BX$7="X",VLOOKUP(BX$10,'VK-Hooned-Soojus'!$C:$X,2+$C124,FALSE),0)+IF(BX$6="X",VLOOKUP(BX$10,'VK-Transport'!$C:$X,2+$B124,0))+IF(BX$8="X",VLOOKUP(BX$10,'VK-Elekter'!$C:$X,2+$D124,0))+IF(BX$9="X",VLOOKUP(BX$10,'VK-Biokütused'!$C:$U,2+$E124,0))+IF(BX$5="X",VLOOKUP(BX$10,'VK-Põlevkivi'!$C:$X,2+$G124,0))+IF(BX$4="X",VLOOKUP(BX$10,'VK-Võrgud'!$C:$X,2+$F124,0)))/16</f>
        <v>-99.4375</v>
      </c>
      <c r="BY124" s="209"/>
      <c r="BZ124" s="209"/>
      <c r="CA124" s="209" t="e">
        <f>(IF(CA$7="X",VLOOKUP(CA$10,'VK-Hooned-Soojus'!$C:$X,2+$C124,FALSE),0)+IF(CA$6="X",VLOOKUP(CA$10,'VK-Transport'!$C:$X,2+$B124,0))+IF(CA$8="X",VLOOKUP(CA$10,'VK-Elekter'!$C:$X,2+$D124,0))+IF(CA$9="X",VLOOKUP(CA$10,'VK-Biokütused'!$C:$U,2+$E124,0))+IF(CA$5="X",VLOOKUP(CA$10,'VK-Põlevkivi'!$C:$X,2+$G124,0))+IF(CA$4="X",VLOOKUP(CA$10,'VK-Võrgud'!$C:$X,2+$F124,0)))/16</f>
        <v>#N/A</v>
      </c>
      <c r="CB124" s="209">
        <f>(IF(CB$7="X",VLOOKUP(CB$10,'VK-Hooned-Soojus'!$C:$X,2+$C124,FALSE),0)+IF(CB$6="X",VLOOKUP(CB$10,'VK-Transport'!$C:$X,2+$B124,0))+IF(CB$8="X",VLOOKUP(CB$10,'VK-Elekter'!$C:$X,2+$D124,0))+IF(CB$9="X",VLOOKUP(CB$10,'VK-Biokütused'!$C:$U,2+$E124,0))+IF(CB$5="X",VLOOKUP(CB$10,'VK-Põlevkivi'!$C:$X,2+$G124,0))+IF(CB$4="X",VLOOKUP(CB$10,'VK-Võrgud'!$C:$X,2+$F124,0)))/16</f>
        <v>0</v>
      </c>
      <c r="CC124" s="209">
        <f>(IF(CC$7="X",VLOOKUP(CC$10,'VK-Hooned-Soojus'!$C:$X,2+$C124,FALSE),0)+IF(CC$6="X",VLOOKUP(CC$10,'VK-Transport'!$C:$X,2+$B124,0))+IF(CC$8="X",VLOOKUP(CC$10,'VK-Elekter'!$C:$X,2+$D124,0))+IF(CC$9="X",VLOOKUP(CC$10,'VK-Biokütused'!$C:$U,2+$E124,0))+IF(CC$5="X",VLOOKUP(CC$10,'VK-Põlevkivi'!$C:$X,2+$G124,0))+IF(CC$4="X",VLOOKUP(CC$10,'VK-Võrgud'!$C:$X,2+$F124,0)))/16</f>
        <v>0</v>
      </c>
      <c r="CD124" s="209"/>
      <c r="CE124" s="209">
        <f>(IF(CE$7="X",VLOOKUP(CE$10,'VK-Hooned-Soojus'!$C:$X,2+$C124,FALSE),0)+IF(CE$6="X",VLOOKUP(CE$10,'VK-Transport'!$C:$X,2+$B124,0))+IF(CE$8="X",VLOOKUP(CE$10,'VK-Elekter'!$C:$X,2+$D124,0))+IF(CE$9="X",VLOOKUP(CE$10,'VK-Biokütused'!$C:$U,2+$E124,0))+IF(CE$5="X",VLOOKUP(CE$10,'VK-Põlevkivi'!$C:$X,2+$G124,0))+IF(CE$4="X",VLOOKUP(CE$10,'VK-Võrgud'!$C:$X,2+$F124,0)))/16</f>
        <v>24.15625</v>
      </c>
      <c r="CF124" s="209"/>
      <c r="CG124" s="209">
        <f>(IF(CG$7="X",VLOOKUP(CG$10,'VK-Hooned-Soojus'!$C:$X,2+$C124,FALSE),0)+IF(CG$6="X",VLOOKUP(CG$10,'VK-Transport'!$C:$X,2+$B124,0))+IF(CG$8="X",VLOOKUP(CG$10,'VK-Elekter'!$C:$X,2+$D124,0))+IF(CG$9="X",VLOOKUP(CG$10,'VK-Biokütused'!$C:$U,2+$E124,0))+IF(CG$5="X",VLOOKUP(CG$10,'VK-Põlevkivi'!$C:$X,2+$G124,0))+IF(CG$4="X",VLOOKUP(CG$10,'VK-Võrgud'!$C:$X,2+$F124,0)))/16</f>
        <v>0</v>
      </c>
      <c r="CH124" s="209">
        <f>(IF(CH$7="X",VLOOKUP(CH$10,'VK-Hooned-Soojus'!$C:$X,2+$C124,FALSE),0)+IF(CH$6="X",VLOOKUP(CH$10,'VK-Transport'!$C:$X,2+$B124,0))+IF(CH$8="X",VLOOKUP(CH$10,'VK-Elekter'!$C:$X,2+$D124,0))+IF(CH$9="X",VLOOKUP(CH$10,'VK-Biokütused'!$C:$U,2+$E124,0))+IF(CH$5="X",VLOOKUP(CH$10,'VK-Põlevkivi'!$C:$X,2+$G124,0))+IF(CH$4="X",VLOOKUP(CH$10,'VK-Võrgud'!$C:$X,2+$F124,0)))/20*0.21</f>
        <v>11.225549999999998</v>
      </c>
      <c r="CI124" s="209"/>
      <c r="CJ124" s="209">
        <f>(IF(CJ$7="X",VLOOKUP(CJ$10,'VK-Hooned-Soojus'!$C:$X,2+$C124,FALSE),0)+IF(CJ$6="X",VLOOKUP(CJ$10,'VK-Transport'!$C:$X,2+$B124,0))+IF(CJ$8="X",VLOOKUP(CJ$10,'VK-Elekter'!$C:$X,2+$D124,0))+IF(CJ$9="X",VLOOKUP(CJ$10,'VK-Biokütused'!$C:$U,2+$E124,0))+IF(CJ$5="X",VLOOKUP(CJ$10,'VK-Põlevkivi'!$C:$X,2+$G124,0))+IF(CJ$4="X",VLOOKUP(CJ$10,'VK-Võrgud'!$C:$X,2+$F124,0)))/1000</f>
        <v>17.167861099430585</v>
      </c>
      <c r="CK124" s="209">
        <f>(IF(CK$7="X",VLOOKUP(CK$10,'VK-Hooned-Soojus'!$C:$X,2+$C124,FALSE),0)+IF(CK$6="X",VLOOKUP(CK$10,'VK-Transport'!$C:$X,2+$B124,0))+IF(CK$8="X",VLOOKUP(CK$10,'VK-Elekter'!$C:$X,2+$D124,0))+IF(CK$9="X",VLOOKUP(CK$10,'VK-Biokütused'!$C:$U,2+$E124,0))+IF(CK$5="X",VLOOKUP(CK$10,'VK-Põlevkivi'!$C:$X,2+$G124,0))+IF(CK$4="X",VLOOKUP(CK$10,'VK-Võrgud'!$C:$X,2+$F124,0)))/1000</f>
        <v>11.869077976340797</v>
      </c>
      <c r="CL124" s="235">
        <f>(IF(CL$7="X",VLOOKUP(CL$10,'VK-Hooned-Soojus'!$C:$X,2+$C124,FALSE),0)+IF(CL$6="X",VLOOKUP(CL$10,'VK-Transport'!$C:$X,2+$B124,0))+IF(CL$8="X",VLOOKUP(CL$10,'VK-Elekter'!$C:$X,2+$D124,0))+IF(CL$9="X",VLOOKUP(CL$10,'VK-Biokütused'!$C:$U,2+$E124,0)))/1000</f>
        <v>7.494282692299028</v>
      </c>
      <c r="CM124" s="209">
        <f>(IF(CM$7="X",VLOOKUP(CM$10,'VK-Hooned-Soojus'!$C:$X,2+$C124,FALSE),0)+IF(CM$6="X",VLOOKUP(CM$10,'VK-Transport'!$C:$X,2+$B124,0))+IF(CM$8="X",VLOOKUP(CM$10,'VK-Elekter'!$C:$X,2+$D124,0))+IF(CM$9="X",VLOOKUP(CM$10,'VK-Biokütused'!$C:$U,2+$E124,0))+IF(CM$5="X",VLOOKUP(CM$10,'VK-Põlevkivi'!$C:$X,2+$G124,0))+IF(CM$4="X",VLOOKUP(CM$10,'VK-Võrgud'!$C:$X,2+$F124,0)))/1000</f>
        <v>7.7603156794471024</v>
      </c>
      <c r="CN124" s="209">
        <f>(IF(CN$7="X",VLOOKUP(CN$10,'VK-Hooned-Soojus'!$C:$X,2+$C124,FALSE),0)+IF(CN$6="X",VLOOKUP(CN$10,'VK-Transport'!$C:$X,2+$B124,0))+IF(CN$8="X",VLOOKUP(CN$10,'VK-Elekter'!$C:$X,2+$D124,0))+IF(CN$9="X",VLOOKUP(CN$10,'VK-Biokütused'!$C:$U,2+$E124,0))+IF(CN$5="X",VLOOKUP(CN$10,'VK-Põlevkivi'!$C:$X,2+$G124,0))+IF(CN$4="X",VLOOKUP(CN$10,'VK-Võrgud'!$C:$X,2+$F124,0)))/1000</f>
        <v>2.8759999999999999</v>
      </c>
      <c r="CO124" s="209">
        <f>(IF(CO$7="X",VLOOKUP(CO$10,'VK-Hooned-Soojus'!$C:$X,2+$C124,FALSE),0)+IF(CO$6="X",VLOOKUP(CO$10,'VK-Transport'!$C:$X,2+$B124,0))+IF(CO$8="X",VLOOKUP(CO$10,'VK-Elekter'!$C:$X,2+$D124,0))+IF(CO$9="X",VLOOKUP(CO$10,'VK-Biokütused'!$C:$U,2+$E124,0))+IF(CO$5="X",VLOOKUP(CO$10,'VK-Põlevkivi'!$C:$X,2+$G124,0))+IF(CO$4="X",VLOOKUP(CO$10,'VK-Võrgud'!$C:$X,2+$F124,0)))/1000</f>
        <v>23.745362337356994</v>
      </c>
      <c r="CP124" s="209">
        <f>(IF(CP$7="X",VLOOKUP(CP$10,'VK-Hooned-Soojus'!$C:$X,2+$C124,FALSE),0)+IF(CP$6="X",VLOOKUP(CP$10,'VK-Transport'!$C:$X,2+$B124,0))+IF(CP$8="X",VLOOKUP(CP$10,'VK-Elekter'!$C:$X,2+$D124,0))+IF(CP$9="X",VLOOKUP(CP$10,'VK-Biokütused'!$C:$U,2+$E124,0))+IF(CP$5="X",VLOOKUP(CP$10,'VK-Põlevkivi'!$C:$X,2+$G124,0))+IF(CP$4="X",VLOOKUP(CP$10,'VK-Võrgud'!$C:$X,2+$F124,0)))/1000</f>
        <v>13.441392120693662</v>
      </c>
      <c r="CQ124" s="235">
        <f>(IF(CQ$7="X",VLOOKUP(CQ$10,'VK-Hooned-Soojus'!$C:$X,2+$C124,FALSE),0)+IF(CQ$6="X",VLOOKUP(CQ$10,'VK-Transport'!$C:$X,2+$B124,0))+IF(CQ$8="X",VLOOKUP(CQ$10,'VK-Elekter'!$C:$X,2+$D124,0))+IF(CQ$9="X",VLOOKUP(CQ$10,'VK-Biokütused'!$C:$U,2+$E124,0)))/1000</f>
        <v>10.327919</v>
      </c>
      <c r="CR124" s="209">
        <f>(IF(CR$7="X",VLOOKUP(CR$10,'VK-Hooned-Soojus'!$C:$X,2+$C124,FALSE),0)+IF(CR$6="X",VLOOKUP(CR$10,'VK-Transport'!$C:$X,2+$B124,0))+IF(CR$8="X",VLOOKUP(CR$10,'VK-Elekter'!$C:$X,2+$D124,0))+IF(CR$9="X",VLOOKUP(CR$10,'VK-Biokütused'!$C:$U,2+$E124,0))+IF(CR$5="X",VLOOKUP(CR$10,'VK-Põlevkivi'!$C:$X,2+$G124,0))+IF(CR$4="X",VLOOKUP(CR$10,'VK-Võrgud'!$C:$X,2+$F124,0)))/1000</f>
        <v>7.866751837399689</v>
      </c>
      <c r="CS124" s="209">
        <f>(IF(CS$7="X",VLOOKUP(CS$10,'VK-Hooned-Soojus'!$C:$X,2+$C124,FALSE),0)+IF(CS$6="X",VLOOKUP(CS$10,'VK-Transport'!$C:$X,2+$B124,0))+IF(CS$8="X",VLOOKUP(CS$10,'VK-Elekter'!$C:$X,2+$D124,0))+IF(CS$9="X",VLOOKUP(CS$10,'VK-Biokütused'!$C:$U,2+$E124,0))+IF(CS$5="X",VLOOKUP(CS$10,'VK-Põlevkivi'!$C:$X,2+$G124,0))+IF(CS$4="X",VLOOKUP(CS$10,'VK-Võrgud'!$C:$X,2+$F124,0)))/1000</f>
        <v>3.8186495098622379</v>
      </c>
      <c r="CT124" s="209">
        <f>IF(CT$7="X",VLOOKUP(CT$10,'VK-Hooned-Soojus'!$C:$X,2+$C124,FALSE),0)+IF(CT$6="X",VLOOKUP(CT$10,'VK-Transport'!$C:$X,2+$B124,0))+IF(CT$8="X",VLOOKUP(CT$10,'VK-Elekter'!$C:$X,2+$D124,0))+IF(CT$9="X",VLOOKUP(CT$10,'VK-Biokütused'!$C:$U,2+$E124,0))+IF(CT$5="X",VLOOKUP(CT$10,'VK-Põlevkivi'!$C:$X,2+$G124,0))+IF(CT$4="X",VLOOKUP(CT$10,'VK-Võrgud'!$C:$X,2+$F124,0))</f>
        <v>90</v>
      </c>
      <c r="CU124" s="209">
        <f>IF(CU$7="X",VLOOKUP(CU$10,'VK-Hooned-Soojus'!$C:$X,2+$C124,FALSE),0)+IF(CU$6="X",VLOOKUP(CU$10,'VK-Transport'!$C:$X,2+$B124,0))+IF(CU$8="X",VLOOKUP(CU$10,'VK-Elekter'!$C:$X,2+$D124,0))+IF(CU$9="X",VLOOKUP(CU$10,'VK-Biokütused'!$C:$U,2+$E124,0))+IF(CU$5="X",VLOOKUP(CU$10,'VK-Põlevkivi'!$C:$X,2+$G124,0))+IF(CU$4="X",VLOOKUP(CU$10,'VK-Võrgud'!$C:$X,2+$F124,0))</f>
        <v>0.9337349397590361</v>
      </c>
      <c r="CV124" s="209">
        <f t="shared" si="84"/>
        <v>0.72887234460741646</v>
      </c>
      <c r="CW124" s="209">
        <f>(IF(CW$7="X",VLOOKUP(CW$10,'VK-Hooned-Soojus'!$C:$X,2+$C124,FALSE),0)+IF(CW$6="X",VLOOKUP(CW$10,'VK-Transport'!$C:$X,2+$B124,0))+IF(CW$8="X",VLOOKUP(CW$10,'VK-Elekter'!$C:$X,2+$D124,0))+IF(CW$9="X",VLOOKUP(CW$10,'VK-Biokütused'!$C:$U,2+$E124,0))+IF(CW$5="X",VLOOKUP(CW$10,'VK-Põlevkivi'!$C:$X,2+$G124,0))+IF(CW$4="X",VLOOKUP(CW$10,'VK-Võrgud'!$C:$X,2+$F124,0)))/16</f>
        <v>126.01875</v>
      </c>
      <c r="CY124" s="209">
        <f>(IF(CY$7="X",VLOOKUP(CY$10,'VK-Hooned-Soojus'!$C:$X,2+$C124,FALSE),0)+IF(CY$6="X",VLOOKUP(CY$10,'VK-Transport'!$C:$X,2+$B124,0))+IF(CY$8="X",VLOOKUP(CY$10,'VK-Elekter'!$C:$X,2+$D124,0))+IF(CY$9="X",VLOOKUP(CY$10,'VK-Biokütused'!$C:$U,2+$E124,0))+IF(CY$5="X",VLOOKUP(CY$10,'VK-Põlevkivi'!$C:$X,2+$G124,0))+IF(CY$4="X",VLOOKUP(CY$10,'VK-Võrgud'!$C:$X,2+$F124,0)))/1000</f>
        <v>10.207000000000001</v>
      </c>
      <c r="CZ124" s="209">
        <f>(IF(CZ$7="X",VLOOKUP(CZ$10,'VK-Hooned-Soojus'!$C:$X,2+$C124,FALSE),0)+IF(CZ$6="X",VLOOKUP(CZ$10,'VK-Transport'!$C:$X,2+$B124,0))+IF(CZ$8="X",VLOOKUP(CZ$10,'VK-Elekter'!$C:$X,2+$D124,0))+IF(CZ$9="X",VLOOKUP(CZ$10,'VK-Biokütused'!$C:$U,2+$E124,0))+IF(CZ$5="X",VLOOKUP(CZ$10,'VK-Põlevkivi'!$C:$X,2+$G124,0))+IF(CZ$4="X",VLOOKUP(CZ$10,'VK-Võrgud'!$C:$X,2+$F124,0)))</f>
        <v>69</v>
      </c>
      <c r="DA124" s="209">
        <f>(IF(DA$7="X",VLOOKUP(DA$10,'VK-Hooned-Soojus'!$C:$X,2+$C124,FALSE),0)+IF(DA$6="X",VLOOKUP(DA$10,'VK-Transport'!$C:$X,2+$B124,0))+IF(DA$8="X",VLOOKUP(DA$10,'VK-Elekter'!$C:$X,2+$D124,0))+IF(DA$9="X",VLOOKUP(DA$10,'VK-Biokütused'!$C:$U,2+$E124,0))+IF(DA$5="X",VLOOKUP(DA$10,'VK-Põlevkivi'!$C:$X,2+$G124,0))+IF(DA$4="X",VLOOKUP(DA$10,'VK-Võrgud'!$C:$X,2+$F124,0)))/1000</f>
        <v>13.231</v>
      </c>
      <c r="DB124" s="209">
        <f>(IF(DB$7="X",VLOOKUP(DB$10,'VK-Hooned-Soojus'!$C:$X,2+$C124,FALSE),0)+IF(DB$6="X",VLOOKUP(DB$10,'VK-Transport'!$C:$X,2+$B124,0))+IF(DB$8="X",VLOOKUP(DB$10,'VK-Elekter'!$C:$X,2+$D124,0))+IF(DB$9="X",VLOOKUP(DB$10,'VK-Biokütused'!$C:$U,2+$E124,0))+IF(DB$5="X",VLOOKUP(DB$10,'VK-Põlevkivi'!$C:$X,2+$G124,0))+IF(DB$4="X",VLOOKUP(DB$10,'VK-Võrgud'!$C:$X,2+$F124,0)))/1000/3.6</f>
        <v>59.478888888888889</v>
      </c>
      <c r="DC124" s="209">
        <f>(IF(DC$7="X",VLOOKUP(DC$10,'VK-Hooned-Soojus'!$C:$X,2+$C124,FALSE),0)+IF(DC$6="X",VLOOKUP(DC$10,'VK-Transport'!$C:$X,2+$B124,0))+IF(DC$8="X",VLOOKUP(DC$10,'VK-Elekter'!$C:$X,2+$D124,0))+IF(DC$9="X",VLOOKUP(DC$10,'VK-Biokütused'!$C:$U,2+$E124,0))+IF(DC$5="X",VLOOKUP(DC$10,'VK-Põlevkivi'!$C:$X,2+$G124,0))+IF(DC$4="X",VLOOKUP(DC$10,'VK-Võrgud'!$C:$X,2+$F124,0)))/1000000</f>
        <v>4.8061670000000003</v>
      </c>
      <c r="DD124" s="209"/>
      <c r="DE124" s="88">
        <f>VLOOKUP(Tulemused!$BN$12,data!M$7:N$12,2,FALSE)-SUM(L124,M124)</f>
        <v>-5.2509373024363981E-2</v>
      </c>
      <c r="DF124" s="209" t="str">
        <f>IF(AZ124&lt;=VLOOKUP(Tulemused!$BN$15,data!$E$36:$F$39,2,FALSE),"JAH","EI")</f>
        <v>JAH</v>
      </c>
      <c r="DG124" s="209"/>
      <c r="DH124" s="209">
        <f t="shared" si="85"/>
        <v>6.28</v>
      </c>
      <c r="DI124" s="231" t="str">
        <f t="shared" si="65"/>
        <v>EI</v>
      </c>
      <c r="DK124" s="232">
        <f t="shared" si="86"/>
        <v>-992.15172911389686</v>
      </c>
      <c r="DM124" s="233">
        <f t="shared" si="87"/>
        <v>-997.45337801211485</v>
      </c>
      <c r="DN124" s="87">
        <f t="array" ref="DN124">INDEX($A$11:$A$145, SMALL(IF(DM124=$DK$11:$DK$145, MATCH(ROW($DK$11:$DK$145), ROW($DK$11:$DK$145))), SUM(--(DM124=$DM$11:DM124))))</f>
        <v>28</v>
      </c>
      <c r="DP124" s="87" t="e">
        <f t="shared" ca="1" si="66"/>
        <v>#N/A</v>
      </c>
      <c r="DQ124" s="87" t="e">
        <f t="shared" ca="1" si="67"/>
        <v>#N/A</v>
      </c>
      <c r="DR124" s="87">
        <f t="shared" ca="1" si="68"/>
        <v>0</v>
      </c>
      <c r="DS124" s="87" t="e">
        <f t="shared" ca="1" si="69"/>
        <v>#N/A</v>
      </c>
      <c r="DT124" s="87">
        <f t="shared" ca="1" si="70"/>
        <v>0</v>
      </c>
      <c r="DU124" s="87" t="e">
        <f t="shared" ca="1" si="71"/>
        <v>#N/A</v>
      </c>
      <c r="DV124" s="87" t="e">
        <f t="shared" ca="1" si="72"/>
        <v>#N/A</v>
      </c>
      <c r="DW124" s="87">
        <f t="shared" ca="1" si="73"/>
        <v>0</v>
      </c>
      <c r="DX124" s="87">
        <f t="shared" ca="1" si="74"/>
        <v>0</v>
      </c>
      <c r="DZ124" s="87">
        <f t="shared" ca="1" si="82"/>
        <v>0</v>
      </c>
      <c r="EB124" s="87">
        <f t="shared" ca="1" si="75"/>
        <v>0</v>
      </c>
      <c r="EC124" s="87" t="e">
        <f t="shared" ca="1" si="76"/>
        <v>#N/A</v>
      </c>
      <c r="EE124" s="228">
        <f>(IF(EE$7="X",VLOOKUP(EE$10,'VK-Hooned-Soojus'!$C:$X,2+$C124,FALSE),0)+IF(EE$6="X",VLOOKUP(EE$10,'VK-Transport'!$C:$X,2+$B124,0))+IF(EE$8="X",VLOOKUP(EE$10,'VK-Elekter'!$C:$X,2+$D124,0))+IF(EE$9="X",VLOOKUP(EE$10,'VK-Biokütused'!$C:$U,2+$E124,0))+IF(EE$5="X",VLOOKUP(EE$10,'VK-Põlevkivi'!$C:$X,2+$G124,0))+IF(EE$4="X",VLOOKUP(EE$10,'VK-Võrgud'!$C:$X,2+$F124,0)))</f>
        <v>15054.933785008005</v>
      </c>
      <c r="EF124" s="235">
        <f>(IF(EF$7="X",VLOOKUP(EF$10,'VK-Hooned-Soojus'!$C:$X,2+$C124,FALSE),0)+IF(EF$6="X",VLOOKUP(EF$10,'VK-Transport'!$C:$X,2+$B124,0))+IF(EF$8="X",VLOOKUP(EF$10,'VK-Elekter'!$C:$X,2+$D124,0))+IF(EF$9="X",VLOOKUP(EF$10,'VK-Biokütused'!$C:$U,2+$E124,0)))/1000</f>
        <v>3.0048849906373198</v>
      </c>
      <c r="EG124" s="209">
        <f>(IF(EG$7="X",VLOOKUP(EG$10,'VK-Hooned-Soojus'!$C:$X,2+$C124,FALSE),0)+IF(EG$6="X",VLOOKUP(EG$10,'VK-Transport'!$C:$X,2+$B124,0))+IF(EG$8="X",VLOOKUP(EG$10,'VK-Elekter'!$C:$X,2+$D124,0))+IF(EG$9="X",VLOOKUP(EG$10,'VK-Biokütused'!$C:$U,2+$E124,0))+IF(EG$5="X",VLOOKUP(EG$10,'VK-Põlevkivi'!$C:$X,2+$G124,0))+IF(EG$4="X",VLOOKUP(EG$10,'VK-Võrgud'!$C:$X,2+$F124,0)))</f>
        <v>2.95</v>
      </c>
      <c r="EH124" s="209">
        <f>(IF(EH$7="X",VLOOKUP(EH$10,'VK-Hooned-Soojus'!$C:$X,2+$C124,FALSE),0)+IF(EH$6="X",VLOOKUP(EH$10,'VK-Transport'!$C:$X,2+$B124,0))+IF(EH$8="X",VLOOKUP(EH$10,'VK-Elekter'!$C:$X,2+$D124,0))+IF(EH$9="X",VLOOKUP(EH$10,'VK-Biokütused'!$C:$U,2+$E124,0)))+AR124+AS124+AU124+AX124</f>
        <v>52.414637038771787</v>
      </c>
      <c r="EI124" s="320">
        <f t="shared" si="88"/>
        <v>45.072900516795862</v>
      </c>
      <c r="EJ124" s="322">
        <f t="shared" si="89"/>
        <v>8.9622522089166823E-2</v>
      </c>
      <c r="EK124" s="323">
        <f t="shared" si="77"/>
        <v>0.50575663408967231</v>
      </c>
      <c r="EM124" s="209"/>
      <c r="EN124" s="209">
        <f t="shared" ca="1" si="90"/>
        <v>0</v>
      </c>
      <c r="EO124" s="209"/>
      <c r="EP124" s="234"/>
      <c r="EQ124" s="209">
        <f>(IF(EQ$7="X",VLOOKUP(EQ$10,'VK-Hooned-Soojus'!$C:$X,2+$C124,FALSE),0)+IF(EQ$6="X",VLOOKUP(EQ$10,'VK-Transport'!$C:$X,2+$B124,0))+IF(EQ$8="X",VLOOKUP(EQ$10,'VK-Elekter'!$C:$X,2+$D124,0))+IF(EQ$9="X",VLOOKUP(EQ$10,'VK-Biokütused'!$C:$U,2+$E124,0))+IF(EQ$5="X",VLOOKUP(EQ$10,'VK-Põlevkivi'!$C:$X,2+$G124,0))+IF(EQ$4="X",VLOOKUP(EQ$10,'VK-Võrgud'!$C:$X,2+$F124,0)))/1000</f>
        <v>0.21099999999999999</v>
      </c>
      <c r="ER124" s="209">
        <f>(IF(ER$7="X",VLOOKUP(ER$10,'VK-Hooned-Soojus'!$C:$X,2+$C124,FALSE),0)+IF(ER$6="X",VLOOKUP(ER$10,'VK-Transport'!$C:$X,2+$B124,0))+IF(ER$8="X",VLOOKUP(ER$10,'VK-Elekter'!$C:$X,2+$D124,0))+IF(ER$9="X",VLOOKUP(ER$10,'VK-Biokütused'!$C:$U,2+$E124,0))+IF(ER$5="X",VLOOKUP(ER$10,'VK-Põlevkivi'!$C:$X,2+$G124,0))+IF(ER$4="X",VLOOKUP(ER$10,'VK-Võrgud'!$C:$X,2+$F124,0)))</f>
        <v>0.76300000000000001</v>
      </c>
      <c r="ES124" s="209">
        <f>(IF(ES$7="X",VLOOKUP(ES$10,'VK-Hooned-Soojus'!$C:$X,2+$C124,FALSE),0)+IF(ES$6="X",VLOOKUP(ES$10,'VK-Transport'!$C:$X,2+$B124,0))+IF(ES$8="X",VLOOKUP(ES$10,'VK-Elekter'!$C:$X,2+$D124,0))+IF(ES$9="X",VLOOKUP(ES$10,'VK-Biokütused'!$C:$U,2+$E124,0))+IF(ES$5="X",VLOOKUP(ES$10,'VK-Põlevkivi'!$C:$X,2+$G124,0))+IF(ES$4="X",VLOOKUP(ES$10,'VK-Võrgud'!$C:$X,2+$F124,0)))</f>
        <v>6.28</v>
      </c>
      <c r="ET124" s="209"/>
      <c r="EU124" s="209"/>
      <c r="EV124" s="87">
        <f>'KSH järjestus'!AS117</f>
        <v>728</v>
      </c>
      <c r="EZ124" s="237">
        <f t="shared" si="91"/>
        <v>6.6265060240963902E-2</v>
      </c>
      <c r="FA124" s="209">
        <f>IF(FA$7="X",VLOOKUP(FA$10,'VK-Hooned-Soojus'!$C:$X,2+$C124,FALSE),0)+IF(FA$6="X",VLOOKUP(FA$10,'VK-Transport'!$C:$X,2+$B124,0))+IF(FA$8="X",VLOOKUP(FA$10,'VK-Elekter'!$C:$X,2+$D124,0))+IF(FA$9="X",VLOOKUP(FA$10,'VK-Biokütused'!$C:$U,2+$E124,0))+IF(FA$5="X",VLOOKUP(FA$10,'VK-Põlevkivi'!$C:$X,2+$G124,0))+IF(FA$4="X",VLOOKUP(FA$10,'VK-Võrgud'!$C:$X,2+$F124,0))</f>
        <v>2991.9189999999999</v>
      </c>
      <c r="FB124" s="279">
        <f>(IF(FB$7="X",VLOOKUP(FB$10,'VK-Hooned-Soojus'!$C:$X,2+$C124,FALSE),0)+IF(FB$6="X",VLOOKUP(FB$10,'VK-Transport'!$C:$X,2+$B124,0))+IF(FB$8="X",VLOOKUP(FB$10,'VK-Elekter'!$C:$X,2+$D124,0))+IF(FB$9="X",VLOOKUP(FB$10,'VK-Biokütused'!$C:$U,2+$E124,0))+IF(FB$5="X",VLOOKUP(FB$10,'VK-Põlevkivi'!$C:$X,2+$G124,0))+IF(FB$4="X",VLOOKUP(FB$10,'VK-Võrgud'!$C:$X,2+$F124,0)))/16</f>
        <v>665.47858245210682</v>
      </c>
      <c r="FC124" s="209">
        <f>IF(FC$7="X",VLOOKUP(FC$10,'VK-Hooned-Soojus'!$C:$X,2+$C124,FALSE),0)+IF(FC$6="X",VLOOKUP(FC$10,'VK-Transport'!$C:$X,2+$B124,0))+IF(FC$8="X",VLOOKUP(FC$10,'VK-Elekter'!$C:$X,2+$D124,0))+IF(FC$9="X",VLOOKUP(FC$10,'VK-Biokütused'!$C:$U,2+$E124,0))+IF(FC$5="X",VLOOKUP(FC$10,'VK-Põlevkivi'!$C:$X,2+$G124,0))+IF(FC$4="X",VLOOKUP(FC$10,'VK-Võrgud'!$C:$X,2+$F124,0))</f>
        <v>294.39999999999998</v>
      </c>
      <c r="FD124" s="209">
        <f>(IF(FD$7="X",VLOOKUP(FD$10,'VK-Hooned-Soojus'!$C:$X,2+$C124,FALSE),0)+IF(FD$6="X",VLOOKUP(FD$10,'VK-Transport'!$C:$X,2+$B124,0))+IF(FD$8="X",VLOOKUP(FD$10,'VK-Elekter'!$C:$X,2+$D124,0))+IF(FD$9="X",VLOOKUP(FD$10,'VK-Biokütused'!$C:$U,2+$E124,0))+IF(FD$5="X",VLOOKUP(FD$10,'VK-Põlevkivi'!$C:$X,2+$G124,0))+IF(FD$4="X",VLOOKUP(FD$10,'VK-Võrgud'!$C:$X,2+$F124,0)))/16</f>
        <v>665.47858245210682</v>
      </c>
      <c r="FE124" s="209">
        <f>(IF(FE$7="X",VLOOKUP(FE$10,'VK-Hooned-Soojus'!$C:$X,2+$C124,FALSE),0)+IF(FE$6="X",VLOOKUP(FE$10,'VK-Transport'!$C:$X,2+$B124,0))+IF(FE$8="X",VLOOKUP(FE$10,'VK-Elekter'!$C:$X,2+$D124,0))+IF(FE$9="X",VLOOKUP(FE$10,'VK-Biokütused'!$C:$U,2+$E124,0))+IF(FE$5="X",VLOOKUP(FE$10,'VK-Põlevkivi'!$C:$X,2+$G124,0))+IF(FE$4="X",VLOOKUP(FE$10,'VK-Võrgud'!$C:$X,2+$F124,0)))/16</f>
        <v>-111.63831369909104</v>
      </c>
      <c r="FF124" s="209">
        <f>(IF(FF$7="X",VLOOKUP(FF$10,'VK-Hooned-Soojus'!$C:$X,2+$C124,FALSE),0)+IF(FF$6="X",VLOOKUP(FF$10,'VK-Transport'!$C:$X,2+$B124,0))+IF(FF$8="X",VLOOKUP(FF$10,'VK-Elekter'!$C:$X,2+$D124,0))+IF(FF$9="X",VLOOKUP(FF$10,'VK-Biokütused'!$C:$U,2+$E124,0))+IF(FF$5="X",VLOOKUP(FF$10,'VK-Põlevkivi'!$C:$X,2+$G124,0))+IF(FF$4="X",VLOOKUP(FF$10,'VK-Võrgud'!$C:$X,2+$F124,0)))/16</f>
        <v>259.26624854914786</v>
      </c>
      <c r="FG124" s="88">
        <f t="shared" ca="1" si="78"/>
        <v>147.62793485005682</v>
      </c>
      <c r="FH124" s="88"/>
      <c r="FI124" s="88"/>
      <c r="FJ124" s="88">
        <f>VLOOKUP(Tulemused!$BN$12,data!M$7:N$12,2,FALSE)-SUM(L124,M124)</f>
        <v>-5.2509373024363981E-2</v>
      </c>
      <c r="FK124" s="209" t="str">
        <f>IF(AZ124&lt;=VLOOKUP(Tulemused!$BN$15,data!$E$36:$F$39,2,FALSE),"JAH","EI")</f>
        <v>JAH</v>
      </c>
      <c r="FL124" s="235">
        <f ca="1">IF(ISNA(MATCH($A124,INDIRECT(VLOOKUP(Tulemused!$BF$11,data!$J$57:$M$71,4,FALSE)))),0,MATCH($A124,INDIRECT(VLOOKUP(Tulemused!$BF$11,data!$J$57:$M$71,4,FALSE))))</f>
        <v>0</v>
      </c>
      <c r="FM124" s="235" t="str">
        <f t="shared" ca="1" si="92"/>
        <v>JAH</v>
      </c>
      <c r="FN124" s="209">
        <f>VLOOKUP(Tulemused!$BN$13,data!$C$132:$D$137,2,FALSE)-KOMBI!R124</f>
        <v>4.4628850093626804</v>
      </c>
      <c r="FO124" s="209"/>
      <c r="FP124" s="209">
        <f>VLOOKUP(Tulemused!$BN$17,NO_x,2,FALSE)-CJ124</f>
        <v>12.270138900569414</v>
      </c>
      <c r="FQ124" s="209">
        <f>VLOOKUP(Tulemused!$BN$18,SO_2,2,FALSE)-CK124</f>
        <v>40.014922023659203</v>
      </c>
      <c r="FR124" s="209">
        <f>VLOOKUP(Tulemused!$BN$19,LOU,2,FALSE)-CN124</f>
        <v>34.204000000000008</v>
      </c>
      <c r="FS124" s="209">
        <f>VLOOKUP(Tulemused!$BN$20,PM_2.5,2,FALSE)-CM124</f>
        <v>9.1546843205528958</v>
      </c>
      <c r="FT124" s="209">
        <f>VLOOKUP(Tulemused!$BN$13,data!$C$132:$D$137,2,FALSE)-FA124/1000</f>
        <v>3.2540510000000009</v>
      </c>
      <c r="FU124" s="209">
        <f>VLOOKUP(Tulemused!$BN$17,NO_x,2,FALSE)-CO124</f>
        <v>5.6926376626430049</v>
      </c>
      <c r="FV124" s="209">
        <f>VLOOKUP(Tulemused!$BN$18,SO_2,2,FALSE)-CP124</f>
        <v>38.442607879306337</v>
      </c>
      <c r="FW124" s="209">
        <f>VLOOKUP(Tulemused!$BN$19,LOU,2,FALSE)-CS124</f>
        <v>33.261350490137765</v>
      </c>
      <c r="FX124" s="209">
        <f>VLOOKUP(Tulemused!$BN$20,PM_2.5,2,FALSE)-CR124</f>
        <v>9.0482481626003093</v>
      </c>
      <c r="FY124" s="209">
        <f>VLOOKUP(Tulemused!$BN$14,KHG_2050,2,FALSE)-EF124</f>
        <v>96.995115009362678</v>
      </c>
      <c r="FZ124" s="231" t="str">
        <f t="shared" ca="1" si="79"/>
        <v>EI</v>
      </c>
      <c r="GA124" s="209"/>
      <c r="GB124" s="209"/>
      <c r="GC124" s="209"/>
      <c r="GD124" s="231"/>
      <c r="GE124" s="87">
        <f t="shared" si="93"/>
        <v>728</v>
      </c>
      <c r="GF124" s="232" t="str">
        <f t="shared" ca="1" si="80"/>
        <v/>
      </c>
      <c r="GH124" s="238" t="e">
        <f t="shared" ca="1" si="94"/>
        <v>#NUM!</v>
      </c>
      <c r="GI124" s="87" t="e">
        <f t="array" aca="1" ref="GI124" ca="1">INDEX($A$11:$A$145, SMALL(IF(GH124=$GF$11:$GF$145, MATCH(ROW($GF$11:$GF$145), ROW($GF$11:$GF$145))), SUM(--(GH124=$GH$11:GH124))))</f>
        <v>#NUM!</v>
      </c>
      <c r="GM124" s="209">
        <f>IF(GM$7="X",VLOOKUP(GM$10,'VK-Hooned-Soojus'!$C:$X,2+$C124,FALSE),0)+IF(GM$6="X",VLOOKUP(GM$10,'VK-Transport'!$C:$X,2+$B124,0))+IF(GM$8="X",VLOOKUP(GM$10,'VK-Elekter'!$C:$X,2+$D124,0))+IF(GM$9="X",VLOOKUP(GM$10,'VK-Biokütused'!$C:$U,2+$E124,0))+IF(GM$5="X",VLOOKUP(GM$10,'VK-Põlevkivi'!$C:$X,2+$G124,0))+IF(GM$4="X",VLOOKUP(GM$10,'VK-Võrgud'!$C:$X,2+$F124,0))</f>
        <v>6.011750640646909</v>
      </c>
      <c r="GN124" s="209">
        <f>IF(GN$7="X",VLOOKUP(GN$10,'VK-Hooned-Soojus'!$C:$X,2+$C124,FALSE),0)+IF(GN$6="X",VLOOKUP(GN$10,'VK-Transport'!$C:$X,2+$B124,0))+IF(GN$8="X",VLOOKUP(GN$10,'VK-Elekter'!$C:$X,2+$D124,0))+IF(GN$9="X",VLOOKUP(GN$10,'VK-Biokütused'!$C:$U,2+$E124,0))+IF(GN$5="X",VLOOKUP(GN$10,'VK-Põlevkivi'!$C:$X,2+$G124,0))+IF(GN$4="X",VLOOKUP(GN$10,'VK-Võrgud'!$C:$X,2+$F124,0))</f>
        <v>3.4528686473995491</v>
      </c>
      <c r="GO124" s="209">
        <f>IF(GO$7="X",VLOOKUP(GO$10,'VK-Hooned-Soojus'!$C:$X,2+$C124,FALSE),0)+IF(GO$6="X",VLOOKUP(GO$10,'VK-Transport'!$C:$X,2+$B124,0))+IF(GO$8="X",VLOOKUP(GO$10,'VK-Elekter'!$C:$X,2+$D124,0))+IF(GO$9="X",VLOOKUP(GO$10,'VK-Biokütused'!$C:$U,2+$E124,0))+IF(GO$5="X",VLOOKUP(GO$10,'VK-Põlevkivi'!$C:$X,2+$G124,0))+IF(GO$4="X",VLOOKUP(GO$10,'VK-Võrgud'!$C:$X,2+$F124,0))</f>
        <v>7.936370010272257</v>
      </c>
      <c r="GP124" s="209">
        <f>IF(GP$7="X",VLOOKUP(GP$10,'VK-Hooned-Soojus'!$C:$X,2+$C124,FALSE),0)+IF(GP$6="X",VLOOKUP(GP$10,'VK-Transport'!$C:$X,2+$B124,0))+IF(GP$8="X",VLOOKUP(GP$10,'VK-Elekter'!$C:$X,2+$D124,0))+IF(GP$9="X",VLOOKUP(GP$10,'VK-Biokütused'!$C:$U,2+$E124,0))+IF(GP$5="X",VLOOKUP(GP$10,'VK-Põlevkivi'!$C:$X,2+$G124,0))+IF(GP$4="X",VLOOKUP(GP$10,'VK-Võrgud'!$C:$X,2+$F124,0))</f>
        <v>9.1527946929596489</v>
      </c>
      <c r="GQ124" s="88">
        <f>IF(GQ$7="X",VLOOKUP(GQ$10,'VK-Hooned-Soojus'!$C:$X,2+$C124,FALSE),0)+IF(GQ$6="X",VLOOKUP(GQ$10,'VK-Transport'!$C:$X,2+$B124,0))+IF(GQ$8="X",VLOOKUP(GQ$10,'VK-Elekter'!$C:$X,2+$D124,0))+IF(GQ$9="X",VLOOKUP(GQ$10,'VK-Biokütused'!$C:$U,2+$E124,0))+IF(GQ$5="X",VLOOKUP(GQ$10,'VK-Põlevkivi'!$C:$X,2+$G124,0))+IF(GQ$4="X",VLOOKUP(GQ$10,'VK-Võrgud'!$C:$X,2+$F124,0))</f>
        <v>0.89042766952822527</v>
      </c>
      <c r="GR124" s="186">
        <f t="shared" si="81"/>
        <v>0.41039878496500309</v>
      </c>
    </row>
    <row r="125" spans="1:200" x14ac:dyDescent="0.2">
      <c r="A125" s="184">
        <v>115</v>
      </c>
      <c r="B125" s="87">
        <v>3</v>
      </c>
      <c r="C125" s="87">
        <v>2</v>
      </c>
      <c r="D125" s="87">
        <v>4</v>
      </c>
      <c r="E125" s="87">
        <v>1</v>
      </c>
      <c r="F125" s="87">
        <f>VLOOKUP(Tulemused!$BF$7,data!$J$6:$K$8,2,FALSE)</f>
        <v>2</v>
      </c>
      <c r="G125" s="87">
        <f>VLOOKUP(data!$H$2,data!$J$12:$K$14,2,FALSE)</f>
        <v>2</v>
      </c>
      <c r="I125" s="209">
        <f>IF(I$7="X",VLOOKUP(I$10,'VK-Hooned-Soojus'!$C:$X,2+$C125,FALSE),0)+IF(I$6="X",VLOOKUP(I$10,'VK-Transport'!$C:$X,2+$B125,0))+IF(I$8="X",VLOOKUP(I$10,'VK-Elekter'!$C:$X,2+$D125,0))+IF(I$9="X",VLOOKUP(I$10,'VK-Biokütused'!$C:$U,2+$E125,0))+IF(I$5="X",VLOOKUP(I$10,'VK-Põlevkivi'!$C:$X,2+$G125,0))+IF(I$4="X",VLOOKUP(I$10,'VK-Võrgud'!$C:$X,2+$F125,0))</f>
        <v>24.79</v>
      </c>
      <c r="J125" s="209">
        <f>IF(J$7="X",VLOOKUP(J$10,'VK-Hooned-Soojus'!$C:$X,2+$C125,FALSE),0)+IF(J$6="X",VLOOKUP(J$10,'VK-Transport'!$C:$X,2+$B125,0))+IF(J$8="X",VLOOKUP(J$10,'VK-Elekter'!$C:$X,2+$D125,0))+IF(J$9="X",VLOOKUP(J$10,'VK-Biokütused'!$C:$U,2+$E125,0))+IF(J$5="X",VLOOKUP(J$10,'VK-Põlevkivi'!$C:$X,2+$G125,0))+IF(J$4="X",VLOOKUP(J$10,'VK-Võrgud'!$C:$X,2+$F125,0))</f>
        <v>8.1258333333333344</v>
      </c>
      <c r="K125" s="209">
        <f>IF(K$7="X",VLOOKUP(K$10,'VK-Hooned-Soojus'!$C:$X,2+$C125,FALSE),0)+IF(K$6="X",VLOOKUP(K$10,'VK-Transport'!$C:$X,2+$B125,0))+IF(K$8="X",VLOOKUP(K$10,'VK-Elekter'!$C:$X,2+$D125,0))+IF(K$9="X",VLOOKUP(K$10,'VK-Biokütused'!$C:$U,2+$E125,0))+IF(K$5="X",VLOOKUP(K$10,'VK-Põlevkivi'!$C:$X,2+$G125,0))+IF(K$4="X",VLOOKUP(K$10,'VK-Võrgud'!$C:$X,2+$F125,0))</f>
        <v>15.27</v>
      </c>
      <c r="L125" s="209">
        <f>IF(L$7="X",VLOOKUP(L$10,'VK-Hooned-Soojus'!$C:$X,2+$C125,FALSE),0)+IF(L$6="X",VLOOKUP(L$10,'VK-Transport'!$C:$X,2+$B125,0))+IF(L$8="X",VLOOKUP(L$10,'VK-Elekter'!$C:$X,2+$D125,0))+IF(L$9="X",VLOOKUP(L$10,'VK-Biokütused'!$C:$U,2+$E125,0))+IF(L$5="X",VLOOKUP(L$10,'VK-Põlevkivi'!$C:$X,2+$G125,0))+IF(L$4="X",VLOOKUP(L$10,'VK-Võrgud'!$C:$X,2+$F125,0))</f>
        <v>24.2</v>
      </c>
      <c r="M125" s="209">
        <f>IF(M$7="X",VLOOKUP(M$10,'VK-Hooned-Soojus'!$C:$X,2+$C125,FALSE),0)+IF(M$6="X",VLOOKUP(M$10,'VK-Transport'!$C:$X,2+$B125,0))+IF(M$8="X",VLOOKUP(M$10,'VK-Elekter'!$C:$X,2+$D125,0))+IF(M$9="X",VLOOKUP(M$10,'VK-Biokütused'!$C:$U,2+$E125,0))+IF(M$5="X",VLOOKUP(M$10,'VK-Põlevkivi'!$C:$X,2+$G125,0))+IF(M$4="X",VLOOKUP(M$10,'VK-Võrgud'!$C:$X,2+$F125,0))</f>
        <v>8.68530937302436</v>
      </c>
      <c r="N125" s="209">
        <f>IF(N$7="X",VLOOKUP(N$10,'VK-Hooned-Soojus'!$C:$X,2+$C125,FALSE),0)+IF(N$6="X",VLOOKUP(N$10,'VK-Transport'!$C:$X,2+$B125,0))+IF(N$8="X",VLOOKUP(N$10,'VK-Elekter'!$C:$X,2+$D125,0))+IF(N$9="X",VLOOKUP(N$10,'VK-Biokütused'!$C:$U,2+$E125,0))+IF(N$5="X",VLOOKUP(N$10,'VK-Põlevkivi'!$C:$X,2+$G125,0))+IF(N$4="X",VLOOKUP(N$10,'VK-Võrgud'!$C:$X,2+$F125,0))</f>
        <v>16.09</v>
      </c>
      <c r="O125" s="209">
        <f t="shared" si="60"/>
        <v>32.915833333333332</v>
      </c>
      <c r="P125" s="209"/>
      <c r="Q125" s="209">
        <f>(IF(Q$7="X",VLOOKUP(Q$10,'VK-Hooned-Soojus'!$C:$X,2+$C125,FALSE),0)+IF(Q$6="X",VLOOKUP(Q$10,'VK-Transport'!$C:$X,2+$B125,0))+IF(Q$8="X",VLOOKUP(Q$10,'VK-Elekter'!$C:$X,2+$D125,0))+IF(Q$9="X",VLOOKUP(Q$10,'VK-Biokütused'!$C:$U,2+$E125,0))+IF(Q$5="X",VLOOKUP(Q$10,'VK-Põlevkivi'!$C:$X,2+$G125,0))+IF(Q$4="X",VLOOKUP(Q$10,'VK-Võrgud'!$C:$X,2+$F125,0)))/1000</f>
        <v>1.337</v>
      </c>
      <c r="R125" s="209">
        <f>(IF(R$7="X",VLOOKUP(R$10,'VK-Hooned-Soojus'!$C:$X,2+$C125,FALSE),0)+IF(R$6="X",VLOOKUP(R$10,'VK-Transport'!$C:$X,2+$B125,0))+IF(R$8="X",VLOOKUP(R$10,'VK-Elekter'!$C:$X,2+$D125,0))+IF(R$9="X",VLOOKUP(R$10,'VK-Biokütused'!$C:$U,2+$E125,0))+IF(R$5="X",VLOOKUP(R$10,'VK-Põlevkivi'!$C:$X,2+$G125,0))+IF(R$4="X",VLOOKUP(R$10,'VK-Võrgud'!$C:$X,2+$F125,0)))/1000</f>
        <v>1.19688499063732</v>
      </c>
      <c r="S125" s="226">
        <f>VLOOKUP(S$10,'VK-Hooned-Soojus'!$C:$I,2+$C125,FALSE) + VLOOKUP(S$10,'VK-Transport'!$C:$I,2+$B125,FALSE)+ VLOOKUP(S$10,'VK-Biokütused'!$C:$G,2+$E125,FALSE)+ VLOOKUP(S$10,'VK-Elekter'!$C:$I,2+$D125,FALSE)+ VLOOKUP(S$10,'VK-Põlevkivi'!$C:$I,2+$G125,FALSE)+ VLOOKUP(S$10,'VK-Võrgud'!$C:$I,2+$F125,FALSE)</f>
        <v>1.2874436806605129E-2</v>
      </c>
      <c r="T125" s="226">
        <f>VLOOKUP(T$10,'VK-Hooned-Soojus'!$C:$I,2+$C125,FALSE) + VLOOKUP(T$10,'VK-Transport'!$C:$I,2+$B125,FALSE)+ VLOOKUP(T$10,'VK-Biokütused'!$C:$G,2+$E125,FALSE)+ VLOOKUP(T$10,'VK-Elekter'!$C:$I,2+$D125,FALSE)+ VLOOKUP(T$10,'VK-Põlevkivi'!$C:$I,2+$G125,FALSE)+ VLOOKUP(T$10,'VK-Võrgud'!$C:$I,2+$F125,FALSE)</f>
        <v>6.7453953777951593E-3</v>
      </c>
      <c r="U125" s="226">
        <f>VLOOKUP(U$10,'VK-Hooned-Soojus'!$C:$I,2+$C125,FALSE) + VLOOKUP(U$10,'VK-Transport'!$C:$I,2+$B125,FALSE)+ VLOOKUP(U$10,'VK-Biokütused'!$C:$G,2+$E125,FALSE)+ VLOOKUP(U$10,'VK-Elekter'!$C:$I,2+$D125,FALSE)+ VLOOKUP(U$10,'VK-Põlevkivi'!$C:$I,2+$G125,FALSE)+ VLOOKUP(U$10,'VK-Võrgud'!$C:$I,2+$F125,FALSE)</f>
        <v>3.1268508575636733E-3</v>
      </c>
      <c r="V125" s="226">
        <f>VLOOKUP(V$10,'VK-Hooned-Soojus'!$C:$I,2+$C125,FALSE) + VLOOKUP(V$10,'VK-Transport'!$C:$I,2+$B125,FALSE)+ VLOOKUP(V$10,'VK-Biokütused'!$C:$G,2+$E125,FALSE)+ VLOOKUP(V$10,'VK-Elekter'!$C:$I,2+$D125,FALSE)+ VLOOKUP(V$10,'VK-Põlevkivi'!$C:$I,2+$G125,FALSE)+ VLOOKUP(V$10,'VK-Võrgud'!$C:$I,2+$F125,FALSE)</f>
        <v>9.8231452968222301E-3</v>
      </c>
      <c r="W125" s="226">
        <f>VLOOKUP(W$10,'VK-Hooned-Soojus'!$C:$I,2+$C125,FALSE) + VLOOKUP(W$10,'VK-Transport'!$C:$I,2+$B125,FALSE)+ VLOOKUP(W$10,'VK-Biokütused'!$C:$G,2+$E125,FALSE)+ VLOOKUP(W$10,'VK-Elekter'!$C:$I,2+$D125,FALSE)+ VLOOKUP(W$10,'VK-Põlevkivi'!$C:$I,2+$G125,FALSE)+ VLOOKUP(W$10,'VK-Võrgud'!$C:$I,2+$F125,FALSE)</f>
        <v>-6.4537325222161823E-2</v>
      </c>
      <c r="X125" s="226">
        <f>VLOOKUP(X$10,'VK-Hooned-Soojus'!$C:$I,2+$C125,FALSE) + VLOOKUP(X$10,'VK-Transport'!$C:$I,2+$B125,FALSE)+ VLOOKUP(X$10,'VK-Biokütused'!$C:$G,2+$E125,FALSE)+ VLOOKUP(X$10,'VK-Elekter'!$C:$I,2+$D125,FALSE)+ VLOOKUP(X$10,'VK-Põlevkivi'!$C:$I,2+$G125,FALSE)+ VLOOKUP(X$10,'VK-Võrgud'!$C:$I,2+$F125,FALSE)</f>
        <v>-0.19196582587804284</v>
      </c>
      <c r="Y125" s="226">
        <f>VLOOKUP(Y$10,'VK-Hooned-Soojus'!$C:$I,2+$C125,FALSE) + VLOOKUP(Y$10,'VK-Transport'!$C:$I,2+$B125,FALSE)+ VLOOKUP(Y$10,'VK-Biokütused'!$C:$G,2+$E125,FALSE)+ VLOOKUP(Y$10,'VK-Elekter'!$C:$I,2+$D125,FALSE)+ VLOOKUP(Y$10,'VK-Põlevkivi'!$C:$I,2+$G125,FALSE)+ VLOOKUP(Y$10,'VK-Võrgud'!$C:$I,2+$F125,FALSE)</f>
        <v>-0.1183805860857611</v>
      </c>
      <c r="Z125" s="227">
        <f>(S125*Tulemused!$Q$9*10+T125*Tulemused!$Q$10*10+KOMBI!U125*Tulemused!$Q$11*10+KOMBI!V125*Tulemused!$Q$12*10)*Tulemused!$Q$8+-(W125*Tulemused!$Q$14*10+KOMBI!X125*Tulemused!$Q$15*10+KOMBI!Y125*Tulemused!$Q$16*10)*Tulemused!$Q$13</f>
        <v>9.9219607641522458</v>
      </c>
      <c r="AA125" s="228">
        <f>(IF(AA$7="X",VLOOKUP(AA$10,'VK-Hooned-Soojus'!$C:$X,2+$C125,FALSE),0)+IF(AA$6="X",VLOOKUP(AA$10,'VK-Transport'!$C:$X,2+$B125,0))+IF(AA$8="X",VLOOKUP(AA$10,'VK-Elekter'!$C:$X,2+$D125,0))+IF(AA$9="X",VLOOKUP(AA$10,'VK-Biokütused'!$C:$U,2+$E125,0))+IF(AA$5="X",VLOOKUP(AA$10,'VK-Põlevkivi'!$C:$X,2+$G125,0))+IF(AA$4="X",VLOOKUP(AA$10,'VK-Võrgud'!$C:$X,2+$F125,0)))</f>
        <v>0</v>
      </c>
      <c r="AB125" s="228">
        <f>(IF(AB$7="X",VLOOKUP(AB$10,'VK-Hooned-Soojus'!$C:$X,2+$C125,FALSE),0)+IF(AB$6="X",VLOOKUP(AB$10,'VK-Transport'!$C:$X,2+$B125,0))+IF(AB$8="X",VLOOKUP(AB$10,'VK-Elekter'!$C:$X,2+$D125,0))+IF(AB$9="X",VLOOKUP(AB$10,'VK-Biokütused'!$C:$U,2+$E125,0))+IF(AB$5="X",VLOOKUP(AB$10,'VK-Põlevkivi'!$C:$X,2+$G125,0))+IF(AB$4="X",VLOOKUP(AB$10,'VK-Võrgud'!$C:$X,2+$F125,0)))</f>
        <v>1337</v>
      </c>
      <c r="AC125" s="228">
        <f>(IF(AC$7="X",VLOOKUP(AC$10,'VK-Hooned-Soojus'!$C:$X,2+$C125,FALSE),0)+IF(AC$6="X",VLOOKUP(AC$10,'VK-Transport'!$C:$X,2+$B125,0))+IF(AC$8="X",VLOOKUP(AC$10,'VK-Elekter'!$C:$X,2+$D125,0))+IF(AC$9="X",VLOOKUP(AC$10,'VK-Biokütused'!$C:$U,2+$E125,0))+IF(AC$5="X",VLOOKUP(AC$10,'VK-Põlevkivi'!$C:$X,2+$G125,0))+IF(AC$4="X",VLOOKUP(AC$10,'VK-Võrgud'!$C:$X,2+$F125,0)))</f>
        <v>2346</v>
      </c>
      <c r="AD125" s="228">
        <f>(IF(AD$7="X",VLOOKUP(AD$10,'VK-Hooned-Soojus'!$C:$X,2+$C125,FALSE),0)+IF(AD$6="X",VLOOKUP(AD$10,'VK-Transport'!$C:$X,2+$B125,0))+IF(AD$8="X",VLOOKUP(AD$10,'VK-Elekter'!$C:$X,2+$D125,0))+IF(AD$9="X",VLOOKUP(AD$10,'VK-Biokütused'!$C:$U,2+$E125,0))+IF(AD$5="X",VLOOKUP(AD$10,'VK-Põlevkivi'!$C:$X,2+$G125,0))+IF(AD$4="X",VLOOKUP(AD$10,'VK-Võrgud'!$C:$X,2+$F125,0)))</f>
        <v>0</v>
      </c>
      <c r="AE125" s="228">
        <f>(IF(AE$7="X",VLOOKUP(AE$10,'VK-Hooned-Soojus'!$C:$X,2+$C125,FALSE),0)+IF(AE$6="X",VLOOKUP(AE$10,'VK-Transport'!$C:$X,2+$B125,0))+IF(AE$8="X",VLOOKUP(AE$10,'VK-Elekter'!$C:$X,2+$D125,0))+IF(AE$9="X",VLOOKUP(AE$10,'VK-Biokütused'!$C:$U,2+$E125,0))+IF(AE$5="X",VLOOKUP(AE$10,'VK-Põlevkivi'!$C:$X,2+$G125,0))+IF(AE$4="X",VLOOKUP(AE$10,'VK-Võrgud'!$C:$X,2+$F125,0)))</f>
        <v>666</v>
      </c>
      <c r="AF125" s="228">
        <f>(IF(AF$7="X",VLOOKUP(AF$10,'VK-Hooned-Soojus'!$C:$X,2+$C125,FALSE),0)+IF(AF$6="X",VLOOKUP(AF$10,'VK-Transport'!$C:$X,2+$B125,0))+IF(AF$8="X",VLOOKUP(AF$10,'VK-Elekter'!$C:$X,2+$D125,0))+IF(AF$9="X",VLOOKUP(AF$10,'VK-Biokütused'!$C:$U,2+$E125,0))+IF(AF$5="X",VLOOKUP(AF$10,'VK-Põlevkivi'!$C:$X,2+$G125,0))+IF(AF$4="X",VLOOKUP(AF$10,'VK-Võrgud'!$C:$X,2+$F125,0)))</f>
        <v>530.88499063732002</v>
      </c>
      <c r="AG125" s="209"/>
      <c r="AH125" s="209">
        <f>IF(AH$7="X",VLOOKUP(AH$10,'VK-Hooned-Soojus'!$C:$X,2+$C125,FALSE),0)+IF(AH$6="X",VLOOKUP(AH$10,'VK-Transport'!$C:$X,2+$B125,0))+IF(AH$8="X",VLOOKUP(AH$10,'VK-Elekter'!$C:$X,2+$D125,0))+IF(AH$9="X",VLOOKUP(AH$10,'VK-Biokütused'!$C:$U,2+$E125,0))+IF(AH$5="X",VLOOKUP(AH$10,'VK-Põlevkivi'!$C:$X,2+$G125,0))+IF(AH$4="X",VLOOKUP(AH$10,'VK-Võrgud'!$C:$X,2+$F125,0))</f>
        <v>0</v>
      </c>
      <c r="AI125" s="209">
        <f>IF(AI$7="X",VLOOKUP(AI$10,'VK-Hooned-Soojus'!$C:$X,2+$C125,FALSE),0)+IF(AI$6="X",VLOOKUP(AI$10,'VK-Transport'!$C:$X,2+$B125,0))+IF(AI$8="X",VLOOKUP(AI$10,'VK-Elekter'!$C:$X,2+$D125,0))+IF(AI$9="X",VLOOKUP(AI$10,'VK-Biokütused'!$C:$U,2+$E125,0))+IF(AI$5="X",VLOOKUP(AI$10,'VK-Põlevkivi'!$C:$X,2+$G125,0))+IF(AI$4="X",VLOOKUP(AI$10,'VK-Võrgud'!$C:$X,2+$F125,0))</f>
        <v>11.489999999999998</v>
      </c>
      <c r="AJ125" s="209">
        <f>IF(AJ$7="X",VLOOKUP(AJ$10,'VK-Hooned-Soojus'!$C:$X,2+$C125,FALSE),0)+IF(AJ$6="X",VLOOKUP(AJ$10,'VK-Transport'!$C:$X,2+$B125,0))+IF(AJ$8="X",VLOOKUP(AJ$10,'VK-Elekter'!$C:$X,2+$D125,0))+IF(AJ$9="X",VLOOKUP(AJ$10,'VK-Biokütused'!$C:$U,2+$E125,0))+IF(AJ$5="X",VLOOKUP(AJ$10,'VK-Põlevkivi'!$C:$X,2+$G125,0))+IF(AJ$4="X",VLOOKUP(AJ$10,'VK-Võrgud'!$C:$X,2+$F125,0))</f>
        <v>0</v>
      </c>
      <c r="AK125" s="209">
        <f>IF(AK$7="X",VLOOKUP(AK$10,'VK-Hooned-Soojus'!$C:$X,2+$C125,FALSE),0)+IF(AK$6="X",VLOOKUP(AK$10,'VK-Transport'!$C:$X,2+$B125,0))+IF(AK$8="X",VLOOKUP(AK$10,'VK-Elekter'!$C:$X,2+$D125,0))+IF(AK$9="X",VLOOKUP(AK$10,'VK-Biokütused'!$C:$U,2+$E125,0))+IF(AK$5="X",VLOOKUP(AK$10,'VK-Põlevkivi'!$C:$X,2+$G125,0))+IF(AK$4="X",VLOOKUP(AK$10,'VK-Võrgud'!$C:$X,2+$F125,0))</f>
        <v>3.65</v>
      </c>
      <c r="AL125" s="209">
        <f>IF(AL$7="X",VLOOKUP(AL$10,'VK-Hooned-Soojus'!$C:$X,2+$C125,FALSE),0)+IF(AL$6="X",VLOOKUP(AL$10,'VK-Transport'!$C:$X,2+$B125,0))+IF(AL$8="X",VLOOKUP(AL$10,'VK-Elekter'!$C:$X,2+$D125,0))+IF(AL$9="X",VLOOKUP(AL$10,'VK-Biokütused'!$C:$U,2+$E125,0))+IF(AL$5="X",VLOOKUP(AL$10,'VK-Põlevkivi'!$C:$X,2+$G125,0))+IF(AL$4="X",VLOOKUP(AL$10,'VK-Võrgud'!$C:$X,2+$F125,0))</f>
        <v>7.1999999999999993</v>
      </c>
      <c r="AM125" s="209">
        <f>IF(AM$7="X",VLOOKUP(AM$10,'VK-Hooned-Soojus'!$C:$X,2+$C125,FALSE),0)+IF(AM$6="X",VLOOKUP(AM$10,'VK-Transport'!$C:$X,2+$B125,0))+IF(AM$8="X",VLOOKUP(AM$10,'VK-Elekter'!$C:$X,2+$D125,0))+IF(AM$9="X",VLOOKUP(AM$10,'VK-Biokütused'!$C:$U,2+$E125,0))+IF(AM$5="X",VLOOKUP(AM$10,'VK-Põlevkivi'!$C:$X,2+$G125,0))+IF(AM$4="X",VLOOKUP(AM$10,'VK-Võrgud'!$C:$X,2+$F125,0))</f>
        <v>11.9</v>
      </c>
      <c r="AN125" s="209">
        <f>IF(AN$7="X",VLOOKUP(AN$10,'VK-Hooned-Soojus'!$C:$X,2+$C125,FALSE),0)+IF(AN$6="X",VLOOKUP(AN$10,'VK-Transport'!$C:$X,2+$B125,0))+IF(AN$8="X",VLOOKUP(AN$10,'VK-Elekter'!$C:$X,2+$D125,0))+IF(AN$9="X",VLOOKUP(AN$10,'VK-Biokütused'!$C:$U,2+$E125,0))+IF(AN$5="X",VLOOKUP(AN$10,'VK-Põlevkivi'!$C:$X,2+$G125,0))+IF(AN$4="X",VLOOKUP(AN$10,'VK-Võrgud'!$C:$X,2+$F125,0))</f>
        <v>4.8999999999999995</v>
      </c>
      <c r="AO125" s="209">
        <f>IF(AO$7="X",VLOOKUP(AO$10,'VK-Hooned-Soojus'!$C:$X,2+$C125,FALSE),0)+IF(AO$6="X",VLOOKUP(AO$10,'VK-Transport'!$C:$X,2+$B125,0))+IF(AO$8="X",VLOOKUP(AO$10,'VK-Elekter'!$C:$X,2+$D125,0))+IF(AO$9="X",VLOOKUP(AO$10,'VK-Biokütused'!$C:$U,2+$E125,0))+IF(AO$5="X",VLOOKUP(AO$10,'VK-Põlevkivi'!$C:$X,2+$G125,0))+IF(AO$4="X",VLOOKUP(AO$10,'VK-Võrgud'!$C:$X,2+$F125,0))</f>
        <v>21.740000000000002</v>
      </c>
      <c r="AP125" s="209">
        <f>IF(AP$7="X",VLOOKUP(AP$10,'VK-Hooned-Soojus'!$C:$X,2+$C125,FALSE),0)+IF(AP$6="X",VLOOKUP(AP$10,'VK-Transport'!$C:$X,2+$B125,0))+IF(AP$8="X",VLOOKUP(AP$10,'VK-Elekter'!$C:$X,2+$D125,0))+IF(AP$9="X",VLOOKUP(AP$10,'VK-Biokütused'!$C:$U,2+$E125,0))+IF(AP$5="X",VLOOKUP(AP$10,'VK-Põlevkivi'!$C:$X,2+$G125,0))+IF(AP$4="X",VLOOKUP(AP$10,'VK-Võrgud'!$C:$X,2+$F125,0))</f>
        <v>10.870000000000001</v>
      </c>
      <c r="AQ125" s="320">
        <f t="shared" si="61"/>
        <v>9.4400000000000013</v>
      </c>
      <c r="AR125" s="209">
        <f>IF(AR$7="X",VLOOKUP(AR$10,'VK-Hooned-Soojus'!$C:$X,2+$C125,FALSE),0)+IF(AR$6="X",VLOOKUP(AR$10,'VK-Transport'!$C:$X,2+$B125,0))+IF(AR$8="X",VLOOKUP(AR$10,'VK-Elekter'!$C:$X,2+$D125,0))+IF(AR$9="X",VLOOKUP(AR$10,'VK-Biokütused'!$C:$U,2+$E125,0))+IF(AR$5="X",VLOOKUP(AR$10,'VK-Põlevkivi'!$C:$X,2+$G125,0))+IF(AR$4="X",VLOOKUP(AR$10,'VK-Võrgud'!$C:$X,2+$F125,0))</f>
        <v>0.5</v>
      </c>
      <c r="AS125" s="320">
        <f>VLOOKUP("Kütuste tarbimine @ 2030 - UTTEGAAS",'VK-Hooned-Soojus'!$C:$X,2+$C125,FALSE)/0.172+VLOOKUP("Kütuste tarbimine @ 2030 - UTTEGAAS",'VK-Elekter'!$C:$X,2+$D125,FALSE)/0.172-AR125-AU125</f>
        <v>-0.5</v>
      </c>
      <c r="AT125" s="209">
        <f>IF(AT$7="X",VLOOKUP(AT$10,'VK-Hooned-Soojus'!$C:$X,2+$C125,FALSE),0)+IF(AT$6="X",VLOOKUP(AT$10,'VK-Transport'!$C:$X,2+$B125,0))+IF(AT$8="X",VLOOKUP(AT$10,'VK-Elekter'!$C:$X,2+$D125,0))+IF(AT$9="X",VLOOKUP(AT$10,'VK-Biokütused'!$C:$U,2+$E125,0))+IF(AT$5="X",VLOOKUP(AT$10,'VK-Põlevkivi'!$C:$X,2+$G125,0))+IF(AT$4="X",VLOOKUP(AT$10,'VK-Võrgud'!$C:$X,2+$F125,0))</f>
        <v>5.7045296564339489</v>
      </c>
      <c r="AU125" s="229">
        <f>MAX(0,(VLOOKUP("Kütuste tarbimine @ 2030 - UTTEGAAS",'VK-Hooned-Soojus'!$C:$X,2+$C125,FALSE)/0.172+VLOOKUP("Kütuste tarbimine @ 2030 - UTTEGAAS",'VK-Elekter'!$C:$X,2+$D125,FALSE)/0.172)*0.52-VLOOKUP("Kütuste tarbimine @ 2030 - PÕLEVKIVIÕLI",'VK-Hooned-Soojus'!$C:$X,2+$C125,FALSE))</f>
        <v>0</v>
      </c>
      <c r="AV125" s="209">
        <f>IF(AV$7="X",VLOOKUP(AV$10,'VK-Hooned-Soojus'!$C:$X,2+$C125,FALSE),0)+IF(AV$6="X",VLOOKUP(AV$10,'VK-Transport'!$C:$X,2+$B125,0))+IF(AV$8="X",VLOOKUP(AV$10,'VK-Elekter'!$C:$X,2+$D125,0))+IF(AV$9="X",VLOOKUP(AV$10,'VK-Biokütused'!$C:$U,2+$E125,0))+IF(AV$5="X",VLOOKUP(AV$10,'VK-Põlevkivi'!$C:$X,2+$G125,0))+IF(AV$4="X",VLOOKUP(AV$10,'VK-Võrgud'!$C:$X,2+$F125,0))</f>
        <v>2.1219844082566364</v>
      </c>
      <c r="AW125" s="209">
        <f>IF(AW$7="X",VLOOKUP(AW$10,'VK-Hooned-Soojus'!$C:$X,2+$C125,FALSE),0)+IF(AW$6="X",VLOOKUP(AW$10,'VK-Transport'!$C:$X,2+$B125,0))+IF(AW$8="X",VLOOKUP(AW$10,'VK-Elekter'!$C:$X,2+$D125,0))+IF(AW$9="X",VLOOKUP(AW$10,'VK-Biokütused'!$C:$U,2+$E125,0))+IF(AW$5="X",VLOOKUP(AW$10,'VK-Põlevkivi'!$C:$X,2+$G125,0))+IF(AW$4="X",VLOOKUP(AW$10,'VK-Võrgud'!$C:$X,2+$F125,0))</f>
        <v>0</v>
      </c>
      <c r="AX125" s="229">
        <f t="shared" si="62"/>
        <v>0</v>
      </c>
      <c r="AY125" s="229">
        <f t="shared" si="63"/>
        <v>2.1219844082566364</v>
      </c>
      <c r="AZ125" s="230">
        <f t="shared" si="83"/>
        <v>0.64273923493859653</v>
      </c>
      <c r="BA125" s="209">
        <f>IF(BA$7="X",VLOOKUP(BA$10,'VK-Hooned-Soojus'!$C:$X,2+$C125,FALSE),0)+IF(BA$6="X",VLOOKUP(BA$10,'VK-Transport'!$C:$X,2+$B125,0))+IF(BA$8="X",VLOOKUP(BA$10,'VK-Elekter'!$C:$X,2+$D125,0))+IF(BA$9="X",VLOOKUP(BA$10,'VK-Biokütused'!$C:$U,2+$E125,0))+IF(BA$5="X",VLOOKUP(BA$10,'VK-Põlevkivi'!$C:$X,2+$G125,0))+IF(BA$4="X",VLOOKUP(BA$10,'VK-Võrgud'!$C:$X,2+$F125,0))</f>
        <v>0</v>
      </c>
      <c r="BB125" s="209">
        <f>IF(BB$7="X",VLOOKUP(BB$10,'VK-Hooned-Soojus'!$C:$X,2+$C125,FALSE),0)+IF(BB$6="X",VLOOKUP(BB$10,'VK-Transport'!$C:$X,2+$B125,0))+IF(BB$8="X",VLOOKUP(BB$10,'VK-Elekter'!$C:$X,2+$D125,0))+IF(BB$9="X",VLOOKUP(BB$10,'VK-Biokütused'!$C:$U,2+$E125,0))+IF(BB$5="X",VLOOKUP(BB$10,'VK-Põlevkivi'!$C:$X,2+$G125,0))+IF(BB$4="X",VLOOKUP(BB$10,'VK-Võrgud'!$C:$X,2+$F125,0))</f>
        <v>6.32</v>
      </c>
      <c r="BC125" s="209">
        <f>IF(BC$7="X",VLOOKUP(BC$10,'VK-Hooned-Soojus'!$C:$X,2+$C125,FALSE),0)+IF(BC$6="X",VLOOKUP(BC$10,'VK-Transport'!$C:$X,2+$B125,0))+IF(BC$8="X",VLOOKUP(BC$10,'VK-Elekter'!$C:$X,2+$D125,0))+IF(BC$9="X",VLOOKUP(BC$10,'VK-Biokütused'!$C:$U,2+$E125,0))+IF(BC$5="X",VLOOKUP(BC$10,'VK-Põlevkivi'!$C:$X,2+$G125,0))+IF(BC$4="X",VLOOKUP(BC$10,'VK-Võrgud'!$C:$X,2+$F125,0))</f>
        <v>6.5993333333333322</v>
      </c>
      <c r="BD125" s="209">
        <f>IF(BD$7="X",VLOOKUP(BD$10,'VK-Hooned-Soojus'!$C:$X,2+$C125,FALSE),0)+IF(BD$6="X",VLOOKUP(BD$10,'VK-Transport'!$C:$X,2+$B125,0))+IF(BD$8="X",VLOOKUP(BD$10,'VK-Elekter'!$C:$X,2+$D125,0))+IF(BD$9="X",VLOOKUP(BD$10,'VK-Biokütused'!$C:$U,2+$E125,0))+IF(BD$5="X",VLOOKUP(BD$10,'VK-Põlevkivi'!$C:$X,2+$G125,0))+IF(BD$4="X",VLOOKUP(BD$10,'VK-Võrgud'!$C:$X,2+$F125,0))</f>
        <v>9.425416666666667</v>
      </c>
      <c r="BE125" s="230"/>
      <c r="BF125" s="229">
        <f t="shared" si="64"/>
        <v>0.6351575313088188</v>
      </c>
      <c r="BG125" s="209" t="e">
        <f>(IF(BG$7="X",VLOOKUP(BG$10,'VK-Hooned-Soojus'!$C:$X,2+$C125,FALSE),0)+IF(BG$6="X",VLOOKUP(BG$10,'VK-Transport'!$C:$X,2+$B125,0))+IF(BG$8="X",VLOOKUP(BG$10,'VK-Elekter'!$C:$X,2+$D125,0))+IF(BG$9="X",VLOOKUP(BG$10,'VK-Biokütused'!$C:$U,2+$E125,0))+IF(BG$5="X",VLOOKUP(BG$10,'VK-Põlevkivi'!$C:$X,2+$G125,0))+IF(BG$4="X",VLOOKUP(BG$10,'VK-Võrgud'!$C:$X,2+$F125,0)))/20</f>
        <v>#N/A</v>
      </c>
      <c r="BH125" s="209">
        <f>(IF(BH$7="X",VLOOKUP(BH$10,'VK-Hooned-Soojus'!$C:$X,2+$C125,FALSE),0)+IF(BH$6="X",VLOOKUP(BH$10,'VK-Transport'!$C:$X,2+$B125,0))+IF(BH$8="X",VLOOKUP(BH$10,'VK-Elekter'!$C:$X,2+$D125,0))+IF(BH$9="X",VLOOKUP(BH$10,'VK-Biokütused'!$C:$U,2+$E125,0))+IF(BH$5="X",VLOOKUP(BH$10,'VK-Põlevkivi'!$C:$X,2+$G125,0))+IF(BH$4="X",VLOOKUP(BH$10,'VK-Võrgud'!$C:$X,2+$F125,0)))/20</f>
        <v>45.08</v>
      </c>
      <c r="BI125" s="209">
        <f>(IF(BI$7="X",VLOOKUP(BI$10,'VK-Hooned-Soojus'!$C:$X,2+$C125,FALSE),0)+IF(BI$6="X",VLOOKUP(BI$10,'VK-Transport'!$C:$X,2+$B125,0))+IF(BI$8="X",VLOOKUP(BI$10,'VK-Elekter'!$C:$X,2+$D125,0))+IF(BI$9="X",VLOOKUP(BI$10,'VK-Biokütused'!$C:$U,2+$E125,0))+IF(BI$5="X",VLOOKUP(BI$10,'VK-Põlevkivi'!$C:$X,2+$G125,0))+IF(BI$4="X",VLOOKUP(BI$10,'VK-Võrgud'!$C:$X,2+$F125,0)))/16</f>
        <v>14.1875</v>
      </c>
      <c r="BJ125" s="209">
        <f>(IF(BJ$7="X",VLOOKUP(BJ$10,'VK-Hooned-Soojus'!$C:$X,2+$C125,FALSE),0)+IF(BJ$6="X",VLOOKUP(BJ$10,'VK-Transport'!$C:$X,2+$B125,0))+IF(BJ$8="X",VLOOKUP(BJ$10,'VK-Elekter'!$C:$X,2+$D125,0))+IF(BJ$9="X",VLOOKUP(BJ$10,'VK-Biokütused'!$C:$U,2+$E125,0))+IF(BJ$5="X",VLOOKUP(BJ$10,'VK-Põlevkivi'!$C:$X,2+$G125,0))+IF(BJ$4="X",VLOOKUP(BJ$10,'VK-Võrgud'!$C:$X,2+$F125,0)))/20</f>
        <v>3.91</v>
      </c>
      <c r="BK125" s="209"/>
      <c r="BL125" s="209"/>
      <c r="BM125" s="209"/>
      <c r="BN125" s="209" t="e">
        <f>(IF(BN$7="X",VLOOKUP(BN$10,'VK-Hooned-Soojus'!$C:$X,2+$C125,FALSE),0)+IF(BN$6="X",VLOOKUP(BN$10,'VK-Transport'!$C:$X,2+$B125,0))+IF(BN$8="X",VLOOKUP(BN$10,'VK-Elekter'!$C:$X,2+$D125,0))+IF(BN$9="X",VLOOKUP(BN$10,'VK-Biokütused'!$C:$U,2+$E125,0))+IF(BN$5="X",VLOOKUP(BN$10,'VK-Põlevkivi'!$C:$X,2+$G125,0))+IF(BN$4="X",VLOOKUP(BN$10,'VK-Võrgud'!$C:$X,2+$F125,0)))/16</f>
        <v>#N/A</v>
      </c>
      <c r="BO125" s="209">
        <f>(IF(BO$7="X",VLOOKUP(BO$10,'VK-Hooned-Soojus'!$C:$X,2+$C125,FALSE),0)+IF(BO$6="X",VLOOKUP(BO$10,'VK-Transport'!$C:$X,2+$B125,0))+IF(BO$8="X",VLOOKUP(BO$10,'VK-Elekter'!$C:$X,2+$D125,0))+IF(BO$9="X",VLOOKUP(BO$10,'VK-Biokütused'!$C:$U,2+$E125,0))+IF(BO$5="X",VLOOKUP(BO$10,'VK-Põlevkivi'!$C:$X,2+$G125,0))+IF(BO$4="X",VLOOKUP(BO$10,'VK-Võrgud'!$C:$X,2+$F125,0)))/16</f>
        <v>322.79374999999999</v>
      </c>
      <c r="BP125" s="209"/>
      <c r="BQ125" s="209">
        <f>(IF(BQ$7="X",VLOOKUP(BQ$10,'VK-Hooned-Soojus'!$C:$X,2+$C125,FALSE),0)+IF(BQ$6="X",VLOOKUP(BQ$10,'VK-Transport'!$C:$X,2+$B125,0))+IF(BQ$8="X",VLOOKUP(BQ$10,'VK-Elekter'!$C:$X,2+$D125,0))+IF(BQ$9="X",VLOOKUP(BQ$10,'VK-Biokütused'!$C:$U,2+$E125,0))+IF(BQ$5="X",VLOOKUP(BQ$10,'VK-Põlevkivi'!$C:$X,2+$G125,0))+IF(BQ$4="X",VLOOKUP(BQ$10,'VK-Võrgud'!$C:$X,2+$F125,0)))/16</f>
        <v>233.20625000000001</v>
      </c>
      <c r="BR125" s="209">
        <f>(IF(BR$7="X",VLOOKUP(BR$10,'VK-Hooned-Soojus'!$C:$X,2+$C125,FALSE),0)+IF(BR$6="X",VLOOKUP(BR$10,'VK-Transport'!$C:$X,2+$B125,0))+IF(BR$8="X",VLOOKUP(BR$10,'VK-Elekter'!$C:$X,2+$D125,0))+IF(BR$9="X",VLOOKUP(BR$10,'VK-Biokütused'!$C:$U,2+$E125,0))+IF(BR$5="X",VLOOKUP(BR$10,'VK-Põlevkivi'!$C:$X,2+$G125,0))+IF(BR$4="X",VLOOKUP(BR$10,'VK-Võrgud'!$C:$X,2+$F125,0)))/16</f>
        <v>74.512500000000003</v>
      </c>
      <c r="BS125" s="209">
        <f>(IF(BS$7="X",VLOOKUP(BS$10,'VK-Hooned-Soojus'!$C:$X,2+$C125,FALSE),0)+IF(BS$6="X",VLOOKUP(BS$10,'VK-Transport'!$C:$X,2+$B125,0))+IF(BS$8="X",VLOOKUP(BS$10,'VK-Elekter'!$C:$X,2+$D125,0))+IF(BS$9="X",VLOOKUP(BS$10,'VK-Biokütused'!$C:$U,2+$E125,0))+IF(BS$5="X",VLOOKUP(BS$10,'VK-Põlevkivi'!$C:$X,2+$G125,0))+IF(BS$4="X",VLOOKUP(BS$10,'VK-Võrgud'!$C:$X,2+$F125,0)))/16</f>
        <v>-21.475000000000001</v>
      </c>
      <c r="BT125" s="209"/>
      <c r="BU125" s="209"/>
      <c r="BV125" s="209">
        <f>(IF(BV$7="X",VLOOKUP(BV$10,'VK-Hooned-Soojus'!$C:$X,2+$C125,FALSE),0)+IF(BV$6="X",VLOOKUP(BV$10,'VK-Transport'!$C:$X,2+$B125,0))+IF(BV$8="X",VLOOKUP(BV$10,'VK-Elekter'!$C:$X,2+$D125,0))+IF(BV$9="X",VLOOKUP(BV$10,'VK-Biokütused'!$C:$U,2+$E125,0))+IF(BV$5="X",VLOOKUP(BV$10,'VK-Põlevkivi'!$C:$X,2+$G125,0))+IF(BV$4="X",VLOOKUP(BV$10,'VK-Võrgud'!$C:$X,2+$F125,0)))/16</f>
        <v>0</v>
      </c>
      <c r="BW125" s="209"/>
      <c r="BX125" s="209">
        <f>(IF(BX$7="X",VLOOKUP(BX$10,'VK-Hooned-Soojus'!$C:$X,2+$C125,FALSE),0)+IF(BX$6="X",VLOOKUP(BX$10,'VK-Transport'!$C:$X,2+$B125,0))+IF(BX$8="X",VLOOKUP(BX$10,'VK-Elekter'!$C:$X,2+$D125,0))+IF(BX$9="X",VLOOKUP(BX$10,'VK-Biokütused'!$C:$U,2+$E125,0))+IF(BX$5="X",VLOOKUP(BX$10,'VK-Põlevkivi'!$C:$X,2+$G125,0))+IF(BX$4="X",VLOOKUP(BX$10,'VK-Võrgud'!$C:$X,2+$F125,0)))/16</f>
        <v>-19.25</v>
      </c>
      <c r="BY125" s="209"/>
      <c r="BZ125" s="209"/>
      <c r="CA125" s="209" t="e">
        <f>(IF(CA$7="X",VLOOKUP(CA$10,'VK-Hooned-Soojus'!$C:$X,2+$C125,FALSE),0)+IF(CA$6="X",VLOOKUP(CA$10,'VK-Transport'!$C:$X,2+$B125,0))+IF(CA$8="X",VLOOKUP(CA$10,'VK-Elekter'!$C:$X,2+$D125,0))+IF(CA$9="X",VLOOKUP(CA$10,'VK-Biokütused'!$C:$U,2+$E125,0))+IF(CA$5="X",VLOOKUP(CA$10,'VK-Põlevkivi'!$C:$X,2+$G125,0))+IF(CA$4="X",VLOOKUP(CA$10,'VK-Võrgud'!$C:$X,2+$F125,0)))/16</f>
        <v>#N/A</v>
      </c>
      <c r="CB125" s="209">
        <f>(IF(CB$7="X",VLOOKUP(CB$10,'VK-Hooned-Soojus'!$C:$X,2+$C125,FALSE),0)+IF(CB$6="X",VLOOKUP(CB$10,'VK-Transport'!$C:$X,2+$B125,0))+IF(CB$8="X",VLOOKUP(CB$10,'VK-Elekter'!$C:$X,2+$D125,0))+IF(CB$9="X",VLOOKUP(CB$10,'VK-Biokütused'!$C:$U,2+$E125,0))+IF(CB$5="X",VLOOKUP(CB$10,'VK-Põlevkivi'!$C:$X,2+$G125,0))+IF(CB$4="X",VLOOKUP(CB$10,'VK-Võrgud'!$C:$X,2+$F125,0)))/16</f>
        <v>0</v>
      </c>
      <c r="CC125" s="209">
        <f>(IF(CC$7="X",VLOOKUP(CC$10,'VK-Hooned-Soojus'!$C:$X,2+$C125,FALSE),0)+IF(CC$6="X",VLOOKUP(CC$10,'VK-Transport'!$C:$X,2+$B125,0))+IF(CC$8="X",VLOOKUP(CC$10,'VK-Elekter'!$C:$X,2+$D125,0))+IF(CC$9="X",VLOOKUP(CC$10,'VK-Biokütused'!$C:$U,2+$E125,0))+IF(CC$5="X",VLOOKUP(CC$10,'VK-Põlevkivi'!$C:$X,2+$G125,0))+IF(CC$4="X",VLOOKUP(CC$10,'VK-Võrgud'!$C:$X,2+$F125,0)))/16</f>
        <v>0</v>
      </c>
      <c r="CD125" s="209"/>
      <c r="CE125" s="209">
        <f>(IF(CE$7="X",VLOOKUP(CE$10,'VK-Hooned-Soojus'!$C:$X,2+$C125,FALSE),0)+IF(CE$6="X",VLOOKUP(CE$10,'VK-Transport'!$C:$X,2+$B125,0))+IF(CE$8="X",VLOOKUP(CE$10,'VK-Elekter'!$C:$X,2+$D125,0))+IF(CE$9="X",VLOOKUP(CE$10,'VK-Biokütused'!$C:$U,2+$E125,0))+IF(CE$5="X",VLOOKUP(CE$10,'VK-Põlevkivi'!$C:$X,2+$G125,0))+IF(CE$4="X",VLOOKUP(CE$10,'VK-Võrgud'!$C:$X,2+$F125,0)))/16</f>
        <v>24.15625</v>
      </c>
      <c r="CF125" s="209"/>
      <c r="CG125" s="209">
        <f>(IF(CG$7="X",VLOOKUP(CG$10,'VK-Hooned-Soojus'!$C:$X,2+$C125,FALSE),0)+IF(CG$6="X",VLOOKUP(CG$10,'VK-Transport'!$C:$X,2+$B125,0))+IF(CG$8="X",VLOOKUP(CG$10,'VK-Elekter'!$C:$X,2+$D125,0))+IF(CG$9="X",VLOOKUP(CG$10,'VK-Biokütused'!$C:$U,2+$E125,0))+IF(CG$5="X",VLOOKUP(CG$10,'VK-Põlevkivi'!$C:$X,2+$G125,0))+IF(CG$4="X",VLOOKUP(CG$10,'VK-Võrgud'!$C:$X,2+$F125,0)))/16</f>
        <v>0</v>
      </c>
      <c r="CH125" s="209">
        <f>(IF(CH$7="X",VLOOKUP(CH$10,'VK-Hooned-Soojus'!$C:$X,2+$C125,FALSE),0)+IF(CH$6="X",VLOOKUP(CH$10,'VK-Transport'!$C:$X,2+$B125,0))+IF(CH$8="X",VLOOKUP(CH$10,'VK-Elekter'!$C:$X,2+$D125,0))+IF(CH$9="X",VLOOKUP(CH$10,'VK-Biokütused'!$C:$U,2+$E125,0))+IF(CH$5="X",VLOOKUP(CH$10,'VK-Põlevkivi'!$C:$X,2+$G125,0))+IF(CH$4="X",VLOOKUP(CH$10,'VK-Võrgud'!$C:$X,2+$F125,0)))/20*0.21</f>
        <v>11.225549999999998</v>
      </c>
      <c r="CI125" s="209"/>
      <c r="CJ125" s="209">
        <f>(IF(CJ$7="X",VLOOKUP(CJ$10,'VK-Hooned-Soojus'!$C:$X,2+$C125,FALSE),0)+IF(CJ$6="X",VLOOKUP(CJ$10,'VK-Transport'!$C:$X,2+$B125,0))+IF(CJ$8="X",VLOOKUP(CJ$10,'VK-Elekter'!$C:$X,2+$D125,0))+IF(CJ$9="X",VLOOKUP(CJ$10,'VK-Biokütused'!$C:$U,2+$E125,0))+IF(CJ$5="X",VLOOKUP(CJ$10,'VK-Põlevkivi'!$C:$X,2+$G125,0))+IF(CJ$4="X",VLOOKUP(CJ$10,'VK-Võrgud'!$C:$X,2+$F125,0)))/1000</f>
        <v>16.731721793242819</v>
      </c>
      <c r="CK125" s="209">
        <f>(IF(CK$7="X",VLOOKUP(CK$10,'VK-Hooned-Soojus'!$C:$X,2+$C125,FALSE),0)+IF(CK$6="X",VLOOKUP(CK$10,'VK-Transport'!$C:$X,2+$B125,0))+IF(CK$8="X",VLOOKUP(CK$10,'VK-Elekter'!$C:$X,2+$D125,0))+IF(CK$9="X",VLOOKUP(CK$10,'VK-Biokütused'!$C:$U,2+$E125,0))+IF(CK$5="X",VLOOKUP(CK$10,'VK-Põlevkivi'!$C:$X,2+$G125,0))+IF(CK$4="X",VLOOKUP(CK$10,'VK-Võrgud'!$C:$X,2+$F125,0)))/1000</f>
        <v>6.6556988012134219</v>
      </c>
      <c r="CL125" s="235">
        <f>(IF(CL$7="X",VLOOKUP(CL$10,'VK-Hooned-Soojus'!$C:$X,2+$C125,FALSE),0)+IF(CL$6="X",VLOOKUP(CL$10,'VK-Transport'!$C:$X,2+$B125,0))+IF(CL$8="X",VLOOKUP(CL$10,'VK-Elekter'!$C:$X,2+$D125,0))+IF(CL$9="X",VLOOKUP(CL$10,'VK-Biokütused'!$C:$U,2+$E125,0)))/1000</f>
        <v>3.8233975506064017</v>
      </c>
      <c r="CM125" s="209">
        <f>(IF(CM$7="X",VLOOKUP(CM$10,'VK-Hooned-Soojus'!$C:$X,2+$C125,FALSE),0)+IF(CM$6="X",VLOOKUP(CM$10,'VK-Transport'!$C:$X,2+$B125,0))+IF(CM$8="X",VLOOKUP(CM$10,'VK-Elekter'!$C:$X,2+$D125,0))+IF(CM$9="X",VLOOKUP(CM$10,'VK-Biokütused'!$C:$U,2+$E125,0))+IF(CM$5="X",VLOOKUP(CM$10,'VK-Põlevkivi'!$C:$X,2+$G125,0))+IF(CM$4="X",VLOOKUP(CM$10,'VK-Võrgud'!$C:$X,2+$F125,0)))/1000</f>
        <v>7.7898313570900957</v>
      </c>
      <c r="CN125" s="209">
        <f>(IF(CN$7="X",VLOOKUP(CN$10,'VK-Hooned-Soojus'!$C:$X,2+$C125,FALSE),0)+IF(CN$6="X",VLOOKUP(CN$10,'VK-Transport'!$C:$X,2+$B125,0))+IF(CN$8="X",VLOOKUP(CN$10,'VK-Elekter'!$C:$X,2+$D125,0))+IF(CN$9="X",VLOOKUP(CN$10,'VK-Biokütused'!$C:$U,2+$E125,0))+IF(CN$5="X",VLOOKUP(CN$10,'VK-Põlevkivi'!$C:$X,2+$G125,0))+IF(CN$4="X",VLOOKUP(CN$10,'VK-Võrgud'!$C:$X,2+$F125,0)))/1000</f>
        <v>2.8759999999999999</v>
      </c>
      <c r="CO125" s="209">
        <f>(IF(CO$7="X",VLOOKUP(CO$10,'VK-Hooned-Soojus'!$C:$X,2+$C125,FALSE),0)+IF(CO$6="X",VLOOKUP(CO$10,'VK-Transport'!$C:$X,2+$B125,0))+IF(CO$8="X",VLOOKUP(CO$10,'VK-Elekter'!$C:$X,2+$D125,0))+IF(CO$9="X",VLOOKUP(CO$10,'VK-Biokütused'!$C:$U,2+$E125,0))+IF(CO$5="X",VLOOKUP(CO$10,'VK-Põlevkivi'!$C:$X,2+$G125,0))+IF(CO$4="X",VLOOKUP(CO$10,'VK-Võrgud'!$C:$X,2+$F125,0)))/1000</f>
        <v>22.515362337356994</v>
      </c>
      <c r="CP125" s="209">
        <f>(IF(CP$7="X",VLOOKUP(CP$10,'VK-Hooned-Soojus'!$C:$X,2+$C125,FALSE),0)+IF(CP$6="X",VLOOKUP(CP$10,'VK-Transport'!$C:$X,2+$B125,0))+IF(CP$8="X",VLOOKUP(CP$10,'VK-Elekter'!$C:$X,2+$D125,0))+IF(CP$9="X",VLOOKUP(CP$10,'VK-Biokütused'!$C:$U,2+$E125,0))+IF(CP$5="X",VLOOKUP(CP$10,'VK-Põlevkivi'!$C:$X,2+$G125,0))+IF(CP$4="X",VLOOKUP(CP$10,'VK-Võrgud'!$C:$X,2+$F125,0)))/1000</f>
        <v>6.657392120693661</v>
      </c>
      <c r="CQ125" s="235">
        <f>(IF(CQ$7="X",VLOOKUP(CQ$10,'VK-Hooned-Soojus'!$C:$X,2+$C125,FALSE),0)+IF(CQ$6="X",VLOOKUP(CQ$10,'VK-Transport'!$C:$X,2+$B125,0))+IF(CQ$8="X",VLOOKUP(CQ$10,'VK-Elekter'!$C:$X,2+$D125,0))+IF(CQ$9="X",VLOOKUP(CQ$10,'VK-Biokütused'!$C:$U,2+$E125,0)))/1000</f>
        <v>4.7259190000000002</v>
      </c>
      <c r="CR125" s="209">
        <f>(IF(CR$7="X",VLOOKUP(CR$10,'VK-Hooned-Soojus'!$C:$X,2+$C125,FALSE),0)+IF(CR$6="X",VLOOKUP(CR$10,'VK-Transport'!$C:$X,2+$B125,0))+IF(CR$8="X",VLOOKUP(CR$10,'VK-Elekter'!$C:$X,2+$D125,0))+IF(CR$9="X",VLOOKUP(CR$10,'VK-Biokütused'!$C:$U,2+$E125,0))+IF(CR$5="X",VLOOKUP(CR$10,'VK-Põlevkivi'!$C:$X,2+$G125,0))+IF(CR$4="X",VLOOKUP(CR$10,'VK-Võrgud'!$C:$X,2+$F125,0)))/1000</f>
        <v>7.8497518373996886</v>
      </c>
      <c r="CS125" s="209">
        <f>(IF(CS$7="X",VLOOKUP(CS$10,'VK-Hooned-Soojus'!$C:$X,2+$C125,FALSE),0)+IF(CS$6="X",VLOOKUP(CS$10,'VK-Transport'!$C:$X,2+$B125,0))+IF(CS$8="X",VLOOKUP(CS$10,'VK-Elekter'!$C:$X,2+$D125,0))+IF(CS$9="X",VLOOKUP(CS$10,'VK-Biokütused'!$C:$U,2+$E125,0))+IF(CS$5="X",VLOOKUP(CS$10,'VK-Põlevkivi'!$C:$X,2+$G125,0))+IF(CS$4="X",VLOOKUP(CS$10,'VK-Võrgud'!$C:$X,2+$F125,0)))/1000</f>
        <v>3.8186495098622379</v>
      </c>
      <c r="CT125" s="209">
        <f>IF(CT$7="X",VLOOKUP(CT$10,'VK-Hooned-Soojus'!$C:$X,2+$C125,FALSE),0)+IF(CT$6="X",VLOOKUP(CT$10,'VK-Transport'!$C:$X,2+$B125,0))+IF(CT$8="X",VLOOKUP(CT$10,'VK-Elekter'!$C:$X,2+$D125,0))+IF(CT$9="X",VLOOKUP(CT$10,'VK-Biokütused'!$C:$U,2+$E125,0))+IF(CT$5="X",VLOOKUP(CT$10,'VK-Põlevkivi'!$C:$X,2+$G125,0))+IF(CT$4="X",VLOOKUP(CT$10,'VK-Võrgud'!$C:$X,2+$F125,0))</f>
        <v>90</v>
      </c>
      <c r="CU125" s="209">
        <f>IF(CU$7="X",VLOOKUP(CU$10,'VK-Hooned-Soojus'!$C:$X,2+$C125,FALSE),0)+IF(CU$6="X",VLOOKUP(CU$10,'VK-Transport'!$C:$X,2+$B125,0))+IF(CU$8="X",VLOOKUP(CU$10,'VK-Elekter'!$C:$X,2+$D125,0))+IF(CU$9="X",VLOOKUP(CU$10,'VK-Biokütused'!$C:$U,2+$E125,0))+IF(CU$5="X",VLOOKUP(CU$10,'VK-Põlevkivi'!$C:$X,2+$G125,0))+IF(CU$4="X",VLOOKUP(CU$10,'VK-Võrgud'!$C:$X,2+$F125,0))</f>
        <v>0.63390170511534605</v>
      </c>
      <c r="CV125" s="209">
        <f t="shared" si="84"/>
        <v>1</v>
      </c>
      <c r="CW125" s="209">
        <f>(IF(CW$7="X",VLOOKUP(CW$10,'VK-Hooned-Soojus'!$C:$X,2+$C125,FALSE),0)+IF(CW$6="X",VLOOKUP(CW$10,'VK-Transport'!$C:$X,2+$B125,0))+IF(CW$8="X",VLOOKUP(CW$10,'VK-Elekter'!$C:$X,2+$D125,0))+IF(CW$9="X",VLOOKUP(CW$10,'VK-Biokütused'!$C:$U,2+$E125,0))+IF(CW$5="X",VLOOKUP(CW$10,'VK-Põlevkivi'!$C:$X,2+$G125,0))+IF(CW$4="X",VLOOKUP(CW$10,'VK-Võrgud'!$C:$X,2+$F125,0)))/16</f>
        <v>0</v>
      </c>
      <c r="CY125" s="209">
        <f>(IF(CY$7="X",VLOOKUP(CY$10,'VK-Hooned-Soojus'!$C:$X,2+$C125,FALSE),0)+IF(CY$6="X",VLOOKUP(CY$10,'VK-Transport'!$C:$X,2+$B125,0))+IF(CY$8="X",VLOOKUP(CY$10,'VK-Elekter'!$C:$X,2+$D125,0))+IF(CY$9="X",VLOOKUP(CY$10,'VK-Biokütused'!$C:$U,2+$E125,0))+IF(CY$5="X",VLOOKUP(CY$10,'VK-Põlevkivi'!$C:$X,2+$G125,0))+IF(CY$4="X",VLOOKUP(CY$10,'VK-Võrgud'!$C:$X,2+$F125,0)))/1000</f>
        <v>9.3460000000000001</v>
      </c>
      <c r="CZ125" s="209">
        <f>(IF(CZ$7="X",VLOOKUP(CZ$10,'VK-Hooned-Soojus'!$C:$X,2+$C125,FALSE),0)+IF(CZ$6="X",VLOOKUP(CZ$10,'VK-Transport'!$C:$X,2+$B125,0))+IF(CZ$8="X",VLOOKUP(CZ$10,'VK-Elekter'!$C:$X,2+$D125,0))+IF(CZ$9="X",VLOOKUP(CZ$10,'VK-Biokütused'!$C:$U,2+$E125,0))+IF(CZ$5="X",VLOOKUP(CZ$10,'VK-Põlevkivi'!$C:$X,2+$G125,0))+IF(CZ$4="X",VLOOKUP(CZ$10,'VK-Võrgud'!$C:$X,2+$F125,0)))</f>
        <v>74</v>
      </c>
      <c r="DA125" s="209">
        <f>(IF(DA$7="X",VLOOKUP(DA$10,'VK-Hooned-Soojus'!$C:$X,2+$C125,FALSE),0)+IF(DA$6="X",VLOOKUP(DA$10,'VK-Transport'!$C:$X,2+$B125,0))+IF(DA$8="X",VLOOKUP(DA$10,'VK-Elekter'!$C:$X,2+$D125,0))+IF(DA$9="X",VLOOKUP(DA$10,'VK-Biokütused'!$C:$U,2+$E125,0))+IF(DA$5="X",VLOOKUP(DA$10,'VK-Põlevkivi'!$C:$X,2+$G125,0))+IF(DA$4="X",VLOOKUP(DA$10,'VK-Võrgud'!$C:$X,2+$F125,0)))/1000</f>
        <v>8.77</v>
      </c>
      <c r="DB125" s="209">
        <f>(IF(DB$7="X",VLOOKUP(DB$10,'VK-Hooned-Soojus'!$C:$X,2+$C125,FALSE),0)+IF(DB$6="X",VLOOKUP(DB$10,'VK-Transport'!$C:$X,2+$B125,0))+IF(DB$8="X",VLOOKUP(DB$10,'VK-Elekter'!$C:$X,2+$D125,0))+IF(DB$9="X",VLOOKUP(DB$10,'VK-Biokütused'!$C:$U,2+$E125,0))+IF(DB$5="X",VLOOKUP(DB$10,'VK-Põlevkivi'!$C:$X,2+$G125,0))+IF(DB$4="X",VLOOKUP(DB$10,'VK-Võrgud'!$C:$X,2+$F125,0)))/1000/3.6</f>
        <v>35.191944444444445</v>
      </c>
      <c r="DC125" s="209">
        <f>(IF(DC$7="X",VLOOKUP(DC$10,'VK-Hooned-Soojus'!$C:$X,2+$C125,FALSE),0)+IF(DC$6="X",VLOOKUP(DC$10,'VK-Transport'!$C:$X,2+$B125,0))+IF(DC$8="X",VLOOKUP(DC$10,'VK-Elekter'!$C:$X,2+$D125,0))+IF(DC$9="X",VLOOKUP(DC$10,'VK-Biokütused'!$C:$U,2+$E125,0))+IF(DC$5="X",VLOOKUP(DC$10,'VK-Põlevkivi'!$C:$X,2+$G125,0))+IF(DC$4="X",VLOOKUP(DC$10,'VK-Võrgud'!$C:$X,2+$F125,0)))/1000000</f>
        <v>3.7095039999999999</v>
      </c>
      <c r="DD125" s="209"/>
      <c r="DE125" s="88">
        <f>VLOOKUP(Tulemused!$BN$12,data!M$7:N$12,2,FALSE)-SUM(L125,M125)</f>
        <v>-5.2509373024363981E-2</v>
      </c>
      <c r="DF125" s="209" t="str">
        <f>IF(AZ125&lt;=VLOOKUP(Tulemused!$BN$15,data!$E$36:$F$39,2,FALSE),"JAH","EI")</f>
        <v>JAH</v>
      </c>
      <c r="DG125" s="209"/>
      <c r="DH125" s="209">
        <f t="shared" si="85"/>
        <v>10.870000000000001</v>
      </c>
      <c r="DI125" s="231" t="str">
        <f t="shared" si="65"/>
        <v>EI</v>
      </c>
      <c r="DK125" s="232">
        <f t="shared" si="86"/>
        <v>-990.07803923584777</v>
      </c>
      <c r="DM125" s="233">
        <f t="shared" si="87"/>
        <v>-997.82172101432354</v>
      </c>
      <c r="DN125" s="87">
        <f t="array" ref="DN125">INDEX($A$11:$A$145, SMALL(IF(DM125=$DK$11:$DK$145, MATCH(ROW($DK$11:$DK$145), ROW($DK$11:$DK$145))), SUM(--(DM125=$DM$11:DM125))))</f>
        <v>35</v>
      </c>
      <c r="DP125" s="87" t="e">
        <f t="shared" ca="1" si="66"/>
        <v>#N/A</v>
      </c>
      <c r="DQ125" s="87" t="e">
        <f t="shared" ca="1" si="67"/>
        <v>#N/A</v>
      </c>
      <c r="DR125" s="87">
        <f t="shared" ca="1" si="68"/>
        <v>0</v>
      </c>
      <c r="DS125" s="87" t="e">
        <f t="shared" ca="1" si="69"/>
        <v>#N/A</v>
      </c>
      <c r="DT125" s="87">
        <f t="shared" ca="1" si="70"/>
        <v>0</v>
      </c>
      <c r="DU125" s="87" t="e">
        <f t="shared" ca="1" si="71"/>
        <v>#N/A</v>
      </c>
      <c r="DV125" s="87" t="e">
        <f t="shared" ca="1" si="72"/>
        <v>#N/A</v>
      </c>
      <c r="DW125" s="87">
        <f t="shared" ca="1" si="73"/>
        <v>0</v>
      </c>
      <c r="DX125" s="87">
        <f t="shared" ca="1" si="74"/>
        <v>0</v>
      </c>
      <c r="DZ125" s="87">
        <f t="shared" ca="1" si="82"/>
        <v>0</v>
      </c>
      <c r="EB125" s="87">
        <f t="shared" ca="1" si="75"/>
        <v>0</v>
      </c>
      <c r="EC125" s="87" t="e">
        <f t="shared" ca="1" si="76"/>
        <v>#N/A</v>
      </c>
      <c r="EE125" s="228">
        <f>(IF(EE$7="X",VLOOKUP(EE$10,'VK-Hooned-Soojus'!$C:$X,2+$C125,FALSE),0)+IF(EE$6="X",VLOOKUP(EE$10,'VK-Transport'!$C:$X,2+$B125,0))+IF(EE$8="X",VLOOKUP(EE$10,'VK-Elekter'!$C:$X,2+$D125,0))+IF(EE$9="X",VLOOKUP(EE$10,'VK-Biokütused'!$C:$U,2+$E125,0))+IF(EE$5="X",VLOOKUP(EE$10,'VK-Põlevkivi'!$C:$X,2+$G125,0))+IF(EE$4="X",VLOOKUP(EE$10,'VK-Võrgud'!$C:$X,2+$F125,0)))</f>
        <v>5904.6036811559361</v>
      </c>
      <c r="EF125" s="235">
        <f>(IF(EF$7="X",VLOOKUP(EF$10,'VK-Hooned-Soojus'!$C:$X,2+$C125,FALSE),0)+IF(EF$6="X",VLOOKUP(EF$10,'VK-Transport'!$C:$X,2+$B125,0))+IF(EF$8="X",VLOOKUP(EF$10,'VK-Elekter'!$C:$X,2+$D125,0))+IF(EF$9="X",VLOOKUP(EF$10,'VK-Biokütused'!$C:$U,2+$E125,0)))/1000</f>
        <v>1.97688499063732</v>
      </c>
      <c r="EG125" s="209">
        <f>(IF(EG$7="X",VLOOKUP(EG$10,'VK-Hooned-Soojus'!$C:$X,2+$C125,FALSE),0)+IF(EG$6="X",VLOOKUP(EG$10,'VK-Transport'!$C:$X,2+$B125,0))+IF(EG$8="X",VLOOKUP(EG$10,'VK-Elekter'!$C:$X,2+$D125,0))+IF(EG$9="X",VLOOKUP(EG$10,'VK-Biokütused'!$C:$U,2+$E125,0))+IF(EG$5="X",VLOOKUP(EG$10,'VK-Põlevkivi'!$C:$X,2+$G125,0))+IF(EG$4="X",VLOOKUP(EG$10,'VK-Võrgud'!$C:$X,2+$F125,0)))</f>
        <v>0.81</v>
      </c>
      <c r="EH125" s="209">
        <f>(IF(EH$7="X",VLOOKUP(EH$10,'VK-Hooned-Soojus'!$C:$X,2+$C125,FALSE),0)+IF(EH$6="X",VLOOKUP(EH$10,'VK-Transport'!$C:$X,2+$B125,0))+IF(EH$8="X",VLOOKUP(EH$10,'VK-Elekter'!$C:$X,2+$D125,0))+IF(EH$9="X",VLOOKUP(EH$10,'VK-Biokütused'!$C:$U,2+$E125,0)))+AR125+AS125+AU125+AX125</f>
        <v>40.166388888888889</v>
      </c>
      <c r="EI125" s="320">
        <f t="shared" si="88"/>
        <v>40.166388888888889</v>
      </c>
      <c r="EJ125" s="322">
        <f t="shared" si="89"/>
        <v>2.4608217929567841E-2</v>
      </c>
      <c r="EK125" s="323">
        <f t="shared" si="77"/>
        <v>0.54282086356383619</v>
      </c>
      <c r="EM125" s="209"/>
      <c r="EN125" s="209">
        <f t="shared" ca="1" si="90"/>
        <v>0</v>
      </c>
      <c r="EO125" s="209"/>
      <c r="EP125" s="234"/>
      <c r="EQ125" s="209">
        <f>(IF(EQ$7="X",VLOOKUP(EQ$10,'VK-Hooned-Soojus'!$C:$X,2+$C125,FALSE),0)+IF(EQ$6="X",VLOOKUP(EQ$10,'VK-Transport'!$C:$X,2+$B125,0))+IF(EQ$8="X",VLOOKUP(EQ$10,'VK-Elekter'!$C:$X,2+$D125,0))+IF(EQ$9="X",VLOOKUP(EQ$10,'VK-Biokütused'!$C:$U,2+$E125,0))+IF(EQ$5="X",VLOOKUP(EQ$10,'VK-Põlevkivi'!$C:$X,2+$G125,0))+IF(EQ$4="X",VLOOKUP(EQ$10,'VK-Võrgud'!$C:$X,2+$F125,0)))/1000</f>
        <v>0.21099999999999999</v>
      </c>
      <c r="ER125" s="209">
        <f>(IF(ER$7="X",VLOOKUP(ER$10,'VK-Hooned-Soojus'!$C:$X,2+$C125,FALSE),0)+IF(ER$6="X",VLOOKUP(ER$10,'VK-Transport'!$C:$X,2+$B125,0))+IF(ER$8="X",VLOOKUP(ER$10,'VK-Elekter'!$C:$X,2+$D125,0))+IF(ER$9="X",VLOOKUP(ER$10,'VK-Biokütused'!$C:$U,2+$E125,0))+IF(ER$5="X",VLOOKUP(ER$10,'VK-Põlevkivi'!$C:$X,2+$G125,0))+IF(ER$4="X",VLOOKUP(ER$10,'VK-Võrgud'!$C:$X,2+$F125,0)))</f>
        <v>0.76300000000000001</v>
      </c>
      <c r="ES125" s="209">
        <f>(IF(ES$7="X",VLOOKUP(ES$10,'VK-Hooned-Soojus'!$C:$X,2+$C125,FALSE),0)+IF(ES$6="X",VLOOKUP(ES$10,'VK-Transport'!$C:$X,2+$B125,0))+IF(ES$8="X",VLOOKUP(ES$10,'VK-Elekter'!$C:$X,2+$D125,0))+IF(ES$9="X",VLOOKUP(ES$10,'VK-Biokütused'!$C:$U,2+$E125,0))+IF(ES$5="X",VLOOKUP(ES$10,'VK-Põlevkivi'!$C:$X,2+$G125,0))+IF(ES$4="X",VLOOKUP(ES$10,'VK-Võrgud'!$C:$X,2+$F125,0)))</f>
        <v>10.870000000000001</v>
      </c>
      <c r="ET125" s="209"/>
      <c r="EU125" s="209"/>
      <c r="EV125" s="87">
        <f>'KSH järjestus'!AS118</f>
        <v>947</v>
      </c>
      <c r="EZ125" s="237">
        <f t="shared" si="91"/>
        <v>0.36609829488465395</v>
      </c>
      <c r="FA125" s="209">
        <f>IF(FA$7="X",VLOOKUP(FA$10,'VK-Hooned-Soojus'!$C:$X,2+$C125,FALSE),0)+IF(FA$6="X",VLOOKUP(FA$10,'VK-Transport'!$C:$X,2+$B125,0))+IF(FA$8="X",VLOOKUP(FA$10,'VK-Elekter'!$C:$X,2+$D125,0))+IF(FA$9="X",VLOOKUP(FA$10,'VK-Biokütused'!$C:$U,2+$E125,0))+IF(FA$5="X",VLOOKUP(FA$10,'VK-Põlevkivi'!$C:$X,2+$G125,0))+IF(FA$4="X",VLOOKUP(FA$10,'VK-Võrgud'!$C:$X,2+$F125,0))</f>
        <v>2702.9189999999999</v>
      </c>
      <c r="FB125" s="279">
        <f>(IF(FB$7="X",VLOOKUP(FB$10,'VK-Hooned-Soojus'!$C:$X,2+$C125,FALSE),0)+IF(FB$6="X",VLOOKUP(FB$10,'VK-Transport'!$C:$X,2+$B125,0))+IF(FB$8="X",VLOOKUP(FB$10,'VK-Elekter'!$C:$X,2+$D125,0))+IF(FB$9="X",VLOOKUP(FB$10,'VK-Biokütused'!$C:$U,2+$E125,0))+IF(FB$5="X",VLOOKUP(FB$10,'VK-Põlevkivi'!$C:$X,2+$G125,0))+IF(FB$4="X",VLOOKUP(FB$10,'VK-Võrgud'!$C:$X,2+$F125,0)))/16</f>
        <v>330.97739632402681</v>
      </c>
      <c r="FC125" s="209">
        <f>IF(FC$7="X",VLOOKUP(FC$10,'VK-Hooned-Soojus'!$C:$X,2+$C125,FALSE),0)+IF(FC$6="X",VLOOKUP(FC$10,'VK-Transport'!$C:$X,2+$B125,0))+IF(FC$8="X",VLOOKUP(FC$10,'VK-Elekter'!$C:$X,2+$D125,0))+IF(FC$9="X",VLOOKUP(FC$10,'VK-Biokütused'!$C:$U,2+$E125,0))+IF(FC$5="X",VLOOKUP(FC$10,'VK-Põlevkivi'!$C:$X,2+$G125,0))+IF(FC$4="X",VLOOKUP(FC$10,'VK-Võrgud'!$C:$X,2+$F125,0))</f>
        <v>294.5</v>
      </c>
      <c r="FD125" s="209">
        <f>(IF(FD$7="X",VLOOKUP(FD$10,'VK-Hooned-Soojus'!$C:$X,2+$C125,FALSE),0)+IF(FD$6="X",VLOOKUP(FD$10,'VK-Transport'!$C:$X,2+$B125,0))+IF(FD$8="X",VLOOKUP(FD$10,'VK-Elekter'!$C:$X,2+$D125,0))+IF(FD$9="X",VLOOKUP(FD$10,'VK-Biokütused'!$C:$U,2+$E125,0))+IF(FD$5="X",VLOOKUP(FD$10,'VK-Põlevkivi'!$C:$X,2+$G125,0))+IF(FD$4="X",VLOOKUP(FD$10,'VK-Võrgud'!$C:$X,2+$F125,0)))/16</f>
        <v>330.97739632402681</v>
      </c>
      <c r="FE125" s="209">
        <f>(IF(FE$7="X",VLOOKUP(FE$10,'VK-Hooned-Soojus'!$C:$X,2+$C125,FALSE),0)+IF(FE$6="X",VLOOKUP(FE$10,'VK-Transport'!$C:$X,2+$B125,0))+IF(FE$8="X",VLOOKUP(FE$10,'VK-Elekter'!$C:$X,2+$D125,0))+IF(FE$9="X",VLOOKUP(FE$10,'VK-Biokütused'!$C:$U,2+$E125,0))+IF(FE$5="X",VLOOKUP(FE$10,'VK-Põlevkivi'!$C:$X,2+$G125,0))+IF(FE$4="X",VLOOKUP(FE$10,'VK-Võrgud'!$C:$X,2+$F125,0)))/16</f>
        <v>-77.297499999999999</v>
      </c>
      <c r="FF125" s="209">
        <f>(IF(FF$7="X",VLOOKUP(FF$10,'VK-Hooned-Soojus'!$C:$X,2+$C125,FALSE),0)+IF(FF$6="X",VLOOKUP(FF$10,'VK-Transport'!$C:$X,2+$B125,0))+IF(FF$8="X",VLOOKUP(FF$10,'VK-Elekter'!$C:$X,2+$D125,0))+IF(FF$9="X",VLOOKUP(FF$10,'VK-Biokütused'!$C:$U,2+$E125,0))+IF(FF$5="X",VLOOKUP(FF$10,'VK-Põlevkivi'!$C:$X,2+$G125,0))+IF(FF$4="X",VLOOKUP(FF$10,'VK-Võrgud'!$C:$X,2+$F125,0)))/16</f>
        <v>169.5788986251375</v>
      </c>
      <c r="FG125" s="88">
        <f t="shared" ca="1" si="78"/>
        <v>92.281398625137498</v>
      </c>
      <c r="FH125" s="88"/>
      <c r="FI125" s="88"/>
      <c r="FJ125" s="88">
        <f>VLOOKUP(Tulemused!$BN$12,data!M$7:N$12,2,FALSE)-SUM(L125,M125)</f>
        <v>-5.2509373024363981E-2</v>
      </c>
      <c r="FK125" s="209" t="str">
        <f>IF(AZ125&lt;=VLOOKUP(Tulemused!$BN$15,data!$E$36:$F$39,2,FALSE),"JAH","EI")</f>
        <v>JAH</v>
      </c>
      <c r="FL125" s="235">
        <f ca="1">IF(ISNA(MATCH($A125,INDIRECT(VLOOKUP(Tulemused!$BF$11,data!$J$57:$M$71,4,FALSE)))),0,MATCH($A125,INDIRECT(VLOOKUP(Tulemused!$BF$11,data!$J$57:$M$71,4,FALSE))))</f>
        <v>0</v>
      </c>
      <c r="FM125" s="235" t="str">
        <f t="shared" ca="1" si="92"/>
        <v>JAH</v>
      </c>
      <c r="FN125" s="209">
        <f>VLOOKUP(Tulemused!$BN$13,data!$C$132:$D$137,2,FALSE)-KOMBI!R125</f>
        <v>5.0490850093626811</v>
      </c>
      <c r="FO125" s="209"/>
      <c r="FP125" s="209">
        <f>VLOOKUP(Tulemused!$BN$17,NO_x,2,FALSE)-CJ125</f>
        <v>12.70627820675718</v>
      </c>
      <c r="FQ125" s="209">
        <f>VLOOKUP(Tulemused!$BN$18,SO_2,2,FALSE)-CK125</f>
        <v>45.228301198786582</v>
      </c>
      <c r="FR125" s="209">
        <f>VLOOKUP(Tulemused!$BN$19,LOU,2,FALSE)-CN125</f>
        <v>34.204000000000008</v>
      </c>
      <c r="FS125" s="209">
        <f>VLOOKUP(Tulemused!$BN$20,PM_2.5,2,FALSE)-CM125</f>
        <v>9.1251686429099035</v>
      </c>
      <c r="FT125" s="209">
        <f>VLOOKUP(Tulemused!$BN$13,data!$C$132:$D$137,2,FALSE)-FA125/1000</f>
        <v>3.5430510000000006</v>
      </c>
      <c r="FU125" s="209">
        <f>VLOOKUP(Tulemused!$BN$17,NO_x,2,FALSE)-CO125</f>
        <v>6.9226376626430053</v>
      </c>
      <c r="FV125" s="209">
        <f>VLOOKUP(Tulemused!$BN$18,SO_2,2,FALSE)-CP125</f>
        <v>45.226607879306343</v>
      </c>
      <c r="FW125" s="209">
        <f>VLOOKUP(Tulemused!$BN$19,LOU,2,FALSE)-CS125</f>
        <v>33.261350490137765</v>
      </c>
      <c r="FX125" s="209">
        <f>VLOOKUP(Tulemused!$BN$20,PM_2.5,2,FALSE)-CR125</f>
        <v>9.0652481626003105</v>
      </c>
      <c r="FY125" s="209">
        <f>VLOOKUP(Tulemused!$BN$14,KHG_2050,2,FALSE)-EF125</f>
        <v>98.023115009362684</v>
      </c>
      <c r="FZ125" s="231" t="str">
        <f t="shared" ca="1" si="79"/>
        <v>EI</v>
      </c>
      <c r="GA125" s="209"/>
      <c r="GB125" s="209"/>
      <c r="GC125" s="209"/>
      <c r="GD125" s="231"/>
      <c r="GE125" s="87">
        <f t="shared" si="93"/>
        <v>947</v>
      </c>
      <c r="GF125" s="232" t="str">
        <f t="shared" ca="1" si="80"/>
        <v/>
      </c>
      <c r="GH125" s="238" t="e">
        <f t="shared" ca="1" si="94"/>
        <v>#NUM!</v>
      </c>
      <c r="GI125" s="87" t="e">
        <f t="array" aca="1" ref="GI125" ca="1">INDEX($A$11:$A$145, SMALL(IF(GH125=$GF$11:$GF$145, MATCH(ROW($GF$11:$GF$145), ROW($GF$11:$GF$145))), SUM(--(GH125=$GH$11:GH125))))</f>
        <v>#NUM!</v>
      </c>
      <c r="GM125" s="209">
        <f>IF(GM$7="X",VLOOKUP(GM$10,'VK-Hooned-Soojus'!$C:$X,2+$C125,FALSE),0)+IF(GM$6="X",VLOOKUP(GM$10,'VK-Transport'!$C:$X,2+$B125,0))+IF(GM$8="X",VLOOKUP(GM$10,'VK-Elekter'!$C:$X,2+$D125,0))+IF(GM$9="X",VLOOKUP(GM$10,'VK-Biokütused'!$C:$U,2+$E125,0))+IF(GM$5="X",VLOOKUP(GM$10,'VK-Põlevkivi'!$C:$X,2+$G125,0))+IF(GM$4="X",VLOOKUP(GM$10,'VK-Võrgud'!$C:$X,2+$F125,0))</f>
        <v>0</v>
      </c>
      <c r="GN125" s="209">
        <f>IF(GN$7="X",VLOOKUP(GN$10,'VK-Hooned-Soojus'!$C:$X,2+$C125,FALSE),0)+IF(GN$6="X",VLOOKUP(GN$10,'VK-Transport'!$C:$X,2+$B125,0))+IF(GN$8="X",VLOOKUP(GN$10,'VK-Elekter'!$C:$X,2+$D125,0))+IF(GN$9="X",VLOOKUP(GN$10,'VK-Biokütused'!$C:$U,2+$E125,0))+IF(GN$5="X",VLOOKUP(GN$10,'VK-Põlevkivi'!$C:$X,2+$G125,0))+IF(GN$4="X",VLOOKUP(GN$10,'VK-Võrgud'!$C:$X,2+$F125,0))</f>
        <v>7.5434676424145266</v>
      </c>
      <c r="GO125" s="209">
        <f>IF(GO$7="X",VLOOKUP(GO$10,'VK-Hooned-Soojus'!$C:$X,2+$C125,FALSE),0)+IF(GO$6="X",VLOOKUP(GO$10,'VK-Transport'!$C:$X,2+$B125,0))+IF(GO$8="X",VLOOKUP(GO$10,'VK-Elekter'!$C:$X,2+$D125,0))+IF(GO$9="X",VLOOKUP(GO$10,'VK-Biokütused'!$C:$U,2+$E125,0))+IF(GO$5="X",VLOOKUP(GO$10,'VK-Põlevkivi'!$C:$X,2+$G125,0))+IF(GO$4="X",VLOOKUP(GO$10,'VK-Võrgud'!$C:$X,2+$F125,0))</f>
        <v>7.936370010272257</v>
      </c>
      <c r="GP125" s="209">
        <f>IF(GP$7="X",VLOOKUP(GP$10,'VK-Hooned-Soojus'!$C:$X,2+$C125,FALSE),0)+IF(GP$6="X",VLOOKUP(GP$10,'VK-Transport'!$C:$X,2+$B125,0))+IF(GP$8="X",VLOOKUP(GP$10,'VK-Elekter'!$C:$X,2+$D125,0))+IF(GP$9="X",VLOOKUP(GP$10,'VK-Biokütused'!$C:$U,2+$E125,0))+IF(GP$5="X",VLOOKUP(GP$10,'VK-Põlevkivi'!$C:$X,2+$G125,0))+IF(GP$4="X",VLOOKUP(GP$10,'VK-Võrgud'!$C:$X,2+$F125,0))</f>
        <v>9.1527946929596489</v>
      </c>
      <c r="GQ125" s="88">
        <f>IF(GQ$7="X",VLOOKUP(GQ$10,'VK-Hooned-Soojus'!$C:$X,2+$C125,FALSE),0)+IF(GQ$6="X",VLOOKUP(GQ$10,'VK-Transport'!$C:$X,2+$B125,0))+IF(GQ$8="X",VLOOKUP(GQ$10,'VK-Elekter'!$C:$X,2+$D125,0))+IF(GQ$9="X",VLOOKUP(GQ$10,'VK-Biokütused'!$C:$U,2+$E125,0))+IF(GQ$5="X",VLOOKUP(GQ$10,'VK-Põlevkivi'!$C:$X,2+$G125,0))+IF(GQ$4="X",VLOOKUP(GQ$10,'VK-Võrgud'!$C:$X,2+$F125,0))</f>
        <v>0.89042766952822527</v>
      </c>
      <c r="GR125" s="186">
        <f t="shared" si="81"/>
        <v>0.53478864393255998</v>
      </c>
    </row>
    <row r="126" spans="1:200" x14ac:dyDescent="0.2">
      <c r="A126" s="184">
        <v>116</v>
      </c>
      <c r="B126" s="87">
        <v>3</v>
      </c>
      <c r="C126" s="87">
        <v>2</v>
      </c>
      <c r="D126" s="87">
        <v>4</v>
      </c>
      <c r="E126" s="87">
        <v>2</v>
      </c>
      <c r="F126" s="87">
        <f>VLOOKUP(Tulemused!$BF$7,data!$J$6:$K$8,2,FALSE)</f>
        <v>2</v>
      </c>
      <c r="G126" s="87">
        <f>VLOOKUP(data!$H$2,data!$J$12:$K$14,2,FALSE)</f>
        <v>2</v>
      </c>
      <c r="I126" s="209">
        <f>IF(I$7="X",VLOOKUP(I$10,'VK-Hooned-Soojus'!$C:$X,2+$C126,FALSE),0)+IF(I$6="X",VLOOKUP(I$10,'VK-Transport'!$C:$X,2+$B126,0))+IF(I$8="X",VLOOKUP(I$10,'VK-Elekter'!$C:$X,2+$D126,0))+IF(I$9="X",VLOOKUP(I$10,'VK-Biokütused'!$C:$U,2+$E126,0))+IF(I$5="X",VLOOKUP(I$10,'VK-Põlevkivi'!$C:$X,2+$G126,0))+IF(I$4="X",VLOOKUP(I$10,'VK-Võrgud'!$C:$X,2+$F126,0))</f>
        <v>24.79</v>
      </c>
      <c r="J126" s="209">
        <f>IF(J$7="X",VLOOKUP(J$10,'VK-Hooned-Soojus'!$C:$X,2+$C126,FALSE),0)+IF(J$6="X",VLOOKUP(J$10,'VK-Transport'!$C:$X,2+$B126,0))+IF(J$8="X",VLOOKUP(J$10,'VK-Elekter'!$C:$X,2+$D126,0))+IF(J$9="X",VLOOKUP(J$10,'VK-Biokütused'!$C:$U,2+$E126,0))+IF(J$5="X",VLOOKUP(J$10,'VK-Põlevkivi'!$C:$X,2+$G126,0))+IF(J$4="X",VLOOKUP(J$10,'VK-Võrgud'!$C:$X,2+$F126,0))</f>
        <v>8.1258333333333344</v>
      </c>
      <c r="K126" s="209">
        <f>IF(K$7="X",VLOOKUP(K$10,'VK-Hooned-Soojus'!$C:$X,2+$C126,FALSE),0)+IF(K$6="X",VLOOKUP(K$10,'VK-Transport'!$C:$X,2+$B126,0))+IF(K$8="X",VLOOKUP(K$10,'VK-Elekter'!$C:$X,2+$D126,0))+IF(K$9="X",VLOOKUP(K$10,'VK-Biokütused'!$C:$U,2+$E126,0))+IF(K$5="X",VLOOKUP(K$10,'VK-Põlevkivi'!$C:$X,2+$G126,0))+IF(K$4="X",VLOOKUP(K$10,'VK-Võrgud'!$C:$X,2+$F126,0))</f>
        <v>15.27</v>
      </c>
      <c r="L126" s="209">
        <f>IF(L$7="X",VLOOKUP(L$10,'VK-Hooned-Soojus'!$C:$X,2+$C126,FALSE),0)+IF(L$6="X",VLOOKUP(L$10,'VK-Transport'!$C:$X,2+$B126,0))+IF(L$8="X",VLOOKUP(L$10,'VK-Elekter'!$C:$X,2+$D126,0))+IF(L$9="X",VLOOKUP(L$10,'VK-Biokütused'!$C:$U,2+$E126,0))+IF(L$5="X",VLOOKUP(L$10,'VK-Põlevkivi'!$C:$X,2+$G126,0))+IF(L$4="X",VLOOKUP(L$10,'VK-Võrgud'!$C:$X,2+$F126,0))</f>
        <v>24.2</v>
      </c>
      <c r="M126" s="209">
        <f>IF(M$7="X",VLOOKUP(M$10,'VK-Hooned-Soojus'!$C:$X,2+$C126,FALSE),0)+IF(M$6="X",VLOOKUP(M$10,'VK-Transport'!$C:$X,2+$B126,0))+IF(M$8="X",VLOOKUP(M$10,'VK-Elekter'!$C:$X,2+$D126,0))+IF(M$9="X",VLOOKUP(M$10,'VK-Biokütused'!$C:$U,2+$E126,0))+IF(M$5="X",VLOOKUP(M$10,'VK-Põlevkivi'!$C:$X,2+$G126,0))+IF(M$4="X",VLOOKUP(M$10,'VK-Võrgud'!$C:$X,2+$F126,0))</f>
        <v>8.68530937302436</v>
      </c>
      <c r="N126" s="209">
        <f>IF(N$7="X",VLOOKUP(N$10,'VK-Hooned-Soojus'!$C:$X,2+$C126,FALSE),0)+IF(N$6="X",VLOOKUP(N$10,'VK-Transport'!$C:$X,2+$B126,0))+IF(N$8="X",VLOOKUP(N$10,'VK-Elekter'!$C:$X,2+$D126,0))+IF(N$9="X",VLOOKUP(N$10,'VK-Biokütused'!$C:$U,2+$E126,0))+IF(N$5="X",VLOOKUP(N$10,'VK-Põlevkivi'!$C:$X,2+$G126,0))+IF(N$4="X",VLOOKUP(N$10,'VK-Võrgud'!$C:$X,2+$F126,0))</f>
        <v>16.09</v>
      </c>
      <c r="O126" s="209">
        <f t="shared" si="60"/>
        <v>32.915833333333332</v>
      </c>
      <c r="P126" s="209"/>
      <c r="Q126" s="209">
        <f>(IF(Q$7="X",VLOOKUP(Q$10,'VK-Hooned-Soojus'!$C:$X,2+$C126,FALSE),0)+IF(Q$6="X",VLOOKUP(Q$10,'VK-Transport'!$C:$X,2+$B126,0))+IF(Q$8="X",VLOOKUP(Q$10,'VK-Elekter'!$C:$X,2+$D126,0))+IF(Q$9="X",VLOOKUP(Q$10,'VK-Biokütused'!$C:$U,2+$E126,0))+IF(Q$5="X",VLOOKUP(Q$10,'VK-Põlevkivi'!$C:$X,2+$G126,0))+IF(Q$4="X",VLOOKUP(Q$10,'VK-Võrgud'!$C:$X,2+$F126,0)))/1000</f>
        <v>1.337</v>
      </c>
      <c r="R126" s="209">
        <f>(IF(R$7="X",VLOOKUP(R$10,'VK-Hooned-Soojus'!$C:$X,2+$C126,FALSE),0)+IF(R$6="X",VLOOKUP(R$10,'VK-Transport'!$C:$X,2+$B126,0))+IF(R$8="X",VLOOKUP(R$10,'VK-Elekter'!$C:$X,2+$D126,0))+IF(R$9="X",VLOOKUP(R$10,'VK-Biokütused'!$C:$U,2+$E126,0))+IF(R$5="X",VLOOKUP(R$10,'VK-Põlevkivi'!$C:$X,2+$G126,0))+IF(R$4="X",VLOOKUP(R$10,'VK-Võrgud'!$C:$X,2+$F126,0)))/1000</f>
        <v>1.57438499063732</v>
      </c>
      <c r="S126" s="226">
        <f>VLOOKUP(S$10,'VK-Hooned-Soojus'!$C:$I,2+$C126,FALSE) + VLOOKUP(S$10,'VK-Transport'!$C:$I,2+$B126,FALSE)+ VLOOKUP(S$10,'VK-Biokütused'!$C:$G,2+$E126,FALSE)+ VLOOKUP(S$10,'VK-Elekter'!$C:$I,2+$D126,FALSE)+ VLOOKUP(S$10,'VK-Põlevkivi'!$C:$I,2+$G126,FALSE)+ VLOOKUP(S$10,'VK-Võrgud'!$C:$I,2+$F126,FALSE)</f>
        <v>1.9156829893027461E-2</v>
      </c>
      <c r="T126" s="226">
        <f>VLOOKUP(T$10,'VK-Hooned-Soojus'!$C:$I,2+$C126,FALSE) + VLOOKUP(T$10,'VK-Transport'!$C:$I,2+$B126,FALSE)+ VLOOKUP(T$10,'VK-Biokütused'!$C:$G,2+$E126,FALSE)+ VLOOKUP(T$10,'VK-Elekter'!$C:$I,2+$D126,FALSE)+ VLOOKUP(T$10,'VK-Põlevkivi'!$C:$I,2+$G126,FALSE)+ VLOOKUP(T$10,'VK-Võrgud'!$C:$I,2+$F126,FALSE)</f>
        <v>4.0523425283795454E-3</v>
      </c>
      <c r="U126" s="226">
        <f>VLOOKUP(U$10,'VK-Hooned-Soojus'!$C:$I,2+$C126,FALSE) + VLOOKUP(U$10,'VK-Transport'!$C:$I,2+$B126,FALSE)+ VLOOKUP(U$10,'VK-Biokütused'!$C:$G,2+$E126,FALSE)+ VLOOKUP(U$10,'VK-Elekter'!$C:$I,2+$D126,FALSE)+ VLOOKUP(U$10,'VK-Põlevkivi'!$C:$I,2+$G126,FALSE)+ VLOOKUP(U$10,'VK-Võrgud'!$C:$I,2+$F126,FALSE)</f>
        <v>5.6197207189215004E-3</v>
      </c>
      <c r="V126" s="226">
        <f>VLOOKUP(V$10,'VK-Hooned-Soojus'!$C:$I,2+$C126,FALSE) + VLOOKUP(V$10,'VK-Transport'!$C:$I,2+$B126,FALSE)+ VLOOKUP(V$10,'VK-Biokütused'!$C:$G,2+$E126,FALSE)+ VLOOKUP(V$10,'VK-Elekter'!$C:$I,2+$D126,FALSE)+ VLOOKUP(V$10,'VK-Põlevkivi'!$C:$I,2+$G126,FALSE)+ VLOOKUP(V$10,'VK-Võrgud'!$C:$I,2+$F126,FALSE)</f>
        <v>1.3648031840699057E-2</v>
      </c>
      <c r="W126" s="226">
        <f>VLOOKUP(W$10,'VK-Hooned-Soojus'!$C:$I,2+$C126,FALSE) + VLOOKUP(W$10,'VK-Transport'!$C:$I,2+$B126,FALSE)+ VLOOKUP(W$10,'VK-Biokütused'!$C:$G,2+$E126,FALSE)+ VLOOKUP(W$10,'VK-Elekter'!$C:$I,2+$D126,FALSE)+ VLOOKUP(W$10,'VK-Põlevkivi'!$C:$I,2+$G126,FALSE)+ VLOOKUP(W$10,'VK-Võrgud'!$C:$I,2+$F126,FALSE)</f>
        <v>-6.0303526210897095E-2</v>
      </c>
      <c r="X126" s="226">
        <f>VLOOKUP(X$10,'VK-Hooned-Soojus'!$C:$I,2+$C126,FALSE) + VLOOKUP(X$10,'VK-Transport'!$C:$I,2+$B126,FALSE)+ VLOOKUP(X$10,'VK-Biokütused'!$C:$G,2+$E126,FALSE)+ VLOOKUP(X$10,'VK-Elekter'!$C:$I,2+$D126,FALSE)+ VLOOKUP(X$10,'VK-Põlevkivi'!$C:$I,2+$G126,FALSE)+ VLOOKUP(X$10,'VK-Võrgud'!$C:$I,2+$F126,FALSE)</f>
        <v>-0.19063221365840727</v>
      </c>
      <c r="Y126" s="226">
        <f>VLOOKUP(Y$10,'VK-Hooned-Soojus'!$C:$I,2+$C126,FALSE) + VLOOKUP(Y$10,'VK-Transport'!$C:$I,2+$B126,FALSE)+ VLOOKUP(Y$10,'VK-Biokütused'!$C:$G,2+$E126,FALSE)+ VLOOKUP(Y$10,'VK-Elekter'!$C:$I,2+$D126,FALSE)+ VLOOKUP(Y$10,'VK-Põlevkivi'!$C:$I,2+$G126,FALSE)+ VLOOKUP(Y$10,'VK-Võrgud'!$C:$I,2+$F126,FALSE)</f>
        <v>-0.11728162328636715</v>
      </c>
      <c r="Z126" s="227">
        <f>(S126*Tulemused!$Q$9*10+T126*Tulemused!$Q$10*10+KOMBI!U126*Tulemused!$Q$11*10+KOMBI!V126*Tulemused!$Q$12*10)*Tulemused!$Q$8+-(W126*Tulemused!$Q$14*10+KOMBI!X126*Tulemused!$Q$15*10+KOMBI!Y126*Tulemused!$Q$16*10)*Tulemused!$Q$13</f>
        <v>10.837872412798088</v>
      </c>
      <c r="AA126" s="228">
        <f>(IF(AA$7="X",VLOOKUP(AA$10,'VK-Hooned-Soojus'!$C:$X,2+$C126,FALSE),0)+IF(AA$6="X",VLOOKUP(AA$10,'VK-Transport'!$C:$X,2+$B126,0))+IF(AA$8="X",VLOOKUP(AA$10,'VK-Elekter'!$C:$X,2+$D126,0))+IF(AA$9="X",VLOOKUP(AA$10,'VK-Biokütused'!$C:$U,2+$E126,0))+IF(AA$5="X",VLOOKUP(AA$10,'VK-Põlevkivi'!$C:$X,2+$G126,0))+IF(AA$4="X",VLOOKUP(AA$10,'VK-Võrgud'!$C:$X,2+$F126,0)))</f>
        <v>0</v>
      </c>
      <c r="AB126" s="228">
        <f>(IF(AB$7="X",VLOOKUP(AB$10,'VK-Hooned-Soojus'!$C:$X,2+$C126,FALSE),0)+IF(AB$6="X",VLOOKUP(AB$10,'VK-Transport'!$C:$X,2+$B126,0))+IF(AB$8="X",VLOOKUP(AB$10,'VK-Elekter'!$C:$X,2+$D126,0))+IF(AB$9="X",VLOOKUP(AB$10,'VK-Biokütused'!$C:$U,2+$E126,0))+IF(AB$5="X",VLOOKUP(AB$10,'VK-Põlevkivi'!$C:$X,2+$G126,0))+IF(AB$4="X",VLOOKUP(AB$10,'VK-Võrgud'!$C:$X,2+$F126,0)))</f>
        <v>1337</v>
      </c>
      <c r="AC126" s="228">
        <f>(IF(AC$7="X",VLOOKUP(AC$10,'VK-Hooned-Soojus'!$C:$X,2+$C126,FALSE),0)+IF(AC$6="X",VLOOKUP(AC$10,'VK-Transport'!$C:$X,2+$B126,0))+IF(AC$8="X",VLOOKUP(AC$10,'VK-Elekter'!$C:$X,2+$D126,0))+IF(AC$9="X",VLOOKUP(AC$10,'VK-Biokütused'!$C:$U,2+$E126,0))+IF(AC$5="X",VLOOKUP(AC$10,'VK-Põlevkivi'!$C:$X,2+$G126,0))+IF(AC$4="X",VLOOKUP(AC$10,'VK-Võrgud'!$C:$X,2+$F126,0)))</f>
        <v>2346</v>
      </c>
      <c r="AD126" s="228">
        <f>(IF(AD$7="X",VLOOKUP(AD$10,'VK-Hooned-Soojus'!$C:$X,2+$C126,FALSE),0)+IF(AD$6="X",VLOOKUP(AD$10,'VK-Transport'!$C:$X,2+$B126,0))+IF(AD$8="X",VLOOKUP(AD$10,'VK-Elekter'!$C:$X,2+$D126,0))+IF(AD$9="X",VLOOKUP(AD$10,'VK-Biokütused'!$C:$U,2+$E126,0))+IF(AD$5="X",VLOOKUP(AD$10,'VK-Põlevkivi'!$C:$X,2+$G126,0))+IF(AD$4="X",VLOOKUP(AD$10,'VK-Võrgud'!$C:$X,2+$F126,0)))</f>
        <v>377.5</v>
      </c>
      <c r="AE126" s="228">
        <f>(IF(AE$7="X",VLOOKUP(AE$10,'VK-Hooned-Soojus'!$C:$X,2+$C126,FALSE),0)+IF(AE$6="X",VLOOKUP(AE$10,'VK-Transport'!$C:$X,2+$B126,0))+IF(AE$8="X",VLOOKUP(AE$10,'VK-Elekter'!$C:$X,2+$D126,0))+IF(AE$9="X",VLOOKUP(AE$10,'VK-Biokütused'!$C:$U,2+$E126,0))+IF(AE$5="X",VLOOKUP(AE$10,'VK-Põlevkivi'!$C:$X,2+$G126,0))+IF(AE$4="X",VLOOKUP(AE$10,'VK-Võrgud'!$C:$X,2+$F126,0)))</f>
        <v>666</v>
      </c>
      <c r="AF126" s="228">
        <f>(IF(AF$7="X",VLOOKUP(AF$10,'VK-Hooned-Soojus'!$C:$X,2+$C126,FALSE),0)+IF(AF$6="X",VLOOKUP(AF$10,'VK-Transport'!$C:$X,2+$B126,0))+IF(AF$8="X",VLOOKUP(AF$10,'VK-Elekter'!$C:$X,2+$D126,0))+IF(AF$9="X",VLOOKUP(AF$10,'VK-Biokütused'!$C:$U,2+$E126,0))+IF(AF$5="X",VLOOKUP(AF$10,'VK-Põlevkivi'!$C:$X,2+$G126,0))+IF(AF$4="X",VLOOKUP(AF$10,'VK-Võrgud'!$C:$X,2+$F126,0)))</f>
        <v>530.88499063732002</v>
      </c>
      <c r="AG126" s="209"/>
      <c r="AH126" s="209">
        <f>IF(AH$7="X",VLOOKUP(AH$10,'VK-Hooned-Soojus'!$C:$X,2+$C126,FALSE),0)+IF(AH$6="X",VLOOKUP(AH$10,'VK-Transport'!$C:$X,2+$B126,0))+IF(AH$8="X",VLOOKUP(AH$10,'VK-Elekter'!$C:$X,2+$D126,0))+IF(AH$9="X",VLOOKUP(AH$10,'VK-Biokütused'!$C:$U,2+$E126,0))+IF(AH$5="X",VLOOKUP(AH$10,'VK-Põlevkivi'!$C:$X,2+$G126,0))+IF(AH$4="X",VLOOKUP(AH$10,'VK-Võrgud'!$C:$X,2+$F126,0))</f>
        <v>0</v>
      </c>
      <c r="AI126" s="209">
        <f>IF(AI$7="X",VLOOKUP(AI$10,'VK-Hooned-Soojus'!$C:$X,2+$C126,FALSE),0)+IF(AI$6="X",VLOOKUP(AI$10,'VK-Transport'!$C:$X,2+$B126,0))+IF(AI$8="X",VLOOKUP(AI$10,'VK-Elekter'!$C:$X,2+$D126,0))+IF(AI$9="X",VLOOKUP(AI$10,'VK-Biokütused'!$C:$U,2+$E126,0))+IF(AI$5="X",VLOOKUP(AI$10,'VK-Põlevkivi'!$C:$X,2+$G126,0))+IF(AI$4="X",VLOOKUP(AI$10,'VK-Võrgud'!$C:$X,2+$F126,0))</f>
        <v>11.489999999999998</v>
      </c>
      <c r="AJ126" s="209">
        <f>IF(AJ$7="X",VLOOKUP(AJ$10,'VK-Hooned-Soojus'!$C:$X,2+$C126,FALSE),0)+IF(AJ$6="X",VLOOKUP(AJ$10,'VK-Transport'!$C:$X,2+$B126,0))+IF(AJ$8="X",VLOOKUP(AJ$10,'VK-Elekter'!$C:$X,2+$D126,0))+IF(AJ$9="X",VLOOKUP(AJ$10,'VK-Biokütused'!$C:$U,2+$E126,0))+IF(AJ$5="X",VLOOKUP(AJ$10,'VK-Põlevkivi'!$C:$X,2+$G126,0))+IF(AJ$4="X",VLOOKUP(AJ$10,'VK-Võrgud'!$C:$X,2+$F126,0))</f>
        <v>0</v>
      </c>
      <c r="AK126" s="209">
        <f>IF(AK$7="X",VLOOKUP(AK$10,'VK-Hooned-Soojus'!$C:$X,2+$C126,FALSE),0)+IF(AK$6="X",VLOOKUP(AK$10,'VK-Transport'!$C:$X,2+$B126,0))+IF(AK$8="X",VLOOKUP(AK$10,'VK-Elekter'!$C:$X,2+$D126,0))+IF(AK$9="X",VLOOKUP(AK$10,'VK-Biokütused'!$C:$U,2+$E126,0))+IF(AK$5="X",VLOOKUP(AK$10,'VK-Põlevkivi'!$C:$X,2+$G126,0))+IF(AK$4="X",VLOOKUP(AK$10,'VK-Võrgud'!$C:$X,2+$F126,0))</f>
        <v>3.65</v>
      </c>
      <c r="AL126" s="209">
        <f>IF(AL$7="X",VLOOKUP(AL$10,'VK-Hooned-Soojus'!$C:$X,2+$C126,FALSE),0)+IF(AL$6="X",VLOOKUP(AL$10,'VK-Transport'!$C:$X,2+$B126,0))+IF(AL$8="X",VLOOKUP(AL$10,'VK-Elekter'!$C:$X,2+$D126,0))+IF(AL$9="X",VLOOKUP(AL$10,'VK-Biokütused'!$C:$U,2+$E126,0))+IF(AL$5="X",VLOOKUP(AL$10,'VK-Põlevkivi'!$C:$X,2+$G126,0))+IF(AL$4="X",VLOOKUP(AL$10,'VK-Võrgud'!$C:$X,2+$F126,0))</f>
        <v>7.1999999999999993</v>
      </c>
      <c r="AM126" s="209">
        <f>IF(AM$7="X",VLOOKUP(AM$10,'VK-Hooned-Soojus'!$C:$X,2+$C126,FALSE),0)+IF(AM$6="X",VLOOKUP(AM$10,'VK-Transport'!$C:$X,2+$B126,0))+IF(AM$8="X",VLOOKUP(AM$10,'VK-Elekter'!$C:$X,2+$D126,0))+IF(AM$9="X",VLOOKUP(AM$10,'VK-Biokütused'!$C:$U,2+$E126,0))+IF(AM$5="X",VLOOKUP(AM$10,'VK-Põlevkivi'!$C:$X,2+$G126,0))+IF(AM$4="X",VLOOKUP(AM$10,'VK-Võrgud'!$C:$X,2+$F126,0))</f>
        <v>11.9</v>
      </c>
      <c r="AN126" s="209">
        <f>IF(AN$7="X",VLOOKUP(AN$10,'VK-Hooned-Soojus'!$C:$X,2+$C126,FALSE),0)+IF(AN$6="X",VLOOKUP(AN$10,'VK-Transport'!$C:$X,2+$B126,0))+IF(AN$8="X",VLOOKUP(AN$10,'VK-Elekter'!$C:$X,2+$D126,0))+IF(AN$9="X",VLOOKUP(AN$10,'VK-Biokütused'!$C:$U,2+$E126,0))+IF(AN$5="X",VLOOKUP(AN$10,'VK-Põlevkivi'!$C:$X,2+$G126,0))+IF(AN$4="X",VLOOKUP(AN$10,'VK-Võrgud'!$C:$X,2+$F126,0))</f>
        <v>4.8999999999999995</v>
      </c>
      <c r="AO126" s="209">
        <f>IF(AO$7="X",VLOOKUP(AO$10,'VK-Hooned-Soojus'!$C:$X,2+$C126,FALSE),0)+IF(AO$6="X",VLOOKUP(AO$10,'VK-Transport'!$C:$X,2+$B126,0))+IF(AO$8="X",VLOOKUP(AO$10,'VK-Elekter'!$C:$X,2+$D126,0))+IF(AO$9="X",VLOOKUP(AO$10,'VK-Biokütused'!$C:$U,2+$E126,0))+IF(AO$5="X",VLOOKUP(AO$10,'VK-Põlevkivi'!$C:$X,2+$G126,0))+IF(AO$4="X",VLOOKUP(AO$10,'VK-Võrgud'!$C:$X,2+$F126,0))</f>
        <v>21.740000000000002</v>
      </c>
      <c r="AP126" s="209">
        <f>IF(AP$7="X",VLOOKUP(AP$10,'VK-Hooned-Soojus'!$C:$X,2+$C126,FALSE),0)+IF(AP$6="X",VLOOKUP(AP$10,'VK-Transport'!$C:$X,2+$B126,0))+IF(AP$8="X",VLOOKUP(AP$10,'VK-Elekter'!$C:$X,2+$D126,0))+IF(AP$9="X",VLOOKUP(AP$10,'VK-Biokütused'!$C:$U,2+$E126,0))+IF(AP$5="X",VLOOKUP(AP$10,'VK-Põlevkivi'!$C:$X,2+$G126,0))+IF(AP$4="X",VLOOKUP(AP$10,'VK-Võrgud'!$C:$X,2+$F126,0))</f>
        <v>10.870000000000001</v>
      </c>
      <c r="AQ126" s="320">
        <f t="shared" si="61"/>
        <v>9.4400000000000013</v>
      </c>
      <c r="AR126" s="209">
        <f>IF(AR$7="X",VLOOKUP(AR$10,'VK-Hooned-Soojus'!$C:$X,2+$C126,FALSE),0)+IF(AR$6="X",VLOOKUP(AR$10,'VK-Transport'!$C:$X,2+$B126,0))+IF(AR$8="X",VLOOKUP(AR$10,'VK-Elekter'!$C:$X,2+$D126,0))+IF(AR$9="X",VLOOKUP(AR$10,'VK-Biokütused'!$C:$U,2+$E126,0))+IF(AR$5="X",VLOOKUP(AR$10,'VK-Põlevkivi'!$C:$X,2+$G126,0))+IF(AR$4="X",VLOOKUP(AR$10,'VK-Võrgud'!$C:$X,2+$F126,0))</f>
        <v>0.5</v>
      </c>
      <c r="AS126" s="320">
        <f>VLOOKUP("Kütuste tarbimine @ 2030 - UTTEGAAS",'VK-Hooned-Soojus'!$C:$X,2+$C126,FALSE)/0.172+VLOOKUP("Kütuste tarbimine @ 2030 - UTTEGAAS",'VK-Elekter'!$C:$X,2+$D126,FALSE)/0.172-AR126-AU126</f>
        <v>-0.5</v>
      </c>
      <c r="AT126" s="209">
        <f>IF(AT$7="X",VLOOKUP(AT$10,'VK-Hooned-Soojus'!$C:$X,2+$C126,FALSE),0)+IF(AT$6="X",VLOOKUP(AT$10,'VK-Transport'!$C:$X,2+$B126,0))+IF(AT$8="X",VLOOKUP(AT$10,'VK-Elekter'!$C:$X,2+$D126,0))+IF(AT$9="X",VLOOKUP(AT$10,'VK-Biokütused'!$C:$U,2+$E126,0))+IF(AT$5="X",VLOOKUP(AT$10,'VK-Põlevkivi'!$C:$X,2+$G126,0))+IF(AT$4="X",VLOOKUP(AT$10,'VK-Võrgud'!$C:$X,2+$F126,0))</f>
        <v>5.7045296564339489</v>
      </c>
      <c r="AU126" s="229">
        <f>MAX(0,(VLOOKUP("Kütuste tarbimine @ 2030 - UTTEGAAS",'VK-Hooned-Soojus'!$C:$X,2+$C126,FALSE)/0.172+VLOOKUP("Kütuste tarbimine @ 2030 - UTTEGAAS",'VK-Elekter'!$C:$X,2+$D126,FALSE)/0.172)*0.52-VLOOKUP("Kütuste tarbimine @ 2030 - PÕLEVKIVIÕLI",'VK-Hooned-Soojus'!$C:$X,2+$C126,FALSE))</f>
        <v>0</v>
      </c>
      <c r="AV126" s="209">
        <f>IF(AV$7="X",VLOOKUP(AV$10,'VK-Hooned-Soojus'!$C:$X,2+$C126,FALSE),0)+IF(AV$6="X",VLOOKUP(AV$10,'VK-Transport'!$C:$X,2+$B126,0))+IF(AV$8="X",VLOOKUP(AV$10,'VK-Elekter'!$C:$X,2+$D126,0))+IF(AV$9="X",VLOOKUP(AV$10,'VK-Biokütused'!$C:$U,2+$E126,0))+IF(AV$5="X",VLOOKUP(AV$10,'VK-Põlevkivi'!$C:$X,2+$G126,0))+IF(AV$4="X",VLOOKUP(AV$10,'VK-Võrgud'!$C:$X,2+$F126,0))</f>
        <v>2.1219844082566364</v>
      </c>
      <c r="AW126" s="209">
        <f>IF(AW$7="X",VLOOKUP(AW$10,'VK-Hooned-Soojus'!$C:$X,2+$C126,FALSE),0)+IF(AW$6="X",VLOOKUP(AW$10,'VK-Transport'!$C:$X,2+$B126,0))+IF(AW$8="X",VLOOKUP(AW$10,'VK-Elekter'!$C:$X,2+$D126,0))+IF(AW$9="X",VLOOKUP(AW$10,'VK-Biokütused'!$C:$U,2+$E126,0))+IF(AW$5="X",VLOOKUP(AW$10,'VK-Põlevkivi'!$C:$X,2+$G126,0))+IF(AW$4="X",VLOOKUP(AW$10,'VK-Võrgud'!$C:$X,2+$F126,0))</f>
        <v>2.141</v>
      </c>
      <c r="AX126" s="229">
        <f t="shared" si="62"/>
        <v>1.9015591743363647E-2</v>
      </c>
      <c r="AY126" s="229">
        <f t="shared" si="63"/>
        <v>0</v>
      </c>
      <c r="AZ126" s="230">
        <f t="shared" si="83"/>
        <v>0.58990938224442924</v>
      </c>
      <c r="BA126" s="209">
        <f>IF(BA$7="X",VLOOKUP(BA$10,'VK-Hooned-Soojus'!$C:$X,2+$C126,FALSE),0)+IF(BA$6="X",VLOOKUP(BA$10,'VK-Transport'!$C:$X,2+$B126,0))+IF(BA$8="X",VLOOKUP(BA$10,'VK-Elekter'!$C:$X,2+$D126,0))+IF(BA$9="X",VLOOKUP(BA$10,'VK-Biokütused'!$C:$U,2+$E126,0))+IF(BA$5="X",VLOOKUP(BA$10,'VK-Põlevkivi'!$C:$X,2+$G126,0))+IF(BA$4="X",VLOOKUP(BA$10,'VK-Võrgud'!$C:$X,2+$F126,0))</f>
        <v>0</v>
      </c>
      <c r="BB126" s="209">
        <f>IF(BB$7="X",VLOOKUP(BB$10,'VK-Hooned-Soojus'!$C:$X,2+$C126,FALSE),0)+IF(BB$6="X",VLOOKUP(BB$10,'VK-Transport'!$C:$X,2+$B126,0))+IF(BB$8="X",VLOOKUP(BB$10,'VK-Elekter'!$C:$X,2+$D126,0))+IF(BB$9="X",VLOOKUP(BB$10,'VK-Biokütused'!$C:$U,2+$E126,0))+IF(BB$5="X",VLOOKUP(BB$10,'VK-Põlevkivi'!$C:$X,2+$G126,0))+IF(BB$4="X",VLOOKUP(BB$10,'VK-Võrgud'!$C:$X,2+$F126,0))</f>
        <v>6.32</v>
      </c>
      <c r="BC126" s="209">
        <f>IF(BC$7="X",VLOOKUP(BC$10,'VK-Hooned-Soojus'!$C:$X,2+$C126,FALSE),0)+IF(BC$6="X",VLOOKUP(BC$10,'VK-Transport'!$C:$X,2+$B126,0))+IF(BC$8="X",VLOOKUP(BC$10,'VK-Elekter'!$C:$X,2+$D126,0))+IF(BC$9="X",VLOOKUP(BC$10,'VK-Biokütused'!$C:$U,2+$E126,0))+IF(BC$5="X",VLOOKUP(BC$10,'VK-Põlevkivi'!$C:$X,2+$G126,0))+IF(BC$4="X",VLOOKUP(BC$10,'VK-Võrgud'!$C:$X,2+$F126,0))</f>
        <v>6.5993333333333322</v>
      </c>
      <c r="BD126" s="209">
        <f>IF(BD$7="X",VLOOKUP(BD$10,'VK-Hooned-Soojus'!$C:$X,2+$C126,FALSE),0)+IF(BD$6="X",VLOOKUP(BD$10,'VK-Transport'!$C:$X,2+$B126,0))+IF(BD$8="X",VLOOKUP(BD$10,'VK-Elekter'!$C:$X,2+$D126,0))+IF(BD$9="X",VLOOKUP(BD$10,'VK-Biokütused'!$C:$U,2+$E126,0))+IF(BD$5="X",VLOOKUP(BD$10,'VK-Põlevkivi'!$C:$X,2+$G126,0))+IF(BD$4="X",VLOOKUP(BD$10,'VK-Võrgud'!$C:$X,2+$F126,0))</f>
        <v>9.425416666666667</v>
      </c>
      <c r="BE126" s="230"/>
      <c r="BF126" s="229">
        <f t="shared" si="64"/>
        <v>0.6351575313088188</v>
      </c>
      <c r="BG126" s="209" t="e">
        <f>(IF(BG$7="X",VLOOKUP(BG$10,'VK-Hooned-Soojus'!$C:$X,2+$C126,FALSE),0)+IF(BG$6="X",VLOOKUP(BG$10,'VK-Transport'!$C:$X,2+$B126,0))+IF(BG$8="X",VLOOKUP(BG$10,'VK-Elekter'!$C:$X,2+$D126,0))+IF(BG$9="X",VLOOKUP(BG$10,'VK-Biokütused'!$C:$U,2+$E126,0))+IF(BG$5="X",VLOOKUP(BG$10,'VK-Põlevkivi'!$C:$X,2+$G126,0))+IF(BG$4="X",VLOOKUP(BG$10,'VK-Võrgud'!$C:$X,2+$F126,0)))/20</f>
        <v>#N/A</v>
      </c>
      <c r="BH126" s="209">
        <f>(IF(BH$7="X",VLOOKUP(BH$10,'VK-Hooned-Soojus'!$C:$X,2+$C126,FALSE),0)+IF(BH$6="X",VLOOKUP(BH$10,'VK-Transport'!$C:$X,2+$B126,0))+IF(BH$8="X",VLOOKUP(BH$10,'VK-Elekter'!$C:$X,2+$D126,0))+IF(BH$9="X",VLOOKUP(BH$10,'VK-Biokütused'!$C:$U,2+$E126,0))+IF(BH$5="X",VLOOKUP(BH$10,'VK-Põlevkivi'!$C:$X,2+$G126,0))+IF(BH$4="X",VLOOKUP(BH$10,'VK-Võrgud'!$C:$X,2+$F126,0)))/20</f>
        <v>45.08</v>
      </c>
      <c r="BI126" s="209">
        <f>(IF(BI$7="X",VLOOKUP(BI$10,'VK-Hooned-Soojus'!$C:$X,2+$C126,FALSE),0)+IF(BI$6="X",VLOOKUP(BI$10,'VK-Transport'!$C:$X,2+$B126,0))+IF(BI$8="X",VLOOKUP(BI$10,'VK-Elekter'!$C:$X,2+$D126,0))+IF(BI$9="X",VLOOKUP(BI$10,'VK-Biokütused'!$C:$U,2+$E126,0))+IF(BI$5="X",VLOOKUP(BI$10,'VK-Põlevkivi'!$C:$X,2+$G126,0))+IF(BI$4="X",VLOOKUP(BI$10,'VK-Võrgud'!$C:$X,2+$F126,0)))/16</f>
        <v>14.1875</v>
      </c>
      <c r="BJ126" s="209">
        <f>(IF(BJ$7="X",VLOOKUP(BJ$10,'VK-Hooned-Soojus'!$C:$X,2+$C126,FALSE),0)+IF(BJ$6="X",VLOOKUP(BJ$10,'VK-Transport'!$C:$X,2+$B126,0))+IF(BJ$8="X",VLOOKUP(BJ$10,'VK-Elekter'!$C:$X,2+$D126,0))+IF(BJ$9="X",VLOOKUP(BJ$10,'VK-Biokütused'!$C:$U,2+$E126,0))+IF(BJ$5="X",VLOOKUP(BJ$10,'VK-Põlevkivi'!$C:$X,2+$G126,0))+IF(BJ$4="X",VLOOKUP(BJ$10,'VK-Võrgud'!$C:$X,2+$F126,0)))/20</f>
        <v>3.91</v>
      </c>
      <c r="BK126" s="209"/>
      <c r="BL126" s="209"/>
      <c r="BM126" s="209"/>
      <c r="BN126" s="209" t="e">
        <f>(IF(BN$7="X",VLOOKUP(BN$10,'VK-Hooned-Soojus'!$C:$X,2+$C126,FALSE),0)+IF(BN$6="X",VLOOKUP(BN$10,'VK-Transport'!$C:$X,2+$B126,0))+IF(BN$8="X",VLOOKUP(BN$10,'VK-Elekter'!$C:$X,2+$D126,0))+IF(BN$9="X",VLOOKUP(BN$10,'VK-Biokütused'!$C:$U,2+$E126,0))+IF(BN$5="X",VLOOKUP(BN$10,'VK-Põlevkivi'!$C:$X,2+$G126,0))+IF(BN$4="X",VLOOKUP(BN$10,'VK-Võrgud'!$C:$X,2+$F126,0)))/16</f>
        <v>#N/A</v>
      </c>
      <c r="BO126" s="209">
        <f>(IF(BO$7="X",VLOOKUP(BO$10,'VK-Hooned-Soojus'!$C:$X,2+$C126,FALSE),0)+IF(BO$6="X",VLOOKUP(BO$10,'VK-Transport'!$C:$X,2+$B126,0))+IF(BO$8="X",VLOOKUP(BO$10,'VK-Elekter'!$C:$X,2+$D126,0))+IF(BO$9="X",VLOOKUP(BO$10,'VK-Biokütused'!$C:$U,2+$E126,0))+IF(BO$5="X",VLOOKUP(BO$10,'VK-Põlevkivi'!$C:$X,2+$G126,0))+IF(BO$4="X",VLOOKUP(BO$10,'VK-Võrgud'!$C:$X,2+$F126,0)))/16</f>
        <v>322.79374999999999</v>
      </c>
      <c r="BP126" s="209"/>
      <c r="BQ126" s="209">
        <f>(IF(BQ$7="X",VLOOKUP(BQ$10,'VK-Hooned-Soojus'!$C:$X,2+$C126,FALSE),0)+IF(BQ$6="X",VLOOKUP(BQ$10,'VK-Transport'!$C:$X,2+$B126,0))+IF(BQ$8="X",VLOOKUP(BQ$10,'VK-Elekter'!$C:$X,2+$D126,0))+IF(BQ$9="X",VLOOKUP(BQ$10,'VK-Biokütused'!$C:$U,2+$E126,0))+IF(BQ$5="X",VLOOKUP(BQ$10,'VK-Põlevkivi'!$C:$X,2+$G126,0))+IF(BQ$4="X",VLOOKUP(BQ$10,'VK-Võrgud'!$C:$X,2+$F126,0)))/16</f>
        <v>233.20625000000001</v>
      </c>
      <c r="BR126" s="209">
        <f>(IF(BR$7="X",VLOOKUP(BR$10,'VK-Hooned-Soojus'!$C:$X,2+$C126,FALSE),0)+IF(BR$6="X",VLOOKUP(BR$10,'VK-Transport'!$C:$X,2+$B126,0))+IF(BR$8="X",VLOOKUP(BR$10,'VK-Elekter'!$C:$X,2+$D126,0))+IF(BR$9="X",VLOOKUP(BR$10,'VK-Biokütused'!$C:$U,2+$E126,0))+IF(BR$5="X",VLOOKUP(BR$10,'VK-Põlevkivi'!$C:$X,2+$G126,0))+IF(BR$4="X",VLOOKUP(BR$10,'VK-Võrgud'!$C:$X,2+$F126,0)))/16</f>
        <v>74.512500000000003</v>
      </c>
      <c r="BS126" s="209">
        <f>(IF(BS$7="X",VLOOKUP(BS$10,'VK-Hooned-Soojus'!$C:$X,2+$C126,FALSE),0)+IF(BS$6="X",VLOOKUP(BS$10,'VK-Transport'!$C:$X,2+$B126,0))+IF(BS$8="X",VLOOKUP(BS$10,'VK-Elekter'!$C:$X,2+$D126,0))+IF(BS$9="X",VLOOKUP(BS$10,'VK-Biokütused'!$C:$U,2+$E126,0))+IF(BS$5="X",VLOOKUP(BS$10,'VK-Põlevkivi'!$C:$X,2+$G126,0))+IF(BS$4="X",VLOOKUP(BS$10,'VK-Võrgud'!$C:$X,2+$F126,0)))/16</f>
        <v>-21.475000000000001</v>
      </c>
      <c r="BT126" s="209"/>
      <c r="BU126" s="209"/>
      <c r="BV126" s="209">
        <f>(IF(BV$7="X",VLOOKUP(BV$10,'VK-Hooned-Soojus'!$C:$X,2+$C126,FALSE),0)+IF(BV$6="X",VLOOKUP(BV$10,'VK-Transport'!$C:$X,2+$B126,0))+IF(BV$8="X",VLOOKUP(BV$10,'VK-Elekter'!$C:$X,2+$D126,0))+IF(BV$9="X",VLOOKUP(BV$10,'VK-Biokütused'!$C:$U,2+$E126,0))+IF(BV$5="X",VLOOKUP(BV$10,'VK-Põlevkivi'!$C:$X,2+$G126,0))+IF(BV$4="X",VLOOKUP(BV$10,'VK-Võrgud'!$C:$X,2+$F126,0)))/16</f>
        <v>0</v>
      </c>
      <c r="BW126" s="209"/>
      <c r="BX126" s="209">
        <f>(IF(BX$7="X",VLOOKUP(BX$10,'VK-Hooned-Soojus'!$C:$X,2+$C126,FALSE),0)+IF(BX$6="X",VLOOKUP(BX$10,'VK-Transport'!$C:$X,2+$B126,0))+IF(BX$8="X",VLOOKUP(BX$10,'VK-Elekter'!$C:$X,2+$D126,0))+IF(BX$9="X",VLOOKUP(BX$10,'VK-Biokütused'!$C:$U,2+$E126,0))+IF(BX$5="X",VLOOKUP(BX$10,'VK-Põlevkivi'!$C:$X,2+$G126,0))+IF(BX$4="X",VLOOKUP(BX$10,'VK-Võrgud'!$C:$X,2+$F126,0)))/16</f>
        <v>-19.25</v>
      </c>
      <c r="BY126" s="209"/>
      <c r="BZ126" s="209"/>
      <c r="CA126" s="209" t="e">
        <f>(IF(CA$7="X",VLOOKUP(CA$10,'VK-Hooned-Soojus'!$C:$X,2+$C126,FALSE),0)+IF(CA$6="X",VLOOKUP(CA$10,'VK-Transport'!$C:$X,2+$B126,0))+IF(CA$8="X",VLOOKUP(CA$10,'VK-Elekter'!$C:$X,2+$D126,0))+IF(CA$9="X",VLOOKUP(CA$10,'VK-Biokütused'!$C:$U,2+$E126,0))+IF(CA$5="X",VLOOKUP(CA$10,'VK-Põlevkivi'!$C:$X,2+$G126,0))+IF(CA$4="X",VLOOKUP(CA$10,'VK-Võrgud'!$C:$X,2+$F126,0)))/16</f>
        <v>#N/A</v>
      </c>
      <c r="CB126" s="209">
        <f>(IF(CB$7="X",VLOOKUP(CB$10,'VK-Hooned-Soojus'!$C:$X,2+$C126,FALSE),0)+IF(CB$6="X",VLOOKUP(CB$10,'VK-Transport'!$C:$X,2+$B126,0))+IF(CB$8="X",VLOOKUP(CB$10,'VK-Elekter'!$C:$X,2+$D126,0))+IF(CB$9="X",VLOOKUP(CB$10,'VK-Biokütused'!$C:$U,2+$E126,0))+IF(CB$5="X",VLOOKUP(CB$10,'VK-Põlevkivi'!$C:$X,2+$G126,0))+IF(CB$4="X",VLOOKUP(CB$10,'VK-Võrgud'!$C:$X,2+$F126,0)))/16</f>
        <v>0</v>
      </c>
      <c r="CC126" s="209">
        <f>(IF(CC$7="X",VLOOKUP(CC$10,'VK-Hooned-Soojus'!$C:$X,2+$C126,FALSE),0)+IF(CC$6="X",VLOOKUP(CC$10,'VK-Transport'!$C:$X,2+$B126,0))+IF(CC$8="X",VLOOKUP(CC$10,'VK-Elekter'!$C:$X,2+$D126,0))+IF(CC$9="X",VLOOKUP(CC$10,'VK-Biokütused'!$C:$U,2+$E126,0))+IF(CC$5="X",VLOOKUP(CC$10,'VK-Põlevkivi'!$C:$X,2+$G126,0))+IF(CC$4="X",VLOOKUP(CC$10,'VK-Võrgud'!$C:$X,2+$F126,0)))/16</f>
        <v>0</v>
      </c>
      <c r="CD126" s="209"/>
      <c r="CE126" s="209">
        <f>(IF(CE$7="X",VLOOKUP(CE$10,'VK-Hooned-Soojus'!$C:$X,2+$C126,FALSE),0)+IF(CE$6="X",VLOOKUP(CE$10,'VK-Transport'!$C:$X,2+$B126,0))+IF(CE$8="X",VLOOKUP(CE$10,'VK-Elekter'!$C:$X,2+$D126,0))+IF(CE$9="X",VLOOKUP(CE$10,'VK-Biokütused'!$C:$U,2+$E126,0))+IF(CE$5="X",VLOOKUP(CE$10,'VK-Põlevkivi'!$C:$X,2+$G126,0))+IF(CE$4="X",VLOOKUP(CE$10,'VK-Võrgud'!$C:$X,2+$F126,0)))/16</f>
        <v>24.15625</v>
      </c>
      <c r="CF126" s="209"/>
      <c r="CG126" s="209">
        <f>(IF(CG$7="X",VLOOKUP(CG$10,'VK-Hooned-Soojus'!$C:$X,2+$C126,FALSE),0)+IF(CG$6="X",VLOOKUP(CG$10,'VK-Transport'!$C:$X,2+$B126,0))+IF(CG$8="X",VLOOKUP(CG$10,'VK-Elekter'!$C:$X,2+$D126,0))+IF(CG$9="X",VLOOKUP(CG$10,'VK-Biokütused'!$C:$U,2+$E126,0))+IF(CG$5="X",VLOOKUP(CG$10,'VK-Põlevkivi'!$C:$X,2+$G126,0))+IF(CG$4="X",VLOOKUP(CG$10,'VK-Võrgud'!$C:$X,2+$F126,0)))/16</f>
        <v>0</v>
      </c>
      <c r="CH126" s="209">
        <f>(IF(CH$7="X",VLOOKUP(CH$10,'VK-Hooned-Soojus'!$C:$X,2+$C126,FALSE),0)+IF(CH$6="X",VLOOKUP(CH$10,'VK-Transport'!$C:$X,2+$B126,0))+IF(CH$8="X",VLOOKUP(CH$10,'VK-Elekter'!$C:$X,2+$D126,0))+IF(CH$9="X",VLOOKUP(CH$10,'VK-Biokütused'!$C:$U,2+$E126,0))+IF(CH$5="X",VLOOKUP(CH$10,'VK-Põlevkivi'!$C:$X,2+$G126,0))+IF(CH$4="X",VLOOKUP(CH$10,'VK-Võrgud'!$C:$X,2+$F126,0)))/20*0.21</f>
        <v>11.225549999999998</v>
      </c>
      <c r="CI126" s="209"/>
      <c r="CJ126" s="209">
        <f>(IF(CJ$7="X",VLOOKUP(CJ$10,'VK-Hooned-Soojus'!$C:$X,2+$C126,FALSE),0)+IF(CJ$6="X",VLOOKUP(CJ$10,'VK-Transport'!$C:$X,2+$B126,0))+IF(CJ$8="X",VLOOKUP(CJ$10,'VK-Elekter'!$C:$X,2+$D126,0))+IF(CJ$9="X",VLOOKUP(CJ$10,'VK-Biokütused'!$C:$U,2+$E126,0))+IF(CJ$5="X",VLOOKUP(CJ$10,'VK-Põlevkivi'!$C:$X,2+$G126,0))+IF(CJ$4="X",VLOOKUP(CJ$10,'VK-Võrgud'!$C:$X,2+$F126,0)))/1000</f>
        <v>16.731721793242819</v>
      </c>
      <c r="CK126" s="209">
        <f>(IF(CK$7="X",VLOOKUP(CK$10,'VK-Hooned-Soojus'!$C:$X,2+$C126,FALSE),0)+IF(CK$6="X",VLOOKUP(CK$10,'VK-Transport'!$C:$X,2+$B126,0))+IF(CK$8="X",VLOOKUP(CK$10,'VK-Elekter'!$C:$X,2+$D126,0))+IF(CK$9="X",VLOOKUP(CK$10,'VK-Biokütused'!$C:$U,2+$E126,0))+IF(CK$5="X",VLOOKUP(CK$10,'VK-Põlevkivi'!$C:$X,2+$G126,0))+IF(CK$4="X",VLOOKUP(CK$10,'VK-Võrgud'!$C:$X,2+$F126,0)))/1000</f>
        <v>6.6556988012134219</v>
      </c>
      <c r="CL126" s="235">
        <f>(IF(CL$7="X",VLOOKUP(CL$10,'VK-Hooned-Soojus'!$C:$X,2+$C126,FALSE),0)+IF(CL$6="X",VLOOKUP(CL$10,'VK-Transport'!$C:$X,2+$B126,0))+IF(CL$8="X",VLOOKUP(CL$10,'VK-Elekter'!$C:$X,2+$D126,0))+IF(CL$9="X",VLOOKUP(CL$10,'VK-Biokütused'!$C:$U,2+$E126,0)))/1000</f>
        <v>3.8233975506064017</v>
      </c>
      <c r="CM126" s="209">
        <f>(IF(CM$7="X",VLOOKUP(CM$10,'VK-Hooned-Soojus'!$C:$X,2+$C126,FALSE),0)+IF(CM$6="X",VLOOKUP(CM$10,'VK-Transport'!$C:$X,2+$B126,0))+IF(CM$8="X",VLOOKUP(CM$10,'VK-Elekter'!$C:$X,2+$D126,0))+IF(CM$9="X",VLOOKUP(CM$10,'VK-Biokütused'!$C:$U,2+$E126,0))+IF(CM$5="X",VLOOKUP(CM$10,'VK-Põlevkivi'!$C:$X,2+$G126,0))+IF(CM$4="X",VLOOKUP(CM$10,'VK-Võrgud'!$C:$X,2+$F126,0)))/1000</f>
        <v>7.7898313570900957</v>
      </c>
      <c r="CN126" s="209">
        <f>(IF(CN$7="X",VLOOKUP(CN$10,'VK-Hooned-Soojus'!$C:$X,2+$C126,FALSE),0)+IF(CN$6="X",VLOOKUP(CN$10,'VK-Transport'!$C:$X,2+$B126,0))+IF(CN$8="X",VLOOKUP(CN$10,'VK-Elekter'!$C:$X,2+$D126,0))+IF(CN$9="X",VLOOKUP(CN$10,'VK-Biokütused'!$C:$U,2+$E126,0))+IF(CN$5="X",VLOOKUP(CN$10,'VK-Põlevkivi'!$C:$X,2+$G126,0))+IF(CN$4="X",VLOOKUP(CN$10,'VK-Võrgud'!$C:$X,2+$F126,0)))/1000</f>
        <v>2.8759999999999999</v>
      </c>
      <c r="CO126" s="209">
        <f>(IF(CO$7="X",VLOOKUP(CO$10,'VK-Hooned-Soojus'!$C:$X,2+$C126,FALSE),0)+IF(CO$6="X",VLOOKUP(CO$10,'VK-Transport'!$C:$X,2+$B126,0))+IF(CO$8="X",VLOOKUP(CO$10,'VK-Elekter'!$C:$X,2+$D126,0))+IF(CO$9="X",VLOOKUP(CO$10,'VK-Biokütused'!$C:$U,2+$E126,0))+IF(CO$5="X",VLOOKUP(CO$10,'VK-Põlevkivi'!$C:$X,2+$G126,0))+IF(CO$4="X",VLOOKUP(CO$10,'VK-Võrgud'!$C:$X,2+$F126,0)))/1000</f>
        <v>22.515362337356994</v>
      </c>
      <c r="CP126" s="209">
        <f>(IF(CP$7="X",VLOOKUP(CP$10,'VK-Hooned-Soojus'!$C:$X,2+$C126,FALSE),0)+IF(CP$6="X",VLOOKUP(CP$10,'VK-Transport'!$C:$X,2+$B126,0))+IF(CP$8="X",VLOOKUP(CP$10,'VK-Elekter'!$C:$X,2+$D126,0))+IF(CP$9="X",VLOOKUP(CP$10,'VK-Biokütused'!$C:$U,2+$E126,0))+IF(CP$5="X",VLOOKUP(CP$10,'VK-Põlevkivi'!$C:$X,2+$G126,0))+IF(CP$4="X",VLOOKUP(CP$10,'VK-Võrgud'!$C:$X,2+$F126,0)))/1000</f>
        <v>6.657392120693661</v>
      </c>
      <c r="CQ126" s="235">
        <f>(IF(CQ$7="X",VLOOKUP(CQ$10,'VK-Hooned-Soojus'!$C:$X,2+$C126,FALSE),0)+IF(CQ$6="X",VLOOKUP(CQ$10,'VK-Transport'!$C:$X,2+$B126,0))+IF(CQ$8="X",VLOOKUP(CQ$10,'VK-Elekter'!$C:$X,2+$D126,0))+IF(CQ$9="X",VLOOKUP(CQ$10,'VK-Biokütused'!$C:$U,2+$E126,0)))/1000</f>
        <v>4.7259190000000002</v>
      </c>
      <c r="CR126" s="209">
        <f>(IF(CR$7="X",VLOOKUP(CR$10,'VK-Hooned-Soojus'!$C:$X,2+$C126,FALSE),0)+IF(CR$6="X",VLOOKUP(CR$10,'VK-Transport'!$C:$X,2+$B126,0))+IF(CR$8="X",VLOOKUP(CR$10,'VK-Elekter'!$C:$X,2+$D126,0))+IF(CR$9="X",VLOOKUP(CR$10,'VK-Biokütused'!$C:$U,2+$E126,0))+IF(CR$5="X",VLOOKUP(CR$10,'VK-Põlevkivi'!$C:$X,2+$G126,0))+IF(CR$4="X",VLOOKUP(CR$10,'VK-Võrgud'!$C:$X,2+$F126,0)))/1000</f>
        <v>7.8497518373996886</v>
      </c>
      <c r="CS126" s="209">
        <f>(IF(CS$7="X",VLOOKUP(CS$10,'VK-Hooned-Soojus'!$C:$X,2+$C126,FALSE),0)+IF(CS$6="X",VLOOKUP(CS$10,'VK-Transport'!$C:$X,2+$B126,0))+IF(CS$8="X",VLOOKUP(CS$10,'VK-Elekter'!$C:$X,2+$D126,0))+IF(CS$9="X",VLOOKUP(CS$10,'VK-Biokütused'!$C:$U,2+$E126,0))+IF(CS$5="X",VLOOKUP(CS$10,'VK-Põlevkivi'!$C:$X,2+$G126,0))+IF(CS$4="X",VLOOKUP(CS$10,'VK-Võrgud'!$C:$X,2+$F126,0)))/1000</f>
        <v>3.8186495098622379</v>
      </c>
      <c r="CT126" s="209">
        <f>IF(CT$7="X",VLOOKUP(CT$10,'VK-Hooned-Soojus'!$C:$X,2+$C126,FALSE),0)+IF(CT$6="X",VLOOKUP(CT$10,'VK-Transport'!$C:$X,2+$B126,0))+IF(CT$8="X",VLOOKUP(CT$10,'VK-Elekter'!$C:$X,2+$D126,0))+IF(CT$9="X",VLOOKUP(CT$10,'VK-Biokütused'!$C:$U,2+$E126,0))+IF(CT$5="X",VLOOKUP(CT$10,'VK-Põlevkivi'!$C:$X,2+$G126,0))+IF(CT$4="X",VLOOKUP(CT$10,'VK-Võrgud'!$C:$X,2+$F126,0))</f>
        <v>90</v>
      </c>
      <c r="CU126" s="209">
        <f>IF(CU$7="X",VLOOKUP(CU$10,'VK-Hooned-Soojus'!$C:$X,2+$C126,FALSE),0)+IF(CU$6="X",VLOOKUP(CU$10,'VK-Transport'!$C:$X,2+$B126,0))+IF(CU$8="X",VLOOKUP(CU$10,'VK-Elekter'!$C:$X,2+$D126,0))+IF(CU$9="X",VLOOKUP(CU$10,'VK-Biokütused'!$C:$U,2+$E126,0))+IF(CU$5="X",VLOOKUP(CU$10,'VK-Põlevkivi'!$C:$X,2+$G126,0))+IF(CU$4="X",VLOOKUP(CU$10,'VK-Võrgud'!$C:$X,2+$F126,0))</f>
        <v>0.63390170511534605</v>
      </c>
      <c r="CV126" s="209">
        <f t="shared" si="84"/>
        <v>0.72887234460741657</v>
      </c>
      <c r="CW126" s="209">
        <f>(IF(CW$7="X",VLOOKUP(CW$10,'VK-Hooned-Soojus'!$C:$X,2+$C126,FALSE),0)+IF(CW$6="X",VLOOKUP(CW$10,'VK-Transport'!$C:$X,2+$B126,0))+IF(CW$8="X",VLOOKUP(CW$10,'VK-Elekter'!$C:$X,2+$D126,0))+IF(CW$9="X",VLOOKUP(CW$10,'VK-Biokütused'!$C:$U,2+$E126,0))+IF(CW$5="X",VLOOKUP(CW$10,'VK-Põlevkivi'!$C:$X,2+$G126,0))+IF(CW$4="X",VLOOKUP(CW$10,'VK-Võrgud'!$C:$X,2+$F126,0)))/16</f>
        <v>59.743749999999999</v>
      </c>
      <c r="CY126" s="209">
        <f>(IF(CY$7="X",VLOOKUP(CY$10,'VK-Hooned-Soojus'!$C:$X,2+$C126,FALSE),0)+IF(CY$6="X",VLOOKUP(CY$10,'VK-Transport'!$C:$X,2+$B126,0))+IF(CY$8="X",VLOOKUP(CY$10,'VK-Elekter'!$C:$X,2+$D126,0))+IF(CY$9="X",VLOOKUP(CY$10,'VK-Biokütused'!$C:$U,2+$E126,0))+IF(CY$5="X",VLOOKUP(CY$10,'VK-Põlevkivi'!$C:$X,2+$G126,0))+IF(CY$4="X",VLOOKUP(CY$10,'VK-Võrgud'!$C:$X,2+$F126,0)))/1000</f>
        <v>9.4369999999999994</v>
      </c>
      <c r="CZ126" s="209">
        <f>(IF(CZ$7="X",VLOOKUP(CZ$10,'VK-Hooned-Soojus'!$C:$X,2+$C126,FALSE),0)+IF(CZ$6="X",VLOOKUP(CZ$10,'VK-Transport'!$C:$X,2+$B126,0))+IF(CZ$8="X",VLOOKUP(CZ$10,'VK-Elekter'!$C:$X,2+$D126,0))+IF(CZ$9="X",VLOOKUP(CZ$10,'VK-Biokütused'!$C:$U,2+$E126,0))+IF(CZ$5="X",VLOOKUP(CZ$10,'VK-Põlevkivi'!$C:$X,2+$G126,0))+IF(CZ$4="X",VLOOKUP(CZ$10,'VK-Võrgud'!$C:$X,2+$F126,0)))</f>
        <v>74.400000000000006</v>
      </c>
      <c r="DA126" s="209">
        <f>(IF(DA$7="X",VLOOKUP(DA$10,'VK-Hooned-Soojus'!$C:$X,2+$C126,FALSE),0)+IF(DA$6="X",VLOOKUP(DA$10,'VK-Transport'!$C:$X,2+$B126,0))+IF(DA$8="X",VLOOKUP(DA$10,'VK-Elekter'!$C:$X,2+$D126,0))+IF(DA$9="X",VLOOKUP(DA$10,'VK-Biokütused'!$C:$U,2+$E126,0))+IF(DA$5="X",VLOOKUP(DA$10,'VK-Põlevkivi'!$C:$X,2+$G126,0))+IF(DA$4="X",VLOOKUP(DA$10,'VK-Võrgud'!$C:$X,2+$F126,0)))/1000</f>
        <v>8.859</v>
      </c>
      <c r="DB126" s="209">
        <f>(IF(DB$7="X",VLOOKUP(DB$10,'VK-Hooned-Soojus'!$C:$X,2+$C126,FALSE),0)+IF(DB$6="X",VLOOKUP(DB$10,'VK-Transport'!$C:$X,2+$B126,0))+IF(DB$8="X",VLOOKUP(DB$10,'VK-Elekter'!$C:$X,2+$D126,0))+IF(DB$9="X",VLOOKUP(DB$10,'VK-Biokütused'!$C:$U,2+$E126,0))+IF(DB$5="X",VLOOKUP(DB$10,'VK-Põlevkivi'!$C:$X,2+$G126,0))+IF(DB$4="X",VLOOKUP(DB$10,'VK-Võrgud'!$C:$X,2+$F126,0)))/1000/3.6</f>
        <v>35.532222222222224</v>
      </c>
      <c r="DC126" s="209">
        <f>(IF(DC$7="X",VLOOKUP(DC$10,'VK-Hooned-Soojus'!$C:$X,2+$C126,FALSE),0)+IF(DC$6="X",VLOOKUP(DC$10,'VK-Transport'!$C:$X,2+$B126,0))+IF(DC$8="X",VLOOKUP(DC$10,'VK-Elekter'!$C:$X,2+$D126,0))+IF(DC$9="X",VLOOKUP(DC$10,'VK-Biokütused'!$C:$U,2+$E126,0))+IF(DC$5="X",VLOOKUP(DC$10,'VK-Põlevkivi'!$C:$X,2+$G126,0))+IF(DC$4="X",VLOOKUP(DC$10,'VK-Võrgud'!$C:$X,2+$F126,0)))/1000000</f>
        <v>3.7427959999999998</v>
      </c>
      <c r="DD126" s="209"/>
      <c r="DE126" s="88">
        <f>VLOOKUP(Tulemused!$BN$12,data!M$7:N$12,2,FALSE)-SUM(L126,M126)</f>
        <v>-5.2509373024363981E-2</v>
      </c>
      <c r="DF126" s="209" t="str">
        <f>IF(AZ126&lt;=VLOOKUP(Tulemused!$BN$15,data!$E$36:$F$39,2,FALSE),"JAH","EI")</f>
        <v>JAH</v>
      </c>
      <c r="DG126" s="209"/>
      <c r="DH126" s="209">
        <f t="shared" si="85"/>
        <v>10.870000000000001</v>
      </c>
      <c r="DI126" s="231" t="str">
        <f t="shared" si="65"/>
        <v>EI</v>
      </c>
      <c r="DK126" s="232">
        <f t="shared" si="86"/>
        <v>-989.16212758720189</v>
      </c>
      <c r="DM126" s="233">
        <f t="shared" si="87"/>
        <v>-997.82514084694299</v>
      </c>
      <c r="DN126" s="87">
        <f t="array" ref="DN126">INDEX($A$11:$A$145, SMALL(IF(DM126=$DK$11:$DK$145, MATCH(ROW($DK$11:$DK$145), ROW($DK$11:$DK$145))), SUM(--(DM126=$DM$11:DM126))))</f>
        <v>32</v>
      </c>
      <c r="DP126" s="87" t="e">
        <f t="shared" ca="1" si="66"/>
        <v>#N/A</v>
      </c>
      <c r="DQ126" s="87" t="e">
        <f t="shared" ca="1" si="67"/>
        <v>#N/A</v>
      </c>
      <c r="DR126" s="87">
        <f t="shared" ca="1" si="68"/>
        <v>0</v>
      </c>
      <c r="DS126" s="87" t="e">
        <f t="shared" ca="1" si="69"/>
        <v>#N/A</v>
      </c>
      <c r="DT126" s="87">
        <f t="shared" ca="1" si="70"/>
        <v>0</v>
      </c>
      <c r="DU126" s="87" t="e">
        <f t="shared" ca="1" si="71"/>
        <v>#N/A</v>
      </c>
      <c r="DV126" s="87" t="e">
        <f t="shared" ca="1" si="72"/>
        <v>#N/A</v>
      </c>
      <c r="DW126" s="87">
        <f t="shared" ca="1" si="73"/>
        <v>0</v>
      </c>
      <c r="DX126" s="87">
        <f t="shared" ca="1" si="74"/>
        <v>0</v>
      </c>
      <c r="DZ126" s="87">
        <f t="shared" ca="1" si="82"/>
        <v>0</v>
      </c>
      <c r="EB126" s="87">
        <f t="shared" ca="1" si="75"/>
        <v>0</v>
      </c>
      <c r="EC126" s="87" t="e">
        <f t="shared" ca="1" si="76"/>
        <v>#N/A</v>
      </c>
      <c r="EE126" s="228">
        <f>(IF(EE$7="X",VLOOKUP(EE$10,'VK-Hooned-Soojus'!$C:$X,2+$C126,FALSE),0)+IF(EE$6="X",VLOOKUP(EE$10,'VK-Transport'!$C:$X,2+$B126,0))+IF(EE$8="X",VLOOKUP(EE$10,'VK-Elekter'!$C:$X,2+$D126,0))+IF(EE$9="X",VLOOKUP(EE$10,'VK-Biokütused'!$C:$U,2+$E126,0))+IF(EE$5="X",VLOOKUP(EE$10,'VK-Põlevkivi'!$C:$X,2+$G126,0))+IF(EE$4="X",VLOOKUP(EE$10,'VK-Võrgud'!$C:$X,2+$F126,0)))</f>
        <v>9018.0929269768058</v>
      </c>
      <c r="EF126" s="235">
        <f>(IF(EF$7="X",VLOOKUP(EF$10,'VK-Hooned-Soojus'!$C:$X,2+$C126,FALSE),0)+IF(EF$6="X",VLOOKUP(EF$10,'VK-Transport'!$C:$X,2+$B126,0))+IF(EF$8="X",VLOOKUP(EF$10,'VK-Elekter'!$C:$X,2+$D126,0))+IF(EF$9="X",VLOOKUP(EF$10,'VK-Biokütused'!$C:$U,2+$E126,0)))/1000</f>
        <v>1.97688499063732</v>
      </c>
      <c r="EG126" s="209">
        <f>(IF(EG$7="X",VLOOKUP(EG$10,'VK-Hooned-Soojus'!$C:$X,2+$C126,FALSE),0)+IF(EG$6="X",VLOOKUP(EG$10,'VK-Transport'!$C:$X,2+$B126,0))+IF(EG$8="X",VLOOKUP(EG$10,'VK-Elekter'!$C:$X,2+$D126,0))+IF(EG$9="X",VLOOKUP(EG$10,'VK-Biokütused'!$C:$U,2+$E126,0))+IF(EG$5="X",VLOOKUP(EG$10,'VK-Põlevkivi'!$C:$X,2+$G126,0))+IF(EG$4="X",VLOOKUP(EG$10,'VK-Võrgud'!$C:$X,2+$F126,0)))</f>
        <v>0.81</v>
      </c>
      <c r="EH126" s="209">
        <f>(IF(EH$7="X",VLOOKUP(EH$10,'VK-Hooned-Soojus'!$C:$X,2+$C126,FALSE),0)+IF(EH$6="X",VLOOKUP(EH$10,'VK-Transport'!$C:$X,2+$B126,0))+IF(EH$8="X",VLOOKUP(EH$10,'VK-Elekter'!$C:$X,2+$D126,0))+IF(EH$9="X",VLOOKUP(EH$10,'VK-Biokütused'!$C:$U,2+$E126,0)))+AR126+AS126+AU126+AX126</f>
        <v>40.185404480632251</v>
      </c>
      <c r="EI126" s="320">
        <f t="shared" si="88"/>
        <v>40.166388888888889</v>
      </c>
      <c r="EJ126" s="322">
        <f t="shared" si="89"/>
        <v>2.4608217929567841E-2</v>
      </c>
      <c r="EK126" s="323">
        <f t="shared" si="77"/>
        <v>0.54282086356383619</v>
      </c>
      <c r="EM126" s="209"/>
      <c r="EN126" s="209">
        <f t="shared" ca="1" si="90"/>
        <v>0</v>
      </c>
      <c r="EO126" s="209"/>
      <c r="EP126" s="234"/>
      <c r="EQ126" s="209">
        <f>(IF(EQ$7="X",VLOOKUP(EQ$10,'VK-Hooned-Soojus'!$C:$X,2+$C126,FALSE),0)+IF(EQ$6="X",VLOOKUP(EQ$10,'VK-Transport'!$C:$X,2+$B126,0))+IF(EQ$8="X",VLOOKUP(EQ$10,'VK-Elekter'!$C:$X,2+$D126,0))+IF(EQ$9="X",VLOOKUP(EQ$10,'VK-Biokütused'!$C:$U,2+$E126,0))+IF(EQ$5="X",VLOOKUP(EQ$10,'VK-Põlevkivi'!$C:$X,2+$G126,0))+IF(EQ$4="X",VLOOKUP(EQ$10,'VK-Võrgud'!$C:$X,2+$F126,0)))/1000</f>
        <v>0.21099999999999999</v>
      </c>
      <c r="ER126" s="209">
        <f>(IF(ER$7="X",VLOOKUP(ER$10,'VK-Hooned-Soojus'!$C:$X,2+$C126,FALSE),0)+IF(ER$6="X",VLOOKUP(ER$10,'VK-Transport'!$C:$X,2+$B126,0))+IF(ER$8="X",VLOOKUP(ER$10,'VK-Elekter'!$C:$X,2+$D126,0))+IF(ER$9="X",VLOOKUP(ER$10,'VK-Biokütused'!$C:$U,2+$E126,0))+IF(ER$5="X",VLOOKUP(ER$10,'VK-Põlevkivi'!$C:$X,2+$G126,0))+IF(ER$4="X",VLOOKUP(ER$10,'VK-Võrgud'!$C:$X,2+$F126,0)))</f>
        <v>0.76300000000000001</v>
      </c>
      <c r="ES126" s="209">
        <f>(IF(ES$7="X",VLOOKUP(ES$10,'VK-Hooned-Soojus'!$C:$X,2+$C126,FALSE),0)+IF(ES$6="X",VLOOKUP(ES$10,'VK-Transport'!$C:$X,2+$B126,0))+IF(ES$8="X",VLOOKUP(ES$10,'VK-Elekter'!$C:$X,2+$D126,0))+IF(ES$9="X",VLOOKUP(ES$10,'VK-Biokütused'!$C:$U,2+$E126,0))+IF(ES$5="X",VLOOKUP(ES$10,'VK-Põlevkivi'!$C:$X,2+$G126,0))+IF(ES$4="X",VLOOKUP(ES$10,'VK-Võrgud'!$C:$X,2+$F126,0)))</f>
        <v>10.870000000000001</v>
      </c>
      <c r="ET126" s="209"/>
      <c r="EU126" s="209"/>
      <c r="EV126" s="87">
        <f>'KSH järjestus'!AS119</f>
        <v>812</v>
      </c>
      <c r="EZ126" s="237">
        <f t="shared" si="91"/>
        <v>0.36609829488465395</v>
      </c>
      <c r="FA126" s="209">
        <f>IF(FA$7="X",VLOOKUP(FA$10,'VK-Hooned-Soojus'!$C:$X,2+$C126,FALSE),0)+IF(FA$6="X",VLOOKUP(FA$10,'VK-Transport'!$C:$X,2+$B126,0))+IF(FA$8="X",VLOOKUP(FA$10,'VK-Elekter'!$C:$X,2+$D126,0))+IF(FA$9="X",VLOOKUP(FA$10,'VK-Biokütused'!$C:$U,2+$E126,0))+IF(FA$5="X",VLOOKUP(FA$10,'VK-Põlevkivi'!$C:$X,2+$G126,0))+IF(FA$4="X",VLOOKUP(FA$10,'VK-Võrgud'!$C:$X,2+$F126,0))</f>
        <v>2914.9189999999999</v>
      </c>
      <c r="FB126" s="279">
        <f>(IF(FB$7="X",VLOOKUP(FB$10,'VK-Hooned-Soojus'!$C:$X,2+$C126,FALSE),0)+IF(FB$6="X",VLOOKUP(FB$10,'VK-Transport'!$C:$X,2+$B126,0))+IF(FB$8="X",VLOOKUP(FB$10,'VK-Elekter'!$C:$X,2+$D126,0))+IF(FB$9="X",VLOOKUP(FB$10,'VK-Biokütused'!$C:$U,2+$E126,0))+IF(FB$5="X",VLOOKUP(FB$10,'VK-Põlevkivi'!$C:$X,2+$G126,0))+IF(FB$4="X",VLOOKUP(FB$10,'VK-Võrgud'!$C:$X,2+$F126,0)))/16</f>
        <v>491.45742859329005</v>
      </c>
      <c r="FC126" s="209">
        <f>IF(FC$7="X",VLOOKUP(FC$10,'VK-Hooned-Soojus'!$C:$X,2+$C126,FALSE),0)+IF(FC$6="X",VLOOKUP(FC$10,'VK-Transport'!$C:$X,2+$B126,0))+IF(FC$8="X",VLOOKUP(FC$10,'VK-Elekter'!$C:$X,2+$D126,0))+IF(FC$9="X",VLOOKUP(FC$10,'VK-Biokütused'!$C:$U,2+$E126,0))+IF(FC$5="X",VLOOKUP(FC$10,'VK-Põlevkivi'!$C:$X,2+$G126,0))+IF(FC$4="X",VLOOKUP(FC$10,'VK-Võrgud'!$C:$X,2+$F126,0))</f>
        <v>294.5</v>
      </c>
      <c r="FD126" s="209">
        <f>(IF(FD$7="X",VLOOKUP(FD$10,'VK-Hooned-Soojus'!$C:$X,2+$C126,FALSE),0)+IF(FD$6="X",VLOOKUP(FD$10,'VK-Transport'!$C:$X,2+$B126,0))+IF(FD$8="X",VLOOKUP(FD$10,'VK-Elekter'!$C:$X,2+$D126,0))+IF(FD$9="X",VLOOKUP(FD$10,'VK-Biokütused'!$C:$U,2+$E126,0))+IF(FD$5="X",VLOOKUP(FD$10,'VK-Põlevkivi'!$C:$X,2+$G126,0))+IF(FD$4="X",VLOOKUP(FD$10,'VK-Võrgud'!$C:$X,2+$F126,0)))/16</f>
        <v>491.45742859329005</v>
      </c>
      <c r="FE126" s="209">
        <f>(IF(FE$7="X",VLOOKUP(FE$10,'VK-Hooned-Soojus'!$C:$X,2+$C126,FALSE),0)+IF(FE$6="X",VLOOKUP(FE$10,'VK-Transport'!$C:$X,2+$B126,0))+IF(FE$8="X",VLOOKUP(FE$10,'VK-Elekter'!$C:$X,2+$D126,0))+IF(FE$9="X",VLOOKUP(FE$10,'VK-Biokütused'!$C:$U,2+$E126,0))+IF(FE$5="X",VLOOKUP(FE$10,'VK-Põlevkivi'!$C:$X,2+$G126,0))+IF(FE$4="X",VLOOKUP(FE$10,'VK-Võrgud'!$C:$X,2+$F126,0)))/16</f>
        <v>-92.530719880632105</v>
      </c>
      <c r="FF126" s="209">
        <f>(IF(FF$7="X",VLOOKUP(FF$10,'VK-Hooned-Soojus'!$C:$X,2+$C126,FALSE),0)+IF(FF$6="X",VLOOKUP(FF$10,'VK-Transport'!$C:$X,2+$B126,0))+IF(FF$8="X",VLOOKUP(FF$10,'VK-Elekter'!$C:$X,2+$D126,0))+IF(FF$9="X",VLOOKUP(FF$10,'VK-Biokütused'!$C:$U,2+$E126,0))+IF(FF$5="X",VLOOKUP(FF$10,'VK-Põlevkivi'!$C:$X,2+$G126,0))+IF(FF$4="X",VLOOKUP(FF$10,'VK-Võrgud'!$C:$X,2+$F126,0)))/16</f>
        <v>213.97744053430469</v>
      </c>
      <c r="FG126" s="88">
        <f t="shared" ca="1" si="78"/>
        <v>121.44672065367259</v>
      </c>
      <c r="FH126" s="88"/>
      <c r="FI126" s="88"/>
      <c r="FJ126" s="88">
        <f>VLOOKUP(Tulemused!$BN$12,data!M$7:N$12,2,FALSE)-SUM(L126,M126)</f>
        <v>-5.2509373024363981E-2</v>
      </c>
      <c r="FK126" s="209" t="str">
        <f>IF(AZ126&lt;=VLOOKUP(Tulemused!$BN$15,data!$E$36:$F$39,2,FALSE),"JAH","EI")</f>
        <v>JAH</v>
      </c>
      <c r="FL126" s="235">
        <f ca="1">IF(ISNA(MATCH($A126,INDIRECT(VLOOKUP(Tulemused!$BF$11,data!$J$57:$M$71,4,FALSE)))),0,MATCH($A126,INDIRECT(VLOOKUP(Tulemused!$BF$11,data!$J$57:$M$71,4,FALSE))))</f>
        <v>0</v>
      </c>
      <c r="FM126" s="235" t="str">
        <f t="shared" ca="1" si="92"/>
        <v>JAH</v>
      </c>
      <c r="FN126" s="209">
        <f>VLOOKUP(Tulemused!$BN$13,data!$C$132:$D$137,2,FALSE)-KOMBI!R126</f>
        <v>4.6715850093626807</v>
      </c>
      <c r="FO126" s="209"/>
      <c r="FP126" s="209">
        <f>VLOOKUP(Tulemused!$BN$17,NO_x,2,FALSE)-CJ126</f>
        <v>12.70627820675718</v>
      </c>
      <c r="FQ126" s="209">
        <f>VLOOKUP(Tulemused!$BN$18,SO_2,2,FALSE)-CK126</f>
        <v>45.228301198786582</v>
      </c>
      <c r="FR126" s="209">
        <f>VLOOKUP(Tulemused!$BN$19,LOU,2,FALSE)-CN126</f>
        <v>34.204000000000008</v>
      </c>
      <c r="FS126" s="209">
        <f>VLOOKUP(Tulemused!$BN$20,PM_2.5,2,FALSE)-CM126</f>
        <v>9.1251686429099035</v>
      </c>
      <c r="FT126" s="209">
        <f>VLOOKUP(Tulemused!$BN$13,data!$C$132:$D$137,2,FALSE)-FA126/1000</f>
        <v>3.3310510000000009</v>
      </c>
      <c r="FU126" s="209">
        <f>VLOOKUP(Tulemused!$BN$17,NO_x,2,FALSE)-CO126</f>
        <v>6.9226376626430053</v>
      </c>
      <c r="FV126" s="209">
        <f>VLOOKUP(Tulemused!$BN$18,SO_2,2,FALSE)-CP126</f>
        <v>45.226607879306343</v>
      </c>
      <c r="FW126" s="209">
        <f>VLOOKUP(Tulemused!$BN$19,LOU,2,FALSE)-CS126</f>
        <v>33.261350490137765</v>
      </c>
      <c r="FX126" s="209">
        <f>VLOOKUP(Tulemused!$BN$20,PM_2.5,2,FALSE)-CR126</f>
        <v>9.0652481626003105</v>
      </c>
      <c r="FY126" s="209">
        <f>VLOOKUP(Tulemused!$BN$14,KHG_2050,2,FALSE)-EF126</f>
        <v>98.023115009362684</v>
      </c>
      <c r="FZ126" s="231" t="str">
        <f t="shared" ca="1" si="79"/>
        <v>EI</v>
      </c>
      <c r="GA126" s="209"/>
      <c r="GB126" s="209"/>
      <c r="GC126" s="209"/>
      <c r="GD126" s="231"/>
      <c r="GE126" s="87">
        <f t="shared" si="93"/>
        <v>812</v>
      </c>
      <c r="GF126" s="232" t="str">
        <f t="shared" ca="1" si="80"/>
        <v/>
      </c>
      <c r="GH126" s="238" t="e">
        <f t="shared" ca="1" si="94"/>
        <v>#NUM!</v>
      </c>
      <c r="GI126" s="87" t="e">
        <f t="array" aca="1" ref="GI126" ca="1">INDEX($A$11:$A$145, SMALL(IF(GH126=$GF$11:$GF$145, MATCH(ROW($GF$11:$GF$145), ROW($GF$11:$GF$145))), SUM(--(GH126=$GH$11:GH126))))</f>
        <v>#NUM!</v>
      </c>
      <c r="GM126" s="209">
        <f>IF(GM$7="X",VLOOKUP(GM$10,'VK-Hooned-Soojus'!$C:$X,2+$C126,FALSE),0)+IF(GM$6="X",VLOOKUP(GM$10,'VK-Transport'!$C:$X,2+$B126,0))+IF(GM$8="X",VLOOKUP(GM$10,'VK-Elekter'!$C:$X,2+$D126,0))+IF(GM$9="X",VLOOKUP(GM$10,'VK-Biokütused'!$C:$U,2+$E126,0))+IF(GM$5="X",VLOOKUP(GM$10,'VK-Põlevkivi'!$C:$X,2+$G126,0))+IF(GM$4="X",VLOOKUP(GM$10,'VK-Võrgud'!$C:$X,2+$F126,0))</f>
        <v>0</v>
      </c>
      <c r="GN126" s="209">
        <f>IF(GN$7="X",VLOOKUP(GN$10,'VK-Hooned-Soojus'!$C:$X,2+$C126,FALSE),0)+IF(GN$6="X",VLOOKUP(GN$10,'VK-Transport'!$C:$X,2+$B126,0))+IF(GN$8="X",VLOOKUP(GN$10,'VK-Elekter'!$C:$X,2+$D126,0))+IF(GN$9="X",VLOOKUP(GN$10,'VK-Biokütused'!$C:$U,2+$E126,0))+IF(GN$5="X",VLOOKUP(GN$10,'VK-Põlevkivi'!$C:$X,2+$G126,0))+IF(GN$4="X",VLOOKUP(GN$10,'VK-Võrgud'!$C:$X,2+$F126,0))</f>
        <v>7.5434676424145266</v>
      </c>
      <c r="GO126" s="209">
        <f>IF(GO$7="X",VLOOKUP(GO$10,'VK-Hooned-Soojus'!$C:$X,2+$C126,FALSE),0)+IF(GO$6="X",VLOOKUP(GO$10,'VK-Transport'!$C:$X,2+$B126,0))+IF(GO$8="X",VLOOKUP(GO$10,'VK-Elekter'!$C:$X,2+$D126,0))+IF(GO$9="X",VLOOKUP(GO$10,'VK-Biokütused'!$C:$U,2+$E126,0))+IF(GO$5="X",VLOOKUP(GO$10,'VK-Põlevkivi'!$C:$X,2+$G126,0))+IF(GO$4="X",VLOOKUP(GO$10,'VK-Võrgud'!$C:$X,2+$F126,0))</f>
        <v>7.936370010272257</v>
      </c>
      <c r="GP126" s="209">
        <f>IF(GP$7="X",VLOOKUP(GP$10,'VK-Hooned-Soojus'!$C:$X,2+$C126,FALSE),0)+IF(GP$6="X",VLOOKUP(GP$10,'VK-Transport'!$C:$X,2+$B126,0))+IF(GP$8="X",VLOOKUP(GP$10,'VK-Elekter'!$C:$X,2+$D126,0))+IF(GP$9="X",VLOOKUP(GP$10,'VK-Biokütused'!$C:$U,2+$E126,0))+IF(GP$5="X",VLOOKUP(GP$10,'VK-Põlevkivi'!$C:$X,2+$G126,0))+IF(GP$4="X",VLOOKUP(GP$10,'VK-Võrgud'!$C:$X,2+$F126,0))</f>
        <v>9.1527946929596489</v>
      </c>
      <c r="GQ126" s="88">
        <f>IF(GQ$7="X",VLOOKUP(GQ$10,'VK-Hooned-Soojus'!$C:$X,2+$C126,FALSE),0)+IF(GQ$6="X",VLOOKUP(GQ$10,'VK-Transport'!$C:$X,2+$B126,0))+IF(GQ$8="X",VLOOKUP(GQ$10,'VK-Elekter'!$C:$X,2+$D126,0))+IF(GQ$9="X",VLOOKUP(GQ$10,'VK-Biokütused'!$C:$U,2+$E126,0))+IF(GQ$5="X",VLOOKUP(GQ$10,'VK-Põlevkivi'!$C:$X,2+$G126,0))+IF(GQ$4="X",VLOOKUP(GQ$10,'VK-Võrgud'!$C:$X,2+$F126,0))</f>
        <v>0.89042766952822527</v>
      </c>
      <c r="GR126" s="186">
        <f t="shared" si="81"/>
        <v>0.53478864393255998</v>
      </c>
    </row>
    <row r="127" spans="1:200" x14ac:dyDescent="0.2">
      <c r="A127" s="184">
        <v>117</v>
      </c>
      <c r="B127" s="87">
        <v>3</v>
      </c>
      <c r="C127" s="87">
        <v>2</v>
      </c>
      <c r="D127" s="87">
        <v>4</v>
      </c>
      <c r="E127" s="87">
        <v>3</v>
      </c>
      <c r="F127" s="87">
        <f>VLOOKUP(Tulemused!$BF$7,data!$J$6:$K$8,2,FALSE)</f>
        <v>2</v>
      </c>
      <c r="G127" s="87">
        <f>VLOOKUP(data!$H$2,data!$J$12:$K$14,2,FALSE)</f>
        <v>2</v>
      </c>
      <c r="I127" s="209">
        <f>IF(I$7="X",VLOOKUP(I$10,'VK-Hooned-Soojus'!$C:$X,2+$C127,FALSE),0)+IF(I$6="X",VLOOKUP(I$10,'VK-Transport'!$C:$X,2+$B127,0))+IF(I$8="X",VLOOKUP(I$10,'VK-Elekter'!$C:$X,2+$D127,0))+IF(I$9="X",VLOOKUP(I$10,'VK-Biokütused'!$C:$U,2+$E127,0))+IF(I$5="X",VLOOKUP(I$10,'VK-Põlevkivi'!$C:$X,2+$G127,0))+IF(I$4="X",VLOOKUP(I$10,'VK-Võrgud'!$C:$X,2+$F127,0))</f>
        <v>24.79</v>
      </c>
      <c r="J127" s="209">
        <f>IF(J$7="X",VLOOKUP(J$10,'VK-Hooned-Soojus'!$C:$X,2+$C127,FALSE),0)+IF(J$6="X",VLOOKUP(J$10,'VK-Transport'!$C:$X,2+$B127,0))+IF(J$8="X",VLOOKUP(J$10,'VK-Elekter'!$C:$X,2+$D127,0))+IF(J$9="X",VLOOKUP(J$10,'VK-Biokütused'!$C:$U,2+$E127,0))+IF(J$5="X",VLOOKUP(J$10,'VK-Põlevkivi'!$C:$X,2+$G127,0))+IF(J$4="X",VLOOKUP(J$10,'VK-Võrgud'!$C:$X,2+$F127,0))</f>
        <v>8.1258333333333344</v>
      </c>
      <c r="K127" s="209">
        <f>IF(K$7="X",VLOOKUP(K$10,'VK-Hooned-Soojus'!$C:$X,2+$C127,FALSE),0)+IF(K$6="X",VLOOKUP(K$10,'VK-Transport'!$C:$X,2+$B127,0))+IF(K$8="X",VLOOKUP(K$10,'VK-Elekter'!$C:$X,2+$D127,0))+IF(K$9="X",VLOOKUP(K$10,'VK-Biokütused'!$C:$U,2+$E127,0))+IF(K$5="X",VLOOKUP(K$10,'VK-Põlevkivi'!$C:$X,2+$G127,0))+IF(K$4="X",VLOOKUP(K$10,'VK-Võrgud'!$C:$X,2+$F127,0))</f>
        <v>15.27</v>
      </c>
      <c r="L127" s="209">
        <f>IF(L$7="X",VLOOKUP(L$10,'VK-Hooned-Soojus'!$C:$X,2+$C127,FALSE),0)+IF(L$6="X",VLOOKUP(L$10,'VK-Transport'!$C:$X,2+$B127,0))+IF(L$8="X",VLOOKUP(L$10,'VK-Elekter'!$C:$X,2+$D127,0))+IF(L$9="X",VLOOKUP(L$10,'VK-Biokütused'!$C:$U,2+$E127,0))+IF(L$5="X",VLOOKUP(L$10,'VK-Põlevkivi'!$C:$X,2+$G127,0))+IF(L$4="X",VLOOKUP(L$10,'VK-Võrgud'!$C:$X,2+$F127,0))</f>
        <v>24.2</v>
      </c>
      <c r="M127" s="209">
        <f>IF(M$7="X",VLOOKUP(M$10,'VK-Hooned-Soojus'!$C:$X,2+$C127,FALSE),0)+IF(M$6="X",VLOOKUP(M$10,'VK-Transport'!$C:$X,2+$B127,0))+IF(M$8="X",VLOOKUP(M$10,'VK-Elekter'!$C:$X,2+$D127,0))+IF(M$9="X",VLOOKUP(M$10,'VK-Biokütused'!$C:$U,2+$E127,0))+IF(M$5="X",VLOOKUP(M$10,'VK-Põlevkivi'!$C:$X,2+$G127,0))+IF(M$4="X",VLOOKUP(M$10,'VK-Võrgud'!$C:$X,2+$F127,0))</f>
        <v>8.68530937302436</v>
      </c>
      <c r="N127" s="209">
        <f>IF(N$7="X",VLOOKUP(N$10,'VK-Hooned-Soojus'!$C:$X,2+$C127,FALSE),0)+IF(N$6="X",VLOOKUP(N$10,'VK-Transport'!$C:$X,2+$B127,0))+IF(N$8="X",VLOOKUP(N$10,'VK-Elekter'!$C:$X,2+$D127,0))+IF(N$9="X",VLOOKUP(N$10,'VK-Biokütused'!$C:$U,2+$E127,0))+IF(N$5="X",VLOOKUP(N$10,'VK-Põlevkivi'!$C:$X,2+$G127,0))+IF(N$4="X",VLOOKUP(N$10,'VK-Võrgud'!$C:$X,2+$F127,0))</f>
        <v>16.09</v>
      </c>
      <c r="O127" s="209">
        <f t="shared" si="60"/>
        <v>32.915833333333332</v>
      </c>
      <c r="P127" s="209"/>
      <c r="Q127" s="209">
        <f>(IF(Q$7="X",VLOOKUP(Q$10,'VK-Hooned-Soojus'!$C:$X,2+$C127,FALSE),0)+IF(Q$6="X",VLOOKUP(Q$10,'VK-Transport'!$C:$X,2+$B127,0))+IF(Q$8="X",VLOOKUP(Q$10,'VK-Elekter'!$C:$X,2+$D127,0))+IF(Q$9="X",VLOOKUP(Q$10,'VK-Biokütused'!$C:$U,2+$E127,0))+IF(Q$5="X",VLOOKUP(Q$10,'VK-Põlevkivi'!$C:$X,2+$G127,0))+IF(Q$4="X",VLOOKUP(Q$10,'VK-Võrgud'!$C:$X,2+$F127,0)))/1000</f>
        <v>1.337</v>
      </c>
      <c r="R127" s="209">
        <f>(IF(R$7="X",VLOOKUP(R$10,'VK-Hooned-Soojus'!$C:$X,2+$C127,FALSE),0)+IF(R$6="X",VLOOKUP(R$10,'VK-Transport'!$C:$X,2+$B127,0))+IF(R$8="X",VLOOKUP(R$10,'VK-Elekter'!$C:$X,2+$D127,0))+IF(R$9="X",VLOOKUP(R$10,'VK-Biokütused'!$C:$U,2+$E127,0))+IF(R$5="X",VLOOKUP(R$10,'VK-Põlevkivi'!$C:$X,2+$G127,0))+IF(R$4="X",VLOOKUP(R$10,'VK-Võrgud'!$C:$X,2+$F127,0)))/1000</f>
        <v>1.7830849906373201</v>
      </c>
      <c r="S127" s="226">
        <f>VLOOKUP(S$10,'VK-Hooned-Soojus'!$C:$I,2+$C127,FALSE) + VLOOKUP(S$10,'VK-Transport'!$C:$I,2+$B127,FALSE)+ VLOOKUP(S$10,'VK-Biokütused'!$C:$G,2+$E127,FALSE)+ VLOOKUP(S$10,'VK-Elekter'!$C:$I,2+$D127,FALSE)+ VLOOKUP(S$10,'VK-Põlevkivi'!$C:$I,2+$G127,FALSE)+ VLOOKUP(S$10,'VK-Võrgud'!$C:$I,2+$F127,FALSE)</f>
        <v>2.380788527127398E-2</v>
      </c>
      <c r="T127" s="226">
        <f>VLOOKUP(T$10,'VK-Hooned-Soojus'!$C:$I,2+$C127,FALSE) + VLOOKUP(T$10,'VK-Transport'!$C:$I,2+$B127,FALSE)+ VLOOKUP(T$10,'VK-Biokütused'!$C:$G,2+$E127,FALSE)+ VLOOKUP(T$10,'VK-Elekter'!$C:$I,2+$D127,FALSE)+ VLOOKUP(T$10,'VK-Põlevkivi'!$C:$I,2+$G127,FALSE)+ VLOOKUP(T$10,'VK-Võrgud'!$C:$I,2+$F127,FALSE)</f>
        <v>4.0651082554209322E-3</v>
      </c>
      <c r="U127" s="226">
        <f>VLOOKUP(U$10,'VK-Hooned-Soojus'!$C:$I,2+$C127,FALSE) + VLOOKUP(U$10,'VK-Transport'!$C:$I,2+$B127,FALSE)+ VLOOKUP(U$10,'VK-Biokütused'!$C:$G,2+$E127,FALSE)+ VLOOKUP(U$10,'VK-Elekter'!$C:$I,2+$D127,FALSE)+ VLOOKUP(U$10,'VK-Põlevkivi'!$C:$I,2+$G127,FALSE)+ VLOOKUP(U$10,'VK-Võrgud'!$C:$I,2+$F127,FALSE)</f>
        <v>6.9505105549682311E-3</v>
      </c>
      <c r="V127" s="226">
        <f>VLOOKUP(V$10,'VK-Hooned-Soojus'!$C:$I,2+$C127,FALSE) + VLOOKUP(V$10,'VK-Transport'!$C:$I,2+$B127,FALSE)+ VLOOKUP(V$10,'VK-Biokütused'!$C:$G,2+$E127,FALSE)+ VLOOKUP(V$10,'VK-Elekter'!$C:$I,2+$D127,FALSE)+ VLOOKUP(V$10,'VK-Põlevkivi'!$C:$I,2+$G127,FALSE)+ VLOOKUP(V$10,'VK-Võrgud'!$C:$I,2+$F127,FALSE)</f>
        <v>1.7041895288863913E-2</v>
      </c>
      <c r="W127" s="226">
        <f>VLOOKUP(W$10,'VK-Hooned-Soojus'!$C:$I,2+$C127,FALSE) + VLOOKUP(W$10,'VK-Transport'!$C:$I,2+$B127,FALSE)+ VLOOKUP(W$10,'VK-Biokütused'!$C:$G,2+$E127,FALSE)+ VLOOKUP(W$10,'VK-Elekter'!$C:$I,2+$D127,FALSE)+ VLOOKUP(W$10,'VK-Põlevkivi'!$C:$I,2+$G127,FALSE)+ VLOOKUP(W$10,'VK-Võrgud'!$C:$I,2+$F127,FALSE)</f>
        <v>-5.6324039080451201E-2</v>
      </c>
      <c r="X127" s="226">
        <f>VLOOKUP(X$10,'VK-Hooned-Soojus'!$C:$I,2+$C127,FALSE) + VLOOKUP(X$10,'VK-Transport'!$C:$I,2+$B127,FALSE)+ VLOOKUP(X$10,'VK-Biokütused'!$C:$G,2+$E127,FALSE)+ VLOOKUP(X$10,'VK-Elekter'!$C:$I,2+$D127,FALSE)+ VLOOKUP(X$10,'VK-Põlevkivi'!$C:$I,2+$G127,FALSE)+ VLOOKUP(X$10,'VK-Võrgud'!$C:$I,2+$F127,FALSE)</f>
        <v>-0.18937305374211882</v>
      </c>
      <c r="Y127" s="226">
        <f>VLOOKUP(Y$10,'VK-Hooned-Soojus'!$C:$I,2+$C127,FALSE) + VLOOKUP(Y$10,'VK-Transport'!$C:$I,2+$B127,FALSE)+ VLOOKUP(Y$10,'VK-Biokütused'!$C:$G,2+$E127,FALSE)+ VLOOKUP(Y$10,'VK-Elekter'!$C:$I,2+$D127,FALSE)+ VLOOKUP(Y$10,'VK-Põlevkivi'!$C:$I,2+$G127,FALSE)+ VLOOKUP(Y$10,'VK-Võrgud'!$C:$I,2+$F127,FALSE)</f>
        <v>-0.1158209043131409</v>
      </c>
      <c r="Z127" s="227">
        <f>(S127*Tulemused!$Q$9*10+T127*Tulemused!$Q$10*10+KOMBI!U127*Tulemused!$Q$11*10+KOMBI!V127*Tulemused!$Q$12*10)*Tulemused!$Q$8+-(W127*Tulemused!$Q$14*10+KOMBI!X127*Tulemused!$Q$15*10+KOMBI!Y127*Tulemused!$Q$16*10)*Tulemused!$Q$13</f>
        <v>11.742972135039613</v>
      </c>
      <c r="AA127" s="228">
        <f>(IF(AA$7="X",VLOOKUP(AA$10,'VK-Hooned-Soojus'!$C:$X,2+$C127,FALSE),0)+IF(AA$6="X",VLOOKUP(AA$10,'VK-Transport'!$C:$X,2+$B127,0))+IF(AA$8="X",VLOOKUP(AA$10,'VK-Elekter'!$C:$X,2+$D127,0))+IF(AA$9="X",VLOOKUP(AA$10,'VK-Biokütused'!$C:$U,2+$E127,0))+IF(AA$5="X",VLOOKUP(AA$10,'VK-Põlevkivi'!$C:$X,2+$G127,0))+IF(AA$4="X",VLOOKUP(AA$10,'VK-Võrgud'!$C:$X,2+$F127,0)))</f>
        <v>0</v>
      </c>
      <c r="AB127" s="228">
        <f>(IF(AB$7="X",VLOOKUP(AB$10,'VK-Hooned-Soojus'!$C:$X,2+$C127,FALSE),0)+IF(AB$6="X",VLOOKUP(AB$10,'VK-Transport'!$C:$X,2+$B127,0))+IF(AB$8="X",VLOOKUP(AB$10,'VK-Elekter'!$C:$X,2+$D127,0))+IF(AB$9="X",VLOOKUP(AB$10,'VK-Biokütused'!$C:$U,2+$E127,0))+IF(AB$5="X",VLOOKUP(AB$10,'VK-Põlevkivi'!$C:$X,2+$G127,0))+IF(AB$4="X",VLOOKUP(AB$10,'VK-Võrgud'!$C:$X,2+$F127,0)))</f>
        <v>1337</v>
      </c>
      <c r="AC127" s="228">
        <f>(IF(AC$7="X",VLOOKUP(AC$10,'VK-Hooned-Soojus'!$C:$X,2+$C127,FALSE),0)+IF(AC$6="X",VLOOKUP(AC$10,'VK-Transport'!$C:$X,2+$B127,0))+IF(AC$8="X",VLOOKUP(AC$10,'VK-Elekter'!$C:$X,2+$D127,0))+IF(AC$9="X",VLOOKUP(AC$10,'VK-Biokütused'!$C:$U,2+$E127,0))+IF(AC$5="X",VLOOKUP(AC$10,'VK-Põlevkivi'!$C:$X,2+$G127,0))+IF(AC$4="X",VLOOKUP(AC$10,'VK-Võrgud'!$C:$X,2+$F127,0)))</f>
        <v>2346</v>
      </c>
      <c r="AD127" s="228">
        <f>(IF(AD$7="X",VLOOKUP(AD$10,'VK-Hooned-Soojus'!$C:$X,2+$C127,FALSE),0)+IF(AD$6="X",VLOOKUP(AD$10,'VK-Transport'!$C:$X,2+$B127,0))+IF(AD$8="X",VLOOKUP(AD$10,'VK-Elekter'!$C:$X,2+$D127,0))+IF(AD$9="X",VLOOKUP(AD$10,'VK-Biokütused'!$C:$U,2+$E127,0))+IF(AD$5="X",VLOOKUP(AD$10,'VK-Põlevkivi'!$C:$X,2+$G127,0))+IF(AD$4="X",VLOOKUP(AD$10,'VK-Võrgud'!$C:$X,2+$F127,0)))</f>
        <v>586.20000000000005</v>
      </c>
      <c r="AE127" s="228">
        <f>(IF(AE$7="X",VLOOKUP(AE$10,'VK-Hooned-Soojus'!$C:$X,2+$C127,FALSE),0)+IF(AE$6="X",VLOOKUP(AE$10,'VK-Transport'!$C:$X,2+$B127,0))+IF(AE$8="X",VLOOKUP(AE$10,'VK-Elekter'!$C:$X,2+$D127,0))+IF(AE$9="X",VLOOKUP(AE$10,'VK-Biokütused'!$C:$U,2+$E127,0))+IF(AE$5="X",VLOOKUP(AE$10,'VK-Põlevkivi'!$C:$X,2+$G127,0))+IF(AE$4="X",VLOOKUP(AE$10,'VK-Võrgud'!$C:$X,2+$F127,0)))</f>
        <v>666</v>
      </c>
      <c r="AF127" s="228">
        <f>(IF(AF$7="X",VLOOKUP(AF$10,'VK-Hooned-Soojus'!$C:$X,2+$C127,FALSE),0)+IF(AF$6="X",VLOOKUP(AF$10,'VK-Transport'!$C:$X,2+$B127,0))+IF(AF$8="X",VLOOKUP(AF$10,'VK-Elekter'!$C:$X,2+$D127,0))+IF(AF$9="X",VLOOKUP(AF$10,'VK-Biokütused'!$C:$U,2+$E127,0))+IF(AF$5="X",VLOOKUP(AF$10,'VK-Põlevkivi'!$C:$X,2+$G127,0))+IF(AF$4="X",VLOOKUP(AF$10,'VK-Võrgud'!$C:$X,2+$F127,0)))</f>
        <v>530.88499063732002</v>
      </c>
      <c r="AG127" s="209"/>
      <c r="AH127" s="209">
        <f>IF(AH$7="X",VLOOKUP(AH$10,'VK-Hooned-Soojus'!$C:$X,2+$C127,FALSE),0)+IF(AH$6="X",VLOOKUP(AH$10,'VK-Transport'!$C:$X,2+$B127,0))+IF(AH$8="X",VLOOKUP(AH$10,'VK-Elekter'!$C:$X,2+$D127,0))+IF(AH$9="X",VLOOKUP(AH$10,'VK-Biokütused'!$C:$U,2+$E127,0))+IF(AH$5="X",VLOOKUP(AH$10,'VK-Põlevkivi'!$C:$X,2+$G127,0))+IF(AH$4="X",VLOOKUP(AH$10,'VK-Võrgud'!$C:$X,2+$F127,0))</f>
        <v>0</v>
      </c>
      <c r="AI127" s="209">
        <f>IF(AI$7="X",VLOOKUP(AI$10,'VK-Hooned-Soojus'!$C:$X,2+$C127,FALSE),0)+IF(AI$6="X",VLOOKUP(AI$10,'VK-Transport'!$C:$X,2+$B127,0))+IF(AI$8="X",VLOOKUP(AI$10,'VK-Elekter'!$C:$X,2+$D127,0))+IF(AI$9="X",VLOOKUP(AI$10,'VK-Biokütused'!$C:$U,2+$E127,0))+IF(AI$5="X",VLOOKUP(AI$10,'VK-Põlevkivi'!$C:$X,2+$G127,0))+IF(AI$4="X",VLOOKUP(AI$10,'VK-Võrgud'!$C:$X,2+$F127,0))</f>
        <v>11.489999999999998</v>
      </c>
      <c r="AJ127" s="209">
        <f>IF(AJ$7="X",VLOOKUP(AJ$10,'VK-Hooned-Soojus'!$C:$X,2+$C127,FALSE),0)+IF(AJ$6="X",VLOOKUP(AJ$10,'VK-Transport'!$C:$X,2+$B127,0))+IF(AJ$8="X",VLOOKUP(AJ$10,'VK-Elekter'!$C:$X,2+$D127,0))+IF(AJ$9="X",VLOOKUP(AJ$10,'VK-Biokütused'!$C:$U,2+$E127,0))+IF(AJ$5="X",VLOOKUP(AJ$10,'VK-Põlevkivi'!$C:$X,2+$G127,0))+IF(AJ$4="X",VLOOKUP(AJ$10,'VK-Võrgud'!$C:$X,2+$F127,0))</f>
        <v>0</v>
      </c>
      <c r="AK127" s="209">
        <f>IF(AK$7="X",VLOOKUP(AK$10,'VK-Hooned-Soojus'!$C:$X,2+$C127,FALSE),0)+IF(AK$6="X",VLOOKUP(AK$10,'VK-Transport'!$C:$X,2+$B127,0))+IF(AK$8="X",VLOOKUP(AK$10,'VK-Elekter'!$C:$X,2+$D127,0))+IF(AK$9="X",VLOOKUP(AK$10,'VK-Biokütused'!$C:$U,2+$E127,0))+IF(AK$5="X",VLOOKUP(AK$10,'VK-Põlevkivi'!$C:$X,2+$G127,0))+IF(AK$4="X",VLOOKUP(AK$10,'VK-Võrgud'!$C:$X,2+$F127,0))</f>
        <v>3.65</v>
      </c>
      <c r="AL127" s="209">
        <f>IF(AL$7="X",VLOOKUP(AL$10,'VK-Hooned-Soojus'!$C:$X,2+$C127,FALSE),0)+IF(AL$6="X",VLOOKUP(AL$10,'VK-Transport'!$C:$X,2+$B127,0))+IF(AL$8="X",VLOOKUP(AL$10,'VK-Elekter'!$C:$X,2+$D127,0))+IF(AL$9="X",VLOOKUP(AL$10,'VK-Biokütused'!$C:$U,2+$E127,0))+IF(AL$5="X",VLOOKUP(AL$10,'VK-Põlevkivi'!$C:$X,2+$G127,0))+IF(AL$4="X",VLOOKUP(AL$10,'VK-Võrgud'!$C:$X,2+$F127,0))</f>
        <v>7.1999999999999993</v>
      </c>
      <c r="AM127" s="209">
        <f>IF(AM$7="X",VLOOKUP(AM$10,'VK-Hooned-Soojus'!$C:$X,2+$C127,FALSE),0)+IF(AM$6="X",VLOOKUP(AM$10,'VK-Transport'!$C:$X,2+$B127,0))+IF(AM$8="X",VLOOKUP(AM$10,'VK-Elekter'!$C:$X,2+$D127,0))+IF(AM$9="X",VLOOKUP(AM$10,'VK-Biokütused'!$C:$U,2+$E127,0))+IF(AM$5="X",VLOOKUP(AM$10,'VK-Põlevkivi'!$C:$X,2+$G127,0))+IF(AM$4="X",VLOOKUP(AM$10,'VK-Võrgud'!$C:$X,2+$F127,0))</f>
        <v>11.9</v>
      </c>
      <c r="AN127" s="209">
        <f>IF(AN$7="X",VLOOKUP(AN$10,'VK-Hooned-Soojus'!$C:$X,2+$C127,FALSE),0)+IF(AN$6="X",VLOOKUP(AN$10,'VK-Transport'!$C:$X,2+$B127,0))+IF(AN$8="X",VLOOKUP(AN$10,'VK-Elekter'!$C:$X,2+$D127,0))+IF(AN$9="X",VLOOKUP(AN$10,'VK-Biokütused'!$C:$U,2+$E127,0))+IF(AN$5="X",VLOOKUP(AN$10,'VK-Põlevkivi'!$C:$X,2+$G127,0))+IF(AN$4="X",VLOOKUP(AN$10,'VK-Võrgud'!$C:$X,2+$F127,0))</f>
        <v>4.8999999999999995</v>
      </c>
      <c r="AO127" s="209">
        <f>IF(AO$7="X",VLOOKUP(AO$10,'VK-Hooned-Soojus'!$C:$X,2+$C127,FALSE),0)+IF(AO$6="X",VLOOKUP(AO$10,'VK-Transport'!$C:$X,2+$B127,0))+IF(AO$8="X",VLOOKUP(AO$10,'VK-Elekter'!$C:$X,2+$D127,0))+IF(AO$9="X",VLOOKUP(AO$10,'VK-Biokütused'!$C:$U,2+$E127,0))+IF(AO$5="X",VLOOKUP(AO$10,'VK-Põlevkivi'!$C:$X,2+$G127,0))+IF(AO$4="X",VLOOKUP(AO$10,'VK-Võrgud'!$C:$X,2+$F127,0))</f>
        <v>21.740000000000002</v>
      </c>
      <c r="AP127" s="209">
        <f>IF(AP$7="X",VLOOKUP(AP$10,'VK-Hooned-Soojus'!$C:$X,2+$C127,FALSE),0)+IF(AP$6="X",VLOOKUP(AP$10,'VK-Transport'!$C:$X,2+$B127,0))+IF(AP$8="X",VLOOKUP(AP$10,'VK-Elekter'!$C:$X,2+$D127,0))+IF(AP$9="X",VLOOKUP(AP$10,'VK-Biokütused'!$C:$U,2+$E127,0))+IF(AP$5="X",VLOOKUP(AP$10,'VK-Põlevkivi'!$C:$X,2+$G127,0))+IF(AP$4="X",VLOOKUP(AP$10,'VK-Võrgud'!$C:$X,2+$F127,0))</f>
        <v>10.870000000000001</v>
      </c>
      <c r="AQ127" s="320">
        <f t="shared" si="61"/>
        <v>9.4400000000000013</v>
      </c>
      <c r="AR127" s="209">
        <f>IF(AR$7="X",VLOOKUP(AR$10,'VK-Hooned-Soojus'!$C:$X,2+$C127,FALSE),0)+IF(AR$6="X",VLOOKUP(AR$10,'VK-Transport'!$C:$X,2+$B127,0))+IF(AR$8="X",VLOOKUP(AR$10,'VK-Elekter'!$C:$X,2+$D127,0))+IF(AR$9="X",VLOOKUP(AR$10,'VK-Biokütused'!$C:$U,2+$E127,0))+IF(AR$5="X",VLOOKUP(AR$10,'VK-Põlevkivi'!$C:$X,2+$G127,0))+IF(AR$4="X",VLOOKUP(AR$10,'VK-Võrgud'!$C:$X,2+$F127,0))</f>
        <v>0.5</v>
      </c>
      <c r="AS127" s="320">
        <f>VLOOKUP("Kütuste tarbimine @ 2030 - UTTEGAAS",'VK-Hooned-Soojus'!$C:$X,2+$C127,FALSE)/0.172+VLOOKUP("Kütuste tarbimine @ 2030 - UTTEGAAS",'VK-Elekter'!$C:$X,2+$D127,FALSE)/0.172-AR127-AU127</f>
        <v>-0.5</v>
      </c>
      <c r="AT127" s="209">
        <f>IF(AT$7="X",VLOOKUP(AT$10,'VK-Hooned-Soojus'!$C:$X,2+$C127,FALSE),0)+IF(AT$6="X",VLOOKUP(AT$10,'VK-Transport'!$C:$X,2+$B127,0))+IF(AT$8="X",VLOOKUP(AT$10,'VK-Elekter'!$C:$X,2+$D127,0))+IF(AT$9="X",VLOOKUP(AT$10,'VK-Biokütused'!$C:$U,2+$E127,0))+IF(AT$5="X",VLOOKUP(AT$10,'VK-Põlevkivi'!$C:$X,2+$G127,0))+IF(AT$4="X",VLOOKUP(AT$10,'VK-Võrgud'!$C:$X,2+$F127,0))</f>
        <v>5.7045296564339489</v>
      </c>
      <c r="AU127" s="229">
        <f>MAX(0,(VLOOKUP("Kütuste tarbimine @ 2030 - UTTEGAAS",'VK-Hooned-Soojus'!$C:$X,2+$C127,FALSE)/0.172+VLOOKUP("Kütuste tarbimine @ 2030 - UTTEGAAS",'VK-Elekter'!$C:$X,2+$D127,FALSE)/0.172)*0.52-VLOOKUP("Kütuste tarbimine @ 2030 - PÕLEVKIVIÕLI",'VK-Hooned-Soojus'!$C:$X,2+$C127,FALSE))</f>
        <v>0</v>
      </c>
      <c r="AV127" s="209">
        <f>IF(AV$7="X",VLOOKUP(AV$10,'VK-Hooned-Soojus'!$C:$X,2+$C127,FALSE),0)+IF(AV$6="X",VLOOKUP(AV$10,'VK-Transport'!$C:$X,2+$B127,0))+IF(AV$8="X",VLOOKUP(AV$10,'VK-Elekter'!$C:$X,2+$D127,0))+IF(AV$9="X",VLOOKUP(AV$10,'VK-Biokütused'!$C:$U,2+$E127,0))+IF(AV$5="X",VLOOKUP(AV$10,'VK-Põlevkivi'!$C:$X,2+$G127,0))+IF(AV$4="X",VLOOKUP(AV$10,'VK-Võrgud'!$C:$X,2+$F127,0))</f>
        <v>2.1219844082566364</v>
      </c>
      <c r="AW127" s="209">
        <f>IF(AW$7="X",VLOOKUP(AW$10,'VK-Hooned-Soojus'!$C:$X,2+$C127,FALSE),0)+IF(AW$6="X",VLOOKUP(AW$10,'VK-Transport'!$C:$X,2+$B127,0))+IF(AW$8="X",VLOOKUP(AW$10,'VK-Elekter'!$C:$X,2+$D127,0))+IF(AW$9="X",VLOOKUP(AW$10,'VK-Biokütused'!$C:$U,2+$E127,0))+IF(AW$5="X",VLOOKUP(AW$10,'VK-Põlevkivi'!$C:$X,2+$G127,0))+IF(AW$4="X",VLOOKUP(AW$10,'VK-Võrgud'!$C:$X,2+$F127,0))</f>
        <v>4.2799999999999994</v>
      </c>
      <c r="AX127" s="229">
        <f t="shared" si="62"/>
        <v>2.158015591743363</v>
      </c>
      <c r="AY127" s="229">
        <f t="shared" si="63"/>
        <v>0</v>
      </c>
      <c r="AZ127" s="230">
        <f t="shared" si="83"/>
        <v>0.58990938224442924</v>
      </c>
      <c r="BA127" s="209">
        <f>IF(BA$7="X",VLOOKUP(BA$10,'VK-Hooned-Soojus'!$C:$X,2+$C127,FALSE),0)+IF(BA$6="X",VLOOKUP(BA$10,'VK-Transport'!$C:$X,2+$B127,0))+IF(BA$8="X",VLOOKUP(BA$10,'VK-Elekter'!$C:$X,2+$D127,0))+IF(BA$9="X",VLOOKUP(BA$10,'VK-Biokütused'!$C:$U,2+$E127,0))+IF(BA$5="X",VLOOKUP(BA$10,'VK-Põlevkivi'!$C:$X,2+$G127,0))+IF(BA$4="X",VLOOKUP(BA$10,'VK-Võrgud'!$C:$X,2+$F127,0))</f>
        <v>0</v>
      </c>
      <c r="BB127" s="209">
        <f>IF(BB$7="X",VLOOKUP(BB$10,'VK-Hooned-Soojus'!$C:$X,2+$C127,FALSE),0)+IF(BB$6="X",VLOOKUP(BB$10,'VK-Transport'!$C:$X,2+$B127,0))+IF(BB$8="X",VLOOKUP(BB$10,'VK-Elekter'!$C:$X,2+$D127,0))+IF(BB$9="X",VLOOKUP(BB$10,'VK-Biokütused'!$C:$U,2+$E127,0))+IF(BB$5="X",VLOOKUP(BB$10,'VK-Põlevkivi'!$C:$X,2+$G127,0))+IF(BB$4="X",VLOOKUP(BB$10,'VK-Võrgud'!$C:$X,2+$F127,0))</f>
        <v>6.32</v>
      </c>
      <c r="BC127" s="209">
        <f>IF(BC$7="X",VLOOKUP(BC$10,'VK-Hooned-Soojus'!$C:$X,2+$C127,FALSE),0)+IF(BC$6="X",VLOOKUP(BC$10,'VK-Transport'!$C:$X,2+$B127,0))+IF(BC$8="X",VLOOKUP(BC$10,'VK-Elekter'!$C:$X,2+$D127,0))+IF(BC$9="X",VLOOKUP(BC$10,'VK-Biokütused'!$C:$U,2+$E127,0))+IF(BC$5="X",VLOOKUP(BC$10,'VK-Põlevkivi'!$C:$X,2+$G127,0))+IF(BC$4="X",VLOOKUP(BC$10,'VK-Võrgud'!$C:$X,2+$F127,0))</f>
        <v>6.5993333333333322</v>
      </c>
      <c r="BD127" s="209">
        <f>IF(BD$7="X",VLOOKUP(BD$10,'VK-Hooned-Soojus'!$C:$X,2+$C127,FALSE),0)+IF(BD$6="X",VLOOKUP(BD$10,'VK-Transport'!$C:$X,2+$B127,0))+IF(BD$8="X",VLOOKUP(BD$10,'VK-Elekter'!$C:$X,2+$D127,0))+IF(BD$9="X",VLOOKUP(BD$10,'VK-Biokütused'!$C:$U,2+$E127,0))+IF(BD$5="X",VLOOKUP(BD$10,'VK-Põlevkivi'!$C:$X,2+$G127,0))+IF(BD$4="X",VLOOKUP(BD$10,'VK-Võrgud'!$C:$X,2+$F127,0))</f>
        <v>9.425416666666667</v>
      </c>
      <c r="BE127" s="230"/>
      <c r="BF127" s="229">
        <f t="shared" si="64"/>
        <v>0.6351575313088188</v>
      </c>
      <c r="BG127" s="209" t="e">
        <f>(IF(BG$7="X",VLOOKUP(BG$10,'VK-Hooned-Soojus'!$C:$X,2+$C127,FALSE),0)+IF(BG$6="X",VLOOKUP(BG$10,'VK-Transport'!$C:$X,2+$B127,0))+IF(BG$8="X",VLOOKUP(BG$10,'VK-Elekter'!$C:$X,2+$D127,0))+IF(BG$9="X",VLOOKUP(BG$10,'VK-Biokütused'!$C:$U,2+$E127,0))+IF(BG$5="X",VLOOKUP(BG$10,'VK-Põlevkivi'!$C:$X,2+$G127,0))+IF(BG$4="X",VLOOKUP(BG$10,'VK-Võrgud'!$C:$X,2+$F127,0)))/20</f>
        <v>#N/A</v>
      </c>
      <c r="BH127" s="209">
        <f>(IF(BH$7="X",VLOOKUP(BH$10,'VK-Hooned-Soojus'!$C:$X,2+$C127,FALSE),0)+IF(BH$6="X",VLOOKUP(BH$10,'VK-Transport'!$C:$X,2+$B127,0))+IF(BH$8="X",VLOOKUP(BH$10,'VK-Elekter'!$C:$X,2+$D127,0))+IF(BH$9="X",VLOOKUP(BH$10,'VK-Biokütused'!$C:$U,2+$E127,0))+IF(BH$5="X",VLOOKUP(BH$10,'VK-Põlevkivi'!$C:$X,2+$G127,0))+IF(BH$4="X",VLOOKUP(BH$10,'VK-Võrgud'!$C:$X,2+$F127,0)))/20</f>
        <v>45.08</v>
      </c>
      <c r="BI127" s="209">
        <f>(IF(BI$7="X",VLOOKUP(BI$10,'VK-Hooned-Soojus'!$C:$X,2+$C127,FALSE),0)+IF(BI$6="X",VLOOKUP(BI$10,'VK-Transport'!$C:$X,2+$B127,0))+IF(BI$8="X",VLOOKUP(BI$10,'VK-Elekter'!$C:$X,2+$D127,0))+IF(BI$9="X",VLOOKUP(BI$10,'VK-Biokütused'!$C:$U,2+$E127,0))+IF(BI$5="X",VLOOKUP(BI$10,'VK-Põlevkivi'!$C:$X,2+$G127,0))+IF(BI$4="X",VLOOKUP(BI$10,'VK-Võrgud'!$C:$X,2+$F127,0)))/16</f>
        <v>14.1875</v>
      </c>
      <c r="BJ127" s="209">
        <f>(IF(BJ$7="X",VLOOKUP(BJ$10,'VK-Hooned-Soojus'!$C:$X,2+$C127,FALSE),0)+IF(BJ$6="X",VLOOKUP(BJ$10,'VK-Transport'!$C:$X,2+$B127,0))+IF(BJ$8="X",VLOOKUP(BJ$10,'VK-Elekter'!$C:$X,2+$D127,0))+IF(BJ$9="X",VLOOKUP(BJ$10,'VK-Biokütused'!$C:$U,2+$E127,0))+IF(BJ$5="X",VLOOKUP(BJ$10,'VK-Põlevkivi'!$C:$X,2+$G127,0))+IF(BJ$4="X",VLOOKUP(BJ$10,'VK-Võrgud'!$C:$X,2+$F127,0)))/20</f>
        <v>3.91</v>
      </c>
      <c r="BK127" s="209"/>
      <c r="BL127" s="209"/>
      <c r="BM127" s="209"/>
      <c r="BN127" s="209" t="e">
        <f>(IF(BN$7="X",VLOOKUP(BN$10,'VK-Hooned-Soojus'!$C:$X,2+$C127,FALSE),0)+IF(BN$6="X",VLOOKUP(BN$10,'VK-Transport'!$C:$X,2+$B127,0))+IF(BN$8="X",VLOOKUP(BN$10,'VK-Elekter'!$C:$X,2+$D127,0))+IF(BN$9="X",VLOOKUP(BN$10,'VK-Biokütused'!$C:$U,2+$E127,0))+IF(BN$5="X",VLOOKUP(BN$10,'VK-Põlevkivi'!$C:$X,2+$G127,0))+IF(BN$4="X",VLOOKUP(BN$10,'VK-Võrgud'!$C:$X,2+$F127,0)))/16</f>
        <v>#N/A</v>
      </c>
      <c r="BO127" s="209">
        <f>(IF(BO$7="X",VLOOKUP(BO$10,'VK-Hooned-Soojus'!$C:$X,2+$C127,FALSE),0)+IF(BO$6="X",VLOOKUP(BO$10,'VK-Transport'!$C:$X,2+$B127,0))+IF(BO$8="X",VLOOKUP(BO$10,'VK-Elekter'!$C:$X,2+$D127,0))+IF(BO$9="X",VLOOKUP(BO$10,'VK-Biokütused'!$C:$U,2+$E127,0))+IF(BO$5="X",VLOOKUP(BO$10,'VK-Põlevkivi'!$C:$X,2+$G127,0))+IF(BO$4="X",VLOOKUP(BO$10,'VK-Võrgud'!$C:$X,2+$F127,0)))/16</f>
        <v>322.79374999999999</v>
      </c>
      <c r="BP127" s="209"/>
      <c r="BQ127" s="209">
        <f>(IF(BQ$7="X",VLOOKUP(BQ$10,'VK-Hooned-Soojus'!$C:$X,2+$C127,FALSE),0)+IF(BQ$6="X",VLOOKUP(BQ$10,'VK-Transport'!$C:$X,2+$B127,0))+IF(BQ$8="X",VLOOKUP(BQ$10,'VK-Elekter'!$C:$X,2+$D127,0))+IF(BQ$9="X",VLOOKUP(BQ$10,'VK-Biokütused'!$C:$U,2+$E127,0))+IF(BQ$5="X",VLOOKUP(BQ$10,'VK-Põlevkivi'!$C:$X,2+$G127,0))+IF(BQ$4="X",VLOOKUP(BQ$10,'VK-Võrgud'!$C:$X,2+$F127,0)))/16</f>
        <v>233.20625000000001</v>
      </c>
      <c r="BR127" s="209">
        <f>(IF(BR$7="X",VLOOKUP(BR$10,'VK-Hooned-Soojus'!$C:$X,2+$C127,FALSE),0)+IF(BR$6="X",VLOOKUP(BR$10,'VK-Transport'!$C:$X,2+$B127,0))+IF(BR$8="X",VLOOKUP(BR$10,'VK-Elekter'!$C:$X,2+$D127,0))+IF(BR$9="X",VLOOKUP(BR$10,'VK-Biokütused'!$C:$U,2+$E127,0))+IF(BR$5="X",VLOOKUP(BR$10,'VK-Põlevkivi'!$C:$X,2+$G127,0))+IF(BR$4="X",VLOOKUP(BR$10,'VK-Võrgud'!$C:$X,2+$F127,0)))/16</f>
        <v>74.512500000000003</v>
      </c>
      <c r="BS127" s="209">
        <f>(IF(BS$7="X",VLOOKUP(BS$10,'VK-Hooned-Soojus'!$C:$X,2+$C127,FALSE),0)+IF(BS$6="X",VLOOKUP(BS$10,'VK-Transport'!$C:$X,2+$B127,0))+IF(BS$8="X",VLOOKUP(BS$10,'VK-Elekter'!$C:$X,2+$D127,0))+IF(BS$9="X",VLOOKUP(BS$10,'VK-Biokütused'!$C:$U,2+$E127,0))+IF(BS$5="X",VLOOKUP(BS$10,'VK-Põlevkivi'!$C:$X,2+$G127,0))+IF(BS$4="X",VLOOKUP(BS$10,'VK-Võrgud'!$C:$X,2+$F127,0)))/16</f>
        <v>-21.475000000000001</v>
      </c>
      <c r="BT127" s="209"/>
      <c r="BU127" s="209"/>
      <c r="BV127" s="209">
        <f>(IF(BV$7="X",VLOOKUP(BV$10,'VK-Hooned-Soojus'!$C:$X,2+$C127,FALSE),0)+IF(BV$6="X",VLOOKUP(BV$10,'VK-Transport'!$C:$X,2+$B127,0))+IF(BV$8="X",VLOOKUP(BV$10,'VK-Elekter'!$C:$X,2+$D127,0))+IF(BV$9="X",VLOOKUP(BV$10,'VK-Biokütused'!$C:$U,2+$E127,0))+IF(BV$5="X",VLOOKUP(BV$10,'VK-Põlevkivi'!$C:$X,2+$G127,0))+IF(BV$4="X",VLOOKUP(BV$10,'VK-Võrgud'!$C:$X,2+$F127,0)))/16</f>
        <v>0</v>
      </c>
      <c r="BW127" s="209"/>
      <c r="BX127" s="209">
        <f>(IF(BX$7="X",VLOOKUP(BX$10,'VK-Hooned-Soojus'!$C:$X,2+$C127,FALSE),0)+IF(BX$6="X",VLOOKUP(BX$10,'VK-Transport'!$C:$X,2+$B127,0))+IF(BX$8="X",VLOOKUP(BX$10,'VK-Elekter'!$C:$X,2+$D127,0))+IF(BX$9="X",VLOOKUP(BX$10,'VK-Biokütused'!$C:$U,2+$E127,0))+IF(BX$5="X",VLOOKUP(BX$10,'VK-Põlevkivi'!$C:$X,2+$G127,0))+IF(BX$4="X",VLOOKUP(BX$10,'VK-Võrgud'!$C:$X,2+$F127,0)))/16</f>
        <v>-19.25</v>
      </c>
      <c r="BY127" s="209"/>
      <c r="BZ127" s="209"/>
      <c r="CA127" s="209" t="e">
        <f>(IF(CA$7="X",VLOOKUP(CA$10,'VK-Hooned-Soojus'!$C:$X,2+$C127,FALSE),0)+IF(CA$6="X",VLOOKUP(CA$10,'VK-Transport'!$C:$X,2+$B127,0))+IF(CA$8="X",VLOOKUP(CA$10,'VK-Elekter'!$C:$X,2+$D127,0))+IF(CA$9="X",VLOOKUP(CA$10,'VK-Biokütused'!$C:$U,2+$E127,0))+IF(CA$5="X",VLOOKUP(CA$10,'VK-Põlevkivi'!$C:$X,2+$G127,0))+IF(CA$4="X",VLOOKUP(CA$10,'VK-Võrgud'!$C:$X,2+$F127,0)))/16</f>
        <v>#N/A</v>
      </c>
      <c r="CB127" s="209">
        <f>(IF(CB$7="X",VLOOKUP(CB$10,'VK-Hooned-Soojus'!$C:$X,2+$C127,FALSE),0)+IF(CB$6="X",VLOOKUP(CB$10,'VK-Transport'!$C:$X,2+$B127,0))+IF(CB$8="X",VLOOKUP(CB$10,'VK-Elekter'!$C:$X,2+$D127,0))+IF(CB$9="X",VLOOKUP(CB$10,'VK-Biokütused'!$C:$U,2+$E127,0))+IF(CB$5="X",VLOOKUP(CB$10,'VK-Põlevkivi'!$C:$X,2+$G127,0))+IF(CB$4="X",VLOOKUP(CB$10,'VK-Võrgud'!$C:$X,2+$F127,0)))/16</f>
        <v>0</v>
      </c>
      <c r="CC127" s="209">
        <f>(IF(CC$7="X",VLOOKUP(CC$10,'VK-Hooned-Soojus'!$C:$X,2+$C127,FALSE),0)+IF(CC$6="X",VLOOKUP(CC$10,'VK-Transport'!$C:$X,2+$B127,0))+IF(CC$8="X",VLOOKUP(CC$10,'VK-Elekter'!$C:$X,2+$D127,0))+IF(CC$9="X",VLOOKUP(CC$10,'VK-Biokütused'!$C:$U,2+$E127,0))+IF(CC$5="X",VLOOKUP(CC$10,'VK-Põlevkivi'!$C:$X,2+$G127,0))+IF(CC$4="X",VLOOKUP(CC$10,'VK-Võrgud'!$C:$X,2+$F127,0)))/16</f>
        <v>0</v>
      </c>
      <c r="CD127" s="209"/>
      <c r="CE127" s="209">
        <f>(IF(CE$7="X",VLOOKUP(CE$10,'VK-Hooned-Soojus'!$C:$X,2+$C127,FALSE),0)+IF(CE$6="X",VLOOKUP(CE$10,'VK-Transport'!$C:$X,2+$B127,0))+IF(CE$8="X",VLOOKUP(CE$10,'VK-Elekter'!$C:$X,2+$D127,0))+IF(CE$9="X",VLOOKUP(CE$10,'VK-Biokütused'!$C:$U,2+$E127,0))+IF(CE$5="X",VLOOKUP(CE$10,'VK-Põlevkivi'!$C:$X,2+$G127,0))+IF(CE$4="X",VLOOKUP(CE$10,'VK-Võrgud'!$C:$X,2+$F127,0)))/16</f>
        <v>24.15625</v>
      </c>
      <c r="CF127" s="209"/>
      <c r="CG127" s="209">
        <f>(IF(CG$7="X",VLOOKUP(CG$10,'VK-Hooned-Soojus'!$C:$X,2+$C127,FALSE),0)+IF(CG$6="X",VLOOKUP(CG$10,'VK-Transport'!$C:$X,2+$B127,0))+IF(CG$8="X",VLOOKUP(CG$10,'VK-Elekter'!$C:$X,2+$D127,0))+IF(CG$9="X",VLOOKUP(CG$10,'VK-Biokütused'!$C:$U,2+$E127,0))+IF(CG$5="X",VLOOKUP(CG$10,'VK-Põlevkivi'!$C:$X,2+$G127,0))+IF(CG$4="X",VLOOKUP(CG$10,'VK-Võrgud'!$C:$X,2+$F127,0)))/16</f>
        <v>0</v>
      </c>
      <c r="CH127" s="209">
        <f>(IF(CH$7="X",VLOOKUP(CH$10,'VK-Hooned-Soojus'!$C:$X,2+$C127,FALSE),0)+IF(CH$6="X",VLOOKUP(CH$10,'VK-Transport'!$C:$X,2+$B127,0))+IF(CH$8="X",VLOOKUP(CH$10,'VK-Elekter'!$C:$X,2+$D127,0))+IF(CH$9="X",VLOOKUP(CH$10,'VK-Biokütused'!$C:$U,2+$E127,0))+IF(CH$5="X",VLOOKUP(CH$10,'VK-Põlevkivi'!$C:$X,2+$G127,0))+IF(CH$4="X",VLOOKUP(CH$10,'VK-Võrgud'!$C:$X,2+$F127,0)))/20*0.21</f>
        <v>11.225549999999998</v>
      </c>
      <c r="CI127" s="209"/>
      <c r="CJ127" s="209">
        <f>(IF(CJ$7="X",VLOOKUP(CJ$10,'VK-Hooned-Soojus'!$C:$X,2+$C127,FALSE),0)+IF(CJ$6="X",VLOOKUP(CJ$10,'VK-Transport'!$C:$X,2+$B127,0))+IF(CJ$8="X",VLOOKUP(CJ$10,'VK-Elekter'!$C:$X,2+$D127,0))+IF(CJ$9="X",VLOOKUP(CJ$10,'VK-Biokütused'!$C:$U,2+$E127,0))+IF(CJ$5="X",VLOOKUP(CJ$10,'VK-Põlevkivi'!$C:$X,2+$G127,0))+IF(CJ$4="X",VLOOKUP(CJ$10,'VK-Võrgud'!$C:$X,2+$F127,0)))/1000</f>
        <v>16.731721793242819</v>
      </c>
      <c r="CK127" s="209">
        <f>(IF(CK$7="X",VLOOKUP(CK$10,'VK-Hooned-Soojus'!$C:$X,2+$C127,FALSE),0)+IF(CK$6="X",VLOOKUP(CK$10,'VK-Transport'!$C:$X,2+$B127,0))+IF(CK$8="X",VLOOKUP(CK$10,'VK-Elekter'!$C:$X,2+$D127,0))+IF(CK$9="X",VLOOKUP(CK$10,'VK-Biokütused'!$C:$U,2+$E127,0))+IF(CK$5="X",VLOOKUP(CK$10,'VK-Põlevkivi'!$C:$X,2+$G127,0))+IF(CK$4="X",VLOOKUP(CK$10,'VK-Võrgud'!$C:$X,2+$F127,0)))/1000</f>
        <v>6.6556988012134219</v>
      </c>
      <c r="CL127" s="235">
        <f>(IF(CL$7="X",VLOOKUP(CL$10,'VK-Hooned-Soojus'!$C:$X,2+$C127,FALSE),0)+IF(CL$6="X",VLOOKUP(CL$10,'VK-Transport'!$C:$X,2+$B127,0))+IF(CL$8="X",VLOOKUP(CL$10,'VK-Elekter'!$C:$X,2+$D127,0))+IF(CL$9="X",VLOOKUP(CL$10,'VK-Biokütused'!$C:$U,2+$E127,0)))/1000</f>
        <v>3.8233975506064017</v>
      </c>
      <c r="CM127" s="209">
        <f>(IF(CM$7="X",VLOOKUP(CM$10,'VK-Hooned-Soojus'!$C:$X,2+$C127,FALSE),0)+IF(CM$6="X",VLOOKUP(CM$10,'VK-Transport'!$C:$X,2+$B127,0))+IF(CM$8="X",VLOOKUP(CM$10,'VK-Elekter'!$C:$X,2+$D127,0))+IF(CM$9="X",VLOOKUP(CM$10,'VK-Biokütused'!$C:$U,2+$E127,0))+IF(CM$5="X",VLOOKUP(CM$10,'VK-Põlevkivi'!$C:$X,2+$G127,0))+IF(CM$4="X",VLOOKUP(CM$10,'VK-Võrgud'!$C:$X,2+$F127,0)))/1000</f>
        <v>7.7898313570900957</v>
      </c>
      <c r="CN127" s="209">
        <f>(IF(CN$7="X",VLOOKUP(CN$10,'VK-Hooned-Soojus'!$C:$X,2+$C127,FALSE),0)+IF(CN$6="X",VLOOKUP(CN$10,'VK-Transport'!$C:$X,2+$B127,0))+IF(CN$8="X",VLOOKUP(CN$10,'VK-Elekter'!$C:$X,2+$D127,0))+IF(CN$9="X",VLOOKUP(CN$10,'VK-Biokütused'!$C:$U,2+$E127,0))+IF(CN$5="X",VLOOKUP(CN$10,'VK-Põlevkivi'!$C:$X,2+$G127,0))+IF(CN$4="X",VLOOKUP(CN$10,'VK-Võrgud'!$C:$X,2+$F127,0)))/1000</f>
        <v>2.8759999999999999</v>
      </c>
      <c r="CO127" s="209">
        <f>(IF(CO$7="X",VLOOKUP(CO$10,'VK-Hooned-Soojus'!$C:$X,2+$C127,FALSE),0)+IF(CO$6="X",VLOOKUP(CO$10,'VK-Transport'!$C:$X,2+$B127,0))+IF(CO$8="X",VLOOKUP(CO$10,'VK-Elekter'!$C:$X,2+$D127,0))+IF(CO$9="X",VLOOKUP(CO$10,'VK-Biokütused'!$C:$U,2+$E127,0))+IF(CO$5="X",VLOOKUP(CO$10,'VK-Põlevkivi'!$C:$X,2+$G127,0))+IF(CO$4="X",VLOOKUP(CO$10,'VK-Võrgud'!$C:$X,2+$F127,0)))/1000</f>
        <v>22.515362337356994</v>
      </c>
      <c r="CP127" s="209">
        <f>(IF(CP$7="X",VLOOKUP(CP$10,'VK-Hooned-Soojus'!$C:$X,2+$C127,FALSE),0)+IF(CP$6="X",VLOOKUP(CP$10,'VK-Transport'!$C:$X,2+$B127,0))+IF(CP$8="X",VLOOKUP(CP$10,'VK-Elekter'!$C:$X,2+$D127,0))+IF(CP$9="X",VLOOKUP(CP$10,'VK-Biokütused'!$C:$U,2+$E127,0))+IF(CP$5="X",VLOOKUP(CP$10,'VK-Põlevkivi'!$C:$X,2+$G127,0))+IF(CP$4="X",VLOOKUP(CP$10,'VK-Võrgud'!$C:$X,2+$F127,0)))/1000</f>
        <v>6.657392120693661</v>
      </c>
      <c r="CQ127" s="235">
        <f>(IF(CQ$7="X",VLOOKUP(CQ$10,'VK-Hooned-Soojus'!$C:$X,2+$C127,FALSE),0)+IF(CQ$6="X",VLOOKUP(CQ$10,'VK-Transport'!$C:$X,2+$B127,0))+IF(CQ$8="X",VLOOKUP(CQ$10,'VK-Elekter'!$C:$X,2+$D127,0))+IF(CQ$9="X",VLOOKUP(CQ$10,'VK-Biokütused'!$C:$U,2+$E127,0)))/1000</f>
        <v>4.7259190000000002</v>
      </c>
      <c r="CR127" s="209">
        <f>(IF(CR$7="X",VLOOKUP(CR$10,'VK-Hooned-Soojus'!$C:$X,2+$C127,FALSE),0)+IF(CR$6="X",VLOOKUP(CR$10,'VK-Transport'!$C:$X,2+$B127,0))+IF(CR$8="X",VLOOKUP(CR$10,'VK-Elekter'!$C:$X,2+$D127,0))+IF(CR$9="X",VLOOKUP(CR$10,'VK-Biokütused'!$C:$U,2+$E127,0))+IF(CR$5="X",VLOOKUP(CR$10,'VK-Põlevkivi'!$C:$X,2+$G127,0))+IF(CR$4="X",VLOOKUP(CR$10,'VK-Võrgud'!$C:$X,2+$F127,0)))/1000</f>
        <v>7.8497518373996886</v>
      </c>
      <c r="CS127" s="209">
        <f>(IF(CS$7="X",VLOOKUP(CS$10,'VK-Hooned-Soojus'!$C:$X,2+$C127,FALSE),0)+IF(CS$6="X",VLOOKUP(CS$10,'VK-Transport'!$C:$X,2+$B127,0))+IF(CS$8="X",VLOOKUP(CS$10,'VK-Elekter'!$C:$X,2+$D127,0))+IF(CS$9="X",VLOOKUP(CS$10,'VK-Biokütused'!$C:$U,2+$E127,0))+IF(CS$5="X",VLOOKUP(CS$10,'VK-Põlevkivi'!$C:$X,2+$G127,0))+IF(CS$4="X",VLOOKUP(CS$10,'VK-Võrgud'!$C:$X,2+$F127,0)))/1000</f>
        <v>3.8186495098622379</v>
      </c>
      <c r="CT127" s="209">
        <f>IF(CT$7="X",VLOOKUP(CT$10,'VK-Hooned-Soojus'!$C:$X,2+$C127,FALSE),0)+IF(CT$6="X",VLOOKUP(CT$10,'VK-Transport'!$C:$X,2+$B127,0))+IF(CT$8="X",VLOOKUP(CT$10,'VK-Elekter'!$C:$X,2+$D127,0))+IF(CT$9="X",VLOOKUP(CT$10,'VK-Biokütused'!$C:$U,2+$E127,0))+IF(CT$5="X",VLOOKUP(CT$10,'VK-Põlevkivi'!$C:$X,2+$G127,0))+IF(CT$4="X",VLOOKUP(CT$10,'VK-Võrgud'!$C:$X,2+$F127,0))</f>
        <v>90</v>
      </c>
      <c r="CU127" s="209">
        <f>IF(CU$7="X",VLOOKUP(CU$10,'VK-Hooned-Soojus'!$C:$X,2+$C127,FALSE),0)+IF(CU$6="X",VLOOKUP(CU$10,'VK-Transport'!$C:$X,2+$B127,0))+IF(CU$8="X",VLOOKUP(CU$10,'VK-Elekter'!$C:$X,2+$D127,0))+IF(CU$9="X",VLOOKUP(CU$10,'VK-Biokütused'!$C:$U,2+$E127,0))+IF(CU$5="X",VLOOKUP(CU$10,'VK-Põlevkivi'!$C:$X,2+$G127,0))+IF(CU$4="X",VLOOKUP(CU$10,'VK-Võrgud'!$C:$X,2+$F127,0))</f>
        <v>0.63390170511534605</v>
      </c>
      <c r="CV127" s="209">
        <f t="shared" si="84"/>
        <v>0.72887234460741646</v>
      </c>
      <c r="CW127" s="209">
        <f>(IF(CW$7="X",VLOOKUP(CW$10,'VK-Hooned-Soojus'!$C:$X,2+$C127,FALSE),0)+IF(CW$6="X",VLOOKUP(CW$10,'VK-Transport'!$C:$X,2+$B127,0))+IF(CW$8="X",VLOOKUP(CW$10,'VK-Elekter'!$C:$X,2+$D127,0))+IF(CW$9="X",VLOOKUP(CW$10,'VK-Biokütused'!$C:$U,2+$E127,0))+IF(CW$5="X",VLOOKUP(CW$10,'VK-Põlevkivi'!$C:$X,2+$G127,0))+IF(CW$4="X",VLOOKUP(CW$10,'VK-Võrgud'!$C:$X,2+$F127,0)))/16</f>
        <v>126.01875</v>
      </c>
      <c r="CY127" s="209">
        <f>(IF(CY$7="X",VLOOKUP(CY$10,'VK-Hooned-Soojus'!$C:$X,2+$C127,FALSE),0)+IF(CY$6="X",VLOOKUP(CY$10,'VK-Transport'!$C:$X,2+$B127,0))+IF(CY$8="X",VLOOKUP(CY$10,'VK-Elekter'!$C:$X,2+$D127,0))+IF(CY$9="X",VLOOKUP(CY$10,'VK-Biokütused'!$C:$U,2+$E127,0))+IF(CY$5="X",VLOOKUP(CY$10,'VK-Põlevkivi'!$C:$X,2+$G127,0))+IF(CY$4="X",VLOOKUP(CY$10,'VK-Võrgud'!$C:$X,2+$F127,0)))/1000</f>
        <v>9.6609999999999996</v>
      </c>
      <c r="CZ127" s="209">
        <f>(IF(CZ$7="X",VLOOKUP(CZ$10,'VK-Hooned-Soojus'!$C:$X,2+$C127,FALSE),0)+IF(CZ$6="X",VLOOKUP(CZ$10,'VK-Transport'!$C:$X,2+$B127,0))+IF(CZ$8="X",VLOOKUP(CZ$10,'VK-Elekter'!$C:$X,2+$D127,0))+IF(CZ$9="X",VLOOKUP(CZ$10,'VK-Biokütused'!$C:$U,2+$E127,0))+IF(CZ$5="X",VLOOKUP(CZ$10,'VK-Põlevkivi'!$C:$X,2+$G127,0))+IF(CZ$4="X",VLOOKUP(CZ$10,'VK-Võrgud'!$C:$X,2+$F127,0)))</f>
        <v>76</v>
      </c>
      <c r="DA127" s="209">
        <f>(IF(DA$7="X",VLOOKUP(DA$10,'VK-Hooned-Soojus'!$C:$X,2+$C127,FALSE),0)+IF(DA$6="X",VLOOKUP(DA$10,'VK-Transport'!$C:$X,2+$B127,0))+IF(DA$8="X",VLOOKUP(DA$10,'VK-Elekter'!$C:$X,2+$D127,0))+IF(DA$9="X",VLOOKUP(DA$10,'VK-Biokütused'!$C:$U,2+$E127,0))+IF(DA$5="X",VLOOKUP(DA$10,'VK-Põlevkivi'!$C:$X,2+$G127,0))+IF(DA$4="X",VLOOKUP(DA$10,'VK-Võrgud'!$C:$X,2+$F127,0)))/1000</f>
        <v>9.1110000000000007</v>
      </c>
      <c r="DB127" s="209">
        <f>(IF(DB$7="X",VLOOKUP(DB$10,'VK-Hooned-Soojus'!$C:$X,2+$C127,FALSE),0)+IF(DB$6="X",VLOOKUP(DB$10,'VK-Transport'!$C:$X,2+$B127,0))+IF(DB$8="X",VLOOKUP(DB$10,'VK-Elekter'!$C:$X,2+$D127,0))+IF(DB$9="X",VLOOKUP(DB$10,'VK-Biokütused'!$C:$U,2+$E127,0))+IF(DB$5="X",VLOOKUP(DB$10,'VK-Põlevkivi'!$C:$X,2+$G127,0))+IF(DB$4="X",VLOOKUP(DB$10,'VK-Võrgud'!$C:$X,2+$F127,0)))/1000/3.6</f>
        <v>36.44027777777778</v>
      </c>
      <c r="DC127" s="209">
        <f>(IF(DC$7="X",VLOOKUP(DC$10,'VK-Hooned-Soojus'!$C:$X,2+$C127,FALSE),0)+IF(DC$6="X",VLOOKUP(DC$10,'VK-Transport'!$C:$X,2+$B127,0))+IF(DC$8="X",VLOOKUP(DC$10,'VK-Elekter'!$C:$X,2+$D127,0))+IF(DC$9="X",VLOOKUP(DC$10,'VK-Biokütused'!$C:$U,2+$E127,0))+IF(DC$5="X",VLOOKUP(DC$10,'VK-Põlevkivi'!$C:$X,2+$G127,0))+IF(DC$4="X",VLOOKUP(DC$10,'VK-Võrgud'!$C:$X,2+$F127,0)))/1000000</f>
        <v>3.836141</v>
      </c>
      <c r="DD127" s="209"/>
      <c r="DE127" s="88">
        <f>VLOOKUP(Tulemused!$BN$12,data!M$7:N$12,2,FALSE)-SUM(L127,M127)</f>
        <v>-5.2509373024363981E-2</v>
      </c>
      <c r="DF127" s="209" t="str">
        <f>IF(AZ127&lt;=VLOOKUP(Tulemused!$BN$15,data!$E$36:$F$39,2,FALSE),"JAH","EI")</f>
        <v>JAH</v>
      </c>
      <c r="DG127" s="209"/>
      <c r="DH127" s="209">
        <f t="shared" si="85"/>
        <v>10.870000000000001</v>
      </c>
      <c r="DI127" s="231" t="str">
        <f t="shared" si="65"/>
        <v>EI</v>
      </c>
      <c r="DK127" s="232">
        <f t="shared" si="86"/>
        <v>-988.25702786496038</v>
      </c>
      <c r="DM127" s="233">
        <f t="shared" si="87"/>
        <v>-997.85634665058421</v>
      </c>
      <c r="DN127" s="87">
        <f t="array" ref="DN127">INDEX($A$11:$A$145, SMALL(IF(DM127=$DK$11:$DK$145, MATCH(ROW($DK$11:$DK$145), ROW($DK$11:$DK$145))), SUM(--(DM127=$DM$11:DM127))))</f>
        <v>49</v>
      </c>
      <c r="DP127" s="87" t="e">
        <f t="shared" ca="1" si="66"/>
        <v>#N/A</v>
      </c>
      <c r="DQ127" s="87" t="e">
        <f t="shared" ca="1" si="67"/>
        <v>#N/A</v>
      </c>
      <c r="DR127" s="87">
        <f t="shared" ca="1" si="68"/>
        <v>0</v>
      </c>
      <c r="DS127" s="87" t="e">
        <f t="shared" ca="1" si="69"/>
        <v>#N/A</v>
      </c>
      <c r="DT127" s="87">
        <f t="shared" ca="1" si="70"/>
        <v>0</v>
      </c>
      <c r="DU127" s="87" t="e">
        <f t="shared" ca="1" si="71"/>
        <v>#N/A</v>
      </c>
      <c r="DV127" s="87" t="e">
        <f t="shared" ca="1" si="72"/>
        <v>#N/A</v>
      </c>
      <c r="DW127" s="87">
        <f t="shared" ca="1" si="73"/>
        <v>0</v>
      </c>
      <c r="DX127" s="87">
        <f t="shared" ca="1" si="74"/>
        <v>0</v>
      </c>
      <c r="DZ127" s="87">
        <f t="shared" ca="1" si="82"/>
        <v>0</v>
      </c>
      <c r="EB127" s="87">
        <f t="shared" ca="1" si="75"/>
        <v>0</v>
      </c>
      <c r="EC127" s="87" t="e">
        <f t="shared" ca="1" si="76"/>
        <v>#N/A</v>
      </c>
      <c r="EE127" s="228">
        <f>(IF(EE$7="X",VLOOKUP(EE$10,'VK-Hooned-Soojus'!$C:$X,2+$C127,FALSE),0)+IF(EE$6="X",VLOOKUP(EE$10,'VK-Transport'!$C:$X,2+$B127,0))+IF(EE$8="X",VLOOKUP(EE$10,'VK-Elekter'!$C:$X,2+$D127,0))+IF(EE$9="X",VLOOKUP(EE$10,'VK-Biokütused'!$C:$U,2+$E127,0))+IF(EE$5="X",VLOOKUP(EE$10,'VK-Põlevkivi'!$C:$X,2+$G127,0))+IF(EE$4="X",VLOOKUP(EE$10,'VK-Võrgud'!$C:$X,2+$F127,0)))</f>
        <v>12089.682868175654</v>
      </c>
      <c r="EF127" s="235">
        <f>(IF(EF$7="X",VLOOKUP(EF$10,'VK-Hooned-Soojus'!$C:$X,2+$C127,FALSE),0)+IF(EF$6="X",VLOOKUP(EF$10,'VK-Transport'!$C:$X,2+$B127,0))+IF(EF$8="X",VLOOKUP(EF$10,'VK-Elekter'!$C:$X,2+$D127,0))+IF(EF$9="X",VLOOKUP(EF$10,'VK-Biokütused'!$C:$U,2+$E127,0)))/1000</f>
        <v>1.97688499063732</v>
      </c>
      <c r="EG127" s="209">
        <f>(IF(EG$7="X",VLOOKUP(EG$10,'VK-Hooned-Soojus'!$C:$X,2+$C127,FALSE),0)+IF(EG$6="X",VLOOKUP(EG$10,'VK-Transport'!$C:$X,2+$B127,0))+IF(EG$8="X",VLOOKUP(EG$10,'VK-Elekter'!$C:$X,2+$D127,0))+IF(EG$9="X",VLOOKUP(EG$10,'VK-Biokütused'!$C:$U,2+$E127,0))+IF(EG$5="X",VLOOKUP(EG$10,'VK-Põlevkivi'!$C:$X,2+$G127,0))+IF(EG$4="X",VLOOKUP(EG$10,'VK-Võrgud'!$C:$X,2+$F127,0)))</f>
        <v>0.81</v>
      </c>
      <c r="EH127" s="209">
        <f>(IF(EH$7="X",VLOOKUP(EH$10,'VK-Hooned-Soojus'!$C:$X,2+$C127,FALSE),0)+IF(EH$6="X",VLOOKUP(EH$10,'VK-Transport'!$C:$X,2+$B127,0))+IF(EH$8="X",VLOOKUP(EH$10,'VK-Elekter'!$C:$X,2+$D127,0))+IF(EH$9="X",VLOOKUP(EH$10,'VK-Biokütused'!$C:$U,2+$E127,0)))+AR127+AS127+AU127+AX127</f>
        <v>42.324404480632253</v>
      </c>
      <c r="EI127" s="320">
        <f t="shared" si="88"/>
        <v>40.166388888888889</v>
      </c>
      <c r="EJ127" s="322">
        <f t="shared" si="89"/>
        <v>2.4608217929567841E-2</v>
      </c>
      <c r="EK127" s="323">
        <f t="shared" si="77"/>
        <v>0.54282086356383619</v>
      </c>
      <c r="EM127" s="209"/>
      <c r="EN127" s="209">
        <f t="shared" ca="1" si="90"/>
        <v>0</v>
      </c>
      <c r="EO127" s="209"/>
      <c r="EP127" s="234"/>
      <c r="EQ127" s="209">
        <f>(IF(EQ$7="X",VLOOKUP(EQ$10,'VK-Hooned-Soojus'!$C:$X,2+$C127,FALSE),0)+IF(EQ$6="X",VLOOKUP(EQ$10,'VK-Transport'!$C:$X,2+$B127,0))+IF(EQ$8="X",VLOOKUP(EQ$10,'VK-Elekter'!$C:$X,2+$D127,0))+IF(EQ$9="X",VLOOKUP(EQ$10,'VK-Biokütused'!$C:$U,2+$E127,0))+IF(EQ$5="X",VLOOKUP(EQ$10,'VK-Põlevkivi'!$C:$X,2+$G127,0))+IF(EQ$4="X",VLOOKUP(EQ$10,'VK-Võrgud'!$C:$X,2+$F127,0)))/1000</f>
        <v>0.21099999999999999</v>
      </c>
      <c r="ER127" s="209">
        <f>(IF(ER$7="X",VLOOKUP(ER$10,'VK-Hooned-Soojus'!$C:$X,2+$C127,FALSE),0)+IF(ER$6="X",VLOOKUP(ER$10,'VK-Transport'!$C:$X,2+$B127,0))+IF(ER$8="X",VLOOKUP(ER$10,'VK-Elekter'!$C:$X,2+$D127,0))+IF(ER$9="X",VLOOKUP(ER$10,'VK-Biokütused'!$C:$U,2+$E127,0))+IF(ER$5="X",VLOOKUP(ER$10,'VK-Põlevkivi'!$C:$X,2+$G127,0))+IF(ER$4="X",VLOOKUP(ER$10,'VK-Võrgud'!$C:$X,2+$F127,0)))</f>
        <v>0.76300000000000001</v>
      </c>
      <c r="ES127" s="209">
        <f>(IF(ES$7="X",VLOOKUP(ES$10,'VK-Hooned-Soojus'!$C:$X,2+$C127,FALSE),0)+IF(ES$6="X",VLOOKUP(ES$10,'VK-Transport'!$C:$X,2+$B127,0))+IF(ES$8="X",VLOOKUP(ES$10,'VK-Elekter'!$C:$X,2+$D127,0))+IF(ES$9="X",VLOOKUP(ES$10,'VK-Biokütused'!$C:$U,2+$E127,0))+IF(ES$5="X",VLOOKUP(ES$10,'VK-Põlevkivi'!$C:$X,2+$G127,0))+IF(ES$4="X",VLOOKUP(ES$10,'VK-Võrgud'!$C:$X,2+$F127,0)))</f>
        <v>10.870000000000001</v>
      </c>
      <c r="ET127" s="209"/>
      <c r="EU127" s="209"/>
      <c r="EV127" s="87">
        <f>'KSH järjestus'!AS120</f>
        <v>742</v>
      </c>
      <c r="EZ127" s="237">
        <f t="shared" si="91"/>
        <v>0.36609829488465395</v>
      </c>
      <c r="FA127" s="209">
        <f>IF(FA$7="X",VLOOKUP(FA$10,'VK-Hooned-Soojus'!$C:$X,2+$C127,FALSE),0)+IF(FA$6="X",VLOOKUP(FA$10,'VK-Transport'!$C:$X,2+$B127,0))+IF(FA$8="X",VLOOKUP(FA$10,'VK-Elekter'!$C:$X,2+$D127,0))+IF(FA$9="X",VLOOKUP(FA$10,'VK-Biokütused'!$C:$U,2+$E127,0))+IF(FA$5="X",VLOOKUP(FA$10,'VK-Põlevkivi'!$C:$X,2+$G127,0))+IF(FA$4="X",VLOOKUP(FA$10,'VK-Võrgud'!$C:$X,2+$F127,0))</f>
        <v>2991.9189999999999</v>
      </c>
      <c r="FB127" s="279">
        <f>(IF(FB$7="X",VLOOKUP(FB$10,'VK-Hooned-Soojus'!$C:$X,2+$C127,FALSE),0)+IF(FB$6="X",VLOOKUP(FB$10,'VK-Transport'!$C:$X,2+$B127,0))+IF(FB$8="X",VLOOKUP(FB$10,'VK-Elekter'!$C:$X,2+$D127,0))+IF(FB$9="X",VLOOKUP(FB$10,'VK-Biokütused'!$C:$U,2+$E127,0))+IF(FB$5="X",VLOOKUP(FB$10,'VK-Põlevkivi'!$C:$X,2+$G127,0))+IF(FB$4="X",VLOOKUP(FB$10,'VK-Võrgud'!$C:$X,2+$F127,0)))/16</f>
        <v>608.06821961076935</v>
      </c>
      <c r="FC127" s="209">
        <f>IF(FC$7="X",VLOOKUP(FC$10,'VK-Hooned-Soojus'!$C:$X,2+$C127,FALSE),0)+IF(FC$6="X",VLOOKUP(FC$10,'VK-Transport'!$C:$X,2+$B127,0))+IF(FC$8="X",VLOOKUP(FC$10,'VK-Elekter'!$C:$X,2+$D127,0))+IF(FC$9="X",VLOOKUP(FC$10,'VK-Biokütused'!$C:$U,2+$E127,0))+IF(FC$5="X",VLOOKUP(FC$10,'VK-Põlevkivi'!$C:$X,2+$G127,0))+IF(FC$4="X",VLOOKUP(FC$10,'VK-Võrgud'!$C:$X,2+$F127,0))</f>
        <v>294.5</v>
      </c>
      <c r="FD127" s="209">
        <f>(IF(FD$7="X",VLOOKUP(FD$10,'VK-Hooned-Soojus'!$C:$X,2+$C127,FALSE),0)+IF(FD$6="X",VLOOKUP(FD$10,'VK-Transport'!$C:$X,2+$B127,0))+IF(FD$8="X",VLOOKUP(FD$10,'VK-Elekter'!$C:$X,2+$D127,0))+IF(FD$9="X",VLOOKUP(FD$10,'VK-Biokütused'!$C:$U,2+$E127,0))+IF(FD$5="X",VLOOKUP(FD$10,'VK-Põlevkivi'!$C:$X,2+$G127,0))+IF(FD$4="X",VLOOKUP(FD$10,'VK-Võrgud'!$C:$X,2+$F127,0)))/16</f>
        <v>608.06821961076935</v>
      </c>
      <c r="FE127" s="209">
        <f>(IF(FE$7="X",VLOOKUP(FE$10,'VK-Hooned-Soojus'!$C:$X,2+$C127,FALSE),0)+IF(FE$6="X",VLOOKUP(FE$10,'VK-Transport'!$C:$X,2+$B127,0))+IF(FE$8="X",VLOOKUP(FE$10,'VK-Elekter'!$C:$X,2+$D127,0))+IF(FE$9="X",VLOOKUP(FE$10,'VK-Biokütused'!$C:$U,2+$E127,0))+IF(FE$5="X",VLOOKUP(FE$10,'VK-Põlevkivi'!$C:$X,2+$G127,0))+IF(FE$4="X",VLOOKUP(FE$10,'VK-Võrgud'!$C:$X,2+$F127,0)))/16</f>
        <v>-111.63831369909104</v>
      </c>
      <c r="FF127" s="209">
        <f>(IF(FF$7="X",VLOOKUP(FF$10,'VK-Hooned-Soojus'!$C:$X,2+$C127,FALSE),0)+IF(FF$6="X",VLOOKUP(FF$10,'VK-Transport'!$C:$X,2+$B127,0))+IF(FF$8="X",VLOOKUP(FF$10,'VK-Elekter'!$C:$X,2+$D127,0))+IF(FF$9="X",VLOOKUP(FF$10,'VK-Biokütused'!$C:$U,2+$E127,0))+IF(FF$5="X",VLOOKUP(FF$10,'VK-Põlevkivi'!$C:$X,2+$G127,0))+IF(FF$4="X",VLOOKUP(FF$10,'VK-Võrgud'!$C:$X,2+$F127,0)))/16</f>
        <v>249.63944871184856</v>
      </c>
      <c r="FG127" s="88">
        <f t="shared" ca="1" si="78"/>
        <v>138.00113501275752</v>
      </c>
      <c r="FH127" s="88"/>
      <c r="FI127" s="88"/>
      <c r="FJ127" s="88">
        <f>VLOOKUP(Tulemused!$BN$12,data!M$7:N$12,2,FALSE)-SUM(L127,M127)</f>
        <v>-5.2509373024363981E-2</v>
      </c>
      <c r="FK127" s="209" t="str">
        <f>IF(AZ127&lt;=VLOOKUP(Tulemused!$BN$15,data!$E$36:$F$39,2,FALSE),"JAH","EI")</f>
        <v>JAH</v>
      </c>
      <c r="FL127" s="235">
        <f ca="1">IF(ISNA(MATCH($A127,INDIRECT(VLOOKUP(Tulemused!$BF$11,data!$J$57:$M$71,4,FALSE)))),0,MATCH($A127,INDIRECT(VLOOKUP(Tulemused!$BF$11,data!$J$57:$M$71,4,FALSE))))</f>
        <v>0</v>
      </c>
      <c r="FM127" s="235" t="str">
        <f t="shared" ca="1" si="92"/>
        <v>JAH</v>
      </c>
      <c r="FN127" s="209">
        <f>VLOOKUP(Tulemused!$BN$13,data!$C$132:$D$137,2,FALSE)-KOMBI!R127</f>
        <v>4.4628850093626804</v>
      </c>
      <c r="FO127" s="209"/>
      <c r="FP127" s="209">
        <f>VLOOKUP(Tulemused!$BN$17,NO_x,2,FALSE)-CJ127</f>
        <v>12.70627820675718</v>
      </c>
      <c r="FQ127" s="209">
        <f>VLOOKUP(Tulemused!$BN$18,SO_2,2,FALSE)-CK127</f>
        <v>45.228301198786582</v>
      </c>
      <c r="FR127" s="209">
        <f>VLOOKUP(Tulemused!$BN$19,LOU,2,FALSE)-CN127</f>
        <v>34.204000000000008</v>
      </c>
      <c r="FS127" s="209">
        <f>VLOOKUP(Tulemused!$BN$20,PM_2.5,2,FALSE)-CM127</f>
        <v>9.1251686429099035</v>
      </c>
      <c r="FT127" s="209">
        <f>VLOOKUP(Tulemused!$BN$13,data!$C$132:$D$137,2,FALSE)-FA127/1000</f>
        <v>3.2540510000000009</v>
      </c>
      <c r="FU127" s="209">
        <f>VLOOKUP(Tulemused!$BN$17,NO_x,2,FALSE)-CO127</f>
        <v>6.9226376626430053</v>
      </c>
      <c r="FV127" s="209">
        <f>VLOOKUP(Tulemused!$BN$18,SO_2,2,FALSE)-CP127</f>
        <v>45.226607879306343</v>
      </c>
      <c r="FW127" s="209">
        <f>VLOOKUP(Tulemused!$BN$19,LOU,2,FALSE)-CS127</f>
        <v>33.261350490137765</v>
      </c>
      <c r="FX127" s="209">
        <f>VLOOKUP(Tulemused!$BN$20,PM_2.5,2,FALSE)-CR127</f>
        <v>9.0652481626003105</v>
      </c>
      <c r="FY127" s="209">
        <f>VLOOKUP(Tulemused!$BN$14,KHG_2050,2,FALSE)-EF127</f>
        <v>98.023115009362684</v>
      </c>
      <c r="FZ127" s="231" t="str">
        <f t="shared" ca="1" si="79"/>
        <v>EI</v>
      </c>
      <c r="GA127" s="209"/>
      <c r="GB127" s="209"/>
      <c r="GC127" s="209"/>
      <c r="GD127" s="231"/>
      <c r="GE127" s="87">
        <f t="shared" si="93"/>
        <v>742</v>
      </c>
      <c r="GF127" s="232" t="str">
        <f t="shared" ca="1" si="80"/>
        <v/>
      </c>
      <c r="GH127" s="238" t="e">
        <f t="shared" ca="1" si="94"/>
        <v>#NUM!</v>
      </c>
      <c r="GI127" s="87" t="e">
        <f t="array" aca="1" ref="GI127" ca="1">INDEX($A$11:$A$145, SMALL(IF(GH127=$GF$11:$GF$145, MATCH(ROW($GF$11:$GF$145), ROW($GF$11:$GF$145))), SUM(--(GH127=$GH$11:GH127))))</f>
        <v>#NUM!</v>
      </c>
      <c r="GM127" s="209">
        <f>IF(GM$7="X",VLOOKUP(GM$10,'VK-Hooned-Soojus'!$C:$X,2+$C127,FALSE),0)+IF(GM$6="X",VLOOKUP(GM$10,'VK-Transport'!$C:$X,2+$B127,0))+IF(GM$8="X",VLOOKUP(GM$10,'VK-Elekter'!$C:$X,2+$D127,0))+IF(GM$9="X",VLOOKUP(GM$10,'VK-Biokütused'!$C:$U,2+$E127,0))+IF(GM$5="X",VLOOKUP(GM$10,'VK-Põlevkivi'!$C:$X,2+$G127,0))+IF(GM$4="X",VLOOKUP(GM$10,'VK-Võrgud'!$C:$X,2+$F127,0))</f>
        <v>0</v>
      </c>
      <c r="GN127" s="209">
        <f>IF(GN$7="X",VLOOKUP(GN$10,'VK-Hooned-Soojus'!$C:$X,2+$C127,FALSE),0)+IF(GN$6="X",VLOOKUP(GN$10,'VK-Transport'!$C:$X,2+$B127,0))+IF(GN$8="X",VLOOKUP(GN$10,'VK-Elekter'!$C:$X,2+$D127,0))+IF(GN$9="X",VLOOKUP(GN$10,'VK-Biokütused'!$C:$U,2+$E127,0))+IF(GN$5="X",VLOOKUP(GN$10,'VK-Põlevkivi'!$C:$X,2+$G127,0))+IF(GN$4="X",VLOOKUP(GN$10,'VK-Võrgud'!$C:$X,2+$F127,0))</f>
        <v>7.5434676424145266</v>
      </c>
      <c r="GO127" s="209">
        <f>IF(GO$7="X",VLOOKUP(GO$10,'VK-Hooned-Soojus'!$C:$X,2+$C127,FALSE),0)+IF(GO$6="X",VLOOKUP(GO$10,'VK-Transport'!$C:$X,2+$B127,0))+IF(GO$8="X",VLOOKUP(GO$10,'VK-Elekter'!$C:$X,2+$D127,0))+IF(GO$9="X",VLOOKUP(GO$10,'VK-Biokütused'!$C:$U,2+$E127,0))+IF(GO$5="X",VLOOKUP(GO$10,'VK-Põlevkivi'!$C:$X,2+$G127,0))+IF(GO$4="X",VLOOKUP(GO$10,'VK-Võrgud'!$C:$X,2+$F127,0))</f>
        <v>7.936370010272257</v>
      </c>
      <c r="GP127" s="209">
        <f>IF(GP$7="X",VLOOKUP(GP$10,'VK-Hooned-Soojus'!$C:$X,2+$C127,FALSE),0)+IF(GP$6="X",VLOOKUP(GP$10,'VK-Transport'!$C:$X,2+$B127,0))+IF(GP$8="X",VLOOKUP(GP$10,'VK-Elekter'!$C:$X,2+$D127,0))+IF(GP$9="X",VLOOKUP(GP$10,'VK-Biokütused'!$C:$U,2+$E127,0))+IF(GP$5="X",VLOOKUP(GP$10,'VK-Põlevkivi'!$C:$X,2+$G127,0))+IF(GP$4="X",VLOOKUP(GP$10,'VK-Võrgud'!$C:$X,2+$F127,0))</f>
        <v>9.1527946929596489</v>
      </c>
      <c r="GQ127" s="88">
        <f>IF(GQ$7="X",VLOOKUP(GQ$10,'VK-Hooned-Soojus'!$C:$X,2+$C127,FALSE),0)+IF(GQ$6="X",VLOOKUP(GQ$10,'VK-Transport'!$C:$X,2+$B127,0))+IF(GQ$8="X",VLOOKUP(GQ$10,'VK-Elekter'!$C:$X,2+$D127,0))+IF(GQ$9="X",VLOOKUP(GQ$10,'VK-Biokütused'!$C:$U,2+$E127,0))+IF(GQ$5="X",VLOOKUP(GQ$10,'VK-Põlevkivi'!$C:$X,2+$G127,0))+IF(GQ$4="X",VLOOKUP(GQ$10,'VK-Võrgud'!$C:$X,2+$F127,0))</f>
        <v>0.89042766952822527</v>
      </c>
      <c r="GR127" s="186">
        <f t="shared" si="81"/>
        <v>0.53478864393255998</v>
      </c>
    </row>
    <row r="128" spans="1:200" x14ac:dyDescent="0.2">
      <c r="A128" s="184">
        <v>118</v>
      </c>
      <c r="B128" s="87">
        <v>3</v>
      </c>
      <c r="C128" s="87">
        <v>2</v>
      </c>
      <c r="D128" s="87">
        <v>5</v>
      </c>
      <c r="E128" s="87">
        <v>1</v>
      </c>
      <c r="F128" s="87">
        <f>VLOOKUP(Tulemused!$BF$7,data!$J$6:$K$8,2,FALSE)</f>
        <v>2</v>
      </c>
      <c r="G128" s="87">
        <f>VLOOKUP(data!$H$2,data!$J$12:$K$14,2,FALSE)</f>
        <v>2</v>
      </c>
      <c r="I128" s="209">
        <f>IF(I$7="X",VLOOKUP(I$10,'VK-Hooned-Soojus'!$C:$X,2+$C128,FALSE),0)+IF(I$6="X",VLOOKUP(I$10,'VK-Transport'!$C:$X,2+$B128,0))+IF(I$8="X",VLOOKUP(I$10,'VK-Elekter'!$C:$X,2+$D128,0))+IF(I$9="X",VLOOKUP(I$10,'VK-Biokütused'!$C:$U,2+$E128,0))+IF(I$5="X",VLOOKUP(I$10,'VK-Põlevkivi'!$C:$X,2+$G128,0))+IF(I$4="X",VLOOKUP(I$10,'VK-Võrgud'!$C:$X,2+$F128,0))</f>
        <v>24.79</v>
      </c>
      <c r="J128" s="209">
        <f>IF(J$7="X",VLOOKUP(J$10,'VK-Hooned-Soojus'!$C:$X,2+$C128,FALSE),0)+IF(J$6="X",VLOOKUP(J$10,'VK-Transport'!$C:$X,2+$B128,0))+IF(J$8="X",VLOOKUP(J$10,'VK-Elekter'!$C:$X,2+$D128,0))+IF(J$9="X",VLOOKUP(J$10,'VK-Biokütused'!$C:$U,2+$E128,0))+IF(J$5="X",VLOOKUP(J$10,'VK-Põlevkivi'!$C:$X,2+$G128,0))+IF(J$4="X",VLOOKUP(J$10,'VK-Võrgud'!$C:$X,2+$F128,0))</f>
        <v>8.1258333333333344</v>
      </c>
      <c r="K128" s="209">
        <f>IF(K$7="X",VLOOKUP(K$10,'VK-Hooned-Soojus'!$C:$X,2+$C128,FALSE),0)+IF(K$6="X",VLOOKUP(K$10,'VK-Transport'!$C:$X,2+$B128,0))+IF(K$8="X",VLOOKUP(K$10,'VK-Elekter'!$C:$X,2+$D128,0))+IF(K$9="X",VLOOKUP(K$10,'VK-Biokütused'!$C:$U,2+$E128,0))+IF(K$5="X",VLOOKUP(K$10,'VK-Põlevkivi'!$C:$X,2+$G128,0))+IF(K$4="X",VLOOKUP(K$10,'VK-Võrgud'!$C:$X,2+$F128,0))</f>
        <v>15.27</v>
      </c>
      <c r="L128" s="209">
        <f>IF(L$7="X",VLOOKUP(L$10,'VK-Hooned-Soojus'!$C:$X,2+$C128,FALSE),0)+IF(L$6="X",VLOOKUP(L$10,'VK-Transport'!$C:$X,2+$B128,0))+IF(L$8="X",VLOOKUP(L$10,'VK-Elekter'!$C:$X,2+$D128,0))+IF(L$9="X",VLOOKUP(L$10,'VK-Biokütused'!$C:$U,2+$E128,0))+IF(L$5="X",VLOOKUP(L$10,'VK-Põlevkivi'!$C:$X,2+$G128,0))+IF(L$4="X",VLOOKUP(L$10,'VK-Võrgud'!$C:$X,2+$F128,0))</f>
        <v>24.2</v>
      </c>
      <c r="M128" s="209">
        <f>IF(M$7="X",VLOOKUP(M$10,'VK-Hooned-Soojus'!$C:$X,2+$C128,FALSE),0)+IF(M$6="X",VLOOKUP(M$10,'VK-Transport'!$C:$X,2+$B128,0))+IF(M$8="X",VLOOKUP(M$10,'VK-Elekter'!$C:$X,2+$D128,0))+IF(M$9="X",VLOOKUP(M$10,'VK-Biokütused'!$C:$U,2+$E128,0))+IF(M$5="X",VLOOKUP(M$10,'VK-Põlevkivi'!$C:$X,2+$G128,0))+IF(M$4="X",VLOOKUP(M$10,'VK-Võrgud'!$C:$X,2+$F128,0))</f>
        <v>8.68530937302436</v>
      </c>
      <c r="N128" s="209">
        <f>IF(N$7="X",VLOOKUP(N$10,'VK-Hooned-Soojus'!$C:$X,2+$C128,FALSE),0)+IF(N$6="X",VLOOKUP(N$10,'VK-Transport'!$C:$X,2+$B128,0))+IF(N$8="X",VLOOKUP(N$10,'VK-Elekter'!$C:$X,2+$D128,0))+IF(N$9="X",VLOOKUP(N$10,'VK-Biokütused'!$C:$U,2+$E128,0))+IF(N$5="X",VLOOKUP(N$10,'VK-Põlevkivi'!$C:$X,2+$G128,0))+IF(N$4="X",VLOOKUP(N$10,'VK-Võrgud'!$C:$X,2+$F128,0))</f>
        <v>16.09</v>
      </c>
      <c r="O128" s="209">
        <f t="shared" si="60"/>
        <v>32.915833333333332</v>
      </c>
      <c r="P128" s="209"/>
      <c r="Q128" s="209">
        <f>(IF(Q$7="X",VLOOKUP(Q$10,'VK-Hooned-Soojus'!$C:$X,2+$C128,FALSE),0)+IF(Q$6="X",VLOOKUP(Q$10,'VK-Transport'!$C:$X,2+$B128,0))+IF(Q$8="X",VLOOKUP(Q$10,'VK-Elekter'!$C:$X,2+$D128,0))+IF(Q$9="X",VLOOKUP(Q$10,'VK-Biokütused'!$C:$U,2+$E128,0))+IF(Q$5="X",VLOOKUP(Q$10,'VK-Põlevkivi'!$C:$X,2+$G128,0))+IF(Q$4="X",VLOOKUP(Q$10,'VK-Võrgud'!$C:$X,2+$F128,0)))/1000</f>
        <v>6.0640000000000001</v>
      </c>
      <c r="R128" s="209">
        <f>(IF(R$7="X",VLOOKUP(R$10,'VK-Hooned-Soojus'!$C:$X,2+$C128,FALSE),0)+IF(R$6="X",VLOOKUP(R$10,'VK-Transport'!$C:$X,2+$B128,0))+IF(R$8="X",VLOOKUP(R$10,'VK-Elekter'!$C:$X,2+$D128,0))+IF(R$9="X",VLOOKUP(R$10,'VK-Biokütused'!$C:$U,2+$E128,0))+IF(R$5="X",VLOOKUP(R$10,'VK-Põlevkivi'!$C:$X,2+$G128,0))+IF(R$4="X",VLOOKUP(R$10,'VK-Võrgud'!$C:$X,2+$F128,0)))/1000</f>
        <v>1.19688499063732</v>
      </c>
      <c r="S128" s="226">
        <f>VLOOKUP(S$10,'VK-Hooned-Soojus'!$C:$I,2+$C128,FALSE) + VLOOKUP(S$10,'VK-Transport'!$C:$I,2+$B128,FALSE)+ VLOOKUP(S$10,'VK-Biokütused'!$C:$G,2+$E128,FALSE)+ VLOOKUP(S$10,'VK-Elekter'!$C:$I,2+$D128,FALSE)+ VLOOKUP(S$10,'VK-Põlevkivi'!$C:$I,2+$G128,FALSE)+ VLOOKUP(S$10,'VK-Võrgud'!$C:$I,2+$F128,FALSE)</f>
        <v>2.7859117064575507E-2</v>
      </c>
      <c r="T128" s="226">
        <f>VLOOKUP(T$10,'VK-Hooned-Soojus'!$C:$I,2+$C128,FALSE) + VLOOKUP(T$10,'VK-Transport'!$C:$I,2+$B128,FALSE)+ VLOOKUP(T$10,'VK-Biokütused'!$C:$G,2+$E128,FALSE)+ VLOOKUP(T$10,'VK-Elekter'!$C:$I,2+$D128,FALSE)+ VLOOKUP(T$10,'VK-Põlevkivi'!$C:$I,2+$G128,FALSE)+ VLOOKUP(T$10,'VK-Võrgud'!$C:$I,2+$F128,FALSE)</f>
        <v>1.5074748854160108E-2</v>
      </c>
      <c r="U128" s="226">
        <f>VLOOKUP(U$10,'VK-Hooned-Soojus'!$C:$I,2+$C128,FALSE) + VLOOKUP(U$10,'VK-Transport'!$C:$I,2+$B128,FALSE)+ VLOOKUP(U$10,'VK-Biokütused'!$C:$G,2+$E128,FALSE)+ VLOOKUP(U$10,'VK-Elekter'!$C:$I,2+$D128,FALSE)+ VLOOKUP(U$10,'VK-Põlevkivi'!$C:$I,2+$G128,FALSE)+ VLOOKUP(U$10,'VK-Võrgud'!$C:$I,2+$F128,FALSE)</f>
        <v>1.2865504789963594E-2</v>
      </c>
      <c r="V128" s="226">
        <f>VLOOKUP(V$10,'VK-Hooned-Soojus'!$C:$I,2+$C128,FALSE) + VLOOKUP(V$10,'VK-Transport'!$C:$I,2+$B128,FALSE)+ VLOOKUP(V$10,'VK-Biokütused'!$C:$G,2+$E128,FALSE)+ VLOOKUP(V$10,'VK-Elekter'!$C:$I,2+$D128,FALSE)+ VLOOKUP(V$10,'VK-Põlevkivi'!$C:$I,2+$G128,FALSE)+ VLOOKUP(V$10,'VK-Võrgud'!$C:$I,2+$F128,FALSE)</f>
        <v>1.5346156669121447E-2</v>
      </c>
      <c r="W128" s="226">
        <f>VLOOKUP(W$10,'VK-Hooned-Soojus'!$C:$I,2+$C128,FALSE) + VLOOKUP(W$10,'VK-Transport'!$C:$I,2+$B128,FALSE)+ VLOOKUP(W$10,'VK-Biokütused'!$C:$G,2+$E128,FALSE)+ VLOOKUP(W$10,'VK-Elekter'!$C:$I,2+$D128,FALSE)+ VLOOKUP(W$10,'VK-Põlevkivi'!$C:$I,2+$G128,FALSE)+ VLOOKUP(W$10,'VK-Võrgud'!$C:$I,2+$F128,FALSE)</f>
        <v>-3.4282509800883057E-2</v>
      </c>
      <c r="X128" s="226">
        <f>VLOOKUP(X$10,'VK-Hooned-Soojus'!$C:$I,2+$C128,FALSE) + VLOOKUP(X$10,'VK-Transport'!$C:$I,2+$B128,FALSE)+ VLOOKUP(X$10,'VK-Biokütused'!$C:$G,2+$E128,FALSE)+ VLOOKUP(X$10,'VK-Elekter'!$C:$I,2+$D128,FALSE)+ VLOOKUP(X$10,'VK-Põlevkivi'!$C:$I,2+$G128,FALSE)+ VLOOKUP(X$10,'VK-Võrgud'!$C:$I,2+$F128,FALSE)</f>
        <v>3.6423990776624546E-2</v>
      </c>
      <c r="Y128" s="226">
        <f>VLOOKUP(Y$10,'VK-Hooned-Soojus'!$C:$I,2+$C128,FALSE) + VLOOKUP(Y$10,'VK-Transport'!$C:$I,2+$B128,FALSE)+ VLOOKUP(Y$10,'VK-Biokütused'!$C:$G,2+$E128,FALSE)+ VLOOKUP(Y$10,'VK-Elekter'!$C:$I,2+$D128,FALSE)+ VLOOKUP(Y$10,'VK-Põlevkivi'!$C:$I,2+$G128,FALSE)+ VLOOKUP(Y$10,'VK-Võrgud'!$C:$I,2+$F128,FALSE)</f>
        <v>2.5514616435758197E-2</v>
      </c>
      <c r="Z128" s="227">
        <f>(S128*Tulemused!$Q$9*10+T128*Tulemused!$Q$10*10+KOMBI!U128*Tulemused!$Q$11*10+KOMBI!V128*Tulemused!$Q$12*10)*Tulemused!$Q$8+-(W128*Tulemused!$Q$14*10+KOMBI!X128*Tulemused!$Q$15*10+KOMBI!Y128*Tulemused!$Q$16*10)*Tulemused!$Q$13</f>
        <v>6.9306424844407353</v>
      </c>
      <c r="AA128" s="228">
        <f>(IF(AA$7="X",VLOOKUP(AA$10,'VK-Hooned-Soojus'!$C:$X,2+$C128,FALSE),0)+IF(AA$6="X",VLOOKUP(AA$10,'VK-Transport'!$C:$X,2+$B128,0))+IF(AA$8="X",VLOOKUP(AA$10,'VK-Elekter'!$C:$X,2+$D128,0))+IF(AA$9="X",VLOOKUP(AA$10,'VK-Biokütused'!$C:$U,2+$E128,0))+IF(AA$5="X",VLOOKUP(AA$10,'VK-Põlevkivi'!$C:$X,2+$G128,0))+IF(AA$4="X",VLOOKUP(AA$10,'VK-Võrgud'!$C:$X,2+$F128,0)))</f>
        <v>4727</v>
      </c>
      <c r="AB128" s="228">
        <f>(IF(AB$7="X",VLOOKUP(AB$10,'VK-Hooned-Soojus'!$C:$X,2+$C128,FALSE),0)+IF(AB$6="X",VLOOKUP(AB$10,'VK-Transport'!$C:$X,2+$B128,0))+IF(AB$8="X",VLOOKUP(AB$10,'VK-Elekter'!$C:$X,2+$D128,0))+IF(AB$9="X",VLOOKUP(AB$10,'VK-Biokütused'!$C:$U,2+$E128,0))+IF(AB$5="X",VLOOKUP(AB$10,'VK-Põlevkivi'!$C:$X,2+$G128,0))+IF(AB$4="X",VLOOKUP(AB$10,'VK-Võrgud'!$C:$X,2+$F128,0)))</f>
        <v>1337</v>
      </c>
      <c r="AC128" s="228">
        <f>(IF(AC$7="X",VLOOKUP(AC$10,'VK-Hooned-Soojus'!$C:$X,2+$C128,FALSE),0)+IF(AC$6="X",VLOOKUP(AC$10,'VK-Transport'!$C:$X,2+$B128,0))+IF(AC$8="X",VLOOKUP(AC$10,'VK-Elekter'!$C:$X,2+$D128,0))+IF(AC$9="X",VLOOKUP(AC$10,'VK-Biokütused'!$C:$U,2+$E128,0))+IF(AC$5="X",VLOOKUP(AC$10,'VK-Põlevkivi'!$C:$X,2+$G128,0))+IF(AC$4="X",VLOOKUP(AC$10,'VK-Võrgud'!$C:$X,2+$F128,0)))</f>
        <v>2346</v>
      </c>
      <c r="AD128" s="228">
        <f>(IF(AD$7="X",VLOOKUP(AD$10,'VK-Hooned-Soojus'!$C:$X,2+$C128,FALSE),0)+IF(AD$6="X",VLOOKUP(AD$10,'VK-Transport'!$C:$X,2+$B128,0))+IF(AD$8="X",VLOOKUP(AD$10,'VK-Elekter'!$C:$X,2+$D128,0))+IF(AD$9="X",VLOOKUP(AD$10,'VK-Biokütused'!$C:$U,2+$E128,0))+IF(AD$5="X",VLOOKUP(AD$10,'VK-Põlevkivi'!$C:$X,2+$G128,0))+IF(AD$4="X",VLOOKUP(AD$10,'VK-Võrgud'!$C:$X,2+$F128,0)))</f>
        <v>0</v>
      </c>
      <c r="AE128" s="228">
        <f>(IF(AE$7="X",VLOOKUP(AE$10,'VK-Hooned-Soojus'!$C:$X,2+$C128,FALSE),0)+IF(AE$6="X",VLOOKUP(AE$10,'VK-Transport'!$C:$X,2+$B128,0))+IF(AE$8="X",VLOOKUP(AE$10,'VK-Elekter'!$C:$X,2+$D128,0))+IF(AE$9="X",VLOOKUP(AE$10,'VK-Biokütused'!$C:$U,2+$E128,0))+IF(AE$5="X",VLOOKUP(AE$10,'VK-Põlevkivi'!$C:$X,2+$G128,0))+IF(AE$4="X",VLOOKUP(AE$10,'VK-Võrgud'!$C:$X,2+$F128,0)))</f>
        <v>666</v>
      </c>
      <c r="AF128" s="228">
        <f>(IF(AF$7="X",VLOOKUP(AF$10,'VK-Hooned-Soojus'!$C:$X,2+$C128,FALSE),0)+IF(AF$6="X",VLOOKUP(AF$10,'VK-Transport'!$C:$X,2+$B128,0))+IF(AF$8="X",VLOOKUP(AF$10,'VK-Elekter'!$C:$X,2+$D128,0))+IF(AF$9="X",VLOOKUP(AF$10,'VK-Biokütused'!$C:$U,2+$E128,0))+IF(AF$5="X",VLOOKUP(AF$10,'VK-Põlevkivi'!$C:$X,2+$G128,0))+IF(AF$4="X",VLOOKUP(AF$10,'VK-Võrgud'!$C:$X,2+$F128,0)))</f>
        <v>530.88499063732002</v>
      </c>
      <c r="AG128" s="209"/>
      <c r="AH128" s="209">
        <f>IF(AH$7="X",VLOOKUP(AH$10,'VK-Hooned-Soojus'!$C:$X,2+$C128,FALSE),0)+IF(AH$6="X",VLOOKUP(AH$10,'VK-Transport'!$C:$X,2+$B128,0))+IF(AH$8="X",VLOOKUP(AH$10,'VK-Elekter'!$C:$X,2+$D128,0))+IF(AH$9="X",VLOOKUP(AH$10,'VK-Biokütused'!$C:$U,2+$E128,0))+IF(AH$5="X",VLOOKUP(AH$10,'VK-Põlevkivi'!$C:$X,2+$G128,0))+IF(AH$4="X",VLOOKUP(AH$10,'VK-Võrgud'!$C:$X,2+$F128,0))</f>
        <v>17.400000000000002</v>
      </c>
      <c r="AI128" s="209">
        <f>IF(AI$7="X",VLOOKUP(AI$10,'VK-Hooned-Soojus'!$C:$X,2+$C128,FALSE),0)+IF(AI$6="X",VLOOKUP(AI$10,'VK-Transport'!$C:$X,2+$B128,0))+IF(AI$8="X",VLOOKUP(AI$10,'VK-Elekter'!$C:$X,2+$D128,0))+IF(AI$9="X",VLOOKUP(AI$10,'VK-Biokütused'!$C:$U,2+$E128,0))+IF(AI$5="X",VLOOKUP(AI$10,'VK-Põlevkivi'!$C:$X,2+$G128,0))+IF(AI$4="X",VLOOKUP(AI$10,'VK-Võrgud'!$C:$X,2+$F128,0))</f>
        <v>2.3100000000000005</v>
      </c>
      <c r="AJ128" s="209">
        <f>IF(AJ$7="X",VLOOKUP(AJ$10,'VK-Hooned-Soojus'!$C:$X,2+$C128,FALSE),0)+IF(AJ$6="X",VLOOKUP(AJ$10,'VK-Transport'!$C:$X,2+$B128,0))+IF(AJ$8="X",VLOOKUP(AJ$10,'VK-Elekter'!$C:$X,2+$D128,0))+IF(AJ$9="X",VLOOKUP(AJ$10,'VK-Biokütused'!$C:$U,2+$E128,0))+IF(AJ$5="X",VLOOKUP(AJ$10,'VK-Põlevkivi'!$C:$X,2+$G128,0))+IF(AJ$4="X",VLOOKUP(AJ$10,'VK-Võrgud'!$C:$X,2+$F128,0))</f>
        <v>4.59</v>
      </c>
      <c r="AK128" s="209">
        <f>IF(AK$7="X",VLOOKUP(AK$10,'VK-Hooned-Soojus'!$C:$X,2+$C128,FALSE),0)+IF(AK$6="X",VLOOKUP(AK$10,'VK-Transport'!$C:$X,2+$B128,0))+IF(AK$8="X",VLOOKUP(AK$10,'VK-Elekter'!$C:$X,2+$D128,0))+IF(AK$9="X",VLOOKUP(AK$10,'VK-Biokütused'!$C:$U,2+$E128,0))+IF(AK$5="X",VLOOKUP(AK$10,'VK-Põlevkivi'!$C:$X,2+$G128,0))+IF(AK$4="X",VLOOKUP(AK$10,'VK-Võrgud'!$C:$X,2+$F128,0))</f>
        <v>-0.41</v>
      </c>
      <c r="AL128" s="209">
        <f>IF(AL$7="X",VLOOKUP(AL$10,'VK-Hooned-Soojus'!$C:$X,2+$C128,FALSE),0)+IF(AL$6="X",VLOOKUP(AL$10,'VK-Transport'!$C:$X,2+$B128,0))+IF(AL$8="X",VLOOKUP(AL$10,'VK-Elekter'!$C:$X,2+$D128,0))+IF(AL$9="X",VLOOKUP(AL$10,'VK-Biokütused'!$C:$U,2+$E128,0))+IF(AL$5="X",VLOOKUP(AL$10,'VK-Põlevkivi'!$C:$X,2+$G128,0))+IF(AL$4="X",VLOOKUP(AL$10,'VK-Võrgud'!$C:$X,2+$F128,0))</f>
        <v>7.1999999999999993</v>
      </c>
      <c r="AM128" s="209">
        <f>IF(AM$7="X",VLOOKUP(AM$10,'VK-Hooned-Soojus'!$C:$X,2+$C128,FALSE),0)+IF(AM$6="X",VLOOKUP(AM$10,'VK-Transport'!$C:$X,2+$B128,0))+IF(AM$8="X",VLOOKUP(AM$10,'VK-Elekter'!$C:$X,2+$D128,0))+IF(AM$9="X",VLOOKUP(AM$10,'VK-Biokütused'!$C:$U,2+$E128,0))+IF(AM$5="X",VLOOKUP(AM$10,'VK-Põlevkivi'!$C:$X,2+$G128,0))+IF(AM$4="X",VLOOKUP(AM$10,'VK-Võrgud'!$C:$X,2+$F128,0))</f>
        <v>11.9</v>
      </c>
      <c r="AN128" s="209">
        <f>IF(AN$7="X",VLOOKUP(AN$10,'VK-Hooned-Soojus'!$C:$X,2+$C128,FALSE),0)+IF(AN$6="X",VLOOKUP(AN$10,'VK-Transport'!$C:$X,2+$B128,0))+IF(AN$8="X",VLOOKUP(AN$10,'VK-Elekter'!$C:$X,2+$D128,0))+IF(AN$9="X",VLOOKUP(AN$10,'VK-Biokütused'!$C:$U,2+$E128,0))+IF(AN$5="X",VLOOKUP(AN$10,'VK-Põlevkivi'!$C:$X,2+$G128,0))+IF(AN$4="X",VLOOKUP(AN$10,'VK-Võrgud'!$C:$X,2+$F128,0))</f>
        <v>4.8999999999999995</v>
      </c>
      <c r="AO128" s="209">
        <f>IF(AO$7="X",VLOOKUP(AO$10,'VK-Hooned-Soojus'!$C:$X,2+$C128,FALSE),0)+IF(AO$6="X",VLOOKUP(AO$10,'VK-Transport'!$C:$X,2+$B128,0))+IF(AO$8="X",VLOOKUP(AO$10,'VK-Elekter'!$C:$X,2+$D128,0))+IF(AO$9="X",VLOOKUP(AO$10,'VK-Biokütused'!$C:$U,2+$E128,0))+IF(AO$5="X",VLOOKUP(AO$10,'VK-Põlevkivi'!$C:$X,2+$G128,0))+IF(AO$4="X",VLOOKUP(AO$10,'VK-Võrgud'!$C:$X,2+$F128,0))</f>
        <v>12.56</v>
      </c>
      <c r="AP128" s="209">
        <f>IF(AP$7="X",VLOOKUP(AP$10,'VK-Hooned-Soojus'!$C:$X,2+$C128,FALSE),0)+IF(AP$6="X",VLOOKUP(AP$10,'VK-Transport'!$C:$X,2+$B128,0))+IF(AP$8="X",VLOOKUP(AP$10,'VK-Elekter'!$C:$X,2+$D128,0))+IF(AP$9="X",VLOOKUP(AP$10,'VK-Biokütused'!$C:$U,2+$E128,0))+IF(AP$5="X",VLOOKUP(AP$10,'VK-Põlevkivi'!$C:$X,2+$G128,0))+IF(AP$4="X",VLOOKUP(AP$10,'VK-Võrgud'!$C:$X,2+$F128,0))</f>
        <v>6.28</v>
      </c>
      <c r="AQ128" s="320">
        <f t="shared" si="61"/>
        <v>0.25999999999999979</v>
      </c>
      <c r="AR128" s="209">
        <f>IF(AR$7="X",VLOOKUP(AR$10,'VK-Hooned-Soojus'!$C:$X,2+$C128,FALSE),0)+IF(AR$6="X",VLOOKUP(AR$10,'VK-Transport'!$C:$X,2+$B128,0))+IF(AR$8="X",VLOOKUP(AR$10,'VK-Elekter'!$C:$X,2+$D128,0))+IF(AR$9="X",VLOOKUP(AR$10,'VK-Biokütused'!$C:$U,2+$E128,0))+IF(AR$5="X",VLOOKUP(AR$10,'VK-Põlevkivi'!$C:$X,2+$G128,0))+IF(AR$4="X",VLOOKUP(AR$10,'VK-Võrgud'!$C:$X,2+$F128,0))</f>
        <v>13.309999999999999</v>
      </c>
      <c r="AS128" s="235">
        <f>'VK-Põlevkivi'!$F$8-AR128-AU128</f>
        <v>14.298622986547709</v>
      </c>
      <c r="AT128" s="209">
        <f>IF(AT$7="X",VLOOKUP(AT$10,'VK-Hooned-Soojus'!$C:$X,2+$C128,FALSE),0)+IF(AT$6="X",VLOOKUP(AT$10,'VK-Transport'!$C:$X,2+$B128,0))+IF(AT$8="X",VLOOKUP(AT$10,'VK-Elekter'!$C:$X,2+$D128,0))+IF(AT$9="X",VLOOKUP(AT$10,'VK-Biokütused'!$C:$U,2+$E128,0))+IF(AT$5="X",VLOOKUP(AT$10,'VK-Põlevkivi'!$C:$X,2+$G128,0))+IF(AT$4="X",VLOOKUP(AT$10,'VK-Võrgud'!$C:$X,2+$F128,0))</f>
        <v>5.7045296564339489</v>
      </c>
      <c r="AU128" s="235">
        <f>'VK-Põlevkivi'!$F$9-VLOOKUP("Kütuste tarbimine @ 2030 - PÕLEVKIVIÕLI",'VK-Hooned-Soojus'!$C:$X,2+$C128,FALSE)</f>
        <v>28.928043680118964</v>
      </c>
      <c r="AV128" s="209">
        <f>IF(AV$7="X",VLOOKUP(AV$10,'VK-Hooned-Soojus'!$C:$X,2+$C128,FALSE),0)+IF(AV$6="X",VLOOKUP(AV$10,'VK-Transport'!$C:$X,2+$B128,0))+IF(AV$8="X",VLOOKUP(AV$10,'VK-Elekter'!$C:$X,2+$D128,0))+IF(AV$9="X",VLOOKUP(AV$10,'VK-Biokütused'!$C:$U,2+$E128,0))+IF(AV$5="X",VLOOKUP(AV$10,'VK-Põlevkivi'!$C:$X,2+$G128,0))+IF(AV$4="X",VLOOKUP(AV$10,'VK-Võrgud'!$C:$X,2+$F128,0))</f>
        <v>2.1219844082566364</v>
      </c>
      <c r="AW128" s="209">
        <f>IF(AW$7="X",VLOOKUP(AW$10,'VK-Hooned-Soojus'!$C:$X,2+$C128,FALSE),0)+IF(AW$6="X",VLOOKUP(AW$10,'VK-Transport'!$C:$X,2+$B128,0))+IF(AW$8="X",VLOOKUP(AW$10,'VK-Elekter'!$C:$X,2+$D128,0))+IF(AW$9="X",VLOOKUP(AW$10,'VK-Biokütused'!$C:$U,2+$E128,0))+IF(AW$5="X",VLOOKUP(AW$10,'VK-Põlevkivi'!$C:$X,2+$G128,0))+IF(AW$4="X",VLOOKUP(AW$10,'VK-Võrgud'!$C:$X,2+$F128,0))</f>
        <v>0</v>
      </c>
      <c r="AX128" s="229">
        <f t="shared" si="62"/>
        <v>0</v>
      </c>
      <c r="AY128" s="229">
        <f t="shared" si="63"/>
        <v>2.1219844082566364</v>
      </c>
      <c r="AZ128" s="230">
        <f t="shared" si="83"/>
        <v>0.29522987416993252</v>
      </c>
      <c r="BA128" s="209">
        <f>IF(BA$7="X",VLOOKUP(BA$10,'VK-Hooned-Soojus'!$C:$X,2+$C128,FALSE),0)+IF(BA$6="X",VLOOKUP(BA$10,'VK-Transport'!$C:$X,2+$B128,0))+IF(BA$8="X",VLOOKUP(BA$10,'VK-Elekter'!$C:$X,2+$D128,0))+IF(BA$9="X",VLOOKUP(BA$10,'VK-Biokütused'!$C:$U,2+$E128,0))+IF(BA$5="X",VLOOKUP(BA$10,'VK-Põlevkivi'!$C:$X,2+$G128,0))+IF(BA$4="X",VLOOKUP(BA$10,'VK-Võrgud'!$C:$X,2+$F128,0))</f>
        <v>7.41</v>
      </c>
      <c r="BB128" s="209">
        <f>IF(BB$7="X",VLOOKUP(BB$10,'VK-Hooned-Soojus'!$C:$X,2+$C128,FALSE),0)+IF(BB$6="X",VLOOKUP(BB$10,'VK-Transport'!$C:$X,2+$B128,0))+IF(BB$8="X",VLOOKUP(BB$10,'VK-Elekter'!$C:$X,2+$D128,0))+IF(BB$9="X",VLOOKUP(BB$10,'VK-Biokütused'!$C:$U,2+$E128,0))+IF(BB$5="X",VLOOKUP(BB$10,'VK-Põlevkivi'!$C:$X,2+$G128,0))+IF(BB$4="X",VLOOKUP(BB$10,'VK-Võrgud'!$C:$X,2+$F128,0))</f>
        <v>2.96</v>
      </c>
      <c r="BC128" s="209">
        <f>IF(BC$7="X",VLOOKUP(BC$10,'VK-Hooned-Soojus'!$C:$X,2+$C128,FALSE),0)+IF(BC$6="X",VLOOKUP(BC$10,'VK-Transport'!$C:$X,2+$B128,0))+IF(BC$8="X",VLOOKUP(BC$10,'VK-Elekter'!$C:$X,2+$D128,0))+IF(BC$9="X",VLOOKUP(BC$10,'VK-Biokütused'!$C:$U,2+$E128,0))+IF(BC$5="X",VLOOKUP(BC$10,'VK-Põlevkivi'!$C:$X,2+$G128,0))+IF(BC$4="X",VLOOKUP(BC$10,'VK-Võrgud'!$C:$X,2+$F128,0))</f>
        <v>6.5993333333333322</v>
      </c>
      <c r="BD128" s="209">
        <f>IF(BD$7="X",VLOOKUP(BD$10,'VK-Hooned-Soojus'!$C:$X,2+$C128,FALSE),0)+IF(BD$6="X",VLOOKUP(BD$10,'VK-Transport'!$C:$X,2+$B128,0))+IF(BD$8="X",VLOOKUP(BD$10,'VK-Elekter'!$C:$X,2+$D128,0))+IF(BD$9="X",VLOOKUP(BD$10,'VK-Biokütused'!$C:$U,2+$E128,0))+IF(BD$5="X",VLOOKUP(BD$10,'VK-Põlevkivi'!$C:$X,2+$G128,0))+IF(BD$4="X",VLOOKUP(BD$10,'VK-Võrgud'!$C:$X,2+$F128,0))</f>
        <v>9.425416666666667</v>
      </c>
      <c r="BE128" s="230"/>
      <c r="BF128" s="229">
        <f t="shared" si="64"/>
        <v>0.27432571009522233</v>
      </c>
      <c r="BG128" s="209" t="e">
        <f>(IF(BG$7="X",VLOOKUP(BG$10,'VK-Hooned-Soojus'!$C:$X,2+$C128,FALSE),0)+IF(BG$6="X",VLOOKUP(BG$10,'VK-Transport'!$C:$X,2+$B128,0))+IF(BG$8="X",VLOOKUP(BG$10,'VK-Elekter'!$C:$X,2+$D128,0))+IF(BG$9="X",VLOOKUP(BG$10,'VK-Biokütused'!$C:$U,2+$E128,0))+IF(BG$5="X",VLOOKUP(BG$10,'VK-Põlevkivi'!$C:$X,2+$G128,0))+IF(BG$4="X",VLOOKUP(BG$10,'VK-Võrgud'!$C:$X,2+$F128,0)))/20</f>
        <v>#N/A</v>
      </c>
      <c r="BH128" s="209">
        <f>(IF(BH$7="X",VLOOKUP(BH$10,'VK-Hooned-Soojus'!$C:$X,2+$C128,FALSE),0)+IF(BH$6="X",VLOOKUP(BH$10,'VK-Transport'!$C:$X,2+$B128,0))+IF(BH$8="X",VLOOKUP(BH$10,'VK-Elekter'!$C:$X,2+$D128,0))+IF(BH$9="X",VLOOKUP(BH$10,'VK-Biokütused'!$C:$U,2+$E128,0))+IF(BH$5="X",VLOOKUP(BH$10,'VK-Põlevkivi'!$C:$X,2+$G128,0))+IF(BH$4="X",VLOOKUP(BH$10,'VK-Võrgud'!$C:$X,2+$F128,0)))/20</f>
        <v>45.08</v>
      </c>
      <c r="BI128" s="209">
        <f>(IF(BI$7="X",VLOOKUP(BI$10,'VK-Hooned-Soojus'!$C:$X,2+$C128,FALSE),0)+IF(BI$6="X",VLOOKUP(BI$10,'VK-Transport'!$C:$X,2+$B128,0))+IF(BI$8="X",VLOOKUP(BI$10,'VK-Elekter'!$C:$X,2+$D128,0))+IF(BI$9="X",VLOOKUP(BI$10,'VK-Biokütused'!$C:$U,2+$E128,0))+IF(BI$5="X",VLOOKUP(BI$10,'VK-Põlevkivi'!$C:$X,2+$G128,0))+IF(BI$4="X",VLOOKUP(BI$10,'VK-Võrgud'!$C:$X,2+$F128,0)))/16</f>
        <v>14.1875</v>
      </c>
      <c r="BJ128" s="209">
        <f>(IF(BJ$7="X",VLOOKUP(BJ$10,'VK-Hooned-Soojus'!$C:$X,2+$C128,FALSE),0)+IF(BJ$6="X",VLOOKUP(BJ$10,'VK-Transport'!$C:$X,2+$B128,0))+IF(BJ$8="X",VLOOKUP(BJ$10,'VK-Elekter'!$C:$X,2+$D128,0))+IF(BJ$9="X",VLOOKUP(BJ$10,'VK-Biokütused'!$C:$U,2+$E128,0))+IF(BJ$5="X",VLOOKUP(BJ$10,'VK-Põlevkivi'!$C:$X,2+$G128,0))+IF(BJ$4="X",VLOOKUP(BJ$10,'VK-Võrgud'!$C:$X,2+$F128,0)))/20</f>
        <v>3.91</v>
      </c>
      <c r="BK128" s="209"/>
      <c r="BL128" s="209"/>
      <c r="BM128" s="209"/>
      <c r="BN128" s="209" t="e">
        <f>(IF(BN$7="X",VLOOKUP(BN$10,'VK-Hooned-Soojus'!$C:$X,2+$C128,FALSE),0)+IF(BN$6="X",VLOOKUP(BN$10,'VK-Transport'!$C:$X,2+$B128,0))+IF(BN$8="X",VLOOKUP(BN$10,'VK-Elekter'!$C:$X,2+$D128,0))+IF(BN$9="X",VLOOKUP(BN$10,'VK-Biokütused'!$C:$U,2+$E128,0))+IF(BN$5="X",VLOOKUP(BN$10,'VK-Põlevkivi'!$C:$X,2+$G128,0))+IF(BN$4="X",VLOOKUP(BN$10,'VK-Võrgud'!$C:$X,2+$F128,0)))/16</f>
        <v>#N/A</v>
      </c>
      <c r="BO128" s="209">
        <f>(IF(BO$7="X",VLOOKUP(BO$10,'VK-Hooned-Soojus'!$C:$X,2+$C128,FALSE),0)+IF(BO$6="X",VLOOKUP(BO$10,'VK-Transport'!$C:$X,2+$B128,0))+IF(BO$8="X",VLOOKUP(BO$10,'VK-Elekter'!$C:$X,2+$D128,0))+IF(BO$9="X",VLOOKUP(BO$10,'VK-Biokütused'!$C:$U,2+$E128,0))+IF(BO$5="X",VLOOKUP(BO$10,'VK-Põlevkivi'!$C:$X,2+$G128,0))+IF(BO$4="X",VLOOKUP(BO$10,'VK-Võrgud'!$C:$X,2+$F128,0)))/16</f>
        <v>322.79374999999999</v>
      </c>
      <c r="BP128" s="209"/>
      <c r="BQ128" s="209">
        <f>(IF(BQ$7="X",VLOOKUP(BQ$10,'VK-Hooned-Soojus'!$C:$X,2+$C128,FALSE),0)+IF(BQ$6="X",VLOOKUP(BQ$10,'VK-Transport'!$C:$X,2+$B128,0))+IF(BQ$8="X",VLOOKUP(BQ$10,'VK-Elekter'!$C:$X,2+$D128,0))+IF(BQ$9="X",VLOOKUP(BQ$10,'VK-Biokütused'!$C:$U,2+$E128,0))+IF(BQ$5="X",VLOOKUP(BQ$10,'VK-Põlevkivi'!$C:$X,2+$G128,0))+IF(BQ$4="X",VLOOKUP(BQ$10,'VK-Võrgud'!$C:$X,2+$F128,0)))/16</f>
        <v>233.20625000000001</v>
      </c>
      <c r="BR128" s="209">
        <f>(IF(BR$7="X",VLOOKUP(BR$10,'VK-Hooned-Soojus'!$C:$X,2+$C128,FALSE),0)+IF(BR$6="X",VLOOKUP(BR$10,'VK-Transport'!$C:$X,2+$B128,0))+IF(BR$8="X",VLOOKUP(BR$10,'VK-Elekter'!$C:$X,2+$D128,0))+IF(BR$9="X",VLOOKUP(BR$10,'VK-Biokütused'!$C:$U,2+$E128,0))+IF(BR$5="X",VLOOKUP(BR$10,'VK-Põlevkivi'!$C:$X,2+$G128,0))+IF(BR$4="X",VLOOKUP(BR$10,'VK-Võrgud'!$C:$X,2+$F128,0)))/16</f>
        <v>74.512500000000003</v>
      </c>
      <c r="BS128" s="209">
        <f>(IF(BS$7="X",VLOOKUP(BS$10,'VK-Hooned-Soojus'!$C:$X,2+$C128,FALSE),0)+IF(BS$6="X",VLOOKUP(BS$10,'VK-Transport'!$C:$X,2+$B128,0))+IF(BS$8="X",VLOOKUP(BS$10,'VK-Elekter'!$C:$X,2+$D128,0))+IF(BS$9="X",VLOOKUP(BS$10,'VK-Biokütused'!$C:$U,2+$E128,0))+IF(BS$5="X",VLOOKUP(BS$10,'VK-Põlevkivi'!$C:$X,2+$G128,0))+IF(BS$4="X",VLOOKUP(BS$10,'VK-Võrgud'!$C:$X,2+$F128,0)))/16</f>
        <v>-21.475000000000001</v>
      </c>
      <c r="BT128" s="209"/>
      <c r="BU128" s="209"/>
      <c r="BV128" s="209">
        <f>(IF(BV$7="X",VLOOKUP(BV$10,'VK-Hooned-Soojus'!$C:$X,2+$C128,FALSE),0)+IF(BV$6="X",VLOOKUP(BV$10,'VK-Transport'!$C:$X,2+$B128,0))+IF(BV$8="X",VLOOKUP(BV$10,'VK-Elekter'!$C:$X,2+$D128,0))+IF(BV$9="X",VLOOKUP(BV$10,'VK-Biokütused'!$C:$U,2+$E128,0))+IF(BV$5="X",VLOOKUP(BV$10,'VK-Põlevkivi'!$C:$X,2+$G128,0))+IF(BV$4="X",VLOOKUP(BV$10,'VK-Võrgud'!$C:$X,2+$F128,0)))/16</f>
        <v>0</v>
      </c>
      <c r="BW128" s="209"/>
      <c r="BX128" s="209">
        <f>(IF(BX$7="X",VLOOKUP(BX$10,'VK-Hooned-Soojus'!$C:$X,2+$C128,FALSE),0)+IF(BX$6="X",VLOOKUP(BX$10,'VK-Transport'!$C:$X,2+$B128,0))+IF(BX$8="X",VLOOKUP(BX$10,'VK-Elekter'!$C:$X,2+$D128,0))+IF(BX$9="X",VLOOKUP(BX$10,'VK-Biokütused'!$C:$U,2+$E128,0))+IF(BX$5="X",VLOOKUP(BX$10,'VK-Põlevkivi'!$C:$X,2+$G128,0))+IF(BX$4="X",VLOOKUP(BX$10,'VK-Võrgud'!$C:$X,2+$F128,0)))/16</f>
        <v>-145.125</v>
      </c>
      <c r="BY128" s="209"/>
      <c r="BZ128" s="209"/>
      <c r="CA128" s="209" t="e">
        <f>(IF(CA$7="X",VLOOKUP(CA$10,'VK-Hooned-Soojus'!$C:$X,2+$C128,FALSE),0)+IF(CA$6="X",VLOOKUP(CA$10,'VK-Transport'!$C:$X,2+$B128,0))+IF(CA$8="X",VLOOKUP(CA$10,'VK-Elekter'!$C:$X,2+$D128,0))+IF(CA$9="X",VLOOKUP(CA$10,'VK-Biokütused'!$C:$U,2+$E128,0))+IF(CA$5="X",VLOOKUP(CA$10,'VK-Põlevkivi'!$C:$X,2+$G128,0))+IF(CA$4="X",VLOOKUP(CA$10,'VK-Võrgud'!$C:$X,2+$F128,0)))/16</f>
        <v>#N/A</v>
      </c>
      <c r="CB128" s="209">
        <f>(IF(CB$7="X",VLOOKUP(CB$10,'VK-Hooned-Soojus'!$C:$X,2+$C128,FALSE),0)+IF(CB$6="X",VLOOKUP(CB$10,'VK-Transport'!$C:$X,2+$B128,0))+IF(CB$8="X",VLOOKUP(CB$10,'VK-Elekter'!$C:$X,2+$D128,0))+IF(CB$9="X",VLOOKUP(CB$10,'VK-Biokütused'!$C:$U,2+$E128,0))+IF(CB$5="X",VLOOKUP(CB$10,'VK-Põlevkivi'!$C:$X,2+$G128,0))+IF(CB$4="X",VLOOKUP(CB$10,'VK-Võrgud'!$C:$X,2+$F128,0)))/16</f>
        <v>0</v>
      </c>
      <c r="CC128" s="209">
        <f>(IF(CC$7="X",VLOOKUP(CC$10,'VK-Hooned-Soojus'!$C:$X,2+$C128,FALSE),0)+IF(CC$6="X",VLOOKUP(CC$10,'VK-Transport'!$C:$X,2+$B128,0))+IF(CC$8="X",VLOOKUP(CC$10,'VK-Elekter'!$C:$X,2+$D128,0))+IF(CC$9="X",VLOOKUP(CC$10,'VK-Biokütused'!$C:$U,2+$E128,0))+IF(CC$5="X",VLOOKUP(CC$10,'VK-Põlevkivi'!$C:$X,2+$G128,0))+IF(CC$4="X",VLOOKUP(CC$10,'VK-Võrgud'!$C:$X,2+$F128,0)))/16</f>
        <v>0</v>
      </c>
      <c r="CD128" s="209"/>
      <c r="CE128" s="209">
        <f>(IF(CE$7="X",VLOOKUP(CE$10,'VK-Hooned-Soojus'!$C:$X,2+$C128,FALSE),0)+IF(CE$6="X",VLOOKUP(CE$10,'VK-Transport'!$C:$X,2+$B128,0))+IF(CE$8="X",VLOOKUP(CE$10,'VK-Elekter'!$C:$X,2+$D128,0))+IF(CE$9="X",VLOOKUP(CE$10,'VK-Biokütused'!$C:$U,2+$E128,0))+IF(CE$5="X",VLOOKUP(CE$10,'VK-Põlevkivi'!$C:$X,2+$G128,0))+IF(CE$4="X",VLOOKUP(CE$10,'VK-Võrgud'!$C:$X,2+$F128,0)))/16</f>
        <v>24.15625</v>
      </c>
      <c r="CF128" s="209"/>
      <c r="CG128" s="209">
        <f>(IF(CG$7="X",VLOOKUP(CG$10,'VK-Hooned-Soojus'!$C:$X,2+$C128,FALSE),0)+IF(CG$6="X",VLOOKUP(CG$10,'VK-Transport'!$C:$X,2+$B128,0))+IF(CG$8="X",VLOOKUP(CG$10,'VK-Elekter'!$C:$X,2+$D128,0))+IF(CG$9="X",VLOOKUP(CG$10,'VK-Biokütused'!$C:$U,2+$E128,0))+IF(CG$5="X",VLOOKUP(CG$10,'VK-Põlevkivi'!$C:$X,2+$G128,0))+IF(CG$4="X",VLOOKUP(CG$10,'VK-Võrgud'!$C:$X,2+$F128,0)))/16</f>
        <v>0</v>
      </c>
      <c r="CH128" s="209">
        <f>(IF(CH$7="X",VLOOKUP(CH$10,'VK-Hooned-Soojus'!$C:$X,2+$C128,FALSE),0)+IF(CH$6="X",VLOOKUP(CH$10,'VK-Transport'!$C:$X,2+$B128,0))+IF(CH$8="X",VLOOKUP(CH$10,'VK-Elekter'!$C:$X,2+$D128,0))+IF(CH$9="X",VLOOKUP(CH$10,'VK-Biokütused'!$C:$U,2+$E128,0))+IF(CH$5="X",VLOOKUP(CH$10,'VK-Põlevkivi'!$C:$X,2+$G128,0))+IF(CH$4="X",VLOOKUP(CH$10,'VK-Võrgud'!$C:$X,2+$F128,0)))/20*0.21</f>
        <v>11.225549999999998</v>
      </c>
      <c r="CI128" s="209"/>
      <c r="CJ128" s="209">
        <f>(IF(CJ$7="X",VLOOKUP(CJ$10,'VK-Hooned-Soojus'!$C:$X,2+$C128,FALSE),0)+IF(CJ$6="X",VLOOKUP(CJ$10,'VK-Transport'!$C:$X,2+$B128,0))+IF(CJ$8="X",VLOOKUP(CJ$10,'VK-Elekter'!$C:$X,2+$D128,0))+IF(CJ$9="X",VLOOKUP(CJ$10,'VK-Biokütused'!$C:$U,2+$E128,0))+IF(CJ$5="X",VLOOKUP(CJ$10,'VK-Põlevkivi'!$C:$X,2+$G128,0))+IF(CJ$4="X",VLOOKUP(CJ$10,'VK-Võrgud'!$C:$X,2+$F128,0)))/1000</f>
        <v>21.63</v>
      </c>
      <c r="CK128" s="209">
        <f>(IF(CK$7="X",VLOOKUP(CK$10,'VK-Hooned-Soojus'!$C:$X,2+$C128,FALSE),0)+IF(CK$6="X",VLOOKUP(CK$10,'VK-Transport'!$C:$X,2+$B128,0))+IF(CK$8="X",VLOOKUP(CK$10,'VK-Elekter'!$C:$X,2+$D128,0))+IF(CK$9="X",VLOOKUP(CK$10,'VK-Biokütused'!$C:$U,2+$E128,0))+IF(CK$5="X",VLOOKUP(CK$10,'VK-Põlevkivi'!$C:$X,2+$G128,0))+IF(CK$4="X",VLOOKUP(CK$10,'VK-Võrgud'!$C:$X,2+$F128,0)))/1000</f>
        <v>38.487669554234017</v>
      </c>
      <c r="CL128" s="209">
        <f>(IF(CL$7="X",VLOOKUP(CL$10,'VK-Hooned-Soojus'!$C:$X,2+$C128,FALSE),0)+IF(CL$6="X",VLOOKUP(CL$10,'VK-Transport'!$C:$X,2+$B128,0))+IF(CL$8="X",VLOOKUP(CL$10,'VK-Elekter'!$C:$X,2+$D128,0))+IF(CL$9="X",VLOOKUP(CL$10,'VK-Biokütused'!$C:$U,2+$E128,0))+IF(CL$5="X",VLOOKUP(CL$10,'VK-Põlevkivi'!$C:$X,2+$G128,0))+IF(CL$4="X",VLOOKUP(CL$10,'VK-Võrgud'!$C:$X,2+$F128,0)))/1000</f>
        <v>10.832630311598681</v>
      </c>
      <c r="CM128" s="209">
        <f>(IF(CM$7="X",VLOOKUP(CM$10,'VK-Hooned-Soojus'!$C:$X,2+$C128,FALSE),0)+IF(CM$6="X",VLOOKUP(CM$10,'VK-Transport'!$C:$X,2+$B128,0))+IF(CM$8="X",VLOOKUP(CM$10,'VK-Elekter'!$C:$X,2+$D128,0))+IF(CM$9="X",VLOOKUP(CM$10,'VK-Biokütused'!$C:$U,2+$E128,0))+IF(CM$5="X",VLOOKUP(CM$10,'VK-Põlevkivi'!$C:$X,2+$G128,0))+IF(CM$4="X",VLOOKUP(CM$10,'VK-Võrgud'!$C:$X,2+$F128,0)))/1000</f>
        <v>7.7059896156049161</v>
      </c>
      <c r="CN128" s="209">
        <f>(IF(CN$7="X",VLOOKUP(CN$10,'VK-Hooned-Soojus'!$C:$X,2+$C128,FALSE),0)+IF(CN$6="X",VLOOKUP(CN$10,'VK-Transport'!$C:$X,2+$B128,0))+IF(CN$8="X",VLOOKUP(CN$10,'VK-Elekter'!$C:$X,2+$D128,0))+IF(CN$9="X",VLOOKUP(CN$10,'VK-Biokütused'!$C:$U,2+$E128,0))+IF(CN$5="X",VLOOKUP(CN$10,'VK-Põlevkivi'!$C:$X,2+$G128,0))+IF(CN$4="X",VLOOKUP(CN$10,'VK-Võrgud'!$C:$X,2+$F128,0)))/1000</f>
        <v>2.8759999999999999</v>
      </c>
      <c r="CO128" s="209">
        <f>(IF(CO$7="X",VLOOKUP(CO$10,'VK-Hooned-Soojus'!$C:$X,2+$C128,FALSE),0)+IF(CO$6="X",VLOOKUP(CO$10,'VK-Transport'!$C:$X,2+$B128,0))+IF(CO$8="X",VLOOKUP(CO$10,'VK-Elekter'!$C:$X,2+$D128,0))+IF(CO$9="X",VLOOKUP(CO$10,'VK-Biokütused'!$C:$U,2+$E128,0))+IF(CO$5="X",VLOOKUP(CO$10,'VK-Põlevkivi'!$C:$X,2+$G128,0))+IF(CO$4="X",VLOOKUP(CO$10,'VK-Võrgud'!$C:$X,2+$F128,0)))/1000</f>
        <v>29.091362337356994</v>
      </c>
      <c r="CP128" s="209">
        <f>(IF(CP$7="X",VLOOKUP(CP$10,'VK-Hooned-Soojus'!$C:$X,2+$C128,FALSE),0)+IF(CP$6="X",VLOOKUP(CP$10,'VK-Transport'!$C:$X,2+$B128,0))+IF(CP$8="X",VLOOKUP(CP$10,'VK-Elekter'!$C:$X,2+$D128,0))+IF(CP$9="X",VLOOKUP(CP$10,'VK-Biokütused'!$C:$U,2+$E128,0))+IF(CP$5="X",VLOOKUP(CP$10,'VK-Põlevkivi'!$C:$X,2+$G128,0))+IF(CP$4="X",VLOOKUP(CP$10,'VK-Võrgud'!$C:$X,2+$F128,0)))/1000</f>
        <v>32.337874014997936</v>
      </c>
      <c r="CQ128" s="209">
        <f>(IF(CQ$7="X",VLOOKUP(CQ$10,'VK-Hooned-Soojus'!$C:$X,2+$C128,FALSE),0)+IF(CQ$6="X",VLOOKUP(CQ$10,'VK-Transport'!$C:$X,2+$B128,0))+IF(CQ$8="X",VLOOKUP(CQ$10,'VK-Elekter'!$C:$X,2+$D128,0))+IF(CQ$9="X",VLOOKUP(CQ$10,'VK-Biokütused'!$C:$U,2+$E128,0))+IF(CQ$5="X",VLOOKUP(CQ$10,'VK-Põlevkivi'!$C:$X,2+$G128,0))+IF(CQ$4="X",VLOOKUP(CQ$10,'VK-Võrgud'!$C:$X,2+$F128,0)))/1000</f>
        <v>16.700919000000003</v>
      </c>
      <c r="CR128" s="209">
        <f>(IF(CR$7="X",VLOOKUP(CR$10,'VK-Hooned-Soojus'!$C:$X,2+$C128,FALSE),0)+IF(CR$6="X",VLOOKUP(CR$10,'VK-Transport'!$C:$X,2+$B128,0))+IF(CR$8="X",VLOOKUP(CR$10,'VK-Elekter'!$C:$X,2+$D128,0))+IF(CR$9="X",VLOOKUP(CR$10,'VK-Biokütused'!$C:$U,2+$E128,0))+IF(CR$5="X",VLOOKUP(CR$10,'VK-Põlevkivi'!$C:$X,2+$G128,0))+IF(CR$4="X",VLOOKUP(CR$10,'VK-Võrgud'!$C:$X,2+$F128,0)))/1000</f>
        <v>8.1807518373996899</v>
      </c>
      <c r="CS128" s="209">
        <f>(IF(CS$7="X",VLOOKUP(CS$10,'VK-Hooned-Soojus'!$C:$X,2+$C128,FALSE),0)+IF(CS$6="X",VLOOKUP(CS$10,'VK-Transport'!$C:$X,2+$B128,0))+IF(CS$8="X",VLOOKUP(CS$10,'VK-Elekter'!$C:$X,2+$D128,0))+IF(CS$9="X",VLOOKUP(CS$10,'VK-Biokütused'!$C:$U,2+$E128,0))+IF(CS$5="X",VLOOKUP(CS$10,'VK-Põlevkivi'!$C:$X,2+$G128,0))+IF(CS$4="X",VLOOKUP(CS$10,'VK-Võrgud'!$C:$X,2+$F128,0)))/1000</f>
        <v>3.8186495098622379</v>
      </c>
      <c r="CT128" s="209">
        <f>IF(CT$7="X",VLOOKUP(CT$10,'VK-Hooned-Soojus'!$C:$X,2+$C128,FALSE),0)+IF(CT$6="X",VLOOKUP(CT$10,'VK-Transport'!$C:$X,2+$B128,0))+IF(CT$8="X",VLOOKUP(CT$10,'VK-Elekter'!$C:$X,2+$D128,0))+IF(CT$9="X",VLOOKUP(CT$10,'VK-Biokütused'!$C:$U,2+$E128,0))+IF(CT$5="X",VLOOKUP(CT$10,'VK-Põlevkivi'!$C:$X,2+$G128,0))+IF(CT$4="X",VLOOKUP(CT$10,'VK-Võrgud'!$C:$X,2+$F128,0))</f>
        <v>90</v>
      </c>
      <c r="CU128" s="209">
        <f>IF(CU$7="X",VLOOKUP(CU$10,'VK-Hooned-Soojus'!$C:$X,2+$C128,FALSE),0)+IF(CU$6="X",VLOOKUP(CU$10,'VK-Transport'!$C:$X,2+$B128,0))+IF(CU$8="X",VLOOKUP(CU$10,'VK-Elekter'!$C:$X,2+$D128,0))+IF(CU$9="X",VLOOKUP(CU$10,'VK-Biokütused'!$C:$U,2+$E128,0))+IF(CU$5="X",VLOOKUP(CU$10,'VK-Põlevkivi'!$C:$X,2+$G128,0))+IF(CU$4="X",VLOOKUP(CU$10,'VK-Võrgud'!$C:$X,2+$F128,0))</f>
        <v>1</v>
      </c>
      <c r="CV128" s="209">
        <f t="shared" si="84"/>
        <v>1</v>
      </c>
      <c r="CW128" s="209">
        <f>(IF(CW$7="X",VLOOKUP(CW$10,'VK-Hooned-Soojus'!$C:$X,2+$C128,FALSE),0)+IF(CW$6="X",VLOOKUP(CW$10,'VK-Transport'!$C:$X,2+$B128,0))+IF(CW$8="X",VLOOKUP(CW$10,'VK-Elekter'!$C:$X,2+$D128,0))+IF(CW$9="X",VLOOKUP(CW$10,'VK-Biokütused'!$C:$U,2+$E128,0))+IF(CW$5="X",VLOOKUP(CW$10,'VK-Põlevkivi'!$C:$X,2+$G128,0))+IF(CW$4="X",VLOOKUP(CW$10,'VK-Võrgud'!$C:$X,2+$F128,0)))/16</f>
        <v>0</v>
      </c>
      <c r="CY128" s="209">
        <f>(IF(CY$7="X",VLOOKUP(CY$10,'VK-Hooned-Soojus'!$C:$X,2+$C128,FALSE),0)+IF(CY$6="X",VLOOKUP(CY$10,'VK-Transport'!$C:$X,2+$B128,0))+IF(CY$8="X",VLOOKUP(CY$10,'VK-Elekter'!$C:$X,2+$D128,0))+IF(CY$9="X",VLOOKUP(CY$10,'VK-Biokütused'!$C:$U,2+$E128,0))+IF(CY$5="X",VLOOKUP(CY$10,'VK-Põlevkivi'!$C:$X,2+$G128,0))+IF(CY$4="X",VLOOKUP(CY$10,'VK-Võrgud'!$C:$X,2+$F128,0)))/1000</f>
        <v>10.843999999999999</v>
      </c>
      <c r="CZ128" s="209">
        <f>(IF(CZ$7="X",VLOOKUP(CZ$10,'VK-Hooned-Soojus'!$C:$X,2+$C128,FALSE),0)+IF(CZ$6="X",VLOOKUP(CZ$10,'VK-Transport'!$C:$X,2+$B128,0))+IF(CZ$8="X",VLOOKUP(CZ$10,'VK-Elekter'!$C:$X,2+$D128,0))+IF(CZ$9="X",VLOOKUP(CZ$10,'VK-Biokütused'!$C:$U,2+$E128,0))+IF(CZ$5="X",VLOOKUP(CZ$10,'VK-Põlevkivi'!$C:$X,2+$G128,0))+IF(CZ$4="X",VLOOKUP(CZ$10,'VK-Võrgud'!$C:$X,2+$F128,0)))</f>
        <v>90</v>
      </c>
      <c r="DA128" s="209">
        <f>(IF(DA$7="X",VLOOKUP(DA$10,'VK-Hooned-Soojus'!$C:$X,2+$C128,FALSE),0)+IF(DA$6="X",VLOOKUP(DA$10,'VK-Transport'!$C:$X,2+$B128,0))+IF(DA$8="X",VLOOKUP(DA$10,'VK-Elekter'!$C:$X,2+$D128,0))+IF(DA$9="X",VLOOKUP(DA$10,'VK-Biokütused'!$C:$U,2+$E128,0))+IF(DA$5="X",VLOOKUP(DA$10,'VK-Põlevkivi'!$C:$X,2+$G128,0))+IF(DA$4="X",VLOOKUP(DA$10,'VK-Võrgud'!$C:$X,2+$F128,0)))/1000</f>
        <v>15.430999999999999</v>
      </c>
      <c r="DB128" s="209">
        <f>(IF(DB$7="X",VLOOKUP(DB$10,'VK-Hooned-Soojus'!$C:$X,2+$C128,FALSE),0)+IF(DB$6="X",VLOOKUP(DB$10,'VK-Transport'!$C:$X,2+$B128,0))+IF(DB$8="X",VLOOKUP(DB$10,'VK-Elekter'!$C:$X,2+$D128,0))+IF(DB$9="X",VLOOKUP(DB$10,'VK-Biokütused'!$C:$U,2+$E128,0))+IF(DB$5="X",VLOOKUP(DB$10,'VK-Põlevkivi'!$C:$X,2+$G128,0))+IF(DB$4="X",VLOOKUP(DB$10,'VK-Võrgud'!$C:$X,2+$F128,0)))/1000/3.6</f>
        <v>131.95166666666665</v>
      </c>
      <c r="DC128" s="209">
        <f>(IF(DC$7="X",VLOOKUP(DC$10,'VK-Hooned-Soojus'!$C:$X,2+$C128,FALSE),0)+IF(DC$6="X",VLOOKUP(DC$10,'VK-Transport'!$C:$X,2+$B128,0))+IF(DC$8="X",VLOOKUP(DC$10,'VK-Elekter'!$C:$X,2+$D128,0))+IF(DC$9="X",VLOOKUP(DC$10,'VK-Biokütused'!$C:$U,2+$E128,0))+IF(DC$5="X",VLOOKUP(DC$10,'VK-Põlevkivi'!$C:$X,2+$G128,0))+IF(DC$4="X",VLOOKUP(DC$10,'VK-Võrgud'!$C:$X,2+$F128,0)))/1000000</f>
        <v>7.0223360000000001</v>
      </c>
      <c r="DD128" s="209"/>
      <c r="DE128" s="88">
        <f>VLOOKUP(Tulemused!$BN$12,data!M$7:N$12,2,FALSE)-SUM(L128,M128)</f>
        <v>-5.2509373024363981E-2</v>
      </c>
      <c r="DF128" s="209" t="str">
        <f>IF(AZ128&lt;=VLOOKUP(Tulemused!$BN$15,data!$E$36:$F$39,2,FALSE),"JAH","EI")</f>
        <v>JAH</v>
      </c>
      <c r="DG128" s="209"/>
      <c r="DH128" s="209">
        <f t="shared" si="85"/>
        <v>6.28</v>
      </c>
      <c r="DI128" s="231" t="str">
        <f t="shared" si="65"/>
        <v>EI</v>
      </c>
      <c r="DK128" s="232">
        <f t="shared" si="86"/>
        <v>-993.06935751555932</v>
      </c>
      <c r="DM128" s="233">
        <f t="shared" si="87"/>
        <v>-997.85976648320366</v>
      </c>
      <c r="DN128" s="87">
        <f t="array" ref="DN128">INDEX($A$11:$A$145, SMALL(IF(DM128=$DK$11:$DK$145, MATCH(ROW($DK$11:$DK$145), ROW($DK$11:$DK$145))), SUM(--(DM128=$DM$11:DM128))))</f>
        <v>46</v>
      </c>
      <c r="DP128" s="87" t="e">
        <f t="shared" ca="1" si="66"/>
        <v>#N/A</v>
      </c>
      <c r="DQ128" s="87" t="e">
        <f t="shared" ca="1" si="67"/>
        <v>#N/A</v>
      </c>
      <c r="DR128" s="87">
        <f t="shared" ca="1" si="68"/>
        <v>0</v>
      </c>
      <c r="DS128" s="87" t="e">
        <f t="shared" ca="1" si="69"/>
        <v>#N/A</v>
      </c>
      <c r="DT128" s="87">
        <f t="shared" ca="1" si="70"/>
        <v>0</v>
      </c>
      <c r="DU128" s="87" t="e">
        <f t="shared" ca="1" si="71"/>
        <v>#N/A</v>
      </c>
      <c r="DV128" s="87" t="e">
        <f t="shared" ca="1" si="72"/>
        <v>#N/A</v>
      </c>
      <c r="DW128" s="87">
        <f t="shared" ca="1" si="73"/>
        <v>0</v>
      </c>
      <c r="DX128" s="87">
        <f t="shared" ca="1" si="74"/>
        <v>0</v>
      </c>
      <c r="DZ128" s="87">
        <f t="shared" ca="1" si="82"/>
        <v>0</v>
      </c>
      <c r="EB128" s="87">
        <f t="shared" ca="1" si="75"/>
        <v>0</v>
      </c>
      <c r="EC128" s="87" t="e">
        <f t="shared" ca="1" si="76"/>
        <v>#N/A</v>
      </c>
      <c r="EE128" s="228">
        <f>(IF(EE$7="X",VLOOKUP(EE$10,'VK-Hooned-Soojus'!$C:$X,2+$C128,FALSE),0)+IF(EE$6="X",VLOOKUP(EE$10,'VK-Transport'!$C:$X,2+$B128,0))+IF(EE$8="X",VLOOKUP(EE$10,'VK-Elekter'!$C:$X,2+$D128,0))+IF(EE$9="X",VLOOKUP(EE$10,'VK-Biokütused'!$C:$U,2+$E128,0))+IF(EE$5="X",VLOOKUP(EE$10,'VK-Põlevkivi'!$C:$X,2+$G128,0))+IF(EE$4="X",VLOOKUP(EE$10,'VK-Võrgud'!$C:$X,2+$F128,0)))</f>
        <v>8678.6017403919559</v>
      </c>
      <c r="EF128" s="209">
        <f>(IF(EF$7="X",VLOOKUP(EF$10,'VK-Hooned-Soojus'!$C:$X,2+$C128,FALSE),0)+IF(EF$6="X",VLOOKUP(EF$10,'VK-Transport'!$C:$X,2+$B128,0))+IF(EF$8="X",VLOOKUP(EF$10,'VK-Elekter'!$C:$X,2+$D128,0))+IF(EF$9="X",VLOOKUP(EF$10,'VK-Biokütused'!$C:$U,2+$E128,0))+IF(EF$5="X",VLOOKUP(EF$10,'VK-Põlevkivi'!$C:$X,2+$G128,0))+IF(EF$4="X",VLOOKUP(EF$10,'VK-Võrgud'!$C:$X,2+$F128,0)))/1000</f>
        <v>7.4808849906373194</v>
      </c>
      <c r="EG128" s="209">
        <f>(IF(EG$7="X",VLOOKUP(EG$10,'VK-Hooned-Soojus'!$C:$X,2+$C128,FALSE),0)+IF(EG$6="X",VLOOKUP(EG$10,'VK-Transport'!$C:$X,2+$B128,0))+IF(EG$8="X",VLOOKUP(EG$10,'VK-Elekter'!$C:$X,2+$D128,0))+IF(EG$9="X",VLOOKUP(EG$10,'VK-Biokütused'!$C:$U,2+$E128,0))+IF(EG$5="X",VLOOKUP(EG$10,'VK-Põlevkivi'!$C:$X,2+$G128,0))+IF(EG$4="X",VLOOKUP(EG$10,'VK-Võrgud'!$C:$X,2+$F128,0)))</f>
        <v>0.81</v>
      </c>
      <c r="EH128" s="209">
        <f>(IF(EH$7="X",VLOOKUP(EH$10,'VK-Hooned-Soojus'!$C:$X,2+$C128,FALSE),0)+IF(EH$6="X",VLOOKUP(EH$10,'VK-Transport'!$C:$X,2+$B128,0))+IF(EH$8="X",VLOOKUP(EH$10,'VK-Elekter'!$C:$X,2+$D128,0))+IF(EH$9="X",VLOOKUP(EH$10,'VK-Biokütused'!$C:$U,2+$E128,0)))+AR128+AS128+AU128+AX128</f>
        <v>88.463055555555556</v>
      </c>
      <c r="EI128" s="320">
        <f t="shared" si="88"/>
        <v>59.535011875436595</v>
      </c>
      <c r="EJ128" s="322">
        <f t="shared" si="89"/>
        <v>2.4608217929567841E-2</v>
      </c>
      <c r="EK128" s="323">
        <f t="shared" si="77"/>
        <v>0.44074232993007334</v>
      </c>
      <c r="EM128" s="209"/>
      <c r="EN128" s="209">
        <f t="shared" ca="1" si="90"/>
        <v>0</v>
      </c>
      <c r="EO128" s="209"/>
      <c r="EP128" s="234"/>
      <c r="EQ128" s="209">
        <f>(IF(EQ$7="X",VLOOKUP(EQ$10,'VK-Hooned-Soojus'!$C:$X,2+$C128,FALSE),0)+IF(EQ$6="X",VLOOKUP(EQ$10,'VK-Transport'!$C:$X,2+$B128,0))+IF(EQ$8="X",VLOOKUP(EQ$10,'VK-Elekter'!$C:$X,2+$D128,0))+IF(EQ$9="X",VLOOKUP(EQ$10,'VK-Biokütused'!$C:$U,2+$E128,0))+IF(EQ$5="X",VLOOKUP(EQ$10,'VK-Põlevkivi'!$C:$X,2+$G128,0))+IF(EQ$4="X",VLOOKUP(EQ$10,'VK-Võrgud'!$C:$X,2+$F128,0)))/1000</f>
        <v>0.21099999999999999</v>
      </c>
      <c r="ER128" s="209">
        <f>(IF(ER$7="X",VLOOKUP(ER$10,'VK-Hooned-Soojus'!$C:$X,2+$C128,FALSE),0)+IF(ER$6="X",VLOOKUP(ER$10,'VK-Transport'!$C:$X,2+$B128,0))+IF(ER$8="X",VLOOKUP(ER$10,'VK-Elekter'!$C:$X,2+$D128,0))+IF(ER$9="X",VLOOKUP(ER$10,'VK-Biokütused'!$C:$U,2+$E128,0))+IF(ER$5="X",VLOOKUP(ER$10,'VK-Põlevkivi'!$C:$X,2+$G128,0))+IF(ER$4="X",VLOOKUP(ER$10,'VK-Võrgud'!$C:$X,2+$F128,0)))</f>
        <v>0.76300000000000001</v>
      </c>
      <c r="ES128" s="209">
        <f>(IF(ES$7="X",VLOOKUP(ES$10,'VK-Hooned-Soojus'!$C:$X,2+$C128,FALSE),0)+IF(ES$6="X",VLOOKUP(ES$10,'VK-Transport'!$C:$X,2+$B128,0))+IF(ES$8="X",VLOOKUP(ES$10,'VK-Elekter'!$C:$X,2+$D128,0))+IF(ES$9="X",VLOOKUP(ES$10,'VK-Biokütused'!$C:$U,2+$E128,0))+IF(ES$5="X",VLOOKUP(ES$10,'VK-Põlevkivi'!$C:$X,2+$G128,0))+IF(ES$4="X",VLOOKUP(ES$10,'VK-Võrgud'!$C:$X,2+$F128,0)))</f>
        <v>6.28</v>
      </c>
      <c r="ET128" s="209"/>
      <c r="EU128" s="209"/>
      <c r="EV128" s="87">
        <f>'KSH järjestus'!AS121</f>
        <v>1312</v>
      </c>
      <c r="EZ128" s="237">
        <f t="shared" si="91"/>
        <v>0</v>
      </c>
      <c r="FA128" s="209">
        <f>IF(FA$7="X",VLOOKUP(FA$10,'VK-Hooned-Soojus'!$C:$X,2+$C128,FALSE),0)+IF(FA$6="X",VLOOKUP(FA$10,'VK-Transport'!$C:$X,2+$B128,0))+IF(FA$8="X",VLOOKUP(FA$10,'VK-Elekter'!$C:$X,2+$D128,0))+IF(FA$9="X",VLOOKUP(FA$10,'VK-Biokütused'!$C:$U,2+$E128,0))+IF(FA$5="X",VLOOKUP(FA$10,'VK-Põlevkivi'!$C:$X,2+$G128,0))+IF(FA$4="X",VLOOKUP(FA$10,'VK-Võrgud'!$C:$X,2+$F128,0))</f>
        <v>2702.9189999999999</v>
      </c>
      <c r="FB128" s="279">
        <f>(IF(FB$7="X",VLOOKUP(FB$10,'VK-Hooned-Soojus'!$C:$X,2+$C128,FALSE),0)+IF(FB$6="X",VLOOKUP(FB$10,'VK-Transport'!$C:$X,2+$B128,0))+IF(FB$8="X",VLOOKUP(FB$10,'VK-Elekter'!$C:$X,2+$D128,0))+IF(FB$9="X",VLOOKUP(FB$10,'VK-Biokütused'!$C:$U,2+$E128,0))+IF(FB$5="X",VLOOKUP(FB$10,'VK-Põlevkivi'!$C:$X,2+$G128,0))+IF(FB$4="X",VLOOKUP(FB$10,'VK-Võrgud'!$C:$X,2+$F128,0)))/16</f>
        <v>751.19087101782895</v>
      </c>
      <c r="FC128" s="209">
        <f>IF(FC$7="X",VLOOKUP(FC$10,'VK-Hooned-Soojus'!$C:$X,2+$C128,FALSE),0)+IF(FC$6="X",VLOOKUP(FC$10,'VK-Transport'!$C:$X,2+$B128,0))+IF(FC$8="X",VLOOKUP(FC$10,'VK-Elekter'!$C:$X,2+$D128,0))+IF(FC$9="X",VLOOKUP(FC$10,'VK-Biokütused'!$C:$U,2+$E128,0))+IF(FC$5="X",VLOOKUP(FC$10,'VK-Põlevkivi'!$C:$X,2+$G128,0))+IF(FC$4="X",VLOOKUP(FC$10,'VK-Võrgud'!$C:$X,2+$F128,0))</f>
        <v>294.3</v>
      </c>
      <c r="FD128" s="209">
        <f>(IF(FD$7="X",VLOOKUP(FD$10,'VK-Hooned-Soojus'!$C:$X,2+$C128,FALSE),0)+IF(FD$6="X",VLOOKUP(FD$10,'VK-Transport'!$C:$X,2+$B128,0))+IF(FD$8="X",VLOOKUP(FD$10,'VK-Elekter'!$C:$X,2+$D128,0))+IF(FD$9="X",VLOOKUP(FD$10,'VK-Biokütused'!$C:$U,2+$E128,0))+IF(FD$5="X",VLOOKUP(FD$10,'VK-Põlevkivi'!$C:$X,2+$G128,0))+IF(FD$4="X",VLOOKUP(FD$10,'VK-Võrgud'!$C:$X,2+$F128,0)))/16</f>
        <v>751.19087101782895</v>
      </c>
      <c r="FE128" s="209">
        <f>(IF(FE$7="X",VLOOKUP(FE$10,'VK-Hooned-Soojus'!$C:$X,2+$C128,FALSE),0)+IF(FE$6="X",VLOOKUP(FE$10,'VK-Transport'!$C:$X,2+$B128,0))+IF(FE$8="X",VLOOKUP(FE$10,'VK-Elekter'!$C:$X,2+$D128,0))+IF(FE$9="X",VLOOKUP(FE$10,'VK-Biokütused'!$C:$U,2+$E128,0))+IF(FE$5="X",VLOOKUP(FE$10,'VK-Põlevkivi'!$C:$X,2+$G128,0))+IF(FE$4="X",VLOOKUP(FE$10,'VK-Võrgud'!$C:$X,2+$F128,0)))/16</f>
        <v>-77.297499999999999</v>
      </c>
      <c r="FF128" s="209">
        <f>(IF(FF$7="X",VLOOKUP(FF$10,'VK-Hooned-Soojus'!$C:$X,2+$C128,FALSE),0)+IF(FF$6="X",VLOOKUP(FF$10,'VK-Transport'!$C:$X,2+$B128,0))+IF(FF$8="X",VLOOKUP(FF$10,'VK-Elekter'!$C:$X,2+$D128,0))+IF(FF$9="X",VLOOKUP(FF$10,'VK-Biokütused'!$C:$U,2+$E128,0))+IF(FF$5="X",VLOOKUP(FF$10,'VK-Põlevkivi'!$C:$X,2+$G128,0))+IF(FF$4="X",VLOOKUP(FF$10,'VK-Võrgud'!$C:$X,2+$F128,0)))/16</f>
        <v>262.41671942085895</v>
      </c>
      <c r="FG128" s="88">
        <f t="shared" ca="1" si="78"/>
        <v>185.11921942085894</v>
      </c>
      <c r="FH128" s="88"/>
      <c r="FI128" s="88"/>
      <c r="FJ128" s="88">
        <f>VLOOKUP(Tulemused!$BN$12,data!M$7:N$12,2,FALSE)-SUM(L128,M128)</f>
        <v>-5.2509373024363981E-2</v>
      </c>
      <c r="FK128" s="209" t="str">
        <f>IF(AZ128&lt;=VLOOKUP(Tulemused!$BN$15,data!$E$36:$F$39,2,FALSE),"JAH","EI")</f>
        <v>JAH</v>
      </c>
      <c r="FL128" s="235">
        <f ca="1">IF(ISNA(MATCH($A128,INDIRECT(VLOOKUP(Tulemused!$BF$11,data!$J$57:$M$71,4,FALSE)))),0,MATCH($A128,INDIRECT(VLOOKUP(Tulemused!$BF$11,data!$J$57:$M$71,4,FALSE))))</f>
        <v>0</v>
      </c>
      <c r="FM128" s="235" t="str">
        <f t="shared" ca="1" si="92"/>
        <v>JAH</v>
      </c>
      <c r="FN128" s="209">
        <f>VLOOKUP(Tulemused!$BN$13,data!$C$132:$D$137,2,FALSE)-KOMBI!R128</f>
        <v>5.0490850093626811</v>
      </c>
      <c r="FO128" s="209"/>
      <c r="FP128" s="209">
        <f>VLOOKUP(Tulemused!$BN$17,NO_x,2,FALSE)-CJ128</f>
        <v>7.8079999999999998</v>
      </c>
      <c r="FQ128" s="209">
        <f>VLOOKUP(Tulemused!$BN$18,SO_2,2,FALSE)-CK128</f>
        <v>13.396330445765983</v>
      </c>
      <c r="FR128" s="209">
        <f>VLOOKUP(Tulemused!$BN$19,LOU,2,FALSE)-CN128</f>
        <v>34.204000000000008</v>
      </c>
      <c r="FS128" s="209">
        <f>VLOOKUP(Tulemused!$BN$20,PM_2.5,2,FALSE)-CM128</f>
        <v>9.2090103843950821</v>
      </c>
      <c r="FT128" s="209">
        <f>VLOOKUP(Tulemused!$BN$13,data!$C$132:$D$137,2,FALSE)-FA128/1000</f>
        <v>3.5430510000000006</v>
      </c>
      <c r="FU128" s="209">
        <f>VLOOKUP(Tulemused!$BN$17,NO_x,2,FALSE)-CO128</f>
        <v>0.34663766264300477</v>
      </c>
      <c r="FV128" s="209">
        <f>VLOOKUP(Tulemused!$BN$18,SO_2,2,FALSE)-CP128</f>
        <v>19.546125985002064</v>
      </c>
      <c r="FW128" s="209">
        <f>VLOOKUP(Tulemused!$BN$19,LOU,2,FALSE)-CS128</f>
        <v>33.261350490137765</v>
      </c>
      <c r="FX128" s="209">
        <f>VLOOKUP(Tulemused!$BN$20,PM_2.5,2,FALSE)-CR128</f>
        <v>8.7342481626003092</v>
      </c>
      <c r="FY128" s="209">
        <f>VLOOKUP(Tulemused!$BN$14,KHG_2050,2,FALSE)-EF128</f>
        <v>92.519115009362679</v>
      </c>
      <c r="FZ128" s="231" t="str">
        <f t="shared" ca="1" si="79"/>
        <v>EI</v>
      </c>
      <c r="GA128" s="209"/>
      <c r="GB128" s="209"/>
      <c r="GC128" s="209"/>
      <c r="GD128" s="231"/>
      <c r="GE128" s="87">
        <f t="shared" si="93"/>
        <v>1312</v>
      </c>
      <c r="GF128" s="232" t="str">
        <f t="shared" ca="1" si="80"/>
        <v/>
      </c>
      <c r="GH128" s="238" t="e">
        <f t="shared" ca="1" si="94"/>
        <v>#NUM!</v>
      </c>
      <c r="GI128" s="87" t="e">
        <f t="array" aca="1" ref="GI128" ca="1">INDEX($A$11:$A$145, SMALL(IF(GH128=$GF$11:$GF$145, MATCH(ROW($GF$11:$GF$145), ROW($GF$11:$GF$145))), SUM(--(GH128=$GH$11:GH128))))</f>
        <v>#NUM!</v>
      </c>
      <c r="GM128" s="209">
        <f>IF(GM$7="X",VLOOKUP(GM$10,'VK-Hooned-Soojus'!$C:$X,2+$C128,FALSE),0)+IF(GM$6="X",VLOOKUP(GM$10,'VK-Transport'!$C:$X,2+$B128,0))+IF(GM$8="X",VLOOKUP(GM$10,'VK-Elekter'!$C:$X,2+$D128,0))+IF(GM$9="X",VLOOKUP(GM$10,'VK-Biokütused'!$C:$U,2+$E128,0))+IF(GM$5="X",VLOOKUP(GM$10,'VK-Põlevkivi'!$C:$X,2+$G128,0))+IF(GM$4="X",VLOOKUP(GM$10,'VK-Võrgud'!$C:$X,2+$F128,0))</f>
        <v>11.189888530766083</v>
      </c>
      <c r="GN128" s="209">
        <f>IF(GN$7="X",VLOOKUP(GN$10,'VK-Hooned-Soojus'!$C:$X,2+$C128,FALSE),0)+IF(GN$6="X",VLOOKUP(GN$10,'VK-Transport'!$C:$X,2+$B128,0))+IF(GN$8="X",VLOOKUP(GN$10,'VK-Elekter'!$C:$X,2+$D128,0))+IF(GN$9="X",VLOOKUP(GN$10,'VK-Biokütused'!$C:$U,2+$E128,0))+IF(GN$5="X",VLOOKUP(GN$10,'VK-Põlevkivi'!$C:$X,2+$G128,0))+IF(GN$4="X",VLOOKUP(GN$10,'VK-Võrgud'!$C:$X,2+$F128,0))</f>
        <v>2.9930837725682502</v>
      </c>
      <c r="GO128" s="209">
        <f>IF(GO$7="X",VLOOKUP(GO$10,'VK-Hooned-Soojus'!$C:$X,2+$C128,FALSE),0)+IF(GO$6="X",VLOOKUP(GO$10,'VK-Transport'!$C:$X,2+$B128,0))+IF(GO$8="X",VLOOKUP(GO$10,'VK-Elekter'!$C:$X,2+$D128,0))+IF(GO$9="X",VLOOKUP(GO$10,'VK-Biokütused'!$C:$U,2+$E128,0))+IF(GO$5="X",VLOOKUP(GO$10,'VK-Põlevkivi'!$C:$X,2+$G128,0))+IF(GO$4="X",VLOOKUP(GO$10,'VK-Võrgud'!$C:$X,2+$F128,0))</f>
        <v>7.936370010272257</v>
      </c>
      <c r="GP128" s="209">
        <f>IF(GP$7="X",VLOOKUP(GP$10,'VK-Hooned-Soojus'!$C:$X,2+$C128,FALSE),0)+IF(GP$6="X",VLOOKUP(GP$10,'VK-Transport'!$C:$X,2+$B128,0))+IF(GP$8="X",VLOOKUP(GP$10,'VK-Elekter'!$C:$X,2+$D128,0))+IF(GP$9="X",VLOOKUP(GP$10,'VK-Biokütused'!$C:$U,2+$E128,0))+IF(GP$5="X",VLOOKUP(GP$10,'VK-Põlevkivi'!$C:$X,2+$G128,0))+IF(GP$4="X",VLOOKUP(GP$10,'VK-Võrgud'!$C:$X,2+$F128,0))</f>
        <v>9.1527946929596489</v>
      </c>
      <c r="GQ128" s="88">
        <f>IF(GQ$7="X",VLOOKUP(GQ$10,'VK-Hooned-Soojus'!$C:$X,2+$C128,FALSE),0)+IF(GQ$6="X",VLOOKUP(GQ$10,'VK-Transport'!$C:$X,2+$B128,0))+IF(GQ$8="X",VLOOKUP(GQ$10,'VK-Elekter'!$C:$X,2+$D128,0))+IF(GQ$9="X",VLOOKUP(GQ$10,'VK-Biokütused'!$C:$U,2+$E128,0))+IF(GQ$5="X",VLOOKUP(GQ$10,'VK-Põlevkivi'!$C:$X,2+$G128,0))+IF(GQ$4="X",VLOOKUP(GQ$10,'VK-Võrgud'!$C:$X,2+$F128,0))</f>
        <v>0.89042766952822527</v>
      </c>
      <c r="GR128" s="186">
        <f t="shared" si="81"/>
        <v>0.39641731775069561</v>
      </c>
    </row>
    <row r="129" spans="1:200" x14ac:dyDescent="0.2">
      <c r="A129" s="184">
        <v>119</v>
      </c>
      <c r="B129" s="87">
        <v>3</v>
      </c>
      <c r="C129" s="87">
        <v>2</v>
      </c>
      <c r="D129" s="87">
        <v>5</v>
      </c>
      <c r="E129" s="87">
        <v>2</v>
      </c>
      <c r="F129" s="87">
        <f>VLOOKUP(Tulemused!$BF$7,data!$J$6:$K$8,2,FALSE)</f>
        <v>2</v>
      </c>
      <c r="G129" s="87">
        <f>VLOOKUP(data!$H$2,data!$J$12:$K$14,2,FALSE)</f>
        <v>2</v>
      </c>
      <c r="I129" s="209">
        <f>IF(I$7="X",VLOOKUP(I$10,'VK-Hooned-Soojus'!$C:$X,2+$C129,FALSE),0)+IF(I$6="X",VLOOKUP(I$10,'VK-Transport'!$C:$X,2+$B129,0))+IF(I$8="X",VLOOKUP(I$10,'VK-Elekter'!$C:$X,2+$D129,0))+IF(I$9="X",VLOOKUP(I$10,'VK-Biokütused'!$C:$U,2+$E129,0))+IF(I$5="X",VLOOKUP(I$10,'VK-Põlevkivi'!$C:$X,2+$G129,0))+IF(I$4="X",VLOOKUP(I$10,'VK-Võrgud'!$C:$X,2+$F129,0))</f>
        <v>24.79</v>
      </c>
      <c r="J129" s="209">
        <f>IF(J$7="X",VLOOKUP(J$10,'VK-Hooned-Soojus'!$C:$X,2+$C129,FALSE),0)+IF(J$6="X",VLOOKUP(J$10,'VK-Transport'!$C:$X,2+$B129,0))+IF(J$8="X",VLOOKUP(J$10,'VK-Elekter'!$C:$X,2+$D129,0))+IF(J$9="X",VLOOKUP(J$10,'VK-Biokütused'!$C:$U,2+$E129,0))+IF(J$5="X",VLOOKUP(J$10,'VK-Põlevkivi'!$C:$X,2+$G129,0))+IF(J$4="X",VLOOKUP(J$10,'VK-Võrgud'!$C:$X,2+$F129,0))</f>
        <v>8.1258333333333344</v>
      </c>
      <c r="K129" s="209">
        <f>IF(K$7="X",VLOOKUP(K$10,'VK-Hooned-Soojus'!$C:$X,2+$C129,FALSE),0)+IF(K$6="X",VLOOKUP(K$10,'VK-Transport'!$C:$X,2+$B129,0))+IF(K$8="X",VLOOKUP(K$10,'VK-Elekter'!$C:$X,2+$D129,0))+IF(K$9="X",VLOOKUP(K$10,'VK-Biokütused'!$C:$U,2+$E129,0))+IF(K$5="X",VLOOKUP(K$10,'VK-Põlevkivi'!$C:$X,2+$G129,0))+IF(K$4="X",VLOOKUP(K$10,'VK-Võrgud'!$C:$X,2+$F129,0))</f>
        <v>15.27</v>
      </c>
      <c r="L129" s="209">
        <f>IF(L$7="X",VLOOKUP(L$10,'VK-Hooned-Soojus'!$C:$X,2+$C129,FALSE),0)+IF(L$6="X",VLOOKUP(L$10,'VK-Transport'!$C:$X,2+$B129,0))+IF(L$8="X",VLOOKUP(L$10,'VK-Elekter'!$C:$X,2+$D129,0))+IF(L$9="X",VLOOKUP(L$10,'VK-Biokütused'!$C:$U,2+$E129,0))+IF(L$5="X",VLOOKUP(L$10,'VK-Põlevkivi'!$C:$X,2+$G129,0))+IF(L$4="X",VLOOKUP(L$10,'VK-Võrgud'!$C:$X,2+$F129,0))</f>
        <v>24.2</v>
      </c>
      <c r="M129" s="209">
        <f>IF(M$7="X",VLOOKUP(M$10,'VK-Hooned-Soojus'!$C:$X,2+$C129,FALSE),0)+IF(M$6="X",VLOOKUP(M$10,'VK-Transport'!$C:$X,2+$B129,0))+IF(M$8="X",VLOOKUP(M$10,'VK-Elekter'!$C:$X,2+$D129,0))+IF(M$9="X",VLOOKUP(M$10,'VK-Biokütused'!$C:$U,2+$E129,0))+IF(M$5="X",VLOOKUP(M$10,'VK-Põlevkivi'!$C:$X,2+$G129,0))+IF(M$4="X",VLOOKUP(M$10,'VK-Võrgud'!$C:$X,2+$F129,0))</f>
        <v>8.68530937302436</v>
      </c>
      <c r="N129" s="209">
        <f>IF(N$7="X",VLOOKUP(N$10,'VK-Hooned-Soojus'!$C:$X,2+$C129,FALSE),0)+IF(N$6="X",VLOOKUP(N$10,'VK-Transport'!$C:$X,2+$B129,0))+IF(N$8="X",VLOOKUP(N$10,'VK-Elekter'!$C:$X,2+$D129,0))+IF(N$9="X",VLOOKUP(N$10,'VK-Biokütused'!$C:$U,2+$E129,0))+IF(N$5="X",VLOOKUP(N$10,'VK-Põlevkivi'!$C:$X,2+$G129,0))+IF(N$4="X",VLOOKUP(N$10,'VK-Võrgud'!$C:$X,2+$F129,0))</f>
        <v>16.09</v>
      </c>
      <c r="O129" s="209">
        <f t="shared" si="60"/>
        <v>32.915833333333332</v>
      </c>
      <c r="P129" s="209"/>
      <c r="Q129" s="209">
        <f>(IF(Q$7="X",VLOOKUP(Q$10,'VK-Hooned-Soojus'!$C:$X,2+$C129,FALSE),0)+IF(Q$6="X",VLOOKUP(Q$10,'VK-Transport'!$C:$X,2+$B129,0))+IF(Q$8="X",VLOOKUP(Q$10,'VK-Elekter'!$C:$X,2+$D129,0))+IF(Q$9="X",VLOOKUP(Q$10,'VK-Biokütused'!$C:$U,2+$E129,0))+IF(Q$5="X",VLOOKUP(Q$10,'VK-Põlevkivi'!$C:$X,2+$G129,0))+IF(Q$4="X",VLOOKUP(Q$10,'VK-Võrgud'!$C:$X,2+$F129,0)))/1000</f>
        <v>6.0640000000000001</v>
      </c>
      <c r="R129" s="209">
        <f>(IF(R$7="X",VLOOKUP(R$10,'VK-Hooned-Soojus'!$C:$X,2+$C129,FALSE),0)+IF(R$6="X",VLOOKUP(R$10,'VK-Transport'!$C:$X,2+$B129,0))+IF(R$8="X",VLOOKUP(R$10,'VK-Elekter'!$C:$X,2+$D129,0))+IF(R$9="X",VLOOKUP(R$10,'VK-Biokütused'!$C:$U,2+$E129,0))+IF(R$5="X",VLOOKUP(R$10,'VK-Põlevkivi'!$C:$X,2+$G129,0))+IF(R$4="X",VLOOKUP(R$10,'VK-Võrgud'!$C:$X,2+$F129,0)))/1000</f>
        <v>1.57438499063732</v>
      </c>
      <c r="S129" s="226">
        <f>VLOOKUP(S$10,'VK-Hooned-Soojus'!$C:$I,2+$C129,FALSE) + VLOOKUP(S$10,'VK-Transport'!$C:$I,2+$B129,FALSE)+ VLOOKUP(S$10,'VK-Biokütused'!$C:$G,2+$E129,FALSE)+ VLOOKUP(S$10,'VK-Elekter'!$C:$I,2+$D129,FALSE)+ VLOOKUP(S$10,'VK-Põlevkivi'!$C:$I,2+$G129,FALSE)+ VLOOKUP(S$10,'VK-Võrgud'!$C:$I,2+$F129,FALSE)</f>
        <v>3.4141510150997832E-2</v>
      </c>
      <c r="T129" s="226">
        <f>VLOOKUP(T$10,'VK-Hooned-Soojus'!$C:$I,2+$C129,FALSE) + VLOOKUP(T$10,'VK-Transport'!$C:$I,2+$B129,FALSE)+ VLOOKUP(T$10,'VK-Biokütused'!$C:$G,2+$E129,FALSE)+ VLOOKUP(T$10,'VK-Elekter'!$C:$I,2+$D129,FALSE)+ VLOOKUP(T$10,'VK-Põlevkivi'!$C:$I,2+$G129,FALSE)+ VLOOKUP(T$10,'VK-Võrgud'!$C:$I,2+$F129,FALSE)</f>
        <v>1.2381696004744494E-2</v>
      </c>
      <c r="U129" s="226">
        <f>VLOOKUP(U$10,'VK-Hooned-Soojus'!$C:$I,2+$C129,FALSE) + VLOOKUP(U$10,'VK-Transport'!$C:$I,2+$B129,FALSE)+ VLOOKUP(U$10,'VK-Biokütused'!$C:$G,2+$E129,FALSE)+ VLOOKUP(U$10,'VK-Elekter'!$C:$I,2+$D129,FALSE)+ VLOOKUP(U$10,'VK-Põlevkivi'!$C:$I,2+$G129,FALSE)+ VLOOKUP(U$10,'VK-Võrgud'!$C:$I,2+$F129,FALSE)</f>
        <v>1.5358374651321421E-2</v>
      </c>
      <c r="V129" s="226">
        <f>VLOOKUP(V$10,'VK-Hooned-Soojus'!$C:$I,2+$C129,FALSE) + VLOOKUP(V$10,'VK-Transport'!$C:$I,2+$B129,FALSE)+ VLOOKUP(V$10,'VK-Biokütused'!$C:$G,2+$E129,FALSE)+ VLOOKUP(V$10,'VK-Elekter'!$C:$I,2+$D129,FALSE)+ VLOOKUP(V$10,'VK-Põlevkivi'!$C:$I,2+$G129,FALSE)+ VLOOKUP(V$10,'VK-Võrgud'!$C:$I,2+$F129,FALSE)</f>
        <v>1.9171043212998277E-2</v>
      </c>
      <c r="W129" s="226">
        <f>VLOOKUP(W$10,'VK-Hooned-Soojus'!$C:$I,2+$C129,FALSE) + VLOOKUP(W$10,'VK-Transport'!$C:$I,2+$B129,FALSE)+ VLOOKUP(W$10,'VK-Biokütused'!$C:$G,2+$E129,FALSE)+ VLOOKUP(W$10,'VK-Elekter'!$C:$I,2+$D129,FALSE)+ VLOOKUP(W$10,'VK-Põlevkivi'!$C:$I,2+$G129,FALSE)+ VLOOKUP(W$10,'VK-Võrgud'!$C:$I,2+$F129,FALSE)</f>
        <v>-3.0048710789618335E-2</v>
      </c>
      <c r="X129" s="226">
        <f>VLOOKUP(X$10,'VK-Hooned-Soojus'!$C:$I,2+$C129,FALSE) + VLOOKUP(X$10,'VK-Transport'!$C:$I,2+$B129,FALSE)+ VLOOKUP(X$10,'VK-Biokütused'!$C:$G,2+$E129,FALSE)+ VLOOKUP(X$10,'VK-Elekter'!$C:$I,2+$D129,FALSE)+ VLOOKUP(X$10,'VK-Põlevkivi'!$C:$I,2+$G129,FALSE)+ VLOOKUP(X$10,'VK-Võrgud'!$C:$I,2+$F129,FALSE)</f>
        <v>3.7757602996260103E-2</v>
      </c>
      <c r="Y129" s="226">
        <f>VLOOKUP(Y$10,'VK-Hooned-Soojus'!$C:$I,2+$C129,FALSE) + VLOOKUP(Y$10,'VK-Transport'!$C:$I,2+$B129,FALSE)+ VLOOKUP(Y$10,'VK-Biokütused'!$C:$G,2+$E129,FALSE)+ VLOOKUP(Y$10,'VK-Elekter'!$C:$I,2+$D129,FALSE)+ VLOOKUP(Y$10,'VK-Põlevkivi'!$C:$I,2+$G129,FALSE)+ VLOOKUP(Y$10,'VK-Võrgud'!$C:$I,2+$F129,FALSE)</f>
        <v>2.661357923515216E-2</v>
      </c>
      <c r="Z129" s="227">
        <f>(S129*Tulemused!$Q$9*10+T129*Tulemused!$Q$10*10+KOMBI!U129*Tulemused!$Q$11*10+KOMBI!V129*Tulemused!$Q$12*10)*Tulemused!$Q$8+-(W129*Tulemused!$Q$14*10+KOMBI!X129*Tulemused!$Q$15*10+KOMBI!Y129*Tulemused!$Q$16*10)*Tulemused!$Q$13</f>
        <v>7.8465541330865749</v>
      </c>
      <c r="AA129" s="228">
        <f>(IF(AA$7="X",VLOOKUP(AA$10,'VK-Hooned-Soojus'!$C:$X,2+$C129,FALSE),0)+IF(AA$6="X",VLOOKUP(AA$10,'VK-Transport'!$C:$X,2+$B129,0))+IF(AA$8="X",VLOOKUP(AA$10,'VK-Elekter'!$C:$X,2+$D129,0))+IF(AA$9="X",VLOOKUP(AA$10,'VK-Biokütused'!$C:$U,2+$E129,0))+IF(AA$5="X",VLOOKUP(AA$10,'VK-Põlevkivi'!$C:$X,2+$G129,0))+IF(AA$4="X",VLOOKUP(AA$10,'VK-Võrgud'!$C:$X,2+$F129,0)))</f>
        <v>4727</v>
      </c>
      <c r="AB129" s="228">
        <f>(IF(AB$7="X",VLOOKUP(AB$10,'VK-Hooned-Soojus'!$C:$X,2+$C129,FALSE),0)+IF(AB$6="X",VLOOKUP(AB$10,'VK-Transport'!$C:$X,2+$B129,0))+IF(AB$8="X",VLOOKUP(AB$10,'VK-Elekter'!$C:$X,2+$D129,0))+IF(AB$9="X",VLOOKUP(AB$10,'VK-Biokütused'!$C:$U,2+$E129,0))+IF(AB$5="X",VLOOKUP(AB$10,'VK-Põlevkivi'!$C:$X,2+$G129,0))+IF(AB$4="X",VLOOKUP(AB$10,'VK-Võrgud'!$C:$X,2+$F129,0)))</f>
        <v>1337</v>
      </c>
      <c r="AC129" s="228">
        <f>(IF(AC$7="X",VLOOKUP(AC$10,'VK-Hooned-Soojus'!$C:$X,2+$C129,FALSE),0)+IF(AC$6="X",VLOOKUP(AC$10,'VK-Transport'!$C:$X,2+$B129,0))+IF(AC$8="X",VLOOKUP(AC$10,'VK-Elekter'!$C:$X,2+$D129,0))+IF(AC$9="X",VLOOKUP(AC$10,'VK-Biokütused'!$C:$U,2+$E129,0))+IF(AC$5="X",VLOOKUP(AC$10,'VK-Põlevkivi'!$C:$X,2+$G129,0))+IF(AC$4="X",VLOOKUP(AC$10,'VK-Võrgud'!$C:$X,2+$F129,0)))</f>
        <v>2346</v>
      </c>
      <c r="AD129" s="228">
        <f>(IF(AD$7="X",VLOOKUP(AD$10,'VK-Hooned-Soojus'!$C:$X,2+$C129,FALSE),0)+IF(AD$6="X",VLOOKUP(AD$10,'VK-Transport'!$C:$X,2+$B129,0))+IF(AD$8="X",VLOOKUP(AD$10,'VK-Elekter'!$C:$X,2+$D129,0))+IF(AD$9="X",VLOOKUP(AD$10,'VK-Biokütused'!$C:$U,2+$E129,0))+IF(AD$5="X",VLOOKUP(AD$10,'VK-Põlevkivi'!$C:$X,2+$G129,0))+IF(AD$4="X",VLOOKUP(AD$10,'VK-Võrgud'!$C:$X,2+$F129,0)))</f>
        <v>377.5</v>
      </c>
      <c r="AE129" s="228">
        <f>(IF(AE$7="X",VLOOKUP(AE$10,'VK-Hooned-Soojus'!$C:$X,2+$C129,FALSE),0)+IF(AE$6="X",VLOOKUP(AE$10,'VK-Transport'!$C:$X,2+$B129,0))+IF(AE$8="X",VLOOKUP(AE$10,'VK-Elekter'!$C:$X,2+$D129,0))+IF(AE$9="X",VLOOKUP(AE$10,'VK-Biokütused'!$C:$U,2+$E129,0))+IF(AE$5="X",VLOOKUP(AE$10,'VK-Põlevkivi'!$C:$X,2+$G129,0))+IF(AE$4="X",VLOOKUP(AE$10,'VK-Võrgud'!$C:$X,2+$F129,0)))</f>
        <v>666</v>
      </c>
      <c r="AF129" s="228">
        <f>(IF(AF$7="X",VLOOKUP(AF$10,'VK-Hooned-Soojus'!$C:$X,2+$C129,FALSE),0)+IF(AF$6="X",VLOOKUP(AF$10,'VK-Transport'!$C:$X,2+$B129,0))+IF(AF$8="X",VLOOKUP(AF$10,'VK-Elekter'!$C:$X,2+$D129,0))+IF(AF$9="X",VLOOKUP(AF$10,'VK-Biokütused'!$C:$U,2+$E129,0))+IF(AF$5="X",VLOOKUP(AF$10,'VK-Põlevkivi'!$C:$X,2+$G129,0))+IF(AF$4="X",VLOOKUP(AF$10,'VK-Võrgud'!$C:$X,2+$F129,0)))</f>
        <v>530.88499063732002</v>
      </c>
      <c r="AG129" s="209"/>
      <c r="AH129" s="209">
        <f>IF(AH$7="X",VLOOKUP(AH$10,'VK-Hooned-Soojus'!$C:$X,2+$C129,FALSE),0)+IF(AH$6="X",VLOOKUP(AH$10,'VK-Transport'!$C:$X,2+$B129,0))+IF(AH$8="X",VLOOKUP(AH$10,'VK-Elekter'!$C:$X,2+$D129,0))+IF(AH$9="X",VLOOKUP(AH$10,'VK-Biokütused'!$C:$U,2+$E129,0))+IF(AH$5="X",VLOOKUP(AH$10,'VK-Põlevkivi'!$C:$X,2+$G129,0))+IF(AH$4="X",VLOOKUP(AH$10,'VK-Võrgud'!$C:$X,2+$F129,0))</f>
        <v>17.400000000000002</v>
      </c>
      <c r="AI129" s="209">
        <f>IF(AI$7="X",VLOOKUP(AI$10,'VK-Hooned-Soojus'!$C:$X,2+$C129,FALSE),0)+IF(AI$6="X",VLOOKUP(AI$10,'VK-Transport'!$C:$X,2+$B129,0))+IF(AI$8="X",VLOOKUP(AI$10,'VK-Elekter'!$C:$X,2+$D129,0))+IF(AI$9="X",VLOOKUP(AI$10,'VK-Biokütused'!$C:$U,2+$E129,0))+IF(AI$5="X",VLOOKUP(AI$10,'VK-Põlevkivi'!$C:$X,2+$G129,0))+IF(AI$4="X",VLOOKUP(AI$10,'VK-Võrgud'!$C:$X,2+$F129,0))</f>
        <v>2.3100000000000005</v>
      </c>
      <c r="AJ129" s="209">
        <f>IF(AJ$7="X",VLOOKUP(AJ$10,'VK-Hooned-Soojus'!$C:$X,2+$C129,FALSE),0)+IF(AJ$6="X",VLOOKUP(AJ$10,'VK-Transport'!$C:$X,2+$B129,0))+IF(AJ$8="X",VLOOKUP(AJ$10,'VK-Elekter'!$C:$X,2+$D129,0))+IF(AJ$9="X",VLOOKUP(AJ$10,'VK-Biokütused'!$C:$U,2+$E129,0))+IF(AJ$5="X",VLOOKUP(AJ$10,'VK-Põlevkivi'!$C:$X,2+$G129,0))+IF(AJ$4="X",VLOOKUP(AJ$10,'VK-Võrgud'!$C:$X,2+$F129,0))</f>
        <v>4.59</v>
      </c>
      <c r="AK129" s="209">
        <f>IF(AK$7="X",VLOOKUP(AK$10,'VK-Hooned-Soojus'!$C:$X,2+$C129,FALSE),0)+IF(AK$6="X",VLOOKUP(AK$10,'VK-Transport'!$C:$X,2+$B129,0))+IF(AK$8="X",VLOOKUP(AK$10,'VK-Elekter'!$C:$X,2+$D129,0))+IF(AK$9="X",VLOOKUP(AK$10,'VK-Biokütused'!$C:$U,2+$E129,0))+IF(AK$5="X",VLOOKUP(AK$10,'VK-Põlevkivi'!$C:$X,2+$G129,0))+IF(AK$4="X",VLOOKUP(AK$10,'VK-Võrgud'!$C:$X,2+$F129,0))</f>
        <v>-0.41</v>
      </c>
      <c r="AL129" s="209">
        <f>IF(AL$7="X",VLOOKUP(AL$10,'VK-Hooned-Soojus'!$C:$X,2+$C129,FALSE),0)+IF(AL$6="X",VLOOKUP(AL$10,'VK-Transport'!$C:$X,2+$B129,0))+IF(AL$8="X",VLOOKUP(AL$10,'VK-Elekter'!$C:$X,2+$D129,0))+IF(AL$9="X",VLOOKUP(AL$10,'VK-Biokütused'!$C:$U,2+$E129,0))+IF(AL$5="X",VLOOKUP(AL$10,'VK-Põlevkivi'!$C:$X,2+$G129,0))+IF(AL$4="X",VLOOKUP(AL$10,'VK-Võrgud'!$C:$X,2+$F129,0))</f>
        <v>7.1999999999999993</v>
      </c>
      <c r="AM129" s="209">
        <f>IF(AM$7="X",VLOOKUP(AM$10,'VK-Hooned-Soojus'!$C:$X,2+$C129,FALSE),0)+IF(AM$6="X",VLOOKUP(AM$10,'VK-Transport'!$C:$X,2+$B129,0))+IF(AM$8="X",VLOOKUP(AM$10,'VK-Elekter'!$C:$X,2+$D129,0))+IF(AM$9="X",VLOOKUP(AM$10,'VK-Biokütused'!$C:$U,2+$E129,0))+IF(AM$5="X",VLOOKUP(AM$10,'VK-Põlevkivi'!$C:$X,2+$G129,0))+IF(AM$4="X",VLOOKUP(AM$10,'VK-Võrgud'!$C:$X,2+$F129,0))</f>
        <v>11.9</v>
      </c>
      <c r="AN129" s="209">
        <f>IF(AN$7="X",VLOOKUP(AN$10,'VK-Hooned-Soojus'!$C:$X,2+$C129,FALSE),0)+IF(AN$6="X",VLOOKUP(AN$10,'VK-Transport'!$C:$X,2+$B129,0))+IF(AN$8="X",VLOOKUP(AN$10,'VK-Elekter'!$C:$X,2+$D129,0))+IF(AN$9="X",VLOOKUP(AN$10,'VK-Biokütused'!$C:$U,2+$E129,0))+IF(AN$5="X",VLOOKUP(AN$10,'VK-Põlevkivi'!$C:$X,2+$G129,0))+IF(AN$4="X",VLOOKUP(AN$10,'VK-Võrgud'!$C:$X,2+$F129,0))</f>
        <v>4.8999999999999995</v>
      </c>
      <c r="AO129" s="209">
        <f>IF(AO$7="X",VLOOKUP(AO$10,'VK-Hooned-Soojus'!$C:$X,2+$C129,FALSE),0)+IF(AO$6="X",VLOOKUP(AO$10,'VK-Transport'!$C:$X,2+$B129,0))+IF(AO$8="X",VLOOKUP(AO$10,'VK-Elekter'!$C:$X,2+$D129,0))+IF(AO$9="X",VLOOKUP(AO$10,'VK-Biokütused'!$C:$U,2+$E129,0))+IF(AO$5="X",VLOOKUP(AO$10,'VK-Põlevkivi'!$C:$X,2+$G129,0))+IF(AO$4="X",VLOOKUP(AO$10,'VK-Võrgud'!$C:$X,2+$F129,0))</f>
        <v>12.56</v>
      </c>
      <c r="AP129" s="209">
        <f>IF(AP$7="X",VLOOKUP(AP$10,'VK-Hooned-Soojus'!$C:$X,2+$C129,FALSE),0)+IF(AP$6="X",VLOOKUP(AP$10,'VK-Transport'!$C:$X,2+$B129,0))+IF(AP$8="X",VLOOKUP(AP$10,'VK-Elekter'!$C:$X,2+$D129,0))+IF(AP$9="X",VLOOKUP(AP$10,'VK-Biokütused'!$C:$U,2+$E129,0))+IF(AP$5="X",VLOOKUP(AP$10,'VK-Põlevkivi'!$C:$X,2+$G129,0))+IF(AP$4="X",VLOOKUP(AP$10,'VK-Võrgud'!$C:$X,2+$F129,0))</f>
        <v>6.28</v>
      </c>
      <c r="AQ129" s="320">
        <f t="shared" si="61"/>
        <v>0.25999999999999979</v>
      </c>
      <c r="AR129" s="209">
        <f>IF(AR$7="X",VLOOKUP(AR$10,'VK-Hooned-Soojus'!$C:$X,2+$C129,FALSE),0)+IF(AR$6="X",VLOOKUP(AR$10,'VK-Transport'!$C:$X,2+$B129,0))+IF(AR$8="X",VLOOKUP(AR$10,'VK-Elekter'!$C:$X,2+$D129,0))+IF(AR$9="X",VLOOKUP(AR$10,'VK-Biokütused'!$C:$U,2+$E129,0))+IF(AR$5="X",VLOOKUP(AR$10,'VK-Põlevkivi'!$C:$X,2+$G129,0))+IF(AR$4="X",VLOOKUP(AR$10,'VK-Võrgud'!$C:$X,2+$F129,0))</f>
        <v>13.309999999999999</v>
      </c>
      <c r="AS129" s="235">
        <f>'VK-Põlevkivi'!$F$8-AR129-AU129</f>
        <v>14.298622986547709</v>
      </c>
      <c r="AT129" s="209">
        <f>IF(AT$7="X",VLOOKUP(AT$10,'VK-Hooned-Soojus'!$C:$X,2+$C129,FALSE),0)+IF(AT$6="X",VLOOKUP(AT$10,'VK-Transport'!$C:$X,2+$B129,0))+IF(AT$8="X",VLOOKUP(AT$10,'VK-Elekter'!$C:$X,2+$D129,0))+IF(AT$9="X",VLOOKUP(AT$10,'VK-Biokütused'!$C:$U,2+$E129,0))+IF(AT$5="X",VLOOKUP(AT$10,'VK-Põlevkivi'!$C:$X,2+$G129,0))+IF(AT$4="X",VLOOKUP(AT$10,'VK-Võrgud'!$C:$X,2+$F129,0))</f>
        <v>5.7045296564339489</v>
      </c>
      <c r="AU129" s="235">
        <f>'VK-Põlevkivi'!$F$9-VLOOKUP("Kütuste tarbimine @ 2030 - PÕLEVKIVIÕLI",'VK-Hooned-Soojus'!$C:$X,2+$C129,FALSE)</f>
        <v>28.928043680118964</v>
      </c>
      <c r="AV129" s="209">
        <f>IF(AV$7="X",VLOOKUP(AV$10,'VK-Hooned-Soojus'!$C:$X,2+$C129,FALSE),0)+IF(AV$6="X",VLOOKUP(AV$10,'VK-Transport'!$C:$X,2+$B129,0))+IF(AV$8="X",VLOOKUP(AV$10,'VK-Elekter'!$C:$X,2+$D129,0))+IF(AV$9="X",VLOOKUP(AV$10,'VK-Biokütused'!$C:$U,2+$E129,0))+IF(AV$5="X",VLOOKUP(AV$10,'VK-Põlevkivi'!$C:$X,2+$G129,0))+IF(AV$4="X",VLOOKUP(AV$10,'VK-Võrgud'!$C:$X,2+$F129,0))</f>
        <v>2.1219844082566364</v>
      </c>
      <c r="AW129" s="209">
        <f>IF(AW$7="X",VLOOKUP(AW$10,'VK-Hooned-Soojus'!$C:$X,2+$C129,FALSE),0)+IF(AW$6="X",VLOOKUP(AW$10,'VK-Transport'!$C:$X,2+$B129,0))+IF(AW$8="X",VLOOKUP(AW$10,'VK-Elekter'!$C:$X,2+$D129,0))+IF(AW$9="X",VLOOKUP(AW$10,'VK-Biokütused'!$C:$U,2+$E129,0))+IF(AW$5="X",VLOOKUP(AW$10,'VK-Põlevkivi'!$C:$X,2+$G129,0))+IF(AW$4="X",VLOOKUP(AW$10,'VK-Võrgud'!$C:$X,2+$F129,0))</f>
        <v>2.141</v>
      </c>
      <c r="AX129" s="229">
        <f t="shared" si="62"/>
        <v>1.9015591743363647E-2</v>
      </c>
      <c r="AY129" s="229">
        <f t="shared" si="63"/>
        <v>0</v>
      </c>
      <c r="AZ129" s="230">
        <f t="shared" si="83"/>
        <v>0.25958724403665218</v>
      </c>
      <c r="BA129" s="209">
        <f>IF(BA$7="X",VLOOKUP(BA$10,'VK-Hooned-Soojus'!$C:$X,2+$C129,FALSE),0)+IF(BA$6="X",VLOOKUP(BA$10,'VK-Transport'!$C:$X,2+$B129,0))+IF(BA$8="X",VLOOKUP(BA$10,'VK-Elekter'!$C:$X,2+$D129,0))+IF(BA$9="X",VLOOKUP(BA$10,'VK-Biokütused'!$C:$U,2+$E129,0))+IF(BA$5="X",VLOOKUP(BA$10,'VK-Põlevkivi'!$C:$X,2+$G129,0))+IF(BA$4="X",VLOOKUP(BA$10,'VK-Võrgud'!$C:$X,2+$F129,0))</f>
        <v>7.41</v>
      </c>
      <c r="BB129" s="209">
        <f>IF(BB$7="X",VLOOKUP(BB$10,'VK-Hooned-Soojus'!$C:$X,2+$C129,FALSE),0)+IF(BB$6="X",VLOOKUP(BB$10,'VK-Transport'!$C:$X,2+$B129,0))+IF(BB$8="X",VLOOKUP(BB$10,'VK-Elekter'!$C:$X,2+$D129,0))+IF(BB$9="X",VLOOKUP(BB$10,'VK-Biokütused'!$C:$U,2+$E129,0))+IF(BB$5="X",VLOOKUP(BB$10,'VK-Põlevkivi'!$C:$X,2+$G129,0))+IF(BB$4="X",VLOOKUP(BB$10,'VK-Võrgud'!$C:$X,2+$F129,0))</f>
        <v>2.96</v>
      </c>
      <c r="BC129" s="209">
        <f>IF(BC$7="X",VLOOKUP(BC$10,'VK-Hooned-Soojus'!$C:$X,2+$C129,FALSE),0)+IF(BC$6="X",VLOOKUP(BC$10,'VK-Transport'!$C:$X,2+$B129,0))+IF(BC$8="X",VLOOKUP(BC$10,'VK-Elekter'!$C:$X,2+$D129,0))+IF(BC$9="X",VLOOKUP(BC$10,'VK-Biokütused'!$C:$U,2+$E129,0))+IF(BC$5="X",VLOOKUP(BC$10,'VK-Põlevkivi'!$C:$X,2+$G129,0))+IF(BC$4="X",VLOOKUP(BC$10,'VK-Võrgud'!$C:$X,2+$F129,0))</f>
        <v>6.5993333333333322</v>
      </c>
      <c r="BD129" s="209">
        <f>IF(BD$7="X",VLOOKUP(BD$10,'VK-Hooned-Soojus'!$C:$X,2+$C129,FALSE),0)+IF(BD$6="X",VLOOKUP(BD$10,'VK-Transport'!$C:$X,2+$B129,0))+IF(BD$8="X",VLOOKUP(BD$10,'VK-Elekter'!$C:$X,2+$D129,0))+IF(BD$9="X",VLOOKUP(BD$10,'VK-Biokütused'!$C:$U,2+$E129,0))+IF(BD$5="X",VLOOKUP(BD$10,'VK-Põlevkivi'!$C:$X,2+$G129,0))+IF(BD$4="X",VLOOKUP(BD$10,'VK-Võrgud'!$C:$X,2+$F129,0))</f>
        <v>9.425416666666667</v>
      </c>
      <c r="BE129" s="230"/>
      <c r="BF129" s="229">
        <f t="shared" si="64"/>
        <v>0.27432571009522227</v>
      </c>
      <c r="BG129" s="209" t="e">
        <f>(IF(BG$7="X",VLOOKUP(BG$10,'VK-Hooned-Soojus'!$C:$X,2+$C129,FALSE),0)+IF(BG$6="X",VLOOKUP(BG$10,'VK-Transport'!$C:$X,2+$B129,0))+IF(BG$8="X",VLOOKUP(BG$10,'VK-Elekter'!$C:$X,2+$D129,0))+IF(BG$9="X",VLOOKUP(BG$10,'VK-Biokütused'!$C:$U,2+$E129,0))+IF(BG$5="X",VLOOKUP(BG$10,'VK-Põlevkivi'!$C:$X,2+$G129,0))+IF(BG$4="X",VLOOKUP(BG$10,'VK-Võrgud'!$C:$X,2+$F129,0)))/20</f>
        <v>#N/A</v>
      </c>
      <c r="BH129" s="209">
        <f>(IF(BH$7="X",VLOOKUP(BH$10,'VK-Hooned-Soojus'!$C:$X,2+$C129,FALSE),0)+IF(BH$6="X",VLOOKUP(BH$10,'VK-Transport'!$C:$X,2+$B129,0))+IF(BH$8="X",VLOOKUP(BH$10,'VK-Elekter'!$C:$X,2+$D129,0))+IF(BH$9="X",VLOOKUP(BH$10,'VK-Biokütused'!$C:$U,2+$E129,0))+IF(BH$5="X",VLOOKUP(BH$10,'VK-Põlevkivi'!$C:$X,2+$G129,0))+IF(BH$4="X",VLOOKUP(BH$10,'VK-Võrgud'!$C:$X,2+$F129,0)))/20</f>
        <v>45.08</v>
      </c>
      <c r="BI129" s="209">
        <f>(IF(BI$7="X",VLOOKUP(BI$10,'VK-Hooned-Soojus'!$C:$X,2+$C129,FALSE),0)+IF(BI$6="X",VLOOKUP(BI$10,'VK-Transport'!$C:$X,2+$B129,0))+IF(BI$8="X",VLOOKUP(BI$10,'VK-Elekter'!$C:$X,2+$D129,0))+IF(BI$9="X",VLOOKUP(BI$10,'VK-Biokütused'!$C:$U,2+$E129,0))+IF(BI$5="X",VLOOKUP(BI$10,'VK-Põlevkivi'!$C:$X,2+$G129,0))+IF(BI$4="X",VLOOKUP(BI$10,'VK-Võrgud'!$C:$X,2+$F129,0)))/16</f>
        <v>14.1875</v>
      </c>
      <c r="BJ129" s="209">
        <f>(IF(BJ$7="X",VLOOKUP(BJ$10,'VK-Hooned-Soojus'!$C:$X,2+$C129,FALSE),0)+IF(BJ$6="X",VLOOKUP(BJ$10,'VK-Transport'!$C:$X,2+$B129,0))+IF(BJ$8="X",VLOOKUP(BJ$10,'VK-Elekter'!$C:$X,2+$D129,0))+IF(BJ$9="X",VLOOKUP(BJ$10,'VK-Biokütused'!$C:$U,2+$E129,0))+IF(BJ$5="X",VLOOKUP(BJ$10,'VK-Põlevkivi'!$C:$X,2+$G129,0))+IF(BJ$4="X",VLOOKUP(BJ$10,'VK-Võrgud'!$C:$X,2+$F129,0)))/20</f>
        <v>3.91</v>
      </c>
      <c r="BK129" s="209"/>
      <c r="BL129" s="209"/>
      <c r="BM129" s="209"/>
      <c r="BN129" s="209" t="e">
        <f>(IF(BN$7="X",VLOOKUP(BN$10,'VK-Hooned-Soojus'!$C:$X,2+$C129,FALSE),0)+IF(BN$6="X",VLOOKUP(BN$10,'VK-Transport'!$C:$X,2+$B129,0))+IF(BN$8="X",VLOOKUP(BN$10,'VK-Elekter'!$C:$X,2+$D129,0))+IF(BN$9="X",VLOOKUP(BN$10,'VK-Biokütused'!$C:$U,2+$E129,0))+IF(BN$5="X",VLOOKUP(BN$10,'VK-Põlevkivi'!$C:$X,2+$G129,0))+IF(BN$4="X",VLOOKUP(BN$10,'VK-Võrgud'!$C:$X,2+$F129,0)))/16</f>
        <v>#N/A</v>
      </c>
      <c r="BO129" s="209">
        <f>(IF(BO$7="X",VLOOKUP(BO$10,'VK-Hooned-Soojus'!$C:$X,2+$C129,FALSE),0)+IF(BO$6="X",VLOOKUP(BO$10,'VK-Transport'!$C:$X,2+$B129,0))+IF(BO$8="X",VLOOKUP(BO$10,'VK-Elekter'!$C:$X,2+$D129,0))+IF(BO$9="X",VLOOKUP(BO$10,'VK-Biokütused'!$C:$U,2+$E129,0))+IF(BO$5="X",VLOOKUP(BO$10,'VK-Põlevkivi'!$C:$X,2+$G129,0))+IF(BO$4="X",VLOOKUP(BO$10,'VK-Võrgud'!$C:$X,2+$F129,0)))/16</f>
        <v>322.79374999999999</v>
      </c>
      <c r="BP129" s="209"/>
      <c r="BQ129" s="209">
        <f>(IF(BQ$7="X",VLOOKUP(BQ$10,'VK-Hooned-Soojus'!$C:$X,2+$C129,FALSE),0)+IF(BQ$6="X",VLOOKUP(BQ$10,'VK-Transport'!$C:$X,2+$B129,0))+IF(BQ$8="X",VLOOKUP(BQ$10,'VK-Elekter'!$C:$X,2+$D129,0))+IF(BQ$9="X",VLOOKUP(BQ$10,'VK-Biokütused'!$C:$U,2+$E129,0))+IF(BQ$5="X",VLOOKUP(BQ$10,'VK-Põlevkivi'!$C:$X,2+$G129,0))+IF(BQ$4="X",VLOOKUP(BQ$10,'VK-Võrgud'!$C:$X,2+$F129,0)))/16</f>
        <v>233.20625000000001</v>
      </c>
      <c r="BR129" s="209">
        <f>(IF(BR$7="X",VLOOKUP(BR$10,'VK-Hooned-Soojus'!$C:$X,2+$C129,FALSE),0)+IF(BR$6="X",VLOOKUP(BR$10,'VK-Transport'!$C:$X,2+$B129,0))+IF(BR$8="X",VLOOKUP(BR$10,'VK-Elekter'!$C:$X,2+$D129,0))+IF(BR$9="X",VLOOKUP(BR$10,'VK-Biokütused'!$C:$U,2+$E129,0))+IF(BR$5="X",VLOOKUP(BR$10,'VK-Põlevkivi'!$C:$X,2+$G129,0))+IF(BR$4="X",VLOOKUP(BR$10,'VK-Võrgud'!$C:$X,2+$F129,0)))/16</f>
        <v>74.512500000000003</v>
      </c>
      <c r="BS129" s="209">
        <f>(IF(BS$7="X",VLOOKUP(BS$10,'VK-Hooned-Soojus'!$C:$X,2+$C129,FALSE),0)+IF(BS$6="X",VLOOKUP(BS$10,'VK-Transport'!$C:$X,2+$B129,0))+IF(BS$8="X",VLOOKUP(BS$10,'VK-Elekter'!$C:$X,2+$D129,0))+IF(BS$9="X",VLOOKUP(BS$10,'VK-Biokütused'!$C:$U,2+$E129,0))+IF(BS$5="X",VLOOKUP(BS$10,'VK-Põlevkivi'!$C:$X,2+$G129,0))+IF(BS$4="X",VLOOKUP(BS$10,'VK-Võrgud'!$C:$X,2+$F129,0)))/16</f>
        <v>-21.475000000000001</v>
      </c>
      <c r="BT129" s="209"/>
      <c r="BU129" s="209"/>
      <c r="BV129" s="209">
        <f>(IF(BV$7="X",VLOOKUP(BV$10,'VK-Hooned-Soojus'!$C:$X,2+$C129,FALSE),0)+IF(BV$6="X",VLOOKUP(BV$10,'VK-Transport'!$C:$X,2+$B129,0))+IF(BV$8="X",VLOOKUP(BV$10,'VK-Elekter'!$C:$X,2+$D129,0))+IF(BV$9="X",VLOOKUP(BV$10,'VK-Biokütused'!$C:$U,2+$E129,0))+IF(BV$5="X",VLOOKUP(BV$10,'VK-Põlevkivi'!$C:$X,2+$G129,0))+IF(BV$4="X",VLOOKUP(BV$10,'VK-Võrgud'!$C:$X,2+$F129,0)))/16</f>
        <v>0</v>
      </c>
      <c r="BW129" s="209"/>
      <c r="BX129" s="209">
        <f>(IF(BX$7="X",VLOOKUP(BX$10,'VK-Hooned-Soojus'!$C:$X,2+$C129,FALSE),0)+IF(BX$6="X",VLOOKUP(BX$10,'VK-Transport'!$C:$X,2+$B129,0))+IF(BX$8="X",VLOOKUP(BX$10,'VK-Elekter'!$C:$X,2+$D129,0))+IF(BX$9="X",VLOOKUP(BX$10,'VK-Biokütused'!$C:$U,2+$E129,0))+IF(BX$5="X",VLOOKUP(BX$10,'VK-Põlevkivi'!$C:$X,2+$G129,0))+IF(BX$4="X",VLOOKUP(BX$10,'VK-Võrgud'!$C:$X,2+$F129,0)))/16</f>
        <v>-145.125</v>
      </c>
      <c r="BY129" s="209"/>
      <c r="BZ129" s="209"/>
      <c r="CA129" s="209" t="e">
        <f>(IF(CA$7="X",VLOOKUP(CA$10,'VK-Hooned-Soojus'!$C:$X,2+$C129,FALSE),0)+IF(CA$6="X",VLOOKUP(CA$10,'VK-Transport'!$C:$X,2+$B129,0))+IF(CA$8="X",VLOOKUP(CA$10,'VK-Elekter'!$C:$X,2+$D129,0))+IF(CA$9="X",VLOOKUP(CA$10,'VK-Biokütused'!$C:$U,2+$E129,0))+IF(CA$5="X",VLOOKUP(CA$10,'VK-Põlevkivi'!$C:$X,2+$G129,0))+IF(CA$4="X",VLOOKUP(CA$10,'VK-Võrgud'!$C:$X,2+$F129,0)))/16</f>
        <v>#N/A</v>
      </c>
      <c r="CB129" s="209">
        <f>(IF(CB$7="X",VLOOKUP(CB$10,'VK-Hooned-Soojus'!$C:$X,2+$C129,FALSE),0)+IF(CB$6="X",VLOOKUP(CB$10,'VK-Transport'!$C:$X,2+$B129,0))+IF(CB$8="X",VLOOKUP(CB$10,'VK-Elekter'!$C:$X,2+$D129,0))+IF(CB$9="X",VLOOKUP(CB$10,'VK-Biokütused'!$C:$U,2+$E129,0))+IF(CB$5="X",VLOOKUP(CB$10,'VK-Põlevkivi'!$C:$X,2+$G129,0))+IF(CB$4="X",VLOOKUP(CB$10,'VK-Võrgud'!$C:$X,2+$F129,0)))/16</f>
        <v>0</v>
      </c>
      <c r="CC129" s="209">
        <f>(IF(CC$7="X",VLOOKUP(CC$10,'VK-Hooned-Soojus'!$C:$X,2+$C129,FALSE),0)+IF(CC$6="X",VLOOKUP(CC$10,'VK-Transport'!$C:$X,2+$B129,0))+IF(CC$8="X",VLOOKUP(CC$10,'VK-Elekter'!$C:$X,2+$D129,0))+IF(CC$9="X",VLOOKUP(CC$10,'VK-Biokütused'!$C:$U,2+$E129,0))+IF(CC$5="X",VLOOKUP(CC$10,'VK-Põlevkivi'!$C:$X,2+$G129,0))+IF(CC$4="X",VLOOKUP(CC$10,'VK-Võrgud'!$C:$X,2+$F129,0)))/16</f>
        <v>0</v>
      </c>
      <c r="CD129" s="209"/>
      <c r="CE129" s="209">
        <f>(IF(CE$7="X",VLOOKUP(CE$10,'VK-Hooned-Soojus'!$C:$X,2+$C129,FALSE),0)+IF(CE$6="X",VLOOKUP(CE$10,'VK-Transport'!$C:$X,2+$B129,0))+IF(CE$8="X",VLOOKUP(CE$10,'VK-Elekter'!$C:$X,2+$D129,0))+IF(CE$9="X",VLOOKUP(CE$10,'VK-Biokütused'!$C:$U,2+$E129,0))+IF(CE$5="X",VLOOKUP(CE$10,'VK-Põlevkivi'!$C:$X,2+$G129,0))+IF(CE$4="X",VLOOKUP(CE$10,'VK-Võrgud'!$C:$X,2+$F129,0)))/16</f>
        <v>24.15625</v>
      </c>
      <c r="CF129" s="209"/>
      <c r="CG129" s="209">
        <f>(IF(CG$7="X",VLOOKUP(CG$10,'VK-Hooned-Soojus'!$C:$X,2+$C129,FALSE),0)+IF(CG$6="X",VLOOKUP(CG$10,'VK-Transport'!$C:$X,2+$B129,0))+IF(CG$8="X",VLOOKUP(CG$10,'VK-Elekter'!$C:$X,2+$D129,0))+IF(CG$9="X",VLOOKUP(CG$10,'VK-Biokütused'!$C:$U,2+$E129,0))+IF(CG$5="X",VLOOKUP(CG$10,'VK-Põlevkivi'!$C:$X,2+$G129,0))+IF(CG$4="X",VLOOKUP(CG$10,'VK-Võrgud'!$C:$X,2+$F129,0)))/16</f>
        <v>0</v>
      </c>
      <c r="CH129" s="209">
        <f>(IF(CH$7="X",VLOOKUP(CH$10,'VK-Hooned-Soojus'!$C:$X,2+$C129,FALSE),0)+IF(CH$6="X",VLOOKUP(CH$10,'VK-Transport'!$C:$X,2+$B129,0))+IF(CH$8="X",VLOOKUP(CH$10,'VK-Elekter'!$C:$X,2+$D129,0))+IF(CH$9="X",VLOOKUP(CH$10,'VK-Biokütused'!$C:$U,2+$E129,0))+IF(CH$5="X",VLOOKUP(CH$10,'VK-Põlevkivi'!$C:$X,2+$G129,0))+IF(CH$4="X",VLOOKUP(CH$10,'VK-Võrgud'!$C:$X,2+$F129,0)))/20*0.21</f>
        <v>11.225549999999998</v>
      </c>
      <c r="CI129" s="209"/>
      <c r="CJ129" s="209">
        <f>(IF(CJ$7="X",VLOOKUP(CJ$10,'VK-Hooned-Soojus'!$C:$X,2+$C129,FALSE),0)+IF(CJ$6="X",VLOOKUP(CJ$10,'VK-Transport'!$C:$X,2+$B129,0))+IF(CJ$8="X",VLOOKUP(CJ$10,'VK-Elekter'!$C:$X,2+$D129,0))+IF(CJ$9="X",VLOOKUP(CJ$10,'VK-Biokütused'!$C:$U,2+$E129,0))+IF(CJ$5="X",VLOOKUP(CJ$10,'VK-Põlevkivi'!$C:$X,2+$G129,0))+IF(CJ$4="X",VLOOKUP(CJ$10,'VK-Võrgud'!$C:$X,2+$F129,0)))/1000</f>
        <v>21.63</v>
      </c>
      <c r="CK129" s="209">
        <f>(IF(CK$7="X",VLOOKUP(CK$10,'VK-Hooned-Soojus'!$C:$X,2+$C129,FALSE),0)+IF(CK$6="X",VLOOKUP(CK$10,'VK-Transport'!$C:$X,2+$B129,0))+IF(CK$8="X",VLOOKUP(CK$10,'VK-Elekter'!$C:$X,2+$D129,0))+IF(CK$9="X",VLOOKUP(CK$10,'VK-Biokütused'!$C:$U,2+$E129,0))+IF(CK$5="X",VLOOKUP(CK$10,'VK-Põlevkivi'!$C:$X,2+$G129,0))+IF(CK$4="X",VLOOKUP(CK$10,'VK-Võrgud'!$C:$X,2+$F129,0)))/1000</f>
        <v>38.487669554234017</v>
      </c>
      <c r="CL129" s="209">
        <f>(IF(CL$7="X",VLOOKUP(CL$10,'VK-Hooned-Soojus'!$C:$X,2+$C129,FALSE),0)+IF(CL$6="X",VLOOKUP(CL$10,'VK-Transport'!$C:$X,2+$B129,0))+IF(CL$8="X",VLOOKUP(CL$10,'VK-Elekter'!$C:$X,2+$D129,0))+IF(CL$9="X",VLOOKUP(CL$10,'VK-Biokütused'!$C:$U,2+$E129,0))+IF(CL$5="X",VLOOKUP(CL$10,'VK-Põlevkivi'!$C:$X,2+$G129,0))+IF(CL$4="X",VLOOKUP(CL$10,'VK-Võrgud'!$C:$X,2+$F129,0)))/1000</f>
        <v>10.832630311598681</v>
      </c>
      <c r="CM129" s="209">
        <f>(IF(CM$7="X",VLOOKUP(CM$10,'VK-Hooned-Soojus'!$C:$X,2+$C129,FALSE),0)+IF(CM$6="X",VLOOKUP(CM$10,'VK-Transport'!$C:$X,2+$B129,0))+IF(CM$8="X",VLOOKUP(CM$10,'VK-Elekter'!$C:$X,2+$D129,0))+IF(CM$9="X",VLOOKUP(CM$10,'VK-Biokütused'!$C:$U,2+$E129,0))+IF(CM$5="X",VLOOKUP(CM$10,'VK-Põlevkivi'!$C:$X,2+$G129,0))+IF(CM$4="X",VLOOKUP(CM$10,'VK-Võrgud'!$C:$X,2+$F129,0)))/1000</f>
        <v>7.7059896156049161</v>
      </c>
      <c r="CN129" s="209">
        <f>(IF(CN$7="X",VLOOKUP(CN$10,'VK-Hooned-Soojus'!$C:$X,2+$C129,FALSE),0)+IF(CN$6="X",VLOOKUP(CN$10,'VK-Transport'!$C:$X,2+$B129,0))+IF(CN$8="X",VLOOKUP(CN$10,'VK-Elekter'!$C:$X,2+$D129,0))+IF(CN$9="X",VLOOKUP(CN$10,'VK-Biokütused'!$C:$U,2+$E129,0))+IF(CN$5="X",VLOOKUP(CN$10,'VK-Põlevkivi'!$C:$X,2+$G129,0))+IF(CN$4="X",VLOOKUP(CN$10,'VK-Võrgud'!$C:$X,2+$F129,0)))/1000</f>
        <v>2.8759999999999999</v>
      </c>
      <c r="CO129" s="209">
        <f>(IF(CO$7="X",VLOOKUP(CO$10,'VK-Hooned-Soojus'!$C:$X,2+$C129,FALSE),0)+IF(CO$6="X",VLOOKUP(CO$10,'VK-Transport'!$C:$X,2+$B129,0))+IF(CO$8="X",VLOOKUP(CO$10,'VK-Elekter'!$C:$X,2+$D129,0))+IF(CO$9="X",VLOOKUP(CO$10,'VK-Biokütused'!$C:$U,2+$E129,0))+IF(CO$5="X",VLOOKUP(CO$10,'VK-Põlevkivi'!$C:$X,2+$G129,0))+IF(CO$4="X",VLOOKUP(CO$10,'VK-Võrgud'!$C:$X,2+$F129,0)))/1000</f>
        <v>29.091362337356994</v>
      </c>
      <c r="CP129" s="209">
        <f>(IF(CP$7="X",VLOOKUP(CP$10,'VK-Hooned-Soojus'!$C:$X,2+$C129,FALSE),0)+IF(CP$6="X",VLOOKUP(CP$10,'VK-Transport'!$C:$X,2+$B129,0))+IF(CP$8="X",VLOOKUP(CP$10,'VK-Elekter'!$C:$X,2+$D129,0))+IF(CP$9="X",VLOOKUP(CP$10,'VK-Biokütused'!$C:$U,2+$E129,0))+IF(CP$5="X",VLOOKUP(CP$10,'VK-Põlevkivi'!$C:$X,2+$G129,0))+IF(CP$4="X",VLOOKUP(CP$10,'VK-Võrgud'!$C:$X,2+$F129,0)))/1000</f>
        <v>32.337874014997936</v>
      </c>
      <c r="CQ129" s="209">
        <f>(IF(CQ$7="X",VLOOKUP(CQ$10,'VK-Hooned-Soojus'!$C:$X,2+$C129,FALSE),0)+IF(CQ$6="X",VLOOKUP(CQ$10,'VK-Transport'!$C:$X,2+$B129,0))+IF(CQ$8="X",VLOOKUP(CQ$10,'VK-Elekter'!$C:$X,2+$D129,0))+IF(CQ$9="X",VLOOKUP(CQ$10,'VK-Biokütused'!$C:$U,2+$E129,0))+IF(CQ$5="X",VLOOKUP(CQ$10,'VK-Põlevkivi'!$C:$X,2+$G129,0))+IF(CQ$4="X",VLOOKUP(CQ$10,'VK-Võrgud'!$C:$X,2+$F129,0)))/1000</f>
        <v>16.700919000000003</v>
      </c>
      <c r="CR129" s="209">
        <f>(IF(CR$7="X",VLOOKUP(CR$10,'VK-Hooned-Soojus'!$C:$X,2+$C129,FALSE),0)+IF(CR$6="X",VLOOKUP(CR$10,'VK-Transport'!$C:$X,2+$B129,0))+IF(CR$8="X",VLOOKUP(CR$10,'VK-Elekter'!$C:$X,2+$D129,0))+IF(CR$9="X",VLOOKUP(CR$10,'VK-Biokütused'!$C:$U,2+$E129,0))+IF(CR$5="X",VLOOKUP(CR$10,'VK-Põlevkivi'!$C:$X,2+$G129,0))+IF(CR$4="X",VLOOKUP(CR$10,'VK-Võrgud'!$C:$X,2+$F129,0)))/1000</f>
        <v>8.1807518373996899</v>
      </c>
      <c r="CS129" s="209">
        <f>(IF(CS$7="X",VLOOKUP(CS$10,'VK-Hooned-Soojus'!$C:$X,2+$C129,FALSE),0)+IF(CS$6="X",VLOOKUP(CS$10,'VK-Transport'!$C:$X,2+$B129,0))+IF(CS$8="X",VLOOKUP(CS$10,'VK-Elekter'!$C:$X,2+$D129,0))+IF(CS$9="X",VLOOKUP(CS$10,'VK-Biokütused'!$C:$U,2+$E129,0))+IF(CS$5="X",VLOOKUP(CS$10,'VK-Põlevkivi'!$C:$X,2+$G129,0))+IF(CS$4="X",VLOOKUP(CS$10,'VK-Võrgud'!$C:$X,2+$F129,0)))/1000</f>
        <v>3.8186495098622379</v>
      </c>
      <c r="CT129" s="209">
        <f>IF(CT$7="X",VLOOKUP(CT$10,'VK-Hooned-Soojus'!$C:$X,2+$C129,FALSE),0)+IF(CT$6="X",VLOOKUP(CT$10,'VK-Transport'!$C:$X,2+$B129,0))+IF(CT$8="X",VLOOKUP(CT$10,'VK-Elekter'!$C:$X,2+$D129,0))+IF(CT$9="X",VLOOKUP(CT$10,'VK-Biokütused'!$C:$U,2+$E129,0))+IF(CT$5="X",VLOOKUP(CT$10,'VK-Põlevkivi'!$C:$X,2+$G129,0))+IF(CT$4="X",VLOOKUP(CT$10,'VK-Võrgud'!$C:$X,2+$F129,0))</f>
        <v>90</v>
      </c>
      <c r="CU129" s="209">
        <f>IF(CU$7="X",VLOOKUP(CU$10,'VK-Hooned-Soojus'!$C:$X,2+$C129,FALSE),0)+IF(CU$6="X",VLOOKUP(CU$10,'VK-Transport'!$C:$X,2+$B129,0))+IF(CU$8="X",VLOOKUP(CU$10,'VK-Elekter'!$C:$X,2+$D129,0))+IF(CU$9="X",VLOOKUP(CU$10,'VK-Biokütused'!$C:$U,2+$E129,0))+IF(CU$5="X",VLOOKUP(CU$10,'VK-Põlevkivi'!$C:$X,2+$G129,0))+IF(CU$4="X",VLOOKUP(CU$10,'VK-Võrgud'!$C:$X,2+$F129,0))</f>
        <v>1</v>
      </c>
      <c r="CV129" s="209">
        <f t="shared" si="84"/>
        <v>0.72887234460741657</v>
      </c>
      <c r="CW129" s="209">
        <f>(IF(CW$7="X",VLOOKUP(CW$10,'VK-Hooned-Soojus'!$C:$X,2+$C129,FALSE),0)+IF(CW$6="X",VLOOKUP(CW$10,'VK-Transport'!$C:$X,2+$B129,0))+IF(CW$8="X",VLOOKUP(CW$10,'VK-Elekter'!$C:$X,2+$D129,0))+IF(CW$9="X",VLOOKUP(CW$10,'VK-Biokütused'!$C:$U,2+$E129,0))+IF(CW$5="X",VLOOKUP(CW$10,'VK-Põlevkivi'!$C:$X,2+$G129,0))+IF(CW$4="X",VLOOKUP(CW$10,'VK-Võrgud'!$C:$X,2+$F129,0)))/16</f>
        <v>59.743749999999999</v>
      </c>
      <c r="CY129" s="209">
        <f>(IF(CY$7="X",VLOOKUP(CY$10,'VK-Hooned-Soojus'!$C:$X,2+$C129,FALSE),0)+IF(CY$6="X",VLOOKUP(CY$10,'VK-Transport'!$C:$X,2+$B129,0))+IF(CY$8="X",VLOOKUP(CY$10,'VK-Elekter'!$C:$X,2+$D129,0))+IF(CY$9="X",VLOOKUP(CY$10,'VK-Biokütused'!$C:$U,2+$E129,0))+IF(CY$5="X",VLOOKUP(CY$10,'VK-Põlevkivi'!$C:$X,2+$G129,0))+IF(CY$4="X",VLOOKUP(CY$10,'VK-Võrgud'!$C:$X,2+$F129,0)))/1000</f>
        <v>10.935</v>
      </c>
      <c r="CZ129" s="209">
        <f>(IF(CZ$7="X",VLOOKUP(CZ$10,'VK-Hooned-Soojus'!$C:$X,2+$C129,FALSE),0)+IF(CZ$6="X",VLOOKUP(CZ$10,'VK-Transport'!$C:$X,2+$B129,0))+IF(CZ$8="X",VLOOKUP(CZ$10,'VK-Elekter'!$C:$X,2+$D129,0))+IF(CZ$9="X",VLOOKUP(CZ$10,'VK-Biokütused'!$C:$U,2+$E129,0))+IF(CZ$5="X",VLOOKUP(CZ$10,'VK-Põlevkivi'!$C:$X,2+$G129,0))+IF(CZ$4="X",VLOOKUP(CZ$10,'VK-Võrgud'!$C:$X,2+$F129,0)))</f>
        <v>90.4</v>
      </c>
      <c r="DA129" s="209">
        <f>(IF(DA$7="X",VLOOKUP(DA$10,'VK-Hooned-Soojus'!$C:$X,2+$C129,FALSE),0)+IF(DA$6="X",VLOOKUP(DA$10,'VK-Transport'!$C:$X,2+$B129,0))+IF(DA$8="X",VLOOKUP(DA$10,'VK-Elekter'!$C:$X,2+$D129,0))+IF(DA$9="X",VLOOKUP(DA$10,'VK-Biokütused'!$C:$U,2+$E129,0))+IF(DA$5="X",VLOOKUP(DA$10,'VK-Põlevkivi'!$C:$X,2+$G129,0))+IF(DA$4="X",VLOOKUP(DA$10,'VK-Võrgud'!$C:$X,2+$F129,0)))/1000</f>
        <v>15.52</v>
      </c>
      <c r="DB129" s="209">
        <f>(IF(DB$7="X",VLOOKUP(DB$10,'VK-Hooned-Soojus'!$C:$X,2+$C129,FALSE),0)+IF(DB$6="X",VLOOKUP(DB$10,'VK-Transport'!$C:$X,2+$B129,0))+IF(DB$8="X",VLOOKUP(DB$10,'VK-Elekter'!$C:$X,2+$D129,0))+IF(DB$9="X",VLOOKUP(DB$10,'VK-Biokütused'!$C:$U,2+$E129,0))+IF(DB$5="X",VLOOKUP(DB$10,'VK-Põlevkivi'!$C:$X,2+$G129,0))+IF(DB$4="X",VLOOKUP(DB$10,'VK-Võrgud'!$C:$X,2+$F129,0)))/1000/3.6</f>
        <v>132.29194444444443</v>
      </c>
      <c r="DC129" s="209">
        <f>(IF(DC$7="X",VLOOKUP(DC$10,'VK-Hooned-Soojus'!$C:$X,2+$C129,FALSE),0)+IF(DC$6="X",VLOOKUP(DC$10,'VK-Transport'!$C:$X,2+$B129,0))+IF(DC$8="X",VLOOKUP(DC$10,'VK-Elekter'!$C:$X,2+$D129,0))+IF(DC$9="X",VLOOKUP(DC$10,'VK-Biokütused'!$C:$U,2+$E129,0))+IF(DC$5="X",VLOOKUP(DC$10,'VK-Põlevkivi'!$C:$X,2+$G129,0))+IF(DC$4="X",VLOOKUP(DC$10,'VK-Võrgud'!$C:$X,2+$F129,0)))/1000000</f>
        <v>7.0556279999999996</v>
      </c>
      <c r="DD129" s="209"/>
      <c r="DE129" s="88">
        <f>VLOOKUP(Tulemused!$BN$12,data!M$7:N$12,2,FALSE)-SUM(L129,M129)</f>
        <v>-5.2509373024363981E-2</v>
      </c>
      <c r="DF129" s="209" t="str">
        <f>IF(AZ129&lt;=VLOOKUP(Tulemused!$BN$15,data!$E$36:$F$39,2,FALSE),"JAH","EI")</f>
        <v>JAH</v>
      </c>
      <c r="DG129" s="209"/>
      <c r="DH129" s="209">
        <f t="shared" si="85"/>
        <v>6.28</v>
      </c>
      <c r="DI129" s="231" t="str">
        <f t="shared" si="65"/>
        <v>EI</v>
      </c>
      <c r="DK129" s="232">
        <f t="shared" si="86"/>
        <v>-992.15344586691344</v>
      </c>
      <c r="DM129" s="233">
        <f t="shared" si="87"/>
        <v>-998.06265326642028</v>
      </c>
      <c r="DN129" s="87">
        <f t="array" ref="DN129">INDEX($A$11:$A$145, SMALL(IF(DM129=$DK$11:$DK$145, MATCH(ROW($DK$11:$DK$145), ROW($DK$11:$DK$145))), SUM(--(DM129=$DM$11:DM129))))</f>
        <v>37</v>
      </c>
      <c r="DP129" s="87" t="e">
        <f t="shared" ca="1" si="66"/>
        <v>#N/A</v>
      </c>
      <c r="DQ129" s="87" t="e">
        <f t="shared" ca="1" si="67"/>
        <v>#N/A</v>
      </c>
      <c r="DR129" s="87">
        <f t="shared" ca="1" si="68"/>
        <v>0</v>
      </c>
      <c r="DS129" s="87" t="e">
        <f t="shared" ca="1" si="69"/>
        <v>#N/A</v>
      </c>
      <c r="DT129" s="87">
        <f t="shared" ca="1" si="70"/>
        <v>0</v>
      </c>
      <c r="DU129" s="87" t="e">
        <f t="shared" ca="1" si="71"/>
        <v>#N/A</v>
      </c>
      <c r="DV129" s="87" t="e">
        <f t="shared" ca="1" si="72"/>
        <v>#N/A</v>
      </c>
      <c r="DW129" s="87">
        <f t="shared" ca="1" si="73"/>
        <v>0</v>
      </c>
      <c r="DX129" s="87">
        <f t="shared" ca="1" si="74"/>
        <v>0</v>
      </c>
      <c r="DZ129" s="87">
        <f t="shared" ca="1" si="82"/>
        <v>0</v>
      </c>
      <c r="EB129" s="87">
        <f t="shared" ca="1" si="75"/>
        <v>0</v>
      </c>
      <c r="EC129" s="87" t="e">
        <f t="shared" ca="1" si="76"/>
        <v>#N/A</v>
      </c>
      <c r="EE129" s="228">
        <f>(IF(EE$7="X",VLOOKUP(EE$10,'VK-Hooned-Soojus'!$C:$X,2+$C129,FALSE),0)+IF(EE$6="X",VLOOKUP(EE$10,'VK-Transport'!$C:$X,2+$B129,0))+IF(EE$8="X",VLOOKUP(EE$10,'VK-Elekter'!$C:$X,2+$D129,0))+IF(EE$9="X",VLOOKUP(EE$10,'VK-Biokütused'!$C:$U,2+$E129,0))+IF(EE$5="X",VLOOKUP(EE$10,'VK-Põlevkivi'!$C:$X,2+$G129,0))+IF(EE$4="X",VLOOKUP(EE$10,'VK-Võrgud'!$C:$X,2+$F129,0)))</f>
        <v>11792.090986212825</v>
      </c>
      <c r="EF129" s="209">
        <f>(IF(EF$7="X",VLOOKUP(EF$10,'VK-Hooned-Soojus'!$C:$X,2+$C129,FALSE),0)+IF(EF$6="X",VLOOKUP(EF$10,'VK-Transport'!$C:$X,2+$B129,0))+IF(EF$8="X",VLOOKUP(EF$10,'VK-Elekter'!$C:$X,2+$D129,0))+IF(EF$9="X",VLOOKUP(EF$10,'VK-Biokütused'!$C:$U,2+$E129,0))+IF(EF$5="X",VLOOKUP(EF$10,'VK-Põlevkivi'!$C:$X,2+$G129,0))+IF(EF$4="X",VLOOKUP(EF$10,'VK-Võrgud'!$C:$X,2+$F129,0)))/1000</f>
        <v>7.4808849906373194</v>
      </c>
      <c r="EG129" s="209">
        <f>(IF(EG$7="X",VLOOKUP(EG$10,'VK-Hooned-Soojus'!$C:$X,2+$C129,FALSE),0)+IF(EG$6="X",VLOOKUP(EG$10,'VK-Transport'!$C:$X,2+$B129,0))+IF(EG$8="X",VLOOKUP(EG$10,'VK-Elekter'!$C:$X,2+$D129,0))+IF(EG$9="X",VLOOKUP(EG$10,'VK-Biokütused'!$C:$U,2+$E129,0))+IF(EG$5="X",VLOOKUP(EG$10,'VK-Põlevkivi'!$C:$X,2+$G129,0))+IF(EG$4="X",VLOOKUP(EG$10,'VK-Võrgud'!$C:$X,2+$F129,0)))</f>
        <v>0.81</v>
      </c>
      <c r="EH129" s="209">
        <f>(IF(EH$7="X",VLOOKUP(EH$10,'VK-Hooned-Soojus'!$C:$X,2+$C129,FALSE),0)+IF(EH$6="X",VLOOKUP(EH$10,'VK-Transport'!$C:$X,2+$B129,0))+IF(EH$8="X",VLOOKUP(EH$10,'VK-Elekter'!$C:$X,2+$D129,0))+IF(EH$9="X",VLOOKUP(EH$10,'VK-Biokütused'!$C:$U,2+$E129,0)))+AR129+AS129+AU129+AX129</f>
        <v>88.482071147298925</v>
      </c>
      <c r="EI129" s="320">
        <f t="shared" si="88"/>
        <v>59.535011875436602</v>
      </c>
      <c r="EJ129" s="322">
        <f t="shared" si="89"/>
        <v>2.4608217929567841E-2</v>
      </c>
      <c r="EK129" s="323">
        <f t="shared" si="77"/>
        <v>0.44074232993007334</v>
      </c>
      <c r="EM129" s="209"/>
      <c r="EN129" s="209">
        <f t="shared" ca="1" si="90"/>
        <v>0</v>
      </c>
      <c r="EO129" s="209"/>
      <c r="EP129" s="234"/>
      <c r="EQ129" s="209">
        <f>(IF(EQ$7="X",VLOOKUP(EQ$10,'VK-Hooned-Soojus'!$C:$X,2+$C129,FALSE),0)+IF(EQ$6="X",VLOOKUP(EQ$10,'VK-Transport'!$C:$X,2+$B129,0))+IF(EQ$8="X",VLOOKUP(EQ$10,'VK-Elekter'!$C:$X,2+$D129,0))+IF(EQ$9="X",VLOOKUP(EQ$10,'VK-Biokütused'!$C:$U,2+$E129,0))+IF(EQ$5="X",VLOOKUP(EQ$10,'VK-Põlevkivi'!$C:$X,2+$G129,0))+IF(EQ$4="X",VLOOKUP(EQ$10,'VK-Võrgud'!$C:$X,2+$F129,0)))/1000</f>
        <v>0.21099999999999999</v>
      </c>
      <c r="ER129" s="209">
        <f>(IF(ER$7="X",VLOOKUP(ER$10,'VK-Hooned-Soojus'!$C:$X,2+$C129,FALSE),0)+IF(ER$6="X",VLOOKUP(ER$10,'VK-Transport'!$C:$X,2+$B129,0))+IF(ER$8="X",VLOOKUP(ER$10,'VK-Elekter'!$C:$X,2+$D129,0))+IF(ER$9="X",VLOOKUP(ER$10,'VK-Biokütused'!$C:$U,2+$E129,0))+IF(ER$5="X",VLOOKUP(ER$10,'VK-Põlevkivi'!$C:$X,2+$G129,0))+IF(ER$4="X",VLOOKUP(ER$10,'VK-Võrgud'!$C:$X,2+$F129,0)))</f>
        <v>0.76300000000000001</v>
      </c>
      <c r="ES129" s="209">
        <f>(IF(ES$7="X",VLOOKUP(ES$10,'VK-Hooned-Soojus'!$C:$X,2+$C129,FALSE),0)+IF(ES$6="X",VLOOKUP(ES$10,'VK-Transport'!$C:$X,2+$B129,0))+IF(ES$8="X",VLOOKUP(ES$10,'VK-Elekter'!$C:$X,2+$D129,0))+IF(ES$9="X",VLOOKUP(ES$10,'VK-Biokütused'!$C:$U,2+$E129,0))+IF(ES$5="X",VLOOKUP(ES$10,'VK-Põlevkivi'!$C:$X,2+$G129,0))+IF(ES$4="X",VLOOKUP(ES$10,'VK-Võrgud'!$C:$X,2+$F129,0)))</f>
        <v>6.28</v>
      </c>
      <c r="ET129" s="209"/>
      <c r="EU129" s="209"/>
      <c r="EV129" s="87">
        <f>'KSH järjestus'!AS122</f>
        <v>1283</v>
      </c>
      <c r="EZ129" s="237">
        <f t="shared" si="91"/>
        <v>0</v>
      </c>
      <c r="FA129" s="209">
        <f>IF(FA$7="X",VLOOKUP(FA$10,'VK-Hooned-Soojus'!$C:$X,2+$C129,FALSE),0)+IF(FA$6="X",VLOOKUP(FA$10,'VK-Transport'!$C:$X,2+$B129,0))+IF(FA$8="X",VLOOKUP(FA$10,'VK-Elekter'!$C:$X,2+$D129,0))+IF(FA$9="X",VLOOKUP(FA$10,'VK-Biokütused'!$C:$U,2+$E129,0))+IF(FA$5="X",VLOOKUP(FA$10,'VK-Põlevkivi'!$C:$X,2+$G129,0))+IF(FA$4="X",VLOOKUP(FA$10,'VK-Võrgud'!$C:$X,2+$F129,0))</f>
        <v>2914.9189999999999</v>
      </c>
      <c r="FB129" s="279">
        <f>(IF(FB$7="X",VLOOKUP(FB$10,'VK-Hooned-Soojus'!$C:$X,2+$C129,FALSE),0)+IF(FB$6="X",VLOOKUP(FB$10,'VK-Transport'!$C:$X,2+$B129,0))+IF(FB$8="X",VLOOKUP(FB$10,'VK-Elekter'!$C:$X,2+$D129,0))+IF(FB$9="X",VLOOKUP(FB$10,'VK-Biokütused'!$C:$U,2+$E129,0))+IF(FB$5="X",VLOOKUP(FB$10,'VK-Põlevkivi'!$C:$X,2+$G129,0))+IF(FB$4="X",VLOOKUP(FB$10,'VK-Võrgud'!$C:$X,2+$F129,0)))/16</f>
        <v>911.67090328709219</v>
      </c>
      <c r="FC129" s="209">
        <f>IF(FC$7="X",VLOOKUP(FC$10,'VK-Hooned-Soojus'!$C:$X,2+$C129,FALSE),0)+IF(FC$6="X",VLOOKUP(FC$10,'VK-Transport'!$C:$X,2+$B129,0))+IF(FC$8="X",VLOOKUP(FC$10,'VK-Elekter'!$C:$X,2+$D129,0))+IF(FC$9="X",VLOOKUP(FC$10,'VK-Biokütused'!$C:$U,2+$E129,0))+IF(FC$5="X",VLOOKUP(FC$10,'VK-Põlevkivi'!$C:$X,2+$G129,0))+IF(FC$4="X",VLOOKUP(FC$10,'VK-Võrgud'!$C:$X,2+$F129,0))</f>
        <v>294.3</v>
      </c>
      <c r="FD129" s="209">
        <f>(IF(FD$7="X",VLOOKUP(FD$10,'VK-Hooned-Soojus'!$C:$X,2+$C129,FALSE),0)+IF(FD$6="X",VLOOKUP(FD$10,'VK-Transport'!$C:$X,2+$B129,0))+IF(FD$8="X",VLOOKUP(FD$10,'VK-Elekter'!$C:$X,2+$D129,0))+IF(FD$9="X",VLOOKUP(FD$10,'VK-Biokütused'!$C:$U,2+$E129,0))+IF(FD$5="X",VLOOKUP(FD$10,'VK-Põlevkivi'!$C:$X,2+$G129,0))+IF(FD$4="X",VLOOKUP(FD$10,'VK-Võrgud'!$C:$X,2+$F129,0)))/16</f>
        <v>911.67090328709219</v>
      </c>
      <c r="FE129" s="209">
        <f>(IF(FE$7="X",VLOOKUP(FE$10,'VK-Hooned-Soojus'!$C:$X,2+$C129,FALSE),0)+IF(FE$6="X",VLOOKUP(FE$10,'VK-Transport'!$C:$X,2+$B129,0))+IF(FE$8="X",VLOOKUP(FE$10,'VK-Elekter'!$C:$X,2+$D129,0))+IF(FE$9="X",VLOOKUP(FE$10,'VK-Biokütused'!$C:$U,2+$E129,0))+IF(FE$5="X",VLOOKUP(FE$10,'VK-Põlevkivi'!$C:$X,2+$G129,0))+IF(FE$4="X",VLOOKUP(FE$10,'VK-Võrgud'!$C:$X,2+$F129,0)))/16</f>
        <v>-92.530719880632105</v>
      </c>
      <c r="FF129" s="209">
        <f>(IF(FF$7="X",VLOOKUP(FF$10,'VK-Hooned-Soojus'!$C:$X,2+$C129,FALSE),0)+IF(FF$6="X",VLOOKUP(FF$10,'VK-Transport'!$C:$X,2+$B129,0))+IF(FF$8="X",VLOOKUP(FF$10,'VK-Elekter'!$C:$X,2+$D129,0))+IF(FF$9="X",VLOOKUP(FF$10,'VK-Biokütused'!$C:$U,2+$E129,0))+IF(FF$5="X",VLOOKUP(FF$10,'VK-Põlevkivi'!$C:$X,2+$G129,0))+IF(FF$4="X",VLOOKUP(FF$10,'VK-Võrgud'!$C:$X,2+$F129,0)))/16</f>
        <v>306.81526133002615</v>
      </c>
      <c r="FG129" s="88">
        <f t="shared" ca="1" si="78"/>
        <v>214.28454144939406</v>
      </c>
      <c r="FH129" s="88"/>
      <c r="FI129" s="88"/>
      <c r="FJ129" s="88">
        <f>VLOOKUP(Tulemused!$BN$12,data!M$7:N$12,2,FALSE)-SUM(L129,M129)</f>
        <v>-5.2509373024363981E-2</v>
      </c>
      <c r="FK129" s="209" t="str">
        <f>IF(AZ129&lt;=VLOOKUP(Tulemused!$BN$15,data!$E$36:$F$39,2,FALSE),"JAH","EI")</f>
        <v>JAH</v>
      </c>
      <c r="FL129" s="235">
        <f ca="1">IF(ISNA(MATCH($A129,INDIRECT(VLOOKUP(Tulemused!$BF$11,data!$J$57:$M$71,4,FALSE)))),0,MATCH($A129,INDIRECT(VLOOKUP(Tulemused!$BF$11,data!$J$57:$M$71,4,FALSE))))</f>
        <v>0</v>
      </c>
      <c r="FM129" s="235" t="str">
        <f t="shared" ca="1" si="92"/>
        <v>JAH</v>
      </c>
      <c r="FN129" s="209">
        <f>VLOOKUP(Tulemused!$BN$13,data!$C$132:$D$137,2,FALSE)-KOMBI!R129</f>
        <v>4.6715850093626807</v>
      </c>
      <c r="FO129" s="209"/>
      <c r="FP129" s="209">
        <f>VLOOKUP(Tulemused!$BN$17,NO_x,2,FALSE)-CJ129</f>
        <v>7.8079999999999998</v>
      </c>
      <c r="FQ129" s="209">
        <f>VLOOKUP(Tulemused!$BN$18,SO_2,2,FALSE)-CK129</f>
        <v>13.396330445765983</v>
      </c>
      <c r="FR129" s="209">
        <f>VLOOKUP(Tulemused!$BN$19,LOU,2,FALSE)-CN129</f>
        <v>34.204000000000008</v>
      </c>
      <c r="FS129" s="209">
        <f>VLOOKUP(Tulemused!$BN$20,PM_2.5,2,FALSE)-CM129</f>
        <v>9.2090103843950821</v>
      </c>
      <c r="FT129" s="209">
        <f>VLOOKUP(Tulemused!$BN$13,data!$C$132:$D$137,2,FALSE)-FA129/1000</f>
        <v>3.3310510000000009</v>
      </c>
      <c r="FU129" s="209">
        <f>VLOOKUP(Tulemused!$BN$17,NO_x,2,FALSE)-CO129</f>
        <v>0.34663766264300477</v>
      </c>
      <c r="FV129" s="209">
        <f>VLOOKUP(Tulemused!$BN$18,SO_2,2,FALSE)-CP129</f>
        <v>19.546125985002064</v>
      </c>
      <c r="FW129" s="209">
        <f>VLOOKUP(Tulemused!$BN$19,LOU,2,FALSE)-CS129</f>
        <v>33.261350490137765</v>
      </c>
      <c r="FX129" s="209">
        <f>VLOOKUP(Tulemused!$BN$20,PM_2.5,2,FALSE)-CR129</f>
        <v>8.7342481626003092</v>
      </c>
      <c r="FY129" s="209">
        <f>VLOOKUP(Tulemused!$BN$14,KHG_2050,2,FALSE)-EF129</f>
        <v>92.519115009362679</v>
      </c>
      <c r="FZ129" s="231" t="str">
        <f t="shared" ca="1" si="79"/>
        <v>EI</v>
      </c>
      <c r="GA129" s="209"/>
      <c r="GB129" s="209"/>
      <c r="GC129" s="209"/>
      <c r="GD129" s="231"/>
      <c r="GE129" s="87">
        <f t="shared" si="93"/>
        <v>1283</v>
      </c>
      <c r="GF129" s="232" t="str">
        <f t="shared" ca="1" si="80"/>
        <v/>
      </c>
      <c r="GH129" s="238" t="e">
        <f t="shared" ca="1" si="94"/>
        <v>#NUM!</v>
      </c>
      <c r="GI129" s="87" t="e">
        <f t="array" aca="1" ref="GI129" ca="1">INDEX($A$11:$A$145, SMALL(IF(GH129=$GF$11:$GF$145, MATCH(ROW($GF$11:$GF$145), ROW($GF$11:$GF$145))), SUM(--(GH129=$GH$11:GH129))))</f>
        <v>#NUM!</v>
      </c>
      <c r="GM129" s="209">
        <f>IF(GM$7="X",VLOOKUP(GM$10,'VK-Hooned-Soojus'!$C:$X,2+$C129,FALSE),0)+IF(GM$6="X",VLOOKUP(GM$10,'VK-Transport'!$C:$X,2+$B129,0))+IF(GM$8="X",VLOOKUP(GM$10,'VK-Elekter'!$C:$X,2+$D129,0))+IF(GM$9="X",VLOOKUP(GM$10,'VK-Biokütused'!$C:$U,2+$E129,0))+IF(GM$5="X",VLOOKUP(GM$10,'VK-Põlevkivi'!$C:$X,2+$G129,0))+IF(GM$4="X",VLOOKUP(GM$10,'VK-Võrgud'!$C:$X,2+$F129,0))</f>
        <v>11.189888530766083</v>
      </c>
      <c r="GN129" s="209">
        <f>IF(GN$7="X",VLOOKUP(GN$10,'VK-Hooned-Soojus'!$C:$X,2+$C129,FALSE),0)+IF(GN$6="X",VLOOKUP(GN$10,'VK-Transport'!$C:$X,2+$B129,0))+IF(GN$8="X",VLOOKUP(GN$10,'VK-Elekter'!$C:$X,2+$D129,0))+IF(GN$9="X",VLOOKUP(GN$10,'VK-Biokütused'!$C:$U,2+$E129,0))+IF(GN$5="X",VLOOKUP(GN$10,'VK-Põlevkivi'!$C:$X,2+$G129,0))+IF(GN$4="X",VLOOKUP(GN$10,'VK-Võrgud'!$C:$X,2+$F129,0))</f>
        <v>2.9930837725682502</v>
      </c>
      <c r="GO129" s="209">
        <f>IF(GO$7="X",VLOOKUP(GO$10,'VK-Hooned-Soojus'!$C:$X,2+$C129,FALSE),0)+IF(GO$6="X",VLOOKUP(GO$10,'VK-Transport'!$C:$X,2+$B129,0))+IF(GO$8="X",VLOOKUP(GO$10,'VK-Elekter'!$C:$X,2+$D129,0))+IF(GO$9="X",VLOOKUP(GO$10,'VK-Biokütused'!$C:$U,2+$E129,0))+IF(GO$5="X",VLOOKUP(GO$10,'VK-Põlevkivi'!$C:$X,2+$G129,0))+IF(GO$4="X",VLOOKUP(GO$10,'VK-Võrgud'!$C:$X,2+$F129,0))</f>
        <v>7.936370010272257</v>
      </c>
      <c r="GP129" s="209">
        <f>IF(GP$7="X",VLOOKUP(GP$10,'VK-Hooned-Soojus'!$C:$X,2+$C129,FALSE),0)+IF(GP$6="X",VLOOKUP(GP$10,'VK-Transport'!$C:$X,2+$B129,0))+IF(GP$8="X",VLOOKUP(GP$10,'VK-Elekter'!$C:$X,2+$D129,0))+IF(GP$9="X",VLOOKUP(GP$10,'VK-Biokütused'!$C:$U,2+$E129,0))+IF(GP$5="X",VLOOKUP(GP$10,'VK-Põlevkivi'!$C:$X,2+$G129,0))+IF(GP$4="X",VLOOKUP(GP$10,'VK-Võrgud'!$C:$X,2+$F129,0))</f>
        <v>9.1527946929596489</v>
      </c>
      <c r="GQ129" s="88">
        <f>IF(GQ$7="X",VLOOKUP(GQ$10,'VK-Hooned-Soojus'!$C:$X,2+$C129,FALSE),0)+IF(GQ$6="X",VLOOKUP(GQ$10,'VK-Transport'!$C:$X,2+$B129,0))+IF(GQ$8="X",VLOOKUP(GQ$10,'VK-Elekter'!$C:$X,2+$D129,0))+IF(GQ$9="X",VLOOKUP(GQ$10,'VK-Biokütused'!$C:$U,2+$E129,0))+IF(GQ$5="X",VLOOKUP(GQ$10,'VK-Põlevkivi'!$C:$X,2+$G129,0))+IF(GQ$4="X",VLOOKUP(GQ$10,'VK-Võrgud'!$C:$X,2+$F129,0))</f>
        <v>0.89042766952822527</v>
      </c>
      <c r="GR129" s="186">
        <f t="shared" si="81"/>
        <v>0.39641731775069561</v>
      </c>
    </row>
    <row r="130" spans="1:200" x14ac:dyDescent="0.2">
      <c r="A130" s="184">
        <v>120</v>
      </c>
      <c r="B130" s="87">
        <v>3</v>
      </c>
      <c r="C130" s="87">
        <v>2</v>
      </c>
      <c r="D130" s="87">
        <v>5</v>
      </c>
      <c r="E130" s="87">
        <v>3</v>
      </c>
      <c r="F130" s="87">
        <f>VLOOKUP(Tulemused!$BF$7,data!$J$6:$K$8,2,FALSE)</f>
        <v>2</v>
      </c>
      <c r="G130" s="87">
        <f>VLOOKUP(data!$H$2,data!$J$12:$K$14,2,FALSE)</f>
        <v>2</v>
      </c>
      <c r="I130" s="209">
        <f>IF(I$7="X",VLOOKUP(I$10,'VK-Hooned-Soojus'!$C:$X,2+$C130,FALSE),0)+IF(I$6="X",VLOOKUP(I$10,'VK-Transport'!$C:$X,2+$B130,0))+IF(I$8="X",VLOOKUP(I$10,'VK-Elekter'!$C:$X,2+$D130,0))+IF(I$9="X",VLOOKUP(I$10,'VK-Biokütused'!$C:$U,2+$E130,0))+IF(I$5="X",VLOOKUP(I$10,'VK-Põlevkivi'!$C:$X,2+$G130,0))+IF(I$4="X",VLOOKUP(I$10,'VK-Võrgud'!$C:$X,2+$F130,0))</f>
        <v>24.79</v>
      </c>
      <c r="J130" s="209">
        <f>IF(J$7="X",VLOOKUP(J$10,'VK-Hooned-Soojus'!$C:$X,2+$C130,FALSE),0)+IF(J$6="X",VLOOKUP(J$10,'VK-Transport'!$C:$X,2+$B130,0))+IF(J$8="X",VLOOKUP(J$10,'VK-Elekter'!$C:$X,2+$D130,0))+IF(J$9="X",VLOOKUP(J$10,'VK-Biokütused'!$C:$U,2+$E130,0))+IF(J$5="X",VLOOKUP(J$10,'VK-Põlevkivi'!$C:$X,2+$G130,0))+IF(J$4="X",VLOOKUP(J$10,'VK-Võrgud'!$C:$X,2+$F130,0))</f>
        <v>8.1258333333333344</v>
      </c>
      <c r="K130" s="209">
        <f>IF(K$7="X",VLOOKUP(K$10,'VK-Hooned-Soojus'!$C:$X,2+$C130,FALSE),0)+IF(K$6="X",VLOOKUP(K$10,'VK-Transport'!$C:$X,2+$B130,0))+IF(K$8="X",VLOOKUP(K$10,'VK-Elekter'!$C:$X,2+$D130,0))+IF(K$9="X",VLOOKUP(K$10,'VK-Biokütused'!$C:$U,2+$E130,0))+IF(K$5="X",VLOOKUP(K$10,'VK-Põlevkivi'!$C:$X,2+$G130,0))+IF(K$4="X",VLOOKUP(K$10,'VK-Võrgud'!$C:$X,2+$F130,0))</f>
        <v>15.27</v>
      </c>
      <c r="L130" s="209">
        <f>IF(L$7="X",VLOOKUP(L$10,'VK-Hooned-Soojus'!$C:$X,2+$C130,FALSE),0)+IF(L$6="X",VLOOKUP(L$10,'VK-Transport'!$C:$X,2+$B130,0))+IF(L$8="X",VLOOKUP(L$10,'VK-Elekter'!$C:$X,2+$D130,0))+IF(L$9="X",VLOOKUP(L$10,'VK-Biokütused'!$C:$U,2+$E130,0))+IF(L$5="X",VLOOKUP(L$10,'VK-Põlevkivi'!$C:$X,2+$G130,0))+IF(L$4="X",VLOOKUP(L$10,'VK-Võrgud'!$C:$X,2+$F130,0))</f>
        <v>24.2</v>
      </c>
      <c r="M130" s="209">
        <f>IF(M$7="X",VLOOKUP(M$10,'VK-Hooned-Soojus'!$C:$X,2+$C130,FALSE),0)+IF(M$6="X",VLOOKUP(M$10,'VK-Transport'!$C:$X,2+$B130,0))+IF(M$8="X",VLOOKUP(M$10,'VK-Elekter'!$C:$X,2+$D130,0))+IF(M$9="X",VLOOKUP(M$10,'VK-Biokütused'!$C:$U,2+$E130,0))+IF(M$5="X",VLOOKUP(M$10,'VK-Põlevkivi'!$C:$X,2+$G130,0))+IF(M$4="X",VLOOKUP(M$10,'VK-Võrgud'!$C:$X,2+$F130,0))</f>
        <v>8.68530937302436</v>
      </c>
      <c r="N130" s="209">
        <f>IF(N$7="X",VLOOKUP(N$10,'VK-Hooned-Soojus'!$C:$X,2+$C130,FALSE),0)+IF(N$6="X",VLOOKUP(N$10,'VK-Transport'!$C:$X,2+$B130,0))+IF(N$8="X",VLOOKUP(N$10,'VK-Elekter'!$C:$X,2+$D130,0))+IF(N$9="X",VLOOKUP(N$10,'VK-Biokütused'!$C:$U,2+$E130,0))+IF(N$5="X",VLOOKUP(N$10,'VK-Põlevkivi'!$C:$X,2+$G130,0))+IF(N$4="X",VLOOKUP(N$10,'VK-Võrgud'!$C:$X,2+$F130,0))</f>
        <v>16.09</v>
      </c>
      <c r="O130" s="209">
        <f t="shared" si="60"/>
        <v>32.915833333333332</v>
      </c>
      <c r="P130" s="209"/>
      <c r="Q130" s="209">
        <f>(IF(Q$7="X",VLOOKUP(Q$10,'VK-Hooned-Soojus'!$C:$X,2+$C130,FALSE),0)+IF(Q$6="X",VLOOKUP(Q$10,'VK-Transport'!$C:$X,2+$B130,0))+IF(Q$8="X",VLOOKUP(Q$10,'VK-Elekter'!$C:$X,2+$D130,0))+IF(Q$9="X",VLOOKUP(Q$10,'VK-Biokütused'!$C:$U,2+$E130,0))+IF(Q$5="X",VLOOKUP(Q$10,'VK-Põlevkivi'!$C:$X,2+$G130,0))+IF(Q$4="X",VLOOKUP(Q$10,'VK-Võrgud'!$C:$X,2+$F130,0)))/1000</f>
        <v>6.0640000000000001</v>
      </c>
      <c r="R130" s="209">
        <f>(IF(R$7="X",VLOOKUP(R$10,'VK-Hooned-Soojus'!$C:$X,2+$C130,FALSE),0)+IF(R$6="X",VLOOKUP(R$10,'VK-Transport'!$C:$X,2+$B130,0))+IF(R$8="X",VLOOKUP(R$10,'VK-Elekter'!$C:$X,2+$D130,0))+IF(R$9="X",VLOOKUP(R$10,'VK-Biokütused'!$C:$U,2+$E130,0))+IF(R$5="X",VLOOKUP(R$10,'VK-Põlevkivi'!$C:$X,2+$G130,0))+IF(R$4="X",VLOOKUP(R$10,'VK-Võrgud'!$C:$X,2+$F130,0)))/1000</f>
        <v>1.7830849906373201</v>
      </c>
      <c r="S130" s="226">
        <f>VLOOKUP(S$10,'VK-Hooned-Soojus'!$C:$I,2+$C130,FALSE) + VLOOKUP(S$10,'VK-Transport'!$C:$I,2+$B130,FALSE)+ VLOOKUP(S$10,'VK-Biokütused'!$C:$G,2+$E130,FALSE)+ VLOOKUP(S$10,'VK-Elekter'!$C:$I,2+$D130,FALSE)+ VLOOKUP(S$10,'VK-Põlevkivi'!$C:$I,2+$G130,FALSE)+ VLOOKUP(S$10,'VK-Võrgud'!$C:$I,2+$F130,FALSE)</f>
        <v>3.8792565529244351E-2</v>
      </c>
      <c r="T130" s="226">
        <f>VLOOKUP(T$10,'VK-Hooned-Soojus'!$C:$I,2+$C130,FALSE) + VLOOKUP(T$10,'VK-Transport'!$C:$I,2+$B130,FALSE)+ VLOOKUP(T$10,'VK-Biokütused'!$C:$G,2+$E130,FALSE)+ VLOOKUP(T$10,'VK-Elekter'!$C:$I,2+$D130,FALSE)+ VLOOKUP(T$10,'VK-Põlevkivi'!$C:$I,2+$G130,FALSE)+ VLOOKUP(T$10,'VK-Võrgud'!$C:$I,2+$F130,FALSE)</f>
        <v>1.2394461731785881E-2</v>
      </c>
      <c r="U130" s="226">
        <f>VLOOKUP(U$10,'VK-Hooned-Soojus'!$C:$I,2+$C130,FALSE) + VLOOKUP(U$10,'VK-Transport'!$C:$I,2+$B130,FALSE)+ VLOOKUP(U$10,'VK-Biokütused'!$C:$G,2+$E130,FALSE)+ VLOOKUP(U$10,'VK-Elekter'!$C:$I,2+$D130,FALSE)+ VLOOKUP(U$10,'VK-Põlevkivi'!$C:$I,2+$G130,FALSE)+ VLOOKUP(U$10,'VK-Võrgud'!$C:$I,2+$F130,FALSE)</f>
        <v>1.6689164487368152E-2</v>
      </c>
      <c r="V130" s="226">
        <f>VLOOKUP(V$10,'VK-Hooned-Soojus'!$C:$I,2+$C130,FALSE) + VLOOKUP(V$10,'VK-Transport'!$C:$I,2+$B130,FALSE)+ VLOOKUP(V$10,'VK-Biokütused'!$C:$G,2+$E130,FALSE)+ VLOOKUP(V$10,'VK-Elekter'!$C:$I,2+$D130,FALSE)+ VLOOKUP(V$10,'VK-Põlevkivi'!$C:$I,2+$G130,FALSE)+ VLOOKUP(V$10,'VK-Võrgud'!$C:$I,2+$F130,FALSE)</f>
        <v>2.256490666116313E-2</v>
      </c>
      <c r="W130" s="226">
        <f>VLOOKUP(W$10,'VK-Hooned-Soojus'!$C:$I,2+$C130,FALSE) + VLOOKUP(W$10,'VK-Transport'!$C:$I,2+$B130,FALSE)+ VLOOKUP(W$10,'VK-Biokütused'!$C:$G,2+$E130,FALSE)+ VLOOKUP(W$10,'VK-Elekter'!$C:$I,2+$D130,FALSE)+ VLOOKUP(W$10,'VK-Põlevkivi'!$C:$I,2+$G130,FALSE)+ VLOOKUP(W$10,'VK-Võrgud'!$C:$I,2+$F130,FALSE)</f>
        <v>-2.6069223659172441E-2</v>
      </c>
      <c r="X130" s="226">
        <f>VLOOKUP(X$10,'VK-Hooned-Soojus'!$C:$I,2+$C130,FALSE) + VLOOKUP(X$10,'VK-Transport'!$C:$I,2+$B130,FALSE)+ VLOOKUP(X$10,'VK-Biokütused'!$C:$G,2+$E130,FALSE)+ VLOOKUP(X$10,'VK-Elekter'!$C:$I,2+$D130,FALSE)+ VLOOKUP(X$10,'VK-Põlevkivi'!$C:$I,2+$G130,FALSE)+ VLOOKUP(X$10,'VK-Võrgud'!$C:$I,2+$F130,FALSE)</f>
        <v>3.9016762912548554E-2</v>
      </c>
      <c r="Y130" s="226">
        <f>VLOOKUP(Y$10,'VK-Hooned-Soojus'!$C:$I,2+$C130,FALSE) + VLOOKUP(Y$10,'VK-Transport'!$C:$I,2+$B130,FALSE)+ VLOOKUP(Y$10,'VK-Biokütused'!$C:$G,2+$E130,FALSE)+ VLOOKUP(Y$10,'VK-Elekter'!$C:$I,2+$D130,FALSE)+ VLOOKUP(Y$10,'VK-Põlevkivi'!$C:$I,2+$G130,FALSE)+ VLOOKUP(Y$10,'VK-Võrgud'!$C:$I,2+$F130,FALSE)</f>
        <v>2.8074298208378409E-2</v>
      </c>
      <c r="Z130" s="227">
        <f>(S130*Tulemused!$Q$9*10+T130*Tulemused!$Q$10*10+KOMBI!U130*Tulemused!$Q$11*10+KOMBI!V130*Tulemused!$Q$12*10)*Tulemused!$Q$8+-(W130*Tulemused!$Q$14*10+KOMBI!X130*Tulemused!$Q$15*10+KOMBI!Y130*Tulemused!$Q$16*10)*Tulemused!$Q$13</f>
        <v>8.7516538553281009</v>
      </c>
      <c r="AA130" s="228">
        <f>(IF(AA$7="X",VLOOKUP(AA$10,'VK-Hooned-Soojus'!$C:$X,2+$C130,FALSE),0)+IF(AA$6="X",VLOOKUP(AA$10,'VK-Transport'!$C:$X,2+$B130,0))+IF(AA$8="X",VLOOKUP(AA$10,'VK-Elekter'!$C:$X,2+$D130,0))+IF(AA$9="X",VLOOKUP(AA$10,'VK-Biokütused'!$C:$U,2+$E130,0))+IF(AA$5="X",VLOOKUP(AA$10,'VK-Põlevkivi'!$C:$X,2+$G130,0))+IF(AA$4="X",VLOOKUP(AA$10,'VK-Võrgud'!$C:$X,2+$F130,0)))</f>
        <v>4727</v>
      </c>
      <c r="AB130" s="228">
        <f>(IF(AB$7="X",VLOOKUP(AB$10,'VK-Hooned-Soojus'!$C:$X,2+$C130,FALSE),0)+IF(AB$6="X",VLOOKUP(AB$10,'VK-Transport'!$C:$X,2+$B130,0))+IF(AB$8="X",VLOOKUP(AB$10,'VK-Elekter'!$C:$X,2+$D130,0))+IF(AB$9="X",VLOOKUP(AB$10,'VK-Biokütused'!$C:$U,2+$E130,0))+IF(AB$5="X",VLOOKUP(AB$10,'VK-Põlevkivi'!$C:$X,2+$G130,0))+IF(AB$4="X",VLOOKUP(AB$10,'VK-Võrgud'!$C:$X,2+$F130,0)))</f>
        <v>1337</v>
      </c>
      <c r="AC130" s="228">
        <f>(IF(AC$7="X",VLOOKUP(AC$10,'VK-Hooned-Soojus'!$C:$X,2+$C130,FALSE),0)+IF(AC$6="X",VLOOKUP(AC$10,'VK-Transport'!$C:$X,2+$B130,0))+IF(AC$8="X",VLOOKUP(AC$10,'VK-Elekter'!$C:$X,2+$D130,0))+IF(AC$9="X",VLOOKUP(AC$10,'VK-Biokütused'!$C:$U,2+$E130,0))+IF(AC$5="X",VLOOKUP(AC$10,'VK-Põlevkivi'!$C:$X,2+$G130,0))+IF(AC$4="X",VLOOKUP(AC$10,'VK-Võrgud'!$C:$X,2+$F130,0)))</f>
        <v>2346</v>
      </c>
      <c r="AD130" s="228">
        <f>(IF(AD$7="X",VLOOKUP(AD$10,'VK-Hooned-Soojus'!$C:$X,2+$C130,FALSE),0)+IF(AD$6="X",VLOOKUP(AD$10,'VK-Transport'!$C:$X,2+$B130,0))+IF(AD$8="X",VLOOKUP(AD$10,'VK-Elekter'!$C:$X,2+$D130,0))+IF(AD$9="X",VLOOKUP(AD$10,'VK-Biokütused'!$C:$U,2+$E130,0))+IF(AD$5="X",VLOOKUP(AD$10,'VK-Põlevkivi'!$C:$X,2+$G130,0))+IF(AD$4="X",VLOOKUP(AD$10,'VK-Võrgud'!$C:$X,2+$F130,0)))</f>
        <v>586.20000000000005</v>
      </c>
      <c r="AE130" s="228">
        <f>(IF(AE$7="X",VLOOKUP(AE$10,'VK-Hooned-Soojus'!$C:$X,2+$C130,FALSE),0)+IF(AE$6="X",VLOOKUP(AE$10,'VK-Transport'!$C:$X,2+$B130,0))+IF(AE$8="X",VLOOKUP(AE$10,'VK-Elekter'!$C:$X,2+$D130,0))+IF(AE$9="X",VLOOKUP(AE$10,'VK-Biokütused'!$C:$U,2+$E130,0))+IF(AE$5="X",VLOOKUP(AE$10,'VK-Põlevkivi'!$C:$X,2+$G130,0))+IF(AE$4="X",VLOOKUP(AE$10,'VK-Võrgud'!$C:$X,2+$F130,0)))</f>
        <v>666</v>
      </c>
      <c r="AF130" s="228">
        <f>(IF(AF$7="X",VLOOKUP(AF$10,'VK-Hooned-Soojus'!$C:$X,2+$C130,FALSE),0)+IF(AF$6="X",VLOOKUP(AF$10,'VK-Transport'!$C:$X,2+$B130,0))+IF(AF$8="X",VLOOKUP(AF$10,'VK-Elekter'!$C:$X,2+$D130,0))+IF(AF$9="X",VLOOKUP(AF$10,'VK-Biokütused'!$C:$U,2+$E130,0))+IF(AF$5="X",VLOOKUP(AF$10,'VK-Põlevkivi'!$C:$X,2+$G130,0))+IF(AF$4="X",VLOOKUP(AF$10,'VK-Võrgud'!$C:$X,2+$F130,0)))</f>
        <v>530.88499063732002</v>
      </c>
      <c r="AG130" s="209"/>
      <c r="AH130" s="209">
        <f>IF(AH$7="X",VLOOKUP(AH$10,'VK-Hooned-Soojus'!$C:$X,2+$C130,FALSE),0)+IF(AH$6="X",VLOOKUP(AH$10,'VK-Transport'!$C:$X,2+$B130,0))+IF(AH$8="X",VLOOKUP(AH$10,'VK-Elekter'!$C:$X,2+$D130,0))+IF(AH$9="X",VLOOKUP(AH$10,'VK-Biokütused'!$C:$U,2+$E130,0))+IF(AH$5="X",VLOOKUP(AH$10,'VK-Põlevkivi'!$C:$X,2+$G130,0))+IF(AH$4="X",VLOOKUP(AH$10,'VK-Võrgud'!$C:$X,2+$F130,0))</f>
        <v>17.400000000000002</v>
      </c>
      <c r="AI130" s="209">
        <f>IF(AI$7="X",VLOOKUP(AI$10,'VK-Hooned-Soojus'!$C:$X,2+$C130,FALSE),0)+IF(AI$6="X",VLOOKUP(AI$10,'VK-Transport'!$C:$X,2+$B130,0))+IF(AI$8="X",VLOOKUP(AI$10,'VK-Elekter'!$C:$X,2+$D130,0))+IF(AI$9="X",VLOOKUP(AI$10,'VK-Biokütused'!$C:$U,2+$E130,0))+IF(AI$5="X",VLOOKUP(AI$10,'VK-Põlevkivi'!$C:$X,2+$G130,0))+IF(AI$4="X",VLOOKUP(AI$10,'VK-Võrgud'!$C:$X,2+$F130,0))</f>
        <v>2.3100000000000005</v>
      </c>
      <c r="AJ130" s="209">
        <f>IF(AJ$7="X",VLOOKUP(AJ$10,'VK-Hooned-Soojus'!$C:$X,2+$C130,FALSE),0)+IF(AJ$6="X",VLOOKUP(AJ$10,'VK-Transport'!$C:$X,2+$B130,0))+IF(AJ$8="X",VLOOKUP(AJ$10,'VK-Elekter'!$C:$X,2+$D130,0))+IF(AJ$9="X",VLOOKUP(AJ$10,'VK-Biokütused'!$C:$U,2+$E130,0))+IF(AJ$5="X",VLOOKUP(AJ$10,'VK-Põlevkivi'!$C:$X,2+$G130,0))+IF(AJ$4="X",VLOOKUP(AJ$10,'VK-Võrgud'!$C:$X,2+$F130,0))</f>
        <v>4.59</v>
      </c>
      <c r="AK130" s="209">
        <f>IF(AK$7="X",VLOOKUP(AK$10,'VK-Hooned-Soojus'!$C:$X,2+$C130,FALSE),0)+IF(AK$6="X",VLOOKUP(AK$10,'VK-Transport'!$C:$X,2+$B130,0))+IF(AK$8="X",VLOOKUP(AK$10,'VK-Elekter'!$C:$X,2+$D130,0))+IF(AK$9="X",VLOOKUP(AK$10,'VK-Biokütused'!$C:$U,2+$E130,0))+IF(AK$5="X",VLOOKUP(AK$10,'VK-Põlevkivi'!$C:$X,2+$G130,0))+IF(AK$4="X",VLOOKUP(AK$10,'VK-Võrgud'!$C:$X,2+$F130,0))</f>
        <v>-0.41</v>
      </c>
      <c r="AL130" s="209">
        <f>IF(AL$7="X",VLOOKUP(AL$10,'VK-Hooned-Soojus'!$C:$X,2+$C130,FALSE),0)+IF(AL$6="X",VLOOKUP(AL$10,'VK-Transport'!$C:$X,2+$B130,0))+IF(AL$8="X",VLOOKUP(AL$10,'VK-Elekter'!$C:$X,2+$D130,0))+IF(AL$9="X",VLOOKUP(AL$10,'VK-Biokütused'!$C:$U,2+$E130,0))+IF(AL$5="X",VLOOKUP(AL$10,'VK-Põlevkivi'!$C:$X,2+$G130,0))+IF(AL$4="X",VLOOKUP(AL$10,'VK-Võrgud'!$C:$X,2+$F130,0))</f>
        <v>7.1999999999999993</v>
      </c>
      <c r="AM130" s="209">
        <f>IF(AM$7="X",VLOOKUP(AM$10,'VK-Hooned-Soojus'!$C:$X,2+$C130,FALSE),0)+IF(AM$6="X",VLOOKUP(AM$10,'VK-Transport'!$C:$X,2+$B130,0))+IF(AM$8="X",VLOOKUP(AM$10,'VK-Elekter'!$C:$X,2+$D130,0))+IF(AM$9="X",VLOOKUP(AM$10,'VK-Biokütused'!$C:$U,2+$E130,0))+IF(AM$5="X",VLOOKUP(AM$10,'VK-Põlevkivi'!$C:$X,2+$G130,0))+IF(AM$4="X",VLOOKUP(AM$10,'VK-Võrgud'!$C:$X,2+$F130,0))</f>
        <v>11.9</v>
      </c>
      <c r="AN130" s="209">
        <f>IF(AN$7="X",VLOOKUP(AN$10,'VK-Hooned-Soojus'!$C:$X,2+$C130,FALSE),0)+IF(AN$6="X",VLOOKUP(AN$10,'VK-Transport'!$C:$X,2+$B130,0))+IF(AN$8="X",VLOOKUP(AN$10,'VK-Elekter'!$C:$X,2+$D130,0))+IF(AN$9="X",VLOOKUP(AN$10,'VK-Biokütused'!$C:$U,2+$E130,0))+IF(AN$5="X",VLOOKUP(AN$10,'VK-Põlevkivi'!$C:$X,2+$G130,0))+IF(AN$4="X",VLOOKUP(AN$10,'VK-Võrgud'!$C:$X,2+$F130,0))</f>
        <v>4.8999999999999995</v>
      </c>
      <c r="AO130" s="209">
        <f>IF(AO$7="X",VLOOKUP(AO$10,'VK-Hooned-Soojus'!$C:$X,2+$C130,FALSE),0)+IF(AO$6="X",VLOOKUP(AO$10,'VK-Transport'!$C:$X,2+$B130,0))+IF(AO$8="X",VLOOKUP(AO$10,'VK-Elekter'!$C:$X,2+$D130,0))+IF(AO$9="X",VLOOKUP(AO$10,'VK-Biokütused'!$C:$U,2+$E130,0))+IF(AO$5="X",VLOOKUP(AO$10,'VK-Põlevkivi'!$C:$X,2+$G130,0))+IF(AO$4="X",VLOOKUP(AO$10,'VK-Võrgud'!$C:$X,2+$F130,0))</f>
        <v>12.56</v>
      </c>
      <c r="AP130" s="209">
        <f>IF(AP$7="X",VLOOKUP(AP$10,'VK-Hooned-Soojus'!$C:$X,2+$C130,FALSE),0)+IF(AP$6="X",VLOOKUP(AP$10,'VK-Transport'!$C:$X,2+$B130,0))+IF(AP$8="X",VLOOKUP(AP$10,'VK-Elekter'!$C:$X,2+$D130,0))+IF(AP$9="X",VLOOKUP(AP$10,'VK-Biokütused'!$C:$U,2+$E130,0))+IF(AP$5="X",VLOOKUP(AP$10,'VK-Põlevkivi'!$C:$X,2+$G130,0))+IF(AP$4="X",VLOOKUP(AP$10,'VK-Võrgud'!$C:$X,2+$F130,0))</f>
        <v>6.28</v>
      </c>
      <c r="AQ130" s="320">
        <f t="shared" si="61"/>
        <v>0.25999999999999979</v>
      </c>
      <c r="AR130" s="209">
        <f>IF(AR$7="X",VLOOKUP(AR$10,'VK-Hooned-Soojus'!$C:$X,2+$C130,FALSE),0)+IF(AR$6="X",VLOOKUP(AR$10,'VK-Transport'!$C:$X,2+$B130,0))+IF(AR$8="X",VLOOKUP(AR$10,'VK-Elekter'!$C:$X,2+$D130,0))+IF(AR$9="X",VLOOKUP(AR$10,'VK-Biokütused'!$C:$U,2+$E130,0))+IF(AR$5="X",VLOOKUP(AR$10,'VK-Põlevkivi'!$C:$X,2+$G130,0))+IF(AR$4="X",VLOOKUP(AR$10,'VK-Võrgud'!$C:$X,2+$F130,0))</f>
        <v>13.309999999999999</v>
      </c>
      <c r="AS130" s="235">
        <f>'VK-Põlevkivi'!$F$8-AR130-AU130</f>
        <v>14.298622986547709</v>
      </c>
      <c r="AT130" s="209">
        <f>IF(AT$7="X",VLOOKUP(AT$10,'VK-Hooned-Soojus'!$C:$X,2+$C130,FALSE),0)+IF(AT$6="X",VLOOKUP(AT$10,'VK-Transport'!$C:$X,2+$B130,0))+IF(AT$8="X",VLOOKUP(AT$10,'VK-Elekter'!$C:$X,2+$D130,0))+IF(AT$9="X",VLOOKUP(AT$10,'VK-Biokütused'!$C:$U,2+$E130,0))+IF(AT$5="X",VLOOKUP(AT$10,'VK-Põlevkivi'!$C:$X,2+$G130,0))+IF(AT$4="X",VLOOKUP(AT$10,'VK-Võrgud'!$C:$X,2+$F130,0))</f>
        <v>5.7045296564339489</v>
      </c>
      <c r="AU130" s="235">
        <f>'VK-Põlevkivi'!$F$9-VLOOKUP("Kütuste tarbimine @ 2030 - PÕLEVKIVIÕLI",'VK-Hooned-Soojus'!$C:$X,2+$C130,FALSE)</f>
        <v>28.928043680118964</v>
      </c>
      <c r="AV130" s="209">
        <f>IF(AV$7="X",VLOOKUP(AV$10,'VK-Hooned-Soojus'!$C:$X,2+$C130,FALSE),0)+IF(AV$6="X",VLOOKUP(AV$10,'VK-Transport'!$C:$X,2+$B130,0))+IF(AV$8="X",VLOOKUP(AV$10,'VK-Elekter'!$C:$X,2+$D130,0))+IF(AV$9="X",VLOOKUP(AV$10,'VK-Biokütused'!$C:$U,2+$E130,0))+IF(AV$5="X",VLOOKUP(AV$10,'VK-Põlevkivi'!$C:$X,2+$G130,0))+IF(AV$4="X",VLOOKUP(AV$10,'VK-Võrgud'!$C:$X,2+$F130,0))</f>
        <v>2.1219844082566364</v>
      </c>
      <c r="AW130" s="209">
        <f>IF(AW$7="X",VLOOKUP(AW$10,'VK-Hooned-Soojus'!$C:$X,2+$C130,FALSE),0)+IF(AW$6="X",VLOOKUP(AW$10,'VK-Transport'!$C:$X,2+$B130,0))+IF(AW$8="X",VLOOKUP(AW$10,'VK-Elekter'!$C:$X,2+$D130,0))+IF(AW$9="X",VLOOKUP(AW$10,'VK-Biokütused'!$C:$U,2+$E130,0))+IF(AW$5="X",VLOOKUP(AW$10,'VK-Põlevkivi'!$C:$X,2+$G130,0))+IF(AW$4="X",VLOOKUP(AW$10,'VK-Võrgud'!$C:$X,2+$F130,0))</f>
        <v>4.2799999999999994</v>
      </c>
      <c r="AX130" s="229">
        <f t="shared" si="62"/>
        <v>2.158015591743363</v>
      </c>
      <c r="AY130" s="229">
        <f t="shared" si="63"/>
        <v>0</v>
      </c>
      <c r="AZ130" s="230">
        <f t="shared" si="83"/>
        <v>0.25958724403665223</v>
      </c>
      <c r="BA130" s="209">
        <f>IF(BA$7="X",VLOOKUP(BA$10,'VK-Hooned-Soojus'!$C:$X,2+$C130,FALSE),0)+IF(BA$6="X",VLOOKUP(BA$10,'VK-Transport'!$C:$X,2+$B130,0))+IF(BA$8="X",VLOOKUP(BA$10,'VK-Elekter'!$C:$X,2+$D130,0))+IF(BA$9="X",VLOOKUP(BA$10,'VK-Biokütused'!$C:$U,2+$E130,0))+IF(BA$5="X",VLOOKUP(BA$10,'VK-Põlevkivi'!$C:$X,2+$G130,0))+IF(BA$4="X",VLOOKUP(BA$10,'VK-Võrgud'!$C:$X,2+$F130,0))</f>
        <v>7.41</v>
      </c>
      <c r="BB130" s="209">
        <f>IF(BB$7="X",VLOOKUP(BB$10,'VK-Hooned-Soojus'!$C:$X,2+$C130,FALSE),0)+IF(BB$6="X",VLOOKUP(BB$10,'VK-Transport'!$C:$X,2+$B130,0))+IF(BB$8="X",VLOOKUP(BB$10,'VK-Elekter'!$C:$X,2+$D130,0))+IF(BB$9="X",VLOOKUP(BB$10,'VK-Biokütused'!$C:$U,2+$E130,0))+IF(BB$5="X",VLOOKUP(BB$10,'VK-Põlevkivi'!$C:$X,2+$G130,0))+IF(BB$4="X",VLOOKUP(BB$10,'VK-Võrgud'!$C:$X,2+$F130,0))</f>
        <v>2.96</v>
      </c>
      <c r="BC130" s="209">
        <f>IF(BC$7="X",VLOOKUP(BC$10,'VK-Hooned-Soojus'!$C:$X,2+$C130,FALSE),0)+IF(BC$6="X",VLOOKUP(BC$10,'VK-Transport'!$C:$X,2+$B130,0))+IF(BC$8="X",VLOOKUP(BC$10,'VK-Elekter'!$C:$X,2+$D130,0))+IF(BC$9="X",VLOOKUP(BC$10,'VK-Biokütused'!$C:$U,2+$E130,0))+IF(BC$5="X",VLOOKUP(BC$10,'VK-Põlevkivi'!$C:$X,2+$G130,0))+IF(BC$4="X",VLOOKUP(BC$10,'VK-Võrgud'!$C:$X,2+$F130,0))</f>
        <v>6.5993333333333322</v>
      </c>
      <c r="BD130" s="209">
        <f>IF(BD$7="X",VLOOKUP(BD$10,'VK-Hooned-Soojus'!$C:$X,2+$C130,FALSE),0)+IF(BD$6="X",VLOOKUP(BD$10,'VK-Transport'!$C:$X,2+$B130,0))+IF(BD$8="X",VLOOKUP(BD$10,'VK-Elekter'!$C:$X,2+$D130,0))+IF(BD$9="X",VLOOKUP(BD$10,'VK-Biokütused'!$C:$U,2+$E130,0))+IF(BD$5="X",VLOOKUP(BD$10,'VK-Põlevkivi'!$C:$X,2+$G130,0))+IF(BD$4="X",VLOOKUP(BD$10,'VK-Võrgud'!$C:$X,2+$F130,0))</f>
        <v>9.425416666666667</v>
      </c>
      <c r="BE130" s="230"/>
      <c r="BF130" s="229">
        <f t="shared" si="64"/>
        <v>0.27432571009522233</v>
      </c>
      <c r="BG130" s="209" t="e">
        <f>(IF(BG$7="X",VLOOKUP(BG$10,'VK-Hooned-Soojus'!$C:$X,2+$C130,FALSE),0)+IF(BG$6="X",VLOOKUP(BG$10,'VK-Transport'!$C:$X,2+$B130,0))+IF(BG$8="X",VLOOKUP(BG$10,'VK-Elekter'!$C:$X,2+$D130,0))+IF(BG$9="X",VLOOKUP(BG$10,'VK-Biokütused'!$C:$U,2+$E130,0))+IF(BG$5="X",VLOOKUP(BG$10,'VK-Põlevkivi'!$C:$X,2+$G130,0))+IF(BG$4="X",VLOOKUP(BG$10,'VK-Võrgud'!$C:$X,2+$F130,0)))/20</f>
        <v>#N/A</v>
      </c>
      <c r="BH130" s="209">
        <f>(IF(BH$7="X",VLOOKUP(BH$10,'VK-Hooned-Soojus'!$C:$X,2+$C130,FALSE),0)+IF(BH$6="X",VLOOKUP(BH$10,'VK-Transport'!$C:$X,2+$B130,0))+IF(BH$8="X",VLOOKUP(BH$10,'VK-Elekter'!$C:$X,2+$D130,0))+IF(BH$9="X",VLOOKUP(BH$10,'VK-Biokütused'!$C:$U,2+$E130,0))+IF(BH$5="X",VLOOKUP(BH$10,'VK-Põlevkivi'!$C:$X,2+$G130,0))+IF(BH$4="X",VLOOKUP(BH$10,'VK-Võrgud'!$C:$X,2+$F130,0)))/20</f>
        <v>45.08</v>
      </c>
      <c r="BI130" s="209">
        <f>(IF(BI$7="X",VLOOKUP(BI$10,'VK-Hooned-Soojus'!$C:$X,2+$C130,FALSE),0)+IF(BI$6="X",VLOOKUP(BI$10,'VK-Transport'!$C:$X,2+$B130,0))+IF(BI$8="X",VLOOKUP(BI$10,'VK-Elekter'!$C:$X,2+$D130,0))+IF(BI$9="X",VLOOKUP(BI$10,'VK-Biokütused'!$C:$U,2+$E130,0))+IF(BI$5="X",VLOOKUP(BI$10,'VK-Põlevkivi'!$C:$X,2+$G130,0))+IF(BI$4="X",VLOOKUP(BI$10,'VK-Võrgud'!$C:$X,2+$F130,0)))/16</f>
        <v>14.1875</v>
      </c>
      <c r="BJ130" s="209">
        <f>(IF(BJ$7="X",VLOOKUP(BJ$10,'VK-Hooned-Soojus'!$C:$X,2+$C130,FALSE),0)+IF(BJ$6="X",VLOOKUP(BJ$10,'VK-Transport'!$C:$X,2+$B130,0))+IF(BJ$8="X",VLOOKUP(BJ$10,'VK-Elekter'!$C:$X,2+$D130,0))+IF(BJ$9="X",VLOOKUP(BJ$10,'VK-Biokütused'!$C:$U,2+$E130,0))+IF(BJ$5="X",VLOOKUP(BJ$10,'VK-Põlevkivi'!$C:$X,2+$G130,0))+IF(BJ$4="X",VLOOKUP(BJ$10,'VK-Võrgud'!$C:$X,2+$F130,0)))/20</f>
        <v>3.91</v>
      </c>
      <c r="BK130" s="209"/>
      <c r="BL130" s="209"/>
      <c r="BM130" s="209"/>
      <c r="BN130" s="209" t="e">
        <f>(IF(BN$7="X",VLOOKUP(BN$10,'VK-Hooned-Soojus'!$C:$X,2+$C130,FALSE),0)+IF(BN$6="X",VLOOKUP(BN$10,'VK-Transport'!$C:$X,2+$B130,0))+IF(BN$8="X",VLOOKUP(BN$10,'VK-Elekter'!$C:$X,2+$D130,0))+IF(BN$9="X",VLOOKUP(BN$10,'VK-Biokütused'!$C:$U,2+$E130,0))+IF(BN$5="X",VLOOKUP(BN$10,'VK-Põlevkivi'!$C:$X,2+$G130,0))+IF(BN$4="X",VLOOKUP(BN$10,'VK-Võrgud'!$C:$X,2+$F130,0)))/16</f>
        <v>#N/A</v>
      </c>
      <c r="BO130" s="209">
        <f>(IF(BO$7="X",VLOOKUP(BO$10,'VK-Hooned-Soojus'!$C:$X,2+$C130,FALSE),0)+IF(BO$6="X",VLOOKUP(BO$10,'VK-Transport'!$C:$X,2+$B130,0))+IF(BO$8="X",VLOOKUP(BO$10,'VK-Elekter'!$C:$X,2+$D130,0))+IF(BO$9="X",VLOOKUP(BO$10,'VK-Biokütused'!$C:$U,2+$E130,0))+IF(BO$5="X",VLOOKUP(BO$10,'VK-Põlevkivi'!$C:$X,2+$G130,0))+IF(BO$4="X",VLOOKUP(BO$10,'VK-Võrgud'!$C:$X,2+$F130,0)))/16</f>
        <v>322.79374999999999</v>
      </c>
      <c r="BP130" s="209"/>
      <c r="BQ130" s="209">
        <f>(IF(BQ$7="X",VLOOKUP(BQ$10,'VK-Hooned-Soojus'!$C:$X,2+$C130,FALSE),0)+IF(BQ$6="X",VLOOKUP(BQ$10,'VK-Transport'!$C:$X,2+$B130,0))+IF(BQ$8="X",VLOOKUP(BQ$10,'VK-Elekter'!$C:$X,2+$D130,0))+IF(BQ$9="X",VLOOKUP(BQ$10,'VK-Biokütused'!$C:$U,2+$E130,0))+IF(BQ$5="X",VLOOKUP(BQ$10,'VK-Põlevkivi'!$C:$X,2+$G130,0))+IF(BQ$4="X",VLOOKUP(BQ$10,'VK-Võrgud'!$C:$X,2+$F130,0)))/16</f>
        <v>233.20625000000001</v>
      </c>
      <c r="BR130" s="209">
        <f>(IF(BR$7="X",VLOOKUP(BR$10,'VK-Hooned-Soojus'!$C:$X,2+$C130,FALSE),0)+IF(BR$6="X",VLOOKUP(BR$10,'VK-Transport'!$C:$X,2+$B130,0))+IF(BR$8="X",VLOOKUP(BR$10,'VK-Elekter'!$C:$X,2+$D130,0))+IF(BR$9="X",VLOOKUP(BR$10,'VK-Biokütused'!$C:$U,2+$E130,0))+IF(BR$5="X",VLOOKUP(BR$10,'VK-Põlevkivi'!$C:$X,2+$G130,0))+IF(BR$4="X",VLOOKUP(BR$10,'VK-Võrgud'!$C:$X,2+$F130,0)))/16</f>
        <v>74.512500000000003</v>
      </c>
      <c r="BS130" s="209">
        <f>(IF(BS$7="X",VLOOKUP(BS$10,'VK-Hooned-Soojus'!$C:$X,2+$C130,FALSE),0)+IF(BS$6="X",VLOOKUP(BS$10,'VK-Transport'!$C:$X,2+$B130,0))+IF(BS$8="X",VLOOKUP(BS$10,'VK-Elekter'!$C:$X,2+$D130,0))+IF(BS$9="X",VLOOKUP(BS$10,'VK-Biokütused'!$C:$U,2+$E130,0))+IF(BS$5="X",VLOOKUP(BS$10,'VK-Põlevkivi'!$C:$X,2+$G130,0))+IF(BS$4="X",VLOOKUP(BS$10,'VK-Võrgud'!$C:$X,2+$F130,0)))/16</f>
        <v>-21.475000000000001</v>
      </c>
      <c r="BT130" s="209"/>
      <c r="BU130" s="209"/>
      <c r="BV130" s="209">
        <f>(IF(BV$7="X",VLOOKUP(BV$10,'VK-Hooned-Soojus'!$C:$X,2+$C130,FALSE),0)+IF(BV$6="X",VLOOKUP(BV$10,'VK-Transport'!$C:$X,2+$B130,0))+IF(BV$8="X",VLOOKUP(BV$10,'VK-Elekter'!$C:$X,2+$D130,0))+IF(BV$9="X",VLOOKUP(BV$10,'VK-Biokütused'!$C:$U,2+$E130,0))+IF(BV$5="X",VLOOKUP(BV$10,'VK-Põlevkivi'!$C:$X,2+$G130,0))+IF(BV$4="X",VLOOKUP(BV$10,'VK-Võrgud'!$C:$X,2+$F130,0)))/16</f>
        <v>0</v>
      </c>
      <c r="BW130" s="209"/>
      <c r="BX130" s="209">
        <f>(IF(BX$7="X",VLOOKUP(BX$10,'VK-Hooned-Soojus'!$C:$X,2+$C130,FALSE),0)+IF(BX$6="X",VLOOKUP(BX$10,'VK-Transport'!$C:$X,2+$B130,0))+IF(BX$8="X",VLOOKUP(BX$10,'VK-Elekter'!$C:$X,2+$D130,0))+IF(BX$9="X",VLOOKUP(BX$10,'VK-Biokütused'!$C:$U,2+$E130,0))+IF(BX$5="X",VLOOKUP(BX$10,'VK-Põlevkivi'!$C:$X,2+$G130,0))+IF(BX$4="X",VLOOKUP(BX$10,'VK-Võrgud'!$C:$X,2+$F130,0)))/16</f>
        <v>-145.125</v>
      </c>
      <c r="BY130" s="209"/>
      <c r="BZ130" s="209"/>
      <c r="CA130" s="209" t="e">
        <f>(IF(CA$7="X",VLOOKUP(CA$10,'VK-Hooned-Soojus'!$C:$X,2+$C130,FALSE),0)+IF(CA$6="X",VLOOKUP(CA$10,'VK-Transport'!$C:$X,2+$B130,0))+IF(CA$8="X",VLOOKUP(CA$10,'VK-Elekter'!$C:$X,2+$D130,0))+IF(CA$9="X",VLOOKUP(CA$10,'VK-Biokütused'!$C:$U,2+$E130,0))+IF(CA$5="X",VLOOKUP(CA$10,'VK-Põlevkivi'!$C:$X,2+$G130,0))+IF(CA$4="X",VLOOKUP(CA$10,'VK-Võrgud'!$C:$X,2+$F130,0)))/16</f>
        <v>#N/A</v>
      </c>
      <c r="CB130" s="209">
        <f>(IF(CB$7="X",VLOOKUP(CB$10,'VK-Hooned-Soojus'!$C:$X,2+$C130,FALSE),0)+IF(CB$6="X",VLOOKUP(CB$10,'VK-Transport'!$C:$X,2+$B130,0))+IF(CB$8="X",VLOOKUP(CB$10,'VK-Elekter'!$C:$X,2+$D130,0))+IF(CB$9="X",VLOOKUP(CB$10,'VK-Biokütused'!$C:$U,2+$E130,0))+IF(CB$5="X",VLOOKUP(CB$10,'VK-Põlevkivi'!$C:$X,2+$G130,0))+IF(CB$4="X",VLOOKUP(CB$10,'VK-Võrgud'!$C:$X,2+$F130,0)))/16</f>
        <v>0</v>
      </c>
      <c r="CC130" s="209">
        <f>(IF(CC$7="X",VLOOKUP(CC$10,'VK-Hooned-Soojus'!$C:$X,2+$C130,FALSE),0)+IF(CC$6="X",VLOOKUP(CC$10,'VK-Transport'!$C:$X,2+$B130,0))+IF(CC$8="X",VLOOKUP(CC$10,'VK-Elekter'!$C:$X,2+$D130,0))+IF(CC$9="X",VLOOKUP(CC$10,'VK-Biokütused'!$C:$U,2+$E130,0))+IF(CC$5="X",VLOOKUP(CC$10,'VK-Põlevkivi'!$C:$X,2+$G130,0))+IF(CC$4="X",VLOOKUP(CC$10,'VK-Võrgud'!$C:$X,2+$F130,0)))/16</f>
        <v>0</v>
      </c>
      <c r="CD130" s="209"/>
      <c r="CE130" s="209">
        <f>(IF(CE$7="X",VLOOKUP(CE$10,'VK-Hooned-Soojus'!$C:$X,2+$C130,FALSE),0)+IF(CE$6="X",VLOOKUP(CE$10,'VK-Transport'!$C:$X,2+$B130,0))+IF(CE$8="X",VLOOKUP(CE$10,'VK-Elekter'!$C:$X,2+$D130,0))+IF(CE$9="X",VLOOKUP(CE$10,'VK-Biokütused'!$C:$U,2+$E130,0))+IF(CE$5="X",VLOOKUP(CE$10,'VK-Põlevkivi'!$C:$X,2+$G130,0))+IF(CE$4="X",VLOOKUP(CE$10,'VK-Võrgud'!$C:$X,2+$F130,0)))/16</f>
        <v>24.15625</v>
      </c>
      <c r="CF130" s="209"/>
      <c r="CG130" s="209">
        <f>(IF(CG$7="X",VLOOKUP(CG$10,'VK-Hooned-Soojus'!$C:$X,2+$C130,FALSE),0)+IF(CG$6="X",VLOOKUP(CG$10,'VK-Transport'!$C:$X,2+$B130,0))+IF(CG$8="X",VLOOKUP(CG$10,'VK-Elekter'!$C:$X,2+$D130,0))+IF(CG$9="X",VLOOKUP(CG$10,'VK-Biokütused'!$C:$U,2+$E130,0))+IF(CG$5="X",VLOOKUP(CG$10,'VK-Põlevkivi'!$C:$X,2+$G130,0))+IF(CG$4="X",VLOOKUP(CG$10,'VK-Võrgud'!$C:$X,2+$F130,0)))/16</f>
        <v>0</v>
      </c>
      <c r="CH130" s="209">
        <f>(IF(CH$7="X",VLOOKUP(CH$10,'VK-Hooned-Soojus'!$C:$X,2+$C130,FALSE),0)+IF(CH$6="X",VLOOKUP(CH$10,'VK-Transport'!$C:$X,2+$B130,0))+IF(CH$8="X",VLOOKUP(CH$10,'VK-Elekter'!$C:$X,2+$D130,0))+IF(CH$9="X",VLOOKUP(CH$10,'VK-Biokütused'!$C:$U,2+$E130,0))+IF(CH$5="X",VLOOKUP(CH$10,'VK-Põlevkivi'!$C:$X,2+$G130,0))+IF(CH$4="X",VLOOKUP(CH$10,'VK-Võrgud'!$C:$X,2+$F130,0)))/20*0.21</f>
        <v>11.225549999999998</v>
      </c>
      <c r="CI130" s="209"/>
      <c r="CJ130" s="209">
        <f>(IF(CJ$7="X",VLOOKUP(CJ$10,'VK-Hooned-Soojus'!$C:$X,2+$C130,FALSE),0)+IF(CJ$6="X",VLOOKUP(CJ$10,'VK-Transport'!$C:$X,2+$B130,0))+IF(CJ$8="X",VLOOKUP(CJ$10,'VK-Elekter'!$C:$X,2+$D130,0))+IF(CJ$9="X",VLOOKUP(CJ$10,'VK-Biokütused'!$C:$U,2+$E130,0))+IF(CJ$5="X",VLOOKUP(CJ$10,'VK-Põlevkivi'!$C:$X,2+$G130,0))+IF(CJ$4="X",VLOOKUP(CJ$10,'VK-Võrgud'!$C:$X,2+$F130,0)))/1000</f>
        <v>21.63</v>
      </c>
      <c r="CK130" s="209">
        <f>(IF(CK$7="X",VLOOKUP(CK$10,'VK-Hooned-Soojus'!$C:$X,2+$C130,FALSE),0)+IF(CK$6="X",VLOOKUP(CK$10,'VK-Transport'!$C:$X,2+$B130,0))+IF(CK$8="X",VLOOKUP(CK$10,'VK-Elekter'!$C:$X,2+$D130,0))+IF(CK$9="X",VLOOKUP(CK$10,'VK-Biokütused'!$C:$U,2+$E130,0))+IF(CK$5="X",VLOOKUP(CK$10,'VK-Põlevkivi'!$C:$X,2+$G130,0))+IF(CK$4="X",VLOOKUP(CK$10,'VK-Võrgud'!$C:$X,2+$F130,0)))/1000</f>
        <v>38.487669554234017</v>
      </c>
      <c r="CL130" s="209">
        <f>(IF(CL$7="X",VLOOKUP(CL$10,'VK-Hooned-Soojus'!$C:$X,2+$C130,FALSE),0)+IF(CL$6="X",VLOOKUP(CL$10,'VK-Transport'!$C:$X,2+$B130,0))+IF(CL$8="X",VLOOKUP(CL$10,'VK-Elekter'!$C:$X,2+$D130,0))+IF(CL$9="X",VLOOKUP(CL$10,'VK-Biokütused'!$C:$U,2+$E130,0))+IF(CL$5="X",VLOOKUP(CL$10,'VK-Põlevkivi'!$C:$X,2+$G130,0))+IF(CL$4="X",VLOOKUP(CL$10,'VK-Võrgud'!$C:$X,2+$F130,0)))/1000</f>
        <v>10.832630311598681</v>
      </c>
      <c r="CM130" s="209">
        <f>(IF(CM$7="X",VLOOKUP(CM$10,'VK-Hooned-Soojus'!$C:$X,2+$C130,FALSE),0)+IF(CM$6="X",VLOOKUP(CM$10,'VK-Transport'!$C:$X,2+$B130,0))+IF(CM$8="X",VLOOKUP(CM$10,'VK-Elekter'!$C:$X,2+$D130,0))+IF(CM$9="X",VLOOKUP(CM$10,'VK-Biokütused'!$C:$U,2+$E130,0))+IF(CM$5="X",VLOOKUP(CM$10,'VK-Põlevkivi'!$C:$X,2+$G130,0))+IF(CM$4="X",VLOOKUP(CM$10,'VK-Võrgud'!$C:$X,2+$F130,0)))/1000</f>
        <v>7.7059896156049161</v>
      </c>
      <c r="CN130" s="209">
        <f>(IF(CN$7="X",VLOOKUP(CN$10,'VK-Hooned-Soojus'!$C:$X,2+$C130,FALSE),0)+IF(CN$6="X",VLOOKUP(CN$10,'VK-Transport'!$C:$X,2+$B130,0))+IF(CN$8="X",VLOOKUP(CN$10,'VK-Elekter'!$C:$X,2+$D130,0))+IF(CN$9="X",VLOOKUP(CN$10,'VK-Biokütused'!$C:$U,2+$E130,0))+IF(CN$5="X",VLOOKUP(CN$10,'VK-Põlevkivi'!$C:$X,2+$G130,0))+IF(CN$4="X",VLOOKUP(CN$10,'VK-Võrgud'!$C:$X,2+$F130,0)))/1000</f>
        <v>2.8759999999999999</v>
      </c>
      <c r="CO130" s="209">
        <f>(IF(CO$7="X",VLOOKUP(CO$10,'VK-Hooned-Soojus'!$C:$X,2+$C130,FALSE),0)+IF(CO$6="X",VLOOKUP(CO$10,'VK-Transport'!$C:$X,2+$B130,0))+IF(CO$8="X",VLOOKUP(CO$10,'VK-Elekter'!$C:$X,2+$D130,0))+IF(CO$9="X",VLOOKUP(CO$10,'VK-Biokütused'!$C:$U,2+$E130,0))+IF(CO$5="X",VLOOKUP(CO$10,'VK-Põlevkivi'!$C:$X,2+$G130,0))+IF(CO$4="X",VLOOKUP(CO$10,'VK-Võrgud'!$C:$X,2+$F130,0)))/1000</f>
        <v>29.091362337356994</v>
      </c>
      <c r="CP130" s="209">
        <f>(IF(CP$7="X",VLOOKUP(CP$10,'VK-Hooned-Soojus'!$C:$X,2+$C130,FALSE),0)+IF(CP$6="X",VLOOKUP(CP$10,'VK-Transport'!$C:$X,2+$B130,0))+IF(CP$8="X",VLOOKUP(CP$10,'VK-Elekter'!$C:$X,2+$D130,0))+IF(CP$9="X",VLOOKUP(CP$10,'VK-Biokütused'!$C:$U,2+$E130,0))+IF(CP$5="X",VLOOKUP(CP$10,'VK-Põlevkivi'!$C:$X,2+$G130,0))+IF(CP$4="X",VLOOKUP(CP$10,'VK-Võrgud'!$C:$X,2+$F130,0)))/1000</f>
        <v>32.337874014997936</v>
      </c>
      <c r="CQ130" s="209">
        <f>(IF(CQ$7="X",VLOOKUP(CQ$10,'VK-Hooned-Soojus'!$C:$X,2+$C130,FALSE),0)+IF(CQ$6="X",VLOOKUP(CQ$10,'VK-Transport'!$C:$X,2+$B130,0))+IF(CQ$8="X",VLOOKUP(CQ$10,'VK-Elekter'!$C:$X,2+$D130,0))+IF(CQ$9="X",VLOOKUP(CQ$10,'VK-Biokütused'!$C:$U,2+$E130,0))+IF(CQ$5="X",VLOOKUP(CQ$10,'VK-Põlevkivi'!$C:$X,2+$G130,0))+IF(CQ$4="X",VLOOKUP(CQ$10,'VK-Võrgud'!$C:$X,2+$F130,0)))/1000</f>
        <v>16.700919000000003</v>
      </c>
      <c r="CR130" s="209">
        <f>(IF(CR$7="X",VLOOKUP(CR$10,'VK-Hooned-Soojus'!$C:$X,2+$C130,FALSE),0)+IF(CR$6="X",VLOOKUP(CR$10,'VK-Transport'!$C:$X,2+$B130,0))+IF(CR$8="X",VLOOKUP(CR$10,'VK-Elekter'!$C:$X,2+$D130,0))+IF(CR$9="X",VLOOKUP(CR$10,'VK-Biokütused'!$C:$U,2+$E130,0))+IF(CR$5="X",VLOOKUP(CR$10,'VK-Põlevkivi'!$C:$X,2+$G130,0))+IF(CR$4="X",VLOOKUP(CR$10,'VK-Võrgud'!$C:$X,2+$F130,0)))/1000</f>
        <v>8.1807518373996899</v>
      </c>
      <c r="CS130" s="209">
        <f>(IF(CS$7="X",VLOOKUP(CS$10,'VK-Hooned-Soojus'!$C:$X,2+$C130,FALSE),0)+IF(CS$6="X",VLOOKUP(CS$10,'VK-Transport'!$C:$X,2+$B130,0))+IF(CS$8="X",VLOOKUP(CS$10,'VK-Elekter'!$C:$X,2+$D130,0))+IF(CS$9="X",VLOOKUP(CS$10,'VK-Biokütused'!$C:$U,2+$E130,0))+IF(CS$5="X",VLOOKUP(CS$10,'VK-Põlevkivi'!$C:$X,2+$G130,0))+IF(CS$4="X",VLOOKUP(CS$10,'VK-Võrgud'!$C:$X,2+$F130,0)))/1000</f>
        <v>3.8186495098622379</v>
      </c>
      <c r="CT130" s="209">
        <f>IF(CT$7="X",VLOOKUP(CT$10,'VK-Hooned-Soojus'!$C:$X,2+$C130,FALSE),0)+IF(CT$6="X",VLOOKUP(CT$10,'VK-Transport'!$C:$X,2+$B130,0))+IF(CT$8="X",VLOOKUP(CT$10,'VK-Elekter'!$C:$X,2+$D130,0))+IF(CT$9="X",VLOOKUP(CT$10,'VK-Biokütused'!$C:$U,2+$E130,0))+IF(CT$5="X",VLOOKUP(CT$10,'VK-Põlevkivi'!$C:$X,2+$G130,0))+IF(CT$4="X",VLOOKUP(CT$10,'VK-Võrgud'!$C:$X,2+$F130,0))</f>
        <v>90</v>
      </c>
      <c r="CU130" s="209">
        <f>IF(CU$7="X",VLOOKUP(CU$10,'VK-Hooned-Soojus'!$C:$X,2+$C130,FALSE),0)+IF(CU$6="X",VLOOKUP(CU$10,'VK-Transport'!$C:$X,2+$B130,0))+IF(CU$8="X",VLOOKUP(CU$10,'VK-Elekter'!$C:$X,2+$D130,0))+IF(CU$9="X",VLOOKUP(CU$10,'VK-Biokütused'!$C:$U,2+$E130,0))+IF(CU$5="X",VLOOKUP(CU$10,'VK-Põlevkivi'!$C:$X,2+$G130,0))+IF(CU$4="X",VLOOKUP(CU$10,'VK-Võrgud'!$C:$X,2+$F130,0))</f>
        <v>1</v>
      </c>
      <c r="CV130" s="209">
        <f t="shared" si="84"/>
        <v>0.72887234460741646</v>
      </c>
      <c r="CW130" s="209">
        <f>(IF(CW$7="X",VLOOKUP(CW$10,'VK-Hooned-Soojus'!$C:$X,2+$C130,FALSE),0)+IF(CW$6="X",VLOOKUP(CW$10,'VK-Transport'!$C:$X,2+$B130,0))+IF(CW$8="X",VLOOKUP(CW$10,'VK-Elekter'!$C:$X,2+$D130,0))+IF(CW$9="X",VLOOKUP(CW$10,'VK-Biokütused'!$C:$U,2+$E130,0))+IF(CW$5="X",VLOOKUP(CW$10,'VK-Põlevkivi'!$C:$X,2+$G130,0))+IF(CW$4="X",VLOOKUP(CW$10,'VK-Võrgud'!$C:$X,2+$F130,0)))/16</f>
        <v>126.01875</v>
      </c>
      <c r="CY130" s="209">
        <f>(IF(CY$7="X",VLOOKUP(CY$10,'VK-Hooned-Soojus'!$C:$X,2+$C130,FALSE),0)+IF(CY$6="X",VLOOKUP(CY$10,'VK-Transport'!$C:$X,2+$B130,0))+IF(CY$8="X",VLOOKUP(CY$10,'VK-Elekter'!$C:$X,2+$D130,0))+IF(CY$9="X",VLOOKUP(CY$10,'VK-Biokütused'!$C:$U,2+$E130,0))+IF(CY$5="X",VLOOKUP(CY$10,'VK-Põlevkivi'!$C:$X,2+$G130,0))+IF(CY$4="X",VLOOKUP(CY$10,'VK-Võrgud'!$C:$X,2+$F130,0)))/1000</f>
        <v>11.159000000000001</v>
      </c>
      <c r="CZ130" s="209">
        <f>(IF(CZ$7="X",VLOOKUP(CZ$10,'VK-Hooned-Soojus'!$C:$X,2+$C130,FALSE),0)+IF(CZ$6="X",VLOOKUP(CZ$10,'VK-Transport'!$C:$X,2+$B130,0))+IF(CZ$8="X",VLOOKUP(CZ$10,'VK-Elekter'!$C:$X,2+$D130,0))+IF(CZ$9="X",VLOOKUP(CZ$10,'VK-Biokütused'!$C:$U,2+$E130,0))+IF(CZ$5="X",VLOOKUP(CZ$10,'VK-Põlevkivi'!$C:$X,2+$G130,0))+IF(CZ$4="X",VLOOKUP(CZ$10,'VK-Võrgud'!$C:$X,2+$F130,0)))</f>
        <v>92</v>
      </c>
      <c r="DA130" s="209">
        <f>(IF(DA$7="X",VLOOKUP(DA$10,'VK-Hooned-Soojus'!$C:$X,2+$C130,FALSE),0)+IF(DA$6="X",VLOOKUP(DA$10,'VK-Transport'!$C:$X,2+$B130,0))+IF(DA$8="X",VLOOKUP(DA$10,'VK-Elekter'!$C:$X,2+$D130,0))+IF(DA$9="X",VLOOKUP(DA$10,'VK-Biokütused'!$C:$U,2+$E130,0))+IF(DA$5="X",VLOOKUP(DA$10,'VK-Põlevkivi'!$C:$X,2+$G130,0))+IF(DA$4="X",VLOOKUP(DA$10,'VK-Võrgud'!$C:$X,2+$F130,0)))/1000</f>
        <v>15.772</v>
      </c>
      <c r="DB130" s="209">
        <f>(IF(DB$7="X",VLOOKUP(DB$10,'VK-Hooned-Soojus'!$C:$X,2+$C130,FALSE),0)+IF(DB$6="X",VLOOKUP(DB$10,'VK-Transport'!$C:$X,2+$B130,0))+IF(DB$8="X",VLOOKUP(DB$10,'VK-Elekter'!$C:$X,2+$D130,0))+IF(DB$9="X",VLOOKUP(DB$10,'VK-Biokütused'!$C:$U,2+$E130,0))+IF(DB$5="X",VLOOKUP(DB$10,'VK-Põlevkivi'!$C:$X,2+$G130,0))+IF(DB$4="X",VLOOKUP(DB$10,'VK-Võrgud'!$C:$X,2+$F130,0)))/1000/3.6</f>
        <v>133.19999999999999</v>
      </c>
      <c r="DC130" s="209">
        <f>(IF(DC$7="X",VLOOKUP(DC$10,'VK-Hooned-Soojus'!$C:$X,2+$C130,FALSE),0)+IF(DC$6="X",VLOOKUP(DC$10,'VK-Transport'!$C:$X,2+$B130,0))+IF(DC$8="X",VLOOKUP(DC$10,'VK-Elekter'!$C:$X,2+$D130,0))+IF(DC$9="X",VLOOKUP(DC$10,'VK-Biokütused'!$C:$U,2+$E130,0))+IF(DC$5="X",VLOOKUP(DC$10,'VK-Põlevkivi'!$C:$X,2+$G130,0))+IF(DC$4="X",VLOOKUP(DC$10,'VK-Võrgud'!$C:$X,2+$F130,0)))/1000000</f>
        <v>7.1489729999999998</v>
      </c>
      <c r="DD130" s="209"/>
      <c r="DE130" s="88">
        <f>VLOOKUP(Tulemused!$BN$12,data!M$7:N$12,2,FALSE)-SUM(L130,M130)</f>
        <v>-5.2509373024363981E-2</v>
      </c>
      <c r="DF130" s="209" t="str">
        <f>IF(AZ130&lt;=VLOOKUP(Tulemused!$BN$15,data!$E$36:$F$39,2,FALSE),"JAH","EI")</f>
        <v>JAH</v>
      </c>
      <c r="DG130" s="209"/>
      <c r="DH130" s="209">
        <f t="shared" si="85"/>
        <v>6.28</v>
      </c>
      <c r="DI130" s="231" t="str">
        <f t="shared" si="65"/>
        <v>EI</v>
      </c>
      <c r="DK130" s="232">
        <f t="shared" si="86"/>
        <v>-991.24834614467193</v>
      </c>
      <c r="DM130" s="233">
        <f t="shared" si="87"/>
        <v>-998.11582872924305</v>
      </c>
      <c r="DN130" s="87">
        <f t="array" ref="DN130">INDEX($A$11:$A$145, SMALL(IF(DM130=$DK$11:$DK$145, MATCH(ROW($DK$11:$DK$145), ROW($DK$11:$DK$145))), SUM(--(DM130=$DM$11:DM130))))</f>
        <v>20</v>
      </c>
      <c r="DP130" s="87" t="e">
        <f t="shared" ca="1" si="66"/>
        <v>#N/A</v>
      </c>
      <c r="DQ130" s="87" t="e">
        <f t="shared" ca="1" si="67"/>
        <v>#N/A</v>
      </c>
      <c r="DR130" s="87">
        <f t="shared" ca="1" si="68"/>
        <v>0</v>
      </c>
      <c r="DS130" s="87" t="e">
        <f t="shared" ca="1" si="69"/>
        <v>#N/A</v>
      </c>
      <c r="DT130" s="87">
        <f t="shared" ca="1" si="70"/>
        <v>0</v>
      </c>
      <c r="DU130" s="87" t="e">
        <f t="shared" ca="1" si="71"/>
        <v>#N/A</v>
      </c>
      <c r="DV130" s="87" t="e">
        <f t="shared" ca="1" si="72"/>
        <v>#N/A</v>
      </c>
      <c r="DW130" s="87">
        <f t="shared" ca="1" si="73"/>
        <v>0</v>
      </c>
      <c r="DX130" s="87">
        <f t="shared" ca="1" si="74"/>
        <v>0</v>
      </c>
      <c r="DZ130" s="87">
        <f t="shared" ca="1" si="82"/>
        <v>0</v>
      </c>
      <c r="EB130" s="87">
        <f t="shared" ca="1" si="75"/>
        <v>0</v>
      </c>
      <c r="EC130" s="87" t="e">
        <f t="shared" ca="1" si="76"/>
        <v>#N/A</v>
      </c>
      <c r="EE130" s="228">
        <f>(IF(EE$7="X",VLOOKUP(EE$10,'VK-Hooned-Soojus'!$C:$X,2+$C130,FALSE),0)+IF(EE$6="X",VLOOKUP(EE$10,'VK-Transport'!$C:$X,2+$B130,0))+IF(EE$8="X",VLOOKUP(EE$10,'VK-Elekter'!$C:$X,2+$D130,0))+IF(EE$9="X",VLOOKUP(EE$10,'VK-Biokütused'!$C:$U,2+$E130,0))+IF(EE$5="X",VLOOKUP(EE$10,'VK-Põlevkivi'!$C:$X,2+$G130,0))+IF(EE$4="X",VLOOKUP(EE$10,'VK-Võrgud'!$C:$X,2+$F130,0)))</f>
        <v>14863.680927411673</v>
      </c>
      <c r="EF130" s="209">
        <f>(IF(EF$7="X",VLOOKUP(EF$10,'VK-Hooned-Soojus'!$C:$X,2+$C130,FALSE),0)+IF(EF$6="X",VLOOKUP(EF$10,'VK-Transport'!$C:$X,2+$B130,0))+IF(EF$8="X",VLOOKUP(EF$10,'VK-Elekter'!$C:$X,2+$D130,0))+IF(EF$9="X",VLOOKUP(EF$10,'VK-Biokütused'!$C:$U,2+$E130,0))+IF(EF$5="X",VLOOKUP(EF$10,'VK-Põlevkivi'!$C:$X,2+$G130,0))+IF(EF$4="X",VLOOKUP(EF$10,'VK-Võrgud'!$C:$X,2+$F130,0)))/1000</f>
        <v>7.4808849906373194</v>
      </c>
      <c r="EG130" s="209">
        <f>(IF(EG$7="X",VLOOKUP(EG$10,'VK-Hooned-Soojus'!$C:$X,2+$C130,FALSE),0)+IF(EG$6="X",VLOOKUP(EG$10,'VK-Transport'!$C:$X,2+$B130,0))+IF(EG$8="X",VLOOKUP(EG$10,'VK-Elekter'!$C:$X,2+$D130,0))+IF(EG$9="X",VLOOKUP(EG$10,'VK-Biokütused'!$C:$U,2+$E130,0))+IF(EG$5="X",VLOOKUP(EG$10,'VK-Põlevkivi'!$C:$X,2+$G130,0))+IF(EG$4="X",VLOOKUP(EG$10,'VK-Võrgud'!$C:$X,2+$F130,0)))</f>
        <v>0.81</v>
      </c>
      <c r="EH130" s="209">
        <f>(IF(EH$7="X",VLOOKUP(EH$10,'VK-Hooned-Soojus'!$C:$X,2+$C130,FALSE),0)+IF(EH$6="X",VLOOKUP(EH$10,'VK-Transport'!$C:$X,2+$B130,0))+IF(EH$8="X",VLOOKUP(EH$10,'VK-Elekter'!$C:$X,2+$D130,0))+IF(EH$9="X",VLOOKUP(EH$10,'VK-Biokütused'!$C:$U,2+$E130,0)))+AR130+AS130+AU130+AX130</f>
        <v>90.62107114729892</v>
      </c>
      <c r="EI130" s="320">
        <f t="shared" si="88"/>
        <v>59.535011875436595</v>
      </c>
      <c r="EJ130" s="322">
        <f t="shared" si="89"/>
        <v>2.4608217929567841E-2</v>
      </c>
      <c r="EK130" s="323">
        <f t="shared" si="77"/>
        <v>0.44074232993007334</v>
      </c>
      <c r="EM130" s="209"/>
      <c r="EN130" s="209">
        <f t="shared" ca="1" si="90"/>
        <v>0</v>
      </c>
      <c r="EO130" s="209"/>
      <c r="EP130" s="234"/>
      <c r="EQ130" s="209">
        <f>(IF(EQ$7="X",VLOOKUP(EQ$10,'VK-Hooned-Soojus'!$C:$X,2+$C130,FALSE),0)+IF(EQ$6="X",VLOOKUP(EQ$10,'VK-Transport'!$C:$X,2+$B130,0))+IF(EQ$8="X",VLOOKUP(EQ$10,'VK-Elekter'!$C:$X,2+$D130,0))+IF(EQ$9="X",VLOOKUP(EQ$10,'VK-Biokütused'!$C:$U,2+$E130,0))+IF(EQ$5="X",VLOOKUP(EQ$10,'VK-Põlevkivi'!$C:$X,2+$G130,0))+IF(EQ$4="X",VLOOKUP(EQ$10,'VK-Võrgud'!$C:$X,2+$F130,0)))/1000</f>
        <v>0.21099999999999999</v>
      </c>
      <c r="ER130" s="209">
        <f>(IF(ER$7="X",VLOOKUP(ER$10,'VK-Hooned-Soojus'!$C:$X,2+$C130,FALSE),0)+IF(ER$6="X",VLOOKUP(ER$10,'VK-Transport'!$C:$X,2+$B130,0))+IF(ER$8="X",VLOOKUP(ER$10,'VK-Elekter'!$C:$X,2+$D130,0))+IF(ER$9="X",VLOOKUP(ER$10,'VK-Biokütused'!$C:$U,2+$E130,0))+IF(ER$5="X",VLOOKUP(ER$10,'VK-Põlevkivi'!$C:$X,2+$G130,0))+IF(ER$4="X",VLOOKUP(ER$10,'VK-Võrgud'!$C:$X,2+$F130,0)))</f>
        <v>0.76300000000000001</v>
      </c>
      <c r="ES130" s="209">
        <f>(IF(ES$7="X",VLOOKUP(ES$10,'VK-Hooned-Soojus'!$C:$X,2+$C130,FALSE),0)+IF(ES$6="X",VLOOKUP(ES$10,'VK-Transport'!$C:$X,2+$B130,0))+IF(ES$8="X",VLOOKUP(ES$10,'VK-Elekter'!$C:$X,2+$D130,0))+IF(ES$9="X",VLOOKUP(ES$10,'VK-Biokütused'!$C:$U,2+$E130,0))+IF(ES$5="X",VLOOKUP(ES$10,'VK-Põlevkivi'!$C:$X,2+$G130,0))+IF(ES$4="X",VLOOKUP(ES$10,'VK-Võrgud'!$C:$X,2+$F130,0)))</f>
        <v>6.28</v>
      </c>
      <c r="ET130" s="209"/>
      <c r="EU130" s="209"/>
      <c r="EV130" s="87">
        <f>'KSH järjestus'!AS123</f>
        <v>1286</v>
      </c>
      <c r="EZ130" s="237">
        <f t="shared" si="91"/>
        <v>0</v>
      </c>
      <c r="FA130" s="209">
        <f>IF(FA$7="X",VLOOKUP(FA$10,'VK-Hooned-Soojus'!$C:$X,2+$C130,FALSE),0)+IF(FA$6="X",VLOOKUP(FA$10,'VK-Transport'!$C:$X,2+$B130,0))+IF(FA$8="X",VLOOKUP(FA$10,'VK-Elekter'!$C:$X,2+$D130,0))+IF(FA$9="X",VLOOKUP(FA$10,'VK-Biokütused'!$C:$U,2+$E130,0))+IF(FA$5="X",VLOOKUP(FA$10,'VK-Põlevkivi'!$C:$X,2+$G130,0))+IF(FA$4="X",VLOOKUP(FA$10,'VK-Võrgud'!$C:$X,2+$F130,0))</f>
        <v>2991.9189999999999</v>
      </c>
      <c r="FB130" s="279">
        <f>(IF(FB$7="X",VLOOKUP(FB$10,'VK-Hooned-Soojus'!$C:$X,2+$C130,FALSE),0)+IF(FB$6="X",VLOOKUP(FB$10,'VK-Transport'!$C:$X,2+$B130,0))+IF(FB$8="X",VLOOKUP(FB$10,'VK-Elekter'!$C:$X,2+$D130,0))+IF(FB$9="X",VLOOKUP(FB$10,'VK-Biokütused'!$C:$U,2+$E130,0))+IF(FB$5="X",VLOOKUP(FB$10,'VK-Põlevkivi'!$C:$X,2+$G130,0))+IF(FB$4="X",VLOOKUP(FB$10,'VK-Võrgud'!$C:$X,2+$F130,0)))/16</f>
        <v>1028.2816943045714</v>
      </c>
      <c r="FC130" s="209">
        <f>IF(FC$7="X",VLOOKUP(FC$10,'VK-Hooned-Soojus'!$C:$X,2+$C130,FALSE),0)+IF(FC$6="X",VLOOKUP(FC$10,'VK-Transport'!$C:$X,2+$B130,0))+IF(FC$8="X",VLOOKUP(FC$10,'VK-Elekter'!$C:$X,2+$D130,0))+IF(FC$9="X",VLOOKUP(FC$10,'VK-Biokütused'!$C:$U,2+$E130,0))+IF(FC$5="X",VLOOKUP(FC$10,'VK-Põlevkivi'!$C:$X,2+$G130,0))+IF(FC$4="X",VLOOKUP(FC$10,'VK-Võrgud'!$C:$X,2+$F130,0))</f>
        <v>294.3</v>
      </c>
      <c r="FD130" s="209">
        <f>(IF(FD$7="X",VLOOKUP(FD$10,'VK-Hooned-Soojus'!$C:$X,2+$C130,FALSE),0)+IF(FD$6="X",VLOOKUP(FD$10,'VK-Transport'!$C:$X,2+$B130,0))+IF(FD$8="X",VLOOKUP(FD$10,'VK-Elekter'!$C:$X,2+$D130,0))+IF(FD$9="X",VLOOKUP(FD$10,'VK-Biokütused'!$C:$U,2+$E130,0))+IF(FD$5="X",VLOOKUP(FD$10,'VK-Põlevkivi'!$C:$X,2+$G130,0))+IF(FD$4="X",VLOOKUP(FD$10,'VK-Võrgud'!$C:$X,2+$F130,0)))/16</f>
        <v>1028.2816943045714</v>
      </c>
      <c r="FE130" s="209">
        <f>(IF(FE$7="X",VLOOKUP(FE$10,'VK-Hooned-Soojus'!$C:$X,2+$C130,FALSE),0)+IF(FE$6="X",VLOOKUP(FE$10,'VK-Transport'!$C:$X,2+$B130,0))+IF(FE$8="X",VLOOKUP(FE$10,'VK-Elekter'!$C:$X,2+$D130,0))+IF(FE$9="X",VLOOKUP(FE$10,'VK-Biokütused'!$C:$U,2+$E130,0))+IF(FE$5="X",VLOOKUP(FE$10,'VK-Põlevkivi'!$C:$X,2+$G130,0))+IF(FE$4="X",VLOOKUP(FE$10,'VK-Võrgud'!$C:$X,2+$F130,0)))/16</f>
        <v>-111.63831369909104</v>
      </c>
      <c r="FF130" s="209">
        <f>(IF(FF$7="X",VLOOKUP(FF$10,'VK-Hooned-Soojus'!$C:$X,2+$C130,FALSE),0)+IF(FF$6="X",VLOOKUP(FF$10,'VK-Transport'!$C:$X,2+$B130,0))+IF(FF$8="X",VLOOKUP(FF$10,'VK-Elekter'!$C:$X,2+$D130,0))+IF(FF$9="X",VLOOKUP(FF$10,'VK-Biokütused'!$C:$U,2+$E130,0))+IF(FF$5="X",VLOOKUP(FF$10,'VK-Põlevkivi'!$C:$X,2+$G130,0))+IF(FF$4="X",VLOOKUP(FF$10,'VK-Võrgud'!$C:$X,2+$F130,0)))/16</f>
        <v>342.47726950757004</v>
      </c>
      <c r="FG130" s="88">
        <f t="shared" ca="1" si="78"/>
        <v>230.838955808479</v>
      </c>
      <c r="FH130" s="88"/>
      <c r="FI130" s="88"/>
      <c r="FJ130" s="88">
        <f>VLOOKUP(Tulemused!$BN$12,data!M$7:N$12,2,FALSE)-SUM(L130,M130)</f>
        <v>-5.2509373024363981E-2</v>
      </c>
      <c r="FK130" s="209" t="str">
        <f>IF(AZ130&lt;=VLOOKUP(Tulemused!$BN$15,data!$E$36:$F$39,2,FALSE),"JAH","EI")</f>
        <v>JAH</v>
      </c>
      <c r="FL130" s="235">
        <f ca="1">IF(ISNA(MATCH($A130,INDIRECT(VLOOKUP(Tulemused!$BF$11,data!$J$57:$M$71,4,FALSE)))),0,MATCH($A130,INDIRECT(VLOOKUP(Tulemused!$BF$11,data!$J$57:$M$71,4,FALSE))))</f>
        <v>0</v>
      </c>
      <c r="FM130" s="235" t="str">
        <f t="shared" ca="1" si="92"/>
        <v>JAH</v>
      </c>
      <c r="FN130" s="209">
        <f>VLOOKUP(Tulemused!$BN$13,data!$C$132:$D$137,2,FALSE)-KOMBI!R130</f>
        <v>4.4628850093626804</v>
      </c>
      <c r="FO130" s="209"/>
      <c r="FP130" s="209">
        <f>VLOOKUP(Tulemused!$BN$17,NO_x,2,FALSE)-CJ130</f>
        <v>7.8079999999999998</v>
      </c>
      <c r="FQ130" s="209">
        <f>VLOOKUP(Tulemused!$BN$18,SO_2,2,FALSE)-CK130</f>
        <v>13.396330445765983</v>
      </c>
      <c r="FR130" s="209">
        <f>VLOOKUP(Tulemused!$BN$19,LOU,2,FALSE)-CN130</f>
        <v>34.204000000000008</v>
      </c>
      <c r="FS130" s="209">
        <f>VLOOKUP(Tulemused!$BN$20,PM_2.5,2,FALSE)-CM130</f>
        <v>9.2090103843950821</v>
      </c>
      <c r="FT130" s="209">
        <f>VLOOKUP(Tulemused!$BN$13,data!$C$132:$D$137,2,FALSE)-FA130/1000</f>
        <v>3.2540510000000009</v>
      </c>
      <c r="FU130" s="209">
        <f>VLOOKUP(Tulemused!$BN$17,NO_x,2,FALSE)-CO130</f>
        <v>0.34663766264300477</v>
      </c>
      <c r="FV130" s="209">
        <f>VLOOKUP(Tulemused!$BN$18,SO_2,2,FALSE)-CP130</f>
        <v>19.546125985002064</v>
      </c>
      <c r="FW130" s="209">
        <f>VLOOKUP(Tulemused!$BN$19,LOU,2,FALSE)-CS130</f>
        <v>33.261350490137765</v>
      </c>
      <c r="FX130" s="209">
        <f>VLOOKUP(Tulemused!$BN$20,PM_2.5,2,FALSE)-CR130</f>
        <v>8.7342481626003092</v>
      </c>
      <c r="FY130" s="209">
        <f>VLOOKUP(Tulemused!$BN$14,KHG_2050,2,FALSE)-EF130</f>
        <v>92.519115009362679</v>
      </c>
      <c r="FZ130" s="231" t="str">
        <f t="shared" ca="1" si="79"/>
        <v>EI</v>
      </c>
      <c r="GA130" s="209"/>
      <c r="GB130" s="209"/>
      <c r="GC130" s="209"/>
      <c r="GD130" s="231"/>
      <c r="GE130" s="87">
        <f t="shared" si="93"/>
        <v>1286</v>
      </c>
      <c r="GF130" s="232" t="str">
        <f t="shared" ca="1" si="80"/>
        <v/>
      </c>
      <c r="GH130" s="238" t="e">
        <f t="shared" ca="1" si="94"/>
        <v>#NUM!</v>
      </c>
      <c r="GI130" s="87" t="e">
        <f t="array" aca="1" ref="GI130" ca="1">INDEX($A$11:$A$145, SMALL(IF(GH130=$GF$11:$GF$145, MATCH(ROW($GF$11:$GF$145), ROW($GF$11:$GF$145))), SUM(--(GH130=$GH$11:GH130))))</f>
        <v>#NUM!</v>
      </c>
      <c r="GM130" s="209">
        <f>IF(GM$7="X",VLOOKUP(GM$10,'VK-Hooned-Soojus'!$C:$X,2+$C130,FALSE),0)+IF(GM$6="X",VLOOKUP(GM$10,'VK-Transport'!$C:$X,2+$B130,0))+IF(GM$8="X",VLOOKUP(GM$10,'VK-Elekter'!$C:$X,2+$D130,0))+IF(GM$9="X",VLOOKUP(GM$10,'VK-Biokütused'!$C:$U,2+$E130,0))+IF(GM$5="X",VLOOKUP(GM$10,'VK-Põlevkivi'!$C:$X,2+$G130,0))+IF(GM$4="X",VLOOKUP(GM$10,'VK-Võrgud'!$C:$X,2+$F130,0))</f>
        <v>11.189888530766083</v>
      </c>
      <c r="GN130" s="209">
        <f>IF(GN$7="X",VLOOKUP(GN$10,'VK-Hooned-Soojus'!$C:$X,2+$C130,FALSE),0)+IF(GN$6="X",VLOOKUP(GN$10,'VK-Transport'!$C:$X,2+$B130,0))+IF(GN$8="X",VLOOKUP(GN$10,'VK-Elekter'!$C:$X,2+$D130,0))+IF(GN$9="X",VLOOKUP(GN$10,'VK-Biokütused'!$C:$U,2+$E130,0))+IF(GN$5="X",VLOOKUP(GN$10,'VK-Põlevkivi'!$C:$X,2+$G130,0))+IF(GN$4="X",VLOOKUP(GN$10,'VK-Võrgud'!$C:$X,2+$F130,0))</f>
        <v>2.9930837725682502</v>
      </c>
      <c r="GO130" s="209">
        <f>IF(GO$7="X",VLOOKUP(GO$10,'VK-Hooned-Soojus'!$C:$X,2+$C130,FALSE),0)+IF(GO$6="X",VLOOKUP(GO$10,'VK-Transport'!$C:$X,2+$B130,0))+IF(GO$8="X",VLOOKUP(GO$10,'VK-Elekter'!$C:$X,2+$D130,0))+IF(GO$9="X",VLOOKUP(GO$10,'VK-Biokütused'!$C:$U,2+$E130,0))+IF(GO$5="X",VLOOKUP(GO$10,'VK-Põlevkivi'!$C:$X,2+$G130,0))+IF(GO$4="X",VLOOKUP(GO$10,'VK-Võrgud'!$C:$X,2+$F130,0))</f>
        <v>7.936370010272257</v>
      </c>
      <c r="GP130" s="209">
        <f>IF(GP$7="X",VLOOKUP(GP$10,'VK-Hooned-Soojus'!$C:$X,2+$C130,FALSE),0)+IF(GP$6="X",VLOOKUP(GP$10,'VK-Transport'!$C:$X,2+$B130,0))+IF(GP$8="X",VLOOKUP(GP$10,'VK-Elekter'!$C:$X,2+$D130,0))+IF(GP$9="X",VLOOKUP(GP$10,'VK-Biokütused'!$C:$U,2+$E130,0))+IF(GP$5="X",VLOOKUP(GP$10,'VK-Põlevkivi'!$C:$X,2+$G130,0))+IF(GP$4="X",VLOOKUP(GP$10,'VK-Võrgud'!$C:$X,2+$F130,0))</f>
        <v>9.1527946929596489</v>
      </c>
      <c r="GQ130" s="88">
        <f>IF(GQ$7="X",VLOOKUP(GQ$10,'VK-Hooned-Soojus'!$C:$X,2+$C130,FALSE),0)+IF(GQ$6="X",VLOOKUP(GQ$10,'VK-Transport'!$C:$X,2+$B130,0))+IF(GQ$8="X",VLOOKUP(GQ$10,'VK-Elekter'!$C:$X,2+$D130,0))+IF(GQ$9="X",VLOOKUP(GQ$10,'VK-Biokütused'!$C:$U,2+$E130,0))+IF(GQ$5="X",VLOOKUP(GQ$10,'VK-Põlevkivi'!$C:$X,2+$G130,0))+IF(GQ$4="X",VLOOKUP(GQ$10,'VK-Võrgud'!$C:$X,2+$F130,0))</f>
        <v>0.89042766952822527</v>
      </c>
      <c r="GR130" s="186">
        <f t="shared" si="81"/>
        <v>0.39641731775069561</v>
      </c>
    </row>
    <row r="131" spans="1:200" x14ac:dyDescent="0.2">
      <c r="A131" s="184">
        <v>121</v>
      </c>
      <c r="B131" s="87">
        <v>3</v>
      </c>
      <c r="C131" s="87">
        <v>3</v>
      </c>
      <c r="D131" s="87">
        <v>1</v>
      </c>
      <c r="E131" s="87">
        <v>1</v>
      </c>
      <c r="F131" s="87">
        <f>VLOOKUP(Tulemused!$BF$7,data!$J$6:$K$8,2,FALSE)</f>
        <v>2</v>
      </c>
      <c r="G131" s="87">
        <f>VLOOKUP(data!$H$2,data!$J$12:$K$14,2,FALSE)</f>
        <v>2</v>
      </c>
      <c r="I131" s="209">
        <f>IF(I$7="X",VLOOKUP(I$10,'VK-Hooned-Soojus'!$C:$X,2+$C131,FALSE),0)+IF(I$6="X",VLOOKUP(I$10,'VK-Transport'!$C:$X,2+$B131,0))+IF(I$8="X",VLOOKUP(I$10,'VK-Elekter'!$C:$X,2+$D131,0))+IF(I$9="X",VLOOKUP(I$10,'VK-Biokütused'!$C:$U,2+$E131,0))+IF(I$5="X",VLOOKUP(I$10,'VK-Põlevkivi'!$C:$X,2+$G131,0))+IF(I$4="X",VLOOKUP(I$10,'VK-Võrgud'!$C:$X,2+$F131,0))</f>
        <v>23.490000000000002</v>
      </c>
      <c r="J131" s="209">
        <f>IF(J$7="X",VLOOKUP(J$10,'VK-Hooned-Soojus'!$C:$X,2+$C131,FALSE),0)+IF(J$6="X",VLOOKUP(J$10,'VK-Transport'!$C:$X,2+$B131,0))+IF(J$8="X",VLOOKUP(J$10,'VK-Elekter'!$C:$X,2+$D131,0))+IF(J$9="X",VLOOKUP(J$10,'VK-Biokütused'!$C:$U,2+$E131,0))+IF(J$5="X",VLOOKUP(J$10,'VK-Põlevkivi'!$C:$X,2+$G131,0))+IF(J$4="X",VLOOKUP(J$10,'VK-Võrgud'!$C:$X,2+$F131,0))</f>
        <v>8.1258333333333344</v>
      </c>
      <c r="K131" s="209">
        <f>IF(K$7="X",VLOOKUP(K$10,'VK-Hooned-Soojus'!$C:$X,2+$C131,FALSE),0)+IF(K$6="X",VLOOKUP(K$10,'VK-Transport'!$C:$X,2+$B131,0))+IF(K$8="X",VLOOKUP(K$10,'VK-Elekter'!$C:$X,2+$D131,0))+IF(K$9="X",VLOOKUP(K$10,'VK-Biokütused'!$C:$U,2+$E131,0))+IF(K$5="X",VLOOKUP(K$10,'VK-Põlevkivi'!$C:$X,2+$G131,0))+IF(K$4="X",VLOOKUP(K$10,'VK-Võrgud'!$C:$X,2+$F131,0))</f>
        <v>13.780000000000001</v>
      </c>
      <c r="L131" s="209">
        <f>IF(L$7="X",VLOOKUP(L$10,'VK-Hooned-Soojus'!$C:$X,2+$C131,FALSE),0)+IF(L$6="X",VLOOKUP(L$10,'VK-Transport'!$C:$X,2+$B131,0))+IF(L$8="X",VLOOKUP(L$10,'VK-Elekter'!$C:$X,2+$D131,0))+IF(L$9="X",VLOOKUP(L$10,'VK-Biokütused'!$C:$U,2+$E131,0))+IF(L$5="X",VLOOKUP(L$10,'VK-Põlevkivi'!$C:$X,2+$G131,0))+IF(L$4="X",VLOOKUP(L$10,'VK-Võrgud'!$C:$X,2+$F131,0))</f>
        <v>23.75</v>
      </c>
      <c r="M131" s="209">
        <f>IF(M$7="X",VLOOKUP(M$10,'VK-Hooned-Soojus'!$C:$X,2+$C131,FALSE),0)+IF(M$6="X",VLOOKUP(M$10,'VK-Transport'!$C:$X,2+$B131,0))+IF(M$8="X",VLOOKUP(M$10,'VK-Elekter'!$C:$X,2+$D131,0))+IF(M$9="X",VLOOKUP(M$10,'VK-Biokütused'!$C:$U,2+$E131,0))+IF(M$5="X",VLOOKUP(M$10,'VK-Põlevkivi'!$C:$X,2+$G131,0))+IF(M$4="X",VLOOKUP(M$10,'VK-Võrgud'!$C:$X,2+$F131,0))</f>
        <v>8.68530937302436</v>
      </c>
      <c r="N131" s="209">
        <f>IF(N$7="X",VLOOKUP(N$10,'VK-Hooned-Soojus'!$C:$X,2+$C131,FALSE),0)+IF(N$6="X",VLOOKUP(N$10,'VK-Transport'!$C:$X,2+$B131,0))+IF(N$8="X",VLOOKUP(N$10,'VK-Elekter'!$C:$X,2+$D131,0))+IF(N$9="X",VLOOKUP(N$10,'VK-Biokütused'!$C:$U,2+$E131,0))+IF(N$5="X",VLOOKUP(N$10,'VK-Põlevkivi'!$C:$X,2+$G131,0))+IF(N$4="X",VLOOKUP(N$10,'VK-Võrgud'!$C:$X,2+$F131,0))</f>
        <v>15.25</v>
      </c>
      <c r="O131" s="209">
        <f t="shared" si="60"/>
        <v>31.615833333333335</v>
      </c>
      <c r="P131" s="209"/>
      <c r="Q131" s="209">
        <f>(IF(Q$7="X",VLOOKUP(Q$10,'VK-Hooned-Soojus'!$C:$X,2+$C131,FALSE),0)+IF(Q$6="X",VLOOKUP(Q$10,'VK-Transport'!$C:$X,2+$B131,0))+IF(Q$8="X",VLOOKUP(Q$10,'VK-Elekter'!$C:$X,2+$D131,0))+IF(Q$9="X",VLOOKUP(Q$10,'VK-Biokütused'!$C:$U,2+$E131,0))+IF(Q$5="X",VLOOKUP(Q$10,'VK-Põlevkivi'!$C:$X,2+$G131,0))+IF(Q$4="X",VLOOKUP(Q$10,'VK-Võrgud'!$C:$X,2+$F131,0)))/1000</f>
        <v>4.9059999999999997</v>
      </c>
      <c r="R131" s="209">
        <f>(IF(R$7="X",VLOOKUP(R$10,'VK-Hooned-Soojus'!$C:$X,2+$C131,FALSE),0)+IF(R$6="X",VLOOKUP(R$10,'VK-Transport'!$C:$X,2+$B131,0))+IF(R$8="X",VLOOKUP(R$10,'VK-Elekter'!$C:$X,2+$D131,0))+IF(R$9="X",VLOOKUP(R$10,'VK-Biokütused'!$C:$U,2+$E131,0))+IF(R$5="X",VLOOKUP(R$10,'VK-Põlevkivi'!$C:$X,2+$G131,0))+IF(R$4="X",VLOOKUP(R$10,'VK-Võrgud'!$C:$X,2+$F131,0)))/1000</f>
        <v>1.03788499063732</v>
      </c>
      <c r="S131" s="226">
        <f>VLOOKUP(S$10,'VK-Hooned-Soojus'!$C:$I,2+$C131,FALSE) + VLOOKUP(S$10,'VK-Transport'!$C:$I,2+$B131,FALSE)+ VLOOKUP(S$10,'VK-Biokütused'!$C:$G,2+$E131,FALSE)+ VLOOKUP(S$10,'VK-Elekter'!$C:$I,2+$D131,FALSE)+ VLOOKUP(S$10,'VK-Põlevkivi'!$C:$I,2+$G131,FALSE)+ VLOOKUP(S$10,'VK-Võrgud'!$C:$I,2+$F131,FALSE)</f>
        <v>1.2055010155737268E-2</v>
      </c>
      <c r="T131" s="226">
        <f>VLOOKUP(T$10,'VK-Hooned-Soojus'!$C:$I,2+$C131,FALSE) + VLOOKUP(T$10,'VK-Transport'!$C:$I,2+$B131,FALSE)+ VLOOKUP(T$10,'VK-Biokütused'!$C:$G,2+$E131,FALSE)+ VLOOKUP(T$10,'VK-Elekter'!$C:$I,2+$D131,FALSE)+ VLOOKUP(T$10,'VK-Põlevkivi'!$C:$I,2+$G131,FALSE)+ VLOOKUP(T$10,'VK-Võrgud'!$C:$I,2+$F131,FALSE)</f>
        <v>6.6081166904124796E-3</v>
      </c>
      <c r="U131" s="226">
        <f>VLOOKUP(U$10,'VK-Hooned-Soojus'!$C:$I,2+$C131,FALSE) + VLOOKUP(U$10,'VK-Transport'!$C:$I,2+$B131,FALSE)+ VLOOKUP(U$10,'VK-Biokütused'!$C:$G,2+$E131,FALSE)+ VLOOKUP(U$10,'VK-Elekter'!$C:$I,2+$D131,FALSE)+ VLOOKUP(U$10,'VK-Põlevkivi'!$C:$I,2+$G131,FALSE)+ VLOOKUP(U$10,'VK-Võrgud'!$C:$I,2+$F131,FALSE)</f>
        <v>9.2316975648529254E-4</v>
      </c>
      <c r="V131" s="226">
        <f>VLOOKUP(V$10,'VK-Hooned-Soojus'!$C:$I,2+$C131,FALSE) + VLOOKUP(V$10,'VK-Transport'!$C:$I,2+$B131,FALSE)+ VLOOKUP(V$10,'VK-Biokütused'!$C:$G,2+$E131,FALSE)+ VLOOKUP(V$10,'VK-Elekter'!$C:$I,2+$D131,FALSE)+ VLOOKUP(V$10,'VK-Põlevkivi'!$C:$I,2+$G131,FALSE)+ VLOOKUP(V$10,'VK-Võrgud'!$C:$I,2+$F131,FALSE)</f>
        <v>1.1225113498030251E-2</v>
      </c>
      <c r="W131" s="226">
        <f>VLOOKUP(W$10,'VK-Hooned-Soojus'!$C:$I,2+$C131,FALSE) + VLOOKUP(W$10,'VK-Transport'!$C:$I,2+$B131,FALSE)+ VLOOKUP(W$10,'VK-Biokütused'!$C:$G,2+$E131,FALSE)+ VLOOKUP(W$10,'VK-Elekter'!$C:$I,2+$D131,FALSE)+ VLOOKUP(W$10,'VK-Põlevkivi'!$C:$I,2+$G131,FALSE)+ VLOOKUP(W$10,'VK-Võrgud'!$C:$I,2+$F131,FALSE)</f>
        <v>-5.2846876197328384E-2</v>
      </c>
      <c r="X131" s="226">
        <f>VLOOKUP(X$10,'VK-Hooned-Soojus'!$C:$I,2+$C131,FALSE) + VLOOKUP(X$10,'VK-Transport'!$C:$I,2+$B131,FALSE)+ VLOOKUP(X$10,'VK-Biokütused'!$C:$G,2+$E131,FALSE)+ VLOOKUP(X$10,'VK-Elekter'!$C:$I,2+$D131,FALSE)+ VLOOKUP(X$10,'VK-Põlevkivi'!$C:$I,2+$G131,FALSE)+ VLOOKUP(X$10,'VK-Võrgud'!$C:$I,2+$F131,FALSE)</f>
        <v>-5.9479223917081457E-2</v>
      </c>
      <c r="Y131" s="226">
        <f>VLOOKUP(Y$10,'VK-Hooned-Soojus'!$C:$I,2+$C131,FALSE) + VLOOKUP(Y$10,'VK-Transport'!$C:$I,2+$B131,FALSE)+ VLOOKUP(Y$10,'VK-Biokütused'!$C:$G,2+$E131,FALSE)+ VLOOKUP(Y$10,'VK-Elekter'!$C:$I,2+$D131,FALSE)+ VLOOKUP(Y$10,'VK-Põlevkivi'!$C:$I,2+$G131,FALSE)+ VLOOKUP(Y$10,'VK-Võrgud'!$C:$I,2+$F131,FALSE)</f>
        <v>-8.3132550627432633E-2</v>
      </c>
      <c r="Z131" s="227">
        <f>(S131*Tulemused!$Q$9*10+T131*Tulemused!$Q$10*10+KOMBI!U131*Tulemused!$Q$11*10+KOMBI!V131*Tulemused!$Q$12*10)*Tulemused!$Q$8+-(W131*Tulemused!$Q$14*10+KOMBI!X131*Tulemused!$Q$15*10+KOMBI!Y131*Tulemused!$Q$16*10)*Tulemused!$Q$13</f>
        <v>5.6429680009667482</v>
      </c>
      <c r="AA131" s="228">
        <f>(IF(AA$7="X",VLOOKUP(AA$10,'VK-Hooned-Soojus'!$C:$X,2+$C131,FALSE),0)+IF(AA$6="X",VLOOKUP(AA$10,'VK-Transport'!$C:$X,2+$B131,0))+IF(AA$8="X",VLOOKUP(AA$10,'VK-Elekter'!$C:$X,2+$D131,0))+IF(AA$9="X",VLOOKUP(AA$10,'VK-Biokütused'!$C:$U,2+$E131,0))+IF(AA$5="X",VLOOKUP(AA$10,'VK-Põlevkivi'!$C:$X,2+$G131,0))+IF(AA$4="X",VLOOKUP(AA$10,'VK-Võrgud'!$C:$X,2+$F131,0)))</f>
        <v>3729</v>
      </c>
      <c r="AB131" s="228">
        <f>(IF(AB$7="X",VLOOKUP(AB$10,'VK-Hooned-Soojus'!$C:$X,2+$C131,FALSE),0)+IF(AB$6="X",VLOOKUP(AB$10,'VK-Transport'!$C:$X,2+$B131,0))+IF(AB$8="X",VLOOKUP(AB$10,'VK-Elekter'!$C:$X,2+$D131,0))+IF(AB$9="X",VLOOKUP(AB$10,'VK-Biokütused'!$C:$U,2+$E131,0))+IF(AB$5="X",VLOOKUP(AB$10,'VK-Põlevkivi'!$C:$X,2+$G131,0))+IF(AB$4="X",VLOOKUP(AB$10,'VK-Võrgud'!$C:$X,2+$F131,0)))</f>
        <v>1177</v>
      </c>
      <c r="AC131" s="228">
        <f>(IF(AC$7="X",VLOOKUP(AC$10,'VK-Hooned-Soojus'!$C:$X,2+$C131,FALSE),0)+IF(AC$6="X",VLOOKUP(AC$10,'VK-Transport'!$C:$X,2+$B131,0))+IF(AC$8="X",VLOOKUP(AC$10,'VK-Elekter'!$C:$X,2+$D131,0))+IF(AC$9="X",VLOOKUP(AC$10,'VK-Biokütused'!$C:$U,2+$E131,0))+IF(AC$5="X",VLOOKUP(AC$10,'VK-Põlevkivi'!$C:$X,2+$G131,0))+IF(AC$4="X",VLOOKUP(AC$10,'VK-Võrgud'!$C:$X,2+$F131,0)))</f>
        <v>2346</v>
      </c>
      <c r="AD131" s="228">
        <f>(IF(AD$7="X",VLOOKUP(AD$10,'VK-Hooned-Soojus'!$C:$X,2+$C131,FALSE),0)+IF(AD$6="X",VLOOKUP(AD$10,'VK-Transport'!$C:$X,2+$B131,0))+IF(AD$8="X",VLOOKUP(AD$10,'VK-Elekter'!$C:$X,2+$D131,0))+IF(AD$9="X",VLOOKUP(AD$10,'VK-Biokütused'!$C:$U,2+$E131,0))+IF(AD$5="X",VLOOKUP(AD$10,'VK-Põlevkivi'!$C:$X,2+$G131,0))+IF(AD$4="X",VLOOKUP(AD$10,'VK-Võrgud'!$C:$X,2+$F131,0)))</f>
        <v>0</v>
      </c>
      <c r="AE131" s="228">
        <f>(IF(AE$7="X",VLOOKUP(AE$10,'VK-Hooned-Soojus'!$C:$X,2+$C131,FALSE),0)+IF(AE$6="X",VLOOKUP(AE$10,'VK-Transport'!$C:$X,2+$B131,0))+IF(AE$8="X",VLOOKUP(AE$10,'VK-Elekter'!$C:$X,2+$D131,0))+IF(AE$9="X",VLOOKUP(AE$10,'VK-Biokütused'!$C:$U,2+$E131,0))+IF(AE$5="X",VLOOKUP(AE$10,'VK-Põlevkivi'!$C:$X,2+$G131,0))+IF(AE$4="X",VLOOKUP(AE$10,'VK-Võrgud'!$C:$X,2+$F131,0)))</f>
        <v>507</v>
      </c>
      <c r="AF131" s="228">
        <f>(IF(AF$7="X",VLOOKUP(AF$10,'VK-Hooned-Soojus'!$C:$X,2+$C131,FALSE),0)+IF(AF$6="X",VLOOKUP(AF$10,'VK-Transport'!$C:$X,2+$B131,0))+IF(AF$8="X",VLOOKUP(AF$10,'VK-Elekter'!$C:$X,2+$D131,0))+IF(AF$9="X",VLOOKUP(AF$10,'VK-Biokütused'!$C:$U,2+$E131,0))+IF(AF$5="X",VLOOKUP(AF$10,'VK-Põlevkivi'!$C:$X,2+$G131,0))+IF(AF$4="X",VLOOKUP(AF$10,'VK-Võrgud'!$C:$X,2+$F131,0)))</f>
        <v>530.88499063732002</v>
      </c>
      <c r="AG131" s="209"/>
      <c r="AH131" s="209">
        <f>IF(AH$7="X",VLOOKUP(AH$10,'VK-Hooned-Soojus'!$C:$X,2+$C131,FALSE),0)+IF(AH$6="X",VLOOKUP(AH$10,'VK-Transport'!$C:$X,2+$B131,0))+IF(AH$8="X",VLOOKUP(AH$10,'VK-Elekter'!$C:$X,2+$D131,0))+IF(AH$9="X",VLOOKUP(AH$10,'VK-Biokütused'!$C:$U,2+$E131,0))+IF(AH$5="X",VLOOKUP(AH$10,'VK-Põlevkivi'!$C:$X,2+$G131,0))+IF(AH$4="X",VLOOKUP(AH$10,'VK-Võrgud'!$C:$X,2+$F131,0))</f>
        <v>11.629999999999999</v>
      </c>
      <c r="AI131" s="209">
        <f>IF(AI$7="X",VLOOKUP(AI$10,'VK-Hooned-Soojus'!$C:$X,2+$C131,FALSE),0)+IF(AI$6="X",VLOOKUP(AI$10,'VK-Transport'!$C:$X,2+$B131,0))+IF(AI$8="X",VLOOKUP(AI$10,'VK-Elekter'!$C:$X,2+$D131,0))+IF(AI$9="X",VLOOKUP(AI$10,'VK-Biokütused'!$C:$U,2+$E131,0))+IF(AI$5="X",VLOOKUP(AI$10,'VK-Põlevkivi'!$C:$X,2+$G131,0))+IF(AI$4="X",VLOOKUP(AI$10,'VK-Võrgud'!$C:$X,2+$F131,0))</f>
        <v>2.3100000000000005</v>
      </c>
      <c r="AJ131" s="209">
        <f>IF(AJ$7="X",VLOOKUP(AJ$10,'VK-Hooned-Soojus'!$C:$X,2+$C131,FALSE),0)+IF(AJ$6="X",VLOOKUP(AJ$10,'VK-Transport'!$C:$X,2+$B131,0))+IF(AJ$8="X",VLOOKUP(AJ$10,'VK-Elekter'!$C:$X,2+$D131,0))+IF(AJ$9="X",VLOOKUP(AJ$10,'VK-Biokütused'!$C:$U,2+$E131,0))+IF(AJ$5="X",VLOOKUP(AJ$10,'VK-Põlevkivi'!$C:$X,2+$G131,0))+IF(AJ$4="X",VLOOKUP(AJ$10,'VK-Võrgud'!$C:$X,2+$F131,0))</f>
        <v>9.24</v>
      </c>
      <c r="AK131" s="209">
        <f>IF(AK$7="X",VLOOKUP(AK$10,'VK-Hooned-Soojus'!$C:$X,2+$C131,FALSE),0)+IF(AK$6="X",VLOOKUP(AK$10,'VK-Transport'!$C:$X,2+$B131,0))+IF(AK$8="X",VLOOKUP(AK$10,'VK-Elekter'!$C:$X,2+$D131,0))+IF(AK$9="X",VLOOKUP(AK$10,'VK-Biokütused'!$C:$U,2+$E131,0))+IF(AK$5="X",VLOOKUP(AK$10,'VK-Põlevkivi'!$C:$X,2+$G131,0))+IF(AK$4="X",VLOOKUP(AK$10,'VK-Võrgud'!$C:$X,2+$F131,0))</f>
        <v>2.78</v>
      </c>
      <c r="AL131" s="209">
        <f>IF(AL$7="X",VLOOKUP(AL$10,'VK-Hooned-Soojus'!$C:$X,2+$C131,FALSE),0)+IF(AL$6="X",VLOOKUP(AL$10,'VK-Transport'!$C:$X,2+$B131,0))+IF(AL$8="X",VLOOKUP(AL$10,'VK-Elekter'!$C:$X,2+$D131,0))+IF(AL$9="X",VLOOKUP(AL$10,'VK-Biokütused'!$C:$U,2+$E131,0))+IF(AL$5="X",VLOOKUP(AL$10,'VK-Põlevkivi'!$C:$X,2+$G131,0))+IF(AL$4="X",VLOOKUP(AL$10,'VK-Võrgud'!$C:$X,2+$F131,0))</f>
        <v>7.1</v>
      </c>
      <c r="AM131" s="209">
        <f>IF(AM$7="X",VLOOKUP(AM$10,'VK-Hooned-Soojus'!$C:$X,2+$C131,FALSE),0)+IF(AM$6="X",VLOOKUP(AM$10,'VK-Transport'!$C:$X,2+$B131,0))+IF(AM$8="X",VLOOKUP(AM$10,'VK-Elekter'!$C:$X,2+$D131,0))+IF(AM$9="X",VLOOKUP(AM$10,'VK-Biokütused'!$C:$U,2+$E131,0))+IF(AM$5="X",VLOOKUP(AM$10,'VK-Põlevkivi'!$C:$X,2+$G131,0))+IF(AM$4="X",VLOOKUP(AM$10,'VK-Võrgud'!$C:$X,2+$F131,0))</f>
        <v>11.5</v>
      </c>
      <c r="AN131" s="209">
        <f>IF(AN$7="X",VLOOKUP(AN$10,'VK-Hooned-Soojus'!$C:$X,2+$C131,FALSE),0)+IF(AN$6="X",VLOOKUP(AN$10,'VK-Transport'!$C:$X,2+$B131,0))+IF(AN$8="X",VLOOKUP(AN$10,'VK-Elekter'!$C:$X,2+$D131,0))+IF(AN$9="X",VLOOKUP(AN$10,'VK-Biokütused'!$C:$U,2+$E131,0))+IF(AN$5="X",VLOOKUP(AN$10,'VK-Põlevkivi'!$C:$X,2+$G131,0))+IF(AN$4="X",VLOOKUP(AN$10,'VK-Võrgud'!$C:$X,2+$F131,0))</f>
        <v>4.0999999999999996</v>
      </c>
      <c r="AO131" s="209">
        <f>IF(AO$7="X",VLOOKUP(AO$10,'VK-Hooned-Soojus'!$C:$X,2+$C131,FALSE),0)+IF(AO$6="X",VLOOKUP(AO$10,'VK-Transport'!$C:$X,2+$B131,0))+IF(AO$8="X",VLOOKUP(AO$10,'VK-Elekter'!$C:$X,2+$D131,0))+IF(AO$9="X",VLOOKUP(AO$10,'VK-Biokütused'!$C:$U,2+$E131,0))+IF(AO$5="X",VLOOKUP(AO$10,'VK-Põlevkivi'!$C:$X,2+$G131,0))+IF(AO$4="X",VLOOKUP(AO$10,'VK-Võrgud'!$C:$X,2+$F131,0))</f>
        <v>12.16</v>
      </c>
      <c r="AP131" s="209">
        <f>IF(AP$7="X",VLOOKUP(AP$10,'VK-Hooned-Soojus'!$C:$X,2+$C131,FALSE),0)+IF(AP$6="X",VLOOKUP(AP$10,'VK-Transport'!$C:$X,2+$B131,0))+IF(AP$8="X",VLOOKUP(AP$10,'VK-Elekter'!$C:$X,2+$D131,0))+IF(AP$9="X",VLOOKUP(AP$10,'VK-Biokütused'!$C:$U,2+$E131,0))+IF(AP$5="X",VLOOKUP(AP$10,'VK-Põlevkivi'!$C:$X,2+$G131,0))+IF(AP$4="X",VLOOKUP(AP$10,'VK-Võrgud'!$C:$X,2+$F131,0))</f>
        <v>6.08</v>
      </c>
      <c r="AQ131" s="320">
        <f t="shared" si="61"/>
        <v>0</v>
      </c>
      <c r="AR131" s="209">
        <f>IF(AR$7="X",VLOOKUP(AR$10,'VK-Hooned-Soojus'!$C:$X,2+$C131,FALSE),0)+IF(AR$6="X",VLOOKUP(AR$10,'VK-Transport'!$C:$X,2+$B131,0))+IF(AR$8="X",VLOOKUP(AR$10,'VK-Elekter'!$C:$X,2+$D131,0))+IF(AR$9="X",VLOOKUP(AR$10,'VK-Biokütused'!$C:$U,2+$E131,0))+IF(AR$5="X",VLOOKUP(AR$10,'VK-Põlevkivi'!$C:$X,2+$G131,0))+IF(AR$4="X",VLOOKUP(AR$10,'VK-Võrgud'!$C:$X,2+$F131,0))</f>
        <v>2.3899999999999997</v>
      </c>
      <c r="AS131" s="320">
        <f>VLOOKUP("Kütuste tarbimine @ 2030 - UTTEGAAS",'VK-Hooned-Soojus'!$C:$X,2+$C131,FALSE)/0.172+VLOOKUP("Kütuste tarbimine @ 2030 - UTTEGAAS",'VK-Elekter'!$C:$X,2+$D131,FALSE)/0.172-AR131-AU131</f>
        <v>2.8565116279069773</v>
      </c>
      <c r="AT131" s="209">
        <f>IF(AT$7="X",VLOOKUP(AT$10,'VK-Hooned-Soojus'!$C:$X,2+$C131,FALSE),0)+IF(AT$6="X",VLOOKUP(AT$10,'VK-Transport'!$C:$X,2+$B131,0))+IF(AT$8="X",VLOOKUP(AT$10,'VK-Elekter'!$C:$X,2+$D131,0))+IF(AT$9="X",VLOOKUP(AT$10,'VK-Biokütused'!$C:$U,2+$E131,0))+IF(AT$5="X",VLOOKUP(AT$10,'VK-Põlevkivi'!$C:$X,2+$G131,0))+IF(AT$4="X",VLOOKUP(AT$10,'VK-Võrgud'!$C:$X,2+$F131,0))</f>
        <v>5.7045296564339489</v>
      </c>
      <c r="AU131" s="229">
        <f>MAX(0,(VLOOKUP("Kütuste tarbimine @ 2030 - UTTEGAAS",'VK-Hooned-Soojus'!$C:$X,2+$C131,FALSE)/0.172+VLOOKUP("Kütuste tarbimine @ 2030 - UTTEGAAS",'VK-Elekter'!$C:$X,2+$D131,FALSE)/0.172)*0.52-VLOOKUP("Kütuste tarbimine @ 2030 - PÕLEVKIVIÕLI",'VK-Hooned-Soojus'!$C:$X,2+$C131,FALSE))</f>
        <v>5.6837209302325586</v>
      </c>
      <c r="AV131" s="209">
        <f>IF(AV$7="X",VLOOKUP(AV$10,'VK-Hooned-Soojus'!$C:$X,2+$C131,FALSE),0)+IF(AV$6="X",VLOOKUP(AV$10,'VK-Transport'!$C:$X,2+$B131,0))+IF(AV$8="X",VLOOKUP(AV$10,'VK-Elekter'!$C:$X,2+$D131,0))+IF(AV$9="X",VLOOKUP(AV$10,'VK-Biokütused'!$C:$U,2+$E131,0))+IF(AV$5="X",VLOOKUP(AV$10,'VK-Põlevkivi'!$C:$X,2+$G131,0))+IF(AV$4="X",VLOOKUP(AV$10,'VK-Võrgud'!$C:$X,2+$F131,0))</f>
        <v>2.1219844082566364</v>
      </c>
      <c r="AW131" s="209">
        <f>IF(AW$7="X",VLOOKUP(AW$10,'VK-Hooned-Soojus'!$C:$X,2+$C131,FALSE),0)+IF(AW$6="X",VLOOKUP(AW$10,'VK-Transport'!$C:$X,2+$B131,0))+IF(AW$8="X",VLOOKUP(AW$10,'VK-Elekter'!$C:$X,2+$D131,0))+IF(AW$9="X",VLOOKUP(AW$10,'VK-Biokütused'!$C:$U,2+$E131,0))+IF(AW$5="X",VLOOKUP(AW$10,'VK-Põlevkivi'!$C:$X,2+$G131,0))+IF(AW$4="X",VLOOKUP(AW$10,'VK-Võrgud'!$C:$X,2+$F131,0))</f>
        <v>0</v>
      </c>
      <c r="AX131" s="229">
        <f t="shared" si="62"/>
        <v>0</v>
      </c>
      <c r="AY131" s="229">
        <f t="shared" si="63"/>
        <v>2.1219844082566364</v>
      </c>
      <c r="AZ131" s="230">
        <f t="shared" si="83"/>
        <v>0.55300023275351873</v>
      </c>
      <c r="BA131" s="209">
        <f>IF(BA$7="X",VLOOKUP(BA$10,'VK-Hooned-Soojus'!$C:$X,2+$C131,FALSE),0)+IF(BA$6="X",VLOOKUP(BA$10,'VK-Transport'!$C:$X,2+$B131,0))+IF(BA$8="X",VLOOKUP(BA$10,'VK-Elekter'!$C:$X,2+$D131,0))+IF(BA$9="X",VLOOKUP(BA$10,'VK-Biokütused'!$C:$U,2+$E131,0))+IF(BA$5="X",VLOOKUP(BA$10,'VK-Põlevkivi'!$C:$X,2+$G131,0))+IF(BA$4="X",VLOOKUP(BA$10,'VK-Võrgud'!$C:$X,2+$F131,0))</f>
        <v>4.25</v>
      </c>
      <c r="BB131" s="209">
        <f>IF(BB$7="X",VLOOKUP(BB$10,'VK-Hooned-Soojus'!$C:$X,2+$C131,FALSE),0)+IF(BB$6="X",VLOOKUP(BB$10,'VK-Transport'!$C:$X,2+$B131,0))+IF(BB$8="X",VLOOKUP(BB$10,'VK-Elekter'!$C:$X,2+$D131,0))+IF(BB$9="X",VLOOKUP(BB$10,'VK-Biokütused'!$C:$U,2+$E131,0))+IF(BB$5="X",VLOOKUP(BB$10,'VK-Põlevkivi'!$C:$X,2+$G131,0))+IF(BB$4="X",VLOOKUP(BB$10,'VK-Võrgud'!$C:$X,2+$F131,0))</f>
        <v>2.93</v>
      </c>
      <c r="BC131" s="209">
        <f>IF(BC$7="X",VLOOKUP(BC$10,'VK-Hooned-Soojus'!$C:$X,2+$C131,FALSE),0)+IF(BC$6="X",VLOOKUP(BC$10,'VK-Transport'!$C:$X,2+$B131,0))+IF(BC$8="X",VLOOKUP(BC$10,'VK-Elekter'!$C:$X,2+$D131,0))+IF(BC$9="X",VLOOKUP(BC$10,'VK-Biokütused'!$C:$U,2+$E131,0))+IF(BC$5="X",VLOOKUP(BC$10,'VK-Põlevkivi'!$C:$X,2+$G131,0))+IF(BC$4="X",VLOOKUP(BC$10,'VK-Võrgud'!$C:$X,2+$F131,0))</f>
        <v>5.2376666666666667</v>
      </c>
      <c r="BD131" s="209">
        <f>IF(BD$7="X",VLOOKUP(BD$10,'VK-Hooned-Soojus'!$C:$X,2+$C131,FALSE),0)+IF(BD$6="X",VLOOKUP(BD$10,'VK-Transport'!$C:$X,2+$B131,0))+IF(BD$8="X",VLOOKUP(BD$10,'VK-Elekter'!$C:$X,2+$D131,0))+IF(BD$9="X",VLOOKUP(BD$10,'VK-Biokütused'!$C:$U,2+$E131,0))+IF(BD$5="X",VLOOKUP(BD$10,'VK-Põlevkivi'!$C:$X,2+$G131,0))+IF(BD$4="X",VLOOKUP(BD$10,'VK-Võrgud'!$C:$X,2+$F131,0))</f>
        <v>9.1105555555555569</v>
      </c>
      <c r="BE131" s="230"/>
      <c r="BF131" s="229">
        <f t="shared" si="64"/>
        <v>0.36791956700630501</v>
      </c>
      <c r="BG131" s="209" t="e">
        <f>(IF(BG$7="X",VLOOKUP(BG$10,'VK-Hooned-Soojus'!$C:$X,2+$C131,FALSE),0)+IF(BG$6="X",VLOOKUP(BG$10,'VK-Transport'!$C:$X,2+$B131,0))+IF(BG$8="X",VLOOKUP(BG$10,'VK-Elekter'!$C:$X,2+$D131,0))+IF(BG$9="X",VLOOKUP(BG$10,'VK-Biokütused'!$C:$U,2+$E131,0))+IF(BG$5="X",VLOOKUP(BG$10,'VK-Põlevkivi'!$C:$X,2+$G131,0))+IF(BG$4="X",VLOOKUP(BG$10,'VK-Võrgud'!$C:$X,2+$F131,0)))/20</f>
        <v>#N/A</v>
      </c>
      <c r="BH131" s="209">
        <f>(IF(BH$7="X",VLOOKUP(BH$10,'VK-Hooned-Soojus'!$C:$X,2+$C131,FALSE),0)+IF(BH$6="X",VLOOKUP(BH$10,'VK-Transport'!$C:$X,2+$B131,0))+IF(BH$8="X",VLOOKUP(BH$10,'VK-Elekter'!$C:$X,2+$D131,0))+IF(BH$9="X",VLOOKUP(BH$10,'VK-Biokütused'!$C:$U,2+$E131,0))+IF(BH$5="X",VLOOKUP(BH$10,'VK-Põlevkivi'!$C:$X,2+$G131,0))+IF(BH$4="X",VLOOKUP(BH$10,'VK-Võrgud'!$C:$X,2+$F131,0)))/20</f>
        <v>84.204999999999998</v>
      </c>
      <c r="BI131" s="209">
        <f>(IF(BI$7="X",VLOOKUP(BI$10,'VK-Hooned-Soojus'!$C:$X,2+$C131,FALSE),0)+IF(BI$6="X",VLOOKUP(BI$10,'VK-Transport'!$C:$X,2+$B131,0))+IF(BI$8="X",VLOOKUP(BI$10,'VK-Elekter'!$C:$X,2+$D131,0))+IF(BI$9="X",VLOOKUP(BI$10,'VK-Biokütused'!$C:$U,2+$E131,0))+IF(BI$5="X",VLOOKUP(BI$10,'VK-Põlevkivi'!$C:$X,2+$G131,0))+IF(BI$4="X",VLOOKUP(BI$10,'VK-Võrgud'!$C:$X,2+$F131,0)))/16</f>
        <v>8.9375</v>
      </c>
      <c r="BJ131" s="209">
        <f>(IF(BJ$7="X",VLOOKUP(BJ$10,'VK-Hooned-Soojus'!$C:$X,2+$C131,FALSE),0)+IF(BJ$6="X",VLOOKUP(BJ$10,'VK-Transport'!$C:$X,2+$B131,0))+IF(BJ$8="X",VLOOKUP(BJ$10,'VK-Elekter'!$C:$X,2+$D131,0))+IF(BJ$9="X",VLOOKUP(BJ$10,'VK-Biokütused'!$C:$U,2+$E131,0))+IF(BJ$5="X",VLOOKUP(BJ$10,'VK-Põlevkivi'!$C:$X,2+$G131,0))+IF(BJ$4="X",VLOOKUP(BJ$10,'VK-Võrgud'!$C:$X,2+$F131,0)))/20</f>
        <v>5.33</v>
      </c>
      <c r="BK131" s="209"/>
      <c r="BL131" s="209"/>
      <c r="BM131" s="209"/>
      <c r="BN131" s="209" t="e">
        <f>(IF(BN$7="X",VLOOKUP(BN$10,'VK-Hooned-Soojus'!$C:$X,2+$C131,FALSE),0)+IF(BN$6="X",VLOOKUP(BN$10,'VK-Transport'!$C:$X,2+$B131,0))+IF(BN$8="X",VLOOKUP(BN$10,'VK-Elekter'!$C:$X,2+$D131,0))+IF(BN$9="X",VLOOKUP(BN$10,'VK-Biokütused'!$C:$U,2+$E131,0))+IF(BN$5="X",VLOOKUP(BN$10,'VK-Põlevkivi'!$C:$X,2+$G131,0))+IF(BN$4="X",VLOOKUP(BN$10,'VK-Võrgud'!$C:$X,2+$F131,0)))/16</f>
        <v>#N/A</v>
      </c>
      <c r="BO131" s="209">
        <f>(IF(BO$7="X",VLOOKUP(BO$10,'VK-Hooned-Soojus'!$C:$X,2+$C131,FALSE),0)+IF(BO$6="X",VLOOKUP(BO$10,'VK-Transport'!$C:$X,2+$B131,0))+IF(BO$8="X",VLOOKUP(BO$10,'VK-Elekter'!$C:$X,2+$D131,0))+IF(BO$9="X",VLOOKUP(BO$10,'VK-Biokütused'!$C:$U,2+$E131,0))+IF(BO$5="X",VLOOKUP(BO$10,'VK-Põlevkivi'!$C:$X,2+$G131,0))+IF(BO$4="X",VLOOKUP(BO$10,'VK-Võrgud'!$C:$X,2+$F131,0)))/16</f>
        <v>322.79374999999999</v>
      </c>
      <c r="BP131" s="209"/>
      <c r="BQ131" s="209">
        <f>(IF(BQ$7="X",VLOOKUP(BQ$10,'VK-Hooned-Soojus'!$C:$X,2+$C131,FALSE),0)+IF(BQ$6="X",VLOOKUP(BQ$10,'VK-Transport'!$C:$X,2+$B131,0))+IF(BQ$8="X",VLOOKUP(BQ$10,'VK-Elekter'!$C:$X,2+$D131,0))+IF(BQ$9="X",VLOOKUP(BQ$10,'VK-Biokütused'!$C:$U,2+$E131,0))+IF(BQ$5="X",VLOOKUP(BQ$10,'VK-Põlevkivi'!$C:$X,2+$G131,0))+IF(BQ$4="X",VLOOKUP(BQ$10,'VK-Võrgud'!$C:$X,2+$F131,0)))/16</f>
        <v>233.20625000000001</v>
      </c>
      <c r="BR131" s="209">
        <f>(IF(BR$7="X",VLOOKUP(BR$10,'VK-Hooned-Soojus'!$C:$X,2+$C131,FALSE),0)+IF(BR$6="X",VLOOKUP(BR$10,'VK-Transport'!$C:$X,2+$B131,0))+IF(BR$8="X",VLOOKUP(BR$10,'VK-Elekter'!$C:$X,2+$D131,0))+IF(BR$9="X",VLOOKUP(BR$10,'VK-Biokütused'!$C:$U,2+$E131,0))+IF(BR$5="X",VLOOKUP(BR$10,'VK-Põlevkivi'!$C:$X,2+$G131,0))+IF(BR$4="X",VLOOKUP(BR$10,'VK-Võrgud'!$C:$X,2+$F131,0)))/16</f>
        <v>74.512500000000003</v>
      </c>
      <c r="BS131" s="209">
        <f>(IF(BS$7="X",VLOOKUP(BS$10,'VK-Hooned-Soojus'!$C:$X,2+$C131,FALSE),0)+IF(BS$6="X",VLOOKUP(BS$10,'VK-Transport'!$C:$X,2+$B131,0))+IF(BS$8="X",VLOOKUP(BS$10,'VK-Elekter'!$C:$X,2+$D131,0))+IF(BS$9="X",VLOOKUP(BS$10,'VK-Biokütused'!$C:$U,2+$E131,0))+IF(BS$5="X",VLOOKUP(BS$10,'VK-Põlevkivi'!$C:$X,2+$G131,0))+IF(BS$4="X",VLOOKUP(BS$10,'VK-Võrgud'!$C:$X,2+$F131,0)))/16</f>
        <v>-21.475000000000001</v>
      </c>
      <c r="BT131" s="209"/>
      <c r="BU131" s="209"/>
      <c r="BV131" s="209">
        <f>(IF(BV$7="X",VLOOKUP(BV$10,'VK-Hooned-Soojus'!$C:$X,2+$C131,FALSE),0)+IF(BV$6="X",VLOOKUP(BV$10,'VK-Transport'!$C:$X,2+$B131,0))+IF(BV$8="X",VLOOKUP(BV$10,'VK-Elekter'!$C:$X,2+$D131,0))+IF(BV$9="X",VLOOKUP(BV$10,'VK-Biokütused'!$C:$U,2+$E131,0))+IF(BV$5="X",VLOOKUP(BV$10,'VK-Põlevkivi'!$C:$X,2+$G131,0))+IF(BV$4="X",VLOOKUP(BV$10,'VK-Võrgud'!$C:$X,2+$F131,0)))/16</f>
        <v>0</v>
      </c>
      <c r="BW131" s="209"/>
      <c r="BX131" s="209">
        <f>(IF(BX$7="X",VLOOKUP(BX$10,'VK-Hooned-Soojus'!$C:$X,2+$C131,FALSE),0)+IF(BX$6="X",VLOOKUP(BX$10,'VK-Transport'!$C:$X,2+$B131,0))+IF(BX$8="X",VLOOKUP(BX$10,'VK-Elekter'!$C:$X,2+$D131,0))+IF(BX$9="X",VLOOKUP(BX$10,'VK-Biokütused'!$C:$U,2+$E131,0))+IF(BX$5="X",VLOOKUP(BX$10,'VK-Põlevkivi'!$C:$X,2+$G131,0))+IF(BX$4="X",VLOOKUP(BX$10,'VK-Võrgud'!$C:$X,2+$F131,0)))/16</f>
        <v>-99.6875</v>
      </c>
      <c r="BY131" s="209"/>
      <c r="BZ131" s="209"/>
      <c r="CA131" s="209" t="e">
        <f>(IF(CA$7="X",VLOOKUP(CA$10,'VK-Hooned-Soojus'!$C:$X,2+$C131,FALSE),0)+IF(CA$6="X",VLOOKUP(CA$10,'VK-Transport'!$C:$X,2+$B131,0))+IF(CA$8="X",VLOOKUP(CA$10,'VK-Elekter'!$C:$X,2+$D131,0))+IF(CA$9="X",VLOOKUP(CA$10,'VK-Biokütused'!$C:$U,2+$E131,0))+IF(CA$5="X",VLOOKUP(CA$10,'VK-Põlevkivi'!$C:$X,2+$G131,0))+IF(CA$4="X",VLOOKUP(CA$10,'VK-Võrgud'!$C:$X,2+$F131,0)))/16</f>
        <v>#N/A</v>
      </c>
      <c r="CB131" s="209">
        <f>(IF(CB$7="X",VLOOKUP(CB$10,'VK-Hooned-Soojus'!$C:$X,2+$C131,FALSE),0)+IF(CB$6="X",VLOOKUP(CB$10,'VK-Transport'!$C:$X,2+$B131,0))+IF(CB$8="X",VLOOKUP(CB$10,'VK-Elekter'!$C:$X,2+$D131,0))+IF(CB$9="X",VLOOKUP(CB$10,'VK-Biokütused'!$C:$U,2+$E131,0))+IF(CB$5="X",VLOOKUP(CB$10,'VK-Põlevkivi'!$C:$X,2+$G131,0))+IF(CB$4="X",VLOOKUP(CB$10,'VK-Võrgud'!$C:$X,2+$F131,0)))/16</f>
        <v>0</v>
      </c>
      <c r="CC131" s="209">
        <f>(IF(CC$7="X",VLOOKUP(CC$10,'VK-Hooned-Soojus'!$C:$X,2+$C131,FALSE),0)+IF(CC$6="X",VLOOKUP(CC$10,'VK-Transport'!$C:$X,2+$B131,0))+IF(CC$8="X",VLOOKUP(CC$10,'VK-Elekter'!$C:$X,2+$D131,0))+IF(CC$9="X",VLOOKUP(CC$10,'VK-Biokütused'!$C:$U,2+$E131,0))+IF(CC$5="X",VLOOKUP(CC$10,'VK-Põlevkivi'!$C:$X,2+$G131,0))+IF(CC$4="X",VLOOKUP(CC$10,'VK-Võrgud'!$C:$X,2+$F131,0)))/16</f>
        <v>0</v>
      </c>
      <c r="CD131" s="209"/>
      <c r="CE131" s="209">
        <f>(IF(CE$7="X",VLOOKUP(CE$10,'VK-Hooned-Soojus'!$C:$X,2+$C131,FALSE),0)+IF(CE$6="X",VLOOKUP(CE$10,'VK-Transport'!$C:$X,2+$B131,0))+IF(CE$8="X",VLOOKUP(CE$10,'VK-Elekter'!$C:$X,2+$D131,0))+IF(CE$9="X",VLOOKUP(CE$10,'VK-Biokütused'!$C:$U,2+$E131,0))+IF(CE$5="X",VLOOKUP(CE$10,'VK-Põlevkivi'!$C:$X,2+$G131,0))+IF(CE$4="X",VLOOKUP(CE$10,'VK-Võrgud'!$C:$X,2+$F131,0)))/16</f>
        <v>24.15625</v>
      </c>
      <c r="CF131" s="209"/>
      <c r="CG131" s="209">
        <f>(IF(CG$7="X",VLOOKUP(CG$10,'VK-Hooned-Soojus'!$C:$X,2+$C131,FALSE),0)+IF(CG$6="X",VLOOKUP(CG$10,'VK-Transport'!$C:$X,2+$B131,0))+IF(CG$8="X",VLOOKUP(CG$10,'VK-Elekter'!$C:$X,2+$D131,0))+IF(CG$9="X",VLOOKUP(CG$10,'VK-Biokütused'!$C:$U,2+$E131,0))+IF(CG$5="X",VLOOKUP(CG$10,'VK-Põlevkivi'!$C:$X,2+$G131,0))+IF(CG$4="X",VLOOKUP(CG$10,'VK-Võrgud'!$C:$X,2+$F131,0)))/16</f>
        <v>0</v>
      </c>
      <c r="CH131" s="209">
        <f>(IF(CH$7="X",VLOOKUP(CH$10,'VK-Hooned-Soojus'!$C:$X,2+$C131,FALSE),0)+IF(CH$6="X",VLOOKUP(CH$10,'VK-Transport'!$C:$X,2+$B131,0))+IF(CH$8="X",VLOOKUP(CH$10,'VK-Elekter'!$C:$X,2+$D131,0))+IF(CH$9="X",VLOOKUP(CH$10,'VK-Biokütused'!$C:$U,2+$E131,0))+IF(CH$5="X",VLOOKUP(CH$10,'VK-Põlevkivi'!$C:$X,2+$G131,0))+IF(CH$4="X",VLOOKUP(CH$10,'VK-Võrgud'!$C:$X,2+$F131,0)))/20*0.21</f>
        <v>26.9178</v>
      </c>
      <c r="CI131" s="209"/>
      <c r="CJ131" s="209">
        <f>(IF(CJ$7="X",VLOOKUP(CJ$10,'VK-Hooned-Soojus'!$C:$X,2+$C131,FALSE),0)+IF(CJ$6="X",VLOOKUP(CJ$10,'VK-Transport'!$C:$X,2+$B131,0))+IF(CJ$8="X",VLOOKUP(CJ$10,'VK-Elekter'!$C:$X,2+$D131,0))+IF(CJ$9="X",VLOOKUP(CJ$10,'VK-Biokütused'!$C:$U,2+$E131,0))+IF(CJ$5="X",VLOOKUP(CJ$10,'VK-Põlevkivi'!$C:$X,2+$G131,0))+IF(CJ$4="X",VLOOKUP(CJ$10,'VK-Võrgud'!$C:$X,2+$F131,0)))/1000</f>
        <v>16.46</v>
      </c>
      <c r="CK131" s="209">
        <f>(IF(CK$7="X",VLOOKUP(CK$10,'VK-Hooned-Soojus'!$C:$X,2+$C131,FALSE),0)+IF(CK$6="X",VLOOKUP(CK$10,'VK-Transport'!$C:$X,2+$B131,0))+IF(CK$8="X",VLOOKUP(CK$10,'VK-Elekter'!$C:$X,2+$D131,0))+IF(CK$9="X",VLOOKUP(CK$10,'VK-Biokütused'!$C:$U,2+$E131,0))+IF(CK$5="X",VLOOKUP(CK$10,'VK-Põlevkivi'!$C:$X,2+$G131,0))+IF(CK$4="X",VLOOKUP(CK$10,'VK-Võrgud'!$C:$X,2+$F131,0)))/1000</f>
        <v>11.220496548433506</v>
      </c>
      <c r="CL131" s="235">
        <f>(IF(CL$7="X",VLOOKUP(CL$10,'VK-Hooned-Soojus'!$C:$X,2+$C131,FALSE),0)+IF(CL$6="X",VLOOKUP(CL$10,'VK-Transport'!$C:$X,2+$B131,0))+IF(CL$8="X",VLOOKUP(CL$10,'VK-Elekter'!$C:$X,2+$D131,0))+IF(CL$9="X",VLOOKUP(CL$10,'VK-Biokütused'!$C:$U,2+$E131,0)))/1000</f>
        <v>7.1506303115986807</v>
      </c>
      <c r="CM131" s="209">
        <f>(IF(CM$7="X",VLOOKUP(CM$10,'VK-Hooned-Soojus'!$C:$X,2+$C131,FALSE),0)+IF(CM$6="X",VLOOKUP(CM$10,'VK-Transport'!$C:$X,2+$B131,0))+IF(CM$8="X",VLOOKUP(CM$10,'VK-Elekter'!$C:$X,2+$D131,0))+IF(CM$9="X",VLOOKUP(CM$10,'VK-Biokütused'!$C:$U,2+$E131,0))+IF(CM$5="X",VLOOKUP(CM$10,'VK-Põlevkivi'!$C:$X,2+$G131,0))+IF(CM$4="X",VLOOKUP(CM$10,'VK-Võrgud'!$C:$X,2+$F131,0)))/1000</f>
        <v>7.5609999999999999</v>
      </c>
      <c r="CN131" s="209">
        <f>(IF(CN$7="X",VLOOKUP(CN$10,'VK-Hooned-Soojus'!$C:$X,2+$C131,FALSE),0)+IF(CN$6="X",VLOOKUP(CN$10,'VK-Transport'!$C:$X,2+$B131,0))+IF(CN$8="X",VLOOKUP(CN$10,'VK-Elekter'!$C:$X,2+$D131,0))+IF(CN$9="X",VLOOKUP(CN$10,'VK-Biokütused'!$C:$U,2+$E131,0))+IF(CN$5="X",VLOOKUP(CN$10,'VK-Põlevkivi'!$C:$X,2+$G131,0))+IF(CN$4="X",VLOOKUP(CN$10,'VK-Võrgud'!$C:$X,2+$F131,0)))/1000</f>
        <v>2.7810000000000001</v>
      </c>
      <c r="CO131" s="209">
        <f>(IF(CO$7="X",VLOOKUP(CO$10,'VK-Hooned-Soojus'!$C:$X,2+$C131,FALSE),0)+IF(CO$6="X",VLOOKUP(CO$10,'VK-Transport'!$C:$X,2+$B131,0))+IF(CO$8="X",VLOOKUP(CO$10,'VK-Elekter'!$C:$X,2+$D131,0))+IF(CO$9="X",VLOOKUP(CO$10,'VK-Biokütused'!$C:$U,2+$E131,0))+IF(CO$5="X",VLOOKUP(CO$10,'VK-Põlevkivi'!$C:$X,2+$G131,0))+IF(CO$4="X",VLOOKUP(CO$10,'VK-Võrgud'!$C:$X,2+$F131,0)))/1000</f>
        <v>23.561362337356993</v>
      </c>
      <c r="CP131" s="209">
        <f>(IF(CP$7="X",VLOOKUP(CP$10,'VK-Hooned-Soojus'!$C:$X,2+$C131,FALSE),0)+IF(CP$6="X",VLOOKUP(CP$10,'VK-Transport'!$C:$X,2+$B131,0))+IF(CP$8="X",VLOOKUP(CP$10,'VK-Elekter'!$C:$X,2+$D131,0))+IF(CP$9="X",VLOOKUP(CP$10,'VK-Biokütused'!$C:$U,2+$E131,0))+IF(CP$5="X",VLOOKUP(CP$10,'VK-Põlevkivi'!$C:$X,2+$G131,0))+IF(CP$4="X",VLOOKUP(CP$10,'VK-Võrgud'!$C:$X,2+$F131,0)))/1000</f>
        <v>13.40539212069366</v>
      </c>
      <c r="CQ131" s="235">
        <f>(IF(CQ$7="X",VLOOKUP(CQ$10,'VK-Hooned-Soojus'!$C:$X,2+$C131,FALSE),0)+IF(CQ$6="X",VLOOKUP(CQ$10,'VK-Transport'!$C:$X,2+$B131,0))+IF(CQ$8="X",VLOOKUP(CQ$10,'VK-Elekter'!$C:$X,2+$D131,0))+IF(CQ$9="X",VLOOKUP(CQ$10,'VK-Biokütused'!$C:$U,2+$E131,0)))/1000</f>
        <v>10.218919</v>
      </c>
      <c r="CR131" s="209">
        <f>(IF(CR$7="X",VLOOKUP(CR$10,'VK-Hooned-Soojus'!$C:$X,2+$C131,FALSE),0)+IF(CR$6="X",VLOOKUP(CR$10,'VK-Transport'!$C:$X,2+$B131,0))+IF(CR$8="X",VLOOKUP(CR$10,'VK-Elekter'!$C:$X,2+$D131,0))+IF(CR$9="X",VLOOKUP(CR$10,'VK-Biokütused'!$C:$U,2+$E131,0))+IF(CR$5="X",VLOOKUP(CR$10,'VK-Põlevkivi'!$C:$X,2+$G131,0))+IF(CR$4="X",VLOOKUP(CR$10,'VK-Võrgud'!$C:$X,2+$F131,0)))/1000</f>
        <v>7.6817518373996894</v>
      </c>
      <c r="CS131" s="209">
        <f>(IF(CS$7="X",VLOOKUP(CS$10,'VK-Hooned-Soojus'!$C:$X,2+$C131,FALSE),0)+IF(CS$6="X",VLOOKUP(CS$10,'VK-Transport'!$C:$X,2+$B131,0))+IF(CS$8="X",VLOOKUP(CS$10,'VK-Elekter'!$C:$X,2+$D131,0))+IF(CS$9="X",VLOOKUP(CS$10,'VK-Biokütused'!$C:$U,2+$E131,0))+IF(CS$5="X",VLOOKUP(CS$10,'VK-Põlevkivi'!$C:$X,2+$G131,0))+IF(CS$4="X",VLOOKUP(CS$10,'VK-Võrgud'!$C:$X,2+$F131,0)))/1000</f>
        <v>3.7686495098622381</v>
      </c>
      <c r="CT131" s="209">
        <f>IF(CT$7="X",VLOOKUP(CT$10,'VK-Hooned-Soojus'!$C:$X,2+$C131,FALSE),0)+IF(CT$6="X",VLOOKUP(CT$10,'VK-Transport'!$C:$X,2+$B131,0))+IF(CT$8="X",VLOOKUP(CT$10,'VK-Elekter'!$C:$X,2+$D131,0))+IF(CT$9="X",VLOOKUP(CT$10,'VK-Biokütused'!$C:$U,2+$E131,0))+IF(CT$5="X",VLOOKUP(CT$10,'VK-Põlevkivi'!$C:$X,2+$G131,0))+IF(CT$4="X",VLOOKUP(CT$10,'VK-Võrgud'!$C:$X,2+$F131,0))</f>
        <v>90</v>
      </c>
      <c r="CU131" s="209">
        <f>IF(CU$7="X",VLOOKUP(CU$10,'VK-Hooned-Soojus'!$C:$X,2+$C131,FALSE),0)+IF(CU$6="X",VLOOKUP(CU$10,'VK-Transport'!$C:$X,2+$B131,0))+IF(CU$8="X",VLOOKUP(CU$10,'VK-Elekter'!$C:$X,2+$D131,0))+IF(CU$9="X",VLOOKUP(CU$10,'VK-Biokütused'!$C:$U,2+$E131,0))+IF(CU$5="X",VLOOKUP(CU$10,'VK-Põlevkivi'!$C:$X,2+$G131,0))+IF(CU$4="X",VLOOKUP(CU$10,'VK-Võrgud'!$C:$X,2+$F131,0))</f>
        <v>0.72088353413654627</v>
      </c>
      <c r="CV131" s="209">
        <f t="shared" si="84"/>
        <v>1</v>
      </c>
      <c r="CW131" s="209">
        <f>(IF(CW$7="X",VLOOKUP(CW$10,'VK-Hooned-Soojus'!$C:$X,2+$C131,FALSE),0)+IF(CW$6="X",VLOOKUP(CW$10,'VK-Transport'!$C:$X,2+$B131,0))+IF(CW$8="X",VLOOKUP(CW$10,'VK-Elekter'!$C:$X,2+$D131,0))+IF(CW$9="X",VLOOKUP(CW$10,'VK-Biokütused'!$C:$U,2+$E131,0))+IF(CW$5="X",VLOOKUP(CW$10,'VK-Põlevkivi'!$C:$X,2+$G131,0))+IF(CW$4="X",VLOOKUP(CW$10,'VK-Võrgud'!$C:$X,2+$F131,0)))/16</f>
        <v>0</v>
      </c>
      <c r="CY131" s="209">
        <f>(IF(CY$7="X",VLOOKUP(CY$10,'VK-Hooned-Soojus'!$C:$X,2+$C131,FALSE),0)+IF(CY$6="X",VLOOKUP(CY$10,'VK-Transport'!$C:$X,2+$B131,0))+IF(CY$8="X",VLOOKUP(CY$10,'VK-Elekter'!$C:$X,2+$D131,0))+IF(CY$9="X",VLOOKUP(CY$10,'VK-Biokütused'!$C:$U,2+$E131,0))+IF(CY$5="X",VLOOKUP(CY$10,'VK-Põlevkivi'!$C:$X,2+$G131,0))+IF(CY$4="X",VLOOKUP(CY$10,'VK-Võrgud'!$C:$X,2+$F131,0)))/1000</f>
        <v>9.68</v>
      </c>
      <c r="CZ131" s="209">
        <f>(IF(CZ$7="X",VLOOKUP(CZ$10,'VK-Hooned-Soojus'!$C:$X,2+$C131,FALSE),0)+IF(CZ$6="X",VLOOKUP(CZ$10,'VK-Transport'!$C:$X,2+$B131,0))+IF(CZ$8="X",VLOOKUP(CZ$10,'VK-Elekter'!$C:$X,2+$D131,0))+IF(CZ$9="X",VLOOKUP(CZ$10,'VK-Biokütused'!$C:$U,2+$E131,0))+IF(CZ$5="X",VLOOKUP(CZ$10,'VK-Põlevkivi'!$C:$X,2+$G131,0))+IF(CZ$4="X",VLOOKUP(CZ$10,'VK-Võrgud'!$C:$X,2+$F131,0)))</f>
        <v>67</v>
      </c>
      <c r="DA131" s="209">
        <f>(IF(DA$7="X",VLOOKUP(DA$10,'VK-Hooned-Soojus'!$C:$X,2+$C131,FALSE),0)+IF(DA$6="X",VLOOKUP(DA$10,'VK-Transport'!$C:$X,2+$B131,0))+IF(DA$8="X",VLOOKUP(DA$10,'VK-Elekter'!$C:$X,2+$D131,0))+IF(DA$9="X",VLOOKUP(DA$10,'VK-Biokütused'!$C:$U,2+$E131,0))+IF(DA$5="X",VLOOKUP(DA$10,'VK-Põlevkivi'!$C:$X,2+$G131,0))+IF(DA$4="X",VLOOKUP(DA$10,'VK-Võrgud'!$C:$X,2+$F131,0)))/1000</f>
        <v>12.632999999999999</v>
      </c>
      <c r="DB131" s="209">
        <f>(IF(DB$7="X",VLOOKUP(DB$10,'VK-Hooned-Soojus'!$C:$X,2+$C131,FALSE),0)+IF(DB$6="X",VLOOKUP(DB$10,'VK-Transport'!$C:$X,2+$B131,0))+IF(DB$8="X",VLOOKUP(DB$10,'VK-Elekter'!$C:$X,2+$D131,0))+IF(DB$9="X",VLOOKUP(DB$10,'VK-Biokütused'!$C:$U,2+$E131,0))+IF(DB$5="X",VLOOKUP(DB$10,'VK-Põlevkivi'!$C:$X,2+$G131,0))+IF(DB$4="X",VLOOKUP(DB$10,'VK-Võrgud'!$C:$X,2+$F131,0)))/1000/3.6</f>
        <v>56.999166666666667</v>
      </c>
      <c r="DC131" s="209">
        <f>(IF(DC$7="X",VLOOKUP(DC$10,'VK-Hooned-Soojus'!$C:$X,2+$C131,FALSE),0)+IF(DC$6="X",VLOOKUP(DC$10,'VK-Transport'!$C:$X,2+$B131,0))+IF(DC$8="X",VLOOKUP(DC$10,'VK-Elekter'!$C:$X,2+$D131,0))+IF(DC$9="X",VLOOKUP(DC$10,'VK-Biokütused'!$C:$U,2+$E131,0))+IF(DC$5="X",VLOOKUP(DC$10,'VK-Põlevkivi'!$C:$X,2+$G131,0))+IF(DC$4="X",VLOOKUP(DC$10,'VK-Võrgud'!$C:$X,2+$F131,0)))/1000000</f>
        <v>4.5920439999999996</v>
      </c>
      <c r="DD131" s="209"/>
      <c r="DE131" s="88">
        <f>VLOOKUP(Tulemused!$BN$12,data!M$7:N$12,2,FALSE)-SUM(L131,M131)</f>
        <v>0.39749062697563176</v>
      </c>
      <c r="DF131" s="209" t="str">
        <f>IF(AZ131&lt;=VLOOKUP(Tulemused!$BN$15,data!$E$36:$F$39,2,FALSE),"JAH","EI")</f>
        <v>JAH</v>
      </c>
      <c r="DG131" s="209"/>
      <c r="DH131" s="209">
        <f t="shared" si="85"/>
        <v>6.08</v>
      </c>
      <c r="DI131" s="231" t="str">
        <f t="shared" si="65"/>
        <v>JAH</v>
      </c>
      <c r="DK131" s="232">
        <f t="shared" si="86"/>
        <v>5.6429680009667482</v>
      </c>
      <c r="DM131" s="233">
        <f t="shared" si="87"/>
        <v>-998.11662362738662</v>
      </c>
      <c r="DN131" s="87">
        <f t="array" ref="DN131">INDEX($A$11:$A$145, SMALL(IF(DM131=$DK$11:$DK$145, MATCH(ROW($DK$11:$DK$145), ROW($DK$11:$DK$145))), SUM(--(DM131=$DM$11:DM131))))</f>
        <v>6</v>
      </c>
      <c r="DP131" s="87" t="e">
        <f t="shared" ca="1" si="66"/>
        <v>#N/A</v>
      </c>
      <c r="DQ131" s="87" t="e">
        <f t="shared" ca="1" si="67"/>
        <v>#N/A</v>
      </c>
      <c r="DR131" s="87">
        <f t="shared" ca="1" si="68"/>
        <v>0</v>
      </c>
      <c r="DS131" s="87" t="e">
        <f t="shared" ca="1" si="69"/>
        <v>#N/A</v>
      </c>
      <c r="DT131" s="87">
        <f t="shared" ca="1" si="70"/>
        <v>0</v>
      </c>
      <c r="DU131" s="87" t="e">
        <f t="shared" ca="1" si="71"/>
        <v>#N/A</v>
      </c>
      <c r="DV131" s="87" t="e">
        <f t="shared" ca="1" si="72"/>
        <v>#N/A</v>
      </c>
      <c r="DW131" s="87">
        <f t="shared" ca="1" si="73"/>
        <v>0</v>
      </c>
      <c r="DX131" s="87">
        <f t="shared" ca="1" si="74"/>
        <v>0</v>
      </c>
      <c r="DZ131" s="87">
        <f t="shared" ca="1" si="82"/>
        <v>0</v>
      </c>
      <c r="EB131" s="87">
        <f t="shared" ca="1" si="75"/>
        <v>0</v>
      </c>
      <c r="EC131" s="87" t="e">
        <f t="shared" ca="1" si="76"/>
        <v>#N/A</v>
      </c>
      <c r="EE131" s="228">
        <f>(IF(EE$7="X",VLOOKUP(EE$10,'VK-Hooned-Soojus'!$C:$X,2+$C131,FALSE),0)+IF(EE$6="X",VLOOKUP(EE$10,'VK-Transport'!$C:$X,2+$B131,0))+IF(EE$8="X",VLOOKUP(EE$10,'VK-Elekter'!$C:$X,2+$D131,0))+IF(EE$9="X",VLOOKUP(EE$10,'VK-Biokütused'!$C:$U,2+$E131,0))+IF(EE$5="X",VLOOKUP(EE$10,'VK-Põlevkivi'!$C:$X,2+$G131,0))+IF(EE$4="X",VLOOKUP(EE$10,'VK-Võrgud'!$C:$X,2+$F131,0)))</f>
        <v>6002.4506406311502</v>
      </c>
      <c r="EF131" s="235">
        <f>(IF(EF$7="X",VLOOKUP(EF$10,'VK-Hooned-Soojus'!$C:$X,2+$C131,FALSE),0)+IF(EF$6="X",VLOOKUP(EF$10,'VK-Transport'!$C:$X,2+$B131,0))+IF(EF$8="X",VLOOKUP(EF$10,'VK-Elekter'!$C:$X,2+$D131,0))+IF(EF$9="X",VLOOKUP(EF$10,'VK-Biokütused'!$C:$U,2+$E131,0)))/1000</f>
        <v>2.7248849906373196</v>
      </c>
      <c r="EG131" s="209">
        <f>(IF(EG$7="X",VLOOKUP(EG$10,'VK-Hooned-Soojus'!$C:$X,2+$C131,FALSE),0)+IF(EG$6="X",VLOOKUP(EG$10,'VK-Transport'!$C:$X,2+$B131,0))+IF(EG$8="X",VLOOKUP(EG$10,'VK-Elekter'!$C:$X,2+$D131,0))+IF(EG$9="X",VLOOKUP(EG$10,'VK-Biokütused'!$C:$U,2+$E131,0))+IF(EG$5="X",VLOOKUP(EG$10,'VK-Põlevkivi'!$C:$X,2+$G131,0))+IF(EG$4="X",VLOOKUP(EG$10,'VK-Võrgud'!$C:$X,2+$F131,0)))</f>
        <v>0.81</v>
      </c>
      <c r="EH131" s="209">
        <f>(IF(EH$7="X",VLOOKUP(EH$10,'VK-Hooned-Soojus'!$C:$X,2+$C131,FALSE),0)+IF(EH$6="X",VLOOKUP(EH$10,'VK-Transport'!$C:$X,2+$B131,0))+IF(EH$8="X",VLOOKUP(EH$10,'VK-Elekter'!$C:$X,2+$D131,0))+IF(EH$9="X",VLOOKUP(EH$10,'VK-Biokütused'!$C:$U,2+$E131,0)))+AR131+AS131+AU131+AX131</f>
        <v>48.986621447028426</v>
      </c>
      <c r="EI131" s="320">
        <f t="shared" si="88"/>
        <v>43.302900516795866</v>
      </c>
      <c r="EJ131" s="322">
        <f t="shared" si="89"/>
        <v>2.5620074329845279E-2</v>
      </c>
      <c r="EK131" s="323">
        <f t="shared" si="77"/>
        <v>0.447957193299102</v>
      </c>
      <c r="EM131" s="209"/>
      <c r="EN131" s="209">
        <f t="shared" ca="1" si="90"/>
        <v>0</v>
      </c>
      <c r="EO131" s="209"/>
      <c r="EP131" s="234"/>
      <c r="EQ131" s="209">
        <f>(IF(EQ$7="X",VLOOKUP(EQ$10,'VK-Hooned-Soojus'!$C:$X,2+$C131,FALSE),0)+IF(EQ$6="X",VLOOKUP(EQ$10,'VK-Transport'!$C:$X,2+$B131,0))+IF(EQ$8="X",VLOOKUP(EQ$10,'VK-Elekter'!$C:$X,2+$D131,0))+IF(EQ$9="X",VLOOKUP(EQ$10,'VK-Biokütused'!$C:$U,2+$E131,0))+IF(EQ$5="X",VLOOKUP(EQ$10,'VK-Põlevkivi'!$C:$X,2+$G131,0))+IF(EQ$4="X",VLOOKUP(EQ$10,'VK-Võrgud'!$C:$X,2+$F131,0)))/1000</f>
        <v>0.19900000000000001</v>
      </c>
      <c r="ER131" s="209">
        <f>(IF(ER$7="X",VLOOKUP(ER$10,'VK-Hooned-Soojus'!$C:$X,2+$C131,FALSE),0)+IF(ER$6="X",VLOOKUP(ER$10,'VK-Transport'!$C:$X,2+$B131,0))+IF(ER$8="X",VLOOKUP(ER$10,'VK-Elekter'!$C:$X,2+$D131,0))+IF(ER$9="X",VLOOKUP(ER$10,'VK-Biokütused'!$C:$U,2+$E131,0))+IF(ER$5="X",VLOOKUP(ER$10,'VK-Põlevkivi'!$C:$X,2+$G131,0))+IF(ER$4="X",VLOOKUP(ER$10,'VK-Võrgud'!$C:$X,2+$F131,0)))</f>
        <v>0.72299999999999998</v>
      </c>
      <c r="ES131" s="209">
        <f>(IF(ES$7="X",VLOOKUP(ES$10,'VK-Hooned-Soojus'!$C:$X,2+$C131,FALSE),0)+IF(ES$6="X",VLOOKUP(ES$10,'VK-Transport'!$C:$X,2+$B131,0))+IF(ES$8="X",VLOOKUP(ES$10,'VK-Elekter'!$C:$X,2+$D131,0))+IF(ES$9="X",VLOOKUP(ES$10,'VK-Biokütused'!$C:$U,2+$E131,0))+IF(ES$5="X",VLOOKUP(ES$10,'VK-Põlevkivi'!$C:$X,2+$G131,0))+IF(ES$4="X",VLOOKUP(ES$10,'VK-Võrgud'!$C:$X,2+$F131,0)))</f>
        <v>6.08</v>
      </c>
      <c r="ET131" s="209"/>
      <c r="EU131" s="209"/>
      <c r="EV131" s="87">
        <f>'KSH järjestus'!AS124</f>
        <v>781</v>
      </c>
      <c r="EZ131" s="237">
        <f t="shared" si="91"/>
        <v>0.27911646586345373</v>
      </c>
      <c r="FA131" s="209">
        <f>IF(FA$7="X",VLOOKUP(FA$10,'VK-Hooned-Soojus'!$C:$X,2+$C131,FALSE),0)+IF(FA$6="X",VLOOKUP(FA$10,'VK-Transport'!$C:$X,2+$B131,0))+IF(FA$8="X",VLOOKUP(FA$10,'VK-Elekter'!$C:$X,2+$D131,0))+IF(FA$9="X",VLOOKUP(FA$10,'VK-Biokütused'!$C:$U,2+$E131,0))+IF(FA$5="X",VLOOKUP(FA$10,'VK-Põlevkivi'!$C:$X,2+$G131,0))+IF(FA$4="X",VLOOKUP(FA$10,'VK-Võrgud'!$C:$X,2+$F131,0))</f>
        <v>2700.9189999999999</v>
      </c>
      <c r="FB131" s="279">
        <f>(IF(FB$7="X",VLOOKUP(FB$10,'VK-Hooned-Soojus'!$C:$X,2+$C131,FALSE),0)+IF(FB$6="X",VLOOKUP(FB$10,'VK-Transport'!$C:$X,2+$B131,0))+IF(FB$8="X",VLOOKUP(FB$10,'VK-Elekter'!$C:$X,2+$D131,0))+IF(FB$9="X",VLOOKUP(FB$10,'VK-Biokütused'!$C:$U,2+$E131,0))+IF(FB$5="X",VLOOKUP(FB$10,'VK-Põlevkivi'!$C:$X,2+$G131,0))+IF(FB$4="X",VLOOKUP(FB$10,'VK-Võrgud'!$C:$X,2+$F131,0)))/16</f>
        <v>314.96626792954498</v>
      </c>
      <c r="FC131" s="209">
        <f>IF(FC$7="X",VLOOKUP(FC$10,'VK-Hooned-Soojus'!$C:$X,2+$C131,FALSE),0)+IF(FC$6="X",VLOOKUP(FC$10,'VK-Transport'!$C:$X,2+$B131,0))+IF(FC$8="X",VLOOKUP(FC$10,'VK-Elekter'!$C:$X,2+$D131,0))+IF(FC$9="X",VLOOKUP(FC$10,'VK-Biokütused'!$C:$U,2+$E131,0))+IF(FC$5="X",VLOOKUP(FC$10,'VK-Põlevkivi'!$C:$X,2+$G131,0))+IF(FC$4="X",VLOOKUP(FC$10,'VK-Võrgud'!$C:$X,2+$F131,0))</f>
        <v>285</v>
      </c>
      <c r="FD131" s="209">
        <f>(IF(FD$7="X",VLOOKUP(FD$10,'VK-Hooned-Soojus'!$C:$X,2+$C131,FALSE),0)+IF(FD$6="X",VLOOKUP(FD$10,'VK-Transport'!$C:$X,2+$B131,0))+IF(FD$8="X",VLOOKUP(FD$10,'VK-Elekter'!$C:$X,2+$D131,0))+IF(FD$9="X",VLOOKUP(FD$10,'VK-Biokütused'!$C:$U,2+$E131,0))+IF(FD$5="X",VLOOKUP(FD$10,'VK-Põlevkivi'!$C:$X,2+$G131,0))+IF(FD$4="X",VLOOKUP(FD$10,'VK-Võrgud'!$C:$X,2+$F131,0)))/16</f>
        <v>314.96626792954498</v>
      </c>
      <c r="FE131" s="209">
        <f>(IF(FE$7="X",VLOOKUP(FE$10,'VK-Hooned-Soojus'!$C:$X,2+$C131,FALSE),0)+IF(FE$6="X",VLOOKUP(FE$10,'VK-Transport'!$C:$X,2+$B131,0))+IF(FE$8="X",VLOOKUP(FE$10,'VK-Elekter'!$C:$X,2+$D131,0))+IF(FE$9="X",VLOOKUP(FE$10,'VK-Biokütused'!$C:$U,2+$E131,0))+IF(FE$5="X",VLOOKUP(FE$10,'VK-Põlevkivi'!$C:$X,2+$G131,0))+IF(FE$4="X",VLOOKUP(FE$10,'VK-Võrgud'!$C:$X,2+$F131,0)))/16</f>
        <v>-162.95750000000001</v>
      </c>
      <c r="FF131" s="209">
        <f>(IF(FF$7="X",VLOOKUP(FF$10,'VK-Hooned-Soojus'!$C:$X,2+$C131,FALSE),0)+IF(FF$6="X",VLOOKUP(FF$10,'VK-Transport'!$C:$X,2+$B131,0))+IF(FF$8="X",VLOOKUP(FF$10,'VK-Elekter'!$C:$X,2+$D131,0))+IF(FF$9="X",VLOOKUP(FF$10,'VK-Biokütused'!$C:$U,2+$E131,0))+IF(FF$5="X",VLOOKUP(FF$10,'VK-Põlevkivi'!$C:$X,2+$G131,0))+IF(FF$4="X",VLOOKUP(FF$10,'VK-Võrgud'!$C:$X,2+$F131,0)))/16</f>
        <v>174.67103246582042</v>
      </c>
      <c r="FG131" s="88">
        <f t="shared" ca="1" si="78"/>
        <v>11.713532465820407</v>
      </c>
      <c r="FH131" s="88"/>
      <c r="FI131" s="88"/>
      <c r="FJ131" s="88">
        <f>VLOOKUP(Tulemused!$BN$12,data!M$7:N$12,2,FALSE)-SUM(L131,M131)</f>
        <v>0.39749062697563176</v>
      </c>
      <c r="FK131" s="209" t="str">
        <f>IF(AZ131&lt;=VLOOKUP(Tulemused!$BN$15,data!$E$36:$F$39,2,FALSE),"JAH","EI")</f>
        <v>JAH</v>
      </c>
      <c r="FL131" s="235">
        <f ca="1">IF(ISNA(MATCH($A131,INDIRECT(VLOOKUP(Tulemused!$BF$11,data!$J$57:$M$71,4,FALSE)))),0,MATCH($A131,INDIRECT(VLOOKUP(Tulemused!$BF$11,data!$J$57:$M$71,4,FALSE))))</f>
        <v>0</v>
      </c>
      <c r="FM131" s="235" t="str">
        <f t="shared" ca="1" si="92"/>
        <v>JAH</v>
      </c>
      <c r="FN131" s="209">
        <f>VLOOKUP(Tulemused!$BN$13,data!$C$132:$D$137,2,FALSE)-KOMBI!R131</f>
        <v>5.2080850093626809</v>
      </c>
      <c r="FO131" s="209"/>
      <c r="FP131" s="209">
        <f>VLOOKUP(Tulemused!$BN$17,NO_x,2,FALSE)-CJ131</f>
        <v>12.977999999999998</v>
      </c>
      <c r="FQ131" s="209">
        <f>VLOOKUP(Tulemused!$BN$18,SO_2,2,FALSE)-CK131</f>
        <v>40.663503451566498</v>
      </c>
      <c r="FR131" s="209">
        <f>VLOOKUP(Tulemused!$BN$19,LOU,2,FALSE)-CN131</f>
        <v>34.299000000000007</v>
      </c>
      <c r="FS131" s="209">
        <f>VLOOKUP(Tulemused!$BN$20,PM_2.5,2,FALSE)-CM131</f>
        <v>9.3539999999999992</v>
      </c>
      <c r="FT131" s="209">
        <f>VLOOKUP(Tulemused!$BN$13,data!$C$132:$D$137,2,FALSE)-FA131/1000</f>
        <v>3.5450510000000008</v>
      </c>
      <c r="FU131" s="209">
        <f>VLOOKUP(Tulemused!$BN$17,NO_x,2,FALSE)-CO131</f>
        <v>5.8766376626430059</v>
      </c>
      <c r="FV131" s="209">
        <f>VLOOKUP(Tulemused!$BN$18,SO_2,2,FALSE)-CP131</f>
        <v>38.478607879306338</v>
      </c>
      <c r="FW131" s="209">
        <f>VLOOKUP(Tulemused!$BN$19,LOU,2,FALSE)-CS131</f>
        <v>33.311350490137769</v>
      </c>
      <c r="FX131" s="209">
        <f>VLOOKUP(Tulemused!$BN$20,PM_2.5,2,FALSE)-CR131</f>
        <v>9.2332481626003098</v>
      </c>
      <c r="FY131" s="209">
        <f>VLOOKUP(Tulemused!$BN$14,KHG_2050,2,FALSE)-EF131</f>
        <v>97.275115009362679</v>
      </c>
      <c r="FZ131" s="231" t="str">
        <f t="shared" ca="1" si="79"/>
        <v>JAH</v>
      </c>
      <c r="GA131" s="209"/>
      <c r="GB131" s="209"/>
      <c r="GC131" s="209"/>
      <c r="GD131" s="231"/>
      <c r="GE131" s="87">
        <f t="shared" si="93"/>
        <v>781</v>
      </c>
      <c r="GF131" s="232">
        <f t="shared" ca="1" si="80"/>
        <v>781</v>
      </c>
      <c r="GH131" s="238" t="e">
        <f t="shared" ca="1" si="94"/>
        <v>#NUM!</v>
      </c>
      <c r="GI131" s="87" t="e">
        <f t="array" aca="1" ref="GI131" ca="1">INDEX($A$11:$A$145, SMALL(IF(GH131=$GF$11:$GF$145, MATCH(ROW($GF$11:$GF$145), ROW($GF$11:$GF$145))), SUM(--(GH131=$GH$11:GH131))))</f>
        <v>#NUM!</v>
      </c>
      <c r="GM131" s="209">
        <f>IF(GM$7="X",VLOOKUP(GM$10,'VK-Hooned-Soojus'!$C:$X,2+$C131,FALSE),0)+IF(GM$6="X",VLOOKUP(GM$10,'VK-Transport'!$C:$X,2+$B131,0))+IF(GM$8="X",VLOOKUP(GM$10,'VK-Elekter'!$C:$X,2+$D131,0))+IF(GM$9="X",VLOOKUP(GM$10,'VK-Biokütused'!$C:$U,2+$E131,0))+IF(GM$5="X",VLOOKUP(GM$10,'VK-Põlevkivi'!$C:$X,2+$G131,0))+IF(GM$4="X",VLOOKUP(GM$10,'VK-Võrgud'!$C:$X,2+$F131,0))</f>
        <v>6.012827991027228</v>
      </c>
      <c r="GN131" s="209">
        <f>IF(GN$7="X",VLOOKUP(GN$10,'VK-Hooned-Soojus'!$C:$X,2+$C131,FALSE),0)+IF(GN$6="X",VLOOKUP(GN$10,'VK-Transport'!$C:$X,2+$B131,0))+IF(GN$8="X",VLOOKUP(GN$10,'VK-Elekter'!$C:$X,2+$D131,0))+IF(GN$9="X",VLOOKUP(GN$10,'VK-Biokütused'!$C:$U,2+$E131,0))+IF(GN$5="X",VLOOKUP(GN$10,'VK-Põlevkivi'!$C:$X,2+$G131,0))+IF(GN$4="X",VLOOKUP(GN$10,'VK-Võrgud'!$C:$X,2+$F131,0))</f>
        <v>3.4467619395011728</v>
      </c>
      <c r="GO131" s="209">
        <f>IF(GO$7="X",VLOOKUP(GO$10,'VK-Hooned-Soojus'!$C:$X,2+$C131,FALSE),0)+IF(GO$6="X",VLOOKUP(GO$10,'VK-Transport'!$C:$X,2+$B131,0))+IF(GO$8="X",VLOOKUP(GO$10,'VK-Elekter'!$C:$X,2+$D131,0))+IF(GO$9="X",VLOOKUP(GO$10,'VK-Biokütused'!$C:$U,2+$E131,0))+IF(GO$5="X",VLOOKUP(GO$10,'VK-Põlevkivi'!$C:$X,2+$G131,0))+IF(GO$4="X",VLOOKUP(GO$10,'VK-Võrgud'!$C:$X,2+$F131,0))</f>
        <v>7.5763700102722566</v>
      </c>
      <c r="GP131" s="209">
        <f>IF(GP$7="X",VLOOKUP(GP$10,'VK-Hooned-Soojus'!$C:$X,2+$C131,FALSE),0)+IF(GP$6="X",VLOOKUP(GP$10,'VK-Transport'!$C:$X,2+$B131,0))+IF(GP$8="X",VLOOKUP(GP$10,'VK-Elekter'!$C:$X,2+$D131,0))+IF(GP$9="X",VLOOKUP(GP$10,'VK-Biokütused'!$C:$U,2+$E131,0))+IF(GP$5="X",VLOOKUP(GP$10,'VK-Põlevkivi'!$C:$X,2+$G131,0))+IF(GP$4="X",VLOOKUP(GP$10,'VK-Võrgud'!$C:$X,2+$F131,0))</f>
        <v>8.9326558040707589</v>
      </c>
      <c r="GQ131" s="88">
        <f>IF(GQ$7="X",VLOOKUP(GQ$10,'VK-Hooned-Soojus'!$C:$X,2+$C131,FALSE),0)+IF(GQ$6="X",VLOOKUP(GQ$10,'VK-Transport'!$C:$X,2+$B131,0))+IF(GQ$8="X",VLOOKUP(GQ$10,'VK-Elekter'!$C:$X,2+$D131,0))+IF(GQ$9="X",VLOOKUP(GQ$10,'VK-Biokütused'!$C:$U,2+$E131,0))+IF(GQ$5="X",VLOOKUP(GQ$10,'VK-Põlevkivi'!$C:$X,2+$G131,0))+IF(GQ$4="X",VLOOKUP(GQ$10,'VK-Võrgud'!$C:$X,2+$F131,0))</f>
        <v>0.89042766952822527</v>
      </c>
      <c r="GR131" s="186">
        <f t="shared" si="81"/>
        <v>0.4091172758825713</v>
      </c>
    </row>
    <row r="132" spans="1:200" x14ac:dyDescent="0.2">
      <c r="A132" s="184">
        <v>122</v>
      </c>
      <c r="B132" s="87">
        <v>3</v>
      </c>
      <c r="C132" s="87">
        <v>3</v>
      </c>
      <c r="D132" s="87">
        <v>1</v>
      </c>
      <c r="E132" s="87">
        <v>2</v>
      </c>
      <c r="F132" s="87">
        <f>VLOOKUP(Tulemused!$BF$7,data!$J$6:$K$8,2,FALSE)</f>
        <v>2</v>
      </c>
      <c r="G132" s="87">
        <f>VLOOKUP(data!$H$2,data!$J$12:$K$14,2,FALSE)</f>
        <v>2</v>
      </c>
      <c r="I132" s="209">
        <f>IF(I$7="X",VLOOKUP(I$10,'VK-Hooned-Soojus'!$C:$X,2+$C132,FALSE),0)+IF(I$6="X",VLOOKUP(I$10,'VK-Transport'!$C:$X,2+$B132,0))+IF(I$8="X",VLOOKUP(I$10,'VK-Elekter'!$C:$X,2+$D132,0))+IF(I$9="X",VLOOKUP(I$10,'VK-Biokütused'!$C:$U,2+$E132,0))+IF(I$5="X",VLOOKUP(I$10,'VK-Põlevkivi'!$C:$X,2+$G132,0))+IF(I$4="X",VLOOKUP(I$10,'VK-Võrgud'!$C:$X,2+$F132,0))</f>
        <v>23.490000000000002</v>
      </c>
      <c r="J132" s="209">
        <f>IF(J$7="X",VLOOKUP(J$10,'VK-Hooned-Soojus'!$C:$X,2+$C132,FALSE),0)+IF(J$6="X",VLOOKUP(J$10,'VK-Transport'!$C:$X,2+$B132,0))+IF(J$8="X",VLOOKUP(J$10,'VK-Elekter'!$C:$X,2+$D132,0))+IF(J$9="X",VLOOKUP(J$10,'VK-Biokütused'!$C:$U,2+$E132,0))+IF(J$5="X",VLOOKUP(J$10,'VK-Põlevkivi'!$C:$X,2+$G132,0))+IF(J$4="X",VLOOKUP(J$10,'VK-Võrgud'!$C:$X,2+$F132,0))</f>
        <v>8.1258333333333344</v>
      </c>
      <c r="K132" s="209">
        <f>IF(K$7="X",VLOOKUP(K$10,'VK-Hooned-Soojus'!$C:$X,2+$C132,FALSE),0)+IF(K$6="X",VLOOKUP(K$10,'VK-Transport'!$C:$X,2+$B132,0))+IF(K$8="X",VLOOKUP(K$10,'VK-Elekter'!$C:$X,2+$D132,0))+IF(K$9="X",VLOOKUP(K$10,'VK-Biokütused'!$C:$U,2+$E132,0))+IF(K$5="X",VLOOKUP(K$10,'VK-Põlevkivi'!$C:$X,2+$G132,0))+IF(K$4="X",VLOOKUP(K$10,'VK-Võrgud'!$C:$X,2+$F132,0))</f>
        <v>13.780000000000001</v>
      </c>
      <c r="L132" s="209">
        <f>IF(L$7="X",VLOOKUP(L$10,'VK-Hooned-Soojus'!$C:$X,2+$C132,FALSE),0)+IF(L$6="X",VLOOKUP(L$10,'VK-Transport'!$C:$X,2+$B132,0))+IF(L$8="X",VLOOKUP(L$10,'VK-Elekter'!$C:$X,2+$D132,0))+IF(L$9="X",VLOOKUP(L$10,'VK-Biokütused'!$C:$U,2+$E132,0))+IF(L$5="X",VLOOKUP(L$10,'VK-Põlevkivi'!$C:$X,2+$G132,0))+IF(L$4="X",VLOOKUP(L$10,'VK-Võrgud'!$C:$X,2+$F132,0))</f>
        <v>23.75</v>
      </c>
      <c r="M132" s="209">
        <f>IF(M$7="X",VLOOKUP(M$10,'VK-Hooned-Soojus'!$C:$X,2+$C132,FALSE),0)+IF(M$6="X",VLOOKUP(M$10,'VK-Transport'!$C:$X,2+$B132,0))+IF(M$8="X",VLOOKUP(M$10,'VK-Elekter'!$C:$X,2+$D132,0))+IF(M$9="X",VLOOKUP(M$10,'VK-Biokütused'!$C:$U,2+$E132,0))+IF(M$5="X",VLOOKUP(M$10,'VK-Põlevkivi'!$C:$X,2+$G132,0))+IF(M$4="X",VLOOKUP(M$10,'VK-Võrgud'!$C:$X,2+$F132,0))</f>
        <v>8.68530937302436</v>
      </c>
      <c r="N132" s="209">
        <f>IF(N$7="X",VLOOKUP(N$10,'VK-Hooned-Soojus'!$C:$X,2+$C132,FALSE),0)+IF(N$6="X",VLOOKUP(N$10,'VK-Transport'!$C:$X,2+$B132,0))+IF(N$8="X",VLOOKUP(N$10,'VK-Elekter'!$C:$X,2+$D132,0))+IF(N$9="X",VLOOKUP(N$10,'VK-Biokütused'!$C:$U,2+$E132,0))+IF(N$5="X",VLOOKUP(N$10,'VK-Põlevkivi'!$C:$X,2+$G132,0))+IF(N$4="X",VLOOKUP(N$10,'VK-Võrgud'!$C:$X,2+$F132,0))</f>
        <v>15.25</v>
      </c>
      <c r="O132" s="209">
        <f t="shared" si="60"/>
        <v>31.615833333333335</v>
      </c>
      <c r="P132" s="209"/>
      <c r="Q132" s="209">
        <f>(IF(Q$7="X",VLOOKUP(Q$10,'VK-Hooned-Soojus'!$C:$X,2+$C132,FALSE),0)+IF(Q$6="X",VLOOKUP(Q$10,'VK-Transport'!$C:$X,2+$B132,0))+IF(Q$8="X",VLOOKUP(Q$10,'VK-Elekter'!$C:$X,2+$D132,0))+IF(Q$9="X",VLOOKUP(Q$10,'VK-Biokütused'!$C:$U,2+$E132,0))+IF(Q$5="X",VLOOKUP(Q$10,'VK-Põlevkivi'!$C:$X,2+$G132,0))+IF(Q$4="X",VLOOKUP(Q$10,'VK-Võrgud'!$C:$X,2+$F132,0)))/1000</f>
        <v>4.9059999999999997</v>
      </c>
      <c r="R132" s="209">
        <f>(IF(R$7="X",VLOOKUP(R$10,'VK-Hooned-Soojus'!$C:$X,2+$C132,FALSE),0)+IF(R$6="X",VLOOKUP(R$10,'VK-Transport'!$C:$X,2+$B132,0))+IF(R$8="X",VLOOKUP(R$10,'VK-Elekter'!$C:$X,2+$D132,0))+IF(R$9="X",VLOOKUP(R$10,'VK-Biokütused'!$C:$U,2+$E132,0))+IF(R$5="X",VLOOKUP(R$10,'VK-Põlevkivi'!$C:$X,2+$G132,0))+IF(R$4="X",VLOOKUP(R$10,'VK-Võrgud'!$C:$X,2+$F132,0)))/1000</f>
        <v>1.4153849906373199</v>
      </c>
      <c r="S132" s="226">
        <f>VLOOKUP(S$10,'VK-Hooned-Soojus'!$C:$I,2+$C132,FALSE) + VLOOKUP(S$10,'VK-Transport'!$C:$I,2+$B132,FALSE)+ VLOOKUP(S$10,'VK-Biokütused'!$C:$G,2+$E132,FALSE)+ VLOOKUP(S$10,'VK-Elekter'!$C:$I,2+$D132,FALSE)+ VLOOKUP(S$10,'VK-Põlevkivi'!$C:$I,2+$G132,FALSE)+ VLOOKUP(S$10,'VK-Võrgud'!$C:$I,2+$F132,FALSE)</f>
        <v>1.8337403242159597E-2</v>
      </c>
      <c r="T132" s="226">
        <f>VLOOKUP(T$10,'VK-Hooned-Soojus'!$C:$I,2+$C132,FALSE) + VLOOKUP(T$10,'VK-Transport'!$C:$I,2+$B132,FALSE)+ VLOOKUP(T$10,'VK-Biokütused'!$C:$G,2+$E132,FALSE)+ VLOOKUP(T$10,'VK-Elekter'!$C:$I,2+$D132,FALSE)+ VLOOKUP(T$10,'VK-Põlevkivi'!$C:$I,2+$G132,FALSE)+ VLOOKUP(T$10,'VK-Võrgud'!$C:$I,2+$F132,FALSE)</f>
        <v>3.9150638409968658E-3</v>
      </c>
      <c r="U132" s="226">
        <f>VLOOKUP(U$10,'VK-Hooned-Soojus'!$C:$I,2+$C132,FALSE) + VLOOKUP(U$10,'VK-Transport'!$C:$I,2+$B132,FALSE)+ VLOOKUP(U$10,'VK-Biokütused'!$C:$G,2+$E132,FALSE)+ VLOOKUP(U$10,'VK-Elekter'!$C:$I,2+$D132,FALSE)+ VLOOKUP(U$10,'VK-Põlevkivi'!$C:$I,2+$G132,FALSE)+ VLOOKUP(U$10,'VK-Võrgud'!$C:$I,2+$F132,FALSE)</f>
        <v>3.4160396178431196E-3</v>
      </c>
      <c r="V132" s="226">
        <f>VLOOKUP(V$10,'VK-Hooned-Soojus'!$C:$I,2+$C132,FALSE) + VLOOKUP(V$10,'VK-Transport'!$C:$I,2+$B132,FALSE)+ VLOOKUP(V$10,'VK-Biokütused'!$C:$G,2+$E132,FALSE)+ VLOOKUP(V$10,'VK-Elekter'!$C:$I,2+$D132,FALSE)+ VLOOKUP(V$10,'VK-Põlevkivi'!$C:$I,2+$G132,FALSE)+ VLOOKUP(V$10,'VK-Võrgud'!$C:$I,2+$F132,FALSE)</f>
        <v>1.5050000041907079E-2</v>
      </c>
      <c r="W132" s="226">
        <f>VLOOKUP(W$10,'VK-Hooned-Soojus'!$C:$I,2+$C132,FALSE) + VLOOKUP(W$10,'VK-Transport'!$C:$I,2+$B132,FALSE)+ VLOOKUP(W$10,'VK-Biokütused'!$C:$G,2+$E132,FALSE)+ VLOOKUP(W$10,'VK-Elekter'!$C:$I,2+$D132,FALSE)+ VLOOKUP(W$10,'VK-Põlevkivi'!$C:$I,2+$G132,FALSE)+ VLOOKUP(W$10,'VK-Võrgud'!$C:$I,2+$F132,FALSE)</f>
        <v>-4.8613077186063662E-2</v>
      </c>
      <c r="X132" s="226">
        <f>VLOOKUP(X$10,'VK-Hooned-Soojus'!$C:$I,2+$C132,FALSE) + VLOOKUP(X$10,'VK-Transport'!$C:$I,2+$B132,FALSE)+ VLOOKUP(X$10,'VK-Biokütused'!$C:$G,2+$E132,FALSE)+ VLOOKUP(X$10,'VK-Elekter'!$C:$I,2+$D132,FALSE)+ VLOOKUP(X$10,'VK-Põlevkivi'!$C:$I,2+$G132,FALSE)+ VLOOKUP(X$10,'VK-Võrgud'!$C:$I,2+$F132,FALSE)</f>
        <v>-5.8145611697445893E-2</v>
      </c>
      <c r="Y132" s="226">
        <f>VLOOKUP(Y$10,'VK-Hooned-Soojus'!$C:$I,2+$C132,FALSE) + VLOOKUP(Y$10,'VK-Transport'!$C:$I,2+$B132,FALSE)+ VLOOKUP(Y$10,'VK-Biokütused'!$C:$G,2+$E132,FALSE)+ VLOOKUP(Y$10,'VK-Elekter'!$C:$I,2+$D132,FALSE)+ VLOOKUP(Y$10,'VK-Põlevkivi'!$C:$I,2+$G132,FALSE)+ VLOOKUP(Y$10,'VK-Võrgud'!$C:$I,2+$F132,FALSE)</f>
        <v>-8.203358782803867E-2</v>
      </c>
      <c r="Z132" s="227">
        <f>(S132*Tulemused!$Q$9*10+T132*Tulemused!$Q$10*10+KOMBI!U132*Tulemused!$Q$11*10+KOMBI!V132*Tulemused!$Q$12*10)*Tulemused!$Q$8+-(W132*Tulemused!$Q$14*10+KOMBI!X132*Tulemused!$Q$15*10+KOMBI!Y132*Tulemused!$Q$16*10)*Tulemused!$Q$13</f>
        <v>6.5588796496125887</v>
      </c>
      <c r="AA132" s="228">
        <f>(IF(AA$7="X",VLOOKUP(AA$10,'VK-Hooned-Soojus'!$C:$X,2+$C132,FALSE),0)+IF(AA$6="X",VLOOKUP(AA$10,'VK-Transport'!$C:$X,2+$B132,0))+IF(AA$8="X",VLOOKUP(AA$10,'VK-Elekter'!$C:$X,2+$D132,0))+IF(AA$9="X",VLOOKUP(AA$10,'VK-Biokütused'!$C:$U,2+$E132,0))+IF(AA$5="X",VLOOKUP(AA$10,'VK-Põlevkivi'!$C:$X,2+$G132,0))+IF(AA$4="X",VLOOKUP(AA$10,'VK-Võrgud'!$C:$X,2+$F132,0)))</f>
        <v>3729</v>
      </c>
      <c r="AB132" s="228">
        <f>(IF(AB$7="X",VLOOKUP(AB$10,'VK-Hooned-Soojus'!$C:$X,2+$C132,FALSE),0)+IF(AB$6="X",VLOOKUP(AB$10,'VK-Transport'!$C:$X,2+$B132,0))+IF(AB$8="X",VLOOKUP(AB$10,'VK-Elekter'!$C:$X,2+$D132,0))+IF(AB$9="X",VLOOKUP(AB$10,'VK-Biokütused'!$C:$U,2+$E132,0))+IF(AB$5="X",VLOOKUP(AB$10,'VK-Põlevkivi'!$C:$X,2+$G132,0))+IF(AB$4="X",VLOOKUP(AB$10,'VK-Võrgud'!$C:$X,2+$F132,0)))</f>
        <v>1177</v>
      </c>
      <c r="AC132" s="228">
        <f>(IF(AC$7="X",VLOOKUP(AC$10,'VK-Hooned-Soojus'!$C:$X,2+$C132,FALSE),0)+IF(AC$6="X",VLOOKUP(AC$10,'VK-Transport'!$C:$X,2+$B132,0))+IF(AC$8="X",VLOOKUP(AC$10,'VK-Elekter'!$C:$X,2+$D132,0))+IF(AC$9="X",VLOOKUP(AC$10,'VK-Biokütused'!$C:$U,2+$E132,0))+IF(AC$5="X",VLOOKUP(AC$10,'VK-Põlevkivi'!$C:$X,2+$G132,0))+IF(AC$4="X",VLOOKUP(AC$10,'VK-Võrgud'!$C:$X,2+$F132,0)))</f>
        <v>2346</v>
      </c>
      <c r="AD132" s="228">
        <f>(IF(AD$7="X",VLOOKUP(AD$10,'VK-Hooned-Soojus'!$C:$X,2+$C132,FALSE),0)+IF(AD$6="X",VLOOKUP(AD$10,'VK-Transport'!$C:$X,2+$B132,0))+IF(AD$8="X",VLOOKUP(AD$10,'VK-Elekter'!$C:$X,2+$D132,0))+IF(AD$9="X",VLOOKUP(AD$10,'VK-Biokütused'!$C:$U,2+$E132,0))+IF(AD$5="X",VLOOKUP(AD$10,'VK-Põlevkivi'!$C:$X,2+$G132,0))+IF(AD$4="X",VLOOKUP(AD$10,'VK-Võrgud'!$C:$X,2+$F132,0)))</f>
        <v>377.5</v>
      </c>
      <c r="AE132" s="228">
        <f>(IF(AE$7="X",VLOOKUP(AE$10,'VK-Hooned-Soojus'!$C:$X,2+$C132,FALSE),0)+IF(AE$6="X",VLOOKUP(AE$10,'VK-Transport'!$C:$X,2+$B132,0))+IF(AE$8="X",VLOOKUP(AE$10,'VK-Elekter'!$C:$X,2+$D132,0))+IF(AE$9="X",VLOOKUP(AE$10,'VK-Biokütused'!$C:$U,2+$E132,0))+IF(AE$5="X",VLOOKUP(AE$10,'VK-Põlevkivi'!$C:$X,2+$G132,0))+IF(AE$4="X",VLOOKUP(AE$10,'VK-Võrgud'!$C:$X,2+$F132,0)))</f>
        <v>507</v>
      </c>
      <c r="AF132" s="228">
        <f>(IF(AF$7="X",VLOOKUP(AF$10,'VK-Hooned-Soojus'!$C:$X,2+$C132,FALSE),0)+IF(AF$6="X",VLOOKUP(AF$10,'VK-Transport'!$C:$X,2+$B132,0))+IF(AF$8="X",VLOOKUP(AF$10,'VK-Elekter'!$C:$X,2+$D132,0))+IF(AF$9="X",VLOOKUP(AF$10,'VK-Biokütused'!$C:$U,2+$E132,0))+IF(AF$5="X",VLOOKUP(AF$10,'VK-Põlevkivi'!$C:$X,2+$G132,0))+IF(AF$4="X",VLOOKUP(AF$10,'VK-Võrgud'!$C:$X,2+$F132,0)))</f>
        <v>530.88499063732002</v>
      </c>
      <c r="AG132" s="209"/>
      <c r="AH132" s="209">
        <f>IF(AH$7="X",VLOOKUP(AH$10,'VK-Hooned-Soojus'!$C:$X,2+$C132,FALSE),0)+IF(AH$6="X",VLOOKUP(AH$10,'VK-Transport'!$C:$X,2+$B132,0))+IF(AH$8="X",VLOOKUP(AH$10,'VK-Elekter'!$C:$X,2+$D132,0))+IF(AH$9="X",VLOOKUP(AH$10,'VK-Biokütused'!$C:$U,2+$E132,0))+IF(AH$5="X",VLOOKUP(AH$10,'VK-Põlevkivi'!$C:$X,2+$G132,0))+IF(AH$4="X",VLOOKUP(AH$10,'VK-Võrgud'!$C:$X,2+$F132,0))</f>
        <v>11.629999999999999</v>
      </c>
      <c r="AI132" s="209">
        <f>IF(AI$7="X",VLOOKUP(AI$10,'VK-Hooned-Soojus'!$C:$X,2+$C132,FALSE),0)+IF(AI$6="X",VLOOKUP(AI$10,'VK-Transport'!$C:$X,2+$B132,0))+IF(AI$8="X",VLOOKUP(AI$10,'VK-Elekter'!$C:$X,2+$D132,0))+IF(AI$9="X",VLOOKUP(AI$10,'VK-Biokütused'!$C:$U,2+$E132,0))+IF(AI$5="X",VLOOKUP(AI$10,'VK-Põlevkivi'!$C:$X,2+$G132,0))+IF(AI$4="X",VLOOKUP(AI$10,'VK-Võrgud'!$C:$X,2+$F132,0))</f>
        <v>2.3100000000000005</v>
      </c>
      <c r="AJ132" s="209">
        <f>IF(AJ$7="X",VLOOKUP(AJ$10,'VK-Hooned-Soojus'!$C:$X,2+$C132,FALSE),0)+IF(AJ$6="X",VLOOKUP(AJ$10,'VK-Transport'!$C:$X,2+$B132,0))+IF(AJ$8="X",VLOOKUP(AJ$10,'VK-Elekter'!$C:$X,2+$D132,0))+IF(AJ$9="X",VLOOKUP(AJ$10,'VK-Biokütused'!$C:$U,2+$E132,0))+IF(AJ$5="X",VLOOKUP(AJ$10,'VK-Põlevkivi'!$C:$X,2+$G132,0))+IF(AJ$4="X",VLOOKUP(AJ$10,'VK-Võrgud'!$C:$X,2+$F132,0))</f>
        <v>9.24</v>
      </c>
      <c r="AK132" s="209">
        <f>IF(AK$7="X",VLOOKUP(AK$10,'VK-Hooned-Soojus'!$C:$X,2+$C132,FALSE),0)+IF(AK$6="X",VLOOKUP(AK$10,'VK-Transport'!$C:$X,2+$B132,0))+IF(AK$8="X",VLOOKUP(AK$10,'VK-Elekter'!$C:$X,2+$D132,0))+IF(AK$9="X",VLOOKUP(AK$10,'VK-Biokütused'!$C:$U,2+$E132,0))+IF(AK$5="X",VLOOKUP(AK$10,'VK-Põlevkivi'!$C:$X,2+$G132,0))+IF(AK$4="X",VLOOKUP(AK$10,'VK-Võrgud'!$C:$X,2+$F132,0))</f>
        <v>2.78</v>
      </c>
      <c r="AL132" s="209">
        <f>IF(AL$7="X",VLOOKUP(AL$10,'VK-Hooned-Soojus'!$C:$X,2+$C132,FALSE),0)+IF(AL$6="X",VLOOKUP(AL$10,'VK-Transport'!$C:$X,2+$B132,0))+IF(AL$8="X",VLOOKUP(AL$10,'VK-Elekter'!$C:$X,2+$D132,0))+IF(AL$9="X",VLOOKUP(AL$10,'VK-Biokütused'!$C:$U,2+$E132,0))+IF(AL$5="X",VLOOKUP(AL$10,'VK-Põlevkivi'!$C:$X,2+$G132,0))+IF(AL$4="X",VLOOKUP(AL$10,'VK-Võrgud'!$C:$X,2+$F132,0))</f>
        <v>7.1</v>
      </c>
      <c r="AM132" s="209">
        <f>IF(AM$7="X",VLOOKUP(AM$10,'VK-Hooned-Soojus'!$C:$X,2+$C132,FALSE),0)+IF(AM$6="X",VLOOKUP(AM$10,'VK-Transport'!$C:$X,2+$B132,0))+IF(AM$8="X",VLOOKUP(AM$10,'VK-Elekter'!$C:$X,2+$D132,0))+IF(AM$9="X",VLOOKUP(AM$10,'VK-Biokütused'!$C:$U,2+$E132,0))+IF(AM$5="X",VLOOKUP(AM$10,'VK-Põlevkivi'!$C:$X,2+$G132,0))+IF(AM$4="X",VLOOKUP(AM$10,'VK-Võrgud'!$C:$X,2+$F132,0))</f>
        <v>11.5</v>
      </c>
      <c r="AN132" s="209">
        <f>IF(AN$7="X",VLOOKUP(AN$10,'VK-Hooned-Soojus'!$C:$X,2+$C132,FALSE),0)+IF(AN$6="X",VLOOKUP(AN$10,'VK-Transport'!$C:$X,2+$B132,0))+IF(AN$8="X",VLOOKUP(AN$10,'VK-Elekter'!$C:$X,2+$D132,0))+IF(AN$9="X",VLOOKUP(AN$10,'VK-Biokütused'!$C:$U,2+$E132,0))+IF(AN$5="X",VLOOKUP(AN$10,'VK-Põlevkivi'!$C:$X,2+$G132,0))+IF(AN$4="X",VLOOKUP(AN$10,'VK-Võrgud'!$C:$X,2+$F132,0))</f>
        <v>4.0999999999999996</v>
      </c>
      <c r="AO132" s="209">
        <f>IF(AO$7="X",VLOOKUP(AO$10,'VK-Hooned-Soojus'!$C:$X,2+$C132,FALSE),0)+IF(AO$6="X",VLOOKUP(AO$10,'VK-Transport'!$C:$X,2+$B132,0))+IF(AO$8="X",VLOOKUP(AO$10,'VK-Elekter'!$C:$X,2+$D132,0))+IF(AO$9="X",VLOOKUP(AO$10,'VK-Biokütused'!$C:$U,2+$E132,0))+IF(AO$5="X",VLOOKUP(AO$10,'VK-Põlevkivi'!$C:$X,2+$G132,0))+IF(AO$4="X",VLOOKUP(AO$10,'VK-Võrgud'!$C:$X,2+$F132,0))</f>
        <v>12.16</v>
      </c>
      <c r="AP132" s="209">
        <f>IF(AP$7="X",VLOOKUP(AP$10,'VK-Hooned-Soojus'!$C:$X,2+$C132,FALSE),0)+IF(AP$6="X",VLOOKUP(AP$10,'VK-Transport'!$C:$X,2+$B132,0))+IF(AP$8="X",VLOOKUP(AP$10,'VK-Elekter'!$C:$X,2+$D132,0))+IF(AP$9="X",VLOOKUP(AP$10,'VK-Biokütused'!$C:$U,2+$E132,0))+IF(AP$5="X",VLOOKUP(AP$10,'VK-Põlevkivi'!$C:$X,2+$G132,0))+IF(AP$4="X",VLOOKUP(AP$10,'VK-Võrgud'!$C:$X,2+$F132,0))</f>
        <v>6.08</v>
      </c>
      <c r="AQ132" s="320">
        <f t="shared" si="61"/>
        <v>0</v>
      </c>
      <c r="AR132" s="209">
        <f>IF(AR$7="X",VLOOKUP(AR$10,'VK-Hooned-Soojus'!$C:$X,2+$C132,FALSE),0)+IF(AR$6="X",VLOOKUP(AR$10,'VK-Transport'!$C:$X,2+$B132,0))+IF(AR$8="X",VLOOKUP(AR$10,'VK-Elekter'!$C:$X,2+$D132,0))+IF(AR$9="X",VLOOKUP(AR$10,'VK-Biokütused'!$C:$U,2+$E132,0))+IF(AR$5="X",VLOOKUP(AR$10,'VK-Põlevkivi'!$C:$X,2+$G132,0))+IF(AR$4="X",VLOOKUP(AR$10,'VK-Võrgud'!$C:$X,2+$F132,0))</f>
        <v>2.3899999999999997</v>
      </c>
      <c r="AS132" s="320">
        <f>VLOOKUP("Kütuste tarbimine @ 2030 - UTTEGAAS",'VK-Hooned-Soojus'!$C:$X,2+$C132,FALSE)/0.172+VLOOKUP("Kütuste tarbimine @ 2030 - UTTEGAAS",'VK-Elekter'!$C:$X,2+$D132,FALSE)/0.172-AR132-AU132</f>
        <v>2.8565116279069773</v>
      </c>
      <c r="AT132" s="209">
        <f>IF(AT$7="X",VLOOKUP(AT$10,'VK-Hooned-Soojus'!$C:$X,2+$C132,FALSE),0)+IF(AT$6="X",VLOOKUP(AT$10,'VK-Transport'!$C:$X,2+$B132,0))+IF(AT$8="X",VLOOKUP(AT$10,'VK-Elekter'!$C:$X,2+$D132,0))+IF(AT$9="X",VLOOKUP(AT$10,'VK-Biokütused'!$C:$U,2+$E132,0))+IF(AT$5="X",VLOOKUP(AT$10,'VK-Põlevkivi'!$C:$X,2+$G132,0))+IF(AT$4="X",VLOOKUP(AT$10,'VK-Võrgud'!$C:$X,2+$F132,0))</f>
        <v>5.7045296564339489</v>
      </c>
      <c r="AU132" s="229">
        <f>MAX(0,(VLOOKUP("Kütuste tarbimine @ 2030 - UTTEGAAS",'VK-Hooned-Soojus'!$C:$X,2+$C132,FALSE)/0.172+VLOOKUP("Kütuste tarbimine @ 2030 - UTTEGAAS",'VK-Elekter'!$C:$X,2+$D132,FALSE)/0.172)*0.52-VLOOKUP("Kütuste tarbimine @ 2030 - PÕLEVKIVIÕLI",'VK-Hooned-Soojus'!$C:$X,2+$C132,FALSE))</f>
        <v>5.6837209302325586</v>
      </c>
      <c r="AV132" s="209">
        <f>IF(AV$7="X",VLOOKUP(AV$10,'VK-Hooned-Soojus'!$C:$X,2+$C132,FALSE),0)+IF(AV$6="X",VLOOKUP(AV$10,'VK-Transport'!$C:$X,2+$B132,0))+IF(AV$8="X",VLOOKUP(AV$10,'VK-Elekter'!$C:$X,2+$D132,0))+IF(AV$9="X",VLOOKUP(AV$10,'VK-Biokütused'!$C:$U,2+$E132,0))+IF(AV$5="X",VLOOKUP(AV$10,'VK-Põlevkivi'!$C:$X,2+$G132,0))+IF(AV$4="X",VLOOKUP(AV$10,'VK-Võrgud'!$C:$X,2+$F132,0))</f>
        <v>2.1219844082566364</v>
      </c>
      <c r="AW132" s="209">
        <f>IF(AW$7="X",VLOOKUP(AW$10,'VK-Hooned-Soojus'!$C:$X,2+$C132,FALSE),0)+IF(AW$6="X",VLOOKUP(AW$10,'VK-Transport'!$C:$X,2+$B132,0))+IF(AW$8="X",VLOOKUP(AW$10,'VK-Elekter'!$C:$X,2+$D132,0))+IF(AW$9="X",VLOOKUP(AW$10,'VK-Biokütused'!$C:$U,2+$E132,0))+IF(AW$5="X",VLOOKUP(AW$10,'VK-Põlevkivi'!$C:$X,2+$G132,0))+IF(AW$4="X",VLOOKUP(AW$10,'VK-Võrgud'!$C:$X,2+$F132,0))</f>
        <v>2.141</v>
      </c>
      <c r="AX132" s="229">
        <f t="shared" si="62"/>
        <v>1.9015591743363647E-2</v>
      </c>
      <c r="AY132" s="229">
        <f t="shared" si="63"/>
        <v>0</v>
      </c>
      <c r="AZ132" s="230">
        <f t="shared" si="83"/>
        <v>0.50399694699362874</v>
      </c>
      <c r="BA132" s="209">
        <f>IF(BA$7="X",VLOOKUP(BA$10,'VK-Hooned-Soojus'!$C:$X,2+$C132,FALSE),0)+IF(BA$6="X",VLOOKUP(BA$10,'VK-Transport'!$C:$X,2+$B132,0))+IF(BA$8="X",VLOOKUP(BA$10,'VK-Elekter'!$C:$X,2+$D132,0))+IF(BA$9="X",VLOOKUP(BA$10,'VK-Biokütused'!$C:$U,2+$E132,0))+IF(BA$5="X",VLOOKUP(BA$10,'VK-Põlevkivi'!$C:$X,2+$G132,0))+IF(BA$4="X",VLOOKUP(BA$10,'VK-Võrgud'!$C:$X,2+$F132,0))</f>
        <v>4.25</v>
      </c>
      <c r="BB132" s="209">
        <f>IF(BB$7="X",VLOOKUP(BB$10,'VK-Hooned-Soojus'!$C:$X,2+$C132,FALSE),0)+IF(BB$6="X",VLOOKUP(BB$10,'VK-Transport'!$C:$X,2+$B132,0))+IF(BB$8="X",VLOOKUP(BB$10,'VK-Elekter'!$C:$X,2+$D132,0))+IF(BB$9="X",VLOOKUP(BB$10,'VK-Biokütused'!$C:$U,2+$E132,0))+IF(BB$5="X",VLOOKUP(BB$10,'VK-Põlevkivi'!$C:$X,2+$G132,0))+IF(BB$4="X",VLOOKUP(BB$10,'VK-Võrgud'!$C:$X,2+$F132,0))</f>
        <v>2.93</v>
      </c>
      <c r="BC132" s="209">
        <f>IF(BC$7="X",VLOOKUP(BC$10,'VK-Hooned-Soojus'!$C:$X,2+$C132,FALSE),0)+IF(BC$6="X",VLOOKUP(BC$10,'VK-Transport'!$C:$X,2+$B132,0))+IF(BC$8="X",VLOOKUP(BC$10,'VK-Elekter'!$C:$X,2+$D132,0))+IF(BC$9="X",VLOOKUP(BC$10,'VK-Biokütused'!$C:$U,2+$E132,0))+IF(BC$5="X",VLOOKUP(BC$10,'VK-Põlevkivi'!$C:$X,2+$G132,0))+IF(BC$4="X",VLOOKUP(BC$10,'VK-Võrgud'!$C:$X,2+$F132,0))</f>
        <v>5.2376666666666667</v>
      </c>
      <c r="BD132" s="209">
        <f>IF(BD$7="X",VLOOKUP(BD$10,'VK-Hooned-Soojus'!$C:$X,2+$C132,FALSE),0)+IF(BD$6="X",VLOOKUP(BD$10,'VK-Transport'!$C:$X,2+$B132,0))+IF(BD$8="X",VLOOKUP(BD$10,'VK-Elekter'!$C:$X,2+$D132,0))+IF(BD$9="X",VLOOKUP(BD$10,'VK-Biokütused'!$C:$U,2+$E132,0))+IF(BD$5="X",VLOOKUP(BD$10,'VK-Põlevkivi'!$C:$X,2+$G132,0))+IF(BD$4="X",VLOOKUP(BD$10,'VK-Võrgud'!$C:$X,2+$F132,0))</f>
        <v>9.1105555555555569</v>
      </c>
      <c r="BE132" s="230"/>
      <c r="BF132" s="229">
        <f t="shared" si="64"/>
        <v>0.36791956700630501</v>
      </c>
      <c r="BG132" s="209" t="e">
        <f>(IF(BG$7="X",VLOOKUP(BG$10,'VK-Hooned-Soojus'!$C:$X,2+$C132,FALSE),0)+IF(BG$6="X",VLOOKUP(BG$10,'VK-Transport'!$C:$X,2+$B132,0))+IF(BG$8="X",VLOOKUP(BG$10,'VK-Elekter'!$C:$X,2+$D132,0))+IF(BG$9="X",VLOOKUP(BG$10,'VK-Biokütused'!$C:$U,2+$E132,0))+IF(BG$5="X",VLOOKUP(BG$10,'VK-Põlevkivi'!$C:$X,2+$G132,0))+IF(BG$4="X",VLOOKUP(BG$10,'VK-Võrgud'!$C:$X,2+$F132,0)))/20</f>
        <v>#N/A</v>
      </c>
      <c r="BH132" s="209">
        <f>(IF(BH$7="X",VLOOKUP(BH$10,'VK-Hooned-Soojus'!$C:$X,2+$C132,FALSE),0)+IF(BH$6="X",VLOOKUP(BH$10,'VK-Transport'!$C:$X,2+$B132,0))+IF(BH$8="X",VLOOKUP(BH$10,'VK-Elekter'!$C:$X,2+$D132,0))+IF(BH$9="X",VLOOKUP(BH$10,'VK-Biokütused'!$C:$U,2+$E132,0))+IF(BH$5="X",VLOOKUP(BH$10,'VK-Põlevkivi'!$C:$X,2+$G132,0))+IF(BH$4="X",VLOOKUP(BH$10,'VK-Võrgud'!$C:$X,2+$F132,0)))/20</f>
        <v>84.204999999999998</v>
      </c>
      <c r="BI132" s="209">
        <f>(IF(BI$7="X",VLOOKUP(BI$10,'VK-Hooned-Soojus'!$C:$X,2+$C132,FALSE),0)+IF(BI$6="X",VLOOKUP(BI$10,'VK-Transport'!$C:$X,2+$B132,0))+IF(BI$8="X",VLOOKUP(BI$10,'VK-Elekter'!$C:$X,2+$D132,0))+IF(BI$9="X",VLOOKUP(BI$10,'VK-Biokütused'!$C:$U,2+$E132,0))+IF(BI$5="X",VLOOKUP(BI$10,'VK-Põlevkivi'!$C:$X,2+$G132,0))+IF(BI$4="X",VLOOKUP(BI$10,'VK-Võrgud'!$C:$X,2+$F132,0)))/16</f>
        <v>8.9375</v>
      </c>
      <c r="BJ132" s="209">
        <f>(IF(BJ$7="X",VLOOKUP(BJ$10,'VK-Hooned-Soojus'!$C:$X,2+$C132,FALSE),0)+IF(BJ$6="X",VLOOKUP(BJ$10,'VK-Transport'!$C:$X,2+$B132,0))+IF(BJ$8="X",VLOOKUP(BJ$10,'VK-Elekter'!$C:$X,2+$D132,0))+IF(BJ$9="X",VLOOKUP(BJ$10,'VK-Biokütused'!$C:$U,2+$E132,0))+IF(BJ$5="X",VLOOKUP(BJ$10,'VK-Põlevkivi'!$C:$X,2+$G132,0))+IF(BJ$4="X",VLOOKUP(BJ$10,'VK-Võrgud'!$C:$X,2+$F132,0)))/20</f>
        <v>5.33</v>
      </c>
      <c r="BK132" s="209"/>
      <c r="BL132" s="209"/>
      <c r="BM132" s="209"/>
      <c r="BN132" s="209" t="e">
        <f>(IF(BN$7="X",VLOOKUP(BN$10,'VK-Hooned-Soojus'!$C:$X,2+$C132,FALSE),0)+IF(BN$6="X",VLOOKUP(BN$10,'VK-Transport'!$C:$X,2+$B132,0))+IF(BN$8="X",VLOOKUP(BN$10,'VK-Elekter'!$C:$X,2+$D132,0))+IF(BN$9="X",VLOOKUP(BN$10,'VK-Biokütused'!$C:$U,2+$E132,0))+IF(BN$5="X",VLOOKUP(BN$10,'VK-Põlevkivi'!$C:$X,2+$G132,0))+IF(BN$4="X",VLOOKUP(BN$10,'VK-Võrgud'!$C:$X,2+$F132,0)))/16</f>
        <v>#N/A</v>
      </c>
      <c r="BO132" s="209">
        <f>(IF(BO$7="X",VLOOKUP(BO$10,'VK-Hooned-Soojus'!$C:$X,2+$C132,FALSE),0)+IF(BO$6="X",VLOOKUP(BO$10,'VK-Transport'!$C:$X,2+$B132,0))+IF(BO$8="X",VLOOKUP(BO$10,'VK-Elekter'!$C:$X,2+$D132,0))+IF(BO$9="X",VLOOKUP(BO$10,'VK-Biokütused'!$C:$U,2+$E132,0))+IF(BO$5="X",VLOOKUP(BO$10,'VK-Põlevkivi'!$C:$X,2+$G132,0))+IF(BO$4="X",VLOOKUP(BO$10,'VK-Võrgud'!$C:$X,2+$F132,0)))/16</f>
        <v>322.79374999999999</v>
      </c>
      <c r="BP132" s="209"/>
      <c r="BQ132" s="209">
        <f>(IF(BQ$7="X",VLOOKUP(BQ$10,'VK-Hooned-Soojus'!$C:$X,2+$C132,FALSE),0)+IF(BQ$6="X",VLOOKUP(BQ$10,'VK-Transport'!$C:$X,2+$B132,0))+IF(BQ$8="X",VLOOKUP(BQ$10,'VK-Elekter'!$C:$X,2+$D132,0))+IF(BQ$9="X",VLOOKUP(BQ$10,'VK-Biokütused'!$C:$U,2+$E132,0))+IF(BQ$5="X",VLOOKUP(BQ$10,'VK-Põlevkivi'!$C:$X,2+$G132,0))+IF(BQ$4="X",VLOOKUP(BQ$10,'VK-Võrgud'!$C:$X,2+$F132,0)))/16</f>
        <v>233.20625000000001</v>
      </c>
      <c r="BR132" s="209">
        <f>(IF(BR$7="X",VLOOKUP(BR$10,'VK-Hooned-Soojus'!$C:$X,2+$C132,FALSE),0)+IF(BR$6="X",VLOOKUP(BR$10,'VK-Transport'!$C:$X,2+$B132,0))+IF(BR$8="X",VLOOKUP(BR$10,'VK-Elekter'!$C:$X,2+$D132,0))+IF(BR$9="X",VLOOKUP(BR$10,'VK-Biokütused'!$C:$U,2+$E132,0))+IF(BR$5="X",VLOOKUP(BR$10,'VK-Põlevkivi'!$C:$X,2+$G132,0))+IF(BR$4="X",VLOOKUP(BR$10,'VK-Võrgud'!$C:$X,2+$F132,0)))/16</f>
        <v>74.512500000000003</v>
      </c>
      <c r="BS132" s="209">
        <f>(IF(BS$7="X",VLOOKUP(BS$10,'VK-Hooned-Soojus'!$C:$X,2+$C132,FALSE),0)+IF(BS$6="X",VLOOKUP(BS$10,'VK-Transport'!$C:$X,2+$B132,0))+IF(BS$8="X",VLOOKUP(BS$10,'VK-Elekter'!$C:$X,2+$D132,0))+IF(BS$9="X",VLOOKUP(BS$10,'VK-Biokütused'!$C:$U,2+$E132,0))+IF(BS$5="X",VLOOKUP(BS$10,'VK-Põlevkivi'!$C:$X,2+$G132,0))+IF(BS$4="X",VLOOKUP(BS$10,'VK-Võrgud'!$C:$X,2+$F132,0)))/16</f>
        <v>-21.475000000000001</v>
      </c>
      <c r="BT132" s="209"/>
      <c r="BU132" s="209"/>
      <c r="BV132" s="209">
        <f>(IF(BV$7="X",VLOOKUP(BV$10,'VK-Hooned-Soojus'!$C:$X,2+$C132,FALSE),0)+IF(BV$6="X",VLOOKUP(BV$10,'VK-Transport'!$C:$X,2+$B132,0))+IF(BV$8="X",VLOOKUP(BV$10,'VK-Elekter'!$C:$X,2+$D132,0))+IF(BV$9="X",VLOOKUP(BV$10,'VK-Biokütused'!$C:$U,2+$E132,0))+IF(BV$5="X",VLOOKUP(BV$10,'VK-Põlevkivi'!$C:$X,2+$G132,0))+IF(BV$4="X",VLOOKUP(BV$10,'VK-Võrgud'!$C:$X,2+$F132,0)))/16</f>
        <v>0</v>
      </c>
      <c r="BW132" s="209"/>
      <c r="BX132" s="209">
        <f>(IF(BX$7="X",VLOOKUP(BX$10,'VK-Hooned-Soojus'!$C:$X,2+$C132,FALSE),0)+IF(BX$6="X",VLOOKUP(BX$10,'VK-Transport'!$C:$X,2+$B132,0))+IF(BX$8="X",VLOOKUP(BX$10,'VK-Elekter'!$C:$X,2+$D132,0))+IF(BX$9="X",VLOOKUP(BX$10,'VK-Biokütused'!$C:$U,2+$E132,0))+IF(BX$5="X",VLOOKUP(BX$10,'VK-Põlevkivi'!$C:$X,2+$G132,0))+IF(BX$4="X",VLOOKUP(BX$10,'VK-Võrgud'!$C:$X,2+$F132,0)))/16</f>
        <v>-99.6875</v>
      </c>
      <c r="BY132" s="209"/>
      <c r="BZ132" s="209"/>
      <c r="CA132" s="209" t="e">
        <f>(IF(CA$7="X",VLOOKUP(CA$10,'VK-Hooned-Soojus'!$C:$X,2+$C132,FALSE),0)+IF(CA$6="X",VLOOKUP(CA$10,'VK-Transport'!$C:$X,2+$B132,0))+IF(CA$8="X",VLOOKUP(CA$10,'VK-Elekter'!$C:$X,2+$D132,0))+IF(CA$9="X",VLOOKUP(CA$10,'VK-Biokütused'!$C:$U,2+$E132,0))+IF(CA$5="X",VLOOKUP(CA$10,'VK-Põlevkivi'!$C:$X,2+$G132,0))+IF(CA$4="X",VLOOKUP(CA$10,'VK-Võrgud'!$C:$X,2+$F132,0)))/16</f>
        <v>#N/A</v>
      </c>
      <c r="CB132" s="209">
        <f>(IF(CB$7="X",VLOOKUP(CB$10,'VK-Hooned-Soojus'!$C:$X,2+$C132,FALSE),0)+IF(CB$6="X",VLOOKUP(CB$10,'VK-Transport'!$C:$X,2+$B132,0))+IF(CB$8="X",VLOOKUP(CB$10,'VK-Elekter'!$C:$X,2+$D132,0))+IF(CB$9="X",VLOOKUP(CB$10,'VK-Biokütused'!$C:$U,2+$E132,0))+IF(CB$5="X",VLOOKUP(CB$10,'VK-Põlevkivi'!$C:$X,2+$G132,0))+IF(CB$4="X",VLOOKUP(CB$10,'VK-Võrgud'!$C:$X,2+$F132,0)))/16</f>
        <v>0</v>
      </c>
      <c r="CC132" s="209">
        <f>(IF(CC$7="X",VLOOKUP(CC$10,'VK-Hooned-Soojus'!$C:$X,2+$C132,FALSE),0)+IF(CC$6="X",VLOOKUP(CC$10,'VK-Transport'!$C:$X,2+$B132,0))+IF(CC$8="X",VLOOKUP(CC$10,'VK-Elekter'!$C:$X,2+$D132,0))+IF(CC$9="X",VLOOKUP(CC$10,'VK-Biokütused'!$C:$U,2+$E132,0))+IF(CC$5="X",VLOOKUP(CC$10,'VK-Põlevkivi'!$C:$X,2+$G132,0))+IF(CC$4="X",VLOOKUP(CC$10,'VK-Võrgud'!$C:$X,2+$F132,0)))/16</f>
        <v>0</v>
      </c>
      <c r="CD132" s="209"/>
      <c r="CE132" s="209">
        <f>(IF(CE$7="X",VLOOKUP(CE$10,'VK-Hooned-Soojus'!$C:$X,2+$C132,FALSE),0)+IF(CE$6="X",VLOOKUP(CE$10,'VK-Transport'!$C:$X,2+$B132,0))+IF(CE$8="X",VLOOKUP(CE$10,'VK-Elekter'!$C:$X,2+$D132,0))+IF(CE$9="X",VLOOKUP(CE$10,'VK-Biokütused'!$C:$U,2+$E132,0))+IF(CE$5="X",VLOOKUP(CE$10,'VK-Põlevkivi'!$C:$X,2+$G132,0))+IF(CE$4="X",VLOOKUP(CE$10,'VK-Võrgud'!$C:$X,2+$F132,0)))/16</f>
        <v>24.15625</v>
      </c>
      <c r="CF132" s="209"/>
      <c r="CG132" s="209">
        <f>(IF(CG$7="X",VLOOKUP(CG$10,'VK-Hooned-Soojus'!$C:$X,2+$C132,FALSE),0)+IF(CG$6="X",VLOOKUP(CG$10,'VK-Transport'!$C:$X,2+$B132,0))+IF(CG$8="X",VLOOKUP(CG$10,'VK-Elekter'!$C:$X,2+$D132,0))+IF(CG$9="X",VLOOKUP(CG$10,'VK-Biokütused'!$C:$U,2+$E132,0))+IF(CG$5="X",VLOOKUP(CG$10,'VK-Põlevkivi'!$C:$X,2+$G132,0))+IF(CG$4="X",VLOOKUP(CG$10,'VK-Võrgud'!$C:$X,2+$F132,0)))/16</f>
        <v>0</v>
      </c>
      <c r="CH132" s="209">
        <f>(IF(CH$7="X",VLOOKUP(CH$10,'VK-Hooned-Soojus'!$C:$X,2+$C132,FALSE),0)+IF(CH$6="X",VLOOKUP(CH$10,'VK-Transport'!$C:$X,2+$B132,0))+IF(CH$8="X",VLOOKUP(CH$10,'VK-Elekter'!$C:$X,2+$D132,0))+IF(CH$9="X",VLOOKUP(CH$10,'VK-Biokütused'!$C:$U,2+$E132,0))+IF(CH$5="X",VLOOKUP(CH$10,'VK-Põlevkivi'!$C:$X,2+$G132,0))+IF(CH$4="X",VLOOKUP(CH$10,'VK-Võrgud'!$C:$X,2+$F132,0)))/20*0.21</f>
        <v>26.9178</v>
      </c>
      <c r="CI132" s="209"/>
      <c r="CJ132" s="209">
        <f>(IF(CJ$7="X",VLOOKUP(CJ$10,'VK-Hooned-Soojus'!$C:$X,2+$C132,FALSE),0)+IF(CJ$6="X",VLOOKUP(CJ$10,'VK-Transport'!$C:$X,2+$B132,0))+IF(CJ$8="X",VLOOKUP(CJ$10,'VK-Elekter'!$C:$X,2+$D132,0))+IF(CJ$9="X",VLOOKUP(CJ$10,'VK-Biokütused'!$C:$U,2+$E132,0))+IF(CJ$5="X",VLOOKUP(CJ$10,'VK-Põlevkivi'!$C:$X,2+$G132,0))+IF(CJ$4="X",VLOOKUP(CJ$10,'VK-Võrgud'!$C:$X,2+$F132,0)))/1000</f>
        <v>16.46</v>
      </c>
      <c r="CK132" s="209">
        <f>(IF(CK$7="X",VLOOKUP(CK$10,'VK-Hooned-Soojus'!$C:$X,2+$C132,FALSE),0)+IF(CK$6="X",VLOOKUP(CK$10,'VK-Transport'!$C:$X,2+$B132,0))+IF(CK$8="X",VLOOKUP(CK$10,'VK-Elekter'!$C:$X,2+$D132,0))+IF(CK$9="X",VLOOKUP(CK$10,'VK-Biokütused'!$C:$U,2+$E132,0))+IF(CK$5="X",VLOOKUP(CK$10,'VK-Põlevkivi'!$C:$X,2+$G132,0))+IF(CK$4="X",VLOOKUP(CK$10,'VK-Võrgud'!$C:$X,2+$F132,0)))/1000</f>
        <v>11.220496548433506</v>
      </c>
      <c r="CL132" s="235">
        <f>(IF(CL$7="X",VLOOKUP(CL$10,'VK-Hooned-Soojus'!$C:$X,2+$C132,FALSE),0)+IF(CL$6="X",VLOOKUP(CL$10,'VK-Transport'!$C:$X,2+$B132,0))+IF(CL$8="X",VLOOKUP(CL$10,'VK-Elekter'!$C:$X,2+$D132,0))+IF(CL$9="X",VLOOKUP(CL$10,'VK-Biokütused'!$C:$U,2+$E132,0)))/1000</f>
        <v>7.1506303115986807</v>
      </c>
      <c r="CM132" s="209">
        <f>(IF(CM$7="X",VLOOKUP(CM$10,'VK-Hooned-Soojus'!$C:$X,2+$C132,FALSE),0)+IF(CM$6="X",VLOOKUP(CM$10,'VK-Transport'!$C:$X,2+$B132,0))+IF(CM$8="X",VLOOKUP(CM$10,'VK-Elekter'!$C:$X,2+$D132,0))+IF(CM$9="X",VLOOKUP(CM$10,'VK-Biokütused'!$C:$U,2+$E132,0))+IF(CM$5="X",VLOOKUP(CM$10,'VK-Põlevkivi'!$C:$X,2+$G132,0))+IF(CM$4="X",VLOOKUP(CM$10,'VK-Võrgud'!$C:$X,2+$F132,0)))/1000</f>
        <v>7.5609999999999999</v>
      </c>
      <c r="CN132" s="209">
        <f>(IF(CN$7="X",VLOOKUP(CN$10,'VK-Hooned-Soojus'!$C:$X,2+$C132,FALSE),0)+IF(CN$6="X",VLOOKUP(CN$10,'VK-Transport'!$C:$X,2+$B132,0))+IF(CN$8="X",VLOOKUP(CN$10,'VK-Elekter'!$C:$X,2+$D132,0))+IF(CN$9="X",VLOOKUP(CN$10,'VK-Biokütused'!$C:$U,2+$E132,0))+IF(CN$5="X",VLOOKUP(CN$10,'VK-Põlevkivi'!$C:$X,2+$G132,0))+IF(CN$4="X",VLOOKUP(CN$10,'VK-Võrgud'!$C:$X,2+$F132,0)))/1000</f>
        <v>2.7810000000000001</v>
      </c>
      <c r="CO132" s="209">
        <f>(IF(CO$7="X",VLOOKUP(CO$10,'VK-Hooned-Soojus'!$C:$X,2+$C132,FALSE),0)+IF(CO$6="X",VLOOKUP(CO$10,'VK-Transport'!$C:$X,2+$B132,0))+IF(CO$8="X",VLOOKUP(CO$10,'VK-Elekter'!$C:$X,2+$D132,0))+IF(CO$9="X",VLOOKUP(CO$10,'VK-Biokütused'!$C:$U,2+$E132,0))+IF(CO$5="X",VLOOKUP(CO$10,'VK-Põlevkivi'!$C:$X,2+$G132,0))+IF(CO$4="X",VLOOKUP(CO$10,'VK-Võrgud'!$C:$X,2+$F132,0)))/1000</f>
        <v>23.561362337356993</v>
      </c>
      <c r="CP132" s="209">
        <f>(IF(CP$7="X",VLOOKUP(CP$10,'VK-Hooned-Soojus'!$C:$X,2+$C132,FALSE),0)+IF(CP$6="X",VLOOKUP(CP$10,'VK-Transport'!$C:$X,2+$B132,0))+IF(CP$8="X",VLOOKUP(CP$10,'VK-Elekter'!$C:$X,2+$D132,0))+IF(CP$9="X",VLOOKUP(CP$10,'VK-Biokütused'!$C:$U,2+$E132,0))+IF(CP$5="X",VLOOKUP(CP$10,'VK-Põlevkivi'!$C:$X,2+$G132,0))+IF(CP$4="X",VLOOKUP(CP$10,'VK-Võrgud'!$C:$X,2+$F132,0)))/1000</f>
        <v>13.40539212069366</v>
      </c>
      <c r="CQ132" s="235">
        <f>(IF(CQ$7="X",VLOOKUP(CQ$10,'VK-Hooned-Soojus'!$C:$X,2+$C132,FALSE),0)+IF(CQ$6="X",VLOOKUP(CQ$10,'VK-Transport'!$C:$X,2+$B132,0))+IF(CQ$8="X",VLOOKUP(CQ$10,'VK-Elekter'!$C:$X,2+$D132,0))+IF(CQ$9="X",VLOOKUP(CQ$10,'VK-Biokütused'!$C:$U,2+$E132,0)))/1000</f>
        <v>10.218919</v>
      </c>
      <c r="CR132" s="209">
        <f>(IF(CR$7="X",VLOOKUP(CR$10,'VK-Hooned-Soojus'!$C:$X,2+$C132,FALSE),0)+IF(CR$6="X",VLOOKUP(CR$10,'VK-Transport'!$C:$X,2+$B132,0))+IF(CR$8="X",VLOOKUP(CR$10,'VK-Elekter'!$C:$X,2+$D132,0))+IF(CR$9="X",VLOOKUP(CR$10,'VK-Biokütused'!$C:$U,2+$E132,0))+IF(CR$5="X",VLOOKUP(CR$10,'VK-Põlevkivi'!$C:$X,2+$G132,0))+IF(CR$4="X",VLOOKUP(CR$10,'VK-Võrgud'!$C:$X,2+$F132,0)))/1000</f>
        <v>7.6817518373996894</v>
      </c>
      <c r="CS132" s="209">
        <f>(IF(CS$7="X",VLOOKUP(CS$10,'VK-Hooned-Soojus'!$C:$X,2+$C132,FALSE),0)+IF(CS$6="X",VLOOKUP(CS$10,'VK-Transport'!$C:$X,2+$B132,0))+IF(CS$8="X",VLOOKUP(CS$10,'VK-Elekter'!$C:$X,2+$D132,0))+IF(CS$9="X",VLOOKUP(CS$10,'VK-Biokütused'!$C:$U,2+$E132,0))+IF(CS$5="X",VLOOKUP(CS$10,'VK-Põlevkivi'!$C:$X,2+$G132,0))+IF(CS$4="X",VLOOKUP(CS$10,'VK-Võrgud'!$C:$X,2+$F132,0)))/1000</f>
        <v>3.7686495098622381</v>
      </c>
      <c r="CT132" s="209">
        <f>IF(CT$7="X",VLOOKUP(CT$10,'VK-Hooned-Soojus'!$C:$X,2+$C132,FALSE),0)+IF(CT$6="X",VLOOKUP(CT$10,'VK-Transport'!$C:$X,2+$B132,0))+IF(CT$8="X",VLOOKUP(CT$10,'VK-Elekter'!$C:$X,2+$D132,0))+IF(CT$9="X",VLOOKUP(CT$10,'VK-Biokütused'!$C:$U,2+$E132,0))+IF(CT$5="X",VLOOKUP(CT$10,'VK-Põlevkivi'!$C:$X,2+$G132,0))+IF(CT$4="X",VLOOKUP(CT$10,'VK-Võrgud'!$C:$X,2+$F132,0))</f>
        <v>90</v>
      </c>
      <c r="CU132" s="209">
        <f>IF(CU$7="X",VLOOKUP(CU$10,'VK-Hooned-Soojus'!$C:$X,2+$C132,FALSE),0)+IF(CU$6="X",VLOOKUP(CU$10,'VK-Transport'!$C:$X,2+$B132,0))+IF(CU$8="X",VLOOKUP(CU$10,'VK-Elekter'!$C:$X,2+$D132,0))+IF(CU$9="X",VLOOKUP(CU$10,'VK-Biokütused'!$C:$U,2+$E132,0))+IF(CU$5="X",VLOOKUP(CU$10,'VK-Põlevkivi'!$C:$X,2+$G132,0))+IF(CU$4="X",VLOOKUP(CU$10,'VK-Võrgud'!$C:$X,2+$F132,0))</f>
        <v>0.72088353413654627</v>
      </c>
      <c r="CV132" s="209">
        <f t="shared" si="84"/>
        <v>0.72887234460741657</v>
      </c>
      <c r="CW132" s="209">
        <f>(IF(CW$7="X",VLOOKUP(CW$10,'VK-Hooned-Soojus'!$C:$X,2+$C132,FALSE),0)+IF(CW$6="X",VLOOKUP(CW$10,'VK-Transport'!$C:$X,2+$B132,0))+IF(CW$8="X",VLOOKUP(CW$10,'VK-Elekter'!$C:$X,2+$D132,0))+IF(CW$9="X",VLOOKUP(CW$10,'VK-Biokütused'!$C:$U,2+$E132,0))+IF(CW$5="X",VLOOKUP(CW$10,'VK-Põlevkivi'!$C:$X,2+$G132,0))+IF(CW$4="X",VLOOKUP(CW$10,'VK-Võrgud'!$C:$X,2+$F132,0)))/16</f>
        <v>59.743749999999999</v>
      </c>
      <c r="CY132" s="209">
        <f>(IF(CY$7="X",VLOOKUP(CY$10,'VK-Hooned-Soojus'!$C:$X,2+$C132,FALSE),0)+IF(CY$6="X",VLOOKUP(CY$10,'VK-Transport'!$C:$X,2+$B132,0))+IF(CY$8="X",VLOOKUP(CY$10,'VK-Elekter'!$C:$X,2+$D132,0))+IF(CY$9="X",VLOOKUP(CY$10,'VK-Biokütused'!$C:$U,2+$E132,0))+IF(CY$5="X",VLOOKUP(CY$10,'VK-Põlevkivi'!$C:$X,2+$G132,0))+IF(CY$4="X",VLOOKUP(CY$10,'VK-Võrgud'!$C:$X,2+$F132,0)))/1000</f>
        <v>9.7710000000000008</v>
      </c>
      <c r="CZ132" s="209">
        <f>(IF(CZ$7="X",VLOOKUP(CZ$10,'VK-Hooned-Soojus'!$C:$X,2+$C132,FALSE),0)+IF(CZ$6="X",VLOOKUP(CZ$10,'VK-Transport'!$C:$X,2+$B132,0))+IF(CZ$8="X",VLOOKUP(CZ$10,'VK-Elekter'!$C:$X,2+$D132,0))+IF(CZ$9="X",VLOOKUP(CZ$10,'VK-Biokütused'!$C:$U,2+$E132,0))+IF(CZ$5="X",VLOOKUP(CZ$10,'VK-Põlevkivi'!$C:$X,2+$G132,0))+IF(CZ$4="X",VLOOKUP(CZ$10,'VK-Võrgud'!$C:$X,2+$F132,0)))</f>
        <v>67.400000000000006</v>
      </c>
      <c r="DA132" s="209">
        <f>(IF(DA$7="X",VLOOKUP(DA$10,'VK-Hooned-Soojus'!$C:$X,2+$C132,FALSE),0)+IF(DA$6="X",VLOOKUP(DA$10,'VK-Transport'!$C:$X,2+$B132,0))+IF(DA$8="X",VLOOKUP(DA$10,'VK-Elekter'!$C:$X,2+$D132,0))+IF(DA$9="X",VLOOKUP(DA$10,'VK-Biokütused'!$C:$U,2+$E132,0))+IF(DA$5="X",VLOOKUP(DA$10,'VK-Põlevkivi'!$C:$X,2+$G132,0))+IF(DA$4="X",VLOOKUP(DA$10,'VK-Võrgud'!$C:$X,2+$F132,0)))/1000</f>
        <v>12.722</v>
      </c>
      <c r="DB132" s="209">
        <f>(IF(DB$7="X",VLOOKUP(DB$10,'VK-Hooned-Soojus'!$C:$X,2+$C132,FALSE),0)+IF(DB$6="X",VLOOKUP(DB$10,'VK-Transport'!$C:$X,2+$B132,0))+IF(DB$8="X",VLOOKUP(DB$10,'VK-Elekter'!$C:$X,2+$D132,0))+IF(DB$9="X",VLOOKUP(DB$10,'VK-Biokütused'!$C:$U,2+$E132,0))+IF(DB$5="X",VLOOKUP(DB$10,'VK-Põlevkivi'!$C:$X,2+$G132,0))+IF(DB$4="X",VLOOKUP(DB$10,'VK-Võrgud'!$C:$X,2+$F132,0)))/1000/3.6</f>
        <v>57.339444444444439</v>
      </c>
      <c r="DC132" s="209">
        <f>(IF(DC$7="X",VLOOKUP(DC$10,'VK-Hooned-Soojus'!$C:$X,2+$C132,FALSE),0)+IF(DC$6="X",VLOOKUP(DC$10,'VK-Transport'!$C:$X,2+$B132,0))+IF(DC$8="X",VLOOKUP(DC$10,'VK-Elekter'!$C:$X,2+$D132,0))+IF(DC$9="X",VLOOKUP(DC$10,'VK-Biokütused'!$C:$U,2+$E132,0))+IF(DC$5="X",VLOOKUP(DC$10,'VK-Põlevkivi'!$C:$X,2+$G132,0))+IF(DC$4="X",VLOOKUP(DC$10,'VK-Võrgud'!$C:$X,2+$F132,0)))/1000000</f>
        <v>4.6253359999999999</v>
      </c>
      <c r="DD132" s="209"/>
      <c r="DE132" s="88">
        <f>VLOOKUP(Tulemused!$BN$12,data!M$7:N$12,2,FALSE)-SUM(L132,M132)</f>
        <v>0.39749062697563176</v>
      </c>
      <c r="DF132" s="209" t="str">
        <f>IF(AZ132&lt;=VLOOKUP(Tulemused!$BN$15,data!$E$36:$F$39,2,FALSE),"JAH","EI")</f>
        <v>JAH</v>
      </c>
      <c r="DG132" s="209"/>
      <c r="DH132" s="209">
        <f t="shared" si="85"/>
        <v>6.08</v>
      </c>
      <c r="DI132" s="231" t="str">
        <f t="shared" si="65"/>
        <v>JAH</v>
      </c>
      <c r="DK132" s="232">
        <f t="shared" si="86"/>
        <v>6.5588796496125887</v>
      </c>
      <c r="DM132" s="233">
        <f t="shared" si="87"/>
        <v>-998.11924856186249</v>
      </c>
      <c r="DN132" s="87">
        <f t="array" ref="DN132">INDEX($A$11:$A$145, SMALL(IF(DM132=$DK$11:$DK$145, MATCH(ROW($DK$11:$DK$145), ROW($DK$11:$DK$145))), SUM(--(DM132=$DM$11:DM132))))</f>
        <v>17</v>
      </c>
      <c r="DP132" s="87" t="e">
        <f t="shared" ca="1" si="66"/>
        <v>#N/A</v>
      </c>
      <c r="DQ132" s="87" t="e">
        <f t="shared" ca="1" si="67"/>
        <v>#N/A</v>
      </c>
      <c r="DR132" s="87">
        <f t="shared" ca="1" si="68"/>
        <v>0</v>
      </c>
      <c r="DS132" s="87" t="e">
        <f t="shared" ca="1" si="69"/>
        <v>#N/A</v>
      </c>
      <c r="DT132" s="87">
        <f t="shared" ca="1" si="70"/>
        <v>0</v>
      </c>
      <c r="DU132" s="87" t="e">
        <f t="shared" ca="1" si="71"/>
        <v>#N/A</v>
      </c>
      <c r="DV132" s="87" t="e">
        <f t="shared" ca="1" si="72"/>
        <v>#N/A</v>
      </c>
      <c r="DW132" s="87">
        <f t="shared" ca="1" si="73"/>
        <v>0</v>
      </c>
      <c r="DX132" s="87">
        <f t="shared" ca="1" si="74"/>
        <v>0</v>
      </c>
      <c r="DZ132" s="87">
        <f t="shared" ca="1" si="82"/>
        <v>0</v>
      </c>
      <c r="EB132" s="87">
        <f t="shared" ca="1" si="75"/>
        <v>0</v>
      </c>
      <c r="EC132" s="87" t="e">
        <f t="shared" ca="1" si="76"/>
        <v>#N/A</v>
      </c>
      <c r="EE132" s="228">
        <f>(IF(EE$7="X",VLOOKUP(EE$10,'VK-Hooned-Soojus'!$C:$X,2+$C132,FALSE),0)+IF(EE$6="X",VLOOKUP(EE$10,'VK-Transport'!$C:$X,2+$B132,0))+IF(EE$8="X",VLOOKUP(EE$10,'VK-Elekter'!$C:$X,2+$D132,0))+IF(EE$9="X",VLOOKUP(EE$10,'VK-Biokütused'!$C:$U,2+$E132,0))+IF(EE$5="X",VLOOKUP(EE$10,'VK-Põlevkivi'!$C:$X,2+$G132,0))+IF(EE$4="X",VLOOKUP(EE$10,'VK-Võrgud'!$C:$X,2+$F132,0)))</f>
        <v>9115.9398864520208</v>
      </c>
      <c r="EF132" s="235">
        <f>(IF(EF$7="X",VLOOKUP(EF$10,'VK-Hooned-Soojus'!$C:$X,2+$C132,FALSE),0)+IF(EF$6="X",VLOOKUP(EF$10,'VK-Transport'!$C:$X,2+$B132,0))+IF(EF$8="X",VLOOKUP(EF$10,'VK-Elekter'!$C:$X,2+$D132,0))+IF(EF$9="X",VLOOKUP(EF$10,'VK-Biokütused'!$C:$U,2+$E132,0)))/1000</f>
        <v>2.7248849906373196</v>
      </c>
      <c r="EG132" s="209">
        <f>(IF(EG$7="X",VLOOKUP(EG$10,'VK-Hooned-Soojus'!$C:$X,2+$C132,FALSE),0)+IF(EG$6="X",VLOOKUP(EG$10,'VK-Transport'!$C:$X,2+$B132,0))+IF(EG$8="X",VLOOKUP(EG$10,'VK-Elekter'!$C:$X,2+$D132,0))+IF(EG$9="X",VLOOKUP(EG$10,'VK-Biokütused'!$C:$U,2+$E132,0))+IF(EG$5="X",VLOOKUP(EG$10,'VK-Põlevkivi'!$C:$X,2+$G132,0))+IF(EG$4="X",VLOOKUP(EG$10,'VK-Võrgud'!$C:$X,2+$F132,0)))</f>
        <v>0.81</v>
      </c>
      <c r="EH132" s="209">
        <f>(IF(EH$7="X",VLOOKUP(EH$10,'VK-Hooned-Soojus'!$C:$X,2+$C132,FALSE),0)+IF(EH$6="X",VLOOKUP(EH$10,'VK-Transport'!$C:$X,2+$B132,0))+IF(EH$8="X",VLOOKUP(EH$10,'VK-Elekter'!$C:$X,2+$D132,0))+IF(EH$9="X",VLOOKUP(EH$10,'VK-Biokütused'!$C:$U,2+$E132,0)))+AR132+AS132+AU132+AX132</f>
        <v>49.005637038771788</v>
      </c>
      <c r="EI132" s="320">
        <f t="shared" si="88"/>
        <v>43.302900516795866</v>
      </c>
      <c r="EJ132" s="322">
        <f t="shared" si="89"/>
        <v>2.5620074329845279E-2</v>
      </c>
      <c r="EK132" s="323">
        <f t="shared" si="77"/>
        <v>0.447957193299102</v>
      </c>
      <c r="EM132" s="209"/>
      <c r="EN132" s="209">
        <f t="shared" ca="1" si="90"/>
        <v>0</v>
      </c>
      <c r="EO132" s="209"/>
      <c r="EP132" s="234"/>
      <c r="EQ132" s="209">
        <f>(IF(EQ$7="X",VLOOKUP(EQ$10,'VK-Hooned-Soojus'!$C:$X,2+$C132,FALSE),0)+IF(EQ$6="X",VLOOKUP(EQ$10,'VK-Transport'!$C:$X,2+$B132,0))+IF(EQ$8="X",VLOOKUP(EQ$10,'VK-Elekter'!$C:$X,2+$D132,0))+IF(EQ$9="X",VLOOKUP(EQ$10,'VK-Biokütused'!$C:$U,2+$E132,0))+IF(EQ$5="X",VLOOKUP(EQ$10,'VK-Põlevkivi'!$C:$X,2+$G132,0))+IF(EQ$4="X",VLOOKUP(EQ$10,'VK-Võrgud'!$C:$X,2+$F132,0)))/1000</f>
        <v>0.19900000000000001</v>
      </c>
      <c r="ER132" s="209">
        <f>(IF(ER$7="X",VLOOKUP(ER$10,'VK-Hooned-Soojus'!$C:$X,2+$C132,FALSE),0)+IF(ER$6="X",VLOOKUP(ER$10,'VK-Transport'!$C:$X,2+$B132,0))+IF(ER$8="X",VLOOKUP(ER$10,'VK-Elekter'!$C:$X,2+$D132,0))+IF(ER$9="X",VLOOKUP(ER$10,'VK-Biokütused'!$C:$U,2+$E132,0))+IF(ER$5="X",VLOOKUP(ER$10,'VK-Põlevkivi'!$C:$X,2+$G132,0))+IF(ER$4="X",VLOOKUP(ER$10,'VK-Võrgud'!$C:$X,2+$F132,0)))</f>
        <v>0.72299999999999998</v>
      </c>
      <c r="ES132" s="209">
        <f>(IF(ES$7="X",VLOOKUP(ES$10,'VK-Hooned-Soojus'!$C:$X,2+$C132,FALSE),0)+IF(ES$6="X",VLOOKUP(ES$10,'VK-Transport'!$C:$X,2+$B132,0))+IF(ES$8="X",VLOOKUP(ES$10,'VK-Elekter'!$C:$X,2+$D132,0))+IF(ES$9="X",VLOOKUP(ES$10,'VK-Biokütused'!$C:$U,2+$E132,0))+IF(ES$5="X",VLOOKUP(ES$10,'VK-Põlevkivi'!$C:$X,2+$G132,0))+IF(ES$4="X",VLOOKUP(ES$10,'VK-Võrgud'!$C:$X,2+$F132,0)))</f>
        <v>6.08</v>
      </c>
      <c r="ET132" s="209"/>
      <c r="EU132" s="209"/>
      <c r="EV132" s="87">
        <f>'KSH järjestus'!AS125</f>
        <v>652</v>
      </c>
      <c r="EZ132" s="237">
        <f t="shared" si="91"/>
        <v>0.27911646586345373</v>
      </c>
      <c r="FA132" s="209">
        <f>IF(FA$7="X",VLOOKUP(FA$10,'VK-Hooned-Soojus'!$C:$X,2+$C132,FALSE),0)+IF(FA$6="X",VLOOKUP(FA$10,'VK-Transport'!$C:$X,2+$B132,0))+IF(FA$8="X",VLOOKUP(FA$10,'VK-Elekter'!$C:$X,2+$D132,0))+IF(FA$9="X",VLOOKUP(FA$10,'VK-Biokütused'!$C:$U,2+$E132,0))+IF(FA$5="X",VLOOKUP(FA$10,'VK-Põlevkivi'!$C:$X,2+$G132,0))+IF(FA$4="X",VLOOKUP(FA$10,'VK-Võrgud'!$C:$X,2+$F132,0))</f>
        <v>2912.9189999999999</v>
      </c>
      <c r="FB132" s="279">
        <f>(IF(FB$7="X",VLOOKUP(FB$10,'VK-Hooned-Soojus'!$C:$X,2+$C132,FALSE),0)+IF(FB$6="X",VLOOKUP(FB$10,'VK-Transport'!$C:$X,2+$B132,0))+IF(FB$8="X",VLOOKUP(FB$10,'VK-Elekter'!$C:$X,2+$D132,0))+IF(FB$9="X",VLOOKUP(FB$10,'VK-Biokütused'!$C:$U,2+$E132,0))+IF(FB$5="X",VLOOKUP(FB$10,'VK-Põlevkivi'!$C:$X,2+$G132,0))+IF(FB$4="X",VLOOKUP(FB$10,'VK-Võrgud'!$C:$X,2+$F132,0)))/16</f>
        <v>475.44630019880822</v>
      </c>
      <c r="FC132" s="209">
        <f>IF(FC$7="X",VLOOKUP(FC$10,'VK-Hooned-Soojus'!$C:$X,2+$C132,FALSE),0)+IF(FC$6="X",VLOOKUP(FC$10,'VK-Transport'!$C:$X,2+$B132,0))+IF(FC$8="X",VLOOKUP(FC$10,'VK-Elekter'!$C:$X,2+$D132,0))+IF(FC$9="X",VLOOKUP(FC$10,'VK-Biokütused'!$C:$U,2+$E132,0))+IF(FC$5="X",VLOOKUP(FC$10,'VK-Põlevkivi'!$C:$X,2+$G132,0))+IF(FC$4="X",VLOOKUP(FC$10,'VK-Võrgud'!$C:$X,2+$F132,0))</f>
        <v>285</v>
      </c>
      <c r="FD132" s="209">
        <f>(IF(FD$7="X",VLOOKUP(FD$10,'VK-Hooned-Soojus'!$C:$X,2+$C132,FALSE),0)+IF(FD$6="X",VLOOKUP(FD$10,'VK-Transport'!$C:$X,2+$B132,0))+IF(FD$8="X",VLOOKUP(FD$10,'VK-Elekter'!$C:$X,2+$D132,0))+IF(FD$9="X",VLOOKUP(FD$10,'VK-Biokütused'!$C:$U,2+$E132,0))+IF(FD$5="X",VLOOKUP(FD$10,'VK-Põlevkivi'!$C:$X,2+$G132,0))+IF(FD$4="X",VLOOKUP(FD$10,'VK-Võrgud'!$C:$X,2+$F132,0)))/16</f>
        <v>475.44630019880822</v>
      </c>
      <c r="FE132" s="209">
        <f>(IF(FE$7="X",VLOOKUP(FE$10,'VK-Hooned-Soojus'!$C:$X,2+$C132,FALSE),0)+IF(FE$6="X",VLOOKUP(FE$10,'VK-Transport'!$C:$X,2+$B132,0))+IF(FE$8="X",VLOOKUP(FE$10,'VK-Elekter'!$C:$X,2+$D132,0))+IF(FE$9="X",VLOOKUP(FE$10,'VK-Biokütused'!$C:$U,2+$E132,0))+IF(FE$5="X",VLOOKUP(FE$10,'VK-Põlevkivi'!$C:$X,2+$G132,0))+IF(FE$4="X",VLOOKUP(FE$10,'VK-Võrgud'!$C:$X,2+$F132,0)))/16</f>
        <v>-178.19071988063212</v>
      </c>
      <c r="FF132" s="209">
        <f>(IF(FF$7="X",VLOOKUP(FF$10,'VK-Hooned-Soojus'!$C:$X,2+$C132,FALSE),0)+IF(FF$6="X",VLOOKUP(FF$10,'VK-Transport'!$C:$X,2+$B132,0))+IF(FF$8="X",VLOOKUP(FF$10,'VK-Elekter'!$C:$X,2+$D132,0))+IF(FF$9="X",VLOOKUP(FF$10,'VK-Biokütused'!$C:$U,2+$E132,0))+IF(FF$5="X",VLOOKUP(FF$10,'VK-Põlevkivi'!$C:$X,2+$G132,0))+IF(FF$4="X",VLOOKUP(FF$10,'VK-Võrgud'!$C:$X,2+$F132,0)))/16</f>
        <v>219.06957437498761</v>
      </c>
      <c r="FG132" s="88">
        <f t="shared" ca="1" si="78"/>
        <v>40.878854494355494</v>
      </c>
      <c r="FH132" s="88"/>
      <c r="FI132" s="88"/>
      <c r="FJ132" s="88">
        <f>VLOOKUP(Tulemused!$BN$12,data!M$7:N$12,2,FALSE)-SUM(L132,M132)</f>
        <v>0.39749062697563176</v>
      </c>
      <c r="FK132" s="209" t="str">
        <f>IF(AZ132&lt;=VLOOKUP(Tulemused!$BN$15,data!$E$36:$F$39,2,FALSE),"JAH","EI")</f>
        <v>JAH</v>
      </c>
      <c r="FL132" s="235">
        <f ca="1">IF(ISNA(MATCH($A132,INDIRECT(VLOOKUP(Tulemused!$BF$11,data!$J$57:$M$71,4,FALSE)))),0,MATCH($A132,INDIRECT(VLOOKUP(Tulemused!$BF$11,data!$J$57:$M$71,4,FALSE))))</f>
        <v>0</v>
      </c>
      <c r="FM132" s="235" t="str">
        <f t="shared" ca="1" si="92"/>
        <v>JAH</v>
      </c>
      <c r="FN132" s="209">
        <f>VLOOKUP(Tulemused!$BN$13,data!$C$132:$D$137,2,FALSE)-KOMBI!R132</f>
        <v>4.8305850093626805</v>
      </c>
      <c r="FO132" s="209"/>
      <c r="FP132" s="209">
        <f>VLOOKUP(Tulemused!$BN$17,NO_x,2,FALSE)-CJ132</f>
        <v>12.977999999999998</v>
      </c>
      <c r="FQ132" s="209">
        <f>VLOOKUP(Tulemused!$BN$18,SO_2,2,FALSE)-CK132</f>
        <v>40.663503451566498</v>
      </c>
      <c r="FR132" s="209">
        <f>VLOOKUP(Tulemused!$BN$19,LOU,2,FALSE)-CN132</f>
        <v>34.299000000000007</v>
      </c>
      <c r="FS132" s="209">
        <f>VLOOKUP(Tulemused!$BN$20,PM_2.5,2,FALSE)-CM132</f>
        <v>9.3539999999999992</v>
      </c>
      <c r="FT132" s="209">
        <f>VLOOKUP(Tulemused!$BN$13,data!$C$132:$D$137,2,FALSE)-FA132/1000</f>
        <v>3.3330510000000007</v>
      </c>
      <c r="FU132" s="209">
        <f>VLOOKUP(Tulemused!$BN$17,NO_x,2,FALSE)-CO132</f>
        <v>5.8766376626430059</v>
      </c>
      <c r="FV132" s="209">
        <f>VLOOKUP(Tulemused!$BN$18,SO_2,2,FALSE)-CP132</f>
        <v>38.478607879306338</v>
      </c>
      <c r="FW132" s="209">
        <f>VLOOKUP(Tulemused!$BN$19,LOU,2,FALSE)-CS132</f>
        <v>33.311350490137769</v>
      </c>
      <c r="FX132" s="209">
        <f>VLOOKUP(Tulemused!$BN$20,PM_2.5,2,FALSE)-CR132</f>
        <v>9.2332481626003098</v>
      </c>
      <c r="FY132" s="209">
        <f>VLOOKUP(Tulemused!$BN$14,KHG_2050,2,FALSE)-EF132</f>
        <v>97.275115009362679</v>
      </c>
      <c r="FZ132" s="231" t="str">
        <f t="shared" ca="1" si="79"/>
        <v>JAH</v>
      </c>
      <c r="GA132" s="209"/>
      <c r="GB132" s="209"/>
      <c r="GC132" s="209"/>
      <c r="GD132" s="231"/>
      <c r="GE132" s="87">
        <f t="shared" si="93"/>
        <v>652</v>
      </c>
      <c r="GF132" s="232">
        <f t="shared" ca="1" si="80"/>
        <v>652</v>
      </c>
      <c r="GH132" s="238" t="e">
        <f t="shared" ca="1" si="94"/>
        <v>#NUM!</v>
      </c>
      <c r="GI132" s="87" t="e">
        <f t="array" aca="1" ref="GI132" ca="1">INDEX($A$11:$A$145, SMALL(IF(GH132=$GF$11:$GF$145, MATCH(ROW($GF$11:$GF$145), ROW($GF$11:$GF$145))), SUM(--(GH132=$GH$11:GH132))))</f>
        <v>#NUM!</v>
      </c>
      <c r="GM132" s="209">
        <f>IF(GM$7="X",VLOOKUP(GM$10,'VK-Hooned-Soojus'!$C:$X,2+$C132,FALSE),0)+IF(GM$6="X",VLOOKUP(GM$10,'VK-Transport'!$C:$X,2+$B132,0))+IF(GM$8="X",VLOOKUP(GM$10,'VK-Elekter'!$C:$X,2+$D132,0))+IF(GM$9="X",VLOOKUP(GM$10,'VK-Biokütused'!$C:$U,2+$E132,0))+IF(GM$5="X",VLOOKUP(GM$10,'VK-Põlevkivi'!$C:$X,2+$G132,0))+IF(GM$4="X",VLOOKUP(GM$10,'VK-Võrgud'!$C:$X,2+$F132,0))</f>
        <v>6.012827991027228</v>
      </c>
      <c r="GN132" s="209">
        <f>IF(GN$7="X",VLOOKUP(GN$10,'VK-Hooned-Soojus'!$C:$X,2+$C132,FALSE),0)+IF(GN$6="X",VLOOKUP(GN$10,'VK-Transport'!$C:$X,2+$B132,0))+IF(GN$8="X",VLOOKUP(GN$10,'VK-Elekter'!$C:$X,2+$D132,0))+IF(GN$9="X",VLOOKUP(GN$10,'VK-Biokütused'!$C:$U,2+$E132,0))+IF(GN$5="X",VLOOKUP(GN$10,'VK-Põlevkivi'!$C:$X,2+$G132,0))+IF(GN$4="X",VLOOKUP(GN$10,'VK-Võrgud'!$C:$X,2+$F132,0))</f>
        <v>3.4467619395011728</v>
      </c>
      <c r="GO132" s="209">
        <f>IF(GO$7="X",VLOOKUP(GO$10,'VK-Hooned-Soojus'!$C:$X,2+$C132,FALSE),0)+IF(GO$6="X",VLOOKUP(GO$10,'VK-Transport'!$C:$X,2+$B132,0))+IF(GO$8="X",VLOOKUP(GO$10,'VK-Elekter'!$C:$X,2+$D132,0))+IF(GO$9="X",VLOOKUP(GO$10,'VK-Biokütused'!$C:$U,2+$E132,0))+IF(GO$5="X",VLOOKUP(GO$10,'VK-Põlevkivi'!$C:$X,2+$G132,0))+IF(GO$4="X",VLOOKUP(GO$10,'VK-Võrgud'!$C:$X,2+$F132,0))</f>
        <v>7.5763700102722566</v>
      </c>
      <c r="GP132" s="209">
        <f>IF(GP$7="X",VLOOKUP(GP$10,'VK-Hooned-Soojus'!$C:$X,2+$C132,FALSE),0)+IF(GP$6="X",VLOOKUP(GP$10,'VK-Transport'!$C:$X,2+$B132,0))+IF(GP$8="X",VLOOKUP(GP$10,'VK-Elekter'!$C:$X,2+$D132,0))+IF(GP$9="X",VLOOKUP(GP$10,'VK-Biokütused'!$C:$U,2+$E132,0))+IF(GP$5="X",VLOOKUP(GP$10,'VK-Põlevkivi'!$C:$X,2+$G132,0))+IF(GP$4="X",VLOOKUP(GP$10,'VK-Võrgud'!$C:$X,2+$F132,0))</f>
        <v>8.9326558040707589</v>
      </c>
      <c r="GQ132" s="88">
        <f>IF(GQ$7="X",VLOOKUP(GQ$10,'VK-Hooned-Soojus'!$C:$X,2+$C132,FALSE),0)+IF(GQ$6="X",VLOOKUP(GQ$10,'VK-Transport'!$C:$X,2+$B132,0))+IF(GQ$8="X",VLOOKUP(GQ$10,'VK-Elekter'!$C:$X,2+$D132,0))+IF(GQ$9="X",VLOOKUP(GQ$10,'VK-Biokütused'!$C:$U,2+$E132,0))+IF(GQ$5="X",VLOOKUP(GQ$10,'VK-Põlevkivi'!$C:$X,2+$G132,0))+IF(GQ$4="X",VLOOKUP(GQ$10,'VK-Võrgud'!$C:$X,2+$F132,0))</f>
        <v>0.89042766952822527</v>
      </c>
      <c r="GR132" s="186">
        <f t="shared" si="81"/>
        <v>0.4091172758825713</v>
      </c>
    </row>
    <row r="133" spans="1:200" x14ac:dyDescent="0.2">
      <c r="A133" s="184">
        <v>123</v>
      </c>
      <c r="B133" s="87">
        <v>3</v>
      </c>
      <c r="C133" s="87">
        <v>3</v>
      </c>
      <c r="D133" s="87">
        <v>1</v>
      </c>
      <c r="E133" s="87">
        <v>3</v>
      </c>
      <c r="F133" s="87">
        <f>VLOOKUP(Tulemused!$BF$7,data!$J$6:$K$8,2,FALSE)</f>
        <v>2</v>
      </c>
      <c r="G133" s="87">
        <f>VLOOKUP(data!$H$2,data!$J$12:$K$14,2,FALSE)</f>
        <v>2</v>
      </c>
      <c r="I133" s="209">
        <f>IF(I$7="X",VLOOKUP(I$10,'VK-Hooned-Soojus'!$C:$X,2+$C133,FALSE),0)+IF(I$6="X",VLOOKUP(I$10,'VK-Transport'!$C:$X,2+$B133,0))+IF(I$8="X",VLOOKUP(I$10,'VK-Elekter'!$C:$X,2+$D133,0))+IF(I$9="X",VLOOKUP(I$10,'VK-Biokütused'!$C:$U,2+$E133,0))+IF(I$5="X",VLOOKUP(I$10,'VK-Põlevkivi'!$C:$X,2+$G133,0))+IF(I$4="X",VLOOKUP(I$10,'VK-Võrgud'!$C:$X,2+$F133,0))</f>
        <v>23.490000000000002</v>
      </c>
      <c r="J133" s="209">
        <f>IF(J$7="X",VLOOKUP(J$10,'VK-Hooned-Soojus'!$C:$X,2+$C133,FALSE),0)+IF(J$6="X",VLOOKUP(J$10,'VK-Transport'!$C:$X,2+$B133,0))+IF(J$8="X",VLOOKUP(J$10,'VK-Elekter'!$C:$X,2+$D133,0))+IF(J$9="X",VLOOKUP(J$10,'VK-Biokütused'!$C:$U,2+$E133,0))+IF(J$5="X",VLOOKUP(J$10,'VK-Põlevkivi'!$C:$X,2+$G133,0))+IF(J$4="X",VLOOKUP(J$10,'VK-Võrgud'!$C:$X,2+$F133,0))</f>
        <v>8.1258333333333344</v>
      </c>
      <c r="K133" s="209">
        <f>IF(K$7="X",VLOOKUP(K$10,'VK-Hooned-Soojus'!$C:$X,2+$C133,FALSE),0)+IF(K$6="X",VLOOKUP(K$10,'VK-Transport'!$C:$X,2+$B133,0))+IF(K$8="X",VLOOKUP(K$10,'VK-Elekter'!$C:$X,2+$D133,0))+IF(K$9="X",VLOOKUP(K$10,'VK-Biokütused'!$C:$U,2+$E133,0))+IF(K$5="X",VLOOKUP(K$10,'VK-Põlevkivi'!$C:$X,2+$G133,0))+IF(K$4="X",VLOOKUP(K$10,'VK-Võrgud'!$C:$X,2+$F133,0))</f>
        <v>13.780000000000001</v>
      </c>
      <c r="L133" s="209">
        <f>IF(L$7="X",VLOOKUP(L$10,'VK-Hooned-Soojus'!$C:$X,2+$C133,FALSE),0)+IF(L$6="X",VLOOKUP(L$10,'VK-Transport'!$C:$X,2+$B133,0))+IF(L$8="X",VLOOKUP(L$10,'VK-Elekter'!$C:$X,2+$D133,0))+IF(L$9="X",VLOOKUP(L$10,'VK-Biokütused'!$C:$U,2+$E133,0))+IF(L$5="X",VLOOKUP(L$10,'VK-Põlevkivi'!$C:$X,2+$G133,0))+IF(L$4="X",VLOOKUP(L$10,'VK-Võrgud'!$C:$X,2+$F133,0))</f>
        <v>23.75</v>
      </c>
      <c r="M133" s="209">
        <f>IF(M$7="X",VLOOKUP(M$10,'VK-Hooned-Soojus'!$C:$X,2+$C133,FALSE),0)+IF(M$6="X",VLOOKUP(M$10,'VK-Transport'!$C:$X,2+$B133,0))+IF(M$8="X",VLOOKUP(M$10,'VK-Elekter'!$C:$X,2+$D133,0))+IF(M$9="X",VLOOKUP(M$10,'VK-Biokütused'!$C:$U,2+$E133,0))+IF(M$5="X",VLOOKUP(M$10,'VK-Põlevkivi'!$C:$X,2+$G133,0))+IF(M$4="X",VLOOKUP(M$10,'VK-Võrgud'!$C:$X,2+$F133,0))</f>
        <v>8.68530937302436</v>
      </c>
      <c r="N133" s="209">
        <f>IF(N$7="X",VLOOKUP(N$10,'VK-Hooned-Soojus'!$C:$X,2+$C133,FALSE),0)+IF(N$6="X",VLOOKUP(N$10,'VK-Transport'!$C:$X,2+$B133,0))+IF(N$8="X",VLOOKUP(N$10,'VK-Elekter'!$C:$X,2+$D133,0))+IF(N$9="X",VLOOKUP(N$10,'VK-Biokütused'!$C:$U,2+$E133,0))+IF(N$5="X",VLOOKUP(N$10,'VK-Põlevkivi'!$C:$X,2+$G133,0))+IF(N$4="X",VLOOKUP(N$10,'VK-Võrgud'!$C:$X,2+$F133,0))</f>
        <v>15.25</v>
      </c>
      <c r="O133" s="209">
        <f t="shared" si="60"/>
        <v>31.615833333333335</v>
      </c>
      <c r="P133" s="209"/>
      <c r="Q133" s="209">
        <f>(IF(Q$7="X",VLOOKUP(Q$10,'VK-Hooned-Soojus'!$C:$X,2+$C133,FALSE),0)+IF(Q$6="X",VLOOKUP(Q$10,'VK-Transport'!$C:$X,2+$B133,0))+IF(Q$8="X",VLOOKUP(Q$10,'VK-Elekter'!$C:$X,2+$D133,0))+IF(Q$9="X",VLOOKUP(Q$10,'VK-Biokütused'!$C:$U,2+$E133,0))+IF(Q$5="X",VLOOKUP(Q$10,'VK-Põlevkivi'!$C:$X,2+$G133,0))+IF(Q$4="X",VLOOKUP(Q$10,'VK-Võrgud'!$C:$X,2+$F133,0)))/1000</f>
        <v>4.9059999999999997</v>
      </c>
      <c r="R133" s="209">
        <f>(IF(R$7="X",VLOOKUP(R$10,'VK-Hooned-Soojus'!$C:$X,2+$C133,FALSE),0)+IF(R$6="X",VLOOKUP(R$10,'VK-Transport'!$C:$X,2+$B133,0))+IF(R$8="X",VLOOKUP(R$10,'VK-Elekter'!$C:$X,2+$D133,0))+IF(R$9="X",VLOOKUP(R$10,'VK-Biokütused'!$C:$U,2+$E133,0))+IF(R$5="X",VLOOKUP(R$10,'VK-Põlevkivi'!$C:$X,2+$G133,0))+IF(R$4="X",VLOOKUP(R$10,'VK-Võrgud'!$C:$X,2+$F133,0)))/1000</f>
        <v>1.62408499063732</v>
      </c>
      <c r="S133" s="226">
        <f>VLOOKUP(S$10,'VK-Hooned-Soojus'!$C:$I,2+$C133,FALSE) + VLOOKUP(S$10,'VK-Transport'!$C:$I,2+$B133,FALSE)+ VLOOKUP(S$10,'VK-Biokütused'!$C:$G,2+$E133,FALSE)+ VLOOKUP(S$10,'VK-Elekter'!$C:$I,2+$D133,FALSE)+ VLOOKUP(S$10,'VK-Põlevkivi'!$C:$I,2+$G133,FALSE)+ VLOOKUP(S$10,'VK-Võrgud'!$C:$I,2+$F133,FALSE)</f>
        <v>2.2988458620406115E-2</v>
      </c>
      <c r="T133" s="226">
        <f>VLOOKUP(T$10,'VK-Hooned-Soojus'!$C:$I,2+$C133,FALSE) + VLOOKUP(T$10,'VK-Transport'!$C:$I,2+$B133,FALSE)+ VLOOKUP(T$10,'VK-Biokütused'!$C:$G,2+$E133,FALSE)+ VLOOKUP(T$10,'VK-Elekter'!$C:$I,2+$D133,FALSE)+ VLOOKUP(T$10,'VK-Põlevkivi'!$C:$I,2+$G133,FALSE)+ VLOOKUP(T$10,'VK-Võrgud'!$C:$I,2+$F133,FALSE)</f>
        <v>3.9278295680382526E-3</v>
      </c>
      <c r="U133" s="226">
        <f>VLOOKUP(U$10,'VK-Hooned-Soojus'!$C:$I,2+$C133,FALSE) + VLOOKUP(U$10,'VK-Transport'!$C:$I,2+$B133,FALSE)+ VLOOKUP(U$10,'VK-Biokütused'!$C:$G,2+$E133,FALSE)+ VLOOKUP(U$10,'VK-Elekter'!$C:$I,2+$D133,FALSE)+ VLOOKUP(U$10,'VK-Põlevkivi'!$C:$I,2+$G133,FALSE)+ VLOOKUP(U$10,'VK-Võrgud'!$C:$I,2+$F133,FALSE)</f>
        <v>4.7468294538898503E-3</v>
      </c>
      <c r="V133" s="226">
        <f>VLOOKUP(V$10,'VK-Hooned-Soojus'!$C:$I,2+$C133,FALSE) + VLOOKUP(V$10,'VK-Transport'!$C:$I,2+$B133,FALSE)+ VLOOKUP(V$10,'VK-Biokütused'!$C:$G,2+$E133,FALSE)+ VLOOKUP(V$10,'VK-Elekter'!$C:$I,2+$D133,FALSE)+ VLOOKUP(V$10,'VK-Põlevkivi'!$C:$I,2+$G133,FALSE)+ VLOOKUP(V$10,'VK-Võrgud'!$C:$I,2+$F133,FALSE)</f>
        <v>1.8443863490071936E-2</v>
      </c>
      <c r="W133" s="226">
        <f>VLOOKUP(W$10,'VK-Hooned-Soojus'!$C:$I,2+$C133,FALSE) + VLOOKUP(W$10,'VK-Transport'!$C:$I,2+$B133,FALSE)+ VLOOKUP(W$10,'VK-Biokütused'!$C:$G,2+$E133,FALSE)+ VLOOKUP(W$10,'VK-Elekter'!$C:$I,2+$D133,FALSE)+ VLOOKUP(W$10,'VK-Põlevkivi'!$C:$I,2+$G133,FALSE)+ VLOOKUP(W$10,'VK-Võrgud'!$C:$I,2+$F133,FALSE)</f>
        <v>-4.4633590055617761E-2</v>
      </c>
      <c r="X133" s="226">
        <f>VLOOKUP(X$10,'VK-Hooned-Soojus'!$C:$I,2+$C133,FALSE) + VLOOKUP(X$10,'VK-Transport'!$C:$I,2+$B133,FALSE)+ VLOOKUP(X$10,'VK-Biokütused'!$C:$G,2+$E133,FALSE)+ VLOOKUP(X$10,'VK-Elekter'!$C:$I,2+$D133,FALSE)+ VLOOKUP(X$10,'VK-Põlevkivi'!$C:$I,2+$G133,FALSE)+ VLOOKUP(X$10,'VK-Võrgud'!$C:$I,2+$F133,FALSE)</f>
        <v>-5.6886451781157449E-2</v>
      </c>
      <c r="Y133" s="226">
        <f>VLOOKUP(Y$10,'VK-Hooned-Soojus'!$C:$I,2+$C133,FALSE) + VLOOKUP(Y$10,'VK-Transport'!$C:$I,2+$B133,FALSE)+ VLOOKUP(Y$10,'VK-Biokütused'!$C:$G,2+$E133,FALSE)+ VLOOKUP(Y$10,'VK-Elekter'!$C:$I,2+$D133,FALSE)+ VLOOKUP(Y$10,'VK-Põlevkivi'!$C:$I,2+$G133,FALSE)+ VLOOKUP(Y$10,'VK-Võrgud'!$C:$I,2+$F133,FALSE)</f>
        <v>-8.0572868854812421E-2</v>
      </c>
      <c r="Z133" s="227">
        <f>(S133*Tulemused!$Q$9*10+T133*Tulemused!$Q$10*10+KOMBI!U133*Tulemused!$Q$11*10+KOMBI!V133*Tulemused!$Q$12*10)*Tulemused!$Q$8+-(W133*Tulemused!$Q$14*10+KOMBI!X133*Tulemused!$Q$15*10+KOMBI!Y133*Tulemused!$Q$16*10)*Tulemused!$Q$13</f>
        <v>7.4639793718541156</v>
      </c>
      <c r="AA133" s="228">
        <f>(IF(AA$7="X",VLOOKUP(AA$10,'VK-Hooned-Soojus'!$C:$X,2+$C133,FALSE),0)+IF(AA$6="X",VLOOKUP(AA$10,'VK-Transport'!$C:$X,2+$B133,0))+IF(AA$8="X",VLOOKUP(AA$10,'VK-Elekter'!$C:$X,2+$D133,0))+IF(AA$9="X",VLOOKUP(AA$10,'VK-Biokütused'!$C:$U,2+$E133,0))+IF(AA$5="X",VLOOKUP(AA$10,'VK-Põlevkivi'!$C:$X,2+$G133,0))+IF(AA$4="X",VLOOKUP(AA$10,'VK-Võrgud'!$C:$X,2+$F133,0)))</f>
        <v>3729</v>
      </c>
      <c r="AB133" s="228">
        <f>(IF(AB$7="X",VLOOKUP(AB$10,'VK-Hooned-Soojus'!$C:$X,2+$C133,FALSE),0)+IF(AB$6="X",VLOOKUP(AB$10,'VK-Transport'!$C:$X,2+$B133,0))+IF(AB$8="X",VLOOKUP(AB$10,'VK-Elekter'!$C:$X,2+$D133,0))+IF(AB$9="X",VLOOKUP(AB$10,'VK-Biokütused'!$C:$U,2+$E133,0))+IF(AB$5="X",VLOOKUP(AB$10,'VK-Põlevkivi'!$C:$X,2+$G133,0))+IF(AB$4="X",VLOOKUP(AB$10,'VK-Võrgud'!$C:$X,2+$F133,0)))</f>
        <v>1177</v>
      </c>
      <c r="AC133" s="228">
        <f>(IF(AC$7="X",VLOOKUP(AC$10,'VK-Hooned-Soojus'!$C:$X,2+$C133,FALSE),0)+IF(AC$6="X",VLOOKUP(AC$10,'VK-Transport'!$C:$X,2+$B133,0))+IF(AC$8="X",VLOOKUP(AC$10,'VK-Elekter'!$C:$X,2+$D133,0))+IF(AC$9="X",VLOOKUP(AC$10,'VK-Biokütused'!$C:$U,2+$E133,0))+IF(AC$5="X",VLOOKUP(AC$10,'VK-Põlevkivi'!$C:$X,2+$G133,0))+IF(AC$4="X",VLOOKUP(AC$10,'VK-Võrgud'!$C:$X,2+$F133,0)))</f>
        <v>2346</v>
      </c>
      <c r="AD133" s="228">
        <f>(IF(AD$7="X",VLOOKUP(AD$10,'VK-Hooned-Soojus'!$C:$X,2+$C133,FALSE),0)+IF(AD$6="X",VLOOKUP(AD$10,'VK-Transport'!$C:$X,2+$B133,0))+IF(AD$8="X",VLOOKUP(AD$10,'VK-Elekter'!$C:$X,2+$D133,0))+IF(AD$9="X",VLOOKUP(AD$10,'VK-Biokütused'!$C:$U,2+$E133,0))+IF(AD$5="X",VLOOKUP(AD$10,'VK-Põlevkivi'!$C:$X,2+$G133,0))+IF(AD$4="X",VLOOKUP(AD$10,'VK-Võrgud'!$C:$X,2+$F133,0)))</f>
        <v>586.20000000000005</v>
      </c>
      <c r="AE133" s="228">
        <f>(IF(AE$7="X",VLOOKUP(AE$10,'VK-Hooned-Soojus'!$C:$X,2+$C133,FALSE),0)+IF(AE$6="X",VLOOKUP(AE$10,'VK-Transport'!$C:$X,2+$B133,0))+IF(AE$8="X",VLOOKUP(AE$10,'VK-Elekter'!$C:$X,2+$D133,0))+IF(AE$9="X",VLOOKUP(AE$10,'VK-Biokütused'!$C:$U,2+$E133,0))+IF(AE$5="X",VLOOKUP(AE$10,'VK-Põlevkivi'!$C:$X,2+$G133,0))+IF(AE$4="X",VLOOKUP(AE$10,'VK-Võrgud'!$C:$X,2+$F133,0)))</f>
        <v>507</v>
      </c>
      <c r="AF133" s="228">
        <f>(IF(AF$7="X",VLOOKUP(AF$10,'VK-Hooned-Soojus'!$C:$X,2+$C133,FALSE),0)+IF(AF$6="X",VLOOKUP(AF$10,'VK-Transport'!$C:$X,2+$B133,0))+IF(AF$8="X",VLOOKUP(AF$10,'VK-Elekter'!$C:$X,2+$D133,0))+IF(AF$9="X",VLOOKUP(AF$10,'VK-Biokütused'!$C:$U,2+$E133,0))+IF(AF$5="X",VLOOKUP(AF$10,'VK-Põlevkivi'!$C:$X,2+$G133,0))+IF(AF$4="X",VLOOKUP(AF$10,'VK-Võrgud'!$C:$X,2+$F133,0)))</f>
        <v>530.88499063732002</v>
      </c>
      <c r="AG133" s="209"/>
      <c r="AH133" s="209">
        <f>IF(AH$7="X",VLOOKUP(AH$10,'VK-Hooned-Soojus'!$C:$X,2+$C133,FALSE),0)+IF(AH$6="X",VLOOKUP(AH$10,'VK-Transport'!$C:$X,2+$B133,0))+IF(AH$8="X",VLOOKUP(AH$10,'VK-Elekter'!$C:$X,2+$D133,0))+IF(AH$9="X",VLOOKUP(AH$10,'VK-Biokütused'!$C:$U,2+$E133,0))+IF(AH$5="X",VLOOKUP(AH$10,'VK-Põlevkivi'!$C:$X,2+$G133,0))+IF(AH$4="X",VLOOKUP(AH$10,'VK-Võrgud'!$C:$X,2+$F133,0))</f>
        <v>11.629999999999999</v>
      </c>
      <c r="AI133" s="209">
        <f>IF(AI$7="X",VLOOKUP(AI$10,'VK-Hooned-Soojus'!$C:$X,2+$C133,FALSE),0)+IF(AI$6="X",VLOOKUP(AI$10,'VK-Transport'!$C:$X,2+$B133,0))+IF(AI$8="X",VLOOKUP(AI$10,'VK-Elekter'!$C:$X,2+$D133,0))+IF(AI$9="X",VLOOKUP(AI$10,'VK-Biokütused'!$C:$U,2+$E133,0))+IF(AI$5="X",VLOOKUP(AI$10,'VK-Põlevkivi'!$C:$X,2+$G133,0))+IF(AI$4="X",VLOOKUP(AI$10,'VK-Võrgud'!$C:$X,2+$F133,0))</f>
        <v>2.3100000000000005</v>
      </c>
      <c r="AJ133" s="209">
        <f>IF(AJ$7="X",VLOOKUP(AJ$10,'VK-Hooned-Soojus'!$C:$X,2+$C133,FALSE),0)+IF(AJ$6="X",VLOOKUP(AJ$10,'VK-Transport'!$C:$X,2+$B133,0))+IF(AJ$8="X",VLOOKUP(AJ$10,'VK-Elekter'!$C:$X,2+$D133,0))+IF(AJ$9="X",VLOOKUP(AJ$10,'VK-Biokütused'!$C:$U,2+$E133,0))+IF(AJ$5="X",VLOOKUP(AJ$10,'VK-Põlevkivi'!$C:$X,2+$G133,0))+IF(AJ$4="X",VLOOKUP(AJ$10,'VK-Võrgud'!$C:$X,2+$F133,0))</f>
        <v>9.24</v>
      </c>
      <c r="AK133" s="209">
        <f>IF(AK$7="X",VLOOKUP(AK$10,'VK-Hooned-Soojus'!$C:$X,2+$C133,FALSE),0)+IF(AK$6="X",VLOOKUP(AK$10,'VK-Transport'!$C:$X,2+$B133,0))+IF(AK$8="X",VLOOKUP(AK$10,'VK-Elekter'!$C:$X,2+$D133,0))+IF(AK$9="X",VLOOKUP(AK$10,'VK-Biokütused'!$C:$U,2+$E133,0))+IF(AK$5="X",VLOOKUP(AK$10,'VK-Põlevkivi'!$C:$X,2+$G133,0))+IF(AK$4="X",VLOOKUP(AK$10,'VK-Võrgud'!$C:$X,2+$F133,0))</f>
        <v>2.78</v>
      </c>
      <c r="AL133" s="209">
        <f>IF(AL$7="X",VLOOKUP(AL$10,'VK-Hooned-Soojus'!$C:$X,2+$C133,FALSE),0)+IF(AL$6="X",VLOOKUP(AL$10,'VK-Transport'!$C:$X,2+$B133,0))+IF(AL$8="X",VLOOKUP(AL$10,'VK-Elekter'!$C:$X,2+$D133,0))+IF(AL$9="X",VLOOKUP(AL$10,'VK-Biokütused'!$C:$U,2+$E133,0))+IF(AL$5="X",VLOOKUP(AL$10,'VK-Põlevkivi'!$C:$X,2+$G133,0))+IF(AL$4="X",VLOOKUP(AL$10,'VK-Võrgud'!$C:$X,2+$F133,0))</f>
        <v>7.1</v>
      </c>
      <c r="AM133" s="209">
        <f>IF(AM$7="X",VLOOKUP(AM$10,'VK-Hooned-Soojus'!$C:$X,2+$C133,FALSE),0)+IF(AM$6="X",VLOOKUP(AM$10,'VK-Transport'!$C:$X,2+$B133,0))+IF(AM$8="X",VLOOKUP(AM$10,'VK-Elekter'!$C:$X,2+$D133,0))+IF(AM$9="X",VLOOKUP(AM$10,'VK-Biokütused'!$C:$U,2+$E133,0))+IF(AM$5="X",VLOOKUP(AM$10,'VK-Põlevkivi'!$C:$X,2+$G133,0))+IF(AM$4="X",VLOOKUP(AM$10,'VK-Võrgud'!$C:$X,2+$F133,0))</f>
        <v>11.5</v>
      </c>
      <c r="AN133" s="209">
        <f>IF(AN$7="X",VLOOKUP(AN$10,'VK-Hooned-Soojus'!$C:$X,2+$C133,FALSE),0)+IF(AN$6="X",VLOOKUP(AN$10,'VK-Transport'!$C:$X,2+$B133,0))+IF(AN$8="X",VLOOKUP(AN$10,'VK-Elekter'!$C:$X,2+$D133,0))+IF(AN$9="X",VLOOKUP(AN$10,'VK-Biokütused'!$C:$U,2+$E133,0))+IF(AN$5="X",VLOOKUP(AN$10,'VK-Põlevkivi'!$C:$X,2+$G133,0))+IF(AN$4="X",VLOOKUP(AN$10,'VK-Võrgud'!$C:$X,2+$F133,0))</f>
        <v>4.0999999999999996</v>
      </c>
      <c r="AO133" s="209">
        <f>IF(AO$7="X",VLOOKUP(AO$10,'VK-Hooned-Soojus'!$C:$X,2+$C133,FALSE),0)+IF(AO$6="X",VLOOKUP(AO$10,'VK-Transport'!$C:$X,2+$B133,0))+IF(AO$8="X",VLOOKUP(AO$10,'VK-Elekter'!$C:$X,2+$D133,0))+IF(AO$9="X",VLOOKUP(AO$10,'VK-Biokütused'!$C:$U,2+$E133,0))+IF(AO$5="X",VLOOKUP(AO$10,'VK-Põlevkivi'!$C:$X,2+$G133,0))+IF(AO$4="X",VLOOKUP(AO$10,'VK-Võrgud'!$C:$X,2+$F133,0))</f>
        <v>12.16</v>
      </c>
      <c r="AP133" s="209">
        <f>IF(AP$7="X",VLOOKUP(AP$10,'VK-Hooned-Soojus'!$C:$X,2+$C133,FALSE),0)+IF(AP$6="X",VLOOKUP(AP$10,'VK-Transport'!$C:$X,2+$B133,0))+IF(AP$8="X",VLOOKUP(AP$10,'VK-Elekter'!$C:$X,2+$D133,0))+IF(AP$9="X",VLOOKUP(AP$10,'VK-Biokütused'!$C:$U,2+$E133,0))+IF(AP$5="X",VLOOKUP(AP$10,'VK-Põlevkivi'!$C:$X,2+$G133,0))+IF(AP$4="X",VLOOKUP(AP$10,'VK-Võrgud'!$C:$X,2+$F133,0))</f>
        <v>6.08</v>
      </c>
      <c r="AQ133" s="320">
        <f t="shared" si="61"/>
        <v>0</v>
      </c>
      <c r="AR133" s="209">
        <f>IF(AR$7="X",VLOOKUP(AR$10,'VK-Hooned-Soojus'!$C:$X,2+$C133,FALSE),0)+IF(AR$6="X",VLOOKUP(AR$10,'VK-Transport'!$C:$X,2+$B133,0))+IF(AR$8="X",VLOOKUP(AR$10,'VK-Elekter'!$C:$X,2+$D133,0))+IF(AR$9="X",VLOOKUP(AR$10,'VK-Biokütused'!$C:$U,2+$E133,0))+IF(AR$5="X",VLOOKUP(AR$10,'VK-Põlevkivi'!$C:$X,2+$G133,0))+IF(AR$4="X",VLOOKUP(AR$10,'VK-Võrgud'!$C:$X,2+$F133,0))</f>
        <v>2.3899999999999997</v>
      </c>
      <c r="AS133" s="320">
        <f>VLOOKUP("Kütuste tarbimine @ 2030 - UTTEGAAS",'VK-Hooned-Soojus'!$C:$X,2+$C133,FALSE)/0.172+VLOOKUP("Kütuste tarbimine @ 2030 - UTTEGAAS",'VK-Elekter'!$C:$X,2+$D133,FALSE)/0.172-AR133-AU133</f>
        <v>2.8565116279069773</v>
      </c>
      <c r="AT133" s="209">
        <f>IF(AT$7="X",VLOOKUP(AT$10,'VK-Hooned-Soojus'!$C:$X,2+$C133,FALSE),0)+IF(AT$6="X",VLOOKUP(AT$10,'VK-Transport'!$C:$X,2+$B133,0))+IF(AT$8="X",VLOOKUP(AT$10,'VK-Elekter'!$C:$X,2+$D133,0))+IF(AT$9="X",VLOOKUP(AT$10,'VK-Biokütused'!$C:$U,2+$E133,0))+IF(AT$5="X",VLOOKUP(AT$10,'VK-Põlevkivi'!$C:$X,2+$G133,0))+IF(AT$4="X",VLOOKUP(AT$10,'VK-Võrgud'!$C:$X,2+$F133,0))</f>
        <v>5.7045296564339489</v>
      </c>
      <c r="AU133" s="229">
        <f>MAX(0,(VLOOKUP("Kütuste tarbimine @ 2030 - UTTEGAAS",'VK-Hooned-Soojus'!$C:$X,2+$C133,FALSE)/0.172+VLOOKUP("Kütuste tarbimine @ 2030 - UTTEGAAS",'VK-Elekter'!$C:$X,2+$D133,FALSE)/0.172)*0.52-VLOOKUP("Kütuste tarbimine @ 2030 - PÕLEVKIVIÕLI",'VK-Hooned-Soojus'!$C:$X,2+$C133,FALSE))</f>
        <v>5.6837209302325586</v>
      </c>
      <c r="AV133" s="209">
        <f>IF(AV$7="X",VLOOKUP(AV$10,'VK-Hooned-Soojus'!$C:$X,2+$C133,FALSE),0)+IF(AV$6="X",VLOOKUP(AV$10,'VK-Transport'!$C:$X,2+$B133,0))+IF(AV$8="X",VLOOKUP(AV$10,'VK-Elekter'!$C:$X,2+$D133,0))+IF(AV$9="X",VLOOKUP(AV$10,'VK-Biokütused'!$C:$U,2+$E133,0))+IF(AV$5="X",VLOOKUP(AV$10,'VK-Põlevkivi'!$C:$X,2+$G133,0))+IF(AV$4="X",VLOOKUP(AV$10,'VK-Võrgud'!$C:$X,2+$F133,0))</f>
        <v>2.1219844082566364</v>
      </c>
      <c r="AW133" s="209">
        <f>IF(AW$7="X",VLOOKUP(AW$10,'VK-Hooned-Soojus'!$C:$X,2+$C133,FALSE),0)+IF(AW$6="X",VLOOKUP(AW$10,'VK-Transport'!$C:$X,2+$B133,0))+IF(AW$8="X",VLOOKUP(AW$10,'VK-Elekter'!$C:$X,2+$D133,0))+IF(AW$9="X",VLOOKUP(AW$10,'VK-Biokütused'!$C:$U,2+$E133,0))+IF(AW$5="X",VLOOKUP(AW$10,'VK-Põlevkivi'!$C:$X,2+$G133,0))+IF(AW$4="X",VLOOKUP(AW$10,'VK-Võrgud'!$C:$X,2+$F133,0))</f>
        <v>4.2799999999999994</v>
      </c>
      <c r="AX133" s="229">
        <f t="shared" si="62"/>
        <v>2.158015591743363</v>
      </c>
      <c r="AY133" s="229">
        <f t="shared" si="63"/>
        <v>0</v>
      </c>
      <c r="AZ133" s="230">
        <f t="shared" si="83"/>
        <v>0.50399694699362874</v>
      </c>
      <c r="BA133" s="209">
        <f>IF(BA$7="X",VLOOKUP(BA$10,'VK-Hooned-Soojus'!$C:$X,2+$C133,FALSE),0)+IF(BA$6="X",VLOOKUP(BA$10,'VK-Transport'!$C:$X,2+$B133,0))+IF(BA$8="X",VLOOKUP(BA$10,'VK-Elekter'!$C:$X,2+$D133,0))+IF(BA$9="X",VLOOKUP(BA$10,'VK-Biokütused'!$C:$U,2+$E133,0))+IF(BA$5="X",VLOOKUP(BA$10,'VK-Põlevkivi'!$C:$X,2+$G133,0))+IF(BA$4="X",VLOOKUP(BA$10,'VK-Võrgud'!$C:$X,2+$F133,0))</f>
        <v>4.25</v>
      </c>
      <c r="BB133" s="209">
        <f>IF(BB$7="X",VLOOKUP(BB$10,'VK-Hooned-Soojus'!$C:$X,2+$C133,FALSE),0)+IF(BB$6="X",VLOOKUP(BB$10,'VK-Transport'!$C:$X,2+$B133,0))+IF(BB$8="X",VLOOKUP(BB$10,'VK-Elekter'!$C:$X,2+$D133,0))+IF(BB$9="X",VLOOKUP(BB$10,'VK-Biokütused'!$C:$U,2+$E133,0))+IF(BB$5="X",VLOOKUP(BB$10,'VK-Põlevkivi'!$C:$X,2+$G133,0))+IF(BB$4="X",VLOOKUP(BB$10,'VK-Võrgud'!$C:$X,2+$F133,0))</f>
        <v>2.93</v>
      </c>
      <c r="BC133" s="209">
        <f>IF(BC$7="X",VLOOKUP(BC$10,'VK-Hooned-Soojus'!$C:$X,2+$C133,FALSE),0)+IF(BC$6="X",VLOOKUP(BC$10,'VK-Transport'!$C:$X,2+$B133,0))+IF(BC$8="X",VLOOKUP(BC$10,'VK-Elekter'!$C:$X,2+$D133,0))+IF(BC$9="X",VLOOKUP(BC$10,'VK-Biokütused'!$C:$U,2+$E133,0))+IF(BC$5="X",VLOOKUP(BC$10,'VK-Põlevkivi'!$C:$X,2+$G133,0))+IF(BC$4="X",VLOOKUP(BC$10,'VK-Võrgud'!$C:$X,2+$F133,0))</f>
        <v>5.2376666666666667</v>
      </c>
      <c r="BD133" s="209">
        <f>IF(BD$7="X",VLOOKUP(BD$10,'VK-Hooned-Soojus'!$C:$X,2+$C133,FALSE),0)+IF(BD$6="X",VLOOKUP(BD$10,'VK-Transport'!$C:$X,2+$B133,0))+IF(BD$8="X",VLOOKUP(BD$10,'VK-Elekter'!$C:$X,2+$D133,0))+IF(BD$9="X",VLOOKUP(BD$10,'VK-Biokütused'!$C:$U,2+$E133,0))+IF(BD$5="X",VLOOKUP(BD$10,'VK-Põlevkivi'!$C:$X,2+$G133,0))+IF(BD$4="X",VLOOKUP(BD$10,'VK-Võrgud'!$C:$X,2+$F133,0))</f>
        <v>9.1105555555555569</v>
      </c>
      <c r="BE133" s="230"/>
      <c r="BF133" s="229">
        <f t="shared" si="64"/>
        <v>0.36791956700630501</v>
      </c>
      <c r="BG133" s="209" t="e">
        <f>(IF(BG$7="X",VLOOKUP(BG$10,'VK-Hooned-Soojus'!$C:$X,2+$C133,FALSE),0)+IF(BG$6="X",VLOOKUP(BG$10,'VK-Transport'!$C:$X,2+$B133,0))+IF(BG$8="X",VLOOKUP(BG$10,'VK-Elekter'!$C:$X,2+$D133,0))+IF(BG$9="X",VLOOKUP(BG$10,'VK-Biokütused'!$C:$U,2+$E133,0))+IF(BG$5="X",VLOOKUP(BG$10,'VK-Põlevkivi'!$C:$X,2+$G133,0))+IF(BG$4="X",VLOOKUP(BG$10,'VK-Võrgud'!$C:$X,2+$F133,0)))/20</f>
        <v>#N/A</v>
      </c>
      <c r="BH133" s="209">
        <f>(IF(BH$7="X",VLOOKUP(BH$10,'VK-Hooned-Soojus'!$C:$X,2+$C133,FALSE),0)+IF(BH$6="X",VLOOKUP(BH$10,'VK-Transport'!$C:$X,2+$B133,0))+IF(BH$8="X",VLOOKUP(BH$10,'VK-Elekter'!$C:$X,2+$D133,0))+IF(BH$9="X",VLOOKUP(BH$10,'VK-Biokütused'!$C:$U,2+$E133,0))+IF(BH$5="X",VLOOKUP(BH$10,'VK-Põlevkivi'!$C:$X,2+$G133,0))+IF(BH$4="X",VLOOKUP(BH$10,'VK-Võrgud'!$C:$X,2+$F133,0)))/20</f>
        <v>84.204999999999998</v>
      </c>
      <c r="BI133" s="209">
        <f>(IF(BI$7="X",VLOOKUP(BI$10,'VK-Hooned-Soojus'!$C:$X,2+$C133,FALSE),0)+IF(BI$6="X",VLOOKUP(BI$10,'VK-Transport'!$C:$X,2+$B133,0))+IF(BI$8="X",VLOOKUP(BI$10,'VK-Elekter'!$C:$X,2+$D133,0))+IF(BI$9="X",VLOOKUP(BI$10,'VK-Biokütused'!$C:$U,2+$E133,0))+IF(BI$5="X",VLOOKUP(BI$10,'VK-Põlevkivi'!$C:$X,2+$G133,0))+IF(BI$4="X",VLOOKUP(BI$10,'VK-Võrgud'!$C:$X,2+$F133,0)))/16</f>
        <v>8.9375</v>
      </c>
      <c r="BJ133" s="209">
        <f>(IF(BJ$7="X",VLOOKUP(BJ$10,'VK-Hooned-Soojus'!$C:$X,2+$C133,FALSE),0)+IF(BJ$6="X",VLOOKUP(BJ$10,'VK-Transport'!$C:$X,2+$B133,0))+IF(BJ$8="X",VLOOKUP(BJ$10,'VK-Elekter'!$C:$X,2+$D133,0))+IF(BJ$9="X",VLOOKUP(BJ$10,'VK-Biokütused'!$C:$U,2+$E133,0))+IF(BJ$5="X",VLOOKUP(BJ$10,'VK-Põlevkivi'!$C:$X,2+$G133,0))+IF(BJ$4="X",VLOOKUP(BJ$10,'VK-Võrgud'!$C:$X,2+$F133,0)))/20</f>
        <v>5.33</v>
      </c>
      <c r="BK133" s="209"/>
      <c r="BL133" s="209"/>
      <c r="BM133" s="209"/>
      <c r="BN133" s="209" t="e">
        <f>(IF(BN$7="X",VLOOKUP(BN$10,'VK-Hooned-Soojus'!$C:$X,2+$C133,FALSE),0)+IF(BN$6="X",VLOOKUP(BN$10,'VK-Transport'!$C:$X,2+$B133,0))+IF(BN$8="X",VLOOKUP(BN$10,'VK-Elekter'!$C:$X,2+$D133,0))+IF(BN$9="X",VLOOKUP(BN$10,'VK-Biokütused'!$C:$U,2+$E133,0))+IF(BN$5="X",VLOOKUP(BN$10,'VK-Põlevkivi'!$C:$X,2+$G133,0))+IF(BN$4="X",VLOOKUP(BN$10,'VK-Võrgud'!$C:$X,2+$F133,0)))/16</f>
        <v>#N/A</v>
      </c>
      <c r="BO133" s="209">
        <f>(IF(BO$7="X",VLOOKUP(BO$10,'VK-Hooned-Soojus'!$C:$X,2+$C133,FALSE),0)+IF(BO$6="X",VLOOKUP(BO$10,'VK-Transport'!$C:$X,2+$B133,0))+IF(BO$8="X",VLOOKUP(BO$10,'VK-Elekter'!$C:$X,2+$D133,0))+IF(BO$9="X",VLOOKUP(BO$10,'VK-Biokütused'!$C:$U,2+$E133,0))+IF(BO$5="X",VLOOKUP(BO$10,'VK-Põlevkivi'!$C:$X,2+$G133,0))+IF(BO$4="X",VLOOKUP(BO$10,'VK-Võrgud'!$C:$X,2+$F133,0)))/16</f>
        <v>322.79374999999999</v>
      </c>
      <c r="BP133" s="209"/>
      <c r="BQ133" s="209">
        <f>(IF(BQ$7="X",VLOOKUP(BQ$10,'VK-Hooned-Soojus'!$C:$X,2+$C133,FALSE),0)+IF(BQ$6="X",VLOOKUP(BQ$10,'VK-Transport'!$C:$X,2+$B133,0))+IF(BQ$8="X",VLOOKUP(BQ$10,'VK-Elekter'!$C:$X,2+$D133,0))+IF(BQ$9="X",VLOOKUP(BQ$10,'VK-Biokütused'!$C:$U,2+$E133,0))+IF(BQ$5="X",VLOOKUP(BQ$10,'VK-Põlevkivi'!$C:$X,2+$G133,0))+IF(BQ$4="X",VLOOKUP(BQ$10,'VK-Võrgud'!$C:$X,2+$F133,0)))/16</f>
        <v>233.20625000000001</v>
      </c>
      <c r="BR133" s="209">
        <f>(IF(BR$7="X",VLOOKUP(BR$10,'VK-Hooned-Soojus'!$C:$X,2+$C133,FALSE),0)+IF(BR$6="X",VLOOKUP(BR$10,'VK-Transport'!$C:$X,2+$B133,0))+IF(BR$8="X",VLOOKUP(BR$10,'VK-Elekter'!$C:$X,2+$D133,0))+IF(BR$9="X",VLOOKUP(BR$10,'VK-Biokütused'!$C:$U,2+$E133,0))+IF(BR$5="X",VLOOKUP(BR$10,'VK-Põlevkivi'!$C:$X,2+$G133,0))+IF(BR$4="X",VLOOKUP(BR$10,'VK-Võrgud'!$C:$X,2+$F133,0)))/16</f>
        <v>74.512500000000003</v>
      </c>
      <c r="BS133" s="209">
        <f>(IF(BS$7="X",VLOOKUP(BS$10,'VK-Hooned-Soojus'!$C:$X,2+$C133,FALSE),0)+IF(BS$6="X",VLOOKUP(BS$10,'VK-Transport'!$C:$X,2+$B133,0))+IF(BS$8="X",VLOOKUP(BS$10,'VK-Elekter'!$C:$X,2+$D133,0))+IF(BS$9="X",VLOOKUP(BS$10,'VK-Biokütused'!$C:$U,2+$E133,0))+IF(BS$5="X",VLOOKUP(BS$10,'VK-Põlevkivi'!$C:$X,2+$G133,0))+IF(BS$4="X",VLOOKUP(BS$10,'VK-Võrgud'!$C:$X,2+$F133,0)))/16</f>
        <v>-21.475000000000001</v>
      </c>
      <c r="BT133" s="209"/>
      <c r="BU133" s="209"/>
      <c r="BV133" s="209">
        <f>(IF(BV$7="X",VLOOKUP(BV$10,'VK-Hooned-Soojus'!$C:$X,2+$C133,FALSE),0)+IF(BV$6="X",VLOOKUP(BV$10,'VK-Transport'!$C:$X,2+$B133,0))+IF(BV$8="X",VLOOKUP(BV$10,'VK-Elekter'!$C:$X,2+$D133,0))+IF(BV$9="X",VLOOKUP(BV$10,'VK-Biokütused'!$C:$U,2+$E133,0))+IF(BV$5="X",VLOOKUP(BV$10,'VK-Põlevkivi'!$C:$X,2+$G133,0))+IF(BV$4="X",VLOOKUP(BV$10,'VK-Võrgud'!$C:$X,2+$F133,0)))/16</f>
        <v>0</v>
      </c>
      <c r="BW133" s="209"/>
      <c r="BX133" s="209">
        <f>(IF(BX$7="X",VLOOKUP(BX$10,'VK-Hooned-Soojus'!$C:$X,2+$C133,FALSE),0)+IF(BX$6="X",VLOOKUP(BX$10,'VK-Transport'!$C:$X,2+$B133,0))+IF(BX$8="X",VLOOKUP(BX$10,'VK-Elekter'!$C:$X,2+$D133,0))+IF(BX$9="X",VLOOKUP(BX$10,'VK-Biokütused'!$C:$U,2+$E133,0))+IF(BX$5="X",VLOOKUP(BX$10,'VK-Põlevkivi'!$C:$X,2+$G133,0))+IF(BX$4="X",VLOOKUP(BX$10,'VK-Võrgud'!$C:$X,2+$F133,0)))/16</f>
        <v>-99.6875</v>
      </c>
      <c r="BY133" s="209"/>
      <c r="BZ133" s="209"/>
      <c r="CA133" s="209" t="e">
        <f>(IF(CA$7="X",VLOOKUP(CA$10,'VK-Hooned-Soojus'!$C:$X,2+$C133,FALSE),0)+IF(CA$6="X",VLOOKUP(CA$10,'VK-Transport'!$C:$X,2+$B133,0))+IF(CA$8="X",VLOOKUP(CA$10,'VK-Elekter'!$C:$X,2+$D133,0))+IF(CA$9="X",VLOOKUP(CA$10,'VK-Biokütused'!$C:$U,2+$E133,0))+IF(CA$5="X",VLOOKUP(CA$10,'VK-Põlevkivi'!$C:$X,2+$G133,0))+IF(CA$4="X",VLOOKUP(CA$10,'VK-Võrgud'!$C:$X,2+$F133,0)))/16</f>
        <v>#N/A</v>
      </c>
      <c r="CB133" s="209">
        <f>(IF(CB$7="X",VLOOKUP(CB$10,'VK-Hooned-Soojus'!$C:$X,2+$C133,FALSE),0)+IF(CB$6="X",VLOOKUP(CB$10,'VK-Transport'!$C:$X,2+$B133,0))+IF(CB$8="X",VLOOKUP(CB$10,'VK-Elekter'!$C:$X,2+$D133,0))+IF(CB$9="X",VLOOKUP(CB$10,'VK-Biokütused'!$C:$U,2+$E133,0))+IF(CB$5="X",VLOOKUP(CB$10,'VK-Põlevkivi'!$C:$X,2+$G133,0))+IF(CB$4="X",VLOOKUP(CB$10,'VK-Võrgud'!$C:$X,2+$F133,0)))/16</f>
        <v>0</v>
      </c>
      <c r="CC133" s="209">
        <f>(IF(CC$7="X",VLOOKUP(CC$10,'VK-Hooned-Soojus'!$C:$X,2+$C133,FALSE),0)+IF(CC$6="X",VLOOKUP(CC$10,'VK-Transport'!$C:$X,2+$B133,0))+IF(CC$8="X",VLOOKUP(CC$10,'VK-Elekter'!$C:$X,2+$D133,0))+IF(CC$9="X",VLOOKUP(CC$10,'VK-Biokütused'!$C:$U,2+$E133,0))+IF(CC$5="X",VLOOKUP(CC$10,'VK-Põlevkivi'!$C:$X,2+$G133,0))+IF(CC$4="X",VLOOKUP(CC$10,'VK-Võrgud'!$C:$X,2+$F133,0)))/16</f>
        <v>0</v>
      </c>
      <c r="CD133" s="209"/>
      <c r="CE133" s="209">
        <f>(IF(CE$7="X",VLOOKUP(CE$10,'VK-Hooned-Soojus'!$C:$X,2+$C133,FALSE),0)+IF(CE$6="X",VLOOKUP(CE$10,'VK-Transport'!$C:$X,2+$B133,0))+IF(CE$8="X",VLOOKUP(CE$10,'VK-Elekter'!$C:$X,2+$D133,0))+IF(CE$9="X",VLOOKUP(CE$10,'VK-Biokütused'!$C:$U,2+$E133,0))+IF(CE$5="X",VLOOKUP(CE$10,'VK-Põlevkivi'!$C:$X,2+$G133,0))+IF(CE$4="X",VLOOKUP(CE$10,'VK-Võrgud'!$C:$X,2+$F133,0)))/16</f>
        <v>24.15625</v>
      </c>
      <c r="CF133" s="209"/>
      <c r="CG133" s="209">
        <f>(IF(CG$7="X",VLOOKUP(CG$10,'VK-Hooned-Soojus'!$C:$X,2+$C133,FALSE),0)+IF(CG$6="X",VLOOKUP(CG$10,'VK-Transport'!$C:$X,2+$B133,0))+IF(CG$8="X",VLOOKUP(CG$10,'VK-Elekter'!$C:$X,2+$D133,0))+IF(CG$9="X",VLOOKUP(CG$10,'VK-Biokütused'!$C:$U,2+$E133,0))+IF(CG$5="X",VLOOKUP(CG$10,'VK-Põlevkivi'!$C:$X,2+$G133,0))+IF(CG$4="X",VLOOKUP(CG$10,'VK-Võrgud'!$C:$X,2+$F133,0)))/16</f>
        <v>0</v>
      </c>
      <c r="CH133" s="209">
        <f>(IF(CH$7="X",VLOOKUP(CH$10,'VK-Hooned-Soojus'!$C:$X,2+$C133,FALSE),0)+IF(CH$6="X",VLOOKUP(CH$10,'VK-Transport'!$C:$X,2+$B133,0))+IF(CH$8="X",VLOOKUP(CH$10,'VK-Elekter'!$C:$X,2+$D133,0))+IF(CH$9="X",VLOOKUP(CH$10,'VK-Biokütused'!$C:$U,2+$E133,0))+IF(CH$5="X",VLOOKUP(CH$10,'VK-Põlevkivi'!$C:$X,2+$G133,0))+IF(CH$4="X",VLOOKUP(CH$10,'VK-Võrgud'!$C:$X,2+$F133,0)))/20*0.21</f>
        <v>26.9178</v>
      </c>
      <c r="CI133" s="209"/>
      <c r="CJ133" s="209">
        <f>(IF(CJ$7="X",VLOOKUP(CJ$10,'VK-Hooned-Soojus'!$C:$X,2+$C133,FALSE),0)+IF(CJ$6="X",VLOOKUP(CJ$10,'VK-Transport'!$C:$X,2+$B133,0))+IF(CJ$8="X",VLOOKUP(CJ$10,'VK-Elekter'!$C:$X,2+$D133,0))+IF(CJ$9="X",VLOOKUP(CJ$10,'VK-Biokütused'!$C:$U,2+$E133,0))+IF(CJ$5="X",VLOOKUP(CJ$10,'VK-Põlevkivi'!$C:$X,2+$G133,0))+IF(CJ$4="X",VLOOKUP(CJ$10,'VK-Võrgud'!$C:$X,2+$F133,0)))/1000</f>
        <v>16.46</v>
      </c>
      <c r="CK133" s="209">
        <f>(IF(CK$7="X",VLOOKUP(CK$10,'VK-Hooned-Soojus'!$C:$X,2+$C133,FALSE),0)+IF(CK$6="X",VLOOKUP(CK$10,'VK-Transport'!$C:$X,2+$B133,0))+IF(CK$8="X",VLOOKUP(CK$10,'VK-Elekter'!$C:$X,2+$D133,0))+IF(CK$9="X",VLOOKUP(CK$10,'VK-Biokütused'!$C:$U,2+$E133,0))+IF(CK$5="X",VLOOKUP(CK$10,'VK-Põlevkivi'!$C:$X,2+$G133,0))+IF(CK$4="X",VLOOKUP(CK$10,'VK-Võrgud'!$C:$X,2+$F133,0)))/1000</f>
        <v>11.220496548433506</v>
      </c>
      <c r="CL133" s="235">
        <f>(IF(CL$7="X",VLOOKUP(CL$10,'VK-Hooned-Soojus'!$C:$X,2+$C133,FALSE),0)+IF(CL$6="X",VLOOKUP(CL$10,'VK-Transport'!$C:$X,2+$B133,0))+IF(CL$8="X",VLOOKUP(CL$10,'VK-Elekter'!$C:$X,2+$D133,0))+IF(CL$9="X",VLOOKUP(CL$10,'VK-Biokütused'!$C:$U,2+$E133,0)))/1000</f>
        <v>7.1506303115986807</v>
      </c>
      <c r="CM133" s="209">
        <f>(IF(CM$7="X",VLOOKUP(CM$10,'VK-Hooned-Soojus'!$C:$X,2+$C133,FALSE),0)+IF(CM$6="X",VLOOKUP(CM$10,'VK-Transport'!$C:$X,2+$B133,0))+IF(CM$8="X",VLOOKUP(CM$10,'VK-Elekter'!$C:$X,2+$D133,0))+IF(CM$9="X",VLOOKUP(CM$10,'VK-Biokütused'!$C:$U,2+$E133,0))+IF(CM$5="X",VLOOKUP(CM$10,'VK-Põlevkivi'!$C:$X,2+$G133,0))+IF(CM$4="X",VLOOKUP(CM$10,'VK-Võrgud'!$C:$X,2+$F133,0)))/1000</f>
        <v>7.5609999999999999</v>
      </c>
      <c r="CN133" s="209">
        <f>(IF(CN$7="X",VLOOKUP(CN$10,'VK-Hooned-Soojus'!$C:$X,2+$C133,FALSE),0)+IF(CN$6="X",VLOOKUP(CN$10,'VK-Transport'!$C:$X,2+$B133,0))+IF(CN$8="X",VLOOKUP(CN$10,'VK-Elekter'!$C:$X,2+$D133,0))+IF(CN$9="X",VLOOKUP(CN$10,'VK-Biokütused'!$C:$U,2+$E133,0))+IF(CN$5="X",VLOOKUP(CN$10,'VK-Põlevkivi'!$C:$X,2+$G133,0))+IF(CN$4="X",VLOOKUP(CN$10,'VK-Võrgud'!$C:$X,2+$F133,0)))/1000</f>
        <v>2.7810000000000001</v>
      </c>
      <c r="CO133" s="209">
        <f>(IF(CO$7="X",VLOOKUP(CO$10,'VK-Hooned-Soojus'!$C:$X,2+$C133,FALSE),0)+IF(CO$6="X",VLOOKUP(CO$10,'VK-Transport'!$C:$X,2+$B133,0))+IF(CO$8="X",VLOOKUP(CO$10,'VK-Elekter'!$C:$X,2+$D133,0))+IF(CO$9="X",VLOOKUP(CO$10,'VK-Biokütused'!$C:$U,2+$E133,0))+IF(CO$5="X",VLOOKUP(CO$10,'VK-Põlevkivi'!$C:$X,2+$G133,0))+IF(CO$4="X",VLOOKUP(CO$10,'VK-Võrgud'!$C:$X,2+$F133,0)))/1000</f>
        <v>23.561362337356993</v>
      </c>
      <c r="CP133" s="209">
        <f>(IF(CP$7="X",VLOOKUP(CP$10,'VK-Hooned-Soojus'!$C:$X,2+$C133,FALSE),0)+IF(CP$6="X",VLOOKUP(CP$10,'VK-Transport'!$C:$X,2+$B133,0))+IF(CP$8="X",VLOOKUP(CP$10,'VK-Elekter'!$C:$X,2+$D133,0))+IF(CP$9="X",VLOOKUP(CP$10,'VK-Biokütused'!$C:$U,2+$E133,0))+IF(CP$5="X",VLOOKUP(CP$10,'VK-Põlevkivi'!$C:$X,2+$G133,0))+IF(CP$4="X",VLOOKUP(CP$10,'VK-Võrgud'!$C:$X,2+$F133,0)))/1000</f>
        <v>13.40539212069366</v>
      </c>
      <c r="CQ133" s="235">
        <f>(IF(CQ$7="X",VLOOKUP(CQ$10,'VK-Hooned-Soojus'!$C:$X,2+$C133,FALSE),0)+IF(CQ$6="X",VLOOKUP(CQ$10,'VK-Transport'!$C:$X,2+$B133,0))+IF(CQ$8="X",VLOOKUP(CQ$10,'VK-Elekter'!$C:$X,2+$D133,0))+IF(CQ$9="X",VLOOKUP(CQ$10,'VK-Biokütused'!$C:$U,2+$E133,0)))/1000</f>
        <v>10.218919</v>
      </c>
      <c r="CR133" s="209">
        <f>(IF(CR$7="X",VLOOKUP(CR$10,'VK-Hooned-Soojus'!$C:$X,2+$C133,FALSE),0)+IF(CR$6="X",VLOOKUP(CR$10,'VK-Transport'!$C:$X,2+$B133,0))+IF(CR$8="X",VLOOKUP(CR$10,'VK-Elekter'!$C:$X,2+$D133,0))+IF(CR$9="X",VLOOKUP(CR$10,'VK-Biokütused'!$C:$U,2+$E133,0))+IF(CR$5="X",VLOOKUP(CR$10,'VK-Põlevkivi'!$C:$X,2+$G133,0))+IF(CR$4="X",VLOOKUP(CR$10,'VK-Võrgud'!$C:$X,2+$F133,0)))/1000</f>
        <v>7.6817518373996894</v>
      </c>
      <c r="CS133" s="209">
        <f>(IF(CS$7="X",VLOOKUP(CS$10,'VK-Hooned-Soojus'!$C:$X,2+$C133,FALSE),0)+IF(CS$6="X",VLOOKUP(CS$10,'VK-Transport'!$C:$X,2+$B133,0))+IF(CS$8="X",VLOOKUP(CS$10,'VK-Elekter'!$C:$X,2+$D133,0))+IF(CS$9="X",VLOOKUP(CS$10,'VK-Biokütused'!$C:$U,2+$E133,0))+IF(CS$5="X",VLOOKUP(CS$10,'VK-Põlevkivi'!$C:$X,2+$G133,0))+IF(CS$4="X",VLOOKUP(CS$10,'VK-Võrgud'!$C:$X,2+$F133,0)))/1000</f>
        <v>3.7686495098622381</v>
      </c>
      <c r="CT133" s="209">
        <f>IF(CT$7="X",VLOOKUP(CT$10,'VK-Hooned-Soojus'!$C:$X,2+$C133,FALSE),0)+IF(CT$6="X",VLOOKUP(CT$10,'VK-Transport'!$C:$X,2+$B133,0))+IF(CT$8="X",VLOOKUP(CT$10,'VK-Elekter'!$C:$X,2+$D133,0))+IF(CT$9="X",VLOOKUP(CT$10,'VK-Biokütused'!$C:$U,2+$E133,0))+IF(CT$5="X",VLOOKUP(CT$10,'VK-Põlevkivi'!$C:$X,2+$G133,0))+IF(CT$4="X",VLOOKUP(CT$10,'VK-Võrgud'!$C:$X,2+$F133,0))</f>
        <v>90</v>
      </c>
      <c r="CU133" s="209">
        <f>IF(CU$7="X",VLOOKUP(CU$10,'VK-Hooned-Soojus'!$C:$X,2+$C133,FALSE),0)+IF(CU$6="X",VLOOKUP(CU$10,'VK-Transport'!$C:$X,2+$B133,0))+IF(CU$8="X",VLOOKUP(CU$10,'VK-Elekter'!$C:$X,2+$D133,0))+IF(CU$9="X",VLOOKUP(CU$10,'VK-Biokütused'!$C:$U,2+$E133,0))+IF(CU$5="X",VLOOKUP(CU$10,'VK-Põlevkivi'!$C:$X,2+$G133,0))+IF(CU$4="X",VLOOKUP(CU$10,'VK-Võrgud'!$C:$X,2+$F133,0))</f>
        <v>0.72088353413654627</v>
      </c>
      <c r="CV133" s="209">
        <f t="shared" si="84"/>
        <v>0.72887234460741646</v>
      </c>
      <c r="CW133" s="209">
        <f>(IF(CW$7="X",VLOOKUP(CW$10,'VK-Hooned-Soojus'!$C:$X,2+$C133,FALSE),0)+IF(CW$6="X",VLOOKUP(CW$10,'VK-Transport'!$C:$X,2+$B133,0))+IF(CW$8="X",VLOOKUP(CW$10,'VK-Elekter'!$C:$X,2+$D133,0))+IF(CW$9="X",VLOOKUP(CW$10,'VK-Biokütused'!$C:$U,2+$E133,0))+IF(CW$5="X",VLOOKUP(CW$10,'VK-Põlevkivi'!$C:$X,2+$G133,0))+IF(CW$4="X",VLOOKUP(CW$10,'VK-Võrgud'!$C:$X,2+$F133,0)))/16</f>
        <v>126.01875</v>
      </c>
      <c r="CY133" s="209">
        <f>(IF(CY$7="X",VLOOKUP(CY$10,'VK-Hooned-Soojus'!$C:$X,2+$C133,FALSE),0)+IF(CY$6="X",VLOOKUP(CY$10,'VK-Transport'!$C:$X,2+$B133,0))+IF(CY$8="X",VLOOKUP(CY$10,'VK-Elekter'!$C:$X,2+$D133,0))+IF(CY$9="X",VLOOKUP(CY$10,'VK-Biokütused'!$C:$U,2+$E133,0))+IF(CY$5="X",VLOOKUP(CY$10,'VK-Põlevkivi'!$C:$X,2+$G133,0))+IF(CY$4="X",VLOOKUP(CY$10,'VK-Võrgud'!$C:$X,2+$F133,0)))/1000</f>
        <v>9.9949999999999992</v>
      </c>
      <c r="CZ133" s="209">
        <f>(IF(CZ$7="X",VLOOKUP(CZ$10,'VK-Hooned-Soojus'!$C:$X,2+$C133,FALSE),0)+IF(CZ$6="X",VLOOKUP(CZ$10,'VK-Transport'!$C:$X,2+$B133,0))+IF(CZ$8="X",VLOOKUP(CZ$10,'VK-Elekter'!$C:$X,2+$D133,0))+IF(CZ$9="X",VLOOKUP(CZ$10,'VK-Biokütused'!$C:$U,2+$E133,0))+IF(CZ$5="X",VLOOKUP(CZ$10,'VK-Põlevkivi'!$C:$X,2+$G133,0))+IF(CZ$4="X",VLOOKUP(CZ$10,'VK-Võrgud'!$C:$X,2+$F133,0)))</f>
        <v>69</v>
      </c>
      <c r="DA133" s="209">
        <f>(IF(DA$7="X",VLOOKUP(DA$10,'VK-Hooned-Soojus'!$C:$X,2+$C133,FALSE),0)+IF(DA$6="X",VLOOKUP(DA$10,'VK-Transport'!$C:$X,2+$B133,0))+IF(DA$8="X",VLOOKUP(DA$10,'VK-Elekter'!$C:$X,2+$D133,0))+IF(DA$9="X",VLOOKUP(DA$10,'VK-Biokütused'!$C:$U,2+$E133,0))+IF(DA$5="X",VLOOKUP(DA$10,'VK-Põlevkivi'!$C:$X,2+$G133,0))+IF(DA$4="X",VLOOKUP(DA$10,'VK-Võrgud'!$C:$X,2+$F133,0)))/1000</f>
        <v>12.974</v>
      </c>
      <c r="DB133" s="209">
        <f>(IF(DB$7="X",VLOOKUP(DB$10,'VK-Hooned-Soojus'!$C:$X,2+$C133,FALSE),0)+IF(DB$6="X",VLOOKUP(DB$10,'VK-Transport'!$C:$X,2+$B133,0))+IF(DB$8="X",VLOOKUP(DB$10,'VK-Elekter'!$C:$X,2+$D133,0))+IF(DB$9="X",VLOOKUP(DB$10,'VK-Biokütused'!$C:$U,2+$E133,0))+IF(DB$5="X",VLOOKUP(DB$10,'VK-Põlevkivi'!$C:$X,2+$G133,0))+IF(DB$4="X",VLOOKUP(DB$10,'VK-Võrgud'!$C:$X,2+$F133,0)))/1000/3.6</f>
        <v>58.247500000000002</v>
      </c>
      <c r="DC133" s="209">
        <f>(IF(DC$7="X",VLOOKUP(DC$10,'VK-Hooned-Soojus'!$C:$X,2+$C133,FALSE),0)+IF(DC$6="X",VLOOKUP(DC$10,'VK-Transport'!$C:$X,2+$B133,0))+IF(DC$8="X",VLOOKUP(DC$10,'VK-Elekter'!$C:$X,2+$D133,0))+IF(DC$9="X",VLOOKUP(DC$10,'VK-Biokütused'!$C:$U,2+$E133,0))+IF(DC$5="X",VLOOKUP(DC$10,'VK-Põlevkivi'!$C:$X,2+$G133,0))+IF(DC$4="X",VLOOKUP(DC$10,'VK-Võrgud'!$C:$X,2+$F133,0)))/1000000</f>
        <v>4.7186810000000001</v>
      </c>
      <c r="DD133" s="209"/>
      <c r="DE133" s="88">
        <f>VLOOKUP(Tulemused!$BN$12,data!M$7:N$12,2,FALSE)-SUM(L133,M133)</f>
        <v>0.39749062697563176</v>
      </c>
      <c r="DF133" s="209" t="str">
        <f>IF(AZ133&lt;=VLOOKUP(Tulemused!$BN$15,data!$E$36:$F$39,2,FALSE),"JAH","EI")</f>
        <v>JAH</v>
      </c>
      <c r="DG133" s="209"/>
      <c r="DH133" s="209">
        <f t="shared" si="85"/>
        <v>6.08</v>
      </c>
      <c r="DI133" s="231" t="str">
        <f t="shared" si="65"/>
        <v>JAH</v>
      </c>
      <c r="DK133" s="232">
        <f t="shared" si="86"/>
        <v>7.4639793718541156</v>
      </c>
      <c r="DM133" s="233">
        <f t="shared" si="87"/>
        <v>-998.12004346000606</v>
      </c>
      <c r="DN133" s="87">
        <f t="array" ref="DN133">INDEX($A$11:$A$145, SMALL(IF(DM133=$DK$11:$DK$145, MATCH(ROW($DK$11:$DK$145), ROW($DK$11:$DK$145))), SUM(--(DM133=$DM$11:DM133))))</f>
        <v>3</v>
      </c>
      <c r="DP133" s="87" t="e">
        <f t="shared" ca="1" si="66"/>
        <v>#N/A</v>
      </c>
      <c r="DQ133" s="87" t="e">
        <f t="shared" ca="1" si="67"/>
        <v>#N/A</v>
      </c>
      <c r="DR133" s="87">
        <f t="shared" ca="1" si="68"/>
        <v>0</v>
      </c>
      <c r="DS133" s="87" t="e">
        <f t="shared" ca="1" si="69"/>
        <v>#N/A</v>
      </c>
      <c r="DT133" s="87">
        <f t="shared" ca="1" si="70"/>
        <v>0</v>
      </c>
      <c r="DU133" s="87" t="e">
        <f t="shared" ca="1" si="71"/>
        <v>#N/A</v>
      </c>
      <c r="DV133" s="87" t="e">
        <f t="shared" ca="1" si="72"/>
        <v>#N/A</v>
      </c>
      <c r="DW133" s="87">
        <f t="shared" ca="1" si="73"/>
        <v>0</v>
      </c>
      <c r="DX133" s="87">
        <f t="shared" ca="1" si="74"/>
        <v>0</v>
      </c>
      <c r="DZ133" s="87">
        <f t="shared" ca="1" si="82"/>
        <v>0</v>
      </c>
      <c r="EB133" s="87">
        <f t="shared" ca="1" si="75"/>
        <v>0</v>
      </c>
      <c r="EC133" s="87" t="e">
        <f t="shared" ca="1" si="76"/>
        <v>#N/A</v>
      </c>
      <c r="EE133" s="228">
        <f>(IF(EE$7="X",VLOOKUP(EE$10,'VK-Hooned-Soojus'!$C:$X,2+$C133,FALSE),0)+IF(EE$6="X",VLOOKUP(EE$10,'VK-Transport'!$C:$X,2+$B133,0))+IF(EE$8="X",VLOOKUP(EE$10,'VK-Elekter'!$C:$X,2+$D133,0))+IF(EE$9="X",VLOOKUP(EE$10,'VK-Biokütused'!$C:$U,2+$E133,0))+IF(EE$5="X",VLOOKUP(EE$10,'VK-Põlevkivi'!$C:$X,2+$G133,0))+IF(EE$4="X",VLOOKUP(EE$10,'VK-Võrgud'!$C:$X,2+$F133,0)))</f>
        <v>12187.529827650869</v>
      </c>
      <c r="EF133" s="235">
        <f>(IF(EF$7="X",VLOOKUP(EF$10,'VK-Hooned-Soojus'!$C:$X,2+$C133,FALSE),0)+IF(EF$6="X",VLOOKUP(EF$10,'VK-Transport'!$C:$X,2+$B133,0))+IF(EF$8="X",VLOOKUP(EF$10,'VK-Elekter'!$C:$X,2+$D133,0))+IF(EF$9="X",VLOOKUP(EF$10,'VK-Biokütused'!$C:$U,2+$E133,0)))/1000</f>
        <v>2.7248849906373196</v>
      </c>
      <c r="EG133" s="209">
        <f>(IF(EG$7="X",VLOOKUP(EG$10,'VK-Hooned-Soojus'!$C:$X,2+$C133,FALSE),0)+IF(EG$6="X",VLOOKUP(EG$10,'VK-Transport'!$C:$X,2+$B133,0))+IF(EG$8="X",VLOOKUP(EG$10,'VK-Elekter'!$C:$X,2+$D133,0))+IF(EG$9="X",VLOOKUP(EG$10,'VK-Biokütused'!$C:$U,2+$E133,0))+IF(EG$5="X",VLOOKUP(EG$10,'VK-Põlevkivi'!$C:$X,2+$G133,0))+IF(EG$4="X",VLOOKUP(EG$10,'VK-Võrgud'!$C:$X,2+$F133,0)))</f>
        <v>0.81</v>
      </c>
      <c r="EH133" s="209">
        <f>(IF(EH$7="X",VLOOKUP(EH$10,'VK-Hooned-Soojus'!$C:$X,2+$C133,FALSE),0)+IF(EH$6="X",VLOOKUP(EH$10,'VK-Transport'!$C:$X,2+$B133,0))+IF(EH$8="X",VLOOKUP(EH$10,'VK-Elekter'!$C:$X,2+$D133,0))+IF(EH$9="X",VLOOKUP(EH$10,'VK-Biokütused'!$C:$U,2+$E133,0)))+AR133+AS133+AU133+AX133</f>
        <v>51.144637038771791</v>
      </c>
      <c r="EI133" s="320">
        <f t="shared" si="88"/>
        <v>43.302900516795866</v>
      </c>
      <c r="EJ133" s="322">
        <f t="shared" si="89"/>
        <v>2.5620074329845279E-2</v>
      </c>
      <c r="EK133" s="323">
        <f t="shared" si="77"/>
        <v>0.447957193299102</v>
      </c>
      <c r="EM133" s="209"/>
      <c r="EN133" s="209">
        <f t="shared" ca="1" si="90"/>
        <v>0</v>
      </c>
      <c r="EO133" s="209"/>
      <c r="EP133" s="234"/>
      <c r="EQ133" s="209">
        <f>(IF(EQ$7="X",VLOOKUP(EQ$10,'VK-Hooned-Soojus'!$C:$X,2+$C133,FALSE),0)+IF(EQ$6="X",VLOOKUP(EQ$10,'VK-Transport'!$C:$X,2+$B133,0))+IF(EQ$8="X",VLOOKUP(EQ$10,'VK-Elekter'!$C:$X,2+$D133,0))+IF(EQ$9="X",VLOOKUP(EQ$10,'VK-Biokütused'!$C:$U,2+$E133,0))+IF(EQ$5="X",VLOOKUP(EQ$10,'VK-Põlevkivi'!$C:$X,2+$G133,0))+IF(EQ$4="X",VLOOKUP(EQ$10,'VK-Võrgud'!$C:$X,2+$F133,0)))/1000</f>
        <v>0.19900000000000001</v>
      </c>
      <c r="ER133" s="209">
        <f>(IF(ER$7="X",VLOOKUP(ER$10,'VK-Hooned-Soojus'!$C:$X,2+$C133,FALSE),0)+IF(ER$6="X",VLOOKUP(ER$10,'VK-Transport'!$C:$X,2+$B133,0))+IF(ER$8="X",VLOOKUP(ER$10,'VK-Elekter'!$C:$X,2+$D133,0))+IF(ER$9="X",VLOOKUP(ER$10,'VK-Biokütused'!$C:$U,2+$E133,0))+IF(ER$5="X",VLOOKUP(ER$10,'VK-Põlevkivi'!$C:$X,2+$G133,0))+IF(ER$4="X",VLOOKUP(ER$10,'VK-Võrgud'!$C:$X,2+$F133,0)))</f>
        <v>0.72299999999999998</v>
      </c>
      <c r="ES133" s="209">
        <f>(IF(ES$7="X",VLOOKUP(ES$10,'VK-Hooned-Soojus'!$C:$X,2+$C133,FALSE),0)+IF(ES$6="X",VLOOKUP(ES$10,'VK-Transport'!$C:$X,2+$B133,0))+IF(ES$8="X",VLOOKUP(ES$10,'VK-Elekter'!$C:$X,2+$D133,0))+IF(ES$9="X",VLOOKUP(ES$10,'VK-Biokütused'!$C:$U,2+$E133,0))+IF(ES$5="X",VLOOKUP(ES$10,'VK-Põlevkivi'!$C:$X,2+$G133,0))+IF(ES$4="X",VLOOKUP(ES$10,'VK-Võrgud'!$C:$X,2+$F133,0)))</f>
        <v>6.08</v>
      </c>
      <c r="ET133" s="209"/>
      <c r="EU133" s="209"/>
      <c r="EV133" s="87">
        <f>'KSH järjestus'!AS126</f>
        <v>598</v>
      </c>
      <c r="EZ133" s="237">
        <f t="shared" si="91"/>
        <v>0.27911646586345373</v>
      </c>
      <c r="FA133" s="209">
        <f>IF(FA$7="X",VLOOKUP(FA$10,'VK-Hooned-Soojus'!$C:$X,2+$C133,FALSE),0)+IF(FA$6="X",VLOOKUP(FA$10,'VK-Transport'!$C:$X,2+$B133,0))+IF(FA$8="X",VLOOKUP(FA$10,'VK-Elekter'!$C:$X,2+$D133,0))+IF(FA$9="X",VLOOKUP(FA$10,'VK-Biokütused'!$C:$U,2+$E133,0))+IF(FA$5="X",VLOOKUP(FA$10,'VK-Põlevkivi'!$C:$X,2+$G133,0))+IF(FA$4="X",VLOOKUP(FA$10,'VK-Võrgud'!$C:$X,2+$F133,0))</f>
        <v>2989.9189999999999</v>
      </c>
      <c r="FB133" s="279">
        <f>(IF(FB$7="X",VLOOKUP(FB$10,'VK-Hooned-Soojus'!$C:$X,2+$C133,FALSE),0)+IF(FB$6="X",VLOOKUP(FB$10,'VK-Transport'!$C:$X,2+$B133,0))+IF(FB$8="X",VLOOKUP(FB$10,'VK-Elekter'!$C:$X,2+$D133,0))+IF(FB$9="X",VLOOKUP(FB$10,'VK-Biokütused'!$C:$U,2+$E133,0))+IF(FB$5="X",VLOOKUP(FB$10,'VK-Põlevkivi'!$C:$X,2+$G133,0))+IF(FB$4="X",VLOOKUP(FB$10,'VK-Võrgud'!$C:$X,2+$F133,0)))/16</f>
        <v>592.05709121628752</v>
      </c>
      <c r="FC133" s="209">
        <f>IF(FC$7="X",VLOOKUP(FC$10,'VK-Hooned-Soojus'!$C:$X,2+$C133,FALSE),0)+IF(FC$6="X",VLOOKUP(FC$10,'VK-Transport'!$C:$X,2+$B133,0))+IF(FC$8="X",VLOOKUP(FC$10,'VK-Elekter'!$C:$X,2+$D133,0))+IF(FC$9="X",VLOOKUP(FC$10,'VK-Biokütused'!$C:$U,2+$E133,0))+IF(FC$5="X",VLOOKUP(FC$10,'VK-Põlevkivi'!$C:$X,2+$G133,0))+IF(FC$4="X",VLOOKUP(FC$10,'VK-Võrgud'!$C:$X,2+$F133,0))</f>
        <v>285</v>
      </c>
      <c r="FD133" s="209">
        <f>(IF(FD$7="X",VLOOKUP(FD$10,'VK-Hooned-Soojus'!$C:$X,2+$C133,FALSE),0)+IF(FD$6="X",VLOOKUP(FD$10,'VK-Transport'!$C:$X,2+$B133,0))+IF(FD$8="X",VLOOKUP(FD$10,'VK-Elekter'!$C:$X,2+$D133,0))+IF(FD$9="X",VLOOKUP(FD$10,'VK-Biokütused'!$C:$U,2+$E133,0))+IF(FD$5="X",VLOOKUP(FD$10,'VK-Põlevkivi'!$C:$X,2+$G133,0))+IF(FD$4="X",VLOOKUP(FD$10,'VK-Võrgud'!$C:$X,2+$F133,0)))/16</f>
        <v>592.05709121628752</v>
      </c>
      <c r="FE133" s="209">
        <f>(IF(FE$7="X",VLOOKUP(FE$10,'VK-Hooned-Soojus'!$C:$X,2+$C133,FALSE),0)+IF(FE$6="X",VLOOKUP(FE$10,'VK-Transport'!$C:$X,2+$B133,0))+IF(FE$8="X",VLOOKUP(FE$10,'VK-Elekter'!$C:$X,2+$D133,0))+IF(FE$9="X",VLOOKUP(FE$10,'VK-Biokütused'!$C:$U,2+$E133,0))+IF(FE$5="X",VLOOKUP(FE$10,'VK-Põlevkivi'!$C:$X,2+$G133,0))+IF(FE$4="X",VLOOKUP(FE$10,'VK-Võrgud'!$C:$X,2+$F133,0)))/16</f>
        <v>-197.29831369909104</v>
      </c>
      <c r="FF133" s="209">
        <f>(IF(FF$7="X",VLOOKUP(FF$10,'VK-Hooned-Soojus'!$C:$X,2+$C133,FALSE),0)+IF(FF$6="X",VLOOKUP(FF$10,'VK-Transport'!$C:$X,2+$B133,0))+IF(FF$8="X",VLOOKUP(FF$10,'VK-Elekter'!$C:$X,2+$D133,0))+IF(FF$9="X",VLOOKUP(FF$10,'VK-Biokütused'!$C:$U,2+$E133,0))+IF(FF$5="X",VLOOKUP(FF$10,'VK-Põlevkivi'!$C:$X,2+$G133,0))+IF(FF$4="X",VLOOKUP(FF$10,'VK-Võrgud'!$C:$X,2+$F133,0)))/16</f>
        <v>254.73158255253148</v>
      </c>
      <c r="FG133" s="88">
        <f t="shared" ca="1" si="78"/>
        <v>57.433268853440438</v>
      </c>
      <c r="FH133" s="88"/>
      <c r="FI133" s="88"/>
      <c r="FJ133" s="88">
        <f>VLOOKUP(Tulemused!$BN$12,data!M$7:N$12,2,FALSE)-SUM(L133,M133)</f>
        <v>0.39749062697563176</v>
      </c>
      <c r="FK133" s="209" t="str">
        <f>IF(AZ133&lt;=VLOOKUP(Tulemused!$BN$15,data!$E$36:$F$39,2,FALSE),"JAH","EI")</f>
        <v>JAH</v>
      </c>
      <c r="FL133" s="235">
        <f ca="1">IF(ISNA(MATCH($A133,INDIRECT(VLOOKUP(Tulemused!$BF$11,data!$J$57:$M$71,4,FALSE)))),0,MATCH($A133,INDIRECT(VLOOKUP(Tulemused!$BF$11,data!$J$57:$M$71,4,FALSE))))</f>
        <v>0</v>
      </c>
      <c r="FM133" s="235" t="str">
        <f t="shared" ca="1" si="92"/>
        <v>JAH</v>
      </c>
      <c r="FN133" s="209">
        <f>VLOOKUP(Tulemused!$BN$13,data!$C$132:$D$137,2,FALSE)-KOMBI!R133</f>
        <v>4.6218850093626802</v>
      </c>
      <c r="FO133" s="209"/>
      <c r="FP133" s="209">
        <f>VLOOKUP(Tulemused!$BN$17,NO_x,2,FALSE)-CJ133</f>
        <v>12.977999999999998</v>
      </c>
      <c r="FQ133" s="209">
        <f>VLOOKUP(Tulemused!$BN$18,SO_2,2,FALSE)-CK133</f>
        <v>40.663503451566498</v>
      </c>
      <c r="FR133" s="209">
        <f>VLOOKUP(Tulemused!$BN$19,LOU,2,FALSE)-CN133</f>
        <v>34.299000000000007</v>
      </c>
      <c r="FS133" s="209">
        <f>VLOOKUP(Tulemused!$BN$20,PM_2.5,2,FALSE)-CM133</f>
        <v>9.3539999999999992</v>
      </c>
      <c r="FT133" s="209">
        <f>VLOOKUP(Tulemused!$BN$13,data!$C$132:$D$137,2,FALSE)-FA133/1000</f>
        <v>3.2560510000000007</v>
      </c>
      <c r="FU133" s="209">
        <f>VLOOKUP(Tulemused!$BN$17,NO_x,2,FALSE)-CO133</f>
        <v>5.8766376626430059</v>
      </c>
      <c r="FV133" s="209">
        <f>VLOOKUP(Tulemused!$BN$18,SO_2,2,FALSE)-CP133</f>
        <v>38.478607879306338</v>
      </c>
      <c r="FW133" s="209">
        <f>VLOOKUP(Tulemused!$BN$19,LOU,2,FALSE)-CS133</f>
        <v>33.311350490137769</v>
      </c>
      <c r="FX133" s="209">
        <f>VLOOKUP(Tulemused!$BN$20,PM_2.5,2,FALSE)-CR133</f>
        <v>9.2332481626003098</v>
      </c>
      <c r="FY133" s="209">
        <f>VLOOKUP(Tulemused!$BN$14,KHG_2050,2,FALSE)-EF133</f>
        <v>97.275115009362679</v>
      </c>
      <c r="FZ133" s="231" t="str">
        <f t="shared" ca="1" si="79"/>
        <v>JAH</v>
      </c>
      <c r="GA133" s="209"/>
      <c r="GB133" s="209"/>
      <c r="GC133" s="209"/>
      <c r="GD133" s="231"/>
      <c r="GE133" s="87">
        <f t="shared" si="93"/>
        <v>598</v>
      </c>
      <c r="GF133" s="232">
        <f t="shared" ca="1" si="80"/>
        <v>598</v>
      </c>
      <c r="GH133" s="238" t="e">
        <f t="shared" ca="1" si="94"/>
        <v>#NUM!</v>
      </c>
      <c r="GI133" s="87" t="e">
        <f t="array" aca="1" ref="GI133" ca="1">INDEX($A$11:$A$145, SMALL(IF(GH133=$GF$11:$GF$145, MATCH(ROW($GF$11:$GF$145), ROW($GF$11:$GF$145))), SUM(--(GH133=$GH$11:GH133))))</f>
        <v>#NUM!</v>
      </c>
      <c r="GM133" s="209">
        <f>IF(GM$7="X",VLOOKUP(GM$10,'VK-Hooned-Soojus'!$C:$X,2+$C133,FALSE),0)+IF(GM$6="X",VLOOKUP(GM$10,'VK-Transport'!$C:$X,2+$B133,0))+IF(GM$8="X",VLOOKUP(GM$10,'VK-Elekter'!$C:$X,2+$D133,0))+IF(GM$9="X",VLOOKUP(GM$10,'VK-Biokütused'!$C:$U,2+$E133,0))+IF(GM$5="X",VLOOKUP(GM$10,'VK-Põlevkivi'!$C:$X,2+$G133,0))+IF(GM$4="X",VLOOKUP(GM$10,'VK-Võrgud'!$C:$X,2+$F133,0))</f>
        <v>6.012827991027228</v>
      </c>
      <c r="GN133" s="209">
        <f>IF(GN$7="X",VLOOKUP(GN$10,'VK-Hooned-Soojus'!$C:$X,2+$C133,FALSE),0)+IF(GN$6="X",VLOOKUP(GN$10,'VK-Transport'!$C:$X,2+$B133,0))+IF(GN$8="X",VLOOKUP(GN$10,'VK-Elekter'!$C:$X,2+$D133,0))+IF(GN$9="X",VLOOKUP(GN$10,'VK-Biokütused'!$C:$U,2+$E133,0))+IF(GN$5="X",VLOOKUP(GN$10,'VK-Põlevkivi'!$C:$X,2+$G133,0))+IF(GN$4="X",VLOOKUP(GN$10,'VK-Võrgud'!$C:$X,2+$F133,0))</f>
        <v>3.4467619395011728</v>
      </c>
      <c r="GO133" s="209">
        <f>IF(GO$7="X",VLOOKUP(GO$10,'VK-Hooned-Soojus'!$C:$X,2+$C133,FALSE),0)+IF(GO$6="X",VLOOKUP(GO$10,'VK-Transport'!$C:$X,2+$B133,0))+IF(GO$8="X",VLOOKUP(GO$10,'VK-Elekter'!$C:$X,2+$D133,0))+IF(GO$9="X",VLOOKUP(GO$10,'VK-Biokütused'!$C:$U,2+$E133,0))+IF(GO$5="X",VLOOKUP(GO$10,'VK-Põlevkivi'!$C:$X,2+$G133,0))+IF(GO$4="X",VLOOKUP(GO$10,'VK-Võrgud'!$C:$X,2+$F133,0))</f>
        <v>7.5763700102722566</v>
      </c>
      <c r="GP133" s="209">
        <f>IF(GP$7="X",VLOOKUP(GP$10,'VK-Hooned-Soojus'!$C:$X,2+$C133,FALSE),0)+IF(GP$6="X",VLOOKUP(GP$10,'VK-Transport'!$C:$X,2+$B133,0))+IF(GP$8="X",VLOOKUP(GP$10,'VK-Elekter'!$C:$X,2+$D133,0))+IF(GP$9="X",VLOOKUP(GP$10,'VK-Biokütused'!$C:$U,2+$E133,0))+IF(GP$5="X",VLOOKUP(GP$10,'VK-Põlevkivi'!$C:$X,2+$G133,0))+IF(GP$4="X",VLOOKUP(GP$10,'VK-Võrgud'!$C:$X,2+$F133,0))</f>
        <v>8.9326558040707589</v>
      </c>
      <c r="GQ133" s="88">
        <f>IF(GQ$7="X",VLOOKUP(GQ$10,'VK-Hooned-Soojus'!$C:$X,2+$C133,FALSE),0)+IF(GQ$6="X",VLOOKUP(GQ$10,'VK-Transport'!$C:$X,2+$B133,0))+IF(GQ$8="X",VLOOKUP(GQ$10,'VK-Elekter'!$C:$X,2+$D133,0))+IF(GQ$9="X",VLOOKUP(GQ$10,'VK-Biokütused'!$C:$U,2+$E133,0))+IF(GQ$5="X",VLOOKUP(GQ$10,'VK-Põlevkivi'!$C:$X,2+$G133,0))+IF(GQ$4="X",VLOOKUP(GQ$10,'VK-Võrgud'!$C:$X,2+$F133,0))</f>
        <v>0.89042766952822527</v>
      </c>
      <c r="GR133" s="186">
        <f t="shared" si="81"/>
        <v>0.4091172758825713</v>
      </c>
    </row>
    <row r="134" spans="1:200" x14ac:dyDescent="0.2">
      <c r="A134" s="184">
        <v>124</v>
      </c>
      <c r="B134" s="87">
        <v>3</v>
      </c>
      <c r="C134" s="87">
        <v>3</v>
      </c>
      <c r="D134" s="87">
        <v>2</v>
      </c>
      <c r="E134" s="87">
        <v>1</v>
      </c>
      <c r="F134" s="87">
        <f>VLOOKUP(Tulemused!$BF$7,data!$J$6:$K$8,2,FALSE)</f>
        <v>2</v>
      </c>
      <c r="G134" s="87">
        <f>VLOOKUP(data!$H$2,data!$J$12:$K$14,2,FALSE)</f>
        <v>2</v>
      </c>
      <c r="I134" s="209">
        <f>IF(I$7="X",VLOOKUP(I$10,'VK-Hooned-Soojus'!$C:$X,2+$C134,FALSE),0)+IF(I$6="X",VLOOKUP(I$10,'VK-Transport'!$C:$X,2+$B134,0))+IF(I$8="X",VLOOKUP(I$10,'VK-Elekter'!$C:$X,2+$D134,0))+IF(I$9="X",VLOOKUP(I$10,'VK-Biokütused'!$C:$U,2+$E134,0))+IF(I$5="X",VLOOKUP(I$10,'VK-Põlevkivi'!$C:$X,2+$G134,0))+IF(I$4="X",VLOOKUP(I$10,'VK-Võrgud'!$C:$X,2+$F134,0))</f>
        <v>23.490000000000002</v>
      </c>
      <c r="J134" s="209">
        <f>IF(J$7="X",VLOOKUP(J$10,'VK-Hooned-Soojus'!$C:$X,2+$C134,FALSE),0)+IF(J$6="X",VLOOKUP(J$10,'VK-Transport'!$C:$X,2+$B134,0))+IF(J$8="X",VLOOKUP(J$10,'VK-Elekter'!$C:$X,2+$D134,0))+IF(J$9="X",VLOOKUP(J$10,'VK-Biokütused'!$C:$U,2+$E134,0))+IF(J$5="X",VLOOKUP(J$10,'VK-Põlevkivi'!$C:$X,2+$G134,0))+IF(J$4="X",VLOOKUP(J$10,'VK-Võrgud'!$C:$X,2+$F134,0))</f>
        <v>8.1258333333333344</v>
      </c>
      <c r="K134" s="209">
        <f>IF(K$7="X",VLOOKUP(K$10,'VK-Hooned-Soojus'!$C:$X,2+$C134,FALSE),0)+IF(K$6="X",VLOOKUP(K$10,'VK-Transport'!$C:$X,2+$B134,0))+IF(K$8="X",VLOOKUP(K$10,'VK-Elekter'!$C:$X,2+$D134,0))+IF(K$9="X",VLOOKUP(K$10,'VK-Biokütused'!$C:$U,2+$E134,0))+IF(K$5="X",VLOOKUP(K$10,'VK-Põlevkivi'!$C:$X,2+$G134,0))+IF(K$4="X",VLOOKUP(K$10,'VK-Võrgud'!$C:$X,2+$F134,0))</f>
        <v>13.780000000000001</v>
      </c>
      <c r="L134" s="209">
        <f>IF(L$7="X",VLOOKUP(L$10,'VK-Hooned-Soojus'!$C:$X,2+$C134,FALSE),0)+IF(L$6="X",VLOOKUP(L$10,'VK-Transport'!$C:$X,2+$B134,0))+IF(L$8="X",VLOOKUP(L$10,'VK-Elekter'!$C:$X,2+$D134,0))+IF(L$9="X",VLOOKUP(L$10,'VK-Biokütused'!$C:$U,2+$E134,0))+IF(L$5="X",VLOOKUP(L$10,'VK-Põlevkivi'!$C:$X,2+$G134,0))+IF(L$4="X",VLOOKUP(L$10,'VK-Võrgud'!$C:$X,2+$F134,0))</f>
        <v>23.75</v>
      </c>
      <c r="M134" s="209">
        <f>IF(M$7="X",VLOOKUP(M$10,'VK-Hooned-Soojus'!$C:$X,2+$C134,FALSE),0)+IF(M$6="X",VLOOKUP(M$10,'VK-Transport'!$C:$X,2+$B134,0))+IF(M$8="X",VLOOKUP(M$10,'VK-Elekter'!$C:$X,2+$D134,0))+IF(M$9="X",VLOOKUP(M$10,'VK-Biokütused'!$C:$U,2+$E134,0))+IF(M$5="X",VLOOKUP(M$10,'VK-Põlevkivi'!$C:$X,2+$G134,0))+IF(M$4="X",VLOOKUP(M$10,'VK-Võrgud'!$C:$X,2+$F134,0))</f>
        <v>8.68530937302436</v>
      </c>
      <c r="N134" s="209">
        <f>IF(N$7="X",VLOOKUP(N$10,'VK-Hooned-Soojus'!$C:$X,2+$C134,FALSE),0)+IF(N$6="X",VLOOKUP(N$10,'VK-Transport'!$C:$X,2+$B134,0))+IF(N$8="X",VLOOKUP(N$10,'VK-Elekter'!$C:$X,2+$D134,0))+IF(N$9="X",VLOOKUP(N$10,'VK-Biokütused'!$C:$U,2+$E134,0))+IF(N$5="X",VLOOKUP(N$10,'VK-Põlevkivi'!$C:$X,2+$G134,0))+IF(N$4="X",VLOOKUP(N$10,'VK-Võrgud'!$C:$X,2+$F134,0))</f>
        <v>15.25</v>
      </c>
      <c r="O134" s="209">
        <f t="shared" si="60"/>
        <v>31.615833333333335</v>
      </c>
      <c r="P134" s="209"/>
      <c r="Q134" s="209">
        <f>(IF(Q$7="X",VLOOKUP(Q$10,'VK-Hooned-Soojus'!$C:$X,2+$C134,FALSE),0)+IF(Q$6="X",VLOOKUP(Q$10,'VK-Transport'!$C:$X,2+$B134,0))+IF(Q$8="X",VLOOKUP(Q$10,'VK-Elekter'!$C:$X,2+$D134,0))+IF(Q$9="X",VLOOKUP(Q$10,'VK-Biokütused'!$C:$U,2+$E134,0))+IF(Q$5="X",VLOOKUP(Q$10,'VK-Põlevkivi'!$C:$X,2+$G134,0))+IF(Q$4="X",VLOOKUP(Q$10,'VK-Võrgud'!$C:$X,2+$F134,0)))/1000</f>
        <v>4.9379999999999997</v>
      </c>
      <c r="R134" s="209">
        <f>(IF(R$7="X",VLOOKUP(R$10,'VK-Hooned-Soojus'!$C:$X,2+$C134,FALSE),0)+IF(R$6="X",VLOOKUP(R$10,'VK-Transport'!$C:$X,2+$B134,0))+IF(R$8="X",VLOOKUP(R$10,'VK-Elekter'!$C:$X,2+$D134,0))+IF(R$9="X",VLOOKUP(R$10,'VK-Biokütused'!$C:$U,2+$E134,0))+IF(R$5="X",VLOOKUP(R$10,'VK-Põlevkivi'!$C:$X,2+$G134,0))+IF(R$4="X",VLOOKUP(R$10,'VK-Võrgud'!$C:$X,2+$F134,0)))/1000</f>
        <v>1.03788499063732</v>
      </c>
      <c r="S134" s="226">
        <f>VLOOKUP(S$10,'VK-Hooned-Soojus'!$C:$I,2+$C134,FALSE) + VLOOKUP(S$10,'VK-Transport'!$C:$I,2+$B134,FALSE)+ VLOOKUP(S$10,'VK-Biokütused'!$C:$G,2+$E134,FALSE)+ VLOOKUP(S$10,'VK-Elekter'!$C:$I,2+$D134,FALSE)+ VLOOKUP(S$10,'VK-Põlevkivi'!$C:$I,2+$G134,FALSE)+ VLOOKUP(S$10,'VK-Võrgud'!$C:$I,2+$F134,FALSE)</f>
        <v>1.209387093166911E-2</v>
      </c>
      <c r="T134" s="226">
        <f>VLOOKUP(T$10,'VK-Hooned-Soojus'!$C:$I,2+$C134,FALSE) + VLOOKUP(T$10,'VK-Transport'!$C:$I,2+$B134,FALSE)+ VLOOKUP(T$10,'VK-Biokütused'!$C:$G,2+$E134,FALSE)+ VLOOKUP(T$10,'VK-Elekter'!$C:$I,2+$D134,FALSE)+ VLOOKUP(T$10,'VK-Põlevkivi'!$C:$I,2+$G134,FALSE)+ VLOOKUP(T$10,'VK-Võrgud'!$C:$I,2+$F134,FALSE)</f>
        <v>6.5753641584466692E-3</v>
      </c>
      <c r="U134" s="226">
        <f>VLOOKUP(U$10,'VK-Hooned-Soojus'!$C:$I,2+$C134,FALSE) + VLOOKUP(U$10,'VK-Transport'!$C:$I,2+$B134,FALSE)+ VLOOKUP(U$10,'VK-Biokütused'!$C:$G,2+$E134,FALSE)+ VLOOKUP(U$10,'VK-Elekter'!$C:$I,2+$D134,FALSE)+ VLOOKUP(U$10,'VK-Põlevkivi'!$C:$I,2+$G134,FALSE)+ VLOOKUP(U$10,'VK-Võrgud'!$C:$I,2+$F134,FALSE)</f>
        <v>9.4016725362275344E-4</v>
      </c>
      <c r="V134" s="226">
        <f>VLOOKUP(V$10,'VK-Hooned-Soojus'!$C:$I,2+$C134,FALSE) + VLOOKUP(V$10,'VK-Transport'!$C:$I,2+$B134,FALSE)+ VLOOKUP(V$10,'VK-Biokütused'!$C:$G,2+$E134,FALSE)+ VLOOKUP(V$10,'VK-Elekter'!$C:$I,2+$D134,FALSE)+ VLOOKUP(V$10,'VK-Põlevkivi'!$C:$I,2+$G134,FALSE)+ VLOOKUP(V$10,'VK-Võrgud'!$C:$I,2+$F134,FALSE)</f>
        <v>1.1246979286333761E-2</v>
      </c>
      <c r="W134" s="226">
        <f>VLOOKUP(W$10,'VK-Hooned-Soojus'!$C:$I,2+$C134,FALSE) + VLOOKUP(W$10,'VK-Transport'!$C:$I,2+$B134,FALSE)+ VLOOKUP(W$10,'VK-Biokütused'!$C:$G,2+$E134,FALSE)+ VLOOKUP(W$10,'VK-Elekter'!$C:$I,2+$D134,FALSE)+ VLOOKUP(W$10,'VK-Põlevkivi'!$C:$I,2+$G134,FALSE)+ VLOOKUP(W$10,'VK-Võrgud'!$C:$I,2+$F134,FALSE)</f>
        <v>-5.2828379346591355E-2</v>
      </c>
      <c r="X134" s="226">
        <f>VLOOKUP(X$10,'VK-Hooned-Soojus'!$C:$I,2+$C134,FALSE) + VLOOKUP(X$10,'VK-Transport'!$C:$I,2+$B134,FALSE)+ VLOOKUP(X$10,'VK-Biokütused'!$C:$G,2+$E134,FALSE)+ VLOOKUP(X$10,'VK-Elekter'!$C:$I,2+$D134,FALSE)+ VLOOKUP(X$10,'VK-Põlevkivi'!$C:$I,2+$G134,FALSE)+ VLOOKUP(X$10,'VK-Võrgud'!$C:$I,2+$F134,FALSE)</f>
        <v>-5.9458363631964495E-2</v>
      </c>
      <c r="Y134" s="226">
        <f>VLOOKUP(Y$10,'VK-Hooned-Soojus'!$C:$I,2+$C134,FALSE) + VLOOKUP(Y$10,'VK-Transport'!$C:$I,2+$B134,FALSE)+ VLOOKUP(Y$10,'VK-Biokütused'!$C:$G,2+$E134,FALSE)+ VLOOKUP(Y$10,'VK-Elekter'!$C:$I,2+$D134,FALSE)+ VLOOKUP(Y$10,'VK-Põlevkivi'!$C:$I,2+$G134,FALSE)+ VLOOKUP(Y$10,'VK-Võrgud'!$C:$I,2+$F134,FALSE)</f>
        <v>-8.3094488432695332E-2</v>
      </c>
      <c r="Z134" s="227">
        <f>(S134*Tulemused!$Q$9*10+T134*Tulemused!$Q$10*10+KOMBI!U134*Tulemused!$Q$11*10+KOMBI!V134*Tulemused!$Q$12*10)*Tulemused!$Q$8+-(W134*Tulemused!$Q$14*10+KOMBI!X134*Tulemused!$Q$15*10+KOMBI!Y134*Tulemused!$Q$16*10)*Tulemused!$Q$13</f>
        <v>5.6463878335862052</v>
      </c>
      <c r="AA134" s="228">
        <f>(IF(AA$7="X",VLOOKUP(AA$10,'VK-Hooned-Soojus'!$C:$X,2+$C134,FALSE),0)+IF(AA$6="X",VLOOKUP(AA$10,'VK-Transport'!$C:$X,2+$B134,0))+IF(AA$8="X",VLOOKUP(AA$10,'VK-Elekter'!$C:$X,2+$D134,0))+IF(AA$9="X",VLOOKUP(AA$10,'VK-Biokütused'!$C:$U,2+$E134,0))+IF(AA$5="X",VLOOKUP(AA$10,'VK-Põlevkivi'!$C:$X,2+$G134,0))+IF(AA$4="X",VLOOKUP(AA$10,'VK-Võrgud'!$C:$X,2+$F134,0)))</f>
        <v>3761</v>
      </c>
      <c r="AB134" s="228">
        <f>(IF(AB$7="X",VLOOKUP(AB$10,'VK-Hooned-Soojus'!$C:$X,2+$C134,FALSE),0)+IF(AB$6="X",VLOOKUP(AB$10,'VK-Transport'!$C:$X,2+$B134,0))+IF(AB$8="X",VLOOKUP(AB$10,'VK-Elekter'!$C:$X,2+$D134,0))+IF(AB$9="X",VLOOKUP(AB$10,'VK-Biokütused'!$C:$U,2+$E134,0))+IF(AB$5="X",VLOOKUP(AB$10,'VK-Põlevkivi'!$C:$X,2+$G134,0))+IF(AB$4="X",VLOOKUP(AB$10,'VK-Võrgud'!$C:$X,2+$F134,0)))</f>
        <v>1177</v>
      </c>
      <c r="AC134" s="228">
        <f>(IF(AC$7="X",VLOOKUP(AC$10,'VK-Hooned-Soojus'!$C:$X,2+$C134,FALSE),0)+IF(AC$6="X",VLOOKUP(AC$10,'VK-Transport'!$C:$X,2+$B134,0))+IF(AC$8="X",VLOOKUP(AC$10,'VK-Elekter'!$C:$X,2+$D134,0))+IF(AC$9="X",VLOOKUP(AC$10,'VK-Biokütused'!$C:$U,2+$E134,0))+IF(AC$5="X",VLOOKUP(AC$10,'VK-Põlevkivi'!$C:$X,2+$G134,0))+IF(AC$4="X",VLOOKUP(AC$10,'VK-Võrgud'!$C:$X,2+$F134,0)))</f>
        <v>2346</v>
      </c>
      <c r="AD134" s="228">
        <f>(IF(AD$7="X",VLOOKUP(AD$10,'VK-Hooned-Soojus'!$C:$X,2+$C134,FALSE),0)+IF(AD$6="X",VLOOKUP(AD$10,'VK-Transport'!$C:$X,2+$B134,0))+IF(AD$8="X",VLOOKUP(AD$10,'VK-Elekter'!$C:$X,2+$D134,0))+IF(AD$9="X",VLOOKUP(AD$10,'VK-Biokütused'!$C:$U,2+$E134,0))+IF(AD$5="X",VLOOKUP(AD$10,'VK-Põlevkivi'!$C:$X,2+$G134,0))+IF(AD$4="X",VLOOKUP(AD$10,'VK-Võrgud'!$C:$X,2+$F134,0)))</f>
        <v>0</v>
      </c>
      <c r="AE134" s="228">
        <f>(IF(AE$7="X",VLOOKUP(AE$10,'VK-Hooned-Soojus'!$C:$X,2+$C134,FALSE),0)+IF(AE$6="X",VLOOKUP(AE$10,'VK-Transport'!$C:$X,2+$B134,0))+IF(AE$8="X",VLOOKUP(AE$10,'VK-Elekter'!$C:$X,2+$D134,0))+IF(AE$9="X",VLOOKUP(AE$10,'VK-Biokütused'!$C:$U,2+$E134,0))+IF(AE$5="X",VLOOKUP(AE$10,'VK-Põlevkivi'!$C:$X,2+$G134,0))+IF(AE$4="X",VLOOKUP(AE$10,'VK-Võrgud'!$C:$X,2+$F134,0)))</f>
        <v>507</v>
      </c>
      <c r="AF134" s="228">
        <f>(IF(AF$7="X",VLOOKUP(AF$10,'VK-Hooned-Soojus'!$C:$X,2+$C134,FALSE),0)+IF(AF$6="X",VLOOKUP(AF$10,'VK-Transport'!$C:$X,2+$B134,0))+IF(AF$8="X",VLOOKUP(AF$10,'VK-Elekter'!$C:$X,2+$D134,0))+IF(AF$9="X",VLOOKUP(AF$10,'VK-Biokütused'!$C:$U,2+$E134,0))+IF(AF$5="X",VLOOKUP(AF$10,'VK-Põlevkivi'!$C:$X,2+$G134,0))+IF(AF$4="X",VLOOKUP(AF$10,'VK-Võrgud'!$C:$X,2+$F134,0)))</f>
        <v>530.88499063732002</v>
      </c>
      <c r="AG134" s="209"/>
      <c r="AH134" s="209">
        <f>IF(AH$7="X",VLOOKUP(AH$10,'VK-Hooned-Soojus'!$C:$X,2+$C134,FALSE),0)+IF(AH$6="X",VLOOKUP(AH$10,'VK-Transport'!$C:$X,2+$B134,0))+IF(AH$8="X",VLOOKUP(AH$10,'VK-Elekter'!$C:$X,2+$D134,0))+IF(AH$9="X",VLOOKUP(AH$10,'VK-Biokütused'!$C:$U,2+$E134,0))+IF(AH$5="X",VLOOKUP(AH$10,'VK-Põlevkivi'!$C:$X,2+$G134,0))+IF(AH$4="X",VLOOKUP(AH$10,'VK-Võrgud'!$C:$X,2+$F134,0))</f>
        <v>11.64</v>
      </c>
      <c r="AI134" s="209">
        <f>IF(AI$7="X",VLOOKUP(AI$10,'VK-Hooned-Soojus'!$C:$X,2+$C134,FALSE),0)+IF(AI$6="X",VLOOKUP(AI$10,'VK-Transport'!$C:$X,2+$B134,0))+IF(AI$8="X",VLOOKUP(AI$10,'VK-Elekter'!$C:$X,2+$D134,0))+IF(AI$9="X",VLOOKUP(AI$10,'VK-Biokütused'!$C:$U,2+$E134,0))+IF(AI$5="X",VLOOKUP(AI$10,'VK-Põlevkivi'!$C:$X,2+$G134,0))+IF(AI$4="X",VLOOKUP(AI$10,'VK-Võrgud'!$C:$X,2+$F134,0))</f>
        <v>2.3100000000000005</v>
      </c>
      <c r="AJ134" s="209">
        <f>IF(AJ$7="X",VLOOKUP(AJ$10,'VK-Hooned-Soojus'!$C:$X,2+$C134,FALSE),0)+IF(AJ$6="X",VLOOKUP(AJ$10,'VK-Transport'!$C:$X,2+$B134,0))+IF(AJ$8="X",VLOOKUP(AJ$10,'VK-Elekter'!$C:$X,2+$D134,0))+IF(AJ$9="X",VLOOKUP(AJ$10,'VK-Biokütused'!$C:$U,2+$E134,0))+IF(AJ$5="X",VLOOKUP(AJ$10,'VK-Põlevkivi'!$C:$X,2+$G134,0))+IF(AJ$4="X",VLOOKUP(AJ$10,'VK-Võrgud'!$C:$X,2+$F134,0))</f>
        <v>9.25</v>
      </c>
      <c r="AK134" s="209">
        <f>IF(AK$7="X",VLOOKUP(AK$10,'VK-Hooned-Soojus'!$C:$X,2+$C134,FALSE),0)+IF(AK$6="X",VLOOKUP(AK$10,'VK-Transport'!$C:$X,2+$B134,0))+IF(AK$8="X",VLOOKUP(AK$10,'VK-Elekter'!$C:$X,2+$D134,0))+IF(AK$9="X",VLOOKUP(AK$10,'VK-Biokütused'!$C:$U,2+$E134,0))+IF(AK$5="X",VLOOKUP(AK$10,'VK-Põlevkivi'!$C:$X,2+$G134,0))+IF(AK$4="X",VLOOKUP(AK$10,'VK-Võrgud'!$C:$X,2+$F134,0))</f>
        <v>2.78</v>
      </c>
      <c r="AL134" s="209">
        <f>IF(AL$7="X",VLOOKUP(AL$10,'VK-Hooned-Soojus'!$C:$X,2+$C134,FALSE),0)+IF(AL$6="X",VLOOKUP(AL$10,'VK-Transport'!$C:$X,2+$B134,0))+IF(AL$8="X",VLOOKUP(AL$10,'VK-Elekter'!$C:$X,2+$D134,0))+IF(AL$9="X",VLOOKUP(AL$10,'VK-Biokütused'!$C:$U,2+$E134,0))+IF(AL$5="X",VLOOKUP(AL$10,'VK-Põlevkivi'!$C:$X,2+$G134,0))+IF(AL$4="X",VLOOKUP(AL$10,'VK-Võrgud'!$C:$X,2+$F134,0))</f>
        <v>7.1</v>
      </c>
      <c r="AM134" s="209">
        <f>IF(AM$7="X",VLOOKUP(AM$10,'VK-Hooned-Soojus'!$C:$X,2+$C134,FALSE),0)+IF(AM$6="X",VLOOKUP(AM$10,'VK-Transport'!$C:$X,2+$B134,0))+IF(AM$8="X",VLOOKUP(AM$10,'VK-Elekter'!$C:$X,2+$D134,0))+IF(AM$9="X",VLOOKUP(AM$10,'VK-Biokütused'!$C:$U,2+$E134,0))+IF(AM$5="X",VLOOKUP(AM$10,'VK-Põlevkivi'!$C:$X,2+$G134,0))+IF(AM$4="X",VLOOKUP(AM$10,'VK-Võrgud'!$C:$X,2+$F134,0))</f>
        <v>11.5</v>
      </c>
      <c r="AN134" s="209">
        <f>IF(AN$7="X",VLOOKUP(AN$10,'VK-Hooned-Soojus'!$C:$X,2+$C134,FALSE),0)+IF(AN$6="X",VLOOKUP(AN$10,'VK-Transport'!$C:$X,2+$B134,0))+IF(AN$8="X",VLOOKUP(AN$10,'VK-Elekter'!$C:$X,2+$D134,0))+IF(AN$9="X",VLOOKUP(AN$10,'VK-Biokütused'!$C:$U,2+$E134,0))+IF(AN$5="X",VLOOKUP(AN$10,'VK-Põlevkivi'!$C:$X,2+$G134,0))+IF(AN$4="X",VLOOKUP(AN$10,'VK-Võrgud'!$C:$X,2+$F134,0))</f>
        <v>4.0999999999999996</v>
      </c>
      <c r="AO134" s="209">
        <f>IF(AO$7="X",VLOOKUP(AO$10,'VK-Hooned-Soojus'!$C:$X,2+$C134,FALSE),0)+IF(AO$6="X",VLOOKUP(AO$10,'VK-Transport'!$C:$X,2+$B134,0))+IF(AO$8="X",VLOOKUP(AO$10,'VK-Elekter'!$C:$X,2+$D134,0))+IF(AO$9="X",VLOOKUP(AO$10,'VK-Biokütused'!$C:$U,2+$E134,0))+IF(AO$5="X",VLOOKUP(AO$10,'VK-Põlevkivi'!$C:$X,2+$G134,0))+IF(AO$4="X",VLOOKUP(AO$10,'VK-Võrgud'!$C:$X,2+$F134,0))</f>
        <v>12.16</v>
      </c>
      <c r="AP134" s="209">
        <f>IF(AP$7="X",VLOOKUP(AP$10,'VK-Hooned-Soojus'!$C:$X,2+$C134,FALSE),0)+IF(AP$6="X",VLOOKUP(AP$10,'VK-Transport'!$C:$X,2+$B134,0))+IF(AP$8="X",VLOOKUP(AP$10,'VK-Elekter'!$C:$X,2+$D134,0))+IF(AP$9="X",VLOOKUP(AP$10,'VK-Biokütused'!$C:$U,2+$E134,0))+IF(AP$5="X",VLOOKUP(AP$10,'VK-Põlevkivi'!$C:$X,2+$G134,0))+IF(AP$4="X",VLOOKUP(AP$10,'VK-Võrgud'!$C:$X,2+$F134,0))</f>
        <v>6.08</v>
      </c>
      <c r="AQ134" s="320">
        <f t="shared" si="61"/>
        <v>0</v>
      </c>
      <c r="AR134" s="209">
        <f>IF(AR$7="X",VLOOKUP(AR$10,'VK-Hooned-Soojus'!$C:$X,2+$C134,FALSE),0)+IF(AR$6="X",VLOOKUP(AR$10,'VK-Transport'!$C:$X,2+$B134,0))+IF(AR$8="X",VLOOKUP(AR$10,'VK-Elekter'!$C:$X,2+$D134,0))+IF(AR$9="X",VLOOKUP(AR$10,'VK-Biokütused'!$C:$U,2+$E134,0))+IF(AR$5="X",VLOOKUP(AR$10,'VK-Põlevkivi'!$C:$X,2+$G134,0))+IF(AR$4="X",VLOOKUP(AR$10,'VK-Võrgud'!$C:$X,2+$F134,0))</f>
        <v>2.3899999999999997</v>
      </c>
      <c r="AS134" s="320">
        <f>VLOOKUP("Kütuste tarbimine @ 2030 - UTTEGAAS",'VK-Hooned-Soojus'!$C:$X,2+$C134,FALSE)/0.172+VLOOKUP("Kütuste tarbimine @ 2030 - UTTEGAAS",'VK-Elekter'!$C:$X,2+$D134,FALSE)/0.172-AR134-AU134</f>
        <v>2.8565116279069773</v>
      </c>
      <c r="AT134" s="209">
        <f>IF(AT$7="X",VLOOKUP(AT$10,'VK-Hooned-Soojus'!$C:$X,2+$C134,FALSE),0)+IF(AT$6="X",VLOOKUP(AT$10,'VK-Transport'!$C:$X,2+$B134,0))+IF(AT$8="X",VLOOKUP(AT$10,'VK-Elekter'!$C:$X,2+$D134,0))+IF(AT$9="X",VLOOKUP(AT$10,'VK-Biokütused'!$C:$U,2+$E134,0))+IF(AT$5="X",VLOOKUP(AT$10,'VK-Põlevkivi'!$C:$X,2+$G134,0))+IF(AT$4="X",VLOOKUP(AT$10,'VK-Võrgud'!$C:$X,2+$F134,0))</f>
        <v>5.7045296564339489</v>
      </c>
      <c r="AU134" s="229">
        <f>MAX(0,(VLOOKUP("Kütuste tarbimine @ 2030 - UTTEGAAS",'VK-Hooned-Soojus'!$C:$X,2+$C134,FALSE)/0.172+VLOOKUP("Kütuste tarbimine @ 2030 - UTTEGAAS",'VK-Elekter'!$C:$X,2+$D134,FALSE)/0.172)*0.52-VLOOKUP("Kütuste tarbimine @ 2030 - PÕLEVKIVIÕLI",'VK-Hooned-Soojus'!$C:$X,2+$C134,FALSE))</f>
        <v>5.6837209302325586</v>
      </c>
      <c r="AV134" s="209">
        <f>IF(AV$7="X",VLOOKUP(AV$10,'VK-Hooned-Soojus'!$C:$X,2+$C134,FALSE),0)+IF(AV$6="X",VLOOKUP(AV$10,'VK-Transport'!$C:$X,2+$B134,0))+IF(AV$8="X",VLOOKUP(AV$10,'VK-Elekter'!$C:$X,2+$D134,0))+IF(AV$9="X",VLOOKUP(AV$10,'VK-Biokütused'!$C:$U,2+$E134,0))+IF(AV$5="X",VLOOKUP(AV$10,'VK-Põlevkivi'!$C:$X,2+$G134,0))+IF(AV$4="X",VLOOKUP(AV$10,'VK-Võrgud'!$C:$X,2+$F134,0))</f>
        <v>2.1219844082566364</v>
      </c>
      <c r="AW134" s="209">
        <f>IF(AW$7="X",VLOOKUP(AW$10,'VK-Hooned-Soojus'!$C:$X,2+$C134,FALSE),0)+IF(AW$6="X",VLOOKUP(AW$10,'VK-Transport'!$C:$X,2+$B134,0))+IF(AW$8="X",VLOOKUP(AW$10,'VK-Elekter'!$C:$X,2+$D134,0))+IF(AW$9="X",VLOOKUP(AW$10,'VK-Biokütused'!$C:$U,2+$E134,0))+IF(AW$5="X",VLOOKUP(AW$10,'VK-Põlevkivi'!$C:$X,2+$G134,0))+IF(AW$4="X",VLOOKUP(AW$10,'VK-Võrgud'!$C:$X,2+$F134,0))</f>
        <v>0</v>
      </c>
      <c r="AX134" s="229">
        <f t="shared" si="62"/>
        <v>0</v>
      </c>
      <c r="AY134" s="229">
        <f t="shared" si="63"/>
        <v>2.1219844082566364</v>
      </c>
      <c r="AZ134" s="230">
        <f t="shared" si="83"/>
        <v>0.55310343520865646</v>
      </c>
      <c r="BA134" s="209">
        <f>IF(BA$7="X",VLOOKUP(BA$10,'VK-Hooned-Soojus'!$C:$X,2+$C134,FALSE),0)+IF(BA$6="X",VLOOKUP(BA$10,'VK-Transport'!$C:$X,2+$B134,0))+IF(BA$8="X",VLOOKUP(BA$10,'VK-Elekter'!$C:$X,2+$D134,0))+IF(BA$9="X",VLOOKUP(BA$10,'VK-Biokütused'!$C:$U,2+$E134,0))+IF(BA$5="X",VLOOKUP(BA$10,'VK-Põlevkivi'!$C:$X,2+$G134,0))+IF(BA$4="X",VLOOKUP(BA$10,'VK-Võrgud'!$C:$X,2+$F134,0))</f>
        <v>4.25</v>
      </c>
      <c r="BB134" s="209">
        <f>IF(BB$7="X",VLOOKUP(BB$10,'VK-Hooned-Soojus'!$C:$X,2+$C134,FALSE),0)+IF(BB$6="X",VLOOKUP(BB$10,'VK-Transport'!$C:$X,2+$B134,0))+IF(BB$8="X",VLOOKUP(BB$10,'VK-Elekter'!$C:$X,2+$D134,0))+IF(BB$9="X",VLOOKUP(BB$10,'VK-Biokütused'!$C:$U,2+$E134,0))+IF(BB$5="X",VLOOKUP(BB$10,'VK-Põlevkivi'!$C:$X,2+$G134,0))+IF(BB$4="X",VLOOKUP(BB$10,'VK-Võrgud'!$C:$X,2+$F134,0))</f>
        <v>2.93</v>
      </c>
      <c r="BC134" s="209">
        <f>IF(BC$7="X",VLOOKUP(BC$10,'VK-Hooned-Soojus'!$C:$X,2+$C134,FALSE),0)+IF(BC$6="X",VLOOKUP(BC$10,'VK-Transport'!$C:$X,2+$B134,0))+IF(BC$8="X",VLOOKUP(BC$10,'VK-Elekter'!$C:$X,2+$D134,0))+IF(BC$9="X",VLOOKUP(BC$10,'VK-Biokütused'!$C:$U,2+$E134,0))+IF(BC$5="X",VLOOKUP(BC$10,'VK-Põlevkivi'!$C:$X,2+$G134,0))+IF(BC$4="X",VLOOKUP(BC$10,'VK-Võrgud'!$C:$X,2+$F134,0))</f>
        <v>5.2376666666666667</v>
      </c>
      <c r="BD134" s="209">
        <f>IF(BD$7="X",VLOOKUP(BD$10,'VK-Hooned-Soojus'!$C:$X,2+$C134,FALSE),0)+IF(BD$6="X",VLOOKUP(BD$10,'VK-Transport'!$C:$X,2+$B134,0))+IF(BD$8="X",VLOOKUP(BD$10,'VK-Elekter'!$C:$X,2+$D134,0))+IF(BD$9="X",VLOOKUP(BD$10,'VK-Biokütused'!$C:$U,2+$E134,0))+IF(BD$5="X",VLOOKUP(BD$10,'VK-Põlevkivi'!$C:$X,2+$G134,0))+IF(BD$4="X",VLOOKUP(BD$10,'VK-Võrgud'!$C:$X,2+$F134,0))</f>
        <v>9.1105555555555569</v>
      </c>
      <c r="BE134" s="230"/>
      <c r="BF134" s="229">
        <f t="shared" si="64"/>
        <v>0.3678346224372237</v>
      </c>
      <c r="BG134" s="209" t="e">
        <f>(IF(BG$7="X",VLOOKUP(BG$10,'VK-Hooned-Soojus'!$C:$X,2+$C134,FALSE),0)+IF(BG$6="X",VLOOKUP(BG$10,'VK-Transport'!$C:$X,2+$B134,0))+IF(BG$8="X",VLOOKUP(BG$10,'VK-Elekter'!$C:$X,2+$D134,0))+IF(BG$9="X",VLOOKUP(BG$10,'VK-Biokütused'!$C:$U,2+$E134,0))+IF(BG$5="X",VLOOKUP(BG$10,'VK-Põlevkivi'!$C:$X,2+$G134,0))+IF(BG$4="X",VLOOKUP(BG$10,'VK-Võrgud'!$C:$X,2+$F134,0)))/20</f>
        <v>#N/A</v>
      </c>
      <c r="BH134" s="209">
        <f>(IF(BH$7="X",VLOOKUP(BH$10,'VK-Hooned-Soojus'!$C:$X,2+$C134,FALSE),0)+IF(BH$6="X",VLOOKUP(BH$10,'VK-Transport'!$C:$X,2+$B134,0))+IF(BH$8="X",VLOOKUP(BH$10,'VK-Elekter'!$C:$X,2+$D134,0))+IF(BH$9="X",VLOOKUP(BH$10,'VK-Biokütused'!$C:$U,2+$E134,0))+IF(BH$5="X",VLOOKUP(BH$10,'VK-Põlevkivi'!$C:$X,2+$G134,0))+IF(BH$4="X",VLOOKUP(BH$10,'VK-Võrgud'!$C:$X,2+$F134,0)))/20</f>
        <v>84.204999999999998</v>
      </c>
      <c r="BI134" s="209">
        <f>(IF(BI$7="X",VLOOKUP(BI$10,'VK-Hooned-Soojus'!$C:$X,2+$C134,FALSE),0)+IF(BI$6="X",VLOOKUP(BI$10,'VK-Transport'!$C:$X,2+$B134,0))+IF(BI$8="X",VLOOKUP(BI$10,'VK-Elekter'!$C:$X,2+$D134,0))+IF(BI$9="X",VLOOKUP(BI$10,'VK-Biokütused'!$C:$U,2+$E134,0))+IF(BI$5="X",VLOOKUP(BI$10,'VK-Põlevkivi'!$C:$X,2+$G134,0))+IF(BI$4="X",VLOOKUP(BI$10,'VK-Võrgud'!$C:$X,2+$F134,0)))/16</f>
        <v>8.9375</v>
      </c>
      <c r="BJ134" s="209">
        <f>(IF(BJ$7="X",VLOOKUP(BJ$10,'VK-Hooned-Soojus'!$C:$X,2+$C134,FALSE),0)+IF(BJ$6="X",VLOOKUP(BJ$10,'VK-Transport'!$C:$X,2+$B134,0))+IF(BJ$8="X",VLOOKUP(BJ$10,'VK-Elekter'!$C:$X,2+$D134,0))+IF(BJ$9="X",VLOOKUP(BJ$10,'VK-Biokütused'!$C:$U,2+$E134,0))+IF(BJ$5="X",VLOOKUP(BJ$10,'VK-Põlevkivi'!$C:$X,2+$G134,0))+IF(BJ$4="X",VLOOKUP(BJ$10,'VK-Võrgud'!$C:$X,2+$F134,0)))/20</f>
        <v>5.33</v>
      </c>
      <c r="BK134" s="209"/>
      <c r="BL134" s="209"/>
      <c r="BM134" s="209"/>
      <c r="BN134" s="209" t="e">
        <f>(IF(BN$7="X",VLOOKUP(BN$10,'VK-Hooned-Soojus'!$C:$X,2+$C134,FALSE),0)+IF(BN$6="X",VLOOKUP(BN$10,'VK-Transport'!$C:$X,2+$B134,0))+IF(BN$8="X",VLOOKUP(BN$10,'VK-Elekter'!$C:$X,2+$D134,0))+IF(BN$9="X",VLOOKUP(BN$10,'VK-Biokütused'!$C:$U,2+$E134,0))+IF(BN$5="X",VLOOKUP(BN$10,'VK-Põlevkivi'!$C:$X,2+$G134,0))+IF(BN$4="X",VLOOKUP(BN$10,'VK-Võrgud'!$C:$X,2+$F134,0)))/16</f>
        <v>#N/A</v>
      </c>
      <c r="BO134" s="209">
        <f>(IF(BO$7="X",VLOOKUP(BO$10,'VK-Hooned-Soojus'!$C:$X,2+$C134,FALSE),0)+IF(BO$6="X",VLOOKUP(BO$10,'VK-Transport'!$C:$X,2+$B134,0))+IF(BO$8="X",VLOOKUP(BO$10,'VK-Elekter'!$C:$X,2+$D134,0))+IF(BO$9="X",VLOOKUP(BO$10,'VK-Biokütused'!$C:$U,2+$E134,0))+IF(BO$5="X",VLOOKUP(BO$10,'VK-Põlevkivi'!$C:$X,2+$G134,0))+IF(BO$4="X",VLOOKUP(BO$10,'VK-Võrgud'!$C:$X,2+$F134,0)))/16</f>
        <v>322.79374999999999</v>
      </c>
      <c r="BP134" s="209"/>
      <c r="BQ134" s="209">
        <f>(IF(BQ$7="X",VLOOKUP(BQ$10,'VK-Hooned-Soojus'!$C:$X,2+$C134,FALSE),0)+IF(BQ$6="X",VLOOKUP(BQ$10,'VK-Transport'!$C:$X,2+$B134,0))+IF(BQ$8="X",VLOOKUP(BQ$10,'VK-Elekter'!$C:$X,2+$D134,0))+IF(BQ$9="X",VLOOKUP(BQ$10,'VK-Biokütused'!$C:$U,2+$E134,0))+IF(BQ$5="X",VLOOKUP(BQ$10,'VK-Põlevkivi'!$C:$X,2+$G134,0))+IF(BQ$4="X",VLOOKUP(BQ$10,'VK-Võrgud'!$C:$X,2+$F134,0)))/16</f>
        <v>233.20625000000001</v>
      </c>
      <c r="BR134" s="209">
        <f>(IF(BR$7="X",VLOOKUP(BR$10,'VK-Hooned-Soojus'!$C:$X,2+$C134,FALSE),0)+IF(BR$6="X",VLOOKUP(BR$10,'VK-Transport'!$C:$X,2+$B134,0))+IF(BR$8="X",VLOOKUP(BR$10,'VK-Elekter'!$C:$X,2+$D134,0))+IF(BR$9="X",VLOOKUP(BR$10,'VK-Biokütused'!$C:$U,2+$E134,0))+IF(BR$5="X",VLOOKUP(BR$10,'VK-Põlevkivi'!$C:$X,2+$G134,0))+IF(BR$4="X",VLOOKUP(BR$10,'VK-Võrgud'!$C:$X,2+$F134,0)))/16</f>
        <v>74.512500000000003</v>
      </c>
      <c r="BS134" s="209">
        <f>(IF(BS$7="X",VLOOKUP(BS$10,'VK-Hooned-Soojus'!$C:$X,2+$C134,FALSE),0)+IF(BS$6="X",VLOOKUP(BS$10,'VK-Transport'!$C:$X,2+$B134,0))+IF(BS$8="X",VLOOKUP(BS$10,'VK-Elekter'!$C:$X,2+$D134,0))+IF(BS$9="X",VLOOKUP(BS$10,'VK-Biokütused'!$C:$U,2+$E134,0))+IF(BS$5="X",VLOOKUP(BS$10,'VK-Põlevkivi'!$C:$X,2+$G134,0))+IF(BS$4="X",VLOOKUP(BS$10,'VK-Võrgud'!$C:$X,2+$F134,0)))/16</f>
        <v>-21.475000000000001</v>
      </c>
      <c r="BT134" s="209"/>
      <c r="BU134" s="209"/>
      <c r="BV134" s="209">
        <f>(IF(BV$7="X",VLOOKUP(BV$10,'VK-Hooned-Soojus'!$C:$X,2+$C134,FALSE),0)+IF(BV$6="X",VLOOKUP(BV$10,'VK-Transport'!$C:$X,2+$B134,0))+IF(BV$8="X",VLOOKUP(BV$10,'VK-Elekter'!$C:$X,2+$D134,0))+IF(BV$9="X",VLOOKUP(BV$10,'VK-Biokütused'!$C:$U,2+$E134,0))+IF(BV$5="X",VLOOKUP(BV$10,'VK-Põlevkivi'!$C:$X,2+$G134,0))+IF(BV$4="X",VLOOKUP(BV$10,'VK-Võrgud'!$C:$X,2+$F134,0)))/16</f>
        <v>0</v>
      </c>
      <c r="BW134" s="209"/>
      <c r="BX134" s="209">
        <f>(IF(BX$7="X",VLOOKUP(BX$10,'VK-Hooned-Soojus'!$C:$X,2+$C134,FALSE),0)+IF(BX$6="X",VLOOKUP(BX$10,'VK-Transport'!$C:$X,2+$B134,0))+IF(BX$8="X",VLOOKUP(BX$10,'VK-Elekter'!$C:$X,2+$D134,0))+IF(BX$9="X",VLOOKUP(BX$10,'VK-Biokütused'!$C:$U,2+$E134,0))+IF(BX$5="X",VLOOKUP(BX$10,'VK-Põlevkivi'!$C:$X,2+$G134,0))+IF(BX$4="X",VLOOKUP(BX$10,'VK-Võrgud'!$C:$X,2+$F134,0)))/16</f>
        <v>-99.75</v>
      </c>
      <c r="BY134" s="209"/>
      <c r="BZ134" s="209"/>
      <c r="CA134" s="209" t="e">
        <f>(IF(CA$7="X",VLOOKUP(CA$10,'VK-Hooned-Soojus'!$C:$X,2+$C134,FALSE),0)+IF(CA$6="X",VLOOKUP(CA$10,'VK-Transport'!$C:$X,2+$B134,0))+IF(CA$8="X",VLOOKUP(CA$10,'VK-Elekter'!$C:$X,2+$D134,0))+IF(CA$9="X",VLOOKUP(CA$10,'VK-Biokütused'!$C:$U,2+$E134,0))+IF(CA$5="X",VLOOKUP(CA$10,'VK-Põlevkivi'!$C:$X,2+$G134,0))+IF(CA$4="X",VLOOKUP(CA$10,'VK-Võrgud'!$C:$X,2+$F134,0)))/16</f>
        <v>#N/A</v>
      </c>
      <c r="CB134" s="209">
        <f>(IF(CB$7="X",VLOOKUP(CB$10,'VK-Hooned-Soojus'!$C:$X,2+$C134,FALSE),0)+IF(CB$6="X",VLOOKUP(CB$10,'VK-Transport'!$C:$X,2+$B134,0))+IF(CB$8="X",VLOOKUP(CB$10,'VK-Elekter'!$C:$X,2+$D134,0))+IF(CB$9="X",VLOOKUP(CB$10,'VK-Biokütused'!$C:$U,2+$E134,0))+IF(CB$5="X",VLOOKUP(CB$10,'VK-Põlevkivi'!$C:$X,2+$G134,0))+IF(CB$4="X",VLOOKUP(CB$10,'VK-Võrgud'!$C:$X,2+$F134,0)))/16</f>
        <v>0</v>
      </c>
      <c r="CC134" s="209">
        <f>(IF(CC$7="X",VLOOKUP(CC$10,'VK-Hooned-Soojus'!$C:$X,2+$C134,FALSE),0)+IF(CC$6="X",VLOOKUP(CC$10,'VK-Transport'!$C:$X,2+$B134,0))+IF(CC$8="X",VLOOKUP(CC$10,'VK-Elekter'!$C:$X,2+$D134,0))+IF(CC$9="X",VLOOKUP(CC$10,'VK-Biokütused'!$C:$U,2+$E134,0))+IF(CC$5="X",VLOOKUP(CC$10,'VK-Põlevkivi'!$C:$X,2+$G134,0))+IF(CC$4="X",VLOOKUP(CC$10,'VK-Võrgud'!$C:$X,2+$F134,0)))/16</f>
        <v>0</v>
      </c>
      <c r="CD134" s="209"/>
      <c r="CE134" s="209">
        <f>(IF(CE$7="X",VLOOKUP(CE$10,'VK-Hooned-Soojus'!$C:$X,2+$C134,FALSE),0)+IF(CE$6="X",VLOOKUP(CE$10,'VK-Transport'!$C:$X,2+$B134,0))+IF(CE$8="X",VLOOKUP(CE$10,'VK-Elekter'!$C:$X,2+$D134,0))+IF(CE$9="X",VLOOKUP(CE$10,'VK-Biokütused'!$C:$U,2+$E134,0))+IF(CE$5="X",VLOOKUP(CE$10,'VK-Põlevkivi'!$C:$X,2+$G134,0))+IF(CE$4="X",VLOOKUP(CE$10,'VK-Võrgud'!$C:$X,2+$F134,0)))/16</f>
        <v>24.15625</v>
      </c>
      <c r="CF134" s="209"/>
      <c r="CG134" s="209">
        <f>(IF(CG$7="X",VLOOKUP(CG$10,'VK-Hooned-Soojus'!$C:$X,2+$C134,FALSE),0)+IF(CG$6="X",VLOOKUP(CG$10,'VK-Transport'!$C:$X,2+$B134,0))+IF(CG$8="X",VLOOKUP(CG$10,'VK-Elekter'!$C:$X,2+$D134,0))+IF(CG$9="X",VLOOKUP(CG$10,'VK-Biokütused'!$C:$U,2+$E134,0))+IF(CG$5="X",VLOOKUP(CG$10,'VK-Põlevkivi'!$C:$X,2+$G134,0))+IF(CG$4="X",VLOOKUP(CG$10,'VK-Võrgud'!$C:$X,2+$F134,0)))/16</f>
        <v>0</v>
      </c>
      <c r="CH134" s="209">
        <f>(IF(CH$7="X",VLOOKUP(CH$10,'VK-Hooned-Soojus'!$C:$X,2+$C134,FALSE),0)+IF(CH$6="X",VLOOKUP(CH$10,'VK-Transport'!$C:$X,2+$B134,0))+IF(CH$8="X",VLOOKUP(CH$10,'VK-Elekter'!$C:$X,2+$D134,0))+IF(CH$9="X",VLOOKUP(CH$10,'VK-Biokütused'!$C:$U,2+$E134,0))+IF(CH$5="X",VLOOKUP(CH$10,'VK-Põlevkivi'!$C:$X,2+$G134,0))+IF(CH$4="X",VLOOKUP(CH$10,'VK-Võrgud'!$C:$X,2+$F134,0)))/20*0.21</f>
        <v>26.9178</v>
      </c>
      <c r="CI134" s="209"/>
      <c r="CJ134" s="209">
        <f>(IF(CJ$7="X",VLOOKUP(CJ$10,'VK-Hooned-Soojus'!$C:$X,2+$C134,FALSE),0)+IF(CJ$6="X",VLOOKUP(CJ$10,'VK-Transport'!$C:$X,2+$B134,0))+IF(CJ$8="X",VLOOKUP(CJ$10,'VK-Elekter'!$C:$X,2+$D134,0))+IF(CJ$9="X",VLOOKUP(CJ$10,'VK-Biokütused'!$C:$U,2+$E134,0))+IF(CJ$5="X",VLOOKUP(CJ$10,'VK-Põlevkivi'!$C:$X,2+$G134,0))+IF(CJ$4="X",VLOOKUP(CJ$10,'VK-Võrgud'!$C:$X,2+$F134,0)))/1000</f>
        <v>16.462578011574536</v>
      </c>
      <c r="CK134" s="209">
        <f>(IF(CK$7="X",VLOOKUP(CK$10,'VK-Hooned-Soojus'!$C:$X,2+$C134,FALSE),0)+IF(CK$6="X",VLOOKUP(CK$10,'VK-Transport'!$C:$X,2+$B134,0))+IF(CK$8="X",VLOOKUP(CK$10,'VK-Elekter'!$C:$X,2+$D134,0))+IF(CK$9="X",VLOOKUP(CK$10,'VK-Biokütused'!$C:$U,2+$E134,0))+IF(CK$5="X",VLOOKUP(CK$10,'VK-Põlevkivi'!$C:$X,2+$G134,0))+IF(CK$4="X",VLOOKUP(CK$10,'VK-Võrgud'!$C:$X,2+$F134,0)))/1000</f>
        <v>11.219077976340797</v>
      </c>
      <c r="CL134" s="235">
        <f>(IF(CL$7="X",VLOOKUP(CL$10,'VK-Hooned-Soojus'!$C:$X,2+$C134,FALSE),0)+IF(CL$6="X",VLOOKUP(CL$10,'VK-Transport'!$C:$X,2+$B134,0))+IF(CL$8="X",VLOOKUP(CL$10,'VK-Elekter'!$C:$X,2+$D134,0))+IF(CL$9="X",VLOOKUP(CL$10,'VK-Biokütused'!$C:$U,2+$E134,0)))/1000</f>
        <v>7.1831111109201009</v>
      </c>
      <c r="CM134" s="209">
        <f>(IF(CM$7="X",VLOOKUP(CM$10,'VK-Hooned-Soojus'!$C:$X,2+$C134,FALSE),0)+IF(CM$6="X",VLOOKUP(CM$10,'VK-Transport'!$C:$X,2+$B134,0))+IF(CM$8="X",VLOOKUP(CM$10,'VK-Elekter'!$C:$X,2+$D134,0))+IF(CM$9="X",VLOOKUP(CM$10,'VK-Biokütused'!$C:$U,2+$E134,0))+IF(CM$5="X",VLOOKUP(CM$10,'VK-Põlevkivi'!$C:$X,2+$G134,0))+IF(CM$4="X",VLOOKUP(CM$10,'VK-Võrgud'!$C:$X,2+$F134,0)))/1000</f>
        <v>7.5717605777489068</v>
      </c>
      <c r="CN134" s="209">
        <f>(IF(CN$7="X",VLOOKUP(CN$10,'VK-Hooned-Soojus'!$C:$X,2+$C134,FALSE),0)+IF(CN$6="X",VLOOKUP(CN$10,'VK-Transport'!$C:$X,2+$B134,0))+IF(CN$8="X",VLOOKUP(CN$10,'VK-Elekter'!$C:$X,2+$D134,0))+IF(CN$9="X",VLOOKUP(CN$10,'VK-Biokütused'!$C:$U,2+$E134,0))+IF(CN$5="X",VLOOKUP(CN$10,'VK-Põlevkivi'!$C:$X,2+$G134,0))+IF(CN$4="X",VLOOKUP(CN$10,'VK-Võrgud'!$C:$X,2+$F134,0)))/1000</f>
        <v>2.7810000000000001</v>
      </c>
      <c r="CO134" s="209">
        <f>(IF(CO$7="X",VLOOKUP(CO$10,'VK-Hooned-Soojus'!$C:$X,2+$C134,FALSE),0)+IF(CO$6="X",VLOOKUP(CO$10,'VK-Transport'!$C:$X,2+$B134,0))+IF(CO$8="X",VLOOKUP(CO$10,'VK-Elekter'!$C:$X,2+$D134,0))+IF(CO$9="X",VLOOKUP(CO$10,'VK-Biokütused'!$C:$U,2+$E134,0))+IF(CO$5="X",VLOOKUP(CO$10,'VK-Põlevkivi'!$C:$X,2+$G134,0))+IF(CO$4="X",VLOOKUP(CO$10,'VK-Võrgud'!$C:$X,2+$F134,0)))/1000</f>
        <v>23.561362337356993</v>
      </c>
      <c r="CP134" s="209">
        <f>(IF(CP$7="X",VLOOKUP(CP$10,'VK-Hooned-Soojus'!$C:$X,2+$C134,FALSE),0)+IF(CP$6="X",VLOOKUP(CP$10,'VK-Transport'!$C:$X,2+$B134,0))+IF(CP$8="X",VLOOKUP(CP$10,'VK-Elekter'!$C:$X,2+$D134,0))+IF(CP$9="X",VLOOKUP(CP$10,'VK-Biokütused'!$C:$U,2+$E134,0))+IF(CP$5="X",VLOOKUP(CP$10,'VK-Põlevkivi'!$C:$X,2+$G134,0))+IF(CP$4="X",VLOOKUP(CP$10,'VK-Võrgud'!$C:$X,2+$F134,0)))/1000</f>
        <v>13.40539212069366</v>
      </c>
      <c r="CQ134" s="235">
        <f>(IF(CQ$7="X",VLOOKUP(CQ$10,'VK-Hooned-Soojus'!$C:$X,2+$C134,FALSE),0)+IF(CQ$6="X",VLOOKUP(CQ$10,'VK-Transport'!$C:$X,2+$B134,0))+IF(CQ$8="X",VLOOKUP(CQ$10,'VK-Elekter'!$C:$X,2+$D134,0))+IF(CQ$9="X",VLOOKUP(CQ$10,'VK-Biokütused'!$C:$U,2+$E134,0)))/1000</f>
        <v>10.248918999999999</v>
      </c>
      <c r="CR134" s="209">
        <f>(IF(CR$7="X",VLOOKUP(CR$10,'VK-Hooned-Soojus'!$C:$X,2+$C134,FALSE),0)+IF(CR$6="X",VLOOKUP(CR$10,'VK-Transport'!$C:$X,2+$B134,0))+IF(CR$8="X",VLOOKUP(CR$10,'VK-Elekter'!$C:$X,2+$D134,0))+IF(CR$9="X",VLOOKUP(CR$10,'VK-Biokütused'!$C:$U,2+$E134,0))+IF(CR$5="X",VLOOKUP(CR$10,'VK-Põlevkivi'!$C:$X,2+$G134,0))+IF(CR$4="X",VLOOKUP(CR$10,'VK-Võrgud'!$C:$X,2+$F134,0)))/1000</f>
        <v>7.6927518373996895</v>
      </c>
      <c r="CS134" s="209">
        <f>(IF(CS$7="X",VLOOKUP(CS$10,'VK-Hooned-Soojus'!$C:$X,2+$C134,FALSE),0)+IF(CS$6="X",VLOOKUP(CS$10,'VK-Transport'!$C:$X,2+$B134,0))+IF(CS$8="X",VLOOKUP(CS$10,'VK-Elekter'!$C:$X,2+$D134,0))+IF(CS$9="X",VLOOKUP(CS$10,'VK-Biokütused'!$C:$U,2+$E134,0))+IF(CS$5="X",VLOOKUP(CS$10,'VK-Põlevkivi'!$C:$X,2+$G134,0))+IF(CS$4="X",VLOOKUP(CS$10,'VK-Võrgud'!$C:$X,2+$F134,0)))/1000</f>
        <v>3.7686495098622381</v>
      </c>
      <c r="CT134" s="209">
        <f>IF(CT$7="X",VLOOKUP(CT$10,'VK-Hooned-Soojus'!$C:$X,2+$C134,FALSE),0)+IF(CT$6="X",VLOOKUP(CT$10,'VK-Transport'!$C:$X,2+$B134,0))+IF(CT$8="X",VLOOKUP(CT$10,'VK-Elekter'!$C:$X,2+$D134,0))+IF(CT$9="X",VLOOKUP(CT$10,'VK-Biokütused'!$C:$U,2+$E134,0))+IF(CT$5="X",VLOOKUP(CT$10,'VK-Põlevkivi'!$C:$X,2+$G134,0))+IF(CT$4="X",VLOOKUP(CT$10,'VK-Võrgud'!$C:$X,2+$F134,0))</f>
        <v>90</v>
      </c>
      <c r="CU134" s="209">
        <f>IF(CU$7="X",VLOOKUP(CU$10,'VK-Hooned-Soojus'!$C:$X,2+$C134,FALSE),0)+IF(CU$6="X",VLOOKUP(CU$10,'VK-Transport'!$C:$X,2+$B134,0))+IF(CU$8="X",VLOOKUP(CU$10,'VK-Elekter'!$C:$X,2+$D134,0))+IF(CU$9="X",VLOOKUP(CU$10,'VK-Biokütused'!$C:$U,2+$E134,0))+IF(CU$5="X",VLOOKUP(CU$10,'VK-Põlevkivi'!$C:$X,2+$G134,0))+IF(CU$4="X",VLOOKUP(CU$10,'VK-Võrgud'!$C:$X,2+$F134,0))</f>
        <v>0.72088353413654627</v>
      </c>
      <c r="CV134" s="209">
        <f t="shared" si="84"/>
        <v>1</v>
      </c>
      <c r="CW134" s="209">
        <f>(IF(CW$7="X",VLOOKUP(CW$10,'VK-Hooned-Soojus'!$C:$X,2+$C134,FALSE),0)+IF(CW$6="X",VLOOKUP(CW$10,'VK-Transport'!$C:$X,2+$B134,0))+IF(CW$8="X",VLOOKUP(CW$10,'VK-Elekter'!$C:$X,2+$D134,0))+IF(CW$9="X",VLOOKUP(CW$10,'VK-Biokütused'!$C:$U,2+$E134,0))+IF(CW$5="X",VLOOKUP(CW$10,'VK-Põlevkivi'!$C:$X,2+$G134,0))+IF(CW$4="X",VLOOKUP(CW$10,'VK-Võrgud'!$C:$X,2+$F134,0)))/16</f>
        <v>0</v>
      </c>
      <c r="CY134" s="209">
        <f>(IF(CY$7="X",VLOOKUP(CY$10,'VK-Hooned-Soojus'!$C:$X,2+$C134,FALSE),0)+IF(CY$6="X",VLOOKUP(CY$10,'VK-Transport'!$C:$X,2+$B134,0))+IF(CY$8="X",VLOOKUP(CY$10,'VK-Elekter'!$C:$X,2+$D134,0))+IF(CY$9="X",VLOOKUP(CY$10,'VK-Biokütused'!$C:$U,2+$E134,0))+IF(CY$5="X",VLOOKUP(CY$10,'VK-Põlevkivi'!$C:$X,2+$G134,0))+IF(CY$4="X",VLOOKUP(CY$10,'VK-Võrgud'!$C:$X,2+$F134,0)))/1000</f>
        <v>9.68</v>
      </c>
      <c r="CZ134" s="209">
        <f>(IF(CZ$7="X",VLOOKUP(CZ$10,'VK-Hooned-Soojus'!$C:$X,2+$C134,FALSE),0)+IF(CZ$6="X",VLOOKUP(CZ$10,'VK-Transport'!$C:$X,2+$B134,0))+IF(CZ$8="X",VLOOKUP(CZ$10,'VK-Elekter'!$C:$X,2+$D134,0))+IF(CZ$9="X",VLOOKUP(CZ$10,'VK-Biokütused'!$C:$U,2+$E134,0))+IF(CZ$5="X",VLOOKUP(CZ$10,'VK-Põlevkivi'!$C:$X,2+$G134,0))+IF(CZ$4="X",VLOOKUP(CZ$10,'VK-Võrgud'!$C:$X,2+$F134,0)))</f>
        <v>67</v>
      </c>
      <c r="DA134" s="209">
        <f>(IF(DA$7="X",VLOOKUP(DA$10,'VK-Hooned-Soojus'!$C:$X,2+$C134,FALSE),0)+IF(DA$6="X",VLOOKUP(DA$10,'VK-Transport'!$C:$X,2+$B134,0))+IF(DA$8="X",VLOOKUP(DA$10,'VK-Elekter'!$C:$X,2+$D134,0))+IF(DA$9="X",VLOOKUP(DA$10,'VK-Biokütused'!$C:$U,2+$E134,0))+IF(DA$5="X",VLOOKUP(DA$10,'VK-Põlevkivi'!$C:$X,2+$G134,0))+IF(DA$4="X",VLOOKUP(DA$10,'VK-Võrgud'!$C:$X,2+$F134,0)))/1000</f>
        <v>12.635</v>
      </c>
      <c r="DB134" s="209">
        <f>(IF(DB$7="X",VLOOKUP(DB$10,'VK-Hooned-Soojus'!$C:$X,2+$C134,FALSE),0)+IF(DB$6="X",VLOOKUP(DB$10,'VK-Transport'!$C:$X,2+$B134,0))+IF(DB$8="X",VLOOKUP(DB$10,'VK-Elekter'!$C:$X,2+$D134,0))+IF(DB$9="X",VLOOKUP(DB$10,'VK-Biokütused'!$C:$U,2+$E134,0))+IF(DB$5="X",VLOOKUP(DB$10,'VK-Põlevkivi'!$C:$X,2+$G134,0))+IF(DB$4="X",VLOOKUP(DB$10,'VK-Võrgud'!$C:$X,2+$F134,0)))/1000/3.6</f>
        <v>57.006666666666661</v>
      </c>
      <c r="DC134" s="209">
        <f>(IF(DC$7="X",VLOOKUP(DC$10,'VK-Hooned-Soojus'!$C:$X,2+$C134,FALSE),0)+IF(DC$6="X",VLOOKUP(DC$10,'VK-Transport'!$C:$X,2+$B134,0))+IF(DC$8="X",VLOOKUP(DC$10,'VK-Elekter'!$C:$X,2+$D134,0))+IF(DC$9="X",VLOOKUP(DC$10,'VK-Biokütused'!$C:$U,2+$E134,0))+IF(DC$5="X",VLOOKUP(DC$10,'VK-Põlevkivi'!$C:$X,2+$G134,0))+IF(DC$4="X",VLOOKUP(DC$10,'VK-Võrgud'!$C:$X,2+$F134,0)))/1000000</f>
        <v>4.5926130000000001</v>
      </c>
      <c r="DD134" s="209"/>
      <c r="DE134" s="88">
        <f>VLOOKUP(Tulemused!$BN$12,data!M$7:N$12,2,FALSE)-SUM(L134,M134)</f>
        <v>0.39749062697563176</v>
      </c>
      <c r="DF134" s="209" t="str">
        <f>IF(AZ134&lt;=VLOOKUP(Tulemused!$BN$15,data!$E$36:$F$39,2,FALSE),"JAH","EI")</f>
        <v>JAH</v>
      </c>
      <c r="DG134" s="209"/>
      <c r="DH134" s="209">
        <f t="shared" si="85"/>
        <v>6.08</v>
      </c>
      <c r="DI134" s="231" t="str">
        <f t="shared" si="65"/>
        <v>JAH</v>
      </c>
      <c r="DK134" s="232">
        <f t="shared" si="86"/>
        <v>5.6463878335862052</v>
      </c>
      <c r="DM134" s="233">
        <f t="shared" si="87"/>
        <v>-998.34674395307911</v>
      </c>
      <c r="DN134" s="87">
        <f t="array" ref="DN134">INDEX($A$11:$A$145, SMALL(IF(DM134=$DK$11:$DK$145, MATCH(ROW($DK$11:$DK$145), ROW($DK$11:$DK$145))), SUM(--(DM134=$DM$11:DM134))))</f>
        <v>8</v>
      </c>
      <c r="DP134" s="87" t="e">
        <f t="shared" ca="1" si="66"/>
        <v>#N/A</v>
      </c>
      <c r="DQ134" s="87" t="e">
        <f t="shared" ca="1" si="67"/>
        <v>#N/A</v>
      </c>
      <c r="DR134" s="87">
        <f t="shared" ca="1" si="68"/>
        <v>0</v>
      </c>
      <c r="DS134" s="87" t="e">
        <f t="shared" ca="1" si="69"/>
        <v>#N/A</v>
      </c>
      <c r="DT134" s="87">
        <f t="shared" ca="1" si="70"/>
        <v>0</v>
      </c>
      <c r="DU134" s="87" t="e">
        <f t="shared" ca="1" si="71"/>
        <v>#N/A</v>
      </c>
      <c r="DV134" s="87" t="e">
        <f t="shared" ca="1" si="72"/>
        <v>#N/A</v>
      </c>
      <c r="DW134" s="87">
        <f t="shared" ca="1" si="73"/>
        <v>0</v>
      </c>
      <c r="DX134" s="87">
        <f t="shared" ca="1" si="74"/>
        <v>0</v>
      </c>
      <c r="DZ134" s="87">
        <f t="shared" ca="1" si="82"/>
        <v>0</v>
      </c>
      <c r="EB134" s="87">
        <f t="shared" ca="1" si="75"/>
        <v>0</v>
      </c>
      <c r="EC134" s="87" t="e">
        <f t="shared" ca="1" si="76"/>
        <v>#N/A</v>
      </c>
      <c r="EE134" s="228">
        <f>(IF(EE$7="X",VLOOKUP(EE$10,'VK-Hooned-Soojus'!$C:$X,2+$C134,FALSE),0)+IF(EE$6="X",VLOOKUP(EE$10,'VK-Transport'!$C:$X,2+$B134,0))+IF(EE$8="X",VLOOKUP(EE$10,'VK-Elekter'!$C:$X,2+$D134,0))+IF(EE$9="X",VLOOKUP(EE$10,'VK-Biokütused'!$C:$U,2+$E134,0))+IF(EE$5="X",VLOOKUP(EE$10,'VK-Põlevkivi'!$C:$X,2+$G134,0))+IF(EE$4="X",VLOOKUP(EE$10,'VK-Võrgud'!$C:$X,2+$F134,0)))</f>
        <v>6004.2345805258119</v>
      </c>
      <c r="EF134" s="235">
        <f>(IF(EF$7="X",VLOOKUP(EF$10,'VK-Hooned-Soojus'!$C:$X,2+$C134,FALSE),0)+IF(EF$6="X",VLOOKUP(EF$10,'VK-Transport'!$C:$X,2+$B134,0))+IF(EF$8="X",VLOOKUP(EF$10,'VK-Elekter'!$C:$X,2+$D134,0))+IF(EF$9="X",VLOOKUP(EF$10,'VK-Biokütused'!$C:$U,2+$E134,0)))/1000</f>
        <v>3.4398849906373199</v>
      </c>
      <c r="EG134" s="209">
        <f>(IF(EG$7="X",VLOOKUP(EG$10,'VK-Hooned-Soojus'!$C:$X,2+$C134,FALSE),0)+IF(EG$6="X",VLOOKUP(EG$10,'VK-Transport'!$C:$X,2+$B134,0))+IF(EG$8="X",VLOOKUP(EG$10,'VK-Elekter'!$C:$X,2+$D134,0))+IF(EG$9="X",VLOOKUP(EG$10,'VK-Biokütused'!$C:$U,2+$E134,0))+IF(EG$5="X",VLOOKUP(EG$10,'VK-Põlevkivi'!$C:$X,2+$G134,0))+IF(EG$4="X",VLOOKUP(EG$10,'VK-Võrgud'!$C:$X,2+$F134,0)))</f>
        <v>0.81</v>
      </c>
      <c r="EH134" s="209">
        <f>(IF(EH$7="X",VLOOKUP(EH$10,'VK-Hooned-Soojus'!$C:$X,2+$C134,FALSE),0)+IF(EH$6="X",VLOOKUP(EH$10,'VK-Transport'!$C:$X,2+$B134,0))+IF(EH$8="X",VLOOKUP(EH$10,'VK-Elekter'!$C:$X,2+$D134,0))+IF(EH$9="X",VLOOKUP(EH$10,'VK-Biokütused'!$C:$U,2+$E134,0)))+AR134+AS134+AU134+AX134</f>
        <v>48.996621447028424</v>
      </c>
      <c r="EI134" s="320">
        <f t="shared" si="88"/>
        <v>43.312900516795864</v>
      </c>
      <c r="EJ134" s="322">
        <f t="shared" si="89"/>
        <v>2.5620074329845279E-2</v>
      </c>
      <c r="EK134" s="323">
        <f t="shared" si="77"/>
        <v>0.447957193299102</v>
      </c>
      <c r="EM134" s="209"/>
      <c r="EN134" s="209">
        <f t="shared" ca="1" si="90"/>
        <v>0</v>
      </c>
      <c r="EO134" s="209"/>
      <c r="EP134" s="234"/>
      <c r="EQ134" s="209">
        <f>(IF(EQ$7="X",VLOOKUP(EQ$10,'VK-Hooned-Soojus'!$C:$X,2+$C134,FALSE),0)+IF(EQ$6="X",VLOOKUP(EQ$10,'VK-Transport'!$C:$X,2+$B134,0))+IF(EQ$8="X",VLOOKUP(EQ$10,'VK-Elekter'!$C:$X,2+$D134,0))+IF(EQ$9="X",VLOOKUP(EQ$10,'VK-Biokütused'!$C:$U,2+$E134,0))+IF(EQ$5="X",VLOOKUP(EQ$10,'VK-Põlevkivi'!$C:$X,2+$G134,0))+IF(EQ$4="X",VLOOKUP(EQ$10,'VK-Võrgud'!$C:$X,2+$F134,0)))/1000</f>
        <v>0.19900000000000001</v>
      </c>
      <c r="ER134" s="209">
        <f>(IF(ER$7="X",VLOOKUP(ER$10,'VK-Hooned-Soojus'!$C:$X,2+$C134,FALSE),0)+IF(ER$6="X",VLOOKUP(ER$10,'VK-Transport'!$C:$X,2+$B134,0))+IF(ER$8="X",VLOOKUP(ER$10,'VK-Elekter'!$C:$X,2+$D134,0))+IF(ER$9="X",VLOOKUP(ER$10,'VK-Biokütused'!$C:$U,2+$E134,0))+IF(ER$5="X",VLOOKUP(ER$10,'VK-Põlevkivi'!$C:$X,2+$G134,0))+IF(ER$4="X",VLOOKUP(ER$10,'VK-Võrgud'!$C:$X,2+$F134,0)))</f>
        <v>0.72299999999999998</v>
      </c>
      <c r="ES134" s="209">
        <f>(IF(ES$7="X",VLOOKUP(ES$10,'VK-Hooned-Soojus'!$C:$X,2+$C134,FALSE),0)+IF(ES$6="X",VLOOKUP(ES$10,'VK-Transport'!$C:$X,2+$B134,0))+IF(ES$8="X",VLOOKUP(ES$10,'VK-Elekter'!$C:$X,2+$D134,0))+IF(ES$9="X",VLOOKUP(ES$10,'VK-Biokütused'!$C:$U,2+$E134,0))+IF(ES$5="X",VLOOKUP(ES$10,'VK-Põlevkivi'!$C:$X,2+$G134,0))+IF(ES$4="X",VLOOKUP(ES$10,'VK-Võrgud'!$C:$X,2+$F134,0)))</f>
        <v>6.08</v>
      </c>
      <c r="ET134" s="209"/>
      <c r="EU134" s="209"/>
      <c r="EV134" s="87">
        <f>'KSH järjestus'!AS127</f>
        <v>784</v>
      </c>
      <c r="EZ134" s="237">
        <f t="shared" si="91"/>
        <v>0.27911646586345373</v>
      </c>
      <c r="FA134" s="209">
        <f>IF(FA$7="X",VLOOKUP(FA$10,'VK-Hooned-Soojus'!$C:$X,2+$C134,FALSE),0)+IF(FA$6="X",VLOOKUP(FA$10,'VK-Transport'!$C:$X,2+$B134,0))+IF(FA$8="X",VLOOKUP(FA$10,'VK-Elekter'!$C:$X,2+$D134,0))+IF(FA$9="X",VLOOKUP(FA$10,'VK-Biokütused'!$C:$U,2+$E134,0))+IF(FA$5="X",VLOOKUP(FA$10,'VK-Põlevkivi'!$C:$X,2+$G134,0))+IF(FA$4="X",VLOOKUP(FA$10,'VK-Võrgud'!$C:$X,2+$F134,0))</f>
        <v>2700.9189999999999</v>
      </c>
      <c r="FB134" s="279">
        <f>(IF(FB$7="X",VLOOKUP(FB$10,'VK-Hooned-Soojus'!$C:$X,2+$C134,FALSE),0)+IF(FB$6="X",VLOOKUP(FB$10,'VK-Transport'!$C:$X,2+$B134,0))+IF(FB$8="X",VLOOKUP(FB$10,'VK-Elekter'!$C:$X,2+$D134,0))+IF(FB$9="X",VLOOKUP(FB$10,'VK-Biokütused'!$C:$U,2+$E134,0))+IF(FB$5="X",VLOOKUP(FB$10,'VK-Põlevkivi'!$C:$X,2+$G134,0))+IF(FB$4="X",VLOOKUP(FB$10,'VK-Võrgud'!$C:$X,2+$F134,0)))/16</f>
        <v>315.5498872460289</v>
      </c>
      <c r="FC134" s="209">
        <f>IF(FC$7="X",VLOOKUP(FC$10,'VK-Hooned-Soojus'!$C:$X,2+$C134,FALSE),0)+IF(FC$6="X",VLOOKUP(FC$10,'VK-Transport'!$C:$X,2+$B134,0))+IF(FC$8="X",VLOOKUP(FC$10,'VK-Elekter'!$C:$X,2+$D134,0))+IF(FC$9="X",VLOOKUP(FC$10,'VK-Biokütused'!$C:$U,2+$E134,0))+IF(FC$5="X",VLOOKUP(FC$10,'VK-Põlevkivi'!$C:$X,2+$G134,0))+IF(FC$4="X",VLOOKUP(FC$10,'VK-Võrgud'!$C:$X,2+$F134,0))</f>
        <v>285</v>
      </c>
      <c r="FD134" s="209">
        <f>(IF(FD$7="X",VLOOKUP(FD$10,'VK-Hooned-Soojus'!$C:$X,2+$C134,FALSE),0)+IF(FD$6="X",VLOOKUP(FD$10,'VK-Transport'!$C:$X,2+$B134,0))+IF(FD$8="X",VLOOKUP(FD$10,'VK-Elekter'!$C:$X,2+$D134,0))+IF(FD$9="X",VLOOKUP(FD$10,'VK-Biokütused'!$C:$U,2+$E134,0))+IF(FD$5="X",VLOOKUP(FD$10,'VK-Põlevkivi'!$C:$X,2+$G134,0))+IF(FD$4="X",VLOOKUP(FD$10,'VK-Võrgud'!$C:$X,2+$F134,0)))/16</f>
        <v>315.5498872460289</v>
      </c>
      <c r="FE134" s="209">
        <f>(IF(FE$7="X",VLOOKUP(FE$10,'VK-Hooned-Soojus'!$C:$X,2+$C134,FALSE),0)+IF(FE$6="X",VLOOKUP(FE$10,'VK-Transport'!$C:$X,2+$B134,0))+IF(FE$8="X",VLOOKUP(FE$10,'VK-Elekter'!$C:$X,2+$D134,0))+IF(FE$9="X",VLOOKUP(FE$10,'VK-Biokütused'!$C:$U,2+$E134,0))+IF(FE$5="X",VLOOKUP(FE$10,'VK-Põlevkivi'!$C:$X,2+$G134,0))+IF(FE$4="X",VLOOKUP(FE$10,'VK-Võrgud'!$C:$X,2+$F134,0)))/16</f>
        <v>-162.95750000000001</v>
      </c>
      <c r="FF134" s="209">
        <f>(IF(FF$7="X",VLOOKUP(FF$10,'VK-Hooned-Soojus'!$C:$X,2+$C134,FALSE),0)+IF(FF$6="X",VLOOKUP(FF$10,'VK-Transport'!$C:$X,2+$B134,0))+IF(FF$8="X",VLOOKUP(FF$10,'VK-Elekter'!$C:$X,2+$D134,0))+IF(FF$9="X",VLOOKUP(FF$10,'VK-Biokütused'!$C:$U,2+$E134,0))+IF(FF$5="X",VLOOKUP(FF$10,'VK-Põlevkivi'!$C:$X,2+$G134,0))+IF(FF$4="X",VLOOKUP(FF$10,'VK-Võrgud'!$C:$X,2+$F134,0)))/16</f>
        <v>174.868437220494</v>
      </c>
      <c r="FG134" s="88">
        <f t="shared" ca="1" si="78"/>
        <v>11.910937220493992</v>
      </c>
      <c r="FH134" s="88"/>
      <c r="FI134" s="88"/>
      <c r="FJ134" s="88">
        <f>VLOOKUP(Tulemused!$BN$12,data!M$7:N$12,2,FALSE)-SUM(L134,M134)</f>
        <v>0.39749062697563176</v>
      </c>
      <c r="FK134" s="209" t="str">
        <f>IF(AZ134&lt;=VLOOKUP(Tulemused!$BN$15,data!$E$36:$F$39,2,FALSE),"JAH","EI")</f>
        <v>JAH</v>
      </c>
      <c r="FL134" s="235">
        <f ca="1">IF(ISNA(MATCH($A134,INDIRECT(VLOOKUP(Tulemused!$BF$11,data!$J$57:$M$71,4,FALSE)))),0,MATCH($A134,INDIRECT(VLOOKUP(Tulemused!$BF$11,data!$J$57:$M$71,4,FALSE))))</f>
        <v>0</v>
      </c>
      <c r="FM134" s="235" t="str">
        <f t="shared" ca="1" si="92"/>
        <v>JAH</v>
      </c>
      <c r="FN134" s="209">
        <f>VLOOKUP(Tulemused!$BN$13,data!$C$132:$D$137,2,FALSE)-KOMBI!R134</f>
        <v>5.2080850093626809</v>
      </c>
      <c r="FO134" s="209"/>
      <c r="FP134" s="209">
        <f>VLOOKUP(Tulemused!$BN$17,NO_x,2,FALSE)-CJ134</f>
        <v>12.975421988425463</v>
      </c>
      <c r="FQ134" s="209">
        <f>VLOOKUP(Tulemused!$BN$18,SO_2,2,FALSE)-CK134</f>
        <v>40.664922023659201</v>
      </c>
      <c r="FR134" s="209">
        <f>VLOOKUP(Tulemused!$BN$19,LOU,2,FALSE)-CN134</f>
        <v>34.299000000000007</v>
      </c>
      <c r="FS134" s="209">
        <f>VLOOKUP(Tulemused!$BN$20,PM_2.5,2,FALSE)-CM134</f>
        <v>9.3432394222510915</v>
      </c>
      <c r="FT134" s="209">
        <f>VLOOKUP(Tulemused!$BN$13,data!$C$132:$D$137,2,FALSE)-FA134/1000</f>
        <v>3.5450510000000008</v>
      </c>
      <c r="FU134" s="209">
        <f>VLOOKUP(Tulemused!$BN$17,NO_x,2,FALSE)-CO134</f>
        <v>5.8766376626430059</v>
      </c>
      <c r="FV134" s="209">
        <f>VLOOKUP(Tulemused!$BN$18,SO_2,2,FALSE)-CP134</f>
        <v>38.478607879306338</v>
      </c>
      <c r="FW134" s="209">
        <f>VLOOKUP(Tulemused!$BN$19,LOU,2,FALSE)-CS134</f>
        <v>33.311350490137769</v>
      </c>
      <c r="FX134" s="209">
        <f>VLOOKUP(Tulemused!$BN$20,PM_2.5,2,FALSE)-CR134</f>
        <v>9.2222481626003088</v>
      </c>
      <c r="FY134" s="209">
        <f>VLOOKUP(Tulemused!$BN$14,KHG_2050,2,FALSE)-EF134</f>
        <v>96.560115009362676</v>
      </c>
      <c r="FZ134" s="231" t="str">
        <f t="shared" ca="1" si="79"/>
        <v>JAH</v>
      </c>
      <c r="GA134" s="209"/>
      <c r="GB134" s="209"/>
      <c r="GC134" s="209"/>
      <c r="GD134" s="231"/>
      <c r="GE134" s="87">
        <f t="shared" si="93"/>
        <v>784</v>
      </c>
      <c r="GF134" s="232">
        <f t="shared" ca="1" si="80"/>
        <v>784</v>
      </c>
      <c r="GH134" s="238" t="e">
        <f t="shared" ca="1" si="94"/>
        <v>#NUM!</v>
      </c>
      <c r="GI134" s="87" t="e">
        <f t="array" aca="1" ref="GI134" ca="1">INDEX($A$11:$A$145, SMALL(IF(GH134=$GF$11:$GF$145, MATCH(ROW($GF$11:$GF$145), ROW($GF$11:$GF$145))), SUM(--(GH134=$GH$11:GH134))))</f>
        <v>#NUM!</v>
      </c>
      <c r="GM134" s="209">
        <f>IF(GM$7="X",VLOOKUP(GM$10,'VK-Hooned-Soojus'!$C:$X,2+$C134,FALSE),0)+IF(GM$6="X",VLOOKUP(GM$10,'VK-Transport'!$C:$X,2+$B134,0))+IF(GM$8="X",VLOOKUP(GM$10,'VK-Elekter'!$C:$X,2+$D134,0))+IF(GM$9="X",VLOOKUP(GM$10,'VK-Biokütused'!$C:$U,2+$E134,0))+IF(GM$5="X",VLOOKUP(GM$10,'VK-Põlevkivi'!$C:$X,2+$G134,0))+IF(GM$4="X",VLOOKUP(GM$10,'VK-Võrgud'!$C:$X,2+$F134,0))</f>
        <v>6.0128279910272253</v>
      </c>
      <c r="GN134" s="209">
        <f>IF(GN$7="X",VLOOKUP(GN$10,'VK-Hooned-Soojus'!$C:$X,2+$C134,FALSE),0)+IF(GN$6="X",VLOOKUP(GN$10,'VK-Transport'!$C:$X,2+$B134,0))+IF(GN$8="X",VLOOKUP(GN$10,'VK-Elekter'!$C:$X,2+$D134,0))+IF(GN$9="X",VLOOKUP(GN$10,'VK-Biokütused'!$C:$U,2+$E134,0))+IF(GN$5="X",VLOOKUP(GN$10,'VK-Põlevkivi'!$C:$X,2+$G134,0))+IF(GN$4="X",VLOOKUP(GN$10,'VK-Võrgud'!$C:$X,2+$F134,0))</f>
        <v>3.4467619395011728</v>
      </c>
      <c r="GO134" s="209">
        <f>IF(GO$7="X",VLOOKUP(GO$10,'VK-Hooned-Soojus'!$C:$X,2+$C134,FALSE),0)+IF(GO$6="X",VLOOKUP(GO$10,'VK-Transport'!$C:$X,2+$B134,0))+IF(GO$8="X",VLOOKUP(GO$10,'VK-Elekter'!$C:$X,2+$D134,0))+IF(GO$9="X",VLOOKUP(GO$10,'VK-Biokütused'!$C:$U,2+$E134,0))+IF(GO$5="X",VLOOKUP(GO$10,'VK-Põlevkivi'!$C:$X,2+$G134,0))+IF(GO$4="X",VLOOKUP(GO$10,'VK-Võrgud'!$C:$X,2+$F134,0))</f>
        <v>7.5763700102722566</v>
      </c>
      <c r="GP134" s="209">
        <f>IF(GP$7="X",VLOOKUP(GP$10,'VK-Hooned-Soojus'!$C:$X,2+$C134,FALSE),0)+IF(GP$6="X",VLOOKUP(GP$10,'VK-Transport'!$C:$X,2+$B134,0))+IF(GP$8="X",VLOOKUP(GP$10,'VK-Elekter'!$C:$X,2+$D134,0))+IF(GP$9="X",VLOOKUP(GP$10,'VK-Biokütused'!$C:$U,2+$E134,0))+IF(GP$5="X",VLOOKUP(GP$10,'VK-Põlevkivi'!$C:$X,2+$G134,0))+IF(GP$4="X",VLOOKUP(GP$10,'VK-Võrgud'!$C:$X,2+$F134,0))</f>
        <v>8.9326558040707589</v>
      </c>
      <c r="GQ134" s="88">
        <f>IF(GQ$7="X",VLOOKUP(GQ$10,'VK-Hooned-Soojus'!$C:$X,2+$C134,FALSE),0)+IF(GQ$6="X",VLOOKUP(GQ$10,'VK-Transport'!$C:$X,2+$B134,0))+IF(GQ$8="X",VLOOKUP(GQ$10,'VK-Elekter'!$C:$X,2+$D134,0))+IF(GQ$9="X",VLOOKUP(GQ$10,'VK-Biokütused'!$C:$U,2+$E134,0))+IF(GQ$5="X",VLOOKUP(GQ$10,'VK-Põlevkivi'!$C:$X,2+$G134,0))+IF(GQ$4="X",VLOOKUP(GQ$10,'VK-Võrgud'!$C:$X,2+$F134,0))</f>
        <v>0.89042766952822527</v>
      </c>
      <c r="GR134" s="186">
        <f t="shared" si="81"/>
        <v>0.4091172758825713</v>
      </c>
    </row>
    <row r="135" spans="1:200" x14ac:dyDescent="0.2">
      <c r="A135" s="184">
        <v>125</v>
      </c>
      <c r="B135" s="87">
        <v>3</v>
      </c>
      <c r="C135" s="87">
        <v>3</v>
      </c>
      <c r="D135" s="87">
        <v>2</v>
      </c>
      <c r="E135" s="87">
        <v>2</v>
      </c>
      <c r="F135" s="87">
        <f>VLOOKUP(Tulemused!$BF$7,data!$J$6:$K$8,2,FALSE)</f>
        <v>2</v>
      </c>
      <c r="G135" s="87">
        <f>VLOOKUP(data!$H$2,data!$J$12:$K$14,2,FALSE)</f>
        <v>2</v>
      </c>
      <c r="I135" s="209">
        <f>IF(I$7="X",VLOOKUP(I$10,'VK-Hooned-Soojus'!$C:$X,2+$C135,FALSE),0)+IF(I$6="X",VLOOKUP(I$10,'VK-Transport'!$C:$X,2+$B135,0))+IF(I$8="X",VLOOKUP(I$10,'VK-Elekter'!$C:$X,2+$D135,0))+IF(I$9="X",VLOOKUP(I$10,'VK-Biokütused'!$C:$U,2+$E135,0))+IF(I$5="X",VLOOKUP(I$10,'VK-Põlevkivi'!$C:$X,2+$G135,0))+IF(I$4="X",VLOOKUP(I$10,'VK-Võrgud'!$C:$X,2+$F135,0))</f>
        <v>23.490000000000002</v>
      </c>
      <c r="J135" s="209">
        <f>IF(J$7="X",VLOOKUP(J$10,'VK-Hooned-Soojus'!$C:$X,2+$C135,FALSE),0)+IF(J$6="X",VLOOKUP(J$10,'VK-Transport'!$C:$X,2+$B135,0))+IF(J$8="X",VLOOKUP(J$10,'VK-Elekter'!$C:$X,2+$D135,0))+IF(J$9="X",VLOOKUP(J$10,'VK-Biokütused'!$C:$U,2+$E135,0))+IF(J$5="X",VLOOKUP(J$10,'VK-Põlevkivi'!$C:$X,2+$G135,0))+IF(J$4="X",VLOOKUP(J$10,'VK-Võrgud'!$C:$X,2+$F135,0))</f>
        <v>8.1258333333333344</v>
      </c>
      <c r="K135" s="209">
        <f>IF(K$7="X",VLOOKUP(K$10,'VK-Hooned-Soojus'!$C:$X,2+$C135,FALSE),0)+IF(K$6="X",VLOOKUP(K$10,'VK-Transport'!$C:$X,2+$B135,0))+IF(K$8="X",VLOOKUP(K$10,'VK-Elekter'!$C:$X,2+$D135,0))+IF(K$9="X",VLOOKUP(K$10,'VK-Biokütused'!$C:$U,2+$E135,0))+IF(K$5="X",VLOOKUP(K$10,'VK-Põlevkivi'!$C:$X,2+$G135,0))+IF(K$4="X",VLOOKUP(K$10,'VK-Võrgud'!$C:$X,2+$F135,0))</f>
        <v>13.780000000000001</v>
      </c>
      <c r="L135" s="209">
        <f>IF(L$7="X",VLOOKUP(L$10,'VK-Hooned-Soojus'!$C:$X,2+$C135,FALSE),0)+IF(L$6="X",VLOOKUP(L$10,'VK-Transport'!$C:$X,2+$B135,0))+IF(L$8="X",VLOOKUP(L$10,'VK-Elekter'!$C:$X,2+$D135,0))+IF(L$9="X",VLOOKUP(L$10,'VK-Biokütused'!$C:$U,2+$E135,0))+IF(L$5="X",VLOOKUP(L$10,'VK-Põlevkivi'!$C:$X,2+$G135,0))+IF(L$4="X",VLOOKUP(L$10,'VK-Võrgud'!$C:$X,2+$F135,0))</f>
        <v>23.75</v>
      </c>
      <c r="M135" s="209">
        <f>IF(M$7="X",VLOOKUP(M$10,'VK-Hooned-Soojus'!$C:$X,2+$C135,FALSE),0)+IF(M$6="X",VLOOKUP(M$10,'VK-Transport'!$C:$X,2+$B135,0))+IF(M$8="X",VLOOKUP(M$10,'VK-Elekter'!$C:$X,2+$D135,0))+IF(M$9="X",VLOOKUP(M$10,'VK-Biokütused'!$C:$U,2+$E135,0))+IF(M$5="X",VLOOKUP(M$10,'VK-Põlevkivi'!$C:$X,2+$G135,0))+IF(M$4="X",VLOOKUP(M$10,'VK-Võrgud'!$C:$X,2+$F135,0))</f>
        <v>8.68530937302436</v>
      </c>
      <c r="N135" s="209">
        <f>IF(N$7="X",VLOOKUP(N$10,'VK-Hooned-Soojus'!$C:$X,2+$C135,FALSE),0)+IF(N$6="X",VLOOKUP(N$10,'VK-Transport'!$C:$X,2+$B135,0))+IF(N$8="X",VLOOKUP(N$10,'VK-Elekter'!$C:$X,2+$D135,0))+IF(N$9="X",VLOOKUP(N$10,'VK-Biokütused'!$C:$U,2+$E135,0))+IF(N$5="X",VLOOKUP(N$10,'VK-Põlevkivi'!$C:$X,2+$G135,0))+IF(N$4="X",VLOOKUP(N$10,'VK-Võrgud'!$C:$X,2+$F135,0))</f>
        <v>15.25</v>
      </c>
      <c r="O135" s="209">
        <f t="shared" si="60"/>
        <v>31.615833333333335</v>
      </c>
      <c r="P135" s="209"/>
      <c r="Q135" s="209">
        <f>(IF(Q$7="X",VLOOKUP(Q$10,'VK-Hooned-Soojus'!$C:$X,2+$C135,FALSE),0)+IF(Q$6="X",VLOOKUP(Q$10,'VK-Transport'!$C:$X,2+$B135,0))+IF(Q$8="X",VLOOKUP(Q$10,'VK-Elekter'!$C:$X,2+$D135,0))+IF(Q$9="X",VLOOKUP(Q$10,'VK-Biokütused'!$C:$U,2+$E135,0))+IF(Q$5="X",VLOOKUP(Q$10,'VK-Põlevkivi'!$C:$X,2+$G135,0))+IF(Q$4="X",VLOOKUP(Q$10,'VK-Võrgud'!$C:$X,2+$F135,0)))/1000</f>
        <v>4.9379999999999997</v>
      </c>
      <c r="R135" s="209">
        <f>(IF(R$7="X",VLOOKUP(R$10,'VK-Hooned-Soojus'!$C:$X,2+$C135,FALSE),0)+IF(R$6="X",VLOOKUP(R$10,'VK-Transport'!$C:$X,2+$B135,0))+IF(R$8="X",VLOOKUP(R$10,'VK-Elekter'!$C:$X,2+$D135,0))+IF(R$9="X",VLOOKUP(R$10,'VK-Biokütused'!$C:$U,2+$E135,0))+IF(R$5="X",VLOOKUP(R$10,'VK-Põlevkivi'!$C:$X,2+$G135,0))+IF(R$4="X",VLOOKUP(R$10,'VK-Võrgud'!$C:$X,2+$F135,0)))/1000</f>
        <v>1.4153849906373199</v>
      </c>
      <c r="S135" s="226">
        <f>VLOOKUP(S$10,'VK-Hooned-Soojus'!$C:$I,2+$C135,FALSE) + VLOOKUP(S$10,'VK-Transport'!$C:$I,2+$B135,FALSE)+ VLOOKUP(S$10,'VK-Biokütused'!$C:$G,2+$E135,FALSE)+ VLOOKUP(S$10,'VK-Elekter'!$C:$I,2+$D135,FALSE)+ VLOOKUP(S$10,'VK-Põlevkivi'!$C:$I,2+$G135,FALSE)+ VLOOKUP(S$10,'VK-Võrgud'!$C:$I,2+$F135,FALSE)</f>
        <v>1.8376264018091438E-2</v>
      </c>
      <c r="T135" s="226">
        <f>VLOOKUP(T$10,'VK-Hooned-Soojus'!$C:$I,2+$C135,FALSE) + VLOOKUP(T$10,'VK-Transport'!$C:$I,2+$B135,FALSE)+ VLOOKUP(T$10,'VK-Biokütused'!$C:$G,2+$E135,FALSE)+ VLOOKUP(T$10,'VK-Elekter'!$C:$I,2+$D135,FALSE)+ VLOOKUP(T$10,'VK-Põlevkivi'!$C:$I,2+$G135,FALSE)+ VLOOKUP(T$10,'VK-Võrgud'!$C:$I,2+$F135,FALSE)</f>
        <v>3.8823113090310545E-3</v>
      </c>
      <c r="U135" s="226">
        <f>VLOOKUP(U$10,'VK-Hooned-Soojus'!$C:$I,2+$C135,FALSE) + VLOOKUP(U$10,'VK-Transport'!$C:$I,2+$B135,FALSE)+ VLOOKUP(U$10,'VK-Biokütused'!$C:$G,2+$E135,FALSE)+ VLOOKUP(U$10,'VK-Elekter'!$C:$I,2+$D135,FALSE)+ VLOOKUP(U$10,'VK-Põlevkivi'!$C:$I,2+$G135,FALSE)+ VLOOKUP(U$10,'VK-Võrgud'!$C:$I,2+$F135,FALSE)</f>
        <v>3.4330371149805805E-3</v>
      </c>
      <c r="V135" s="226">
        <f>VLOOKUP(V$10,'VK-Hooned-Soojus'!$C:$I,2+$C135,FALSE) + VLOOKUP(V$10,'VK-Transport'!$C:$I,2+$B135,FALSE)+ VLOOKUP(V$10,'VK-Biokütused'!$C:$G,2+$E135,FALSE)+ VLOOKUP(V$10,'VK-Elekter'!$C:$I,2+$D135,FALSE)+ VLOOKUP(V$10,'VK-Põlevkivi'!$C:$I,2+$G135,FALSE)+ VLOOKUP(V$10,'VK-Võrgud'!$C:$I,2+$F135,FALSE)</f>
        <v>1.507186583021059E-2</v>
      </c>
      <c r="W135" s="226">
        <f>VLOOKUP(W$10,'VK-Hooned-Soojus'!$C:$I,2+$C135,FALSE) + VLOOKUP(W$10,'VK-Transport'!$C:$I,2+$B135,FALSE)+ VLOOKUP(W$10,'VK-Biokütused'!$C:$G,2+$E135,FALSE)+ VLOOKUP(W$10,'VK-Elekter'!$C:$I,2+$D135,FALSE)+ VLOOKUP(W$10,'VK-Põlevkivi'!$C:$I,2+$G135,FALSE)+ VLOOKUP(W$10,'VK-Võrgud'!$C:$I,2+$F135,FALSE)</f>
        <v>-4.8594580335326633E-2</v>
      </c>
      <c r="X135" s="226">
        <f>VLOOKUP(X$10,'VK-Hooned-Soojus'!$C:$I,2+$C135,FALSE) + VLOOKUP(X$10,'VK-Transport'!$C:$I,2+$B135,FALSE)+ VLOOKUP(X$10,'VK-Biokütused'!$C:$G,2+$E135,FALSE)+ VLOOKUP(X$10,'VK-Elekter'!$C:$I,2+$D135,FALSE)+ VLOOKUP(X$10,'VK-Põlevkivi'!$C:$I,2+$G135,FALSE)+ VLOOKUP(X$10,'VK-Võrgud'!$C:$I,2+$F135,FALSE)</f>
        <v>-5.812475141232893E-2</v>
      </c>
      <c r="Y135" s="226">
        <f>VLOOKUP(Y$10,'VK-Hooned-Soojus'!$C:$I,2+$C135,FALSE) + VLOOKUP(Y$10,'VK-Transport'!$C:$I,2+$B135,FALSE)+ VLOOKUP(Y$10,'VK-Biokütused'!$C:$G,2+$E135,FALSE)+ VLOOKUP(Y$10,'VK-Elekter'!$C:$I,2+$D135,FALSE)+ VLOOKUP(Y$10,'VK-Põlevkivi'!$C:$I,2+$G135,FALSE)+ VLOOKUP(Y$10,'VK-Võrgud'!$C:$I,2+$F135,FALSE)</f>
        <v>-8.1995525633301369E-2</v>
      </c>
      <c r="Z135" s="227">
        <f>(S135*Tulemused!$Q$9*10+T135*Tulemused!$Q$10*10+KOMBI!U135*Tulemused!$Q$11*10+KOMBI!V135*Tulemused!$Q$12*10)*Tulemused!$Q$8+-(W135*Tulemused!$Q$14*10+KOMBI!X135*Tulemused!$Q$15*10+KOMBI!Y135*Tulemused!$Q$16*10)*Tulemused!$Q$13</f>
        <v>6.5622994822320475</v>
      </c>
      <c r="AA135" s="228">
        <f>(IF(AA$7="X",VLOOKUP(AA$10,'VK-Hooned-Soojus'!$C:$X,2+$C135,FALSE),0)+IF(AA$6="X",VLOOKUP(AA$10,'VK-Transport'!$C:$X,2+$B135,0))+IF(AA$8="X",VLOOKUP(AA$10,'VK-Elekter'!$C:$X,2+$D135,0))+IF(AA$9="X",VLOOKUP(AA$10,'VK-Biokütused'!$C:$U,2+$E135,0))+IF(AA$5="X",VLOOKUP(AA$10,'VK-Põlevkivi'!$C:$X,2+$G135,0))+IF(AA$4="X",VLOOKUP(AA$10,'VK-Võrgud'!$C:$X,2+$F135,0)))</f>
        <v>3761</v>
      </c>
      <c r="AB135" s="228">
        <f>(IF(AB$7="X",VLOOKUP(AB$10,'VK-Hooned-Soojus'!$C:$X,2+$C135,FALSE),0)+IF(AB$6="X",VLOOKUP(AB$10,'VK-Transport'!$C:$X,2+$B135,0))+IF(AB$8="X",VLOOKUP(AB$10,'VK-Elekter'!$C:$X,2+$D135,0))+IF(AB$9="X",VLOOKUP(AB$10,'VK-Biokütused'!$C:$U,2+$E135,0))+IF(AB$5="X",VLOOKUP(AB$10,'VK-Põlevkivi'!$C:$X,2+$G135,0))+IF(AB$4="X",VLOOKUP(AB$10,'VK-Võrgud'!$C:$X,2+$F135,0)))</f>
        <v>1177</v>
      </c>
      <c r="AC135" s="228">
        <f>(IF(AC$7="X",VLOOKUP(AC$10,'VK-Hooned-Soojus'!$C:$X,2+$C135,FALSE),0)+IF(AC$6="X",VLOOKUP(AC$10,'VK-Transport'!$C:$X,2+$B135,0))+IF(AC$8="X",VLOOKUP(AC$10,'VK-Elekter'!$C:$X,2+$D135,0))+IF(AC$9="X",VLOOKUP(AC$10,'VK-Biokütused'!$C:$U,2+$E135,0))+IF(AC$5="X",VLOOKUP(AC$10,'VK-Põlevkivi'!$C:$X,2+$G135,0))+IF(AC$4="X",VLOOKUP(AC$10,'VK-Võrgud'!$C:$X,2+$F135,0)))</f>
        <v>2346</v>
      </c>
      <c r="AD135" s="228">
        <f>(IF(AD$7="X",VLOOKUP(AD$10,'VK-Hooned-Soojus'!$C:$X,2+$C135,FALSE),0)+IF(AD$6="X",VLOOKUP(AD$10,'VK-Transport'!$C:$X,2+$B135,0))+IF(AD$8="X",VLOOKUP(AD$10,'VK-Elekter'!$C:$X,2+$D135,0))+IF(AD$9="X",VLOOKUP(AD$10,'VK-Biokütused'!$C:$U,2+$E135,0))+IF(AD$5="X",VLOOKUP(AD$10,'VK-Põlevkivi'!$C:$X,2+$G135,0))+IF(AD$4="X",VLOOKUP(AD$10,'VK-Võrgud'!$C:$X,2+$F135,0)))</f>
        <v>377.5</v>
      </c>
      <c r="AE135" s="228">
        <f>(IF(AE$7="X",VLOOKUP(AE$10,'VK-Hooned-Soojus'!$C:$X,2+$C135,FALSE),0)+IF(AE$6="X",VLOOKUP(AE$10,'VK-Transport'!$C:$X,2+$B135,0))+IF(AE$8="X",VLOOKUP(AE$10,'VK-Elekter'!$C:$X,2+$D135,0))+IF(AE$9="X",VLOOKUP(AE$10,'VK-Biokütused'!$C:$U,2+$E135,0))+IF(AE$5="X",VLOOKUP(AE$10,'VK-Põlevkivi'!$C:$X,2+$G135,0))+IF(AE$4="X",VLOOKUP(AE$10,'VK-Võrgud'!$C:$X,2+$F135,0)))</f>
        <v>507</v>
      </c>
      <c r="AF135" s="228">
        <f>(IF(AF$7="X",VLOOKUP(AF$10,'VK-Hooned-Soojus'!$C:$X,2+$C135,FALSE),0)+IF(AF$6="X",VLOOKUP(AF$10,'VK-Transport'!$C:$X,2+$B135,0))+IF(AF$8="X",VLOOKUP(AF$10,'VK-Elekter'!$C:$X,2+$D135,0))+IF(AF$9="X",VLOOKUP(AF$10,'VK-Biokütused'!$C:$U,2+$E135,0))+IF(AF$5="X",VLOOKUP(AF$10,'VK-Põlevkivi'!$C:$X,2+$G135,0))+IF(AF$4="X",VLOOKUP(AF$10,'VK-Võrgud'!$C:$X,2+$F135,0)))</f>
        <v>530.88499063732002</v>
      </c>
      <c r="AG135" s="209"/>
      <c r="AH135" s="209">
        <f>IF(AH$7="X",VLOOKUP(AH$10,'VK-Hooned-Soojus'!$C:$X,2+$C135,FALSE),0)+IF(AH$6="X",VLOOKUP(AH$10,'VK-Transport'!$C:$X,2+$B135,0))+IF(AH$8="X",VLOOKUP(AH$10,'VK-Elekter'!$C:$X,2+$D135,0))+IF(AH$9="X",VLOOKUP(AH$10,'VK-Biokütused'!$C:$U,2+$E135,0))+IF(AH$5="X",VLOOKUP(AH$10,'VK-Põlevkivi'!$C:$X,2+$G135,0))+IF(AH$4="X",VLOOKUP(AH$10,'VK-Võrgud'!$C:$X,2+$F135,0))</f>
        <v>11.64</v>
      </c>
      <c r="AI135" s="209">
        <f>IF(AI$7="X",VLOOKUP(AI$10,'VK-Hooned-Soojus'!$C:$X,2+$C135,FALSE),0)+IF(AI$6="X",VLOOKUP(AI$10,'VK-Transport'!$C:$X,2+$B135,0))+IF(AI$8="X",VLOOKUP(AI$10,'VK-Elekter'!$C:$X,2+$D135,0))+IF(AI$9="X",VLOOKUP(AI$10,'VK-Biokütused'!$C:$U,2+$E135,0))+IF(AI$5="X",VLOOKUP(AI$10,'VK-Põlevkivi'!$C:$X,2+$G135,0))+IF(AI$4="X",VLOOKUP(AI$10,'VK-Võrgud'!$C:$X,2+$F135,0))</f>
        <v>2.3100000000000005</v>
      </c>
      <c r="AJ135" s="209">
        <f>IF(AJ$7="X",VLOOKUP(AJ$10,'VK-Hooned-Soojus'!$C:$X,2+$C135,FALSE),0)+IF(AJ$6="X",VLOOKUP(AJ$10,'VK-Transport'!$C:$X,2+$B135,0))+IF(AJ$8="X",VLOOKUP(AJ$10,'VK-Elekter'!$C:$X,2+$D135,0))+IF(AJ$9="X",VLOOKUP(AJ$10,'VK-Biokütused'!$C:$U,2+$E135,0))+IF(AJ$5="X",VLOOKUP(AJ$10,'VK-Põlevkivi'!$C:$X,2+$G135,0))+IF(AJ$4="X",VLOOKUP(AJ$10,'VK-Võrgud'!$C:$X,2+$F135,0))</f>
        <v>9.25</v>
      </c>
      <c r="AK135" s="209">
        <f>IF(AK$7="X",VLOOKUP(AK$10,'VK-Hooned-Soojus'!$C:$X,2+$C135,FALSE),0)+IF(AK$6="X",VLOOKUP(AK$10,'VK-Transport'!$C:$X,2+$B135,0))+IF(AK$8="X",VLOOKUP(AK$10,'VK-Elekter'!$C:$X,2+$D135,0))+IF(AK$9="X",VLOOKUP(AK$10,'VK-Biokütused'!$C:$U,2+$E135,0))+IF(AK$5="X",VLOOKUP(AK$10,'VK-Põlevkivi'!$C:$X,2+$G135,0))+IF(AK$4="X",VLOOKUP(AK$10,'VK-Võrgud'!$C:$X,2+$F135,0))</f>
        <v>2.78</v>
      </c>
      <c r="AL135" s="209">
        <f>IF(AL$7="X",VLOOKUP(AL$10,'VK-Hooned-Soojus'!$C:$X,2+$C135,FALSE),0)+IF(AL$6="X",VLOOKUP(AL$10,'VK-Transport'!$C:$X,2+$B135,0))+IF(AL$8="X",VLOOKUP(AL$10,'VK-Elekter'!$C:$X,2+$D135,0))+IF(AL$9="X",VLOOKUP(AL$10,'VK-Biokütused'!$C:$U,2+$E135,0))+IF(AL$5="X",VLOOKUP(AL$10,'VK-Põlevkivi'!$C:$X,2+$G135,0))+IF(AL$4="X",VLOOKUP(AL$10,'VK-Võrgud'!$C:$X,2+$F135,0))</f>
        <v>7.1</v>
      </c>
      <c r="AM135" s="209">
        <f>IF(AM$7="X",VLOOKUP(AM$10,'VK-Hooned-Soojus'!$C:$X,2+$C135,FALSE),0)+IF(AM$6="X",VLOOKUP(AM$10,'VK-Transport'!$C:$X,2+$B135,0))+IF(AM$8="X",VLOOKUP(AM$10,'VK-Elekter'!$C:$X,2+$D135,0))+IF(AM$9="X",VLOOKUP(AM$10,'VK-Biokütused'!$C:$U,2+$E135,0))+IF(AM$5="X",VLOOKUP(AM$10,'VK-Põlevkivi'!$C:$X,2+$G135,0))+IF(AM$4="X",VLOOKUP(AM$10,'VK-Võrgud'!$C:$X,2+$F135,0))</f>
        <v>11.5</v>
      </c>
      <c r="AN135" s="209">
        <f>IF(AN$7="X",VLOOKUP(AN$10,'VK-Hooned-Soojus'!$C:$X,2+$C135,FALSE),0)+IF(AN$6="X",VLOOKUP(AN$10,'VK-Transport'!$C:$X,2+$B135,0))+IF(AN$8="X",VLOOKUP(AN$10,'VK-Elekter'!$C:$X,2+$D135,0))+IF(AN$9="X",VLOOKUP(AN$10,'VK-Biokütused'!$C:$U,2+$E135,0))+IF(AN$5="X",VLOOKUP(AN$10,'VK-Põlevkivi'!$C:$X,2+$G135,0))+IF(AN$4="X",VLOOKUP(AN$10,'VK-Võrgud'!$C:$X,2+$F135,0))</f>
        <v>4.0999999999999996</v>
      </c>
      <c r="AO135" s="209">
        <f>IF(AO$7="X",VLOOKUP(AO$10,'VK-Hooned-Soojus'!$C:$X,2+$C135,FALSE),0)+IF(AO$6="X",VLOOKUP(AO$10,'VK-Transport'!$C:$X,2+$B135,0))+IF(AO$8="X",VLOOKUP(AO$10,'VK-Elekter'!$C:$X,2+$D135,0))+IF(AO$9="X",VLOOKUP(AO$10,'VK-Biokütused'!$C:$U,2+$E135,0))+IF(AO$5="X",VLOOKUP(AO$10,'VK-Põlevkivi'!$C:$X,2+$G135,0))+IF(AO$4="X",VLOOKUP(AO$10,'VK-Võrgud'!$C:$X,2+$F135,0))</f>
        <v>12.16</v>
      </c>
      <c r="AP135" s="209">
        <f>IF(AP$7="X",VLOOKUP(AP$10,'VK-Hooned-Soojus'!$C:$X,2+$C135,FALSE),0)+IF(AP$6="X",VLOOKUP(AP$10,'VK-Transport'!$C:$X,2+$B135,0))+IF(AP$8="X",VLOOKUP(AP$10,'VK-Elekter'!$C:$X,2+$D135,0))+IF(AP$9="X",VLOOKUP(AP$10,'VK-Biokütused'!$C:$U,2+$E135,0))+IF(AP$5="X",VLOOKUP(AP$10,'VK-Põlevkivi'!$C:$X,2+$G135,0))+IF(AP$4="X",VLOOKUP(AP$10,'VK-Võrgud'!$C:$X,2+$F135,0))</f>
        <v>6.08</v>
      </c>
      <c r="AQ135" s="320">
        <f t="shared" si="61"/>
        <v>0</v>
      </c>
      <c r="AR135" s="209">
        <f>IF(AR$7="X",VLOOKUP(AR$10,'VK-Hooned-Soojus'!$C:$X,2+$C135,FALSE),0)+IF(AR$6="X",VLOOKUP(AR$10,'VK-Transport'!$C:$X,2+$B135,0))+IF(AR$8="X",VLOOKUP(AR$10,'VK-Elekter'!$C:$X,2+$D135,0))+IF(AR$9="X",VLOOKUP(AR$10,'VK-Biokütused'!$C:$U,2+$E135,0))+IF(AR$5="X",VLOOKUP(AR$10,'VK-Põlevkivi'!$C:$X,2+$G135,0))+IF(AR$4="X",VLOOKUP(AR$10,'VK-Võrgud'!$C:$X,2+$F135,0))</f>
        <v>2.3899999999999997</v>
      </c>
      <c r="AS135" s="320">
        <f>VLOOKUP("Kütuste tarbimine @ 2030 - UTTEGAAS",'VK-Hooned-Soojus'!$C:$X,2+$C135,FALSE)/0.172+VLOOKUP("Kütuste tarbimine @ 2030 - UTTEGAAS",'VK-Elekter'!$C:$X,2+$D135,FALSE)/0.172-AR135-AU135</f>
        <v>2.8565116279069773</v>
      </c>
      <c r="AT135" s="209">
        <f>IF(AT$7="X",VLOOKUP(AT$10,'VK-Hooned-Soojus'!$C:$X,2+$C135,FALSE),0)+IF(AT$6="X",VLOOKUP(AT$10,'VK-Transport'!$C:$X,2+$B135,0))+IF(AT$8="X",VLOOKUP(AT$10,'VK-Elekter'!$C:$X,2+$D135,0))+IF(AT$9="X",VLOOKUP(AT$10,'VK-Biokütused'!$C:$U,2+$E135,0))+IF(AT$5="X",VLOOKUP(AT$10,'VK-Põlevkivi'!$C:$X,2+$G135,0))+IF(AT$4="X",VLOOKUP(AT$10,'VK-Võrgud'!$C:$X,2+$F135,0))</f>
        <v>5.7045296564339489</v>
      </c>
      <c r="AU135" s="229">
        <f>MAX(0,(VLOOKUP("Kütuste tarbimine @ 2030 - UTTEGAAS",'VK-Hooned-Soojus'!$C:$X,2+$C135,FALSE)/0.172+VLOOKUP("Kütuste tarbimine @ 2030 - UTTEGAAS",'VK-Elekter'!$C:$X,2+$D135,FALSE)/0.172)*0.52-VLOOKUP("Kütuste tarbimine @ 2030 - PÕLEVKIVIÕLI",'VK-Hooned-Soojus'!$C:$X,2+$C135,FALSE))</f>
        <v>5.6837209302325586</v>
      </c>
      <c r="AV135" s="209">
        <f>IF(AV$7="X",VLOOKUP(AV$10,'VK-Hooned-Soojus'!$C:$X,2+$C135,FALSE),0)+IF(AV$6="X",VLOOKUP(AV$10,'VK-Transport'!$C:$X,2+$B135,0))+IF(AV$8="X",VLOOKUP(AV$10,'VK-Elekter'!$C:$X,2+$D135,0))+IF(AV$9="X",VLOOKUP(AV$10,'VK-Biokütused'!$C:$U,2+$E135,0))+IF(AV$5="X",VLOOKUP(AV$10,'VK-Põlevkivi'!$C:$X,2+$G135,0))+IF(AV$4="X",VLOOKUP(AV$10,'VK-Võrgud'!$C:$X,2+$F135,0))</f>
        <v>2.1219844082566364</v>
      </c>
      <c r="AW135" s="209">
        <f>IF(AW$7="X",VLOOKUP(AW$10,'VK-Hooned-Soojus'!$C:$X,2+$C135,FALSE),0)+IF(AW$6="X",VLOOKUP(AW$10,'VK-Transport'!$C:$X,2+$B135,0))+IF(AW$8="X",VLOOKUP(AW$10,'VK-Elekter'!$C:$X,2+$D135,0))+IF(AW$9="X",VLOOKUP(AW$10,'VK-Biokütused'!$C:$U,2+$E135,0))+IF(AW$5="X",VLOOKUP(AW$10,'VK-Põlevkivi'!$C:$X,2+$G135,0))+IF(AW$4="X",VLOOKUP(AW$10,'VK-Võrgud'!$C:$X,2+$F135,0))</f>
        <v>2.141</v>
      </c>
      <c r="AX135" s="229">
        <f t="shared" si="62"/>
        <v>1.9015591743363647E-2</v>
      </c>
      <c r="AY135" s="229">
        <f t="shared" si="63"/>
        <v>0</v>
      </c>
      <c r="AZ135" s="230">
        <f t="shared" si="83"/>
        <v>0.50411146323407641</v>
      </c>
      <c r="BA135" s="209">
        <f>IF(BA$7="X",VLOOKUP(BA$10,'VK-Hooned-Soojus'!$C:$X,2+$C135,FALSE),0)+IF(BA$6="X",VLOOKUP(BA$10,'VK-Transport'!$C:$X,2+$B135,0))+IF(BA$8="X",VLOOKUP(BA$10,'VK-Elekter'!$C:$X,2+$D135,0))+IF(BA$9="X",VLOOKUP(BA$10,'VK-Biokütused'!$C:$U,2+$E135,0))+IF(BA$5="X",VLOOKUP(BA$10,'VK-Põlevkivi'!$C:$X,2+$G135,0))+IF(BA$4="X",VLOOKUP(BA$10,'VK-Võrgud'!$C:$X,2+$F135,0))</f>
        <v>4.25</v>
      </c>
      <c r="BB135" s="209">
        <f>IF(BB$7="X",VLOOKUP(BB$10,'VK-Hooned-Soojus'!$C:$X,2+$C135,FALSE),0)+IF(BB$6="X",VLOOKUP(BB$10,'VK-Transport'!$C:$X,2+$B135,0))+IF(BB$8="X",VLOOKUP(BB$10,'VK-Elekter'!$C:$X,2+$D135,0))+IF(BB$9="X",VLOOKUP(BB$10,'VK-Biokütused'!$C:$U,2+$E135,0))+IF(BB$5="X",VLOOKUP(BB$10,'VK-Põlevkivi'!$C:$X,2+$G135,0))+IF(BB$4="X",VLOOKUP(BB$10,'VK-Võrgud'!$C:$X,2+$F135,0))</f>
        <v>2.93</v>
      </c>
      <c r="BC135" s="209">
        <f>IF(BC$7="X",VLOOKUP(BC$10,'VK-Hooned-Soojus'!$C:$X,2+$C135,FALSE),0)+IF(BC$6="X",VLOOKUP(BC$10,'VK-Transport'!$C:$X,2+$B135,0))+IF(BC$8="X",VLOOKUP(BC$10,'VK-Elekter'!$C:$X,2+$D135,0))+IF(BC$9="X",VLOOKUP(BC$10,'VK-Biokütused'!$C:$U,2+$E135,0))+IF(BC$5="X",VLOOKUP(BC$10,'VK-Põlevkivi'!$C:$X,2+$G135,0))+IF(BC$4="X",VLOOKUP(BC$10,'VK-Võrgud'!$C:$X,2+$F135,0))</f>
        <v>5.2376666666666667</v>
      </c>
      <c r="BD135" s="209">
        <f>IF(BD$7="X",VLOOKUP(BD$10,'VK-Hooned-Soojus'!$C:$X,2+$C135,FALSE),0)+IF(BD$6="X",VLOOKUP(BD$10,'VK-Transport'!$C:$X,2+$B135,0))+IF(BD$8="X",VLOOKUP(BD$10,'VK-Elekter'!$C:$X,2+$D135,0))+IF(BD$9="X",VLOOKUP(BD$10,'VK-Biokütused'!$C:$U,2+$E135,0))+IF(BD$5="X",VLOOKUP(BD$10,'VK-Põlevkivi'!$C:$X,2+$G135,0))+IF(BD$4="X",VLOOKUP(BD$10,'VK-Võrgud'!$C:$X,2+$F135,0))</f>
        <v>9.1105555555555569</v>
      </c>
      <c r="BE135" s="230"/>
      <c r="BF135" s="229">
        <f t="shared" si="64"/>
        <v>0.3678346224372237</v>
      </c>
      <c r="BG135" s="209" t="e">
        <f>(IF(BG$7="X",VLOOKUP(BG$10,'VK-Hooned-Soojus'!$C:$X,2+$C135,FALSE),0)+IF(BG$6="X",VLOOKUP(BG$10,'VK-Transport'!$C:$X,2+$B135,0))+IF(BG$8="X",VLOOKUP(BG$10,'VK-Elekter'!$C:$X,2+$D135,0))+IF(BG$9="X",VLOOKUP(BG$10,'VK-Biokütused'!$C:$U,2+$E135,0))+IF(BG$5="X",VLOOKUP(BG$10,'VK-Põlevkivi'!$C:$X,2+$G135,0))+IF(BG$4="X",VLOOKUP(BG$10,'VK-Võrgud'!$C:$X,2+$F135,0)))/20</f>
        <v>#N/A</v>
      </c>
      <c r="BH135" s="209">
        <f>(IF(BH$7="X",VLOOKUP(BH$10,'VK-Hooned-Soojus'!$C:$X,2+$C135,FALSE),0)+IF(BH$6="X",VLOOKUP(BH$10,'VK-Transport'!$C:$X,2+$B135,0))+IF(BH$8="X",VLOOKUP(BH$10,'VK-Elekter'!$C:$X,2+$D135,0))+IF(BH$9="X",VLOOKUP(BH$10,'VK-Biokütused'!$C:$U,2+$E135,0))+IF(BH$5="X",VLOOKUP(BH$10,'VK-Põlevkivi'!$C:$X,2+$G135,0))+IF(BH$4="X",VLOOKUP(BH$10,'VK-Võrgud'!$C:$X,2+$F135,0)))/20</f>
        <v>84.204999999999998</v>
      </c>
      <c r="BI135" s="209">
        <f>(IF(BI$7="X",VLOOKUP(BI$10,'VK-Hooned-Soojus'!$C:$X,2+$C135,FALSE),0)+IF(BI$6="X",VLOOKUP(BI$10,'VK-Transport'!$C:$X,2+$B135,0))+IF(BI$8="X",VLOOKUP(BI$10,'VK-Elekter'!$C:$X,2+$D135,0))+IF(BI$9="X",VLOOKUP(BI$10,'VK-Biokütused'!$C:$U,2+$E135,0))+IF(BI$5="X",VLOOKUP(BI$10,'VK-Põlevkivi'!$C:$X,2+$G135,0))+IF(BI$4="X",VLOOKUP(BI$10,'VK-Võrgud'!$C:$X,2+$F135,0)))/16</f>
        <v>8.9375</v>
      </c>
      <c r="BJ135" s="209">
        <f>(IF(BJ$7="X",VLOOKUP(BJ$10,'VK-Hooned-Soojus'!$C:$X,2+$C135,FALSE),0)+IF(BJ$6="X",VLOOKUP(BJ$10,'VK-Transport'!$C:$X,2+$B135,0))+IF(BJ$8="X",VLOOKUP(BJ$10,'VK-Elekter'!$C:$X,2+$D135,0))+IF(BJ$9="X",VLOOKUP(BJ$10,'VK-Biokütused'!$C:$U,2+$E135,0))+IF(BJ$5="X",VLOOKUP(BJ$10,'VK-Põlevkivi'!$C:$X,2+$G135,0))+IF(BJ$4="X",VLOOKUP(BJ$10,'VK-Võrgud'!$C:$X,2+$F135,0)))/20</f>
        <v>5.33</v>
      </c>
      <c r="BK135" s="209"/>
      <c r="BL135" s="209"/>
      <c r="BM135" s="209"/>
      <c r="BN135" s="209" t="e">
        <f>(IF(BN$7="X",VLOOKUP(BN$10,'VK-Hooned-Soojus'!$C:$X,2+$C135,FALSE),0)+IF(BN$6="X",VLOOKUP(BN$10,'VK-Transport'!$C:$X,2+$B135,0))+IF(BN$8="X",VLOOKUP(BN$10,'VK-Elekter'!$C:$X,2+$D135,0))+IF(BN$9="X",VLOOKUP(BN$10,'VK-Biokütused'!$C:$U,2+$E135,0))+IF(BN$5="X",VLOOKUP(BN$10,'VK-Põlevkivi'!$C:$X,2+$G135,0))+IF(BN$4="X",VLOOKUP(BN$10,'VK-Võrgud'!$C:$X,2+$F135,0)))/16</f>
        <v>#N/A</v>
      </c>
      <c r="BO135" s="209">
        <f>(IF(BO$7="X",VLOOKUP(BO$10,'VK-Hooned-Soojus'!$C:$X,2+$C135,FALSE),0)+IF(BO$6="X",VLOOKUP(BO$10,'VK-Transport'!$C:$X,2+$B135,0))+IF(BO$8="X",VLOOKUP(BO$10,'VK-Elekter'!$C:$X,2+$D135,0))+IF(BO$9="X",VLOOKUP(BO$10,'VK-Biokütused'!$C:$U,2+$E135,0))+IF(BO$5="X",VLOOKUP(BO$10,'VK-Põlevkivi'!$C:$X,2+$G135,0))+IF(BO$4="X",VLOOKUP(BO$10,'VK-Võrgud'!$C:$X,2+$F135,0)))/16</f>
        <v>322.79374999999999</v>
      </c>
      <c r="BP135" s="209"/>
      <c r="BQ135" s="209">
        <f>(IF(BQ$7="X",VLOOKUP(BQ$10,'VK-Hooned-Soojus'!$C:$X,2+$C135,FALSE),0)+IF(BQ$6="X",VLOOKUP(BQ$10,'VK-Transport'!$C:$X,2+$B135,0))+IF(BQ$8="X",VLOOKUP(BQ$10,'VK-Elekter'!$C:$X,2+$D135,0))+IF(BQ$9="X",VLOOKUP(BQ$10,'VK-Biokütused'!$C:$U,2+$E135,0))+IF(BQ$5="X",VLOOKUP(BQ$10,'VK-Põlevkivi'!$C:$X,2+$G135,0))+IF(BQ$4="X",VLOOKUP(BQ$10,'VK-Võrgud'!$C:$X,2+$F135,0)))/16</f>
        <v>233.20625000000001</v>
      </c>
      <c r="BR135" s="209">
        <f>(IF(BR$7="X",VLOOKUP(BR$10,'VK-Hooned-Soojus'!$C:$X,2+$C135,FALSE),0)+IF(BR$6="X",VLOOKUP(BR$10,'VK-Transport'!$C:$X,2+$B135,0))+IF(BR$8="X",VLOOKUP(BR$10,'VK-Elekter'!$C:$X,2+$D135,0))+IF(BR$9="X",VLOOKUP(BR$10,'VK-Biokütused'!$C:$U,2+$E135,0))+IF(BR$5="X",VLOOKUP(BR$10,'VK-Põlevkivi'!$C:$X,2+$G135,0))+IF(BR$4="X",VLOOKUP(BR$10,'VK-Võrgud'!$C:$X,2+$F135,0)))/16</f>
        <v>74.512500000000003</v>
      </c>
      <c r="BS135" s="209">
        <f>(IF(BS$7="X",VLOOKUP(BS$10,'VK-Hooned-Soojus'!$C:$X,2+$C135,FALSE),0)+IF(BS$6="X",VLOOKUP(BS$10,'VK-Transport'!$C:$X,2+$B135,0))+IF(BS$8="X",VLOOKUP(BS$10,'VK-Elekter'!$C:$X,2+$D135,0))+IF(BS$9="X",VLOOKUP(BS$10,'VK-Biokütused'!$C:$U,2+$E135,0))+IF(BS$5="X",VLOOKUP(BS$10,'VK-Põlevkivi'!$C:$X,2+$G135,0))+IF(BS$4="X",VLOOKUP(BS$10,'VK-Võrgud'!$C:$X,2+$F135,0)))/16</f>
        <v>-21.475000000000001</v>
      </c>
      <c r="BT135" s="209"/>
      <c r="BU135" s="209"/>
      <c r="BV135" s="209">
        <f>(IF(BV$7="X",VLOOKUP(BV$10,'VK-Hooned-Soojus'!$C:$X,2+$C135,FALSE),0)+IF(BV$6="X",VLOOKUP(BV$10,'VK-Transport'!$C:$X,2+$B135,0))+IF(BV$8="X",VLOOKUP(BV$10,'VK-Elekter'!$C:$X,2+$D135,0))+IF(BV$9="X",VLOOKUP(BV$10,'VK-Biokütused'!$C:$U,2+$E135,0))+IF(BV$5="X",VLOOKUP(BV$10,'VK-Põlevkivi'!$C:$X,2+$G135,0))+IF(BV$4="X",VLOOKUP(BV$10,'VK-Võrgud'!$C:$X,2+$F135,0)))/16</f>
        <v>0</v>
      </c>
      <c r="BW135" s="209"/>
      <c r="BX135" s="209">
        <f>(IF(BX$7="X",VLOOKUP(BX$10,'VK-Hooned-Soojus'!$C:$X,2+$C135,FALSE),0)+IF(BX$6="X",VLOOKUP(BX$10,'VK-Transport'!$C:$X,2+$B135,0))+IF(BX$8="X",VLOOKUP(BX$10,'VK-Elekter'!$C:$X,2+$D135,0))+IF(BX$9="X",VLOOKUP(BX$10,'VK-Biokütused'!$C:$U,2+$E135,0))+IF(BX$5="X",VLOOKUP(BX$10,'VK-Põlevkivi'!$C:$X,2+$G135,0))+IF(BX$4="X",VLOOKUP(BX$10,'VK-Võrgud'!$C:$X,2+$F135,0)))/16</f>
        <v>-99.75</v>
      </c>
      <c r="BY135" s="209"/>
      <c r="BZ135" s="209"/>
      <c r="CA135" s="209" t="e">
        <f>(IF(CA$7="X",VLOOKUP(CA$10,'VK-Hooned-Soojus'!$C:$X,2+$C135,FALSE),0)+IF(CA$6="X",VLOOKUP(CA$10,'VK-Transport'!$C:$X,2+$B135,0))+IF(CA$8="X",VLOOKUP(CA$10,'VK-Elekter'!$C:$X,2+$D135,0))+IF(CA$9="X",VLOOKUP(CA$10,'VK-Biokütused'!$C:$U,2+$E135,0))+IF(CA$5="X",VLOOKUP(CA$10,'VK-Põlevkivi'!$C:$X,2+$G135,0))+IF(CA$4="X",VLOOKUP(CA$10,'VK-Võrgud'!$C:$X,2+$F135,0)))/16</f>
        <v>#N/A</v>
      </c>
      <c r="CB135" s="209">
        <f>(IF(CB$7="X",VLOOKUP(CB$10,'VK-Hooned-Soojus'!$C:$X,2+$C135,FALSE),0)+IF(CB$6="X",VLOOKUP(CB$10,'VK-Transport'!$C:$X,2+$B135,0))+IF(CB$8="X",VLOOKUP(CB$10,'VK-Elekter'!$C:$X,2+$D135,0))+IF(CB$9="X",VLOOKUP(CB$10,'VK-Biokütused'!$C:$U,2+$E135,0))+IF(CB$5="X",VLOOKUP(CB$10,'VK-Põlevkivi'!$C:$X,2+$G135,0))+IF(CB$4="X",VLOOKUP(CB$10,'VK-Võrgud'!$C:$X,2+$F135,0)))/16</f>
        <v>0</v>
      </c>
      <c r="CC135" s="209">
        <f>(IF(CC$7="X",VLOOKUP(CC$10,'VK-Hooned-Soojus'!$C:$X,2+$C135,FALSE),0)+IF(CC$6="X",VLOOKUP(CC$10,'VK-Transport'!$C:$X,2+$B135,0))+IF(CC$8="X",VLOOKUP(CC$10,'VK-Elekter'!$C:$X,2+$D135,0))+IF(CC$9="X",VLOOKUP(CC$10,'VK-Biokütused'!$C:$U,2+$E135,0))+IF(CC$5="X",VLOOKUP(CC$10,'VK-Põlevkivi'!$C:$X,2+$G135,0))+IF(CC$4="X",VLOOKUP(CC$10,'VK-Võrgud'!$C:$X,2+$F135,0)))/16</f>
        <v>0</v>
      </c>
      <c r="CD135" s="209"/>
      <c r="CE135" s="209">
        <f>(IF(CE$7="X",VLOOKUP(CE$10,'VK-Hooned-Soojus'!$C:$X,2+$C135,FALSE),0)+IF(CE$6="X",VLOOKUP(CE$10,'VK-Transport'!$C:$X,2+$B135,0))+IF(CE$8="X",VLOOKUP(CE$10,'VK-Elekter'!$C:$X,2+$D135,0))+IF(CE$9="X",VLOOKUP(CE$10,'VK-Biokütused'!$C:$U,2+$E135,0))+IF(CE$5="X",VLOOKUP(CE$10,'VK-Põlevkivi'!$C:$X,2+$G135,0))+IF(CE$4="X",VLOOKUP(CE$10,'VK-Võrgud'!$C:$X,2+$F135,0)))/16</f>
        <v>24.15625</v>
      </c>
      <c r="CF135" s="209"/>
      <c r="CG135" s="209">
        <f>(IF(CG$7="X",VLOOKUP(CG$10,'VK-Hooned-Soojus'!$C:$X,2+$C135,FALSE),0)+IF(CG$6="X",VLOOKUP(CG$10,'VK-Transport'!$C:$X,2+$B135,0))+IF(CG$8="X",VLOOKUP(CG$10,'VK-Elekter'!$C:$X,2+$D135,0))+IF(CG$9="X",VLOOKUP(CG$10,'VK-Biokütused'!$C:$U,2+$E135,0))+IF(CG$5="X",VLOOKUP(CG$10,'VK-Põlevkivi'!$C:$X,2+$G135,0))+IF(CG$4="X",VLOOKUP(CG$10,'VK-Võrgud'!$C:$X,2+$F135,0)))/16</f>
        <v>0</v>
      </c>
      <c r="CH135" s="209">
        <f>(IF(CH$7="X",VLOOKUP(CH$10,'VK-Hooned-Soojus'!$C:$X,2+$C135,FALSE),0)+IF(CH$6="X",VLOOKUP(CH$10,'VK-Transport'!$C:$X,2+$B135,0))+IF(CH$8="X",VLOOKUP(CH$10,'VK-Elekter'!$C:$X,2+$D135,0))+IF(CH$9="X",VLOOKUP(CH$10,'VK-Biokütused'!$C:$U,2+$E135,0))+IF(CH$5="X",VLOOKUP(CH$10,'VK-Põlevkivi'!$C:$X,2+$G135,0))+IF(CH$4="X",VLOOKUP(CH$10,'VK-Võrgud'!$C:$X,2+$F135,0)))/20*0.21</f>
        <v>26.9178</v>
      </c>
      <c r="CI135" s="209"/>
      <c r="CJ135" s="209">
        <f>(IF(CJ$7="X",VLOOKUP(CJ$10,'VK-Hooned-Soojus'!$C:$X,2+$C135,FALSE),0)+IF(CJ$6="X",VLOOKUP(CJ$10,'VK-Transport'!$C:$X,2+$B135,0))+IF(CJ$8="X",VLOOKUP(CJ$10,'VK-Elekter'!$C:$X,2+$D135,0))+IF(CJ$9="X",VLOOKUP(CJ$10,'VK-Biokütused'!$C:$U,2+$E135,0))+IF(CJ$5="X",VLOOKUP(CJ$10,'VK-Põlevkivi'!$C:$X,2+$G135,0))+IF(CJ$4="X",VLOOKUP(CJ$10,'VK-Võrgud'!$C:$X,2+$F135,0)))/1000</f>
        <v>16.462578011574536</v>
      </c>
      <c r="CK135" s="209">
        <f>(IF(CK$7="X",VLOOKUP(CK$10,'VK-Hooned-Soojus'!$C:$X,2+$C135,FALSE),0)+IF(CK$6="X",VLOOKUP(CK$10,'VK-Transport'!$C:$X,2+$B135,0))+IF(CK$8="X",VLOOKUP(CK$10,'VK-Elekter'!$C:$X,2+$D135,0))+IF(CK$9="X",VLOOKUP(CK$10,'VK-Biokütused'!$C:$U,2+$E135,0))+IF(CK$5="X",VLOOKUP(CK$10,'VK-Põlevkivi'!$C:$X,2+$G135,0))+IF(CK$4="X",VLOOKUP(CK$10,'VK-Võrgud'!$C:$X,2+$F135,0)))/1000</f>
        <v>11.219077976340797</v>
      </c>
      <c r="CL135" s="235">
        <f>(IF(CL$7="X",VLOOKUP(CL$10,'VK-Hooned-Soojus'!$C:$X,2+$C135,FALSE),0)+IF(CL$6="X",VLOOKUP(CL$10,'VK-Transport'!$C:$X,2+$B135,0))+IF(CL$8="X",VLOOKUP(CL$10,'VK-Elekter'!$C:$X,2+$D135,0))+IF(CL$9="X",VLOOKUP(CL$10,'VK-Biokütused'!$C:$U,2+$E135,0)))/1000</f>
        <v>7.1831111109201009</v>
      </c>
      <c r="CM135" s="209">
        <f>(IF(CM$7="X",VLOOKUP(CM$10,'VK-Hooned-Soojus'!$C:$X,2+$C135,FALSE),0)+IF(CM$6="X",VLOOKUP(CM$10,'VK-Transport'!$C:$X,2+$B135,0))+IF(CM$8="X",VLOOKUP(CM$10,'VK-Elekter'!$C:$X,2+$D135,0))+IF(CM$9="X",VLOOKUP(CM$10,'VK-Biokütused'!$C:$U,2+$E135,0))+IF(CM$5="X",VLOOKUP(CM$10,'VK-Põlevkivi'!$C:$X,2+$G135,0))+IF(CM$4="X",VLOOKUP(CM$10,'VK-Võrgud'!$C:$X,2+$F135,0)))/1000</f>
        <v>7.5717605777489068</v>
      </c>
      <c r="CN135" s="209">
        <f>(IF(CN$7="X",VLOOKUP(CN$10,'VK-Hooned-Soojus'!$C:$X,2+$C135,FALSE),0)+IF(CN$6="X",VLOOKUP(CN$10,'VK-Transport'!$C:$X,2+$B135,0))+IF(CN$8="X",VLOOKUP(CN$10,'VK-Elekter'!$C:$X,2+$D135,0))+IF(CN$9="X",VLOOKUP(CN$10,'VK-Biokütused'!$C:$U,2+$E135,0))+IF(CN$5="X",VLOOKUP(CN$10,'VK-Põlevkivi'!$C:$X,2+$G135,0))+IF(CN$4="X",VLOOKUP(CN$10,'VK-Võrgud'!$C:$X,2+$F135,0)))/1000</f>
        <v>2.7810000000000001</v>
      </c>
      <c r="CO135" s="209">
        <f>(IF(CO$7="X",VLOOKUP(CO$10,'VK-Hooned-Soojus'!$C:$X,2+$C135,FALSE),0)+IF(CO$6="X",VLOOKUP(CO$10,'VK-Transport'!$C:$X,2+$B135,0))+IF(CO$8="X",VLOOKUP(CO$10,'VK-Elekter'!$C:$X,2+$D135,0))+IF(CO$9="X",VLOOKUP(CO$10,'VK-Biokütused'!$C:$U,2+$E135,0))+IF(CO$5="X",VLOOKUP(CO$10,'VK-Põlevkivi'!$C:$X,2+$G135,0))+IF(CO$4="X",VLOOKUP(CO$10,'VK-Võrgud'!$C:$X,2+$F135,0)))/1000</f>
        <v>23.561362337356993</v>
      </c>
      <c r="CP135" s="209">
        <f>(IF(CP$7="X",VLOOKUP(CP$10,'VK-Hooned-Soojus'!$C:$X,2+$C135,FALSE),0)+IF(CP$6="X",VLOOKUP(CP$10,'VK-Transport'!$C:$X,2+$B135,0))+IF(CP$8="X",VLOOKUP(CP$10,'VK-Elekter'!$C:$X,2+$D135,0))+IF(CP$9="X",VLOOKUP(CP$10,'VK-Biokütused'!$C:$U,2+$E135,0))+IF(CP$5="X",VLOOKUP(CP$10,'VK-Põlevkivi'!$C:$X,2+$G135,0))+IF(CP$4="X",VLOOKUP(CP$10,'VK-Võrgud'!$C:$X,2+$F135,0)))/1000</f>
        <v>13.40539212069366</v>
      </c>
      <c r="CQ135" s="235">
        <f>(IF(CQ$7="X",VLOOKUP(CQ$10,'VK-Hooned-Soojus'!$C:$X,2+$C135,FALSE),0)+IF(CQ$6="X",VLOOKUP(CQ$10,'VK-Transport'!$C:$X,2+$B135,0))+IF(CQ$8="X",VLOOKUP(CQ$10,'VK-Elekter'!$C:$X,2+$D135,0))+IF(CQ$9="X",VLOOKUP(CQ$10,'VK-Biokütused'!$C:$U,2+$E135,0)))/1000</f>
        <v>10.248918999999999</v>
      </c>
      <c r="CR135" s="209">
        <f>(IF(CR$7="X",VLOOKUP(CR$10,'VK-Hooned-Soojus'!$C:$X,2+$C135,FALSE),0)+IF(CR$6="X",VLOOKUP(CR$10,'VK-Transport'!$C:$X,2+$B135,0))+IF(CR$8="X",VLOOKUP(CR$10,'VK-Elekter'!$C:$X,2+$D135,0))+IF(CR$9="X",VLOOKUP(CR$10,'VK-Biokütused'!$C:$U,2+$E135,0))+IF(CR$5="X",VLOOKUP(CR$10,'VK-Põlevkivi'!$C:$X,2+$G135,0))+IF(CR$4="X",VLOOKUP(CR$10,'VK-Võrgud'!$C:$X,2+$F135,0)))/1000</f>
        <v>7.6927518373996895</v>
      </c>
      <c r="CS135" s="209">
        <f>(IF(CS$7="X",VLOOKUP(CS$10,'VK-Hooned-Soojus'!$C:$X,2+$C135,FALSE),0)+IF(CS$6="X",VLOOKUP(CS$10,'VK-Transport'!$C:$X,2+$B135,0))+IF(CS$8="X",VLOOKUP(CS$10,'VK-Elekter'!$C:$X,2+$D135,0))+IF(CS$9="X",VLOOKUP(CS$10,'VK-Biokütused'!$C:$U,2+$E135,0))+IF(CS$5="X",VLOOKUP(CS$10,'VK-Põlevkivi'!$C:$X,2+$G135,0))+IF(CS$4="X",VLOOKUP(CS$10,'VK-Võrgud'!$C:$X,2+$F135,0)))/1000</f>
        <v>3.7686495098622381</v>
      </c>
      <c r="CT135" s="209">
        <f>IF(CT$7="X",VLOOKUP(CT$10,'VK-Hooned-Soojus'!$C:$X,2+$C135,FALSE),0)+IF(CT$6="X",VLOOKUP(CT$10,'VK-Transport'!$C:$X,2+$B135,0))+IF(CT$8="X",VLOOKUP(CT$10,'VK-Elekter'!$C:$X,2+$D135,0))+IF(CT$9="X",VLOOKUP(CT$10,'VK-Biokütused'!$C:$U,2+$E135,0))+IF(CT$5="X",VLOOKUP(CT$10,'VK-Põlevkivi'!$C:$X,2+$G135,0))+IF(CT$4="X",VLOOKUP(CT$10,'VK-Võrgud'!$C:$X,2+$F135,0))</f>
        <v>90</v>
      </c>
      <c r="CU135" s="209">
        <f>IF(CU$7="X",VLOOKUP(CU$10,'VK-Hooned-Soojus'!$C:$X,2+$C135,FALSE),0)+IF(CU$6="X",VLOOKUP(CU$10,'VK-Transport'!$C:$X,2+$B135,0))+IF(CU$8="X",VLOOKUP(CU$10,'VK-Elekter'!$C:$X,2+$D135,0))+IF(CU$9="X",VLOOKUP(CU$10,'VK-Biokütused'!$C:$U,2+$E135,0))+IF(CU$5="X",VLOOKUP(CU$10,'VK-Põlevkivi'!$C:$X,2+$G135,0))+IF(CU$4="X",VLOOKUP(CU$10,'VK-Võrgud'!$C:$X,2+$F135,0))</f>
        <v>0.72088353413654627</v>
      </c>
      <c r="CV135" s="209">
        <f t="shared" si="84"/>
        <v>0.72887234460741657</v>
      </c>
      <c r="CW135" s="209">
        <f>(IF(CW$7="X",VLOOKUP(CW$10,'VK-Hooned-Soojus'!$C:$X,2+$C135,FALSE),0)+IF(CW$6="X",VLOOKUP(CW$10,'VK-Transport'!$C:$X,2+$B135,0))+IF(CW$8="X",VLOOKUP(CW$10,'VK-Elekter'!$C:$X,2+$D135,0))+IF(CW$9="X",VLOOKUP(CW$10,'VK-Biokütused'!$C:$U,2+$E135,0))+IF(CW$5="X",VLOOKUP(CW$10,'VK-Põlevkivi'!$C:$X,2+$G135,0))+IF(CW$4="X",VLOOKUP(CW$10,'VK-Võrgud'!$C:$X,2+$F135,0)))/16</f>
        <v>59.743749999999999</v>
      </c>
      <c r="CY135" s="209">
        <f>(IF(CY$7="X",VLOOKUP(CY$10,'VK-Hooned-Soojus'!$C:$X,2+$C135,FALSE),0)+IF(CY$6="X",VLOOKUP(CY$10,'VK-Transport'!$C:$X,2+$B135,0))+IF(CY$8="X",VLOOKUP(CY$10,'VK-Elekter'!$C:$X,2+$D135,0))+IF(CY$9="X",VLOOKUP(CY$10,'VK-Biokütused'!$C:$U,2+$E135,0))+IF(CY$5="X",VLOOKUP(CY$10,'VK-Põlevkivi'!$C:$X,2+$G135,0))+IF(CY$4="X",VLOOKUP(CY$10,'VK-Võrgud'!$C:$X,2+$F135,0)))/1000</f>
        <v>9.7710000000000008</v>
      </c>
      <c r="CZ135" s="209">
        <f>(IF(CZ$7="X",VLOOKUP(CZ$10,'VK-Hooned-Soojus'!$C:$X,2+$C135,FALSE),0)+IF(CZ$6="X",VLOOKUP(CZ$10,'VK-Transport'!$C:$X,2+$B135,0))+IF(CZ$8="X",VLOOKUP(CZ$10,'VK-Elekter'!$C:$X,2+$D135,0))+IF(CZ$9="X",VLOOKUP(CZ$10,'VK-Biokütused'!$C:$U,2+$E135,0))+IF(CZ$5="X",VLOOKUP(CZ$10,'VK-Põlevkivi'!$C:$X,2+$G135,0))+IF(CZ$4="X",VLOOKUP(CZ$10,'VK-Võrgud'!$C:$X,2+$F135,0)))</f>
        <v>67.400000000000006</v>
      </c>
      <c r="DA135" s="209">
        <f>(IF(DA$7="X",VLOOKUP(DA$10,'VK-Hooned-Soojus'!$C:$X,2+$C135,FALSE),0)+IF(DA$6="X",VLOOKUP(DA$10,'VK-Transport'!$C:$X,2+$B135,0))+IF(DA$8="X",VLOOKUP(DA$10,'VK-Elekter'!$C:$X,2+$D135,0))+IF(DA$9="X",VLOOKUP(DA$10,'VK-Biokütused'!$C:$U,2+$E135,0))+IF(DA$5="X",VLOOKUP(DA$10,'VK-Põlevkivi'!$C:$X,2+$G135,0))+IF(DA$4="X",VLOOKUP(DA$10,'VK-Võrgud'!$C:$X,2+$F135,0)))/1000</f>
        <v>12.724</v>
      </c>
      <c r="DB135" s="209">
        <f>(IF(DB$7="X",VLOOKUP(DB$10,'VK-Hooned-Soojus'!$C:$X,2+$C135,FALSE),0)+IF(DB$6="X",VLOOKUP(DB$10,'VK-Transport'!$C:$X,2+$B135,0))+IF(DB$8="X",VLOOKUP(DB$10,'VK-Elekter'!$C:$X,2+$D135,0))+IF(DB$9="X",VLOOKUP(DB$10,'VK-Biokütused'!$C:$U,2+$E135,0))+IF(DB$5="X",VLOOKUP(DB$10,'VK-Põlevkivi'!$C:$X,2+$G135,0))+IF(DB$4="X",VLOOKUP(DB$10,'VK-Võrgud'!$C:$X,2+$F135,0)))/1000/3.6</f>
        <v>57.346944444444446</v>
      </c>
      <c r="DC135" s="209">
        <f>(IF(DC$7="X",VLOOKUP(DC$10,'VK-Hooned-Soojus'!$C:$X,2+$C135,FALSE),0)+IF(DC$6="X",VLOOKUP(DC$10,'VK-Transport'!$C:$X,2+$B135,0))+IF(DC$8="X",VLOOKUP(DC$10,'VK-Elekter'!$C:$X,2+$D135,0))+IF(DC$9="X",VLOOKUP(DC$10,'VK-Biokütused'!$C:$U,2+$E135,0))+IF(DC$5="X",VLOOKUP(DC$10,'VK-Põlevkivi'!$C:$X,2+$G135,0))+IF(DC$4="X",VLOOKUP(DC$10,'VK-Võrgud'!$C:$X,2+$F135,0)))/1000000</f>
        <v>4.6259050000000004</v>
      </c>
      <c r="DD135" s="209"/>
      <c r="DE135" s="88">
        <f>VLOOKUP(Tulemused!$BN$12,data!M$7:N$12,2,FALSE)-SUM(L135,M135)</f>
        <v>0.39749062697563176</v>
      </c>
      <c r="DF135" s="209" t="str">
        <f>IF(AZ135&lt;=VLOOKUP(Tulemused!$BN$15,data!$E$36:$F$39,2,FALSE),"JAH","EI")</f>
        <v>JAH</v>
      </c>
      <c r="DG135" s="209"/>
      <c r="DH135" s="209">
        <f t="shared" si="85"/>
        <v>6.08</v>
      </c>
      <c r="DI135" s="231" t="str">
        <f t="shared" si="65"/>
        <v>JAH</v>
      </c>
      <c r="DK135" s="232">
        <f t="shared" si="86"/>
        <v>6.5622994822320475</v>
      </c>
      <c r="DM135" s="233">
        <f t="shared" si="87"/>
        <v>-998.35676098133979</v>
      </c>
      <c r="DN135" s="87">
        <f t="array" ref="DN135">INDEX($A$11:$A$145, SMALL(IF(DM135=$DK$11:$DK$145, MATCH(ROW($DK$11:$DK$145), ROW($DK$11:$DK$145))), SUM(--(DM135=$DM$11:DM135))))</f>
        <v>22</v>
      </c>
      <c r="DP135" s="87" t="e">
        <f t="shared" ca="1" si="66"/>
        <v>#N/A</v>
      </c>
      <c r="DQ135" s="87" t="e">
        <f t="shared" ca="1" si="67"/>
        <v>#N/A</v>
      </c>
      <c r="DR135" s="87">
        <f t="shared" ca="1" si="68"/>
        <v>0</v>
      </c>
      <c r="DS135" s="87" t="e">
        <f t="shared" ca="1" si="69"/>
        <v>#N/A</v>
      </c>
      <c r="DT135" s="87">
        <f t="shared" ca="1" si="70"/>
        <v>0</v>
      </c>
      <c r="DU135" s="87" t="e">
        <f t="shared" ca="1" si="71"/>
        <v>#N/A</v>
      </c>
      <c r="DV135" s="87" t="e">
        <f t="shared" ca="1" si="72"/>
        <v>#N/A</v>
      </c>
      <c r="DW135" s="87">
        <f t="shared" ca="1" si="73"/>
        <v>0</v>
      </c>
      <c r="DX135" s="87">
        <f t="shared" ca="1" si="74"/>
        <v>0</v>
      </c>
      <c r="DZ135" s="87">
        <f t="shared" ca="1" si="82"/>
        <v>0</v>
      </c>
      <c r="EB135" s="87">
        <f t="shared" ca="1" si="75"/>
        <v>0</v>
      </c>
      <c r="EC135" s="87" t="e">
        <f t="shared" ca="1" si="76"/>
        <v>#N/A</v>
      </c>
      <c r="EE135" s="228">
        <f>(IF(EE$7="X",VLOOKUP(EE$10,'VK-Hooned-Soojus'!$C:$X,2+$C135,FALSE),0)+IF(EE$6="X",VLOOKUP(EE$10,'VK-Transport'!$C:$X,2+$B135,0))+IF(EE$8="X",VLOOKUP(EE$10,'VK-Elekter'!$C:$X,2+$D135,0))+IF(EE$9="X",VLOOKUP(EE$10,'VK-Biokütused'!$C:$U,2+$E135,0))+IF(EE$5="X",VLOOKUP(EE$10,'VK-Põlevkivi'!$C:$X,2+$G135,0))+IF(EE$4="X",VLOOKUP(EE$10,'VK-Võrgud'!$C:$X,2+$F135,0)))</f>
        <v>9117.7238263466807</v>
      </c>
      <c r="EF135" s="235">
        <f>(IF(EF$7="X",VLOOKUP(EF$10,'VK-Hooned-Soojus'!$C:$X,2+$C135,FALSE),0)+IF(EF$6="X",VLOOKUP(EF$10,'VK-Transport'!$C:$X,2+$B135,0))+IF(EF$8="X",VLOOKUP(EF$10,'VK-Elekter'!$C:$X,2+$D135,0))+IF(EF$9="X",VLOOKUP(EF$10,'VK-Biokütused'!$C:$U,2+$E135,0)))/1000</f>
        <v>3.4398849906373199</v>
      </c>
      <c r="EG135" s="209">
        <f>(IF(EG$7="X",VLOOKUP(EG$10,'VK-Hooned-Soojus'!$C:$X,2+$C135,FALSE),0)+IF(EG$6="X",VLOOKUP(EG$10,'VK-Transport'!$C:$X,2+$B135,0))+IF(EG$8="X",VLOOKUP(EG$10,'VK-Elekter'!$C:$X,2+$D135,0))+IF(EG$9="X",VLOOKUP(EG$10,'VK-Biokütused'!$C:$U,2+$E135,0))+IF(EG$5="X",VLOOKUP(EG$10,'VK-Põlevkivi'!$C:$X,2+$G135,0))+IF(EG$4="X",VLOOKUP(EG$10,'VK-Võrgud'!$C:$X,2+$F135,0)))</f>
        <v>0.81</v>
      </c>
      <c r="EH135" s="209">
        <f>(IF(EH$7="X",VLOOKUP(EH$10,'VK-Hooned-Soojus'!$C:$X,2+$C135,FALSE),0)+IF(EH$6="X",VLOOKUP(EH$10,'VK-Transport'!$C:$X,2+$B135,0))+IF(EH$8="X",VLOOKUP(EH$10,'VK-Elekter'!$C:$X,2+$D135,0))+IF(EH$9="X",VLOOKUP(EH$10,'VK-Biokütused'!$C:$U,2+$E135,0)))+AR135+AS135+AU135+AX135</f>
        <v>49.015637038771786</v>
      </c>
      <c r="EI135" s="320">
        <f t="shared" si="88"/>
        <v>43.312900516795864</v>
      </c>
      <c r="EJ135" s="322">
        <f t="shared" si="89"/>
        <v>2.5620074329845279E-2</v>
      </c>
      <c r="EK135" s="323">
        <f t="shared" si="77"/>
        <v>0.447957193299102</v>
      </c>
      <c r="EM135" s="209"/>
      <c r="EN135" s="209">
        <f t="shared" ca="1" si="90"/>
        <v>0</v>
      </c>
      <c r="EO135" s="209"/>
      <c r="EP135" s="234"/>
      <c r="EQ135" s="209">
        <f>(IF(EQ$7="X",VLOOKUP(EQ$10,'VK-Hooned-Soojus'!$C:$X,2+$C135,FALSE),0)+IF(EQ$6="X",VLOOKUP(EQ$10,'VK-Transport'!$C:$X,2+$B135,0))+IF(EQ$8="X",VLOOKUP(EQ$10,'VK-Elekter'!$C:$X,2+$D135,0))+IF(EQ$9="X",VLOOKUP(EQ$10,'VK-Biokütused'!$C:$U,2+$E135,0))+IF(EQ$5="X",VLOOKUP(EQ$10,'VK-Põlevkivi'!$C:$X,2+$G135,0))+IF(EQ$4="X",VLOOKUP(EQ$10,'VK-Võrgud'!$C:$X,2+$F135,0)))/1000</f>
        <v>0.19900000000000001</v>
      </c>
      <c r="ER135" s="209">
        <f>(IF(ER$7="X",VLOOKUP(ER$10,'VK-Hooned-Soojus'!$C:$X,2+$C135,FALSE),0)+IF(ER$6="X",VLOOKUP(ER$10,'VK-Transport'!$C:$X,2+$B135,0))+IF(ER$8="X",VLOOKUP(ER$10,'VK-Elekter'!$C:$X,2+$D135,0))+IF(ER$9="X",VLOOKUP(ER$10,'VK-Biokütused'!$C:$U,2+$E135,0))+IF(ER$5="X",VLOOKUP(ER$10,'VK-Põlevkivi'!$C:$X,2+$G135,0))+IF(ER$4="X",VLOOKUP(ER$10,'VK-Võrgud'!$C:$X,2+$F135,0)))</f>
        <v>0.72299999999999998</v>
      </c>
      <c r="ES135" s="209">
        <f>(IF(ES$7="X",VLOOKUP(ES$10,'VK-Hooned-Soojus'!$C:$X,2+$C135,FALSE),0)+IF(ES$6="X",VLOOKUP(ES$10,'VK-Transport'!$C:$X,2+$B135,0))+IF(ES$8="X",VLOOKUP(ES$10,'VK-Elekter'!$C:$X,2+$D135,0))+IF(ES$9="X",VLOOKUP(ES$10,'VK-Biokütused'!$C:$U,2+$E135,0))+IF(ES$5="X",VLOOKUP(ES$10,'VK-Põlevkivi'!$C:$X,2+$G135,0))+IF(ES$4="X",VLOOKUP(ES$10,'VK-Võrgud'!$C:$X,2+$F135,0)))</f>
        <v>6.08</v>
      </c>
      <c r="ET135" s="209"/>
      <c r="EU135" s="209"/>
      <c r="EV135" s="87">
        <f>'KSH järjestus'!AS128</f>
        <v>655</v>
      </c>
      <c r="EZ135" s="237">
        <f t="shared" si="91"/>
        <v>0.27911646586345373</v>
      </c>
      <c r="FA135" s="209">
        <f>IF(FA$7="X",VLOOKUP(FA$10,'VK-Hooned-Soojus'!$C:$X,2+$C135,FALSE),0)+IF(FA$6="X",VLOOKUP(FA$10,'VK-Transport'!$C:$X,2+$B135,0))+IF(FA$8="X",VLOOKUP(FA$10,'VK-Elekter'!$C:$X,2+$D135,0))+IF(FA$9="X",VLOOKUP(FA$10,'VK-Biokütused'!$C:$U,2+$E135,0))+IF(FA$5="X",VLOOKUP(FA$10,'VK-Põlevkivi'!$C:$X,2+$G135,0))+IF(FA$4="X",VLOOKUP(FA$10,'VK-Võrgud'!$C:$X,2+$F135,0))</f>
        <v>2912.9189999999999</v>
      </c>
      <c r="FB135" s="279">
        <f>(IF(FB$7="X",VLOOKUP(FB$10,'VK-Hooned-Soojus'!$C:$X,2+$C135,FALSE),0)+IF(FB$6="X",VLOOKUP(FB$10,'VK-Transport'!$C:$X,2+$B135,0))+IF(FB$8="X",VLOOKUP(FB$10,'VK-Elekter'!$C:$X,2+$D135,0))+IF(FB$9="X",VLOOKUP(FB$10,'VK-Biokütused'!$C:$U,2+$E135,0))+IF(FB$5="X",VLOOKUP(FB$10,'VK-Põlevkivi'!$C:$X,2+$G135,0))+IF(FB$4="X",VLOOKUP(FB$10,'VK-Võrgud'!$C:$X,2+$F135,0)))/16</f>
        <v>476.02991951529214</v>
      </c>
      <c r="FC135" s="209">
        <f>IF(FC$7="X",VLOOKUP(FC$10,'VK-Hooned-Soojus'!$C:$X,2+$C135,FALSE),0)+IF(FC$6="X",VLOOKUP(FC$10,'VK-Transport'!$C:$X,2+$B135,0))+IF(FC$8="X",VLOOKUP(FC$10,'VK-Elekter'!$C:$X,2+$D135,0))+IF(FC$9="X",VLOOKUP(FC$10,'VK-Biokütused'!$C:$U,2+$E135,0))+IF(FC$5="X",VLOOKUP(FC$10,'VK-Põlevkivi'!$C:$X,2+$G135,0))+IF(FC$4="X",VLOOKUP(FC$10,'VK-Võrgud'!$C:$X,2+$F135,0))</f>
        <v>285</v>
      </c>
      <c r="FD135" s="209">
        <f>(IF(FD$7="X",VLOOKUP(FD$10,'VK-Hooned-Soojus'!$C:$X,2+$C135,FALSE),0)+IF(FD$6="X",VLOOKUP(FD$10,'VK-Transport'!$C:$X,2+$B135,0))+IF(FD$8="X",VLOOKUP(FD$10,'VK-Elekter'!$C:$X,2+$D135,0))+IF(FD$9="X",VLOOKUP(FD$10,'VK-Biokütused'!$C:$U,2+$E135,0))+IF(FD$5="X",VLOOKUP(FD$10,'VK-Põlevkivi'!$C:$X,2+$G135,0))+IF(FD$4="X",VLOOKUP(FD$10,'VK-Võrgud'!$C:$X,2+$F135,0)))/16</f>
        <v>476.02991951529214</v>
      </c>
      <c r="FE135" s="209">
        <f>(IF(FE$7="X",VLOOKUP(FE$10,'VK-Hooned-Soojus'!$C:$X,2+$C135,FALSE),0)+IF(FE$6="X",VLOOKUP(FE$10,'VK-Transport'!$C:$X,2+$B135,0))+IF(FE$8="X",VLOOKUP(FE$10,'VK-Elekter'!$C:$X,2+$D135,0))+IF(FE$9="X",VLOOKUP(FE$10,'VK-Biokütused'!$C:$U,2+$E135,0))+IF(FE$5="X",VLOOKUP(FE$10,'VK-Põlevkivi'!$C:$X,2+$G135,0))+IF(FE$4="X",VLOOKUP(FE$10,'VK-Võrgud'!$C:$X,2+$F135,0)))/16</f>
        <v>-178.19071988063212</v>
      </c>
      <c r="FF135" s="209">
        <f>(IF(FF$7="X",VLOOKUP(FF$10,'VK-Hooned-Soojus'!$C:$X,2+$C135,FALSE),0)+IF(FF$6="X",VLOOKUP(FF$10,'VK-Transport'!$C:$X,2+$B135,0))+IF(FF$8="X",VLOOKUP(FF$10,'VK-Elekter'!$C:$X,2+$D135,0))+IF(FF$9="X",VLOOKUP(FF$10,'VK-Biokütused'!$C:$U,2+$E135,0))+IF(FF$5="X",VLOOKUP(FF$10,'VK-Põlevkivi'!$C:$X,2+$G135,0))+IF(FF$4="X",VLOOKUP(FF$10,'VK-Võrgud'!$C:$X,2+$F135,0)))/16</f>
        <v>219.26697912966119</v>
      </c>
      <c r="FG135" s="88">
        <f t="shared" ca="1" si="78"/>
        <v>41.076259249029079</v>
      </c>
      <c r="FH135" s="88"/>
      <c r="FI135" s="88"/>
      <c r="FJ135" s="88">
        <f>VLOOKUP(Tulemused!$BN$12,data!M$7:N$12,2,FALSE)-SUM(L135,M135)</f>
        <v>0.39749062697563176</v>
      </c>
      <c r="FK135" s="209" t="str">
        <f>IF(AZ135&lt;=VLOOKUP(Tulemused!$BN$15,data!$E$36:$F$39,2,FALSE),"JAH","EI")</f>
        <v>JAH</v>
      </c>
      <c r="FL135" s="235">
        <f ca="1">IF(ISNA(MATCH($A135,INDIRECT(VLOOKUP(Tulemused!$BF$11,data!$J$57:$M$71,4,FALSE)))),0,MATCH($A135,INDIRECT(VLOOKUP(Tulemused!$BF$11,data!$J$57:$M$71,4,FALSE))))</f>
        <v>0</v>
      </c>
      <c r="FM135" s="235" t="str">
        <f t="shared" ca="1" si="92"/>
        <v>JAH</v>
      </c>
      <c r="FN135" s="209">
        <f>VLOOKUP(Tulemused!$BN$13,data!$C$132:$D$137,2,FALSE)-KOMBI!R135</f>
        <v>4.8305850093626805</v>
      </c>
      <c r="FO135" s="209"/>
      <c r="FP135" s="209">
        <f>VLOOKUP(Tulemused!$BN$17,NO_x,2,FALSE)-CJ135</f>
        <v>12.975421988425463</v>
      </c>
      <c r="FQ135" s="209">
        <f>VLOOKUP(Tulemused!$BN$18,SO_2,2,FALSE)-CK135</f>
        <v>40.664922023659201</v>
      </c>
      <c r="FR135" s="209">
        <f>VLOOKUP(Tulemused!$BN$19,LOU,2,FALSE)-CN135</f>
        <v>34.299000000000007</v>
      </c>
      <c r="FS135" s="209">
        <f>VLOOKUP(Tulemused!$BN$20,PM_2.5,2,FALSE)-CM135</f>
        <v>9.3432394222510915</v>
      </c>
      <c r="FT135" s="209">
        <f>VLOOKUP(Tulemused!$BN$13,data!$C$132:$D$137,2,FALSE)-FA135/1000</f>
        <v>3.3330510000000007</v>
      </c>
      <c r="FU135" s="209">
        <f>VLOOKUP(Tulemused!$BN$17,NO_x,2,FALSE)-CO135</f>
        <v>5.8766376626430059</v>
      </c>
      <c r="FV135" s="209">
        <f>VLOOKUP(Tulemused!$BN$18,SO_2,2,FALSE)-CP135</f>
        <v>38.478607879306338</v>
      </c>
      <c r="FW135" s="209">
        <f>VLOOKUP(Tulemused!$BN$19,LOU,2,FALSE)-CS135</f>
        <v>33.311350490137769</v>
      </c>
      <c r="FX135" s="209">
        <f>VLOOKUP(Tulemused!$BN$20,PM_2.5,2,FALSE)-CR135</f>
        <v>9.2222481626003088</v>
      </c>
      <c r="FY135" s="209">
        <f>VLOOKUP(Tulemused!$BN$14,KHG_2050,2,FALSE)-EF135</f>
        <v>96.560115009362676</v>
      </c>
      <c r="FZ135" s="231" t="str">
        <f t="shared" ca="1" si="79"/>
        <v>JAH</v>
      </c>
      <c r="GA135" s="209"/>
      <c r="GB135" s="209"/>
      <c r="GC135" s="209"/>
      <c r="GD135" s="231"/>
      <c r="GE135" s="87">
        <f t="shared" si="93"/>
        <v>655</v>
      </c>
      <c r="GF135" s="232">
        <f t="shared" ca="1" si="80"/>
        <v>655</v>
      </c>
      <c r="GH135" s="238" t="e">
        <f t="shared" ca="1" si="94"/>
        <v>#NUM!</v>
      </c>
      <c r="GI135" s="87" t="e">
        <f t="array" aca="1" ref="GI135" ca="1">INDEX($A$11:$A$145, SMALL(IF(GH135=$GF$11:$GF$145, MATCH(ROW($GF$11:$GF$145), ROW($GF$11:$GF$145))), SUM(--(GH135=$GH$11:GH135))))</f>
        <v>#NUM!</v>
      </c>
      <c r="GM135" s="209">
        <f>IF(GM$7="X",VLOOKUP(GM$10,'VK-Hooned-Soojus'!$C:$X,2+$C135,FALSE),0)+IF(GM$6="X",VLOOKUP(GM$10,'VK-Transport'!$C:$X,2+$B135,0))+IF(GM$8="X",VLOOKUP(GM$10,'VK-Elekter'!$C:$X,2+$D135,0))+IF(GM$9="X",VLOOKUP(GM$10,'VK-Biokütused'!$C:$U,2+$E135,0))+IF(GM$5="X",VLOOKUP(GM$10,'VK-Põlevkivi'!$C:$X,2+$G135,0))+IF(GM$4="X",VLOOKUP(GM$10,'VK-Võrgud'!$C:$X,2+$F135,0))</f>
        <v>6.0128279910272253</v>
      </c>
      <c r="GN135" s="209">
        <f>IF(GN$7="X",VLOOKUP(GN$10,'VK-Hooned-Soojus'!$C:$X,2+$C135,FALSE),0)+IF(GN$6="X",VLOOKUP(GN$10,'VK-Transport'!$C:$X,2+$B135,0))+IF(GN$8="X",VLOOKUP(GN$10,'VK-Elekter'!$C:$X,2+$D135,0))+IF(GN$9="X",VLOOKUP(GN$10,'VK-Biokütused'!$C:$U,2+$E135,0))+IF(GN$5="X",VLOOKUP(GN$10,'VK-Põlevkivi'!$C:$X,2+$G135,0))+IF(GN$4="X",VLOOKUP(GN$10,'VK-Võrgud'!$C:$X,2+$F135,0))</f>
        <v>3.4467619395011728</v>
      </c>
      <c r="GO135" s="209">
        <f>IF(GO$7="X",VLOOKUP(GO$10,'VK-Hooned-Soojus'!$C:$X,2+$C135,FALSE),0)+IF(GO$6="X",VLOOKUP(GO$10,'VK-Transport'!$C:$X,2+$B135,0))+IF(GO$8="X",VLOOKUP(GO$10,'VK-Elekter'!$C:$X,2+$D135,0))+IF(GO$9="X",VLOOKUP(GO$10,'VK-Biokütused'!$C:$U,2+$E135,0))+IF(GO$5="X",VLOOKUP(GO$10,'VK-Põlevkivi'!$C:$X,2+$G135,0))+IF(GO$4="X",VLOOKUP(GO$10,'VK-Võrgud'!$C:$X,2+$F135,0))</f>
        <v>7.5763700102722566</v>
      </c>
      <c r="GP135" s="209">
        <f>IF(GP$7="X",VLOOKUP(GP$10,'VK-Hooned-Soojus'!$C:$X,2+$C135,FALSE),0)+IF(GP$6="X",VLOOKUP(GP$10,'VK-Transport'!$C:$X,2+$B135,0))+IF(GP$8="X",VLOOKUP(GP$10,'VK-Elekter'!$C:$X,2+$D135,0))+IF(GP$9="X",VLOOKUP(GP$10,'VK-Biokütused'!$C:$U,2+$E135,0))+IF(GP$5="X",VLOOKUP(GP$10,'VK-Põlevkivi'!$C:$X,2+$G135,0))+IF(GP$4="X",VLOOKUP(GP$10,'VK-Võrgud'!$C:$X,2+$F135,0))</f>
        <v>8.9326558040707589</v>
      </c>
      <c r="GQ135" s="88">
        <f>IF(GQ$7="X",VLOOKUP(GQ$10,'VK-Hooned-Soojus'!$C:$X,2+$C135,FALSE),0)+IF(GQ$6="X",VLOOKUP(GQ$10,'VK-Transport'!$C:$X,2+$B135,0))+IF(GQ$8="X",VLOOKUP(GQ$10,'VK-Elekter'!$C:$X,2+$D135,0))+IF(GQ$9="X",VLOOKUP(GQ$10,'VK-Biokütused'!$C:$U,2+$E135,0))+IF(GQ$5="X",VLOOKUP(GQ$10,'VK-Põlevkivi'!$C:$X,2+$G135,0))+IF(GQ$4="X",VLOOKUP(GQ$10,'VK-Võrgud'!$C:$X,2+$F135,0))</f>
        <v>0.89042766952822527</v>
      </c>
      <c r="GR135" s="186">
        <f t="shared" si="81"/>
        <v>0.4091172758825713</v>
      </c>
    </row>
    <row r="136" spans="1:200" x14ac:dyDescent="0.2">
      <c r="A136" s="184">
        <v>126</v>
      </c>
      <c r="B136" s="87">
        <v>3</v>
      </c>
      <c r="C136" s="87">
        <v>3</v>
      </c>
      <c r="D136" s="87">
        <v>2</v>
      </c>
      <c r="E136" s="87">
        <v>3</v>
      </c>
      <c r="F136" s="87">
        <f>VLOOKUP(Tulemused!$BF$7,data!$J$6:$K$8,2,FALSE)</f>
        <v>2</v>
      </c>
      <c r="G136" s="87">
        <f>VLOOKUP(data!$H$2,data!$J$12:$K$14,2,FALSE)</f>
        <v>2</v>
      </c>
      <c r="I136" s="209">
        <f>IF(I$7="X",VLOOKUP(I$10,'VK-Hooned-Soojus'!$C:$X,2+$C136,FALSE),0)+IF(I$6="X",VLOOKUP(I$10,'VK-Transport'!$C:$X,2+$B136,0))+IF(I$8="X",VLOOKUP(I$10,'VK-Elekter'!$C:$X,2+$D136,0))+IF(I$9="X",VLOOKUP(I$10,'VK-Biokütused'!$C:$U,2+$E136,0))+IF(I$5="X",VLOOKUP(I$10,'VK-Põlevkivi'!$C:$X,2+$G136,0))+IF(I$4="X",VLOOKUP(I$10,'VK-Võrgud'!$C:$X,2+$F136,0))</f>
        <v>23.490000000000002</v>
      </c>
      <c r="J136" s="209">
        <f>IF(J$7="X",VLOOKUP(J$10,'VK-Hooned-Soojus'!$C:$X,2+$C136,FALSE),0)+IF(J$6="X",VLOOKUP(J$10,'VK-Transport'!$C:$X,2+$B136,0))+IF(J$8="X",VLOOKUP(J$10,'VK-Elekter'!$C:$X,2+$D136,0))+IF(J$9="X",VLOOKUP(J$10,'VK-Biokütused'!$C:$U,2+$E136,0))+IF(J$5="X",VLOOKUP(J$10,'VK-Põlevkivi'!$C:$X,2+$G136,0))+IF(J$4="X",VLOOKUP(J$10,'VK-Võrgud'!$C:$X,2+$F136,0))</f>
        <v>8.1258333333333344</v>
      </c>
      <c r="K136" s="209">
        <f>IF(K$7="X",VLOOKUP(K$10,'VK-Hooned-Soojus'!$C:$X,2+$C136,FALSE),0)+IF(K$6="X",VLOOKUP(K$10,'VK-Transport'!$C:$X,2+$B136,0))+IF(K$8="X",VLOOKUP(K$10,'VK-Elekter'!$C:$X,2+$D136,0))+IF(K$9="X",VLOOKUP(K$10,'VK-Biokütused'!$C:$U,2+$E136,0))+IF(K$5="X",VLOOKUP(K$10,'VK-Põlevkivi'!$C:$X,2+$G136,0))+IF(K$4="X",VLOOKUP(K$10,'VK-Võrgud'!$C:$X,2+$F136,0))</f>
        <v>13.780000000000001</v>
      </c>
      <c r="L136" s="209">
        <f>IF(L$7="X",VLOOKUP(L$10,'VK-Hooned-Soojus'!$C:$X,2+$C136,FALSE),0)+IF(L$6="X",VLOOKUP(L$10,'VK-Transport'!$C:$X,2+$B136,0))+IF(L$8="X",VLOOKUP(L$10,'VK-Elekter'!$C:$X,2+$D136,0))+IF(L$9="X",VLOOKUP(L$10,'VK-Biokütused'!$C:$U,2+$E136,0))+IF(L$5="X",VLOOKUP(L$10,'VK-Põlevkivi'!$C:$X,2+$G136,0))+IF(L$4="X",VLOOKUP(L$10,'VK-Võrgud'!$C:$X,2+$F136,0))</f>
        <v>23.75</v>
      </c>
      <c r="M136" s="209">
        <f>IF(M$7="X",VLOOKUP(M$10,'VK-Hooned-Soojus'!$C:$X,2+$C136,FALSE),0)+IF(M$6="X",VLOOKUP(M$10,'VK-Transport'!$C:$X,2+$B136,0))+IF(M$8="X",VLOOKUP(M$10,'VK-Elekter'!$C:$X,2+$D136,0))+IF(M$9="X",VLOOKUP(M$10,'VK-Biokütused'!$C:$U,2+$E136,0))+IF(M$5="X",VLOOKUP(M$10,'VK-Põlevkivi'!$C:$X,2+$G136,0))+IF(M$4="X",VLOOKUP(M$10,'VK-Võrgud'!$C:$X,2+$F136,0))</f>
        <v>8.68530937302436</v>
      </c>
      <c r="N136" s="209">
        <f>IF(N$7="X",VLOOKUP(N$10,'VK-Hooned-Soojus'!$C:$X,2+$C136,FALSE),0)+IF(N$6="X",VLOOKUP(N$10,'VK-Transport'!$C:$X,2+$B136,0))+IF(N$8="X",VLOOKUP(N$10,'VK-Elekter'!$C:$X,2+$D136,0))+IF(N$9="X",VLOOKUP(N$10,'VK-Biokütused'!$C:$U,2+$E136,0))+IF(N$5="X",VLOOKUP(N$10,'VK-Põlevkivi'!$C:$X,2+$G136,0))+IF(N$4="X",VLOOKUP(N$10,'VK-Võrgud'!$C:$X,2+$F136,0))</f>
        <v>15.25</v>
      </c>
      <c r="O136" s="209">
        <f t="shared" si="60"/>
        <v>31.615833333333335</v>
      </c>
      <c r="P136" s="209"/>
      <c r="Q136" s="209">
        <f>(IF(Q$7="X",VLOOKUP(Q$10,'VK-Hooned-Soojus'!$C:$X,2+$C136,FALSE),0)+IF(Q$6="X",VLOOKUP(Q$10,'VK-Transport'!$C:$X,2+$B136,0))+IF(Q$8="X",VLOOKUP(Q$10,'VK-Elekter'!$C:$X,2+$D136,0))+IF(Q$9="X",VLOOKUP(Q$10,'VK-Biokütused'!$C:$U,2+$E136,0))+IF(Q$5="X",VLOOKUP(Q$10,'VK-Põlevkivi'!$C:$X,2+$G136,0))+IF(Q$4="X",VLOOKUP(Q$10,'VK-Võrgud'!$C:$X,2+$F136,0)))/1000</f>
        <v>4.9379999999999997</v>
      </c>
      <c r="R136" s="209">
        <f>(IF(R$7="X",VLOOKUP(R$10,'VK-Hooned-Soojus'!$C:$X,2+$C136,FALSE),0)+IF(R$6="X",VLOOKUP(R$10,'VK-Transport'!$C:$X,2+$B136,0))+IF(R$8="X",VLOOKUP(R$10,'VK-Elekter'!$C:$X,2+$D136,0))+IF(R$9="X",VLOOKUP(R$10,'VK-Biokütused'!$C:$U,2+$E136,0))+IF(R$5="X",VLOOKUP(R$10,'VK-Põlevkivi'!$C:$X,2+$G136,0))+IF(R$4="X",VLOOKUP(R$10,'VK-Võrgud'!$C:$X,2+$F136,0)))/1000</f>
        <v>1.62408499063732</v>
      </c>
      <c r="S136" s="226">
        <f>VLOOKUP(S$10,'VK-Hooned-Soojus'!$C:$I,2+$C136,FALSE) + VLOOKUP(S$10,'VK-Transport'!$C:$I,2+$B136,FALSE)+ VLOOKUP(S$10,'VK-Biokütused'!$C:$G,2+$E136,FALSE)+ VLOOKUP(S$10,'VK-Elekter'!$C:$I,2+$D136,FALSE)+ VLOOKUP(S$10,'VK-Põlevkivi'!$C:$I,2+$G136,FALSE)+ VLOOKUP(S$10,'VK-Võrgud'!$C:$I,2+$F136,FALSE)</f>
        <v>2.3027319396337956E-2</v>
      </c>
      <c r="T136" s="226">
        <f>VLOOKUP(T$10,'VK-Hooned-Soojus'!$C:$I,2+$C136,FALSE) + VLOOKUP(T$10,'VK-Transport'!$C:$I,2+$B136,FALSE)+ VLOOKUP(T$10,'VK-Biokütused'!$C:$G,2+$E136,FALSE)+ VLOOKUP(T$10,'VK-Elekter'!$C:$I,2+$D136,FALSE)+ VLOOKUP(T$10,'VK-Põlevkivi'!$C:$I,2+$G136,FALSE)+ VLOOKUP(T$10,'VK-Võrgud'!$C:$I,2+$F136,FALSE)</f>
        <v>3.8950770360724413E-3</v>
      </c>
      <c r="U136" s="226">
        <f>VLOOKUP(U$10,'VK-Hooned-Soojus'!$C:$I,2+$C136,FALSE) + VLOOKUP(U$10,'VK-Transport'!$C:$I,2+$B136,FALSE)+ VLOOKUP(U$10,'VK-Biokütused'!$C:$G,2+$E136,FALSE)+ VLOOKUP(U$10,'VK-Elekter'!$C:$I,2+$D136,FALSE)+ VLOOKUP(U$10,'VK-Põlevkivi'!$C:$I,2+$G136,FALSE)+ VLOOKUP(U$10,'VK-Võrgud'!$C:$I,2+$F136,FALSE)</f>
        <v>4.7638269510273112E-3</v>
      </c>
      <c r="V136" s="226">
        <f>VLOOKUP(V$10,'VK-Hooned-Soojus'!$C:$I,2+$C136,FALSE) + VLOOKUP(V$10,'VK-Transport'!$C:$I,2+$B136,FALSE)+ VLOOKUP(V$10,'VK-Biokütused'!$C:$G,2+$E136,FALSE)+ VLOOKUP(V$10,'VK-Elekter'!$C:$I,2+$D136,FALSE)+ VLOOKUP(V$10,'VK-Põlevkivi'!$C:$I,2+$G136,FALSE)+ VLOOKUP(V$10,'VK-Võrgud'!$C:$I,2+$F136,FALSE)</f>
        <v>1.8465729278375448E-2</v>
      </c>
      <c r="W136" s="226">
        <f>VLOOKUP(W$10,'VK-Hooned-Soojus'!$C:$I,2+$C136,FALSE) + VLOOKUP(W$10,'VK-Transport'!$C:$I,2+$B136,FALSE)+ VLOOKUP(W$10,'VK-Biokütused'!$C:$G,2+$E136,FALSE)+ VLOOKUP(W$10,'VK-Elekter'!$C:$I,2+$D136,FALSE)+ VLOOKUP(W$10,'VK-Põlevkivi'!$C:$I,2+$G136,FALSE)+ VLOOKUP(W$10,'VK-Võrgud'!$C:$I,2+$F136,FALSE)</f>
        <v>-4.4615093204880732E-2</v>
      </c>
      <c r="X136" s="226">
        <f>VLOOKUP(X$10,'VK-Hooned-Soojus'!$C:$I,2+$C136,FALSE) + VLOOKUP(X$10,'VK-Transport'!$C:$I,2+$B136,FALSE)+ VLOOKUP(X$10,'VK-Biokütused'!$C:$G,2+$E136,FALSE)+ VLOOKUP(X$10,'VK-Elekter'!$C:$I,2+$D136,FALSE)+ VLOOKUP(X$10,'VK-Põlevkivi'!$C:$I,2+$G136,FALSE)+ VLOOKUP(X$10,'VK-Võrgud'!$C:$I,2+$F136,FALSE)</f>
        <v>-5.6865591496040487E-2</v>
      </c>
      <c r="Y136" s="226">
        <f>VLOOKUP(Y$10,'VK-Hooned-Soojus'!$C:$I,2+$C136,FALSE) + VLOOKUP(Y$10,'VK-Transport'!$C:$I,2+$B136,FALSE)+ VLOOKUP(Y$10,'VK-Biokütused'!$C:$G,2+$E136,FALSE)+ VLOOKUP(Y$10,'VK-Elekter'!$C:$I,2+$D136,FALSE)+ VLOOKUP(Y$10,'VK-Põlevkivi'!$C:$I,2+$G136,FALSE)+ VLOOKUP(Y$10,'VK-Võrgud'!$C:$I,2+$F136,FALSE)</f>
        <v>-8.053480666007512E-2</v>
      </c>
      <c r="Z136" s="227">
        <f>(S136*Tulemused!$Q$9*10+T136*Tulemused!$Q$10*10+KOMBI!U136*Tulemused!$Q$11*10+KOMBI!V136*Tulemused!$Q$12*10)*Tulemused!$Q$8+-(W136*Tulemused!$Q$14*10+KOMBI!X136*Tulemused!$Q$15*10+KOMBI!Y136*Tulemused!$Q$16*10)*Tulemused!$Q$13</f>
        <v>7.4673992044735735</v>
      </c>
      <c r="AA136" s="228">
        <f>(IF(AA$7="X",VLOOKUP(AA$10,'VK-Hooned-Soojus'!$C:$X,2+$C136,FALSE),0)+IF(AA$6="X",VLOOKUP(AA$10,'VK-Transport'!$C:$X,2+$B136,0))+IF(AA$8="X",VLOOKUP(AA$10,'VK-Elekter'!$C:$X,2+$D136,0))+IF(AA$9="X",VLOOKUP(AA$10,'VK-Biokütused'!$C:$U,2+$E136,0))+IF(AA$5="X",VLOOKUP(AA$10,'VK-Põlevkivi'!$C:$X,2+$G136,0))+IF(AA$4="X",VLOOKUP(AA$10,'VK-Võrgud'!$C:$X,2+$F136,0)))</f>
        <v>3761</v>
      </c>
      <c r="AB136" s="228">
        <f>(IF(AB$7="X",VLOOKUP(AB$10,'VK-Hooned-Soojus'!$C:$X,2+$C136,FALSE),0)+IF(AB$6="X",VLOOKUP(AB$10,'VK-Transport'!$C:$X,2+$B136,0))+IF(AB$8="X",VLOOKUP(AB$10,'VK-Elekter'!$C:$X,2+$D136,0))+IF(AB$9="X",VLOOKUP(AB$10,'VK-Biokütused'!$C:$U,2+$E136,0))+IF(AB$5="X",VLOOKUP(AB$10,'VK-Põlevkivi'!$C:$X,2+$G136,0))+IF(AB$4="X",VLOOKUP(AB$10,'VK-Võrgud'!$C:$X,2+$F136,0)))</f>
        <v>1177</v>
      </c>
      <c r="AC136" s="228">
        <f>(IF(AC$7="X",VLOOKUP(AC$10,'VK-Hooned-Soojus'!$C:$X,2+$C136,FALSE),0)+IF(AC$6="X",VLOOKUP(AC$10,'VK-Transport'!$C:$X,2+$B136,0))+IF(AC$8="X",VLOOKUP(AC$10,'VK-Elekter'!$C:$X,2+$D136,0))+IF(AC$9="X",VLOOKUP(AC$10,'VK-Biokütused'!$C:$U,2+$E136,0))+IF(AC$5="X",VLOOKUP(AC$10,'VK-Põlevkivi'!$C:$X,2+$G136,0))+IF(AC$4="X",VLOOKUP(AC$10,'VK-Võrgud'!$C:$X,2+$F136,0)))</f>
        <v>2346</v>
      </c>
      <c r="AD136" s="228">
        <f>(IF(AD$7="X",VLOOKUP(AD$10,'VK-Hooned-Soojus'!$C:$X,2+$C136,FALSE),0)+IF(AD$6="X",VLOOKUP(AD$10,'VK-Transport'!$C:$X,2+$B136,0))+IF(AD$8="X",VLOOKUP(AD$10,'VK-Elekter'!$C:$X,2+$D136,0))+IF(AD$9="X",VLOOKUP(AD$10,'VK-Biokütused'!$C:$U,2+$E136,0))+IF(AD$5="X",VLOOKUP(AD$10,'VK-Põlevkivi'!$C:$X,2+$G136,0))+IF(AD$4="X",VLOOKUP(AD$10,'VK-Võrgud'!$C:$X,2+$F136,0)))</f>
        <v>586.20000000000005</v>
      </c>
      <c r="AE136" s="228">
        <f>(IF(AE$7="X",VLOOKUP(AE$10,'VK-Hooned-Soojus'!$C:$X,2+$C136,FALSE),0)+IF(AE$6="X",VLOOKUP(AE$10,'VK-Transport'!$C:$X,2+$B136,0))+IF(AE$8="X",VLOOKUP(AE$10,'VK-Elekter'!$C:$X,2+$D136,0))+IF(AE$9="X",VLOOKUP(AE$10,'VK-Biokütused'!$C:$U,2+$E136,0))+IF(AE$5="X",VLOOKUP(AE$10,'VK-Põlevkivi'!$C:$X,2+$G136,0))+IF(AE$4="X",VLOOKUP(AE$10,'VK-Võrgud'!$C:$X,2+$F136,0)))</f>
        <v>507</v>
      </c>
      <c r="AF136" s="228">
        <f>(IF(AF$7="X",VLOOKUP(AF$10,'VK-Hooned-Soojus'!$C:$X,2+$C136,FALSE),0)+IF(AF$6="X",VLOOKUP(AF$10,'VK-Transport'!$C:$X,2+$B136,0))+IF(AF$8="X",VLOOKUP(AF$10,'VK-Elekter'!$C:$X,2+$D136,0))+IF(AF$9="X",VLOOKUP(AF$10,'VK-Biokütused'!$C:$U,2+$E136,0))+IF(AF$5="X",VLOOKUP(AF$10,'VK-Põlevkivi'!$C:$X,2+$G136,0))+IF(AF$4="X",VLOOKUP(AF$10,'VK-Võrgud'!$C:$X,2+$F136,0)))</f>
        <v>530.88499063732002</v>
      </c>
      <c r="AG136" s="209"/>
      <c r="AH136" s="209">
        <f>IF(AH$7="X",VLOOKUP(AH$10,'VK-Hooned-Soojus'!$C:$X,2+$C136,FALSE),0)+IF(AH$6="X",VLOOKUP(AH$10,'VK-Transport'!$C:$X,2+$B136,0))+IF(AH$8="X",VLOOKUP(AH$10,'VK-Elekter'!$C:$X,2+$D136,0))+IF(AH$9="X",VLOOKUP(AH$10,'VK-Biokütused'!$C:$U,2+$E136,0))+IF(AH$5="X",VLOOKUP(AH$10,'VK-Põlevkivi'!$C:$X,2+$G136,0))+IF(AH$4="X",VLOOKUP(AH$10,'VK-Võrgud'!$C:$X,2+$F136,0))</f>
        <v>11.64</v>
      </c>
      <c r="AI136" s="209">
        <f>IF(AI$7="X",VLOOKUP(AI$10,'VK-Hooned-Soojus'!$C:$X,2+$C136,FALSE),0)+IF(AI$6="X",VLOOKUP(AI$10,'VK-Transport'!$C:$X,2+$B136,0))+IF(AI$8="X",VLOOKUP(AI$10,'VK-Elekter'!$C:$X,2+$D136,0))+IF(AI$9="X",VLOOKUP(AI$10,'VK-Biokütused'!$C:$U,2+$E136,0))+IF(AI$5="X",VLOOKUP(AI$10,'VK-Põlevkivi'!$C:$X,2+$G136,0))+IF(AI$4="X",VLOOKUP(AI$10,'VK-Võrgud'!$C:$X,2+$F136,0))</f>
        <v>2.3100000000000005</v>
      </c>
      <c r="AJ136" s="209">
        <f>IF(AJ$7="X",VLOOKUP(AJ$10,'VK-Hooned-Soojus'!$C:$X,2+$C136,FALSE),0)+IF(AJ$6="X",VLOOKUP(AJ$10,'VK-Transport'!$C:$X,2+$B136,0))+IF(AJ$8="X",VLOOKUP(AJ$10,'VK-Elekter'!$C:$X,2+$D136,0))+IF(AJ$9="X",VLOOKUP(AJ$10,'VK-Biokütused'!$C:$U,2+$E136,0))+IF(AJ$5="X",VLOOKUP(AJ$10,'VK-Põlevkivi'!$C:$X,2+$G136,0))+IF(AJ$4="X",VLOOKUP(AJ$10,'VK-Võrgud'!$C:$X,2+$F136,0))</f>
        <v>9.25</v>
      </c>
      <c r="AK136" s="209">
        <f>IF(AK$7="X",VLOOKUP(AK$10,'VK-Hooned-Soojus'!$C:$X,2+$C136,FALSE),0)+IF(AK$6="X",VLOOKUP(AK$10,'VK-Transport'!$C:$X,2+$B136,0))+IF(AK$8="X",VLOOKUP(AK$10,'VK-Elekter'!$C:$X,2+$D136,0))+IF(AK$9="X",VLOOKUP(AK$10,'VK-Biokütused'!$C:$U,2+$E136,0))+IF(AK$5="X",VLOOKUP(AK$10,'VK-Põlevkivi'!$C:$X,2+$G136,0))+IF(AK$4="X",VLOOKUP(AK$10,'VK-Võrgud'!$C:$X,2+$F136,0))</f>
        <v>2.78</v>
      </c>
      <c r="AL136" s="209">
        <f>IF(AL$7="X",VLOOKUP(AL$10,'VK-Hooned-Soojus'!$C:$X,2+$C136,FALSE),0)+IF(AL$6="X",VLOOKUP(AL$10,'VK-Transport'!$C:$X,2+$B136,0))+IF(AL$8="X",VLOOKUP(AL$10,'VK-Elekter'!$C:$X,2+$D136,0))+IF(AL$9="X",VLOOKUP(AL$10,'VK-Biokütused'!$C:$U,2+$E136,0))+IF(AL$5="X",VLOOKUP(AL$10,'VK-Põlevkivi'!$C:$X,2+$G136,0))+IF(AL$4="X",VLOOKUP(AL$10,'VK-Võrgud'!$C:$X,2+$F136,0))</f>
        <v>7.1</v>
      </c>
      <c r="AM136" s="209">
        <f>IF(AM$7="X",VLOOKUP(AM$10,'VK-Hooned-Soojus'!$C:$X,2+$C136,FALSE),0)+IF(AM$6="X",VLOOKUP(AM$10,'VK-Transport'!$C:$X,2+$B136,0))+IF(AM$8="X",VLOOKUP(AM$10,'VK-Elekter'!$C:$X,2+$D136,0))+IF(AM$9="X",VLOOKUP(AM$10,'VK-Biokütused'!$C:$U,2+$E136,0))+IF(AM$5="X",VLOOKUP(AM$10,'VK-Põlevkivi'!$C:$X,2+$G136,0))+IF(AM$4="X",VLOOKUP(AM$10,'VK-Võrgud'!$C:$X,2+$F136,0))</f>
        <v>11.5</v>
      </c>
      <c r="AN136" s="209">
        <f>IF(AN$7="X",VLOOKUP(AN$10,'VK-Hooned-Soojus'!$C:$X,2+$C136,FALSE),0)+IF(AN$6="X",VLOOKUP(AN$10,'VK-Transport'!$C:$X,2+$B136,0))+IF(AN$8="X",VLOOKUP(AN$10,'VK-Elekter'!$C:$X,2+$D136,0))+IF(AN$9="X",VLOOKUP(AN$10,'VK-Biokütused'!$C:$U,2+$E136,0))+IF(AN$5="X",VLOOKUP(AN$10,'VK-Põlevkivi'!$C:$X,2+$G136,0))+IF(AN$4="X",VLOOKUP(AN$10,'VK-Võrgud'!$C:$X,2+$F136,0))</f>
        <v>4.0999999999999996</v>
      </c>
      <c r="AO136" s="209">
        <f>IF(AO$7="X",VLOOKUP(AO$10,'VK-Hooned-Soojus'!$C:$X,2+$C136,FALSE),0)+IF(AO$6="X",VLOOKUP(AO$10,'VK-Transport'!$C:$X,2+$B136,0))+IF(AO$8="X",VLOOKUP(AO$10,'VK-Elekter'!$C:$X,2+$D136,0))+IF(AO$9="X",VLOOKUP(AO$10,'VK-Biokütused'!$C:$U,2+$E136,0))+IF(AO$5="X",VLOOKUP(AO$10,'VK-Põlevkivi'!$C:$X,2+$G136,0))+IF(AO$4="X",VLOOKUP(AO$10,'VK-Võrgud'!$C:$X,2+$F136,0))</f>
        <v>12.16</v>
      </c>
      <c r="AP136" s="209">
        <f>IF(AP$7="X",VLOOKUP(AP$10,'VK-Hooned-Soojus'!$C:$X,2+$C136,FALSE),0)+IF(AP$6="X",VLOOKUP(AP$10,'VK-Transport'!$C:$X,2+$B136,0))+IF(AP$8="X",VLOOKUP(AP$10,'VK-Elekter'!$C:$X,2+$D136,0))+IF(AP$9="X",VLOOKUP(AP$10,'VK-Biokütused'!$C:$U,2+$E136,0))+IF(AP$5="X",VLOOKUP(AP$10,'VK-Põlevkivi'!$C:$X,2+$G136,0))+IF(AP$4="X",VLOOKUP(AP$10,'VK-Võrgud'!$C:$X,2+$F136,0))</f>
        <v>6.08</v>
      </c>
      <c r="AQ136" s="320">
        <f t="shared" si="61"/>
        <v>0</v>
      </c>
      <c r="AR136" s="209">
        <f>IF(AR$7="X",VLOOKUP(AR$10,'VK-Hooned-Soojus'!$C:$X,2+$C136,FALSE),0)+IF(AR$6="X",VLOOKUP(AR$10,'VK-Transport'!$C:$X,2+$B136,0))+IF(AR$8="X",VLOOKUP(AR$10,'VK-Elekter'!$C:$X,2+$D136,0))+IF(AR$9="X",VLOOKUP(AR$10,'VK-Biokütused'!$C:$U,2+$E136,0))+IF(AR$5="X",VLOOKUP(AR$10,'VK-Põlevkivi'!$C:$X,2+$G136,0))+IF(AR$4="X",VLOOKUP(AR$10,'VK-Võrgud'!$C:$X,2+$F136,0))</f>
        <v>2.3899999999999997</v>
      </c>
      <c r="AS136" s="320">
        <f>VLOOKUP("Kütuste tarbimine @ 2030 - UTTEGAAS",'VK-Hooned-Soojus'!$C:$X,2+$C136,FALSE)/0.172+VLOOKUP("Kütuste tarbimine @ 2030 - UTTEGAAS",'VK-Elekter'!$C:$X,2+$D136,FALSE)/0.172-AR136-AU136</f>
        <v>2.8565116279069773</v>
      </c>
      <c r="AT136" s="209">
        <f>IF(AT$7="X",VLOOKUP(AT$10,'VK-Hooned-Soojus'!$C:$X,2+$C136,FALSE),0)+IF(AT$6="X",VLOOKUP(AT$10,'VK-Transport'!$C:$X,2+$B136,0))+IF(AT$8="X",VLOOKUP(AT$10,'VK-Elekter'!$C:$X,2+$D136,0))+IF(AT$9="X",VLOOKUP(AT$10,'VK-Biokütused'!$C:$U,2+$E136,0))+IF(AT$5="X",VLOOKUP(AT$10,'VK-Põlevkivi'!$C:$X,2+$G136,0))+IF(AT$4="X",VLOOKUP(AT$10,'VK-Võrgud'!$C:$X,2+$F136,0))</f>
        <v>5.7045296564339489</v>
      </c>
      <c r="AU136" s="229">
        <f>MAX(0,(VLOOKUP("Kütuste tarbimine @ 2030 - UTTEGAAS",'VK-Hooned-Soojus'!$C:$X,2+$C136,FALSE)/0.172+VLOOKUP("Kütuste tarbimine @ 2030 - UTTEGAAS",'VK-Elekter'!$C:$X,2+$D136,FALSE)/0.172)*0.52-VLOOKUP("Kütuste tarbimine @ 2030 - PÕLEVKIVIÕLI",'VK-Hooned-Soojus'!$C:$X,2+$C136,FALSE))</f>
        <v>5.6837209302325586</v>
      </c>
      <c r="AV136" s="209">
        <f>IF(AV$7="X",VLOOKUP(AV$10,'VK-Hooned-Soojus'!$C:$X,2+$C136,FALSE),0)+IF(AV$6="X",VLOOKUP(AV$10,'VK-Transport'!$C:$X,2+$B136,0))+IF(AV$8="X",VLOOKUP(AV$10,'VK-Elekter'!$C:$X,2+$D136,0))+IF(AV$9="X",VLOOKUP(AV$10,'VK-Biokütused'!$C:$U,2+$E136,0))+IF(AV$5="X",VLOOKUP(AV$10,'VK-Põlevkivi'!$C:$X,2+$G136,0))+IF(AV$4="X",VLOOKUP(AV$10,'VK-Võrgud'!$C:$X,2+$F136,0))</f>
        <v>2.1219844082566364</v>
      </c>
      <c r="AW136" s="209">
        <f>IF(AW$7="X",VLOOKUP(AW$10,'VK-Hooned-Soojus'!$C:$X,2+$C136,FALSE),0)+IF(AW$6="X",VLOOKUP(AW$10,'VK-Transport'!$C:$X,2+$B136,0))+IF(AW$8="X",VLOOKUP(AW$10,'VK-Elekter'!$C:$X,2+$D136,0))+IF(AW$9="X",VLOOKUP(AW$10,'VK-Biokütused'!$C:$U,2+$E136,0))+IF(AW$5="X",VLOOKUP(AW$10,'VK-Põlevkivi'!$C:$X,2+$G136,0))+IF(AW$4="X",VLOOKUP(AW$10,'VK-Võrgud'!$C:$X,2+$F136,0))</f>
        <v>4.2799999999999994</v>
      </c>
      <c r="AX136" s="229">
        <f t="shared" si="62"/>
        <v>2.158015591743363</v>
      </c>
      <c r="AY136" s="229">
        <f t="shared" si="63"/>
        <v>0</v>
      </c>
      <c r="AZ136" s="230">
        <f t="shared" si="83"/>
        <v>0.50411146323407641</v>
      </c>
      <c r="BA136" s="209">
        <f>IF(BA$7="X",VLOOKUP(BA$10,'VK-Hooned-Soojus'!$C:$X,2+$C136,FALSE),0)+IF(BA$6="X",VLOOKUP(BA$10,'VK-Transport'!$C:$X,2+$B136,0))+IF(BA$8="X",VLOOKUP(BA$10,'VK-Elekter'!$C:$X,2+$D136,0))+IF(BA$9="X",VLOOKUP(BA$10,'VK-Biokütused'!$C:$U,2+$E136,0))+IF(BA$5="X",VLOOKUP(BA$10,'VK-Põlevkivi'!$C:$X,2+$G136,0))+IF(BA$4="X",VLOOKUP(BA$10,'VK-Võrgud'!$C:$X,2+$F136,0))</f>
        <v>4.25</v>
      </c>
      <c r="BB136" s="209">
        <f>IF(BB$7="X",VLOOKUP(BB$10,'VK-Hooned-Soojus'!$C:$X,2+$C136,FALSE),0)+IF(BB$6="X",VLOOKUP(BB$10,'VK-Transport'!$C:$X,2+$B136,0))+IF(BB$8="X",VLOOKUP(BB$10,'VK-Elekter'!$C:$X,2+$D136,0))+IF(BB$9="X",VLOOKUP(BB$10,'VK-Biokütused'!$C:$U,2+$E136,0))+IF(BB$5="X",VLOOKUP(BB$10,'VK-Põlevkivi'!$C:$X,2+$G136,0))+IF(BB$4="X",VLOOKUP(BB$10,'VK-Võrgud'!$C:$X,2+$F136,0))</f>
        <v>2.93</v>
      </c>
      <c r="BC136" s="209">
        <f>IF(BC$7="X",VLOOKUP(BC$10,'VK-Hooned-Soojus'!$C:$X,2+$C136,FALSE),0)+IF(BC$6="X",VLOOKUP(BC$10,'VK-Transport'!$C:$X,2+$B136,0))+IF(BC$8="X",VLOOKUP(BC$10,'VK-Elekter'!$C:$X,2+$D136,0))+IF(BC$9="X",VLOOKUP(BC$10,'VK-Biokütused'!$C:$U,2+$E136,0))+IF(BC$5="X",VLOOKUP(BC$10,'VK-Põlevkivi'!$C:$X,2+$G136,0))+IF(BC$4="X",VLOOKUP(BC$10,'VK-Võrgud'!$C:$X,2+$F136,0))</f>
        <v>5.2376666666666667</v>
      </c>
      <c r="BD136" s="209">
        <f>IF(BD$7="X",VLOOKUP(BD$10,'VK-Hooned-Soojus'!$C:$X,2+$C136,FALSE),0)+IF(BD$6="X",VLOOKUP(BD$10,'VK-Transport'!$C:$X,2+$B136,0))+IF(BD$8="X",VLOOKUP(BD$10,'VK-Elekter'!$C:$X,2+$D136,0))+IF(BD$9="X",VLOOKUP(BD$10,'VK-Biokütused'!$C:$U,2+$E136,0))+IF(BD$5="X",VLOOKUP(BD$10,'VK-Põlevkivi'!$C:$X,2+$G136,0))+IF(BD$4="X",VLOOKUP(BD$10,'VK-Võrgud'!$C:$X,2+$F136,0))</f>
        <v>9.1105555555555569</v>
      </c>
      <c r="BE136" s="230"/>
      <c r="BF136" s="229">
        <f t="shared" si="64"/>
        <v>0.3678346224372237</v>
      </c>
      <c r="BG136" s="209" t="e">
        <f>(IF(BG$7="X",VLOOKUP(BG$10,'VK-Hooned-Soojus'!$C:$X,2+$C136,FALSE),0)+IF(BG$6="X",VLOOKUP(BG$10,'VK-Transport'!$C:$X,2+$B136,0))+IF(BG$8="X",VLOOKUP(BG$10,'VK-Elekter'!$C:$X,2+$D136,0))+IF(BG$9="X",VLOOKUP(BG$10,'VK-Biokütused'!$C:$U,2+$E136,0))+IF(BG$5="X",VLOOKUP(BG$10,'VK-Põlevkivi'!$C:$X,2+$G136,0))+IF(BG$4="X",VLOOKUP(BG$10,'VK-Võrgud'!$C:$X,2+$F136,0)))/20</f>
        <v>#N/A</v>
      </c>
      <c r="BH136" s="209">
        <f>(IF(BH$7="X",VLOOKUP(BH$10,'VK-Hooned-Soojus'!$C:$X,2+$C136,FALSE),0)+IF(BH$6="X",VLOOKUP(BH$10,'VK-Transport'!$C:$X,2+$B136,0))+IF(BH$8="X",VLOOKUP(BH$10,'VK-Elekter'!$C:$X,2+$D136,0))+IF(BH$9="X",VLOOKUP(BH$10,'VK-Biokütused'!$C:$U,2+$E136,0))+IF(BH$5="X",VLOOKUP(BH$10,'VK-Põlevkivi'!$C:$X,2+$G136,0))+IF(BH$4="X",VLOOKUP(BH$10,'VK-Võrgud'!$C:$X,2+$F136,0)))/20</f>
        <v>84.204999999999998</v>
      </c>
      <c r="BI136" s="209">
        <f>(IF(BI$7="X",VLOOKUP(BI$10,'VK-Hooned-Soojus'!$C:$X,2+$C136,FALSE),0)+IF(BI$6="X",VLOOKUP(BI$10,'VK-Transport'!$C:$X,2+$B136,0))+IF(BI$8="X",VLOOKUP(BI$10,'VK-Elekter'!$C:$X,2+$D136,0))+IF(BI$9="X",VLOOKUP(BI$10,'VK-Biokütused'!$C:$U,2+$E136,0))+IF(BI$5="X",VLOOKUP(BI$10,'VK-Põlevkivi'!$C:$X,2+$G136,0))+IF(BI$4="X",VLOOKUP(BI$10,'VK-Võrgud'!$C:$X,2+$F136,0)))/16</f>
        <v>8.9375</v>
      </c>
      <c r="BJ136" s="209">
        <f>(IF(BJ$7="X",VLOOKUP(BJ$10,'VK-Hooned-Soojus'!$C:$X,2+$C136,FALSE),0)+IF(BJ$6="X",VLOOKUP(BJ$10,'VK-Transport'!$C:$X,2+$B136,0))+IF(BJ$8="X",VLOOKUP(BJ$10,'VK-Elekter'!$C:$X,2+$D136,0))+IF(BJ$9="X",VLOOKUP(BJ$10,'VK-Biokütused'!$C:$U,2+$E136,0))+IF(BJ$5="X",VLOOKUP(BJ$10,'VK-Põlevkivi'!$C:$X,2+$G136,0))+IF(BJ$4="X",VLOOKUP(BJ$10,'VK-Võrgud'!$C:$X,2+$F136,0)))/20</f>
        <v>5.33</v>
      </c>
      <c r="BK136" s="209"/>
      <c r="BL136" s="209"/>
      <c r="BM136" s="209"/>
      <c r="BN136" s="209" t="e">
        <f>(IF(BN$7="X",VLOOKUP(BN$10,'VK-Hooned-Soojus'!$C:$X,2+$C136,FALSE),0)+IF(BN$6="X",VLOOKUP(BN$10,'VK-Transport'!$C:$X,2+$B136,0))+IF(BN$8="X",VLOOKUP(BN$10,'VK-Elekter'!$C:$X,2+$D136,0))+IF(BN$9="X",VLOOKUP(BN$10,'VK-Biokütused'!$C:$U,2+$E136,0))+IF(BN$5="X",VLOOKUP(BN$10,'VK-Põlevkivi'!$C:$X,2+$G136,0))+IF(BN$4="X",VLOOKUP(BN$10,'VK-Võrgud'!$C:$X,2+$F136,0)))/16</f>
        <v>#N/A</v>
      </c>
      <c r="BO136" s="209">
        <f>(IF(BO$7="X",VLOOKUP(BO$10,'VK-Hooned-Soojus'!$C:$X,2+$C136,FALSE),0)+IF(BO$6="X",VLOOKUP(BO$10,'VK-Transport'!$C:$X,2+$B136,0))+IF(BO$8="X",VLOOKUP(BO$10,'VK-Elekter'!$C:$X,2+$D136,0))+IF(BO$9="X",VLOOKUP(BO$10,'VK-Biokütused'!$C:$U,2+$E136,0))+IF(BO$5="X",VLOOKUP(BO$10,'VK-Põlevkivi'!$C:$X,2+$G136,0))+IF(BO$4="X",VLOOKUP(BO$10,'VK-Võrgud'!$C:$X,2+$F136,0)))/16</f>
        <v>322.79374999999999</v>
      </c>
      <c r="BP136" s="209"/>
      <c r="BQ136" s="209">
        <f>(IF(BQ$7="X",VLOOKUP(BQ$10,'VK-Hooned-Soojus'!$C:$X,2+$C136,FALSE),0)+IF(BQ$6="X",VLOOKUP(BQ$10,'VK-Transport'!$C:$X,2+$B136,0))+IF(BQ$8="X",VLOOKUP(BQ$10,'VK-Elekter'!$C:$X,2+$D136,0))+IF(BQ$9="X",VLOOKUP(BQ$10,'VK-Biokütused'!$C:$U,2+$E136,0))+IF(BQ$5="X",VLOOKUP(BQ$10,'VK-Põlevkivi'!$C:$X,2+$G136,0))+IF(BQ$4="X",VLOOKUP(BQ$10,'VK-Võrgud'!$C:$X,2+$F136,0)))/16</f>
        <v>233.20625000000001</v>
      </c>
      <c r="BR136" s="209">
        <f>(IF(BR$7="X",VLOOKUP(BR$10,'VK-Hooned-Soojus'!$C:$X,2+$C136,FALSE),0)+IF(BR$6="X",VLOOKUP(BR$10,'VK-Transport'!$C:$X,2+$B136,0))+IF(BR$8="X",VLOOKUP(BR$10,'VK-Elekter'!$C:$X,2+$D136,0))+IF(BR$9="X",VLOOKUP(BR$10,'VK-Biokütused'!$C:$U,2+$E136,0))+IF(BR$5="X",VLOOKUP(BR$10,'VK-Põlevkivi'!$C:$X,2+$G136,0))+IF(BR$4="X",VLOOKUP(BR$10,'VK-Võrgud'!$C:$X,2+$F136,0)))/16</f>
        <v>74.512500000000003</v>
      </c>
      <c r="BS136" s="209">
        <f>(IF(BS$7="X",VLOOKUP(BS$10,'VK-Hooned-Soojus'!$C:$X,2+$C136,FALSE),0)+IF(BS$6="X",VLOOKUP(BS$10,'VK-Transport'!$C:$X,2+$B136,0))+IF(BS$8="X",VLOOKUP(BS$10,'VK-Elekter'!$C:$X,2+$D136,0))+IF(BS$9="X",VLOOKUP(BS$10,'VK-Biokütused'!$C:$U,2+$E136,0))+IF(BS$5="X",VLOOKUP(BS$10,'VK-Põlevkivi'!$C:$X,2+$G136,0))+IF(BS$4="X",VLOOKUP(BS$10,'VK-Võrgud'!$C:$X,2+$F136,0)))/16</f>
        <v>-21.475000000000001</v>
      </c>
      <c r="BT136" s="209"/>
      <c r="BU136" s="209"/>
      <c r="BV136" s="209">
        <f>(IF(BV$7="X",VLOOKUP(BV$10,'VK-Hooned-Soojus'!$C:$X,2+$C136,FALSE),0)+IF(BV$6="X",VLOOKUP(BV$10,'VK-Transport'!$C:$X,2+$B136,0))+IF(BV$8="X",VLOOKUP(BV$10,'VK-Elekter'!$C:$X,2+$D136,0))+IF(BV$9="X",VLOOKUP(BV$10,'VK-Biokütused'!$C:$U,2+$E136,0))+IF(BV$5="X",VLOOKUP(BV$10,'VK-Põlevkivi'!$C:$X,2+$G136,0))+IF(BV$4="X",VLOOKUP(BV$10,'VK-Võrgud'!$C:$X,2+$F136,0)))/16</f>
        <v>0</v>
      </c>
      <c r="BW136" s="209"/>
      <c r="BX136" s="209">
        <f>(IF(BX$7="X",VLOOKUP(BX$10,'VK-Hooned-Soojus'!$C:$X,2+$C136,FALSE),0)+IF(BX$6="X",VLOOKUP(BX$10,'VK-Transport'!$C:$X,2+$B136,0))+IF(BX$8="X",VLOOKUP(BX$10,'VK-Elekter'!$C:$X,2+$D136,0))+IF(BX$9="X",VLOOKUP(BX$10,'VK-Biokütused'!$C:$U,2+$E136,0))+IF(BX$5="X",VLOOKUP(BX$10,'VK-Põlevkivi'!$C:$X,2+$G136,0))+IF(BX$4="X",VLOOKUP(BX$10,'VK-Võrgud'!$C:$X,2+$F136,0)))/16</f>
        <v>-99.75</v>
      </c>
      <c r="BY136" s="209"/>
      <c r="BZ136" s="209"/>
      <c r="CA136" s="209" t="e">
        <f>(IF(CA$7="X",VLOOKUP(CA$10,'VK-Hooned-Soojus'!$C:$X,2+$C136,FALSE),0)+IF(CA$6="X",VLOOKUP(CA$10,'VK-Transport'!$C:$X,2+$B136,0))+IF(CA$8="X",VLOOKUP(CA$10,'VK-Elekter'!$C:$X,2+$D136,0))+IF(CA$9="X",VLOOKUP(CA$10,'VK-Biokütused'!$C:$U,2+$E136,0))+IF(CA$5="X",VLOOKUP(CA$10,'VK-Põlevkivi'!$C:$X,2+$G136,0))+IF(CA$4="X",VLOOKUP(CA$10,'VK-Võrgud'!$C:$X,2+$F136,0)))/16</f>
        <v>#N/A</v>
      </c>
      <c r="CB136" s="209">
        <f>(IF(CB$7="X",VLOOKUP(CB$10,'VK-Hooned-Soojus'!$C:$X,2+$C136,FALSE),0)+IF(CB$6="X",VLOOKUP(CB$10,'VK-Transport'!$C:$X,2+$B136,0))+IF(CB$8="X",VLOOKUP(CB$10,'VK-Elekter'!$C:$X,2+$D136,0))+IF(CB$9="X",VLOOKUP(CB$10,'VK-Biokütused'!$C:$U,2+$E136,0))+IF(CB$5="X",VLOOKUP(CB$10,'VK-Põlevkivi'!$C:$X,2+$G136,0))+IF(CB$4="X",VLOOKUP(CB$10,'VK-Võrgud'!$C:$X,2+$F136,0)))/16</f>
        <v>0</v>
      </c>
      <c r="CC136" s="209">
        <f>(IF(CC$7="X",VLOOKUP(CC$10,'VK-Hooned-Soojus'!$C:$X,2+$C136,FALSE),0)+IF(CC$6="X",VLOOKUP(CC$10,'VK-Transport'!$C:$X,2+$B136,0))+IF(CC$8="X",VLOOKUP(CC$10,'VK-Elekter'!$C:$X,2+$D136,0))+IF(CC$9="X",VLOOKUP(CC$10,'VK-Biokütused'!$C:$U,2+$E136,0))+IF(CC$5="X",VLOOKUP(CC$10,'VK-Põlevkivi'!$C:$X,2+$G136,0))+IF(CC$4="X",VLOOKUP(CC$10,'VK-Võrgud'!$C:$X,2+$F136,0)))/16</f>
        <v>0</v>
      </c>
      <c r="CD136" s="209"/>
      <c r="CE136" s="209">
        <f>(IF(CE$7="X",VLOOKUP(CE$10,'VK-Hooned-Soojus'!$C:$X,2+$C136,FALSE),0)+IF(CE$6="X",VLOOKUP(CE$10,'VK-Transport'!$C:$X,2+$B136,0))+IF(CE$8="X",VLOOKUP(CE$10,'VK-Elekter'!$C:$X,2+$D136,0))+IF(CE$9="X",VLOOKUP(CE$10,'VK-Biokütused'!$C:$U,2+$E136,0))+IF(CE$5="X",VLOOKUP(CE$10,'VK-Põlevkivi'!$C:$X,2+$G136,0))+IF(CE$4="X",VLOOKUP(CE$10,'VK-Võrgud'!$C:$X,2+$F136,0)))/16</f>
        <v>24.15625</v>
      </c>
      <c r="CF136" s="209"/>
      <c r="CG136" s="209">
        <f>(IF(CG$7="X",VLOOKUP(CG$10,'VK-Hooned-Soojus'!$C:$X,2+$C136,FALSE),0)+IF(CG$6="X",VLOOKUP(CG$10,'VK-Transport'!$C:$X,2+$B136,0))+IF(CG$8="X",VLOOKUP(CG$10,'VK-Elekter'!$C:$X,2+$D136,0))+IF(CG$9="X",VLOOKUP(CG$10,'VK-Biokütused'!$C:$U,2+$E136,0))+IF(CG$5="X",VLOOKUP(CG$10,'VK-Põlevkivi'!$C:$X,2+$G136,0))+IF(CG$4="X",VLOOKUP(CG$10,'VK-Võrgud'!$C:$X,2+$F136,0)))/16</f>
        <v>0</v>
      </c>
      <c r="CH136" s="209">
        <f>(IF(CH$7="X",VLOOKUP(CH$10,'VK-Hooned-Soojus'!$C:$X,2+$C136,FALSE),0)+IF(CH$6="X",VLOOKUP(CH$10,'VK-Transport'!$C:$X,2+$B136,0))+IF(CH$8="X",VLOOKUP(CH$10,'VK-Elekter'!$C:$X,2+$D136,0))+IF(CH$9="X",VLOOKUP(CH$10,'VK-Biokütused'!$C:$U,2+$E136,0))+IF(CH$5="X",VLOOKUP(CH$10,'VK-Põlevkivi'!$C:$X,2+$G136,0))+IF(CH$4="X",VLOOKUP(CH$10,'VK-Võrgud'!$C:$X,2+$F136,0)))/20*0.21</f>
        <v>26.9178</v>
      </c>
      <c r="CI136" s="209"/>
      <c r="CJ136" s="209">
        <f>(IF(CJ$7="X",VLOOKUP(CJ$10,'VK-Hooned-Soojus'!$C:$X,2+$C136,FALSE),0)+IF(CJ$6="X",VLOOKUP(CJ$10,'VK-Transport'!$C:$X,2+$B136,0))+IF(CJ$8="X",VLOOKUP(CJ$10,'VK-Elekter'!$C:$X,2+$D136,0))+IF(CJ$9="X",VLOOKUP(CJ$10,'VK-Biokütused'!$C:$U,2+$E136,0))+IF(CJ$5="X",VLOOKUP(CJ$10,'VK-Põlevkivi'!$C:$X,2+$G136,0))+IF(CJ$4="X",VLOOKUP(CJ$10,'VK-Võrgud'!$C:$X,2+$F136,0)))/1000</f>
        <v>16.462578011574536</v>
      </c>
      <c r="CK136" s="209">
        <f>(IF(CK$7="X",VLOOKUP(CK$10,'VK-Hooned-Soojus'!$C:$X,2+$C136,FALSE),0)+IF(CK$6="X",VLOOKUP(CK$10,'VK-Transport'!$C:$X,2+$B136,0))+IF(CK$8="X",VLOOKUP(CK$10,'VK-Elekter'!$C:$X,2+$D136,0))+IF(CK$9="X",VLOOKUP(CK$10,'VK-Biokütused'!$C:$U,2+$E136,0))+IF(CK$5="X",VLOOKUP(CK$10,'VK-Põlevkivi'!$C:$X,2+$G136,0))+IF(CK$4="X",VLOOKUP(CK$10,'VK-Võrgud'!$C:$X,2+$F136,0)))/1000</f>
        <v>11.219077976340797</v>
      </c>
      <c r="CL136" s="235">
        <f>(IF(CL$7="X",VLOOKUP(CL$10,'VK-Hooned-Soojus'!$C:$X,2+$C136,FALSE),0)+IF(CL$6="X",VLOOKUP(CL$10,'VK-Transport'!$C:$X,2+$B136,0))+IF(CL$8="X",VLOOKUP(CL$10,'VK-Elekter'!$C:$X,2+$D136,0))+IF(CL$9="X",VLOOKUP(CL$10,'VK-Biokütused'!$C:$U,2+$E136,0)))/1000</f>
        <v>7.1831111109201009</v>
      </c>
      <c r="CM136" s="209">
        <f>(IF(CM$7="X",VLOOKUP(CM$10,'VK-Hooned-Soojus'!$C:$X,2+$C136,FALSE),0)+IF(CM$6="X",VLOOKUP(CM$10,'VK-Transport'!$C:$X,2+$B136,0))+IF(CM$8="X",VLOOKUP(CM$10,'VK-Elekter'!$C:$X,2+$D136,0))+IF(CM$9="X",VLOOKUP(CM$10,'VK-Biokütused'!$C:$U,2+$E136,0))+IF(CM$5="X",VLOOKUP(CM$10,'VK-Põlevkivi'!$C:$X,2+$G136,0))+IF(CM$4="X",VLOOKUP(CM$10,'VK-Võrgud'!$C:$X,2+$F136,0)))/1000</f>
        <v>7.5717605777489068</v>
      </c>
      <c r="CN136" s="209">
        <f>(IF(CN$7="X",VLOOKUP(CN$10,'VK-Hooned-Soojus'!$C:$X,2+$C136,FALSE),0)+IF(CN$6="X",VLOOKUP(CN$10,'VK-Transport'!$C:$X,2+$B136,0))+IF(CN$8="X",VLOOKUP(CN$10,'VK-Elekter'!$C:$X,2+$D136,0))+IF(CN$9="X",VLOOKUP(CN$10,'VK-Biokütused'!$C:$U,2+$E136,0))+IF(CN$5="X",VLOOKUP(CN$10,'VK-Põlevkivi'!$C:$X,2+$G136,0))+IF(CN$4="X",VLOOKUP(CN$10,'VK-Võrgud'!$C:$X,2+$F136,0)))/1000</f>
        <v>2.7810000000000001</v>
      </c>
      <c r="CO136" s="209">
        <f>(IF(CO$7="X",VLOOKUP(CO$10,'VK-Hooned-Soojus'!$C:$X,2+$C136,FALSE),0)+IF(CO$6="X",VLOOKUP(CO$10,'VK-Transport'!$C:$X,2+$B136,0))+IF(CO$8="X",VLOOKUP(CO$10,'VK-Elekter'!$C:$X,2+$D136,0))+IF(CO$9="X",VLOOKUP(CO$10,'VK-Biokütused'!$C:$U,2+$E136,0))+IF(CO$5="X",VLOOKUP(CO$10,'VK-Põlevkivi'!$C:$X,2+$G136,0))+IF(CO$4="X",VLOOKUP(CO$10,'VK-Võrgud'!$C:$X,2+$F136,0)))/1000</f>
        <v>23.561362337356993</v>
      </c>
      <c r="CP136" s="209">
        <f>(IF(CP$7="X",VLOOKUP(CP$10,'VK-Hooned-Soojus'!$C:$X,2+$C136,FALSE),0)+IF(CP$6="X",VLOOKUP(CP$10,'VK-Transport'!$C:$X,2+$B136,0))+IF(CP$8="X",VLOOKUP(CP$10,'VK-Elekter'!$C:$X,2+$D136,0))+IF(CP$9="X",VLOOKUP(CP$10,'VK-Biokütused'!$C:$U,2+$E136,0))+IF(CP$5="X",VLOOKUP(CP$10,'VK-Põlevkivi'!$C:$X,2+$G136,0))+IF(CP$4="X",VLOOKUP(CP$10,'VK-Võrgud'!$C:$X,2+$F136,0)))/1000</f>
        <v>13.40539212069366</v>
      </c>
      <c r="CQ136" s="235">
        <f>(IF(CQ$7="X",VLOOKUP(CQ$10,'VK-Hooned-Soojus'!$C:$X,2+$C136,FALSE),0)+IF(CQ$6="X",VLOOKUP(CQ$10,'VK-Transport'!$C:$X,2+$B136,0))+IF(CQ$8="X",VLOOKUP(CQ$10,'VK-Elekter'!$C:$X,2+$D136,0))+IF(CQ$9="X",VLOOKUP(CQ$10,'VK-Biokütused'!$C:$U,2+$E136,0)))/1000</f>
        <v>10.248918999999999</v>
      </c>
      <c r="CR136" s="209">
        <f>(IF(CR$7="X",VLOOKUP(CR$10,'VK-Hooned-Soojus'!$C:$X,2+$C136,FALSE),0)+IF(CR$6="X",VLOOKUP(CR$10,'VK-Transport'!$C:$X,2+$B136,0))+IF(CR$8="X",VLOOKUP(CR$10,'VK-Elekter'!$C:$X,2+$D136,0))+IF(CR$9="X",VLOOKUP(CR$10,'VK-Biokütused'!$C:$U,2+$E136,0))+IF(CR$5="X",VLOOKUP(CR$10,'VK-Põlevkivi'!$C:$X,2+$G136,0))+IF(CR$4="X",VLOOKUP(CR$10,'VK-Võrgud'!$C:$X,2+$F136,0)))/1000</f>
        <v>7.6927518373996895</v>
      </c>
      <c r="CS136" s="209">
        <f>(IF(CS$7="X",VLOOKUP(CS$10,'VK-Hooned-Soojus'!$C:$X,2+$C136,FALSE),0)+IF(CS$6="X",VLOOKUP(CS$10,'VK-Transport'!$C:$X,2+$B136,0))+IF(CS$8="X",VLOOKUP(CS$10,'VK-Elekter'!$C:$X,2+$D136,0))+IF(CS$9="X",VLOOKUP(CS$10,'VK-Biokütused'!$C:$U,2+$E136,0))+IF(CS$5="X",VLOOKUP(CS$10,'VK-Põlevkivi'!$C:$X,2+$G136,0))+IF(CS$4="X",VLOOKUP(CS$10,'VK-Võrgud'!$C:$X,2+$F136,0)))/1000</f>
        <v>3.7686495098622381</v>
      </c>
      <c r="CT136" s="209">
        <f>IF(CT$7="X",VLOOKUP(CT$10,'VK-Hooned-Soojus'!$C:$X,2+$C136,FALSE),0)+IF(CT$6="X",VLOOKUP(CT$10,'VK-Transport'!$C:$X,2+$B136,0))+IF(CT$8="X",VLOOKUP(CT$10,'VK-Elekter'!$C:$X,2+$D136,0))+IF(CT$9="X",VLOOKUP(CT$10,'VK-Biokütused'!$C:$U,2+$E136,0))+IF(CT$5="X",VLOOKUP(CT$10,'VK-Põlevkivi'!$C:$X,2+$G136,0))+IF(CT$4="X",VLOOKUP(CT$10,'VK-Võrgud'!$C:$X,2+$F136,0))</f>
        <v>90</v>
      </c>
      <c r="CU136" s="209">
        <f>IF(CU$7="X",VLOOKUP(CU$10,'VK-Hooned-Soojus'!$C:$X,2+$C136,FALSE),0)+IF(CU$6="X",VLOOKUP(CU$10,'VK-Transport'!$C:$X,2+$B136,0))+IF(CU$8="X",VLOOKUP(CU$10,'VK-Elekter'!$C:$X,2+$D136,0))+IF(CU$9="X",VLOOKUP(CU$10,'VK-Biokütused'!$C:$U,2+$E136,0))+IF(CU$5="X",VLOOKUP(CU$10,'VK-Põlevkivi'!$C:$X,2+$G136,0))+IF(CU$4="X",VLOOKUP(CU$10,'VK-Võrgud'!$C:$X,2+$F136,0))</f>
        <v>0.72088353413654627</v>
      </c>
      <c r="CV136" s="209">
        <f t="shared" si="84"/>
        <v>0.72887234460741646</v>
      </c>
      <c r="CW136" s="209">
        <f>(IF(CW$7="X",VLOOKUP(CW$10,'VK-Hooned-Soojus'!$C:$X,2+$C136,FALSE),0)+IF(CW$6="X",VLOOKUP(CW$10,'VK-Transport'!$C:$X,2+$B136,0))+IF(CW$8="X",VLOOKUP(CW$10,'VK-Elekter'!$C:$X,2+$D136,0))+IF(CW$9="X",VLOOKUP(CW$10,'VK-Biokütused'!$C:$U,2+$E136,0))+IF(CW$5="X",VLOOKUP(CW$10,'VK-Põlevkivi'!$C:$X,2+$G136,0))+IF(CW$4="X",VLOOKUP(CW$10,'VK-Võrgud'!$C:$X,2+$F136,0)))/16</f>
        <v>126.01875</v>
      </c>
      <c r="CY136" s="209">
        <f>(IF(CY$7="X",VLOOKUP(CY$10,'VK-Hooned-Soojus'!$C:$X,2+$C136,FALSE),0)+IF(CY$6="X",VLOOKUP(CY$10,'VK-Transport'!$C:$X,2+$B136,0))+IF(CY$8="X",VLOOKUP(CY$10,'VK-Elekter'!$C:$X,2+$D136,0))+IF(CY$9="X",VLOOKUP(CY$10,'VK-Biokütused'!$C:$U,2+$E136,0))+IF(CY$5="X",VLOOKUP(CY$10,'VK-Põlevkivi'!$C:$X,2+$G136,0))+IF(CY$4="X",VLOOKUP(CY$10,'VK-Võrgud'!$C:$X,2+$F136,0)))/1000</f>
        <v>9.9949999999999992</v>
      </c>
      <c r="CZ136" s="209">
        <f>(IF(CZ$7="X",VLOOKUP(CZ$10,'VK-Hooned-Soojus'!$C:$X,2+$C136,FALSE),0)+IF(CZ$6="X",VLOOKUP(CZ$10,'VK-Transport'!$C:$X,2+$B136,0))+IF(CZ$8="X",VLOOKUP(CZ$10,'VK-Elekter'!$C:$X,2+$D136,0))+IF(CZ$9="X",VLOOKUP(CZ$10,'VK-Biokütused'!$C:$U,2+$E136,0))+IF(CZ$5="X",VLOOKUP(CZ$10,'VK-Põlevkivi'!$C:$X,2+$G136,0))+IF(CZ$4="X",VLOOKUP(CZ$10,'VK-Võrgud'!$C:$X,2+$F136,0)))</f>
        <v>69</v>
      </c>
      <c r="DA136" s="209">
        <f>(IF(DA$7="X",VLOOKUP(DA$10,'VK-Hooned-Soojus'!$C:$X,2+$C136,FALSE),0)+IF(DA$6="X",VLOOKUP(DA$10,'VK-Transport'!$C:$X,2+$B136,0))+IF(DA$8="X",VLOOKUP(DA$10,'VK-Elekter'!$C:$X,2+$D136,0))+IF(DA$9="X",VLOOKUP(DA$10,'VK-Biokütused'!$C:$U,2+$E136,0))+IF(DA$5="X",VLOOKUP(DA$10,'VK-Põlevkivi'!$C:$X,2+$G136,0))+IF(DA$4="X",VLOOKUP(DA$10,'VK-Võrgud'!$C:$X,2+$F136,0)))/1000</f>
        <v>12.976000000000001</v>
      </c>
      <c r="DB136" s="209">
        <f>(IF(DB$7="X",VLOOKUP(DB$10,'VK-Hooned-Soojus'!$C:$X,2+$C136,FALSE),0)+IF(DB$6="X",VLOOKUP(DB$10,'VK-Transport'!$C:$X,2+$B136,0))+IF(DB$8="X",VLOOKUP(DB$10,'VK-Elekter'!$C:$X,2+$D136,0))+IF(DB$9="X",VLOOKUP(DB$10,'VK-Biokütused'!$C:$U,2+$E136,0))+IF(DB$5="X",VLOOKUP(DB$10,'VK-Põlevkivi'!$C:$X,2+$G136,0))+IF(DB$4="X",VLOOKUP(DB$10,'VK-Võrgud'!$C:$X,2+$F136,0)))/1000/3.6</f>
        <v>58.254999999999995</v>
      </c>
      <c r="DC136" s="209">
        <f>(IF(DC$7="X",VLOOKUP(DC$10,'VK-Hooned-Soojus'!$C:$X,2+$C136,FALSE),0)+IF(DC$6="X",VLOOKUP(DC$10,'VK-Transport'!$C:$X,2+$B136,0))+IF(DC$8="X",VLOOKUP(DC$10,'VK-Elekter'!$C:$X,2+$D136,0))+IF(DC$9="X",VLOOKUP(DC$10,'VK-Biokütused'!$C:$U,2+$E136,0))+IF(DC$5="X",VLOOKUP(DC$10,'VK-Põlevkivi'!$C:$X,2+$G136,0))+IF(DC$4="X",VLOOKUP(DC$10,'VK-Võrgud'!$C:$X,2+$F136,0)))/1000000</f>
        <v>4.7192499999999997</v>
      </c>
      <c r="DD136" s="209"/>
      <c r="DE136" s="88">
        <f>VLOOKUP(Tulemused!$BN$12,data!M$7:N$12,2,FALSE)-SUM(L136,M136)</f>
        <v>0.39749062697563176</v>
      </c>
      <c r="DF136" s="209" t="str">
        <f>IF(AZ136&lt;=VLOOKUP(Tulemused!$BN$15,data!$E$36:$F$39,2,FALSE),"JAH","EI")</f>
        <v>JAH</v>
      </c>
      <c r="DG136" s="209"/>
      <c r="DH136" s="209">
        <f t="shared" si="85"/>
        <v>6.08</v>
      </c>
      <c r="DI136" s="231" t="str">
        <f t="shared" si="65"/>
        <v>JAH</v>
      </c>
      <c r="DK136" s="232">
        <f t="shared" si="86"/>
        <v>7.4673992044735735</v>
      </c>
      <c r="DM136" s="233">
        <f t="shared" si="87"/>
        <v>-998.35927263249994</v>
      </c>
      <c r="DN136" s="87">
        <f t="array" ref="DN136">INDEX($A$11:$A$145, SMALL(IF(DM136=$DK$11:$DK$145, MATCH(ROW($DK$11:$DK$145), ROW($DK$11:$DK$145))), SUM(--(DM136=$DM$11:DM136))))</f>
        <v>13</v>
      </c>
      <c r="DP136" s="87" t="e">
        <f t="shared" ca="1" si="66"/>
        <v>#N/A</v>
      </c>
      <c r="DQ136" s="87" t="e">
        <f t="shared" ca="1" si="67"/>
        <v>#N/A</v>
      </c>
      <c r="DR136" s="87">
        <f t="shared" ca="1" si="68"/>
        <v>0</v>
      </c>
      <c r="DS136" s="87" t="e">
        <f t="shared" ca="1" si="69"/>
        <v>#N/A</v>
      </c>
      <c r="DT136" s="87">
        <f t="shared" ca="1" si="70"/>
        <v>0</v>
      </c>
      <c r="DU136" s="87" t="e">
        <f t="shared" ca="1" si="71"/>
        <v>#N/A</v>
      </c>
      <c r="DV136" s="87" t="e">
        <f t="shared" ca="1" si="72"/>
        <v>#N/A</v>
      </c>
      <c r="DW136" s="87">
        <f t="shared" ca="1" si="73"/>
        <v>0</v>
      </c>
      <c r="DX136" s="87">
        <f t="shared" ca="1" si="74"/>
        <v>0</v>
      </c>
      <c r="DZ136" s="87">
        <f t="shared" ca="1" si="82"/>
        <v>0</v>
      </c>
      <c r="EB136" s="87">
        <f t="shared" ca="1" si="75"/>
        <v>0</v>
      </c>
      <c r="EC136" s="87" t="e">
        <f t="shared" ca="1" si="76"/>
        <v>#N/A</v>
      </c>
      <c r="EE136" s="228">
        <f>(IF(EE$7="X",VLOOKUP(EE$10,'VK-Hooned-Soojus'!$C:$X,2+$C136,FALSE),0)+IF(EE$6="X",VLOOKUP(EE$10,'VK-Transport'!$C:$X,2+$B136,0))+IF(EE$8="X",VLOOKUP(EE$10,'VK-Elekter'!$C:$X,2+$D136,0))+IF(EE$9="X",VLOOKUP(EE$10,'VK-Biokütused'!$C:$U,2+$E136,0))+IF(EE$5="X",VLOOKUP(EE$10,'VK-Põlevkivi'!$C:$X,2+$G136,0))+IF(EE$4="X",VLOOKUP(EE$10,'VK-Võrgud'!$C:$X,2+$F136,0)))</f>
        <v>12189.313767545531</v>
      </c>
      <c r="EF136" s="235">
        <f>(IF(EF$7="X",VLOOKUP(EF$10,'VK-Hooned-Soojus'!$C:$X,2+$C136,FALSE),0)+IF(EF$6="X",VLOOKUP(EF$10,'VK-Transport'!$C:$X,2+$B136,0))+IF(EF$8="X",VLOOKUP(EF$10,'VK-Elekter'!$C:$X,2+$D136,0))+IF(EF$9="X",VLOOKUP(EF$10,'VK-Biokütused'!$C:$U,2+$E136,0)))/1000</f>
        <v>3.4398849906373199</v>
      </c>
      <c r="EG136" s="209">
        <f>(IF(EG$7="X",VLOOKUP(EG$10,'VK-Hooned-Soojus'!$C:$X,2+$C136,FALSE),0)+IF(EG$6="X",VLOOKUP(EG$10,'VK-Transport'!$C:$X,2+$B136,0))+IF(EG$8="X",VLOOKUP(EG$10,'VK-Elekter'!$C:$X,2+$D136,0))+IF(EG$9="X",VLOOKUP(EG$10,'VK-Biokütused'!$C:$U,2+$E136,0))+IF(EG$5="X",VLOOKUP(EG$10,'VK-Põlevkivi'!$C:$X,2+$G136,0))+IF(EG$4="X",VLOOKUP(EG$10,'VK-Võrgud'!$C:$X,2+$F136,0)))</f>
        <v>0.81</v>
      </c>
      <c r="EH136" s="209">
        <f>(IF(EH$7="X",VLOOKUP(EH$10,'VK-Hooned-Soojus'!$C:$X,2+$C136,FALSE),0)+IF(EH$6="X",VLOOKUP(EH$10,'VK-Transport'!$C:$X,2+$B136,0))+IF(EH$8="X",VLOOKUP(EH$10,'VK-Elekter'!$C:$X,2+$D136,0))+IF(EH$9="X",VLOOKUP(EH$10,'VK-Biokütused'!$C:$U,2+$E136,0)))+AR136+AS136+AU136+AX136</f>
        <v>51.154637038771789</v>
      </c>
      <c r="EI136" s="320">
        <f t="shared" si="88"/>
        <v>43.312900516795864</v>
      </c>
      <c r="EJ136" s="322">
        <f t="shared" si="89"/>
        <v>2.5620074329845279E-2</v>
      </c>
      <c r="EK136" s="323">
        <f t="shared" si="77"/>
        <v>0.447957193299102</v>
      </c>
      <c r="EM136" s="209"/>
      <c r="EN136" s="209">
        <f t="shared" ca="1" si="90"/>
        <v>0</v>
      </c>
      <c r="EO136" s="209"/>
      <c r="EP136" s="234"/>
      <c r="EQ136" s="209">
        <f>(IF(EQ$7="X",VLOOKUP(EQ$10,'VK-Hooned-Soojus'!$C:$X,2+$C136,FALSE),0)+IF(EQ$6="X",VLOOKUP(EQ$10,'VK-Transport'!$C:$X,2+$B136,0))+IF(EQ$8="X",VLOOKUP(EQ$10,'VK-Elekter'!$C:$X,2+$D136,0))+IF(EQ$9="X",VLOOKUP(EQ$10,'VK-Biokütused'!$C:$U,2+$E136,0))+IF(EQ$5="X",VLOOKUP(EQ$10,'VK-Põlevkivi'!$C:$X,2+$G136,0))+IF(EQ$4="X",VLOOKUP(EQ$10,'VK-Võrgud'!$C:$X,2+$F136,0)))/1000</f>
        <v>0.19900000000000001</v>
      </c>
      <c r="ER136" s="209">
        <f>(IF(ER$7="X",VLOOKUP(ER$10,'VK-Hooned-Soojus'!$C:$X,2+$C136,FALSE),0)+IF(ER$6="X",VLOOKUP(ER$10,'VK-Transport'!$C:$X,2+$B136,0))+IF(ER$8="X",VLOOKUP(ER$10,'VK-Elekter'!$C:$X,2+$D136,0))+IF(ER$9="X",VLOOKUP(ER$10,'VK-Biokütused'!$C:$U,2+$E136,0))+IF(ER$5="X",VLOOKUP(ER$10,'VK-Põlevkivi'!$C:$X,2+$G136,0))+IF(ER$4="X",VLOOKUP(ER$10,'VK-Võrgud'!$C:$X,2+$F136,0)))</f>
        <v>0.72299999999999998</v>
      </c>
      <c r="ES136" s="209">
        <f>(IF(ES$7="X",VLOOKUP(ES$10,'VK-Hooned-Soojus'!$C:$X,2+$C136,FALSE),0)+IF(ES$6="X",VLOOKUP(ES$10,'VK-Transport'!$C:$X,2+$B136,0))+IF(ES$8="X",VLOOKUP(ES$10,'VK-Elekter'!$C:$X,2+$D136,0))+IF(ES$9="X",VLOOKUP(ES$10,'VK-Biokütused'!$C:$U,2+$E136,0))+IF(ES$5="X",VLOOKUP(ES$10,'VK-Põlevkivi'!$C:$X,2+$G136,0))+IF(ES$4="X",VLOOKUP(ES$10,'VK-Võrgud'!$C:$X,2+$F136,0)))</f>
        <v>6.08</v>
      </c>
      <c r="ET136" s="209"/>
      <c r="EU136" s="209"/>
      <c r="EV136" s="87">
        <f>'KSH järjestus'!AS129</f>
        <v>603</v>
      </c>
      <c r="EZ136" s="237">
        <f t="shared" si="91"/>
        <v>0.27911646586345373</v>
      </c>
      <c r="FA136" s="209">
        <f>IF(FA$7="X",VLOOKUP(FA$10,'VK-Hooned-Soojus'!$C:$X,2+$C136,FALSE),0)+IF(FA$6="X",VLOOKUP(FA$10,'VK-Transport'!$C:$X,2+$B136,0))+IF(FA$8="X",VLOOKUP(FA$10,'VK-Elekter'!$C:$X,2+$D136,0))+IF(FA$9="X",VLOOKUP(FA$10,'VK-Biokütused'!$C:$U,2+$E136,0))+IF(FA$5="X",VLOOKUP(FA$10,'VK-Põlevkivi'!$C:$X,2+$G136,0))+IF(FA$4="X",VLOOKUP(FA$10,'VK-Võrgud'!$C:$X,2+$F136,0))</f>
        <v>2989.9189999999999</v>
      </c>
      <c r="FB136" s="279">
        <f>(IF(FB$7="X",VLOOKUP(FB$10,'VK-Hooned-Soojus'!$C:$X,2+$C136,FALSE),0)+IF(FB$6="X",VLOOKUP(FB$10,'VK-Transport'!$C:$X,2+$B136,0))+IF(FB$8="X",VLOOKUP(FB$10,'VK-Elekter'!$C:$X,2+$D136,0))+IF(FB$9="X",VLOOKUP(FB$10,'VK-Biokütused'!$C:$U,2+$E136,0))+IF(FB$5="X",VLOOKUP(FB$10,'VK-Põlevkivi'!$C:$X,2+$G136,0))+IF(FB$4="X",VLOOKUP(FB$10,'VK-Võrgud'!$C:$X,2+$F136,0)))/16</f>
        <v>592.64071053277144</v>
      </c>
      <c r="FC136" s="209">
        <f>IF(FC$7="X",VLOOKUP(FC$10,'VK-Hooned-Soojus'!$C:$X,2+$C136,FALSE),0)+IF(FC$6="X",VLOOKUP(FC$10,'VK-Transport'!$C:$X,2+$B136,0))+IF(FC$8="X",VLOOKUP(FC$10,'VK-Elekter'!$C:$X,2+$D136,0))+IF(FC$9="X",VLOOKUP(FC$10,'VK-Biokütused'!$C:$U,2+$E136,0))+IF(FC$5="X",VLOOKUP(FC$10,'VK-Põlevkivi'!$C:$X,2+$G136,0))+IF(FC$4="X",VLOOKUP(FC$10,'VK-Võrgud'!$C:$X,2+$F136,0))</f>
        <v>285</v>
      </c>
      <c r="FD136" s="209">
        <f>(IF(FD$7="X",VLOOKUP(FD$10,'VK-Hooned-Soojus'!$C:$X,2+$C136,FALSE),0)+IF(FD$6="X",VLOOKUP(FD$10,'VK-Transport'!$C:$X,2+$B136,0))+IF(FD$8="X",VLOOKUP(FD$10,'VK-Elekter'!$C:$X,2+$D136,0))+IF(FD$9="X",VLOOKUP(FD$10,'VK-Biokütused'!$C:$U,2+$E136,0))+IF(FD$5="X",VLOOKUP(FD$10,'VK-Põlevkivi'!$C:$X,2+$G136,0))+IF(FD$4="X",VLOOKUP(FD$10,'VK-Võrgud'!$C:$X,2+$F136,0)))/16</f>
        <v>592.64071053277144</v>
      </c>
      <c r="FE136" s="209">
        <f>(IF(FE$7="X",VLOOKUP(FE$10,'VK-Hooned-Soojus'!$C:$X,2+$C136,FALSE),0)+IF(FE$6="X",VLOOKUP(FE$10,'VK-Transport'!$C:$X,2+$B136,0))+IF(FE$8="X",VLOOKUP(FE$10,'VK-Elekter'!$C:$X,2+$D136,0))+IF(FE$9="X",VLOOKUP(FE$10,'VK-Biokütused'!$C:$U,2+$E136,0))+IF(FE$5="X",VLOOKUP(FE$10,'VK-Põlevkivi'!$C:$X,2+$G136,0))+IF(FE$4="X",VLOOKUP(FE$10,'VK-Võrgud'!$C:$X,2+$F136,0)))/16</f>
        <v>-197.29831369909104</v>
      </c>
      <c r="FF136" s="209">
        <f>(IF(FF$7="X",VLOOKUP(FF$10,'VK-Hooned-Soojus'!$C:$X,2+$C136,FALSE),0)+IF(FF$6="X",VLOOKUP(FF$10,'VK-Transport'!$C:$X,2+$B136,0))+IF(FF$8="X",VLOOKUP(FF$10,'VK-Elekter'!$C:$X,2+$D136,0))+IF(FF$9="X",VLOOKUP(FF$10,'VK-Biokütused'!$C:$U,2+$E136,0))+IF(FF$5="X",VLOOKUP(FF$10,'VK-Põlevkivi'!$C:$X,2+$G136,0))+IF(FF$4="X",VLOOKUP(FF$10,'VK-Võrgud'!$C:$X,2+$F136,0)))/16</f>
        <v>254.92898730720506</v>
      </c>
      <c r="FG136" s="88">
        <f t="shared" ca="1" si="78"/>
        <v>57.630673608114023</v>
      </c>
      <c r="FH136" s="88"/>
      <c r="FI136" s="88"/>
      <c r="FJ136" s="88">
        <f>VLOOKUP(Tulemused!$BN$12,data!M$7:N$12,2,FALSE)-SUM(L136,M136)</f>
        <v>0.39749062697563176</v>
      </c>
      <c r="FK136" s="209" t="str">
        <f>IF(AZ136&lt;=VLOOKUP(Tulemused!$BN$15,data!$E$36:$F$39,2,FALSE),"JAH","EI")</f>
        <v>JAH</v>
      </c>
      <c r="FL136" s="235">
        <f ca="1">IF(ISNA(MATCH($A136,INDIRECT(VLOOKUP(Tulemused!$BF$11,data!$J$57:$M$71,4,FALSE)))),0,MATCH($A136,INDIRECT(VLOOKUP(Tulemused!$BF$11,data!$J$57:$M$71,4,FALSE))))</f>
        <v>0</v>
      </c>
      <c r="FM136" s="235" t="str">
        <f t="shared" ca="1" si="92"/>
        <v>JAH</v>
      </c>
      <c r="FN136" s="209">
        <f>VLOOKUP(Tulemused!$BN$13,data!$C$132:$D$137,2,FALSE)-KOMBI!R136</f>
        <v>4.6218850093626802</v>
      </c>
      <c r="FO136" s="209"/>
      <c r="FP136" s="209">
        <f>VLOOKUP(Tulemused!$BN$17,NO_x,2,FALSE)-CJ136</f>
        <v>12.975421988425463</v>
      </c>
      <c r="FQ136" s="209">
        <f>VLOOKUP(Tulemused!$BN$18,SO_2,2,FALSE)-CK136</f>
        <v>40.664922023659201</v>
      </c>
      <c r="FR136" s="209">
        <f>VLOOKUP(Tulemused!$BN$19,LOU,2,FALSE)-CN136</f>
        <v>34.299000000000007</v>
      </c>
      <c r="FS136" s="209">
        <f>VLOOKUP(Tulemused!$BN$20,PM_2.5,2,FALSE)-CM136</f>
        <v>9.3432394222510915</v>
      </c>
      <c r="FT136" s="209">
        <f>VLOOKUP(Tulemused!$BN$13,data!$C$132:$D$137,2,FALSE)-FA136/1000</f>
        <v>3.2560510000000007</v>
      </c>
      <c r="FU136" s="209">
        <f>VLOOKUP(Tulemused!$BN$17,NO_x,2,FALSE)-CO136</f>
        <v>5.8766376626430059</v>
      </c>
      <c r="FV136" s="209">
        <f>VLOOKUP(Tulemused!$BN$18,SO_2,2,FALSE)-CP136</f>
        <v>38.478607879306338</v>
      </c>
      <c r="FW136" s="209">
        <f>VLOOKUP(Tulemused!$BN$19,LOU,2,FALSE)-CS136</f>
        <v>33.311350490137769</v>
      </c>
      <c r="FX136" s="209">
        <f>VLOOKUP(Tulemused!$BN$20,PM_2.5,2,FALSE)-CR136</f>
        <v>9.2222481626003088</v>
      </c>
      <c r="FY136" s="209">
        <f>VLOOKUP(Tulemused!$BN$14,KHG_2050,2,FALSE)-EF136</f>
        <v>96.560115009362676</v>
      </c>
      <c r="FZ136" s="231" t="str">
        <f t="shared" ca="1" si="79"/>
        <v>JAH</v>
      </c>
      <c r="GA136" s="209"/>
      <c r="GB136" s="209"/>
      <c r="GC136" s="209"/>
      <c r="GD136" s="231"/>
      <c r="GE136" s="87">
        <f t="shared" si="93"/>
        <v>603</v>
      </c>
      <c r="GF136" s="232">
        <f t="shared" ca="1" si="80"/>
        <v>603</v>
      </c>
      <c r="GH136" s="238" t="e">
        <f t="shared" ca="1" si="94"/>
        <v>#NUM!</v>
      </c>
      <c r="GI136" s="87" t="e">
        <f t="array" aca="1" ref="GI136" ca="1">INDEX($A$11:$A$145, SMALL(IF(GH136=$GF$11:$GF$145, MATCH(ROW($GF$11:$GF$145), ROW($GF$11:$GF$145))), SUM(--(GH136=$GH$11:GH136))))</f>
        <v>#NUM!</v>
      </c>
      <c r="GM136" s="209">
        <f>IF(GM$7="X",VLOOKUP(GM$10,'VK-Hooned-Soojus'!$C:$X,2+$C136,FALSE),0)+IF(GM$6="X",VLOOKUP(GM$10,'VK-Transport'!$C:$X,2+$B136,0))+IF(GM$8="X",VLOOKUP(GM$10,'VK-Elekter'!$C:$X,2+$D136,0))+IF(GM$9="X",VLOOKUP(GM$10,'VK-Biokütused'!$C:$U,2+$E136,0))+IF(GM$5="X",VLOOKUP(GM$10,'VK-Põlevkivi'!$C:$X,2+$G136,0))+IF(GM$4="X",VLOOKUP(GM$10,'VK-Võrgud'!$C:$X,2+$F136,0))</f>
        <v>6.0128279910272253</v>
      </c>
      <c r="GN136" s="209">
        <f>IF(GN$7="X",VLOOKUP(GN$10,'VK-Hooned-Soojus'!$C:$X,2+$C136,FALSE),0)+IF(GN$6="X",VLOOKUP(GN$10,'VK-Transport'!$C:$X,2+$B136,0))+IF(GN$8="X",VLOOKUP(GN$10,'VK-Elekter'!$C:$X,2+$D136,0))+IF(GN$9="X",VLOOKUP(GN$10,'VK-Biokütused'!$C:$U,2+$E136,0))+IF(GN$5="X",VLOOKUP(GN$10,'VK-Põlevkivi'!$C:$X,2+$G136,0))+IF(GN$4="X",VLOOKUP(GN$10,'VK-Võrgud'!$C:$X,2+$F136,0))</f>
        <v>3.4467619395011728</v>
      </c>
      <c r="GO136" s="209">
        <f>IF(GO$7="X",VLOOKUP(GO$10,'VK-Hooned-Soojus'!$C:$X,2+$C136,FALSE),0)+IF(GO$6="X",VLOOKUP(GO$10,'VK-Transport'!$C:$X,2+$B136,0))+IF(GO$8="X",VLOOKUP(GO$10,'VK-Elekter'!$C:$X,2+$D136,0))+IF(GO$9="X",VLOOKUP(GO$10,'VK-Biokütused'!$C:$U,2+$E136,0))+IF(GO$5="X",VLOOKUP(GO$10,'VK-Põlevkivi'!$C:$X,2+$G136,0))+IF(GO$4="X",VLOOKUP(GO$10,'VK-Võrgud'!$C:$X,2+$F136,0))</f>
        <v>7.5763700102722566</v>
      </c>
      <c r="GP136" s="209">
        <f>IF(GP$7="X",VLOOKUP(GP$10,'VK-Hooned-Soojus'!$C:$X,2+$C136,FALSE),0)+IF(GP$6="X",VLOOKUP(GP$10,'VK-Transport'!$C:$X,2+$B136,0))+IF(GP$8="X",VLOOKUP(GP$10,'VK-Elekter'!$C:$X,2+$D136,0))+IF(GP$9="X",VLOOKUP(GP$10,'VK-Biokütused'!$C:$U,2+$E136,0))+IF(GP$5="X",VLOOKUP(GP$10,'VK-Põlevkivi'!$C:$X,2+$G136,0))+IF(GP$4="X",VLOOKUP(GP$10,'VK-Võrgud'!$C:$X,2+$F136,0))</f>
        <v>8.9326558040707589</v>
      </c>
      <c r="GQ136" s="88">
        <f>IF(GQ$7="X",VLOOKUP(GQ$10,'VK-Hooned-Soojus'!$C:$X,2+$C136,FALSE),0)+IF(GQ$6="X",VLOOKUP(GQ$10,'VK-Transport'!$C:$X,2+$B136,0))+IF(GQ$8="X",VLOOKUP(GQ$10,'VK-Elekter'!$C:$X,2+$D136,0))+IF(GQ$9="X",VLOOKUP(GQ$10,'VK-Biokütused'!$C:$U,2+$E136,0))+IF(GQ$5="X",VLOOKUP(GQ$10,'VK-Põlevkivi'!$C:$X,2+$G136,0))+IF(GQ$4="X",VLOOKUP(GQ$10,'VK-Võrgud'!$C:$X,2+$F136,0))</f>
        <v>0.89042766952822527</v>
      </c>
      <c r="GR136" s="186">
        <f t="shared" si="81"/>
        <v>0.4091172758825713</v>
      </c>
    </row>
    <row r="137" spans="1:200" x14ac:dyDescent="0.2">
      <c r="A137" s="184">
        <v>127</v>
      </c>
      <c r="B137" s="87">
        <v>3</v>
      </c>
      <c r="C137" s="87">
        <v>3</v>
      </c>
      <c r="D137" s="87">
        <v>3</v>
      </c>
      <c r="E137" s="87">
        <v>1</v>
      </c>
      <c r="F137" s="87">
        <f>VLOOKUP(Tulemused!$BF$7,data!$J$6:$K$8,2,FALSE)</f>
        <v>2</v>
      </c>
      <c r="G137" s="87">
        <f>VLOOKUP(data!$H$2,data!$J$12:$K$14,2,FALSE)</f>
        <v>2</v>
      </c>
      <c r="I137" s="209">
        <f>IF(I$7="X",VLOOKUP(I$10,'VK-Hooned-Soojus'!$C:$X,2+$C137,FALSE),0)+IF(I$6="X",VLOOKUP(I$10,'VK-Transport'!$C:$X,2+$B137,0))+IF(I$8="X",VLOOKUP(I$10,'VK-Elekter'!$C:$X,2+$D137,0))+IF(I$9="X",VLOOKUP(I$10,'VK-Biokütused'!$C:$U,2+$E137,0))+IF(I$5="X",VLOOKUP(I$10,'VK-Põlevkivi'!$C:$X,2+$G137,0))+IF(I$4="X",VLOOKUP(I$10,'VK-Võrgud'!$C:$X,2+$F137,0))</f>
        <v>23.490000000000002</v>
      </c>
      <c r="J137" s="209">
        <f>IF(J$7="X",VLOOKUP(J$10,'VK-Hooned-Soojus'!$C:$X,2+$C137,FALSE),0)+IF(J$6="X",VLOOKUP(J$10,'VK-Transport'!$C:$X,2+$B137,0))+IF(J$8="X",VLOOKUP(J$10,'VK-Elekter'!$C:$X,2+$D137,0))+IF(J$9="X",VLOOKUP(J$10,'VK-Biokütused'!$C:$U,2+$E137,0))+IF(J$5="X",VLOOKUP(J$10,'VK-Põlevkivi'!$C:$X,2+$G137,0))+IF(J$4="X",VLOOKUP(J$10,'VK-Võrgud'!$C:$X,2+$F137,0))</f>
        <v>8.1258333333333344</v>
      </c>
      <c r="K137" s="209">
        <f>IF(K$7="X",VLOOKUP(K$10,'VK-Hooned-Soojus'!$C:$X,2+$C137,FALSE),0)+IF(K$6="X",VLOOKUP(K$10,'VK-Transport'!$C:$X,2+$B137,0))+IF(K$8="X",VLOOKUP(K$10,'VK-Elekter'!$C:$X,2+$D137,0))+IF(K$9="X",VLOOKUP(K$10,'VK-Biokütused'!$C:$U,2+$E137,0))+IF(K$5="X",VLOOKUP(K$10,'VK-Põlevkivi'!$C:$X,2+$G137,0))+IF(K$4="X",VLOOKUP(K$10,'VK-Võrgud'!$C:$X,2+$F137,0))</f>
        <v>13.780000000000001</v>
      </c>
      <c r="L137" s="209">
        <f>IF(L$7="X",VLOOKUP(L$10,'VK-Hooned-Soojus'!$C:$X,2+$C137,FALSE),0)+IF(L$6="X",VLOOKUP(L$10,'VK-Transport'!$C:$X,2+$B137,0))+IF(L$8="X",VLOOKUP(L$10,'VK-Elekter'!$C:$X,2+$D137,0))+IF(L$9="X",VLOOKUP(L$10,'VK-Biokütused'!$C:$U,2+$E137,0))+IF(L$5="X",VLOOKUP(L$10,'VK-Põlevkivi'!$C:$X,2+$G137,0))+IF(L$4="X",VLOOKUP(L$10,'VK-Võrgud'!$C:$X,2+$F137,0))</f>
        <v>23.75</v>
      </c>
      <c r="M137" s="209">
        <f>IF(M$7="X",VLOOKUP(M$10,'VK-Hooned-Soojus'!$C:$X,2+$C137,FALSE),0)+IF(M$6="X",VLOOKUP(M$10,'VK-Transport'!$C:$X,2+$B137,0))+IF(M$8="X",VLOOKUP(M$10,'VK-Elekter'!$C:$X,2+$D137,0))+IF(M$9="X",VLOOKUP(M$10,'VK-Biokütused'!$C:$U,2+$E137,0))+IF(M$5="X",VLOOKUP(M$10,'VK-Põlevkivi'!$C:$X,2+$G137,0))+IF(M$4="X",VLOOKUP(M$10,'VK-Võrgud'!$C:$X,2+$F137,0))</f>
        <v>8.68530937302436</v>
      </c>
      <c r="N137" s="209">
        <f>IF(N$7="X",VLOOKUP(N$10,'VK-Hooned-Soojus'!$C:$X,2+$C137,FALSE),0)+IF(N$6="X",VLOOKUP(N$10,'VK-Transport'!$C:$X,2+$B137,0))+IF(N$8="X",VLOOKUP(N$10,'VK-Elekter'!$C:$X,2+$D137,0))+IF(N$9="X",VLOOKUP(N$10,'VK-Biokütused'!$C:$U,2+$E137,0))+IF(N$5="X",VLOOKUP(N$10,'VK-Põlevkivi'!$C:$X,2+$G137,0))+IF(N$4="X",VLOOKUP(N$10,'VK-Võrgud'!$C:$X,2+$F137,0))</f>
        <v>15.25</v>
      </c>
      <c r="O137" s="209">
        <f t="shared" si="60"/>
        <v>31.615833333333335</v>
      </c>
      <c r="P137" s="209"/>
      <c r="Q137" s="209">
        <f>(IF(Q$7="X",VLOOKUP(Q$10,'VK-Hooned-Soojus'!$C:$X,2+$C137,FALSE),0)+IF(Q$6="X",VLOOKUP(Q$10,'VK-Transport'!$C:$X,2+$B137,0))+IF(Q$8="X",VLOOKUP(Q$10,'VK-Elekter'!$C:$X,2+$D137,0))+IF(Q$9="X",VLOOKUP(Q$10,'VK-Biokütused'!$C:$U,2+$E137,0))+IF(Q$5="X",VLOOKUP(Q$10,'VK-Põlevkivi'!$C:$X,2+$G137,0))+IF(Q$4="X",VLOOKUP(Q$10,'VK-Võrgud'!$C:$X,2+$F137,0)))/1000</f>
        <v>4.9050000000000002</v>
      </c>
      <c r="R137" s="209">
        <f>(IF(R$7="X",VLOOKUP(R$10,'VK-Hooned-Soojus'!$C:$X,2+$C137,FALSE),0)+IF(R$6="X",VLOOKUP(R$10,'VK-Transport'!$C:$X,2+$B137,0))+IF(R$8="X",VLOOKUP(R$10,'VK-Elekter'!$C:$X,2+$D137,0))+IF(R$9="X",VLOOKUP(R$10,'VK-Biokütused'!$C:$U,2+$E137,0))+IF(R$5="X",VLOOKUP(R$10,'VK-Põlevkivi'!$C:$X,2+$G137,0))+IF(R$4="X",VLOOKUP(R$10,'VK-Võrgud'!$C:$X,2+$F137,0)))/1000</f>
        <v>1.03788499063732</v>
      </c>
      <c r="S137" s="226">
        <f>VLOOKUP(S$10,'VK-Hooned-Soojus'!$C:$I,2+$C137,FALSE) + VLOOKUP(S$10,'VK-Transport'!$C:$I,2+$B137,FALSE)+ VLOOKUP(S$10,'VK-Biokütused'!$C:$G,2+$E137,FALSE)+ VLOOKUP(S$10,'VK-Elekter'!$C:$I,2+$D137,FALSE)+ VLOOKUP(S$10,'VK-Põlevkivi'!$C:$I,2+$G137,FALSE)+ VLOOKUP(S$10,'VK-Võrgud'!$C:$I,2+$F137,FALSE)</f>
        <v>1.5704517146665847E-2</v>
      </c>
      <c r="T137" s="226">
        <f>VLOOKUP(T$10,'VK-Hooned-Soojus'!$C:$I,2+$C137,FALSE) + VLOOKUP(T$10,'VK-Transport'!$C:$I,2+$B137,FALSE)+ VLOOKUP(T$10,'VK-Biokütused'!$C:$G,2+$E137,FALSE)+ VLOOKUP(T$10,'VK-Elekter'!$C:$I,2+$D137,FALSE)+ VLOOKUP(T$10,'VK-Põlevkivi'!$C:$I,2+$G137,FALSE)+ VLOOKUP(T$10,'VK-Võrgud'!$C:$I,2+$F137,FALSE)</f>
        <v>5.7861522028542292E-3</v>
      </c>
      <c r="U137" s="226">
        <f>VLOOKUP(U$10,'VK-Hooned-Soojus'!$C:$I,2+$C137,FALSE) + VLOOKUP(U$10,'VK-Transport'!$C:$I,2+$B137,FALSE)+ VLOOKUP(U$10,'VK-Biokütused'!$C:$G,2+$E137,FALSE)+ VLOOKUP(U$10,'VK-Elekter'!$C:$I,2+$D137,FALSE)+ VLOOKUP(U$10,'VK-Põlevkivi'!$C:$I,2+$G137,FALSE)+ VLOOKUP(U$10,'VK-Võrgud'!$C:$I,2+$F137,FALSE)</f>
        <v>2.5770516830088963E-3</v>
      </c>
      <c r="V137" s="226">
        <f>VLOOKUP(V$10,'VK-Hooned-Soojus'!$C:$I,2+$C137,FALSE) + VLOOKUP(V$10,'VK-Transport'!$C:$I,2+$B137,FALSE)+ VLOOKUP(V$10,'VK-Biokütused'!$C:$G,2+$E137,FALSE)+ VLOOKUP(V$10,'VK-Elekter'!$C:$I,2+$D137,FALSE)+ VLOOKUP(V$10,'VK-Põlevkivi'!$C:$I,2+$G137,FALSE)+ VLOOKUP(V$10,'VK-Võrgud'!$C:$I,2+$F137,FALSE)</f>
        <v>1.3248113808627037E-2</v>
      </c>
      <c r="W137" s="226">
        <f>VLOOKUP(W$10,'VK-Hooned-Soojus'!$C:$I,2+$C137,FALSE) + VLOOKUP(W$10,'VK-Transport'!$C:$I,2+$B137,FALSE)+ VLOOKUP(W$10,'VK-Biokütused'!$C:$G,2+$E137,FALSE)+ VLOOKUP(W$10,'VK-Elekter'!$C:$I,2+$D137,FALSE)+ VLOOKUP(W$10,'VK-Põlevkivi'!$C:$I,2+$G137,FALSE)+ VLOOKUP(W$10,'VK-Võrgud'!$C:$I,2+$F137,FALSE)</f>
        <v>-5.2811725469989391E-2</v>
      </c>
      <c r="X137" s="226">
        <f>VLOOKUP(X$10,'VK-Hooned-Soojus'!$C:$I,2+$C137,FALSE) + VLOOKUP(X$10,'VK-Transport'!$C:$I,2+$B137,FALSE)+ VLOOKUP(X$10,'VK-Biokütused'!$C:$G,2+$E137,FALSE)+ VLOOKUP(X$10,'VK-Elekter'!$C:$I,2+$D137,FALSE)+ VLOOKUP(X$10,'VK-Põlevkivi'!$C:$I,2+$G137,FALSE)+ VLOOKUP(X$10,'VK-Võrgud'!$C:$I,2+$F137,FALSE)</f>
        <v>-5.9790806986495262E-2</v>
      </c>
      <c r="Y137" s="226">
        <f>VLOOKUP(Y$10,'VK-Hooned-Soojus'!$C:$I,2+$C137,FALSE) + VLOOKUP(Y$10,'VK-Transport'!$C:$I,2+$B137,FALSE)+ VLOOKUP(Y$10,'VK-Biokütused'!$C:$G,2+$E137,FALSE)+ VLOOKUP(Y$10,'VK-Elekter'!$C:$I,2+$D137,FALSE)+ VLOOKUP(Y$10,'VK-Põlevkivi'!$C:$I,2+$G137,FALSE)+ VLOOKUP(Y$10,'VK-Võrgud'!$C:$I,2+$F137,FALSE)</f>
        <v>-8.2821978067298727E-2</v>
      </c>
      <c r="Z137" s="227">
        <f>(S137*Tulemused!$Q$9*10+T137*Tulemused!$Q$10*10+KOMBI!U137*Tulemused!$Q$11*10+KOMBI!V137*Tulemused!$Q$12*10)*Tulemused!$Q$8+-(W137*Tulemused!$Q$14*10+KOMBI!X137*Tulemused!$Q$15*10+KOMBI!Y137*Tulemused!$Q$16*10)*Tulemused!$Q$13</f>
        <v>6.3213672301352926</v>
      </c>
      <c r="AA137" s="228">
        <f>(IF(AA$7="X",VLOOKUP(AA$10,'VK-Hooned-Soojus'!$C:$X,2+$C137,FALSE),0)+IF(AA$6="X",VLOOKUP(AA$10,'VK-Transport'!$C:$X,2+$B137,0))+IF(AA$8="X",VLOOKUP(AA$10,'VK-Elekter'!$C:$X,2+$D137,0))+IF(AA$9="X",VLOOKUP(AA$10,'VK-Biokütused'!$C:$U,2+$E137,0))+IF(AA$5="X",VLOOKUP(AA$10,'VK-Põlevkivi'!$C:$X,2+$G137,0))+IF(AA$4="X",VLOOKUP(AA$10,'VK-Võrgud'!$C:$X,2+$F137,0)))</f>
        <v>3728</v>
      </c>
      <c r="AB137" s="228">
        <f>(IF(AB$7="X",VLOOKUP(AB$10,'VK-Hooned-Soojus'!$C:$X,2+$C137,FALSE),0)+IF(AB$6="X",VLOOKUP(AB$10,'VK-Transport'!$C:$X,2+$B137,0))+IF(AB$8="X",VLOOKUP(AB$10,'VK-Elekter'!$C:$X,2+$D137,0))+IF(AB$9="X",VLOOKUP(AB$10,'VK-Biokütused'!$C:$U,2+$E137,0))+IF(AB$5="X",VLOOKUP(AB$10,'VK-Põlevkivi'!$C:$X,2+$G137,0))+IF(AB$4="X",VLOOKUP(AB$10,'VK-Võrgud'!$C:$X,2+$F137,0)))</f>
        <v>1177</v>
      </c>
      <c r="AC137" s="228">
        <f>(IF(AC$7="X",VLOOKUP(AC$10,'VK-Hooned-Soojus'!$C:$X,2+$C137,FALSE),0)+IF(AC$6="X",VLOOKUP(AC$10,'VK-Transport'!$C:$X,2+$B137,0))+IF(AC$8="X",VLOOKUP(AC$10,'VK-Elekter'!$C:$X,2+$D137,0))+IF(AC$9="X",VLOOKUP(AC$10,'VK-Biokütused'!$C:$U,2+$E137,0))+IF(AC$5="X",VLOOKUP(AC$10,'VK-Põlevkivi'!$C:$X,2+$G137,0))+IF(AC$4="X",VLOOKUP(AC$10,'VK-Võrgud'!$C:$X,2+$F137,0)))</f>
        <v>2346</v>
      </c>
      <c r="AD137" s="228">
        <f>(IF(AD$7="X",VLOOKUP(AD$10,'VK-Hooned-Soojus'!$C:$X,2+$C137,FALSE),0)+IF(AD$6="X",VLOOKUP(AD$10,'VK-Transport'!$C:$X,2+$B137,0))+IF(AD$8="X",VLOOKUP(AD$10,'VK-Elekter'!$C:$X,2+$D137,0))+IF(AD$9="X",VLOOKUP(AD$10,'VK-Biokütused'!$C:$U,2+$E137,0))+IF(AD$5="X",VLOOKUP(AD$10,'VK-Põlevkivi'!$C:$X,2+$G137,0))+IF(AD$4="X",VLOOKUP(AD$10,'VK-Võrgud'!$C:$X,2+$F137,0)))</f>
        <v>0</v>
      </c>
      <c r="AE137" s="228">
        <f>(IF(AE$7="X",VLOOKUP(AE$10,'VK-Hooned-Soojus'!$C:$X,2+$C137,FALSE),0)+IF(AE$6="X",VLOOKUP(AE$10,'VK-Transport'!$C:$X,2+$B137,0))+IF(AE$8="X",VLOOKUP(AE$10,'VK-Elekter'!$C:$X,2+$D137,0))+IF(AE$9="X",VLOOKUP(AE$10,'VK-Biokütused'!$C:$U,2+$E137,0))+IF(AE$5="X",VLOOKUP(AE$10,'VK-Põlevkivi'!$C:$X,2+$G137,0))+IF(AE$4="X",VLOOKUP(AE$10,'VK-Võrgud'!$C:$X,2+$F137,0)))</f>
        <v>507</v>
      </c>
      <c r="AF137" s="228">
        <f>(IF(AF$7="X",VLOOKUP(AF$10,'VK-Hooned-Soojus'!$C:$X,2+$C137,FALSE),0)+IF(AF$6="X",VLOOKUP(AF$10,'VK-Transport'!$C:$X,2+$B137,0))+IF(AF$8="X",VLOOKUP(AF$10,'VK-Elekter'!$C:$X,2+$D137,0))+IF(AF$9="X",VLOOKUP(AF$10,'VK-Biokütused'!$C:$U,2+$E137,0))+IF(AF$5="X",VLOOKUP(AF$10,'VK-Põlevkivi'!$C:$X,2+$G137,0))+IF(AF$4="X",VLOOKUP(AF$10,'VK-Võrgud'!$C:$X,2+$F137,0)))</f>
        <v>530.88499063732002</v>
      </c>
      <c r="AG137" s="209"/>
      <c r="AH137" s="209">
        <f>IF(AH$7="X",VLOOKUP(AH$10,'VK-Hooned-Soojus'!$C:$X,2+$C137,FALSE),0)+IF(AH$6="X",VLOOKUP(AH$10,'VK-Transport'!$C:$X,2+$B137,0))+IF(AH$8="X",VLOOKUP(AH$10,'VK-Elekter'!$C:$X,2+$D137,0))+IF(AH$9="X",VLOOKUP(AH$10,'VK-Biokütused'!$C:$U,2+$E137,0))+IF(AH$5="X",VLOOKUP(AH$10,'VK-Põlevkivi'!$C:$X,2+$G137,0))+IF(AH$4="X",VLOOKUP(AH$10,'VK-Võrgud'!$C:$X,2+$F137,0))</f>
        <v>11.579999999999998</v>
      </c>
      <c r="AI137" s="209">
        <f>IF(AI$7="X",VLOOKUP(AI$10,'VK-Hooned-Soojus'!$C:$X,2+$C137,FALSE),0)+IF(AI$6="X",VLOOKUP(AI$10,'VK-Transport'!$C:$X,2+$B137,0))+IF(AI$8="X",VLOOKUP(AI$10,'VK-Elekter'!$C:$X,2+$D137,0))+IF(AI$9="X",VLOOKUP(AI$10,'VK-Biokütused'!$C:$U,2+$E137,0))+IF(AI$5="X",VLOOKUP(AI$10,'VK-Põlevkivi'!$C:$X,2+$G137,0))+IF(AI$4="X",VLOOKUP(AI$10,'VK-Võrgud'!$C:$X,2+$F137,0))</f>
        <v>4.45</v>
      </c>
      <c r="AJ137" s="209">
        <f>IF(AJ$7="X",VLOOKUP(AJ$10,'VK-Hooned-Soojus'!$C:$X,2+$C137,FALSE),0)+IF(AJ$6="X",VLOOKUP(AJ$10,'VK-Transport'!$C:$X,2+$B137,0))+IF(AJ$8="X",VLOOKUP(AJ$10,'VK-Elekter'!$C:$X,2+$D137,0))+IF(AJ$9="X",VLOOKUP(AJ$10,'VK-Biokütused'!$C:$U,2+$E137,0))+IF(AJ$5="X",VLOOKUP(AJ$10,'VK-Põlevkivi'!$C:$X,2+$G137,0))+IF(AJ$4="X",VLOOKUP(AJ$10,'VK-Võrgud'!$C:$X,2+$F137,0))</f>
        <v>9.19</v>
      </c>
      <c r="AK137" s="209">
        <f>IF(AK$7="X",VLOOKUP(AK$10,'VK-Hooned-Soojus'!$C:$X,2+$C137,FALSE),0)+IF(AK$6="X",VLOOKUP(AK$10,'VK-Transport'!$C:$X,2+$B137,0))+IF(AK$8="X",VLOOKUP(AK$10,'VK-Elekter'!$C:$X,2+$D137,0))+IF(AK$9="X",VLOOKUP(AK$10,'VK-Biokütused'!$C:$U,2+$E137,0))+IF(AK$5="X",VLOOKUP(AK$10,'VK-Põlevkivi'!$C:$X,2+$G137,0))+IF(AK$4="X",VLOOKUP(AK$10,'VK-Võrgud'!$C:$X,2+$F137,0))</f>
        <v>0.66</v>
      </c>
      <c r="AL137" s="209">
        <f>IF(AL$7="X",VLOOKUP(AL$10,'VK-Hooned-Soojus'!$C:$X,2+$C137,FALSE),0)+IF(AL$6="X",VLOOKUP(AL$10,'VK-Transport'!$C:$X,2+$B137,0))+IF(AL$8="X",VLOOKUP(AL$10,'VK-Elekter'!$C:$X,2+$D137,0))+IF(AL$9="X",VLOOKUP(AL$10,'VK-Biokütused'!$C:$U,2+$E137,0))+IF(AL$5="X",VLOOKUP(AL$10,'VK-Põlevkivi'!$C:$X,2+$G137,0))+IF(AL$4="X",VLOOKUP(AL$10,'VK-Võrgud'!$C:$X,2+$F137,0))</f>
        <v>7.1</v>
      </c>
      <c r="AM137" s="209">
        <f>IF(AM$7="X",VLOOKUP(AM$10,'VK-Hooned-Soojus'!$C:$X,2+$C137,FALSE),0)+IF(AM$6="X",VLOOKUP(AM$10,'VK-Transport'!$C:$X,2+$B137,0))+IF(AM$8="X",VLOOKUP(AM$10,'VK-Elekter'!$C:$X,2+$D137,0))+IF(AM$9="X",VLOOKUP(AM$10,'VK-Biokütused'!$C:$U,2+$E137,0))+IF(AM$5="X",VLOOKUP(AM$10,'VK-Põlevkivi'!$C:$X,2+$G137,0))+IF(AM$4="X",VLOOKUP(AM$10,'VK-Võrgud'!$C:$X,2+$F137,0))</f>
        <v>11.5</v>
      </c>
      <c r="AN137" s="209">
        <f>IF(AN$7="X",VLOOKUP(AN$10,'VK-Hooned-Soojus'!$C:$X,2+$C137,FALSE),0)+IF(AN$6="X",VLOOKUP(AN$10,'VK-Transport'!$C:$X,2+$B137,0))+IF(AN$8="X",VLOOKUP(AN$10,'VK-Elekter'!$C:$X,2+$D137,0))+IF(AN$9="X",VLOOKUP(AN$10,'VK-Biokütused'!$C:$U,2+$E137,0))+IF(AN$5="X",VLOOKUP(AN$10,'VK-Põlevkivi'!$C:$X,2+$G137,0))+IF(AN$4="X",VLOOKUP(AN$10,'VK-Võrgud'!$C:$X,2+$F137,0))</f>
        <v>4.0999999999999996</v>
      </c>
      <c r="AO137" s="209">
        <f>IF(AO$7="X",VLOOKUP(AO$10,'VK-Hooned-Soojus'!$C:$X,2+$C137,FALSE),0)+IF(AO$6="X",VLOOKUP(AO$10,'VK-Transport'!$C:$X,2+$B137,0))+IF(AO$8="X",VLOOKUP(AO$10,'VK-Elekter'!$C:$X,2+$D137,0))+IF(AO$9="X",VLOOKUP(AO$10,'VK-Biokütused'!$C:$U,2+$E137,0))+IF(AO$5="X",VLOOKUP(AO$10,'VK-Põlevkivi'!$C:$X,2+$G137,0))+IF(AO$4="X",VLOOKUP(AO$10,'VK-Võrgud'!$C:$X,2+$F137,0))</f>
        <v>12.16</v>
      </c>
      <c r="AP137" s="209">
        <f>IF(AP$7="X",VLOOKUP(AP$10,'VK-Hooned-Soojus'!$C:$X,2+$C137,FALSE),0)+IF(AP$6="X",VLOOKUP(AP$10,'VK-Transport'!$C:$X,2+$B137,0))+IF(AP$8="X",VLOOKUP(AP$10,'VK-Elekter'!$C:$X,2+$D137,0))+IF(AP$9="X",VLOOKUP(AP$10,'VK-Biokütused'!$C:$U,2+$E137,0))+IF(AP$5="X",VLOOKUP(AP$10,'VK-Põlevkivi'!$C:$X,2+$G137,0))+IF(AP$4="X",VLOOKUP(AP$10,'VK-Võrgud'!$C:$X,2+$F137,0))</f>
        <v>6.08</v>
      </c>
      <c r="AQ137" s="320">
        <f t="shared" si="61"/>
        <v>0</v>
      </c>
      <c r="AR137" s="209">
        <f>IF(AR$7="X",VLOOKUP(AR$10,'VK-Hooned-Soojus'!$C:$X,2+$C137,FALSE),0)+IF(AR$6="X",VLOOKUP(AR$10,'VK-Transport'!$C:$X,2+$B137,0))+IF(AR$8="X",VLOOKUP(AR$10,'VK-Elekter'!$C:$X,2+$D137,0))+IF(AR$9="X",VLOOKUP(AR$10,'VK-Biokütused'!$C:$U,2+$E137,0))+IF(AR$5="X",VLOOKUP(AR$10,'VK-Põlevkivi'!$C:$X,2+$G137,0))+IF(AR$4="X",VLOOKUP(AR$10,'VK-Võrgud'!$C:$X,2+$F137,0))</f>
        <v>2.3899999999999997</v>
      </c>
      <c r="AS137" s="320">
        <f>VLOOKUP("Kütuste tarbimine @ 2030 - UTTEGAAS",'VK-Hooned-Soojus'!$C:$X,2+$C137,FALSE)/0.172+VLOOKUP("Kütuste tarbimine @ 2030 - UTTEGAAS",'VK-Elekter'!$C:$X,2+$D137,FALSE)/0.172-AR137-AU137</f>
        <v>2.8565116279069773</v>
      </c>
      <c r="AT137" s="209">
        <f>IF(AT$7="X",VLOOKUP(AT$10,'VK-Hooned-Soojus'!$C:$X,2+$C137,FALSE),0)+IF(AT$6="X",VLOOKUP(AT$10,'VK-Transport'!$C:$X,2+$B137,0))+IF(AT$8="X",VLOOKUP(AT$10,'VK-Elekter'!$C:$X,2+$D137,0))+IF(AT$9="X",VLOOKUP(AT$10,'VK-Biokütused'!$C:$U,2+$E137,0))+IF(AT$5="X",VLOOKUP(AT$10,'VK-Põlevkivi'!$C:$X,2+$G137,0))+IF(AT$4="X",VLOOKUP(AT$10,'VK-Võrgud'!$C:$X,2+$F137,0))</f>
        <v>5.7045296564339489</v>
      </c>
      <c r="AU137" s="229">
        <f>MAX(0,(VLOOKUP("Kütuste tarbimine @ 2030 - UTTEGAAS",'VK-Hooned-Soojus'!$C:$X,2+$C137,FALSE)/0.172+VLOOKUP("Kütuste tarbimine @ 2030 - UTTEGAAS",'VK-Elekter'!$C:$X,2+$D137,FALSE)/0.172)*0.52-VLOOKUP("Kütuste tarbimine @ 2030 - PÕLEVKIVIÕLI",'VK-Hooned-Soojus'!$C:$X,2+$C137,FALSE))</f>
        <v>5.6837209302325586</v>
      </c>
      <c r="AV137" s="209">
        <f>IF(AV$7="X",VLOOKUP(AV$10,'VK-Hooned-Soojus'!$C:$X,2+$C137,FALSE),0)+IF(AV$6="X",VLOOKUP(AV$10,'VK-Transport'!$C:$X,2+$B137,0))+IF(AV$8="X",VLOOKUP(AV$10,'VK-Elekter'!$C:$X,2+$D137,0))+IF(AV$9="X",VLOOKUP(AV$10,'VK-Biokütused'!$C:$U,2+$E137,0))+IF(AV$5="X",VLOOKUP(AV$10,'VK-Põlevkivi'!$C:$X,2+$G137,0))+IF(AV$4="X",VLOOKUP(AV$10,'VK-Võrgud'!$C:$X,2+$F137,0))</f>
        <v>2.1219844082566364</v>
      </c>
      <c r="AW137" s="209">
        <f>IF(AW$7="X",VLOOKUP(AW$10,'VK-Hooned-Soojus'!$C:$X,2+$C137,FALSE),0)+IF(AW$6="X",VLOOKUP(AW$10,'VK-Transport'!$C:$X,2+$B137,0))+IF(AW$8="X",VLOOKUP(AW$10,'VK-Elekter'!$C:$X,2+$D137,0))+IF(AW$9="X",VLOOKUP(AW$10,'VK-Biokütused'!$C:$U,2+$E137,0))+IF(AW$5="X",VLOOKUP(AW$10,'VK-Põlevkivi'!$C:$X,2+$G137,0))+IF(AW$4="X",VLOOKUP(AW$10,'VK-Võrgud'!$C:$X,2+$F137,0))</f>
        <v>0</v>
      </c>
      <c r="AX137" s="229">
        <f t="shared" si="62"/>
        <v>0</v>
      </c>
      <c r="AY137" s="229">
        <f t="shared" si="63"/>
        <v>2.1219844082566364</v>
      </c>
      <c r="AZ137" s="230">
        <f t="shared" si="83"/>
        <v>0.50323675567433446</v>
      </c>
      <c r="BA137" s="209">
        <f>IF(BA$7="X",VLOOKUP(BA$10,'VK-Hooned-Soojus'!$C:$X,2+$C137,FALSE),0)+IF(BA$6="X",VLOOKUP(BA$10,'VK-Transport'!$C:$X,2+$B137,0))+IF(BA$8="X",VLOOKUP(BA$10,'VK-Elekter'!$C:$X,2+$D137,0))+IF(BA$9="X",VLOOKUP(BA$10,'VK-Biokütused'!$C:$U,2+$E137,0))+IF(BA$5="X",VLOOKUP(BA$10,'VK-Põlevkivi'!$C:$X,2+$G137,0))+IF(BA$4="X",VLOOKUP(BA$10,'VK-Võrgud'!$C:$X,2+$F137,0))</f>
        <v>4.2</v>
      </c>
      <c r="BB137" s="209">
        <f>IF(BB$7="X",VLOOKUP(BB$10,'VK-Hooned-Soojus'!$C:$X,2+$C137,FALSE),0)+IF(BB$6="X",VLOOKUP(BB$10,'VK-Transport'!$C:$X,2+$B137,0))+IF(BB$8="X",VLOOKUP(BB$10,'VK-Elekter'!$C:$X,2+$D137,0))+IF(BB$9="X",VLOOKUP(BB$10,'VK-Biokütused'!$C:$U,2+$E137,0))+IF(BB$5="X",VLOOKUP(BB$10,'VK-Põlevkivi'!$C:$X,2+$G137,0))+IF(BB$4="X",VLOOKUP(BB$10,'VK-Võrgud'!$C:$X,2+$F137,0))</f>
        <v>5.1000000000000005</v>
      </c>
      <c r="BC137" s="209">
        <f>IF(BC$7="X",VLOOKUP(BC$10,'VK-Hooned-Soojus'!$C:$X,2+$C137,FALSE),0)+IF(BC$6="X",VLOOKUP(BC$10,'VK-Transport'!$C:$X,2+$B137,0))+IF(BC$8="X",VLOOKUP(BC$10,'VK-Elekter'!$C:$X,2+$D137,0))+IF(BC$9="X",VLOOKUP(BC$10,'VK-Biokütused'!$C:$U,2+$E137,0))+IF(BC$5="X",VLOOKUP(BC$10,'VK-Põlevkivi'!$C:$X,2+$G137,0))+IF(BC$4="X",VLOOKUP(BC$10,'VK-Võrgud'!$C:$X,2+$F137,0))</f>
        <v>5.2376666666666667</v>
      </c>
      <c r="BD137" s="209">
        <f>IF(BD$7="X",VLOOKUP(BD$10,'VK-Hooned-Soojus'!$C:$X,2+$C137,FALSE),0)+IF(BD$6="X",VLOOKUP(BD$10,'VK-Transport'!$C:$X,2+$B137,0))+IF(BD$8="X",VLOOKUP(BD$10,'VK-Elekter'!$C:$X,2+$D137,0))+IF(BD$9="X",VLOOKUP(BD$10,'VK-Biokütused'!$C:$U,2+$E137,0))+IF(BD$5="X",VLOOKUP(BD$10,'VK-Põlevkivi'!$C:$X,2+$G137,0))+IF(BD$4="X",VLOOKUP(BD$10,'VK-Võrgud'!$C:$X,2+$F137,0))</f>
        <v>9.1105555555555569</v>
      </c>
      <c r="BE137" s="230"/>
      <c r="BF137" s="229">
        <f t="shared" si="64"/>
        <v>0.41762821979641068</v>
      </c>
      <c r="BG137" s="209" t="e">
        <f>(IF(BG$7="X",VLOOKUP(BG$10,'VK-Hooned-Soojus'!$C:$X,2+$C137,FALSE),0)+IF(BG$6="X",VLOOKUP(BG$10,'VK-Transport'!$C:$X,2+$B137,0))+IF(BG$8="X",VLOOKUP(BG$10,'VK-Elekter'!$C:$X,2+$D137,0))+IF(BG$9="X",VLOOKUP(BG$10,'VK-Biokütused'!$C:$U,2+$E137,0))+IF(BG$5="X",VLOOKUP(BG$10,'VK-Põlevkivi'!$C:$X,2+$G137,0))+IF(BG$4="X",VLOOKUP(BG$10,'VK-Võrgud'!$C:$X,2+$F137,0)))/20</f>
        <v>#N/A</v>
      </c>
      <c r="BH137" s="209">
        <f>(IF(BH$7="X",VLOOKUP(BH$10,'VK-Hooned-Soojus'!$C:$X,2+$C137,FALSE),0)+IF(BH$6="X",VLOOKUP(BH$10,'VK-Transport'!$C:$X,2+$B137,0))+IF(BH$8="X",VLOOKUP(BH$10,'VK-Elekter'!$C:$X,2+$D137,0))+IF(BH$9="X",VLOOKUP(BH$10,'VK-Biokütused'!$C:$U,2+$E137,0))+IF(BH$5="X",VLOOKUP(BH$10,'VK-Põlevkivi'!$C:$X,2+$G137,0))+IF(BH$4="X",VLOOKUP(BH$10,'VK-Võrgud'!$C:$X,2+$F137,0)))/20</f>
        <v>84.204999999999998</v>
      </c>
      <c r="BI137" s="209">
        <f>(IF(BI$7="X",VLOOKUP(BI$10,'VK-Hooned-Soojus'!$C:$X,2+$C137,FALSE),0)+IF(BI$6="X",VLOOKUP(BI$10,'VK-Transport'!$C:$X,2+$B137,0))+IF(BI$8="X",VLOOKUP(BI$10,'VK-Elekter'!$C:$X,2+$D137,0))+IF(BI$9="X",VLOOKUP(BI$10,'VK-Biokütused'!$C:$U,2+$E137,0))+IF(BI$5="X",VLOOKUP(BI$10,'VK-Põlevkivi'!$C:$X,2+$G137,0))+IF(BI$4="X",VLOOKUP(BI$10,'VK-Võrgud'!$C:$X,2+$F137,0)))/16</f>
        <v>8.9375</v>
      </c>
      <c r="BJ137" s="209">
        <f>(IF(BJ$7="X",VLOOKUP(BJ$10,'VK-Hooned-Soojus'!$C:$X,2+$C137,FALSE),0)+IF(BJ$6="X",VLOOKUP(BJ$10,'VK-Transport'!$C:$X,2+$B137,0))+IF(BJ$8="X",VLOOKUP(BJ$10,'VK-Elekter'!$C:$X,2+$D137,0))+IF(BJ$9="X",VLOOKUP(BJ$10,'VK-Biokütused'!$C:$U,2+$E137,0))+IF(BJ$5="X",VLOOKUP(BJ$10,'VK-Põlevkivi'!$C:$X,2+$G137,0))+IF(BJ$4="X",VLOOKUP(BJ$10,'VK-Võrgud'!$C:$X,2+$F137,0)))/20</f>
        <v>5.33</v>
      </c>
      <c r="BK137" s="209"/>
      <c r="BL137" s="209"/>
      <c r="BM137" s="209"/>
      <c r="BN137" s="209" t="e">
        <f>(IF(BN$7="X",VLOOKUP(BN$10,'VK-Hooned-Soojus'!$C:$X,2+$C137,FALSE),0)+IF(BN$6="X",VLOOKUP(BN$10,'VK-Transport'!$C:$X,2+$B137,0))+IF(BN$8="X",VLOOKUP(BN$10,'VK-Elekter'!$C:$X,2+$D137,0))+IF(BN$9="X",VLOOKUP(BN$10,'VK-Biokütused'!$C:$U,2+$E137,0))+IF(BN$5="X",VLOOKUP(BN$10,'VK-Põlevkivi'!$C:$X,2+$G137,0))+IF(BN$4="X",VLOOKUP(BN$10,'VK-Võrgud'!$C:$X,2+$F137,0)))/16</f>
        <v>#N/A</v>
      </c>
      <c r="BO137" s="209">
        <f>(IF(BO$7="X",VLOOKUP(BO$10,'VK-Hooned-Soojus'!$C:$X,2+$C137,FALSE),0)+IF(BO$6="X",VLOOKUP(BO$10,'VK-Transport'!$C:$X,2+$B137,0))+IF(BO$8="X",VLOOKUP(BO$10,'VK-Elekter'!$C:$X,2+$D137,0))+IF(BO$9="X",VLOOKUP(BO$10,'VK-Biokütused'!$C:$U,2+$E137,0))+IF(BO$5="X",VLOOKUP(BO$10,'VK-Põlevkivi'!$C:$X,2+$G137,0))+IF(BO$4="X",VLOOKUP(BO$10,'VK-Võrgud'!$C:$X,2+$F137,0)))/16</f>
        <v>322.79374999999999</v>
      </c>
      <c r="BP137" s="209"/>
      <c r="BQ137" s="209">
        <f>(IF(BQ$7="X",VLOOKUP(BQ$10,'VK-Hooned-Soojus'!$C:$X,2+$C137,FALSE),0)+IF(BQ$6="X",VLOOKUP(BQ$10,'VK-Transport'!$C:$X,2+$B137,0))+IF(BQ$8="X",VLOOKUP(BQ$10,'VK-Elekter'!$C:$X,2+$D137,0))+IF(BQ$9="X",VLOOKUP(BQ$10,'VK-Biokütused'!$C:$U,2+$E137,0))+IF(BQ$5="X",VLOOKUP(BQ$10,'VK-Põlevkivi'!$C:$X,2+$G137,0))+IF(BQ$4="X",VLOOKUP(BQ$10,'VK-Võrgud'!$C:$X,2+$F137,0)))/16</f>
        <v>233.20625000000001</v>
      </c>
      <c r="BR137" s="209">
        <f>(IF(BR$7="X",VLOOKUP(BR$10,'VK-Hooned-Soojus'!$C:$X,2+$C137,FALSE),0)+IF(BR$6="X",VLOOKUP(BR$10,'VK-Transport'!$C:$X,2+$B137,0))+IF(BR$8="X",VLOOKUP(BR$10,'VK-Elekter'!$C:$X,2+$D137,0))+IF(BR$9="X",VLOOKUP(BR$10,'VK-Biokütused'!$C:$U,2+$E137,0))+IF(BR$5="X",VLOOKUP(BR$10,'VK-Põlevkivi'!$C:$X,2+$G137,0))+IF(BR$4="X",VLOOKUP(BR$10,'VK-Võrgud'!$C:$X,2+$F137,0)))/16</f>
        <v>74.512500000000003</v>
      </c>
      <c r="BS137" s="209">
        <f>(IF(BS$7="X",VLOOKUP(BS$10,'VK-Hooned-Soojus'!$C:$X,2+$C137,FALSE),0)+IF(BS$6="X",VLOOKUP(BS$10,'VK-Transport'!$C:$X,2+$B137,0))+IF(BS$8="X",VLOOKUP(BS$10,'VK-Elekter'!$C:$X,2+$D137,0))+IF(BS$9="X",VLOOKUP(BS$10,'VK-Biokütused'!$C:$U,2+$E137,0))+IF(BS$5="X",VLOOKUP(BS$10,'VK-Põlevkivi'!$C:$X,2+$G137,0))+IF(BS$4="X",VLOOKUP(BS$10,'VK-Võrgud'!$C:$X,2+$F137,0)))/16</f>
        <v>-21.475000000000001</v>
      </c>
      <c r="BT137" s="209"/>
      <c r="BU137" s="209"/>
      <c r="BV137" s="209">
        <f>(IF(BV$7="X",VLOOKUP(BV$10,'VK-Hooned-Soojus'!$C:$X,2+$C137,FALSE),0)+IF(BV$6="X",VLOOKUP(BV$10,'VK-Transport'!$C:$X,2+$B137,0))+IF(BV$8="X",VLOOKUP(BV$10,'VK-Elekter'!$C:$X,2+$D137,0))+IF(BV$9="X",VLOOKUP(BV$10,'VK-Biokütused'!$C:$U,2+$E137,0))+IF(BV$5="X",VLOOKUP(BV$10,'VK-Põlevkivi'!$C:$X,2+$G137,0))+IF(BV$4="X",VLOOKUP(BV$10,'VK-Võrgud'!$C:$X,2+$F137,0)))/16</f>
        <v>0</v>
      </c>
      <c r="BW137" s="209"/>
      <c r="BX137" s="209">
        <f>(IF(BX$7="X",VLOOKUP(BX$10,'VK-Hooned-Soojus'!$C:$X,2+$C137,FALSE),0)+IF(BX$6="X",VLOOKUP(BX$10,'VK-Transport'!$C:$X,2+$B137,0))+IF(BX$8="X",VLOOKUP(BX$10,'VK-Elekter'!$C:$X,2+$D137,0))+IF(BX$9="X",VLOOKUP(BX$10,'VK-Biokütused'!$C:$U,2+$E137,0))+IF(BX$5="X",VLOOKUP(BX$10,'VK-Põlevkivi'!$C:$X,2+$G137,0))+IF(BX$4="X",VLOOKUP(BX$10,'VK-Võrgud'!$C:$X,2+$F137,0)))/16</f>
        <v>-99.4375</v>
      </c>
      <c r="BY137" s="209"/>
      <c r="BZ137" s="209"/>
      <c r="CA137" s="209" t="e">
        <f>(IF(CA$7="X",VLOOKUP(CA$10,'VK-Hooned-Soojus'!$C:$X,2+$C137,FALSE),0)+IF(CA$6="X",VLOOKUP(CA$10,'VK-Transport'!$C:$X,2+$B137,0))+IF(CA$8="X",VLOOKUP(CA$10,'VK-Elekter'!$C:$X,2+$D137,0))+IF(CA$9="X",VLOOKUP(CA$10,'VK-Biokütused'!$C:$U,2+$E137,0))+IF(CA$5="X",VLOOKUP(CA$10,'VK-Põlevkivi'!$C:$X,2+$G137,0))+IF(CA$4="X",VLOOKUP(CA$10,'VK-Võrgud'!$C:$X,2+$F137,0)))/16</f>
        <v>#N/A</v>
      </c>
      <c r="CB137" s="209">
        <f>(IF(CB$7="X",VLOOKUP(CB$10,'VK-Hooned-Soojus'!$C:$X,2+$C137,FALSE),0)+IF(CB$6="X",VLOOKUP(CB$10,'VK-Transport'!$C:$X,2+$B137,0))+IF(CB$8="X",VLOOKUP(CB$10,'VK-Elekter'!$C:$X,2+$D137,0))+IF(CB$9="X",VLOOKUP(CB$10,'VK-Biokütused'!$C:$U,2+$E137,0))+IF(CB$5="X",VLOOKUP(CB$10,'VK-Põlevkivi'!$C:$X,2+$G137,0))+IF(CB$4="X",VLOOKUP(CB$10,'VK-Võrgud'!$C:$X,2+$F137,0)))/16</f>
        <v>0</v>
      </c>
      <c r="CC137" s="209">
        <f>(IF(CC$7="X",VLOOKUP(CC$10,'VK-Hooned-Soojus'!$C:$X,2+$C137,FALSE),0)+IF(CC$6="X",VLOOKUP(CC$10,'VK-Transport'!$C:$X,2+$B137,0))+IF(CC$8="X",VLOOKUP(CC$10,'VK-Elekter'!$C:$X,2+$D137,0))+IF(CC$9="X",VLOOKUP(CC$10,'VK-Biokütused'!$C:$U,2+$E137,0))+IF(CC$5="X",VLOOKUP(CC$10,'VK-Põlevkivi'!$C:$X,2+$G137,0))+IF(CC$4="X",VLOOKUP(CC$10,'VK-Võrgud'!$C:$X,2+$F137,0)))/16</f>
        <v>0</v>
      </c>
      <c r="CD137" s="209"/>
      <c r="CE137" s="209">
        <f>(IF(CE$7="X",VLOOKUP(CE$10,'VK-Hooned-Soojus'!$C:$X,2+$C137,FALSE),0)+IF(CE$6="X",VLOOKUP(CE$10,'VK-Transport'!$C:$X,2+$B137,0))+IF(CE$8="X",VLOOKUP(CE$10,'VK-Elekter'!$C:$X,2+$D137,0))+IF(CE$9="X",VLOOKUP(CE$10,'VK-Biokütused'!$C:$U,2+$E137,0))+IF(CE$5="X",VLOOKUP(CE$10,'VK-Põlevkivi'!$C:$X,2+$G137,0))+IF(CE$4="X",VLOOKUP(CE$10,'VK-Võrgud'!$C:$X,2+$F137,0)))/16</f>
        <v>24.15625</v>
      </c>
      <c r="CF137" s="209"/>
      <c r="CG137" s="209">
        <f>(IF(CG$7="X",VLOOKUP(CG$10,'VK-Hooned-Soojus'!$C:$X,2+$C137,FALSE),0)+IF(CG$6="X",VLOOKUP(CG$10,'VK-Transport'!$C:$X,2+$B137,0))+IF(CG$8="X",VLOOKUP(CG$10,'VK-Elekter'!$C:$X,2+$D137,0))+IF(CG$9="X",VLOOKUP(CG$10,'VK-Biokütused'!$C:$U,2+$E137,0))+IF(CG$5="X",VLOOKUP(CG$10,'VK-Põlevkivi'!$C:$X,2+$G137,0))+IF(CG$4="X",VLOOKUP(CG$10,'VK-Võrgud'!$C:$X,2+$F137,0)))/16</f>
        <v>0</v>
      </c>
      <c r="CH137" s="209">
        <f>(IF(CH$7="X",VLOOKUP(CH$10,'VK-Hooned-Soojus'!$C:$X,2+$C137,FALSE),0)+IF(CH$6="X",VLOOKUP(CH$10,'VK-Transport'!$C:$X,2+$B137,0))+IF(CH$8="X",VLOOKUP(CH$10,'VK-Elekter'!$C:$X,2+$D137,0))+IF(CH$9="X",VLOOKUP(CH$10,'VK-Biokütused'!$C:$U,2+$E137,0))+IF(CH$5="X",VLOOKUP(CH$10,'VK-Põlevkivi'!$C:$X,2+$G137,0))+IF(CH$4="X",VLOOKUP(CH$10,'VK-Võrgud'!$C:$X,2+$F137,0)))/20*0.21</f>
        <v>26.9178</v>
      </c>
      <c r="CI137" s="209"/>
      <c r="CJ137" s="209">
        <f>(IF(CJ$7="X",VLOOKUP(CJ$10,'VK-Hooned-Soojus'!$C:$X,2+$C137,FALSE),0)+IF(CJ$6="X",VLOOKUP(CJ$10,'VK-Transport'!$C:$X,2+$B137,0))+IF(CJ$8="X",VLOOKUP(CJ$10,'VK-Elekter'!$C:$X,2+$D137,0))+IF(CJ$9="X",VLOOKUP(CJ$10,'VK-Biokütused'!$C:$U,2+$E137,0))+IF(CJ$5="X",VLOOKUP(CJ$10,'VK-Põlevkivi'!$C:$X,2+$G137,0))+IF(CJ$4="X",VLOOKUP(CJ$10,'VK-Võrgud'!$C:$X,2+$F137,0)))/1000</f>
        <v>16.465861099430587</v>
      </c>
      <c r="CK137" s="209">
        <f>(IF(CK$7="X",VLOOKUP(CK$10,'VK-Hooned-Soojus'!$C:$X,2+$C137,FALSE),0)+IF(CK$6="X",VLOOKUP(CK$10,'VK-Transport'!$C:$X,2+$B137,0))+IF(CK$8="X",VLOOKUP(CK$10,'VK-Elekter'!$C:$X,2+$D137,0))+IF(CK$9="X",VLOOKUP(CK$10,'VK-Biokütused'!$C:$U,2+$E137,0))+IF(CK$5="X",VLOOKUP(CK$10,'VK-Põlevkivi'!$C:$X,2+$G137,0))+IF(CK$4="X",VLOOKUP(CK$10,'VK-Võrgud'!$C:$X,2+$F137,0)))/1000</f>
        <v>11.219077976340797</v>
      </c>
      <c r="CL137" s="235">
        <f>(IF(CL$7="X",VLOOKUP(CL$10,'VK-Hooned-Soojus'!$C:$X,2+$C137,FALSE),0)+IF(CL$6="X",VLOOKUP(CL$10,'VK-Transport'!$C:$X,2+$B137,0))+IF(CL$8="X",VLOOKUP(CL$10,'VK-Elekter'!$C:$X,2+$D137,0))+IF(CL$9="X",VLOOKUP(CL$10,'VK-Biokütused'!$C:$U,2+$E137,0)))/1000</f>
        <v>7.1502826922990277</v>
      </c>
      <c r="CM137" s="209">
        <f>(IF(CM$7="X",VLOOKUP(CM$10,'VK-Hooned-Soojus'!$C:$X,2+$C137,FALSE),0)+IF(CM$6="X",VLOOKUP(CM$10,'VK-Transport'!$C:$X,2+$B137,0))+IF(CM$8="X",VLOOKUP(CM$10,'VK-Elekter'!$C:$X,2+$D137,0))+IF(CM$9="X",VLOOKUP(CM$10,'VK-Biokütused'!$C:$U,2+$E137,0))+IF(CM$5="X",VLOOKUP(CM$10,'VK-Põlevkivi'!$C:$X,2+$G137,0))+IF(CM$4="X",VLOOKUP(CM$10,'VK-Võrgud'!$C:$X,2+$F137,0)))/1000</f>
        <v>7.5743156794471025</v>
      </c>
      <c r="CN137" s="209">
        <f>(IF(CN$7="X",VLOOKUP(CN$10,'VK-Hooned-Soojus'!$C:$X,2+$C137,FALSE),0)+IF(CN$6="X",VLOOKUP(CN$10,'VK-Transport'!$C:$X,2+$B137,0))+IF(CN$8="X",VLOOKUP(CN$10,'VK-Elekter'!$C:$X,2+$D137,0))+IF(CN$9="X",VLOOKUP(CN$10,'VK-Biokütused'!$C:$U,2+$E137,0))+IF(CN$5="X",VLOOKUP(CN$10,'VK-Põlevkivi'!$C:$X,2+$G137,0))+IF(CN$4="X",VLOOKUP(CN$10,'VK-Võrgud'!$C:$X,2+$F137,0)))/1000</f>
        <v>2.7810000000000001</v>
      </c>
      <c r="CO137" s="209">
        <f>(IF(CO$7="X",VLOOKUP(CO$10,'VK-Hooned-Soojus'!$C:$X,2+$C137,FALSE),0)+IF(CO$6="X",VLOOKUP(CO$10,'VK-Transport'!$C:$X,2+$B137,0))+IF(CO$8="X",VLOOKUP(CO$10,'VK-Elekter'!$C:$X,2+$D137,0))+IF(CO$9="X",VLOOKUP(CO$10,'VK-Biokütused'!$C:$U,2+$E137,0))+IF(CO$5="X",VLOOKUP(CO$10,'VK-Põlevkivi'!$C:$X,2+$G137,0))+IF(CO$4="X",VLOOKUP(CO$10,'VK-Võrgud'!$C:$X,2+$F137,0)))/1000</f>
        <v>23.569362337356992</v>
      </c>
      <c r="CP137" s="209">
        <f>(IF(CP$7="X",VLOOKUP(CP$10,'VK-Hooned-Soojus'!$C:$X,2+$C137,FALSE),0)+IF(CP$6="X",VLOOKUP(CP$10,'VK-Transport'!$C:$X,2+$B137,0))+IF(CP$8="X",VLOOKUP(CP$10,'VK-Elekter'!$C:$X,2+$D137,0))+IF(CP$9="X",VLOOKUP(CP$10,'VK-Biokütused'!$C:$U,2+$E137,0))+IF(CP$5="X",VLOOKUP(CP$10,'VK-Põlevkivi'!$C:$X,2+$G137,0))+IF(CP$4="X",VLOOKUP(CP$10,'VK-Võrgud'!$C:$X,2+$F137,0)))/1000</f>
        <v>13.40539212069366</v>
      </c>
      <c r="CQ137" s="235">
        <f>(IF(CQ$7="X",VLOOKUP(CQ$10,'VK-Hooned-Soojus'!$C:$X,2+$C137,FALSE),0)+IF(CQ$6="X",VLOOKUP(CQ$10,'VK-Transport'!$C:$X,2+$B137,0))+IF(CQ$8="X",VLOOKUP(CQ$10,'VK-Elekter'!$C:$X,2+$D137,0))+IF(CQ$9="X",VLOOKUP(CQ$10,'VK-Biokütused'!$C:$U,2+$E137,0)))/1000</f>
        <v>10.247919</v>
      </c>
      <c r="CR137" s="209">
        <f>(IF(CR$7="X",VLOOKUP(CR$10,'VK-Hooned-Soojus'!$C:$X,2+$C137,FALSE),0)+IF(CR$6="X",VLOOKUP(CR$10,'VK-Transport'!$C:$X,2+$B137,0))+IF(CR$8="X",VLOOKUP(CR$10,'VK-Elekter'!$C:$X,2+$D137,0))+IF(CR$9="X",VLOOKUP(CR$10,'VK-Biokütused'!$C:$U,2+$E137,0))+IF(CR$5="X",VLOOKUP(CR$10,'VK-Põlevkivi'!$C:$X,2+$G137,0))+IF(CR$4="X",VLOOKUP(CR$10,'VK-Võrgud'!$C:$X,2+$F137,0)))/1000</f>
        <v>7.6937518373996889</v>
      </c>
      <c r="CS137" s="209">
        <f>(IF(CS$7="X",VLOOKUP(CS$10,'VK-Hooned-Soojus'!$C:$X,2+$C137,FALSE),0)+IF(CS$6="X",VLOOKUP(CS$10,'VK-Transport'!$C:$X,2+$B137,0))+IF(CS$8="X",VLOOKUP(CS$10,'VK-Elekter'!$C:$X,2+$D137,0))+IF(CS$9="X",VLOOKUP(CS$10,'VK-Biokütused'!$C:$U,2+$E137,0))+IF(CS$5="X",VLOOKUP(CS$10,'VK-Põlevkivi'!$C:$X,2+$G137,0))+IF(CS$4="X",VLOOKUP(CS$10,'VK-Võrgud'!$C:$X,2+$F137,0)))/1000</f>
        <v>3.7686495098622381</v>
      </c>
      <c r="CT137" s="209">
        <f>IF(CT$7="X",VLOOKUP(CT$10,'VK-Hooned-Soojus'!$C:$X,2+$C137,FALSE),0)+IF(CT$6="X",VLOOKUP(CT$10,'VK-Transport'!$C:$X,2+$B137,0))+IF(CT$8="X",VLOOKUP(CT$10,'VK-Elekter'!$C:$X,2+$D137,0))+IF(CT$9="X",VLOOKUP(CT$10,'VK-Biokütused'!$C:$U,2+$E137,0))+IF(CT$5="X",VLOOKUP(CT$10,'VK-Põlevkivi'!$C:$X,2+$G137,0))+IF(CT$4="X",VLOOKUP(CT$10,'VK-Võrgud'!$C:$X,2+$F137,0))</f>
        <v>90</v>
      </c>
      <c r="CU137" s="209">
        <f>IF(CU$7="X",VLOOKUP(CU$10,'VK-Hooned-Soojus'!$C:$X,2+$C137,FALSE),0)+IF(CU$6="X",VLOOKUP(CU$10,'VK-Transport'!$C:$X,2+$B137,0))+IF(CU$8="X",VLOOKUP(CU$10,'VK-Elekter'!$C:$X,2+$D137,0))+IF(CU$9="X",VLOOKUP(CU$10,'VK-Biokütused'!$C:$U,2+$E137,0))+IF(CU$5="X",VLOOKUP(CU$10,'VK-Põlevkivi'!$C:$X,2+$G137,0))+IF(CU$4="X",VLOOKUP(CU$10,'VK-Võrgud'!$C:$X,2+$F137,0))</f>
        <v>0.9337349397590361</v>
      </c>
      <c r="CV137" s="209">
        <f t="shared" si="84"/>
        <v>1</v>
      </c>
      <c r="CW137" s="209">
        <f>(IF(CW$7="X",VLOOKUP(CW$10,'VK-Hooned-Soojus'!$C:$X,2+$C137,FALSE),0)+IF(CW$6="X",VLOOKUP(CW$10,'VK-Transport'!$C:$X,2+$B137,0))+IF(CW$8="X",VLOOKUP(CW$10,'VK-Elekter'!$C:$X,2+$D137,0))+IF(CW$9="X",VLOOKUP(CW$10,'VK-Biokütused'!$C:$U,2+$E137,0))+IF(CW$5="X",VLOOKUP(CW$10,'VK-Põlevkivi'!$C:$X,2+$G137,0))+IF(CW$4="X",VLOOKUP(CW$10,'VK-Võrgud'!$C:$X,2+$F137,0)))/16</f>
        <v>0</v>
      </c>
      <c r="CY137" s="209">
        <f>(IF(CY$7="X",VLOOKUP(CY$10,'VK-Hooned-Soojus'!$C:$X,2+$C137,FALSE),0)+IF(CY$6="X",VLOOKUP(CY$10,'VK-Transport'!$C:$X,2+$B137,0))+IF(CY$8="X",VLOOKUP(CY$10,'VK-Elekter'!$C:$X,2+$D137,0))+IF(CY$9="X",VLOOKUP(CY$10,'VK-Biokütused'!$C:$U,2+$E137,0))+IF(CY$5="X",VLOOKUP(CY$10,'VK-Põlevkivi'!$C:$X,2+$G137,0))+IF(CY$4="X",VLOOKUP(CY$10,'VK-Võrgud'!$C:$X,2+$F137,0)))/1000</f>
        <v>9.7629999999999999</v>
      </c>
      <c r="CZ137" s="209">
        <f>(IF(CZ$7="X",VLOOKUP(CZ$10,'VK-Hooned-Soojus'!$C:$X,2+$C137,FALSE),0)+IF(CZ$6="X",VLOOKUP(CZ$10,'VK-Transport'!$C:$X,2+$B137,0))+IF(CZ$8="X",VLOOKUP(CZ$10,'VK-Elekter'!$C:$X,2+$D137,0))+IF(CZ$9="X",VLOOKUP(CZ$10,'VK-Biokütused'!$C:$U,2+$E137,0))+IF(CZ$5="X",VLOOKUP(CZ$10,'VK-Põlevkivi'!$C:$X,2+$G137,0))+IF(CZ$4="X",VLOOKUP(CZ$10,'VK-Võrgud'!$C:$X,2+$F137,0)))</f>
        <v>68</v>
      </c>
      <c r="DA137" s="209">
        <f>(IF(DA$7="X",VLOOKUP(DA$10,'VK-Hooned-Soojus'!$C:$X,2+$C137,FALSE),0)+IF(DA$6="X",VLOOKUP(DA$10,'VK-Transport'!$C:$X,2+$B137,0))+IF(DA$8="X",VLOOKUP(DA$10,'VK-Elekter'!$C:$X,2+$D137,0))+IF(DA$9="X",VLOOKUP(DA$10,'VK-Biokütused'!$C:$U,2+$E137,0))+IF(DA$5="X",VLOOKUP(DA$10,'VK-Põlevkivi'!$C:$X,2+$G137,0))+IF(DA$4="X",VLOOKUP(DA$10,'VK-Võrgud'!$C:$X,2+$F137,0)))/1000</f>
        <v>12.65</v>
      </c>
      <c r="DB137" s="209">
        <f>(IF(DB$7="X",VLOOKUP(DB$10,'VK-Hooned-Soojus'!$C:$X,2+$C137,FALSE),0)+IF(DB$6="X",VLOOKUP(DB$10,'VK-Transport'!$C:$X,2+$B137,0))+IF(DB$8="X",VLOOKUP(DB$10,'VK-Elekter'!$C:$X,2+$D137,0))+IF(DB$9="X",VLOOKUP(DB$10,'VK-Biokütused'!$C:$U,2+$E137,0))+IF(DB$5="X",VLOOKUP(DB$10,'VK-Põlevkivi'!$C:$X,2+$G137,0))+IF(DB$4="X",VLOOKUP(DB$10,'VK-Võrgud'!$C:$X,2+$F137,0)))/1000/3.6</f>
        <v>57.012500000000003</v>
      </c>
      <c r="DC137" s="209">
        <f>(IF(DC$7="X",VLOOKUP(DC$10,'VK-Hooned-Soojus'!$C:$X,2+$C137,FALSE),0)+IF(DC$6="X",VLOOKUP(DC$10,'VK-Transport'!$C:$X,2+$B137,0))+IF(DC$8="X",VLOOKUP(DC$10,'VK-Elekter'!$C:$X,2+$D137,0))+IF(DC$9="X",VLOOKUP(DC$10,'VK-Biokütused'!$C:$U,2+$E137,0))+IF(DC$5="X",VLOOKUP(DC$10,'VK-Põlevkivi'!$C:$X,2+$G137,0))+IF(DC$4="X",VLOOKUP(DC$10,'VK-Võrgud'!$C:$X,2+$F137,0)))/1000000</f>
        <v>4.613632</v>
      </c>
      <c r="DD137" s="209"/>
      <c r="DE137" s="88">
        <f>VLOOKUP(Tulemused!$BN$12,data!M$7:N$12,2,FALSE)-SUM(L137,M137)</f>
        <v>0.39749062697563176</v>
      </c>
      <c r="DF137" s="209" t="str">
        <f>IF(AZ137&lt;=VLOOKUP(Tulemused!$BN$15,data!$E$36:$F$39,2,FALSE),"JAH","EI")</f>
        <v>JAH</v>
      </c>
      <c r="DG137" s="209"/>
      <c r="DH137" s="209">
        <f t="shared" si="85"/>
        <v>6.08</v>
      </c>
      <c r="DI137" s="231" t="str">
        <f t="shared" si="65"/>
        <v>JAH</v>
      </c>
      <c r="DK137" s="232">
        <f t="shared" si="86"/>
        <v>6.3213672301352926</v>
      </c>
      <c r="DM137" s="233">
        <f t="shared" si="87"/>
        <v>-998.73763266296942</v>
      </c>
      <c r="DN137" s="87">
        <f t="array" ref="DN137">INDEX($A$11:$A$145, SMALL(IF(DM137=$DK$11:$DK$145, MATCH(ROW($DK$11:$DK$145), ROW($DK$11:$DK$145))), SUM(--(DM137=$DM$11:DM137))))</f>
        <v>34</v>
      </c>
      <c r="DP137" s="87" t="e">
        <f t="shared" ca="1" si="66"/>
        <v>#N/A</v>
      </c>
      <c r="DQ137" s="87" t="e">
        <f t="shared" ca="1" si="67"/>
        <v>#N/A</v>
      </c>
      <c r="DR137" s="87">
        <f t="shared" ca="1" si="68"/>
        <v>0</v>
      </c>
      <c r="DS137" s="87" t="e">
        <f t="shared" ca="1" si="69"/>
        <v>#N/A</v>
      </c>
      <c r="DT137" s="87">
        <f t="shared" ca="1" si="70"/>
        <v>0</v>
      </c>
      <c r="DU137" s="87" t="e">
        <f t="shared" ca="1" si="71"/>
        <v>#N/A</v>
      </c>
      <c r="DV137" s="87" t="e">
        <f t="shared" ca="1" si="72"/>
        <v>#N/A</v>
      </c>
      <c r="DW137" s="87">
        <f t="shared" ca="1" si="73"/>
        <v>0</v>
      </c>
      <c r="DX137" s="87">
        <f t="shared" ca="1" si="74"/>
        <v>0</v>
      </c>
      <c r="DZ137" s="87">
        <f t="shared" ca="1" si="82"/>
        <v>0</v>
      </c>
      <c r="EB137" s="87">
        <f t="shared" ca="1" si="75"/>
        <v>0</v>
      </c>
      <c r="EC137" s="87" t="e">
        <f t="shared" ca="1" si="76"/>
        <v>#N/A</v>
      </c>
      <c r="EE137" s="228">
        <f>(IF(EE$7="X",VLOOKUP(EE$10,'VK-Hooned-Soojus'!$C:$X,2+$C137,FALSE),0)+IF(EE$6="X",VLOOKUP(EE$10,'VK-Transport'!$C:$X,2+$B137,0))+IF(EE$8="X",VLOOKUP(EE$10,'VK-Elekter'!$C:$X,2+$D137,0))+IF(EE$9="X",VLOOKUP(EE$10,'VK-Biokütused'!$C:$U,2+$E137,0))+IF(EE$5="X",VLOOKUP(EE$10,'VK-Põlevkivi'!$C:$X,2+$G137,0))+IF(EE$4="X",VLOOKUP(EE$10,'VK-Võrgud'!$C:$X,2+$F137,0)))</f>
        <v>9912.7731572740686</v>
      </c>
      <c r="EF137" s="235">
        <f>(IF(EF$7="X",VLOOKUP(EF$10,'VK-Hooned-Soojus'!$C:$X,2+$C137,FALSE),0)+IF(EF$6="X",VLOOKUP(EF$10,'VK-Transport'!$C:$X,2+$B137,0))+IF(EF$8="X",VLOOKUP(EF$10,'VK-Elekter'!$C:$X,2+$D137,0))+IF(EF$9="X",VLOOKUP(EF$10,'VK-Biokütused'!$C:$U,2+$E137,0)))/1000</f>
        <v>2.7478849906373197</v>
      </c>
      <c r="EG137" s="209">
        <f>(IF(EG$7="X",VLOOKUP(EG$10,'VK-Hooned-Soojus'!$C:$X,2+$C137,FALSE),0)+IF(EG$6="X",VLOOKUP(EG$10,'VK-Transport'!$C:$X,2+$B137,0))+IF(EG$8="X",VLOOKUP(EG$10,'VK-Elekter'!$C:$X,2+$D137,0))+IF(EG$9="X",VLOOKUP(EG$10,'VK-Biokütused'!$C:$U,2+$E137,0))+IF(EG$5="X",VLOOKUP(EG$10,'VK-Põlevkivi'!$C:$X,2+$G137,0))+IF(EG$4="X",VLOOKUP(EG$10,'VK-Võrgud'!$C:$X,2+$F137,0)))</f>
        <v>2.95</v>
      </c>
      <c r="EH137" s="209">
        <f>(IF(EH$7="X",VLOOKUP(EH$10,'VK-Hooned-Soojus'!$C:$X,2+$C137,FALSE),0)+IF(EH$6="X",VLOOKUP(EH$10,'VK-Transport'!$C:$X,2+$B137,0))+IF(EH$8="X",VLOOKUP(EH$10,'VK-Elekter'!$C:$X,2+$D137,0))+IF(EH$9="X",VLOOKUP(EH$10,'VK-Biokütused'!$C:$U,2+$E137,0)))+AR137+AS137+AU137+AX137</f>
        <v>48.956621447028425</v>
      </c>
      <c r="EI137" s="320">
        <f t="shared" si="88"/>
        <v>43.272900516795865</v>
      </c>
      <c r="EJ137" s="322">
        <f t="shared" si="89"/>
        <v>9.3307678114868606E-2</v>
      </c>
      <c r="EK137" s="323">
        <f t="shared" si="77"/>
        <v>0.51659368872597156</v>
      </c>
      <c r="EM137" s="209"/>
      <c r="EN137" s="209">
        <f t="shared" ca="1" si="90"/>
        <v>0</v>
      </c>
      <c r="EO137" s="209"/>
      <c r="EP137" s="234"/>
      <c r="EQ137" s="209">
        <f>(IF(EQ$7="X",VLOOKUP(EQ$10,'VK-Hooned-Soojus'!$C:$X,2+$C137,FALSE),0)+IF(EQ$6="X",VLOOKUP(EQ$10,'VK-Transport'!$C:$X,2+$B137,0))+IF(EQ$8="X",VLOOKUP(EQ$10,'VK-Elekter'!$C:$X,2+$D137,0))+IF(EQ$9="X",VLOOKUP(EQ$10,'VK-Biokütused'!$C:$U,2+$E137,0))+IF(EQ$5="X",VLOOKUP(EQ$10,'VK-Põlevkivi'!$C:$X,2+$G137,0))+IF(EQ$4="X",VLOOKUP(EQ$10,'VK-Võrgud'!$C:$X,2+$F137,0)))/1000</f>
        <v>0.19900000000000001</v>
      </c>
      <c r="ER137" s="209">
        <f>(IF(ER$7="X",VLOOKUP(ER$10,'VK-Hooned-Soojus'!$C:$X,2+$C137,FALSE),0)+IF(ER$6="X",VLOOKUP(ER$10,'VK-Transport'!$C:$X,2+$B137,0))+IF(ER$8="X",VLOOKUP(ER$10,'VK-Elekter'!$C:$X,2+$D137,0))+IF(ER$9="X",VLOOKUP(ER$10,'VK-Biokütused'!$C:$U,2+$E137,0))+IF(ER$5="X",VLOOKUP(ER$10,'VK-Põlevkivi'!$C:$X,2+$G137,0))+IF(ER$4="X",VLOOKUP(ER$10,'VK-Võrgud'!$C:$X,2+$F137,0)))</f>
        <v>0.72299999999999998</v>
      </c>
      <c r="ES137" s="209">
        <f>(IF(ES$7="X",VLOOKUP(ES$10,'VK-Hooned-Soojus'!$C:$X,2+$C137,FALSE),0)+IF(ES$6="X",VLOOKUP(ES$10,'VK-Transport'!$C:$X,2+$B137,0))+IF(ES$8="X",VLOOKUP(ES$10,'VK-Elekter'!$C:$X,2+$D137,0))+IF(ES$9="X",VLOOKUP(ES$10,'VK-Biokütused'!$C:$U,2+$E137,0))+IF(ES$5="X",VLOOKUP(ES$10,'VK-Põlevkivi'!$C:$X,2+$G137,0))+IF(ES$4="X",VLOOKUP(ES$10,'VK-Võrgud'!$C:$X,2+$F137,0)))</f>
        <v>6.08</v>
      </c>
      <c r="ET137" s="209"/>
      <c r="EU137" s="209"/>
      <c r="EV137" s="87">
        <f>'KSH järjestus'!AS130</f>
        <v>574</v>
      </c>
      <c r="EZ137" s="237">
        <f t="shared" si="91"/>
        <v>6.6265060240963902E-2</v>
      </c>
      <c r="FA137" s="209">
        <f>IF(FA$7="X",VLOOKUP(FA$10,'VK-Hooned-Soojus'!$C:$X,2+$C137,FALSE),0)+IF(FA$6="X",VLOOKUP(FA$10,'VK-Transport'!$C:$X,2+$B137,0))+IF(FA$8="X",VLOOKUP(FA$10,'VK-Elekter'!$C:$X,2+$D137,0))+IF(FA$9="X",VLOOKUP(FA$10,'VK-Biokütused'!$C:$U,2+$E137,0))+IF(FA$5="X",VLOOKUP(FA$10,'VK-Põlevkivi'!$C:$X,2+$G137,0))+IF(FA$4="X",VLOOKUP(FA$10,'VK-Võrgud'!$C:$X,2+$F137,0))</f>
        <v>2700.9189999999999</v>
      </c>
      <c r="FB137" s="279">
        <f>(IF(FB$7="X",VLOOKUP(FB$10,'VK-Hooned-Soojus'!$C:$X,2+$C137,FALSE),0)+IF(FB$6="X",VLOOKUP(FB$10,'VK-Transport'!$C:$X,2+$B137,0))+IF(FB$8="X",VLOOKUP(FB$10,'VK-Elekter'!$C:$X,2+$D137,0))+IF(FB$9="X",VLOOKUP(FB$10,'VK-Biokütused'!$C:$U,2+$E137,0))+IF(FB$5="X",VLOOKUP(FB$10,'VK-Põlevkivi'!$C:$X,2+$G137,0))+IF(FB$4="X",VLOOKUP(FB$10,'VK-Võrgud'!$C:$X,2+$F137,0)))/16</f>
        <v>401.554942830561</v>
      </c>
      <c r="FC137" s="209">
        <f>IF(FC$7="X",VLOOKUP(FC$10,'VK-Hooned-Soojus'!$C:$X,2+$C137,FALSE),0)+IF(FC$6="X",VLOOKUP(FC$10,'VK-Transport'!$C:$X,2+$B137,0))+IF(FC$8="X",VLOOKUP(FC$10,'VK-Elekter'!$C:$X,2+$D137,0))+IF(FC$9="X",VLOOKUP(FC$10,'VK-Biokütused'!$C:$U,2+$E137,0))+IF(FC$5="X",VLOOKUP(FC$10,'VK-Põlevkivi'!$C:$X,2+$G137,0))+IF(FC$4="X",VLOOKUP(FC$10,'VK-Võrgud'!$C:$X,2+$F137,0))</f>
        <v>285</v>
      </c>
      <c r="FD137" s="209">
        <f>(IF(FD$7="X",VLOOKUP(FD$10,'VK-Hooned-Soojus'!$C:$X,2+$C137,FALSE),0)+IF(FD$6="X",VLOOKUP(FD$10,'VK-Transport'!$C:$X,2+$B137,0))+IF(FD$8="X",VLOOKUP(FD$10,'VK-Elekter'!$C:$X,2+$D137,0))+IF(FD$9="X",VLOOKUP(FD$10,'VK-Biokütused'!$C:$U,2+$E137,0))+IF(FD$5="X",VLOOKUP(FD$10,'VK-Põlevkivi'!$C:$X,2+$G137,0))+IF(FD$4="X",VLOOKUP(FD$10,'VK-Võrgud'!$C:$X,2+$F137,0)))/16</f>
        <v>401.554942830561</v>
      </c>
      <c r="FE137" s="209">
        <f>(IF(FE$7="X",VLOOKUP(FE$10,'VK-Hooned-Soojus'!$C:$X,2+$C137,FALSE),0)+IF(FE$6="X",VLOOKUP(FE$10,'VK-Transport'!$C:$X,2+$B137,0))+IF(FE$8="X",VLOOKUP(FE$10,'VK-Elekter'!$C:$X,2+$D137,0))+IF(FE$9="X",VLOOKUP(FE$10,'VK-Biokütused'!$C:$U,2+$E137,0))+IF(FE$5="X",VLOOKUP(FE$10,'VK-Põlevkivi'!$C:$X,2+$G137,0))+IF(FE$4="X",VLOOKUP(FE$10,'VK-Võrgud'!$C:$X,2+$F137,0)))/16</f>
        <v>-162.95750000000001</v>
      </c>
      <c r="FF137" s="209">
        <f>(IF(FF$7="X",VLOOKUP(FF$10,'VK-Hooned-Soojus'!$C:$X,2+$C137,FALSE),0)+IF(FF$6="X",VLOOKUP(FF$10,'VK-Transport'!$C:$X,2+$B137,0))+IF(FF$8="X",VLOOKUP(FF$10,'VK-Elekter'!$C:$X,2+$D137,0))+IF(FF$9="X",VLOOKUP(FF$10,'VK-Biokütused'!$C:$U,2+$E137,0))+IF(FF$5="X",VLOOKUP(FF$10,'VK-Põlevkivi'!$C:$X,2+$G137,0))+IF(FF$4="X",VLOOKUP(FF$10,'VK-Võrgud'!$C:$X,2+$F137,0)))/16</f>
        <v>197.69029320404707</v>
      </c>
      <c r="FG137" s="88">
        <f t="shared" ca="1" si="78"/>
        <v>34.732793204047056</v>
      </c>
      <c r="FH137" s="88"/>
      <c r="FI137" s="88"/>
      <c r="FJ137" s="88">
        <f>VLOOKUP(Tulemused!$BN$12,data!M$7:N$12,2,FALSE)-SUM(L137,M137)</f>
        <v>0.39749062697563176</v>
      </c>
      <c r="FK137" s="209" t="str">
        <f>IF(AZ137&lt;=VLOOKUP(Tulemused!$BN$15,data!$E$36:$F$39,2,FALSE),"JAH","EI")</f>
        <v>JAH</v>
      </c>
      <c r="FL137" s="235">
        <f ca="1">IF(ISNA(MATCH($A137,INDIRECT(VLOOKUP(Tulemused!$BF$11,data!$J$57:$M$71,4,FALSE)))),0,MATCH($A137,INDIRECT(VLOOKUP(Tulemused!$BF$11,data!$J$57:$M$71,4,FALSE))))</f>
        <v>0</v>
      </c>
      <c r="FM137" s="235" t="str">
        <f t="shared" ca="1" si="92"/>
        <v>JAH</v>
      </c>
      <c r="FN137" s="209">
        <f>VLOOKUP(Tulemused!$BN$13,data!$C$132:$D$137,2,FALSE)-KOMBI!R137</f>
        <v>5.2080850093626809</v>
      </c>
      <c r="FO137" s="209"/>
      <c r="FP137" s="209">
        <f>VLOOKUP(Tulemused!$BN$17,NO_x,2,FALSE)-CJ137</f>
        <v>12.972138900569412</v>
      </c>
      <c r="FQ137" s="209">
        <f>VLOOKUP(Tulemused!$BN$18,SO_2,2,FALSE)-CK137</f>
        <v>40.664922023659201</v>
      </c>
      <c r="FR137" s="209">
        <f>VLOOKUP(Tulemused!$BN$19,LOU,2,FALSE)-CN137</f>
        <v>34.299000000000007</v>
      </c>
      <c r="FS137" s="209">
        <f>VLOOKUP(Tulemused!$BN$20,PM_2.5,2,FALSE)-CM137</f>
        <v>9.3406843205528958</v>
      </c>
      <c r="FT137" s="209">
        <f>VLOOKUP(Tulemused!$BN$13,data!$C$132:$D$137,2,FALSE)-FA137/1000</f>
        <v>3.5450510000000008</v>
      </c>
      <c r="FU137" s="209">
        <f>VLOOKUP(Tulemused!$BN$17,NO_x,2,FALSE)-CO137</f>
        <v>5.8686376626430068</v>
      </c>
      <c r="FV137" s="209">
        <f>VLOOKUP(Tulemused!$BN$18,SO_2,2,FALSE)-CP137</f>
        <v>38.478607879306338</v>
      </c>
      <c r="FW137" s="209">
        <f>VLOOKUP(Tulemused!$BN$19,LOU,2,FALSE)-CS137</f>
        <v>33.311350490137769</v>
      </c>
      <c r="FX137" s="209">
        <f>VLOOKUP(Tulemused!$BN$20,PM_2.5,2,FALSE)-CR137</f>
        <v>9.2212481626003111</v>
      </c>
      <c r="FY137" s="209">
        <f>VLOOKUP(Tulemused!$BN$14,KHG_2050,2,FALSE)-EF137</f>
        <v>97.252115009362683</v>
      </c>
      <c r="FZ137" s="231" t="str">
        <f t="shared" ca="1" si="79"/>
        <v>JAH</v>
      </c>
      <c r="GA137" s="209"/>
      <c r="GB137" s="209"/>
      <c r="GC137" s="209"/>
      <c r="GD137" s="231"/>
      <c r="GE137" s="87">
        <f t="shared" si="93"/>
        <v>574</v>
      </c>
      <c r="GF137" s="232">
        <f t="shared" ca="1" si="80"/>
        <v>574</v>
      </c>
      <c r="GH137" s="238" t="e">
        <f t="shared" ca="1" si="94"/>
        <v>#NUM!</v>
      </c>
      <c r="GI137" s="87" t="e">
        <f t="array" aca="1" ref="GI137" ca="1">INDEX($A$11:$A$145, SMALL(IF(GH137=$GF$11:$GF$145, MATCH(ROW($GF$11:$GF$145), ROW($GF$11:$GF$145))), SUM(--(GH137=$GH$11:GH137))))</f>
        <v>#NUM!</v>
      </c>
      <c r="GM137" s="209">
        <f>IF(GM$7="X",VLOOKUP(GM$10,'VK-Hooned-Soojus'!$C:$X,2+$C137,FALSE),0)+IF(GM$6="X",VLOOKUP(GM$10,'VK-Transport'!$C:$X,2+$B137,0))+IF(GM$8="X",VLOOKUP(GM$10,'VK-Elekter'!$C:$X,2+$D137,0))+IF(GM$9="X",VLOOKUP(GM$10,'VK-Biokütused'!$C:$U,2+$E137,0))+IF(GM$5="X",VLOOKUP(GM$10,'VK-Põlevkivi'!$C:$X,2+$G137,0))+IF(GM$4="X",VLOOKUP(GM$10,'VK-Võrgud'!$C:$X,2+$F137,0))</f>
        <v>6.011750640646909</v>
      </c>
      <c r="GN137" s="209">
        <f>IF(GN$7="X",VLOOKUP(GN$10,'VK-Hooned-Soojus'!$C:$X,2+$C137,FALSE),0)+IF(GN$6="X",VLOOKUP(GN$10,'VK-Transport'!$C:$X,2+$B137,0))+IF(GN$8="X",VLOOKUP(GN$10,'VK-Elekter'!$C:$X,2+$D137,0))+IF(GN$9="X",VLOOKUP(GN$10,'VK-Biokütused'!$C:$U,2+$E137,0))+IF(GN$5="X",VLOOKUP(GN$10,'VK-Põlevkivi'!$C:$X,2+$G137,0))+IF(GN$4="X",VLOOKUP(GN$10,'VK-Võrgud'!$C:$X,2+$F137,0))</f>
        <v>3.4528686473995491</v>
      </c>
      <c r="GO137" s="209">
        <f>IF(GO$7="X",VLOOKUP(GO$10,'VK-Hooned-Soojus'!$C:$X,2+$C137,FALSE),0)+IF(GO$6="X",VLOOKUP(GO$10,'VK-Transport'!$C:$X,2+$B137,0))+IF(GO$8="X",VLOOKUP(GO$10,'VK-Elekter'!$C:$X,2+$D137,0))+IF(GO$9="X",VLOOKUP(GO$10,'VK-Biokütused'!$C:$U,2+$E137,0))+IF(GO$5="X",VLOOKUP(GO$10,'VK-Põlevkivi'!$C:$X,2+$G137,0))+IF(GO$4="X",VLOOKUP(GO$10,'VK-Võrgud'!$C:$X,2+$F137,0))</f>
        <v>7.5763700102722566</v>
      </c>
      <c r="GP137" s="209">
        <f>IF(GP$7="X",VLOOKUP(GP$10,'VK-Hooned-Soojus'!$C:$X,2+$C137,FALSE),0)+IF(GP$6="X",VLOOKUP(GP$10,'VK-Transport'!$C:$X,2+$B137,0))+IF(GP$8="X",VLOOKUP(GP$10,'VK-Elekter'!$C:$X,2+$D137,0))+IF(GP$9="X",VLOOKUP(GP$10,'VK-Biokütused'!$C:$U,2+$E137,0))+IF(GP$5="X",VLOOKUP(GP$10,'VK-Põlevkivi'!$C:$X,2+$G137,0))+IF(GP$4="X",VLOOKUP(GP$10,'VK-Võrgud'!$C:$X,2+$F137,0))</f>
        <v>8.9326558040707589</v>
      </c>
      <c r="GQ137" s="88">
        <f>IF(GQ$7="X",VLOOKUP(GQ$10,'VK-Hooned-Soojus'!$C:$X,2+$C137,FALSE),0)+IF(GQ$6="X",VLOOKUP(GQ$10,'VK-Transport'!$C:$X,2+$B137,0))+IF(GQ$8="X",VLOOKUP(GQ$10,'VK-Elekter'!$C:$X,2+$D137,0))+IF(GQ$9="X",VLOOKUP(GQ$10,'VK-Biokütused'!$C:$U,2+$E137,0))+IF(GQ$5="X",VLOOKUP(GQ$10,'VK-Põlevkivi'!$C:$X,2+$G137,0))+IF(GQ$4="X",VLOOKUP(GQ$10,'VK-Võrgud'!$C:$X,2+$F137,0))</f>
        <v>0.89042766952822527</v>
      </c>
      <c r="GR137" s="186">
        <f t="shared" si="81"/>
        <v>0.40930554934184821</v>
      </c>
    </row>
    <row r="138" spans="1:200" x14ac:dyDescent="0.2">
      <c r="A138" s="184">
        <v>128</v>
      </c>
      <c r="B138" s="87">
        <v>3</v>
      </c>
      <c r="C138" s="87">
        <v>3</v>
      </c>
      <c r="D138" s="87">
        <v>3</v>
      </c>
      <c r="E138" s="87">
        <v>2</v>
      </c>
      <c r="F138" s="87">
        <f>VLOOKUP(Tulemused!$BF$7,data!$J$6:$K$8,2,FALSE)</f>
        <v>2</v>
      </c>
      <c r="G138" s="87">
        <f>VLOOKUP(data!$H$2,data!$J$12:$K$14,2,FALSE)</f>
        <v>2</v>
      </c>
      <c r="I138" s="209">
        <f>IF(I$7="X",VLOOKUP(I$10,'VK-Hooned-Soojus'!$C:$X,2+$C138,FALSE),0)+IF(I$6="X",VLOOKUP(I$10,'VK-Transport'!$C:$X,2+$B138,0))+IF(I$8="X",VLOOKUP(I$10,'VK-Elekter'!$C:$X,2+$D138,0))+IF(I$9="X",VLOOKUP(I$10,'VK-Biokütused'!$C:$U,2+$E138,0))+IF(I$5="X",VLOOKUP(I$10,'VK-Põlevkivi'!$C:$X,2+$G138,0))+IF(I$4="X",VLOOKUP(I$10,'VK-Võrgud'!$C:$X,2+$F138,0))</f>
        <v>23.490000000000002</v>
      </c>
      <c r="J138" s="209">
        <f>IF(J$7="X",VLOOKUP(J$10,'VK-Hooned-Soojus'!$C:$X,2+$C138,FALSE),0)+IF(J$6="X",VLOOKUP(J$10,'VK-Transport'!$C:$X,2+$B138,0))+IF(J$8="X",VLOOKUP(J$10,'VK-Elekter'!$C:$X,2+$D138,0))+IF(J$9="X",VLOOKUP(J$10,'VK-Biokütused'!$C:$U,2+$E138,0))+IF(J$5="X",VLOOKUP(J$10,'VK-Põlevkivi'!$C:$X,2+$G138,0))+IF(J$4="X",VLOOKUP(J$10,'VK-Võrgud'!$C:$X,2+$F138,0))</f>
        <v>8.1258333333333344</v>
      </c>
      <c r="K138" s="209">
        <f>IF(K$7="X",VLOOKUP(K$10,'VK-Hooned-Soojus'!$C:$X,2+$C138,FALSE),0)+IF(K$6="X",VLOOKUP(K$10,'VK-Transport'!$C:$X,2+$B138,0))+IF(K$8="X",VLOOKUP(K$10,'VK-Elekter'!$C:$X,2+$D138,0))+IF(K$9="X",VLOOKUP(K$10,'VK-Biokütused'!$C:$U,2+$E138,0))+IF(K$5="X",VLOOKUP(K$10,'VK-Põlevkivi'!$C:$X,2+$G138,0))+IF(K$4="X",VLOOKUP(K$10,'VK-Võrgud'!$C:$X,2+$F138,0))</f>
        <v>13.780000000000001</v>
      </c>
      <c r="L138" s="209">
        <f>IF(L$7="X",VLOOKUP(L$10,'VK-Hooned-Soojus'!$C:$X,2+$C138,FALSE),0)+IF(L$6="X",VLOOKUP(L$10,'VK-Transport'!$C:$X,2+$B138,0))+IF(L$8="X",VLOOKUP(L$10,'VK-Elekter'!$C:$X,2+$D138,0))+IF(L$9="X",VLOOKUP(L$10,'VK-Biokütused'!$C:$U,2+$E138,0))+IF(L$5="X",VLOOKUP(L$10,'VK-Põlevkivi'!$C:$X,2+$G138,0))+IF(L$4="X",VLOOKUP(L$10,'VK-Võrgud'!$C:$X,2+$F138,0))</f>
        <v>23.75</v>
      </c>
      <c r="M138" s="209">
        <f>IF(M$7="X",VLOOKUP(M$10,'VK-Hooned-Soojus'!$C:$X,2+$C138,FALSE),0)+IF(M$6="X",VLOOKUP(M$10,'VK-Transport'!$C:$X,2+$B138,0))+IF(M$8="X",VLOOKUP(M$10,'VK-Elekter'!$C:$X,2+$D138,0))+IF(M$9="X",VLOOKUP(M$10,'VK-Biokütused'!$C:$U,2+$E138,0))+IF(M$5="X",VLOOKUP(M$10,'VK-Põlevkivi'!$C:$X,2+$G138,0))+IF(M$4="X",VLOOKUP(M$10,'VK-Võrgud'!$C:$X,2+$F138,0))</f>
        <v>8.68530937302436</v>
      </c>
      <c r="N138" s="209">
        <f>IF(N$7="X",VLOOKUP(N$10,'VK-Hooned-Soojus'!$C:$X,2+$C138,FALSE),0)+IF(N$6="X",VLOOKUP(N$10,'VK-Transport'!$C:$X,2+$B138,0))+IF(N$8="X",VLOOKUP(N$10,'VK-Elekter'!$C:$X,2+$D138,0))+IF(N$9="X",VLOOKUP(N$10,'VK-Biokütused'!$C:$U,2+$E138,0))+IF(N$5="X",VLOOKUP(N$10,'VK-Põlevkivi'!$C:$X,2+$G138,0))+IF(N$4="X",VLOOKUP(N$10,'VK-Võrgud'!$C:$X,2+$F138,0))</f>
        <v>15.25</v>
      </c>
      <c r="O138" s="209">
        <f t="shared" si="60"/>
        <v>31.615833333333335</v>
      </c>
      <c r="P138" s="209"/>
      <c r="Q138" s="209">
        <f>(IF(Q$7="X",VLOOKUP(Q$10,'VK-Hooned-Soojus'!$C:$X,2+$C138,FALSE),0)+IF(Q$6="X",VLOOKUP(Q$10,'VK-Transport'!$C:$X,2+$B138,0))+IF(Q$8="X",VLOOKUP(Q$10,'VK-Elekter'!$C:$X,2+$D138,0))+IF(Q$9="X",VLOOKUP(Q$10,'VK-Biokütused'!$C:$U,2+$E138,0))+IF(Q$5="X",VLOOKUP(Q$10,'VK-Põlevkivi'!$C:$X,2+$G138,0))+IF(Q$4="X",VLOOKUP(Q$10,'VK-Võrgud'!$C:$X,2+$F138,0)))/1000</f>
        <v>4.9050000000000002</v>
      </c>
      <c r="R138" s="209">
        <f>(IF(R$7="X",VLOOKUP(R$10,'VK-Hooned-Soojus'!$C:$X,2+$C138,FALSE),0)+IF(R$6="X",VLOOKUP(R$10,'VK-Transport'!$C:$X,2+$B138,0))+IF(R$8="X",VLOOKUP(R$10,'VK-Elekter'!$C:$X,2+$D138,0))+IF(R$9="X",VLOOKUP(R$10,'VK-Biokütused'!$C:$U,2+$E138,0))+IF(R$5="X",VLOOKUP(R$10,'VK-Põlevkivi'!$C:$X,2+$G138,0))+IF(R$4="X",VLOOKUP(R$10,'VK-Võrgud'!$C:$X,2+$F138,0)))/1000</f>
        <v>1.4153849906373199</v>
      </c>
      <c r="S138" s="226">
        <f>VLOOKUP(S$10,'VK-Hooned-Soojus'!$C:$I,2+$C138,FALSE) + VLOOKUP(S$10,'VK-Transport'!$C:$I,2+$B138,FALSE)+ VLOOKUP(S$10,'VK-Biokütused'!$C:$G,2+$E138,FALSE)+ VLOOKUP(S$10,'VK-Elekter'!$C:$I,2+$D138,FALSE)+ VLOOKUP(S$10,'VK-Põlevkivi'!$C:$I,2+$G138,FALSE)+ VLOOKUP(S$10,'VK-Võrgud'!$C:$I,2+$F138,FALSE)</f>
        <v>2.1986910233088176E-2</v>
      </c>
      <c r="T138" s="226">
        <f>VLOOKUP(T$10,'VK-Hooned-Soojus'!$C:$I,2+$C138,FALSE) + VLOOKUP(T$10,'VK-Transport'!$C:$I,2+$B138,FALSE)+ VLOOKUP(T$10,'VK-Biokütused'!$C:$G,2+$E138,FALSE)+ VLOOKUP(T$10,'VK-Elekter'!$C:$I,2+$D138,FALSE)+ VLOOKUP(T$10,'VK-Põlevkivi'!$C:$I,2+$G138,FALSE)+ VLOOKUP(T$10,'VK-Võrgud'!$C:$I,2+$F138,FALSE)</f>
        <v>3.0930993534386154E-3</v>
      </c>
      <c r="U138" s="226">
        <f>VLOOKUP(U$10,'VK-Hooned-Soojus'!$C:$I,2+$C138,FALSE) + VLOOKUP(U$10,'VK-Transport'!$C:$I,2+$B138,FALSE)+ VLOOKUP(U$10,'VK-Biokütused'!$C:$G,2+$E138,FALSE)+ VLOOKUP(U$10,'VK-Elekter'!$C:$I,2+$D138,FALSE)+ VLOOKUP(U$10,'VK-Põlevkivi'!$C:$I,2+$G138,FALSE)+ VLOOKUP(U$10,'VK-Võrgud'!$C:$I,2+$F138,FALSE)</f>
        <v>5.0699215443667234E-3</v>
      </c>
      <c r="V138" s="226">
        <f>VLOOKUP(V$10,'VK-Hooned-Soojus'!$C:$I,2+$C138,FALSE) + VLOOKUP(V$10,'VK-Transport'!$C:$I,2+$B138,FALSE)+ VLOOKUP(V$10,'VK-Biokütused'!$C:$G,2+$E138,FALSE)+ VLOOKUP(V$10,'VK-Elekter'!$C:$I,2+$D138,FALSE)+ VLOOKUP(V$10,'VK-Põlevkivi'!$C:$I,2+$G138,FALSE)+ VLOOKUP(V$10,'VK-Võrgud'!$C:$I,2+$F138,FALSE)</f>
        <v>1.7073000352503868E-2</v>
      </c>
      <c r="W138" s="226">
        <f>VLOOKUP(W$10,'VK-Hooned-Soojus'!$C:$I,2+$C138,FALSE) + VLOOKUP(W$10,'VK-Transport'!$C:$I,2+$B138,FALSE)+ VLOOKUP(W$10,'VK-Biokütused'!$C:$G,2+$E138,FALSE)+ VLOOKUP(W$10,'VK-Elekter'!$C:$I,2+$D138,FALSE)+ VLOOKUP(W$10,'VK-Põlevkivi'!$C:$I,2+$G138,FALSE)+ VLOOKUP(W$10,'VK-Võrgud'!$C:$I,2+$F138,FALSE)</f>
        <v>-4.857792645872467E-2</v>
      </c>
      <c r="X138" s="226">
        <f>VLOOKUP(X$10,'VK-Hooned-Soojus'!$C:$I,2+$C138,FALSE) + VLOOKUP(X$10,'VK-Transport'!$C:$I,2+$B138,FALSE)+ VLOOKUP(X$10,'VK-Biokütused'!$C:$G,2+$E138,FALSE)+ VLOOKUP(X$10,'VK-Elekter'!$C:$I,2+$D138,FALSE)+ VLOOKUP(X$10,'VK-Põlevkivi'!$C:$I,2+$G138,FALSE)+ VLOOKUP(X$10,'VK-Võrgud'!$C:$I,2+$F138,FALSE)</f>
        <v>-5.8457194766859698E-2</v>
      </c>
      <c r="Y138" s="226">
        <f>VLOOKUP(Y$10,'VK-Hooned-Soojus'!$C:$I,2+$C138,FALSE) + VLOOKUP(Y$10,'VK-Transport'!$C:$I,2+$B138,FALSE)+ VLOOKUP(Y$10,'VK-Biokütused'!$C:$G,2+$E138,FALSE)+ VLOOKUP(Y$10,'VK-Elekter'!$C:$I,2+$D138,FALSE)+ VLOOKUP(Y$10,'VK-Põlevkivi'!$C:$I,2+$G138,FALSE)+ VLOOKUP(Y$10,'VK-Võrgud'!$C:$I,2+$F138,FALSE)</f>
        <v>-8.1723015267904764E-2</v>
      </c>
      <c r="Z138" s="227">
        <f>(S138*Tulemused!$Q$9*10+T138*Tulemused!$Q$10*10+KOMBI!U138*Tulemused!$Q$11*10+KOMBI!V138*Tulemused!$Q$12*10)*Tulemused!$Q$8+-(W138*Tulemused!$Q$14*10+KOMBI!X138*Tulemused!$Q$15*10+KOMBI!Y138*Tulemused!$Q$16*10)*Tulemused!$Q$13</f>
        <v>7.2372788787811331</v>
      </c>
      <c r="AA138" s="228">
        <f>(IF(AA$7="X",VLOOKUP(AA$10,'VK-Hooned-Soojus'!$C:$X,2+$C138,FALSE),0)+IF(AA$6="X",VLOOKUP(AA$10,'VK-Transport'!$C:$X,2+$B138,0))+IF(AA$8="X",VLOOKUP(AA$10,'VK-Elekter'!$C:$X,2+$D138,0))+IF(AA$9="X",VLOOKUP(AA$10,'VK-Biokütused'!$C:$U,2+$E138,0))+IF(AA$5="X",VLOOKUP(AA$10,'VK-Põlevkivi'!$C:$X,2+$G138,0))+IF(AA$4="X",VLOOKUP(AA$10,'VK-Võrgud'!$C:$X,2+$F138,0)))</f>
        <v>3728</v>
      </c>
      <c r="AB138" s="228">
        <f>(IF(AB$7="X",VLOOKUP(AB$10,'VK-Hooned-Soojus'!$C:$X,2+$C138,FALSE),0)+IF(AB$6="X",VLOOKUP(AB$10,'VK-Transport'!$C:$X,2+$B138,0))+IF(AB$8="X",VLOOKUP(AB$10,'VK-Elekter'!$C:$X,2+$D138,0))+IF(AB$9="X",VLOOKUP(AB$10,'VK-Biokütused'!$C:$U,2+$E138,0))+IF(AB$5="X",VLOOKUP(AB$10,'VK-Põlevkivi'!$C:$X,2+$G138,0))+IF(AB$4="X",VLOOKUP(AB$10,'VK-Võrgud'!$C:$X,2+$F138,0)))</f>
        <v>1177</v>
      </c>
      <c r="AC138" s="228">
        <f>(IF(AC$7="X",VLOOKUP(AC$10,'VK-Hooned-Soojus'!$C:$X,2+$C138,FALSE),0)+IF(AC$6="X",VLOOKUP(AC$10,'VK-Transport'!$C:$X,2+$B138,0))+IF(AC$8="X",VLOOKUP(AC$10,'VK-Elekter'!$C:$X,2+$D138,0))+IF(AC$9="X",VLOOKUP(AC$10,'VK-Biokütused'!$C:$U,2+$E138,0))+IF(AC$5="X",VLOOKUP(AC$10,'VK-Põlevkivi'!$C:$X,2+$G138,0))+IF(AC$4="X",VLOOKUP(AC$10,'VK-Võrgud'!$C:$X,2+$F138,0)))</f>
        <v>2346</v>
      </c>
      <c r="AD138" s="228">
        <f>(IF(AD$7="X",VLOOKUP(AD$10,'VK-Hooned-Soojus'!$C:$X,2+$C138,FALSE),0)+IF(AD$6="X",VLOOKUP(AD$10,'VK-Transport'!$C:$X,2+$B138,0))+IF(AD$8="X",VLOOKUP(AD$10,'VK-Elekter'!$C:$X,2+$D138,0))+IF(AD$9="X",VLOOKUP(AD$10,'VK-Biokütused'!$C:$U,2+$E138,0))+IF(AD$5="X",VLOOKUP(AD$10,'VK-Põlevkivi'!$C:$X,2+$G138,0))+IF(AD$4="X",VLOOKUP(AD$10,'VK-Võrgud'!$C:$X,2+$F138,0)))</f>
        <v>377.5</v>
      </c>
      <c r="AE138" s="228">
        <f>(IF(AE$7="X",VLOOKUP(AE$10,'VK-Hooned-Soojus'!$C:$X,2+$C138,FALSE),0)+IF(AE$6="X",VLOOKUP(AE$10,'VK-Transport'!$C:$X,2+$B138,0))+IF(AE$8="X",VLOOKUP(AE$10,'VK-Elekter'!$C:$X,2+$D138,0))+IF(AE$9="X",VLOOKUP(AE$10,'VK-Biokütused'!$C:$U,2+$E138,0))+IF(AE$5="X",VLOOKUP(AE$10,'VK-Põlevkivi'!$C:$X,2+$G138,0))+IF(AE$4="X",VLOOKUP(AE$10,'VK-Võrgud'!$C:$X,2+$F138,0)))</f>
        <v>507</v>
      </c>
      <c r="AF138" s="228">
        <f>(IF(AF$7="X",VLOOKUP(AF$10,'VK-Hooned-Soojus'!$C:$X,2+$C138,FALSE),0)+IF(AF$6="X",VLOOKUP(AF$10,'VK-Transport'!$C:$X,2+$B138,0))+IF(AF$8="X",VLOOKUP(AF$10,'VK-Elekter'!$C:$X,2+$D138,0))+IF(AF$9="X",VLOOKUP(AF$10,'VK-Biokütused'!$C:$U,2+$E138,0))+IF(AF$5="X",VLOOKUP(AF$10,'VK-Põlevkivi'!$C:$X,2+$G138,0))+IF(AF$4="X",VLOOKUP(AF$10,'VK-Võrgud'!$C:$X,2+$F138,0)))</f>
        <v>530.88499063732002</v>
      </c>
      <c r="AG138" s="209"/>
      <c r="AH138" s="209">
        <f>IF(AH$7="X",VLOOKUP(AH$10,'VK-Hooned-Soojus'!$C:$X,2+$C138,FALSE),0)+IF(AH$6="X",VLOOKUP(AH$10,'VK-Transport'!$C:$X,2+$B138,0))+IF(AH$8="X",VLOOKUP(AH$10,'VK-Elekter'!$C:$X,2+$D138,0))+IF(AH$9="X",VLOOKUP(AH$10,'VK-Biokütused'!$C:$U,2+$E138,0))+IF(AH$5="X",VLOOKUP(AH$10,'VK-Põlevkivi'!$C:$X,2+$G138,0))+IF(AH$4="X",VLOOKUP(AH$10,'VK-Võrgud'!$C:$X,2+$F138,0))</f>
        <v>11.579999999999998</v>
      </c>
      <c r="AI138" s="209">
        <f>IF(AI$7="X",VLOOKUP(AI$10,'VK-Hooned-Soojus'!$C:$X,2+$C138,FALSE),0)+IF(AI$6="X",VLOOKUP(AI$10,'VK-Transport'!$C:$X,2+$B138,0))+IF(AI$8="X",VLOOKUP(AI$10,'VK-Elekter'!$C:$X,2+$D138,0))+IF(AI$9="X",VLOOKUP(AI$10,'VK-Biokütused'!$C:$U,2+$E138,0))+IF(AI$5="X",VLOOKUP(AI$10,'VK-Põlevkivi'!$C:$X,2+$G138,0))+IF(AI$4="X",VLOOKUP(AI$10,'VK-Võrgud'!$C:$X,2+$F138,0))</f>
        <v>4.45</v>
      </c>
      <c r="AJ138" s="209">
        <f>IF(AJ$7="X",VLOOKUP(AJ$10,'VK-Hooned-Soojus'!$C:$X,2+$C138,FALSE),0)+IF(AJ$6="X",VLOOKUP(AJ$10,'VK-Transport'!$C:$X,2+$B138,0))+IF(AJ$8="X",VLOOKUP(AJ$10,'VK-Elekter'!$C:$X,2+$D138,0))+IF(AJ$9="X",VLOOKUP(AJ$10,'VK-Biokütused'!$C:$U,2+$E138,0))+IF(AJ$5="X",VLOOKUP(AJ$10,'VK-Põlevkivi'!$C:$X,2+$G138,0))+IF(AJ$4="X",VLOOKUP(AJ$10,'VK-Võrgud'!$C:$X,2+$F138,0))</f>
        <v>9.19</v>
      </c>
      <c r="AK138" s="209">
        <f>IF(AK$7="X",VLOOKUP(AK$10,'VK-Hooned-Soojus'!$C:$X,2+$C138,FALSE),0)+IF(AK$6="X",VLOOKUP(AK$10,'VK-Transport'!$C:$X,2+$B138,0))+IF(AK$8="X",VLOOKUP(AK$10,'VK-Elekter'!$C:$X,2+$D138,0))+IF(AK$9="X",VLOOKUP(AK$10,'VK-Biokütused'!$C:$U,2+$E138,0))+IF(AK$5="X",VLOOKUP(AK$10,'VK-Põlevkivi'!$C:$X,2+$G138,0))+IF(AK$4="X",VLOOKUP(AK$10,'VK-Võrgud'!$C:$X,2+$F138,0))</f>
        <v>0.66</v>
      </c>
      <c r="AL138" s="209">
        <f>IF(AL$7="X",VLOOKUP(AL$10,'VK-Hooned-Soojus'!$C:$X,2+$C138,FALSE),0)+IF(AL$6="X",VLOOKUP(AL$10,'VK-Transport'!$C:$X,2+$B138,0))+IF(AL$8="X",VLOOKUP(AL$10,'VK-Elekter'!$C:$X,2+$D138,0))+IF(AL$9="X",VLOOKUP(AL$10,'VK-Biokütused'!$C:$U,2+$E138,0))+IF(AL$5="X",VLOOKUP(AL$10,'VK-Põlevkivi'!$C:$X,2+$G138,0))+IF(AL$4="X",VLOOKUP(AL$10,'VK-Võrgud'!$C:$X,2+$F138,0))</f>
        <v>7.1</v>
      </c>
      <c r="AM138" s="209">
        <f>IF(AM$7="X",VLOOKUP(AM$10,'VK-Hooned-Soojus'!$C:$X,2+$C138,FALSE),0)+IF(AM$6="X",VLOOKUP(AM$10,'VK-Transport'!$C:$X,2+$B138,0))+IF(AM$8="X",VLOOKUP(AM$10,'VK-Elekter'!$C:$X,2+$D138,0))+IF(AM$9="X",VLOOKUP(AM$10,'VK-Biokütused'!$C:$U,2+$E138,0))+IF(AM$5="X",VLOOKUP(AM$10,'VK-Põlevkivi'!$C:$X,2+$G138,0))+IF(AM$4="X",VLOOKUP(AM$10,'VK-Võrgud'!$C:$X,2+$F138,0))</f>
        <v>11.5</v>
      </c>
      <c r="AN138" s="209">
        <f>IF(AN$7="X",VLOOKUP(AN$10,'VK-Hooned-Soojus'!$C:$X,2+$C138,FALSE),0)+IF(AN$6="X",VLOOKUP(AN$10,'VK-Transport'!$C:$X,2+$B138,0))+IF(AN$8="X",VLOOKUP(AN$10,'VK-Elekter'!$C:$X,2+$D138,0))+IF(AN$9="X",VLOOKUP(AN$10,'VK-Biokütused'!$C:$U,2+$E138,0))+IF(AN$5="X",VLOOKUP(AN$10,'VK-Põlevkivi'!$C:$X,2+$G138,0))+IF(AN$4="X",VLOOKUP(AN$10,'VK-Võrgud'!$C:$X,2+$F138,0))</f>
        <v>4.0999999999999996</v>
      </c>
      <c r="AO138" s="209">
        <f>IF(AO$7="X",VLOOKUP(AO$10,'VK-Hooned-Soojus'!$C:$X,2+$C138,FALSE),0)+IF(AO$6="X",VLOOKUP(AO$10,'VK-Transport'!$C:$X,2+$B138,0))+IF(AO$8="X",VLOOKUP(AO$10,'VK-Elekter'!$C:$X,2+$D138,0))+IF(AO$9="X",VLOOKUP(AO$10,'VK-Biokütused'!$C:$U,2+$E138,0))+IF(AO$5="X",VLOOKUP(AO$10,'VK-Põlevkivi'!$C:$X,2+$G138,0))+IF(AO$4="X",VLOOKUP(AO$10,'VK-Võrgud'!$C:$X,2+$F138,0))</f>
        <v>12.16</v>
      </c>
      <c r="AP138" s="209">
        <f>IF(AP$7="X",VLOOKUP(AP$10,'VK-Hooned-Soojus'!$C:$X,2+$C138,FALSE),0)+IF(AP$6="X",VLOOKUP(AP$10,'VK-Transport'!$C:$X,2+$B138,0))+IF(AP$8="X",VLOOKUP(AP$10,'VK-Elekter'!$C:$X,2+$D138,0))+IF(AP$9="X",VLOOKUP(AP$10,'VK-Biokütused'!$C:$U,2+$E138,0))+IF(AP$5="X",VLOOKUP(AP$10,'VK-Põlevkivi'!$C:$X,2+$G138,0))+IF(AP$4="X",VLOOKUP(AP$10,'VK-Võrgud'!$C:$X,2+$F138,0))</f>
        <v>6.08</v>
      </c>
      <c r="AQ138" s="320">
        <f t="shared" si="61"/>
        <v>0</v>
      </c>
      <c r="AR138" s="209">
        <f>IF(AR$7="X",VLOOKUP(AR$10,'VK-Hooned-Soojus'!$C:$X,2+$C138,FALSE),0)+IF(AR$6="X",VLOOKUP(AR$10,'VK-Transport'!$C:$X,2+$B138,0))+IF(AR$8="X",VLOOKUP(AR$10,'VK-Elekter'!$C:$X,2+$D138,0))+IF(AR$9="X",VLOOKUP(AR$10,'VK-Biokütused'!$C:$U,2+$E138,0))+IF(AR$5="X",VLOOKUP(AR$10,'VK-Põlevkivi'!$C:$X,2+$G138,0))+IF(AR$4="X",VLOOKUP(AR$10,'VK-Võrgud'!$C:$X,2+$F138,0))</f>
        <v>2.3899999999999997</v>
      </c>
      <c r="AS138" s="320">
        <f>VLOOKUP("Kütuste tarbimine @ 2030 - UTTEGAAS",'VK-Hooned-Soojus'!$C:$X,2+$C138,FALSE)/0.172+VLOOKUP("Kütuste tarbimine @ 2030 - UTTEGAAS",'VK-Elekter'!$C:$X,2+$D138,FALSE)/0.172-AR138-AU138</f>
        <v>2.8565116279069773</v>
      </c>
      <c r="AT138" s="209">
        <f>IF(AT$7="X",VLOOKUP(AT$10,'VK-Hooned-Soojus'!$C:$X,2+$C138,FALSE),0)+IF(AT$6="X",VLOOKUP(AT$10,'VK-Transport'!$C:$X,2+$B138,0))+IF(AT$8="X",VLOOKUP(AT$10,'VK-Elekter'!$C:$X,2+$D138,0))+IF(AT$9="X",VLOOKUP(AT$10,'VK-Biokütused'!$C:$U,2+$E138,0))+IF(AT$5="X",VLOOKUP(AT$10,'VK-Põlevkivi'!$C:$X,2+$G138,0))+IF(AT$4="X",VLOOKUP(AT$10,'VK-Võrgud'!$C:$X,2+$F138,0))</f>
        <v>5.7045296564339489</v>
      </c>
      <c r="AU138" s="229">
        <f>MAX(0,(VLOOKUP("Kütuste tarbimine @ 2030 - UTTEGAAS",'VK-Hooned-Soojus'!$C:$X,2+$C138,FALSE)/0.172+VLOOKUP("Kütuste tarbimine @ 2030 - UTTEGAAS",'VK-Elekter'!$C:$X,2+$D138,FALSE)/0.172)*0.52-VLOOKUP("Kütuste tarbimine @ 2030 - PÕLEVKIVIÕLI",'VK-Hooned-Soojus'!$C:$X,2+$C138,FALSE))</f>
        <v>5.6837209302325586</v>
      </c>
      <c r="AV138" s="209">
        <f>IF(AV$7="X",VLOOKUP(AV$10,'VK-Hooned-Soojus'!$C:$X,2+$C138,FALSE),0)+IF(AV$6="X",VLOOKUP(AV$10,'VK-Transport'!$C:$X,2+$B138,0))+IF(AV$8="X",VLOOKUP(AV$10,'VK-Elekter'!$C:$X,2+$D138,0))+IF(AV$9="X",VLOOKUP(AV$10,'VK-Biokütused'!$C:$U,2+$E138,0))+IF(AV$5="X",VLOOKUP(AV$10,'VK-Põlevkivi'!$C:$X,2+$G138,0))+IF(AV$4="X",VLOOKUP(AV$10,'VK-Võrgud'!$C:$X,2+$F138,0))</f>
        <v>2.1219844082566364</v>
      </c>
      <c r="AW138" s="209">
        <f>IF(AW$7="X",VLOOKUP(AW$10,'VK-Hooned-Soojus'!$C:$X,2+$C138,FALSE),0)+IF(AW$6="X",VLOOKUP(AW$10,'VK-Transport'!$C:$X,2+$B138,0))+IF(AW$8="X",VLOOKUP(AW$10,'VK-Elekter'!$C:$X,2+$D138,0))+IF(AW$9="X",VLOOKUP(AW$10,'VK-Biokütused'!$C:$U,2+$E138,0))+IF(AW$5="X",VLOOKUP(AW$10,'VK-Põlevkivi'!$C:$X,2+$G138,0))+IF(AW$4="X",VLOOKUP(AW$10,'VK-Võrgud'!$C:$X,2+$F138,0))</f>
        <v>2.141</v>
      </c>
      <c r="AX138" s="229">
        <f t="shared" si="62"/>
        <v>1.9015591743363647E-2</v>
      </c>
      <c r="AY138" s="229">
        <f t="shared" si="63"/>
        <v>0</v>
      </c>
      <c r="AZ138" s="230">
        <f t="shared" si="83"/>
        <v>0.4541994971842776</v>
      </c>
      <c r="BA138" s="209">
        <f>IF(BA$7="X",VLOOKUP(BA$10,'VK-Hooned-Soojus'!$C:$X,2+$C138,FALSE),0)+IF(BA$6="X",VLOOKUP(BA$10,'VK-Transport'!$C:$X,2+$B138,0))+IF(BA$8="X",VLOOKUP(BA$10,'VK-Elekter'!$C:$X,2+$D138,0))+IF(BA$9="X",VLOOKUP(BA$10,'VK-Biokütused'!$C:$U,2+$E138,0))+IF(BA$5="X",VLOOKUP(BA$10,'VK-Põlevkivi'!$C:$X,2+$G138,0))+IF(BA$4="X",VLOOKUP(BA$10,'VK-Võrgud'!$C:$X,2+$F138,0))</f>
        <v>4.2</v>
      </c>
      <c r="BB138" s="209">
        <f>IF(BB$7="X",VLOOKUP(BB$10,'VK-Hooned-Soojus'!$C:$X,2+$C138,FALSE),0)+IF(BB$6="X",VLOOKUP(BB$10,'VK-Transport'!$C:$X,2+$B138,0))+IF(BB$8="X",VLOOKUP(BB$10,'VK-Elekter'!$C:$X,2+$D138,0))+IF(BB$9="X",VLOOKUP(BB$10,'VK-Biokütused'!$C:$U,2+$E138,0))+IF(BB$5="X",VLOOKUP(BB$10,'VK-Põlevkivi'!$C:$X,2+$G138,0))+IF(BB$4="X",VLOOKUP(BB$10,'VK-Võrgud'!$C:$X,2+$F138,0))</f>
        <v>5.1000000000000005</v>
      </c>
      <c r="BC138" s="209">
        <f>IF(BC$7="X",VLOOKUP(BC$10,'VK-Hooned-Soojus'!$C:$X,2+$C138,FALSE),0)+IF(BC$6="X",VLOOKUP(BC$10,'VK-Transport'!$C:$X,2+$B138,0))+IF(BC$8="X",VLOOKUP(BC$10,'VK-Elekter'!$C:$X,2+$D138,0))+IF(BC$9="X",VLOOKUP(BC$10,'VK-Biokütused'!$C:$U,2+$E138,0))+IF(BC$5="X",VLOOKUP(BC$10,'VK-Põlevkivi'!$C:$X,2+$G138,0))+IF(BC$4="X",VLOOKUP(BC$10,'VK-Võrgud'!$C:$X,2+$F138,0))</f>
        <v>5.2376666666666667</v>
      </c>
      <c r="BD138" s="209">
        <f>IF(BD$7="X",VLOOKUP(BD$10,'VK-Hooned-Soojus'!$C:$X,2+$C138,FALSE),0)+IF(BD$6="X",VLOOKUP(BD$10,'VK-Transport'!$C:$X,2+$B138,0))+IF(BD$8="X",VLOOKUP(BD$10,'VK-Elekter'!$C:$X,2+$D138,0))+IF(BD$9="X",VLOOKUP(BD$10,'VK-Biokütused'!$C:$U,2+$E138,0))+IF(BD$5="X",VLOOKUP(BD$10,'VK-Põlevkivi'!$C:$X,2+$G138,0))+IF(BD$4="X",VLOOKUP(BD$10,'VK-Võrgud'!$C:$X,2+$F138,0))</f>
        <v>9.1105555555555569</v>
      </c>
      <c r="BE138" s="230"/>
      <c r="BF138" s="229">
        <f t="shared" si="64"/>
        <v>0.41762821979641068</v>
      </c>
      <c r="BG138" s="209" t="e">
        <f>(IF(BG$7="X",VLOOKUP(BG$10,'VK-Hooned-Soojus'!$C:$X,2+$C138,FALSE),0)+IF(BG$6="X",VLOOKUP(BG$10,'VK-Transport'!$C:$X,2+$B138,0))+IF(BG$8="X",VLOOKUP(BG$10,'VK-Elekter'!$C:$X,2+$D138,0))+IF(BG$9="X",VLOOKUP(BG$10,'VK-Biokütused'!$C:$U,2+$E138,0))+IF(BG$5="X",VLOOKUP(BG$10,'VK-Põlevkivi'!$C:$X,2+$G138,0))+IF(BG$4="X",VLOOKUP(BG$10,'VK-Võrgud'!$C:$X,2+$F138,0)))/20</f>
        <v>#N/A</v>
      </c>
      <c r="BH138" s="209">
        <f>(IF(BH$7="X",VLOOKUP(BH$10,'VK-Hooned-Soojus'!$C:$X,2+$C138,FALSE),0)+IF(BH$6="X",VLOOKUP(BH$10,'VK-Transport'!$C:$X,2+$B138,0))+IF(BH$8="X",VLOOKUP(BH$10,'VK-Elekter'!$C:$X,2+$D138,0))+IF(BH$9="X",VLOOKUP(BH$10,'VK-Biokütused'!$C:$U,2+$E138,0))+IF(BH$5="X",VLOOKUP(BH$10,'VK-Põlevkivi'!$C:$X,2+$G138,0))+IF(BH$4="X",VLOOKUP(BH$10,'VK-Võrgud'!$C:$X,2+$F138,0)))/20</f>
        <v>84.204999999999998</v>
      </c>
      <c r="BI138" s="209">
        <f>(IF(BI$7="X",VLOOKUP(BI$10,'VK-Hooned-Soojus'!$C:$X,2+$C138,FALSE),0)+IF(BI$6="X",VLOOKUP(BI$10,'VK-Transport'!$C:$X,2+$B138,0))+IF(BI$8="X",VLOOKUP(BI$10,'VK-Elekter'!$C:$X,2+$D138,0))+IF(BI$9="X",VLOOKUP(BI$10,'VK-Biokütused'!$C:$U,2+$E138,0))+IF(BI$5="X",VLOOKUP(BI$10,'VK-Põlevkivi'!$C:$X,2+$G138,0))+IF(BI$4="X",VLOOKUP(BI$10,'VK-Võrgud'!$C:$X,2+$F138,0)))/16</f>
        <v>8.9375</v>
      </c>
      <c r="BJ138" s="209">
        <f>(IF(BJ$7="X",VLOOKUP(BJ$10,'VK-Hooned-Soojus'!$C:$X,2+$C138,FALSE),0)+IF(BJ$6="X",VLOOKUP(BJ$10,'VK-Transport'!$C:$X,2+$B138,0))+IF(BJ$8="X",VLOOKUP(BJ$10,'VK-Elekter'!$C:$X,2+$D138,0))+IF(BJ$9="X",VLOOKUP(BJ$10,'VK-Biokütused'!$C:$U,2+$E138,0))+IF(BJ$5="X",VLOOKUP(BJ$10,'VK-Põlevkivi'!$C:$X,2+$G138,0))+IF(BJ$4="X",VLOOKUP(BJ$10,'VK-Võrgud'!$C:$X,2+$F138,0)))/20</f>
        <v>5.33</v>
      </c>
      <c r="BK138" s="209"/>
      <c r="BL138" s="209"/>
      <c r="BM138" s="209"/>
      <c r="BN138" s="209" t="e">
        <f>(IF(BN$7="X",VLOOKUP(BN$10,'VK-Hooned-Soojus'!$C:$X,2+$C138,FALSE),0)+IF(BN$6="X",VLOOKUP(BN$10,'VK-Transport'!$C:$X,2+$B138,0))+IF(BN$8="X",VLOOKUP(BN$10,'VK-Elekter'!$C:$X,2+$D138,0))+IF(BN$9="X",VLOOKUP(BN$10,'VK-Biokütused'!$C:$U,2+$E138,0))+IF(BN$5="X",VLOOKUP(BN$10,'VK-Põlevkivi'!$C:$X,2+$G138,0))+IF(BN$4="X",VLOOKUP(BN$10,'VK-Võrgud'!$C:$X,2+$F138,0)))/16</f>
        <v>#N/A</v>
      </c>
      <c r="BO138" s="209">
        <f>(IF(BO$7="X",VLOOKUP(BO$10,'VK-Hooned-Soojus'!$C:$X,2+$C138,FALSE),0)+IF(BO$6="X",VLOOKUP(BO$10,'VK-Transport'!$C:$X,2+$B138,0))+IF(BO$8="X",VLOOKUP(BO$10,'VK-Elekter'!$C:$X,2+$D138,0))+IF(BO$9="X",VLOOKUP(BO$10,'VK-Biokütused'!$C:$U,2+$E138,0))+IF(BO$5="X",VLOOKUP(BO$10,'VK-Põlevkivi'!$C:$X,2+$G138,0))+IF(BO$4="X",VLOOKUP(BO$10,'VK-Võrgud'!$C:$X,2+$F138,0)))/16</f>
        <v>322.79374999999999</v>
      </c>
      <c r="BP138" s="209"/>
      <c r="BQ138" s="209">
        <f>(IF(BQ$7="X",VLOOKUP(BQ$10,'VK-Hooned-Soojus'!$C:$X,2+$C138,FALSE),0)+IF(BQ$6="X",VLOOKUP(BQ$10,'VK-Transport'!$C:$X,2+$B138,0))+IF(BQ$8="X",VLOOKUP(BQ$10,'VK-Elekter'!$C:$X,2+$D138,0))+IF(BQ$9="X",VLOOKUP(BQ$10,'VK-Biokütused'!$C:$U,2+$E138,0))+IF(BQ$5="X",VLOOKUP(BQ$10,'VK-Põlevkivi'!$C:$X,2+$G138,0))+IF(BQ$4="X",VLOOKUP(BQ$10,'VK-Võrgud'!$C:$X,2+$F138,0)))/16</f>
        <v>233.20625000000001</v>
      </c>
      <c r="BR138" s="209">
        <f>(IF(BR$7="X",VLOOKUP(BR$10,'VK-Hooned-Soojus'!$C:$X,2+$C138,FALSE),0)+IF(BR$6="X",VLOOKUP(BR$10,'VK-Transport'!$C:$X,2+$B138,0))+IF(BR$8="X",VLOOKUP(BR$10,'VK-Elekter'!$C:$X,2+$D138,0))+IF(BR$9="X",VLOOKUP(BR$10,'VK-Biokütused'!$C:$U,2+$E138,0))+IF(BR$5="X",VLOOKUP(BR$10,'VK-Põlevkivi'!$C:$X,2+$G138,0))+IF(BR$4="X",VLOOKUP(BR$10,'VK-Võrgud'!$C:$X,2+$F138,0)))/16</f>
        <v>74.512500000000003</v>
      </c>
      <c r="BS138" s="209">
        <f>(IF(BS$7="X",VLOOKUP(BS$10,'VK-Hooned-Soojus'!$C:$X,2+$C138,FALSE),0)+IF(BS$6="X",VLOOKUP(BS$10,'VK-Transport'!$C:$X,2+$B138,0))+IF(BS$8="X",VLOOKUP(BS$10,'VK-Elekter'!$C:$X,2+$D138,0))+IF(BS$9="X",VLOOKUP(BS$10,'VK-Biokütused'!$C:$U,2+$E138,0))+IF(BS$5="X",VLOOKUP(BS$10,'VK-Põlevkivi'!$C:$X,2+$G138,0))+IF(BS$4="X",VLOOKUP(BS$10,'VK-Võrgud'!$C:$X,2+$F138,0)))/16</f>
        <v>-21.475000000000001</v>
      </c>
      <c r="BT138" s="209"/>
      <c r="BU138" s="209"/>
      <c r="BV138" s="209">
        <f>(IF(BV$7="X",VLOOKUP(BV$10,'VK-Hooned-Soojus'!$C:$X,2+$C138,FALSE),0)+IF(BV$6="X",VLOOKUP(BV$10,'VK-Transport'!$C:$X,2+$B138,0))+IF(BV$8="X",VLOOKUP(BV$10,'VK-Elekter'!$C:$X,2+$D138,0))+IF(BV$9="X",VLOOKUP(BV$10,'VK-Biokütused'!$C:$U,2+$E138,0))+IF(BV$5="X",VLOOKUP(BV$10,'VK-Põlevkivi'!$C:$X,2+$G138,0))+IF(BV$4="X",VLOOKUP(BV$10,'VK-Võrgud'!$C:$X,2+$F138,0)))/16</f>
        <v>0</v>
      </c>
      <c r="BW138" s="209"/>
      <c r="BX138" s="209">
        <f>(IF(BX$7="X",VLOOKUP(BX$10,'VK-Hooned-Soojus'!$C:$X,2+$C138,FALSE),0)+IF(BX$6="X",VLOOKUP(BX$10,'VK-Transport'!$C:$X,2+$B138,0))+IF(BX$8="X",VLOOKUP(BX$10,'VK-Elekter'!$C:$X,2+$D138,0))+IF(BX$9="X",VLOOKUP(BX$10,'VK-Biokütused'!$C:$U,2+$E138,0))+IF(BX$5="X",VLOOKUP(BX$10,'VK-Põlevkivi'!$C:$X,2+$G138,0))+IF(BX$4="X",VLOOKUP(BX$10,'VK-Võrgud'!$C:$X,2+$F138,0)))/16</f>
        <v>-99.4375</v>
      </c>
      <c r="BY138" s="209"/>
      <c r="BZ138" s="209"/>
      <c r="CA138" s="209" t="e">
        <f>(IF(CA$7="X",VLOOKUP(CA$10,'VK-Hooned-Soojus'!$C:$X,2+$C138,FALSE),0)+IF(CA$6="X",VLOOKUP(CA$10,'VK-Transport'!$C:$X,2+$B138,0))+IF(CA$8="X",VLOOKUP(CA$10,'VK-Elekter'!$C:$X,2+$D138,0))+IF(CA$9="X",VLOOKUP(CA$10,'VK-Biokütused'!$C:$U,2+$E138,0))+IF(CA$5="X",VLOOKUP(CA$10,'VK-Põlevkivi'!$C:$X,2+$G138,0))+IF(CA$4="X",VLOOKUP(CA$10,'VK-Võrgud'!$C:$X,2+$F138,0)))/16</f>
        <v>#N/A</v>
      </c>
      <c r="CB138" s="209">
        <f>(IF(CB$7="X",VLOOKUP(CB$10,'VK-Hooned-Soojus'!$C:$X,2+$C138,FALSE),0)+IF(CB$6="X",VLOOKUP(CB$10,'VK-Transport'!$C:$X,2+$B138,0))+IF(CB$8="X",VLOOKUP(CB$10,'VK-Elekter'!$C:$X,2+$D138,0))+IF(CB$9="X",VLOOKUP(CB$10,'VK-Biokütused'!$C:$U,2+$E138,0))+IF(CB$5="X",VLOOKUP(CB$10,'VK-Põlevkivi'!$C:$X,2+$G138,0))+IF(CB$4="X",VLOOKUP(CB$10,'VK-Võrgud'!$C:$X,2+$F138,0)))/16</f>
        <v>0</v>
      </c>
      <c r="CC138" s="209">
        <f>(IF(CC$7="X",VLOOKUP(CC$10,'VK-Hooned-Soojus'!$C:$X,2+$C138,FALSE),0)+IF(CC$6="X",VLOOKUP(CC$10,'VK-Transport'!$C:$X,2+$B138,0))+IF(CC$8="X",VLOOKUP(CC$10,'VK-Elekter'!$C:$X,2+$D138,0))+IF(CC$9="X",VLOOKUP(CC$10,'VK-Biokütused'!$C:$U,2+$E138,0))+IF(CC$5="X",VLOOKUP(CC$10,'VK-Põlevkivi'!$C:$X,2+$G138,0))+IF(CC$4="X",VLOOKUP(CC$10,'VK-Võrgud'!$C:$X,2+$F138,0)))/16</f>
        <v>0</v>
      </c>
      <c r="CD138" s="209"/>
      <c r="CE138" s="209">
        <f>(IF(CE$7="X",VLOOKUP(CE$10,'VK-Hooned-Soojus'!$C:$X,2+$C138,FALSE),0)+IF(CE$6="X",VLOOKUP(CE$10,'VK-Transport'!$C:$X,2+$B138,0))+IF(CE$8="X",VLOOKUP(CE$10,'VK-Elekter'!$C:$X,2+$D138,0))+IF(CE$9="X",VLOOKUP(CE$10,'VK-Biokütused'!$C:$U,2+$E138,0))+IF(CE$5="X",VLOOKUP(CE$10,'VK-Põlevkivi'!$C:$X,2+$G138,0))+IF(CE$4="X",VLOOKUP(CE$10,'VK-Võrgud'!$C:$X,2+$F138,0)))/16</f>
        <v>24.15625</v>
      </c>
      <c r="CF138" s="209"/>
      <c r="CG138" s="209">
        <f>(IF(CG$7="X",VLOOKUP(CG$10,'VK-Hooned-Soojus'!$C:$X,2+$C138,FALSE),0)+IF(CG$6="X",VLOOKUP(CG$10,'VK-Transport'!$C:$X,2+$B138,0))+IF(CG$8="X",VLOOKUP(CG$10,'VK-Elekter'!$C:$X,2+$D138,0))+IF(CG$9="X",VLOOKUP(CG$10,'VK-Biokütused'!$C:$U,2+$E138,0))+IF(CG$5="X",VLOOKUP(CG$10,'VK-Põlevkivi'!$C:$X,2+$G138,0))+IF(CG$4="X",VLOOKUP(CG$10,'VK-Võrgud'!$C:$X,2+$F138,0)))/16</f>
        <v>0</v>
      </c>
      <c r="CH138" s="209">
        <f>(IF(CH$7="X",VLOOKUP(CH$10,'VK-Hooned-Soojus'!$C:$X,2+$C138,FALSE),0)+IF(CH$6="X",VLOOKUP(CH$10,'VK-Transport'!$C:$X,2+$B138,0))+IF(CH$8="X",VLOOKUP(CH$10,'VK-Elekter'!$C:$X,2+$D138,0))+IF(CH$9="X",VLOOKUP(CH$10,'VK-Biokütused'!$C:$U,2+$E138,0))+IF(CH$5="X",VLOOKUP(CH$10,'VK-Põlevkivi'!$C:$X,2+$G138,0))+IF(CH$4="X",VLOOKUP(CH$10,'VK-Võrgud'!$C:$X,2+$F138,0)))/20*0.21</f>
        <v>26.9178</v>
      </c>
      <c r="CI138" s="209"/>
      <c r="CJ138" s="209">
        <f>(IF(CJ$7="X",VLOOKUP(CJ$10,'VK-Hooned-Soojus'!$C:$X,2+$C138,FALSE),0)+IF(CJ$6="X",VLOOKUP(CJ$10,'VK-Transport'!$C:$X,2+$B138,0))+IF(CJ$8="X",VLOOKUP(CJ$10,'VK-Elekter'!$C:$X,2+$D138,0))+IF(CJ$9="X",VLOOKUP(CJ$10,'VK-Biokütused'!$C:$U,2+$E138,0))+IF(CJ$5="X",VLOOKUP(CJ$10,'VK-Põlevkivi'!$C:$X,2+$G138,0))+IF(CJ$4="X",VLOOKUP(CJ$10,'VK-Võrgud'!$C:$X,2+$F138,0)))/1000</f>
        <v>16.465861099430587</v>
      </c>
      <c r="CK138" s="209">
        <f>(IF(CK$7="X",VLOOKUP(CK$10,'VK-Hooned-Soojus'!$C:$X,2+$C138,FALSE),0)+IF(CK$6="X",VLOOKUP(CK$10,'VK-Transport'!$C:$X,2+$B138,0))+IF(CK$8="X",VLOOKUP(CK$10,'VK-Elekter'!$C:$X,2+$D138,0))+IF(CK$9="X",VLOOKUP(CK$10,'VK-Biokütused'!$C:$U,2+$E138,0))+IF(CK$5="X",VLOOKUP(CK$10,'VK-Põlevkivi'!$C:$X,2+$G138,0))+IF(CK$4="X",VLOOKUP(CK$10,'VK-Võrgud'!$C:$X,2+$F138,0)))/1000</f>
        <v>11.219077976340797</v>
      </c>
      <c r="CL138" s="235">
        <f>(IF(CL$7="X",VLOOKUP(CL$10,'VK-Hooned-Soojus'!$C:$X,2+$C138,FALSE),0)+IF(CL$6="X",VLOOKUP(CL$10,'VK-Transport'!$C:$X,2+$B138,0))+IF(CL$8="X",VLOOKUP(CL$10,'VK-Elekter'!$C:$X,2+$D138,0))+IF(CL$9="X",VLOOKUP(CL$10,'VK-Biokütused'!$C:$U,2+$E138,0)))/1000</f>
        <v>7.1502826922990277</v>
      </c>
      <c r="CM138" s="209">
        <f>(IF(CM$7="X",VLOOKUP(CM$10,'VK-Hooned-Soojus'!$C:$X,2+$C138,FALSE),0)+IF(CM$6="X",VLOOKUP(CM$10,'VK-Transport'!$C:$X,2+$B138,0))+IF(CM$8="X",VLOOKUP(CM$10,'VK-Elekter'!$C:$X,2+$D138,0))+IF(CM$9="X",VLOOKUP(CM$10,'VK-Biokütused'!$C:$U,2+$E138,0))+IF(CM$5="X",VLOOKUP(CM$10,'VK-Põlevkivi'!$C:$X,2+$G138,0))+IF(CM$4="X",VLOOKUP(CM$10,'VK-Võrgud'!$C:$X,2+$F138,0)))/1000</f>
        <v>7.5743156794471025</v>
      </c>
      <c r="CN138" s="209">
        <f>(IF(CN$7="X",VLOOKUP(CN$10,'VK-Hooned-Soojus'!$C:$X,2+$C138,FALSE),0)+IF(CN$6="X",VLOOKUP(CN$10,'VK-Transport'!$C:$X,2+$B138,0))+IF(CN$8="X",VLOOKUP(CN$10,'VK-Elekter'!$C:$X,2+$D138,0))+IF(CN$9="X",VLOOKUP(CN$10,'VK-Biokütused'!$C:$U,2+$E138,0))+IF(CN$5="X",VLOOKUP(CN$10,'VK-Põlevkivi'!$C:$X,2+$G138,0))+IF(CN$4="X",VLOOKUP(CN$10,'VK-Võrgud'!$C:$X,2+$F138,0)))/1000</f>
        <v>2.7810000000000001</v>
      </c>
      <c r="CO138" s="209">
        <f>(IF(CO$7="X",VLOOKUP(CO$10,'VK-Hooned-Soojus'!$C:$X,2+$C138,FALSE),0)+IF(CO$6="X",VLOOKUP(CO$10,'VK-Transport'!$C:$X,2+$B138,0))+IF(CO$8="X",VLOOKUP(CO$10,'VK-Elekter'!$C:$X,2+$D138,0))+IF(CO$9="X",VLOOKUP(CO$10,'VK-Biokütused'!$C:$U,2+$E138,0))+IF(CO$5="X",VLOOKUP(CO$10,'VK-Põlevkivi'!$C:$X,2+$G138,0))+IF(CO$4="X",VLOOKUP(CO$10,'VK-Võrgud'!$C:$X,2+$F138,0)))/1000</f>
        <v>23.569362337356992</v>
      </c>
      <c r="CP138" s="209">
        <f>(IF(CP$7="X",VLOOKUP(CP$10,'VK-Hooned-Soojus'!$C:$X,2+$C138,FALSE),0)+IF(CP$6="X",VLOOKUP(CP$10,'VK-Transport'!$C:$X,2+$B138,0))+IF(CP$8="X",VLOOKUP(CP$10,'VK-Elekter'!$C:$X,2+$D138,0))+IF(CP$9="X",VLOOKUP(CP$10,'VK-Biokütused'!$C:$U,2+$E138,0))+IF(CP$5="X",VLOOKUP(CP$10,'VK-Põlevkivi'!$C:$X,2+$G138,0))+IF(CP$4="X",VLOOKUP(CP$10,'VK-Võrgud'!$C:$X,2+$F138,0)))/1000</f>
        <v>13.40539212069366</v>
      </c>
      <c r="CQ138" s="235">
        <f>(IF(CQ$7="X",VLOOKUP(CQ$10,'VK-Hooned-Soojus'!$C:$X,2+$C138,FALSE),0)+IF(CQ$6="X",VLOOKUP(CQ$10,'VK-Transport'!$C:$X,2+$B138,0))+IF(CQ$8="X",VLOOKUP(CQ$10,'VK-Elekter'!$C:$X,2+$D138,0))+IF(CQ$9="X",VLOOKUP(CQ$10,'VK-Biokütused'!$C:$U,2+$E138,0)))/1000</f>
        <v>10.247919</v>
      </c>
      <c r="CR138" s="209">
        <f>(IF(CR$7="X",VLOOKUP(CR$10,'VK-Hooned-Soojus'!$C:$X,2+$C138,FALSE),0)+IF(CR$6="X",VLOOKUP(CR$10,'VK-Transport'!$C:$X,2+$B138,0))+IF(CR$8="X",VLOOKUP(CR$10,'VK-Elekter'!$C:$X,2+$D138,0))+IF(CR$9="X",VLOOKUP(CR$10,'VK-Biokütused'!$C:$U,2+$E138,0))+IF(CR$5="X",VLOOKUP(CR$10,'VK-Põlevkivi'!$C:$X,2+$G138,0))+IF(CR$4="X",VLOOKUP(CR$10,'VK-Võrgud'!$C:$X,2+$F138,0)))/1000</f>
        <v>7.6937518373996889</v>
      </c>
      <c r="CS138" s="209">
        <f>(IF(CS$7="X",VLOOKUP(CS$10,'VK-Hooned-Soojus'!$C:$X,2+$C138,FALSE),0)+IF(CS$6="X",VLOOKUP(CS$10,'VK-Transport'!$C:$X,2+$B138,0))+IF(CS$8="X",VLOOKUP(CS$10,'VK-Elekter'!$C:$X,2+$D138,0))+IF(CS$9="X",VLOOKUP(CS$10,'VK-Biokütused'!$C:$U,2+$E138,0))+IF(CS$5="X",VLOOKUP(CS$10,'VK-Põlevkivi'!$C:$X,2+$G138,0))+IF(CS$4="X",VLOOKUP(CS$10,'VK-Võrgud'!$C:$X,2+$F138,0)))/1000</f>
        <v>3.7686495098622381</v>
      </c>
      <c r="CT138" s="209">
        <f>IF(CT$7="X",VLOOKUP(CT$10,'VK-Hooned-Soojus'!$C:$X,2+$C138,FALSE),0)+IF(CT$6="X",VLOOKUP(CT$10,'VK-Transport'!$C:$X,2+$B138,0))+IF(CT$8="X",VLOOKUP(CT$10,'VK-Elekter'!$C:$X,2+$D138,0))+IF(CT$9="X",VLOOKUP(CT$10,'VK-Biokütused'!$C:$U,2+$E138,0))+IF(CT$5="X",VLOOKUP(CT$10,'VK-Põlevkivi'!$C:$X,2+$G138,0))+IF(CT$4="X",VLOOKUP(CT$10,'VK-Võrgud'!$C:$X,2+$F138,0))</f>
        <v>90</v>
      </c>
      <c r="CU138" s="209">
        <f>IF(CU$7="X",VLOOKUP(CU$10,'VK-Hooned-Soojus'!$C:$X,2+$C138,FALSE),0)+IF(CU$6="X",VLOOKUP(CU$10,'VK-Transport'!$C:$X,2+$B138,0))+IF(CU$8="X",VLOOKUP(CU$10,'VK-Elekter'!$C:$X,2+$D138,0))+IF(CU$9="X",VLOOKUP(CU$10,'VK-Biokütused'!$C:$U,2+$E138,0))+IF(CU$5="X",VLOOKUP(CU$10,'VK-Põlevkivi'!$C:$X,2+$G138,0))+IF(CU$4="X",VLOOKUP(CU$10,'VK-Võrgud'!$C:$X,2+$F138,0))</f>
        <v>0.9337349397590361</v>
      </c>
      <c r="CV138" s="209">
        <f t="shared" si="84"/>
        <v>0.72887234460741657</v>
      </c>
      <c r="CW138" s="209">
        <f>(IF(CW$7="X",VLOOKUP(CW$10,'VK-Hooned-Soojus'!$C:$X,2+$C138,FALSE),0)+IF(CW$6="X",VLOOKUP(CW$10,'VK-Transport'!$C:$X,2+$B138,0))+IF(CW$8="X",VLOOKUP(CW$10,'VK-Elekter'!$C:$X,2+$D138,0))+IF(CW$9="X",VLOOKUP(CW$10,'VK-Biokütused'!$C:$U,2+$E138,0))+IF(CW$5="X",VLOOKUP(CW$10,'VK-Põlevkivi'!$C:$X,2+$G138,0))+IF(CW$4="X",VLOOKUP(CW$10,'VK-Võrgud'!$C:$X,2+$F138,0)))/16</f>
        <v>59.743749999999999</v>
      </c>
      <c r="CY138" s="209">
        <f>(IF(CY$7="X",VLOOKUP(CY$10,'VK-Hooned-Soojus'!$C:$X,2+$C138,FALSE),0)+IF(CY$6="X",VLOOKUP(CY$10,'VK-Transport'!$C:$X,2+$B138,0))+IF(CY$8="X",VLOOKUP(CY$10,'VK-Elekter'!$C:$X,2+$D138,0))+IF(CY$9="X",VLOOKUP(CY$10,'VK-Biokütused'!$C:$U,2+$E138,0))+IF(CY$5="X",VLOOKUP(CY$10,'VK-Põlevkivi'!$C:$X,2+$G138,0))+IF(CY$4="X",VLOOKUP(CY$10,'VK-Võrgud'!$C:$X,2+$F138,0)))/1000</f>
        <v>9.8539999999999992</v>
      </c>
      <c r="CZ138" s="209">
        <f>(IF(CZ$7="X",VLOOKUP(CZ$10,'VK-Hooned-Soojus'!$C:$X,2+$C138,FALSE),0)+IF(CZ$6="X",VLOOKUP(CZ$10,'VK-Transport'!$C:$X,2+$B138,0))+IF(CZ$8="X",VLOOKUP(CZ$10,'VK-Elekter'!$C:$X,2+$D138,0))+IF(CZ$9="X",VLOOKUP(CZ$10,'VK-Biokütused'!$C:$U,2+$E138,0))+IF(CZ$5="X",VLOOKUP(CZ$10,'VK-Põlevkivi'!$C:$X,2+$G138,0))+IF(CZ$4="X",VLOOKUP(CZ$10,'VK-Võrgud'!$C:$X,2+$F138,0)))</f>
        <v>68.400000000000006</v>
      </c>
      <c r="DA138" s="209">
        <f>(IF(DA$7="X",VLOOKUP(DA$10,'VK-Hooned-Soojus'!$C:$X,2+$C138,FALSE),0)+IF(DA$6="X",VLOOKUP(DA$10,'VK-Transport'!$C:$X,2+$B138,0))+IF(DA$8="X",VLOOKUP(DA$10,'VK-Elekter'!$C:$X,2+$D138,0))+IF(DA$9="X",VLOOKUP(DA$10,'VK-Biokütused'!$C:$U,2+$E138,0))+IF(DA$5="X",VLOOKUP(DA$10,'VK-Põlevkivi'!$C:$X,2+$G138,0))+IF(DA$4="X",VLOOKUP(DA$10,'VK-Võrgud'!$C:$X,2+$F138,0)))/1000</f>
        <v>12.739000000000001</v>
      </c>
      <c r="DB138" s="209">
        <f>(IF(DB$7="X",VLOOKUP(DB$10,'VK-Hooned-Soojus'!$C:$X,2+$C138,FALSE),0)+IF(DB$6="X",VLOOKUP(DB$10,'VK-Transport'!$C:$X,2+$B138,0))+IF(DB$8="X",VLOOKUP(DB$10,'VK-Elekter'!$C:$X,2+$D138,0))+IF(DB$9="X",VLOOKUP(DB$10,'VK-Biokütused'!$C:$U,2+$E138,0))+IF(DB$5="X",VLOOKUP(DB$10,'VK-Põlevkivi'!$C:$X,2+$G138,0))+IF(DB$4="X",VLOOKUP(DB$10,'VK-Võrgud'!$C:$X,2+$F138,0)))/1000/3.6</f>
        <v>57.352777777777774</v>
      </c>
      <c r="DC138" s="209">
        <f>(IF(DC$7="X",VLOOKUP(DC$10,'VK-Hooned-Soojus'!$C:$X,2+$C138,FALSE),0)+IF(DC$6="X",VLOOKUP(DC$10,'VK-Transport'!$C:$X,2+$B138,0))+IF(DC$8="X",VLOOKUP(DC$10,'VK-Elekter'!$C:$X,2+$D138,0))+IF(DC$9="X",VLOOKUP(DC$10,'VK-Biokütused'!$C:$U,2+$E138,0))+IF(DC$5="X",VLOOKUP(DC$10,'VK-Põlevkivi'!$C:$X,2+$G138,0))+IF(DC$4="X",VLOOKUP(DC$10,'VK-Võrgud'!$C:$X,2+$F138,0)))/1000000</f>
        <v>4.6469240000000003</v>
      </c>
      <c r="DD138" s="209"/>
      <c r="DE138" s="88">
        <f>VLOOKUP(Tulemused!$BN$12,data!M$7:N$12,2,FALSE)-SUM(L138,M138)</f>
        <v>0.39749062697563176</v>
      </c>
      <c r="DF138" s="209" t="str">
        <f>IF(AZ138&lt;=VLOOKUP(Tulemused!$BN$15,data!$E$36:$F$39,2,FALSE),"JAH","EI")</f>
        <v>JAH</v>
      </c>
      <c r="DG138" s="209"/>
      <c r="DH138" s="209">
        <f t="shared" si="85"/>
        <v>6.08</v>
      </c>
      <c r="DI138" s="231" t="str">
        <f t="shared" si="65"/>
        <v>JAH</v>
      </c>
      <c r="DK138" s="232">
        <f t="shared" si="86"/>
        <v>7.2372788787811331</v>
      </c>
      <c r="DM138" s="233">
        <f t="shared" si="87"/>
        <v>-998.74105249558886</v>
      </c>
      <c r="DN138" s="87">
        <f t="array" ref="DN138">INDEX($A$11:$A$145, SMALL(IF(DM138=$DK$11:$DK$145, MATCH(ROW($DK$11:$DK$145), ROW($DK$11:$DK$145))), SUM(--(DM138=$DM$11:DM138))))</f>
        <v>31</v>
      </c>
      <c r="DP138" s="87" t="e">
        <f t="shared" ca="1" si="66"/>
        <v>#N/A</v>
      </c>
      <c r="DQ138" s="87" t="e">
        <f t="shared" ca="1" si="67"/>
        <v>#N/A</v>
      </c>
      <c r="DR138" s="87">
        <f t="shared" ca="1" si="68"/>
        <v>0</v>
      </c>
      <c r="DS138" s="87" t="e">
        <f t="shared" ca="1" si="69"/>
        <v>#N/A</v>
      </c>
      <c r="DT138" s="87">
        <f t="shared" ca="1" si="70"/>
        <v>0</v>
      </c>
      <c r="DU138" s="87" t="e">
        <f t="shared" ca="1" si="71"/>
        <v>#N/A</v>
      </c>
      <c r="DV138" s="87" t="e">
        <f t="shared" ca="1" si="72"/>
        <v>#N/A</v>
      </c>
      <c r="DW138" s="87">
        <f t="shared" ca="1" si="73"/>
        <v>0</v>
      </c>
      <c r="DX138" s="87">
        <f t="shared" ca="1" si="74"/>
        <v>0</v>
      </c>
      <c r="DZ138" s="87">
        <f t="shared" ca="1" si="82"/>
        <v>0</v>
      </c>
      <c r="EB138" s="87">
        <f t="shared" ca="1" si="75"/>
        <v>0</v>
      </c>
      <c r="EC138" s="87" t="e">
        <f t="shared" ca="1" si="76"/>
        <v>#N/A</v>
      </c>
      <c r="EE138" s="228">
        <f>(IF(EE$7="X",VLOOKUP(EE$10,'VK-Hooned-Soojus'!$C:$X,2+$C138,FALSE),0)+IF(EE$6="X",VLOOKUP(EE$10,'VK-Transport'!$C:$X,2+$B138,0))+IF(EE$8="X",VLOOKUP(EE$10,'VK-Elekter'!$C:$X,2+$D138,0))+IF(EE$9="X",VLOOKUP(EE$10,'VK-Biokütused'!$C:$U,2+$E138,0))+IF(EE$5="X",VLOOKUP(EE$10,'VK-Põlevkivi'!$C:$X,2+$G138,0))+IF(EE$4="X",VLOOKUP(EE$10,'VK-Võrgud'!$C:$X,2+$F138,0)))</f>
        <v>13026.262403094939</v>
      </c>
      <c r="EF138" s="235">
        <f>(IF(EF$7="X",VLOOKUP(EF$10,'VK-Hooned-Soojus'!$C:$X,2+$C138,FALSE),0)+IF(EF$6="X",VLOOKUP(EF$10,'VK-Transport'!$C:$X,2+$B138,0))+IF(EF$8="X",VLOOKUP(EF$10,'VK-Elekter'!$C:$X,2+$D138,0))+IF(EF$9="X",VLOOKUP(EF$10,'VK-Biokütused'!$C:$U,2+$E138,0)))/1000</f>
        <v>2.7478849906373197</v>
      </c>
      <c r="EG138" s="209">
        <f>(IF(EG$7="X",VLOOKUP(EG$10,'VK-Hooned-Soojus'!$C:$X,2+$C138,FALSE),0)+IF(EG$6="X",VLOOKUP(EG$10,'VK-Transport'!$C:$X,2+$B138,0))+IF(EG$8="X",VLOOKUP(EG$10,'VK-Elekter'!$C:$X,2+$D138,0))+IF(EG$9="X",VLOOKUP(EG$10,'VK-Biokütused'!$C:$U,2+$E138,0))+IF(EG$5="X",VLOOKUP(EG$10,'VK-Põlevkivi'!$C:$X,2+$G138,0))+IF(EG$4="X",VLOOKUP(EG$10,'VK-Võrgud'!$C:$X,2+$F138,0)))</f>
        <v>2.95</v>
      </c>
      <c r="EH138" s="209">
        <f>(IF(EH$7="X",VLOOKUP(EH$10,'VK-Hooned-Soojus'!$C:$X,2+$C138,FALSE),0)+IF(EH$6="X",VLOOKUP(EH$10,'VK-Transport'!$C:$X,2+$B138,0))+IF(EH$8="X",VLOOKUP(EH$10,'VK-Elekter'!$C:$X,2+$D138,0))+IF(EH$9="X",VLOOKUP(EH$10,'VK-Biokütused'!$C:$U,2+$E138,0)))+AR138+AS138+AU138+AX138</f>
        <v>48.975637038771787</v>
      </c>
      <c r="EI138" s="320">
        <f t="shared" si="88"/>
        <v>43.272900516795865</v>
      </c>
      <c r="EJ138" s="322">
        <f t="shared" si="89"/>
        <v>9.3307678114868606E-2</v>
      </c>
      <c r="EK138" s="323">
        <f t="shared" si="77"/>
        <v>0.51659368872597156</v>
      </c>
      <c r="EM138" s="209"/>
      <c r="EN138" s="209">
        <f t="shared" ca="1" si="90"/>
        <v>0</v>
      </c>
      <c r="EO138" s="209"/>
      <c r="EP138" s="234"/>
      <c r="EQ138" s="209">
        <f>(IF(EQ$7="X",VLOOKUP(EQ$10,'VK-Hooned-Soojus'!$C:$X,2+$C138,FALSE),0)+IF(EQ$6="X",VLOOKUP(EQ$10,'VK-Transport'!$C:$X,2+$B138,0))+IF(EQ$8="X",VLOOKUP(EQ$10,'VK-Elekter'!$C:$X,2+$D138,0))+IF(EQ$9="X",VLOOKUP(EQ$10,'VK-Biokütused'!$C:$U,2+$E138,0))+IF(EQ$5="X",VLOOKUP(EQ$10,'VK-Põlevkivi'!$C:$X,2+$G138,0))+IF(EQ$4="X",VLOOKUP(EQ$10,'VK-Võrgud'!$C:$X,2+$F138,0)))/1000</f>
        <v>0.19900000000000001</v>
      </c>
      <c r="ER138" s="209">
        <f>(IF(ER$7="X",VLOOKUP(ER$10,'VK-Hooned-Soojus'!$C:$X,2+$C138,FALSE),0)+IF(ER$6="X",VLOOKUP(ER$10,'VK-Transport'!$C:$X,2+$B138,0))+IF(ER$8="X",VLOOKUP(ER$10,'VK-Elekter'!$C:$X,2+$D138,0))+IF(ER$9="X",VLOOKUP(ER$10,'VK-Biokütused'!$C:$U,2+$E138,0))+IF(ER$5="X",VLOOKUP(ER$10,'VK-Põlevkivi'!$C:$X,2+$G138,0))+IF(ER$4="X",VLOOKUP(ER$10,'VK-Võrgud'!$C:$X,2+$F138,0)))</f>
        <v>0.72299999999999998</v>
      </c>
      <c r="ES138" s="209">
        <f>(IF(ES$7="X",VLOOKUP(ES$10,'VK-Hooned-Soojus'!$C:$X,2+$C138,FALSE),0)+IF(ES$6="X",VLOOKUP(ES$10,'VK-Transport'!$C:$X,2+$B138,0))+IF(ES$8="X",VLOOKUP(ES$10,'VK-Elekter'!$C:$X,2+$D138,0))+IF(ES$9="X",VLOOKUP(ES$10,'VK-Biokütused'!$C:$U,2+$E138,0))+IF(ES$5="X",VLOOKUP(ES$10,'VK-Põlevkivi'!$C:$X,2+$G138,0))+IF(ES$4="X",VLOOKUP(ES$10,'VK-Võrgud'!$C:$X,2+$F138,0)))</f>
        <v>6.08</v>
      </c>
      <c r="ET138" s="209"/>
      <c r="EU138" s="209"/>
      <c r="EV138" s="87">
        <f>'KSH järjestus'!AS131</f>
        <v>483</v>
      </c>
      <c r="EZ138" s="237">
        <f t="shared" si="91"/>
        <v>6.6265060240963902E-2</v>
      </c>
      <c r="FA138" s="209">
        <f>IF(FA$7="X",VLOOKUP(FA$10,'VK-Hooned-Soojus'!$C:$X,2+$C138,FALSE),0)+IF(FA$6="X",VLOOKUP(FA$10,'VK-Transport'!$C:$X,2+$B138,0))+IF(FA$8="X",VLOOKUP(FA$10,'VK-Elekter'!$C:$X,2+$D138,0))+IF(FA$9="X",VLOOKUP(FA$10,'VK-Biokütused'!$C:$U,2+$E138,0))+IF(FA$5="X",VLOOKUP(FA$10,'VK-Põlevkivi'!$C:$X,2+$G138,0))+IF(FA$4="X",VLOOKUP(FA$10,'VK-Võrgud'!$C:$X,2+$F138,0))</f>
        <v>2912.9189999999999</v>
      </c>
      <c r="FB138" s="279">
        <f>(IF(FB$7="X",VLOOKUP(FB$10,'VK-Hooned-Soojus'!$C:$X,2+$C138,FALSE),0)+IF(FB$6="X",VLOOKUP(FB$10,'VK-Transport'!$C:$X,2+$B138,0))+IF(FB$8="X",VLOOKUP(FB$10,'VK-Elekter'!$C:$X,2+$D138,0))+IF(FB$9="X",VLOOKUP(FB$10,'VK-Biokütused'!$C:$U,2+$E138,0))+IF(FB$5="X",VLOOKUP(FB$10,'VK-Põlevkivi'!$C:$X,2+$G138,0))+IF(FB$4="X",VLOOKUP(FB$10,'VK-Võrgud'!$C:$X,2+$F138,0)))/16</f>
        <v>562.03497509982424</v>
      </c>
      <c r="FC138" s="209">
        <f>IF(FC$7="X",VLOOKUP(FC$10,'VK-Hooned-Soojus'!$C:$X,2+$C138,FALSE),0)+IF(FC$6="X",VLOOKUP(FC$10,'VK-Transport'!$C:$X,2+$B138,0))+IF(FC$8="X",VLOOKUP(FC$10,'VK-Elekter'!$C:$X,2+$D138,0))+IF(FC$9="X",VLOOKUP(FC$10,'VK-Biokütused'!$C:$U,2+$E138,0))+IF(FC$5="X",VLOOKUP(FC$10,'VK-Põlevkivi'!$C:$X,2+$G138,0))+IF(FC$4="X",VLOOKUP(FC$10,'VK-Võrgud'!$C:$X,2+$F138,0))</f>
        <v>285</v>
      </c>
      <c r="FD138" s="209">
        <f>(IF(FD$7="X",VLOOKUP(FD$10,'VK-Hooned-Soojus'!$C:$X,2+$C138,FALSE),0)+IF(FD$6="X",VLOOKUP(FD$10,'VK-Transport'!$C:$X,2+$B138,0))+IF(FD$8="X",VLOOKUP(FD$10,'VK-Elekter'!$C:$X,2+$D138,0))+IF(FD$9="X",VLOOKUP(FD$10,'VK-Biokütused'!$C:$U,2+$E138,0))+IF(FD$5="X",VLOOKUP(FD$10,'VK-Põlevkivi'!$C:$X,2+$G138,0))+IF(FD$4="X",VLOOKUP(FD$10,'VK-Võrgud'!$C:$X,2+$F138,0)))/16</f>
        <v>562.03497509982424</v>
      </c>
      <c r="FE138" s="209">
        <f>(IF(FE$7="X",VLOOKUP(FE$10,'VK-Hooned-Soojus'!$C:$X,2+$C138,FALSE),0)+IF(FE$6="X",VLOOKUP(FE$10,'VK-Transport'!$C:$X,2+$B138,0))+IF(FE$8="X",VLOOKUP(FE$10,'VK-Elekter'!$C:$X,2+$D138,0))+IF(FE$9="X",VLOOKUP(FE$10,'VK-Biokütused'!$C:$U,2+$E138,0))+IF(FE$5="X",VLOOKUP(FE$10,'VK-Põlevkivi'!$C:$X,2+$G138,0))+IF(FE$4="X",VLOOKUP(FE$10,'VK-Võrgud'!$C:$X,2+$F138,0)))/16</f>
        <v>-178.19071988063212</v>
      </c>
      <c r="FF138" s="209">
        <f>(IF(FF$7="X",VLOOKUP(FF$10,'VK-Hooned-Soojus'!$C:$X,2+$C138,FALSE),0)+IF(FF$6="X",VLOOKUP(FF$10,'VK-Transport'!$C:$X,2+$B138,0))+IF(FF$8="X",VLOOKUP(FF$10,'VK-Elekter'!$C:$X,2+$D138,0))+IF(FF$9="X",VLOOKUP(FF$10,'VK-Biokütused'!$C:$U,2+$E138,0))+IF(FF$5="X",VLOOKUP(FF$10,'VK-Põlevkivi'!$C:$X,2+$G138,0))+IF(FF$4="X",VLOOKUP(FF$10,'VK-Võrgud'!$C:$X,2+$F138,0)))/16</f>
        <v>242.08883511321426</v>
      </c>
      <c r="FG138" s="88">
        <f t="shared" ca="1" si="78"/>
        <v>63.898115232582143</v>
      </c>
      <c r="FH138" s="88"/>
      <c r="FI138" s="88"/>
      <c r="FJ138" s="88">
        <f>VLOOKUP(Tulemused!$BN$12,data!M$7:N$12,2,FALSE)-SUM(L138,M138)</f>
        <v>0.39749062697563176</v>
      </c>
      <c r="FK138" s="209" t="str">
        <f>IF(AZ138&lt;=VLOOKUP(Tulemused!$BN$15,data!$E$36:$F$39,2,FALSE),"JAH","EI")</f>
        <v>JAH</v>
      </c>
      <c r="FL138" s="235">
        <f ca="1">IF(ISNA(MATCH($A138,INDIRECT(VLOOKUP(Tulemused!$BF$11,data!$J$57:$M$71,4,FALSE)))),0,MATCH($A138,INDIRECT(VLOOKUP(Tulemused!$BF$11,data!$J$57:$M$71,4,FALSE))))</f>
        <v>0</v>
      </c>
      <c r="FM138" s="235" t="str">
        <f t="shared" ca="1" si="92"/>
        <v>JAH</v>
      </c>
      <c r="FN138" s="209">
        <f>VLOOKUP(Tulemused!$BN$13,data!$C$132:$D$137,2,FALSE)-KOMBI!R138</f>
        <v>4.8305850093626805</v>
      </c>
      <c r="FO138" s="209"/>
      <c r="FP138" s="209">
        <f>VLOOKUP(Tulemused!$BN$17,NO_x,2,FALSE)-CJ138</f>
        <v>12.972138900569412</v>
      </c>
      <c r="FQ138" s="209">
        <f>VLOOKUP(Tulemused!$BN$18,SO_2,2,FALSE)-CK138</f>
        <v>40.664922023659201</v>
      </c>
      <c r="FR138" s="209">
        <f>VLOOKUP(Tulemused!$BN$19,LOU,2,FALSE)-CN138</f>
        <v>34.299000000000007</v>
      </c>
      <c r="FS138" s="209">
        <f>VLOOKUP(Tulemused!$BN$20,PM_2.5,2,FALSE)-CM138</f>
        <v>9.3406843205528958</v>
      </c>
      <c r="FT138" s="209">
        <f>VLOOKUP(Tulemused!$BN$13,data!$C$132:$D$137,2,FALSE)-FA138/1000</f>
        <v>3.3330510000000007</v>
      </c>
      <c r="FU138" s="209">
        <f>VLOOKUP(Tulemused!$BN$17,NO_x,2,FALSE)-CO138</f>
        <v>5.8686376626430068</v>
      </c>
      <c r="FV138" s="209">
        <f>VLOOKUP(Tulemused!$BN$18,SO_2,2,FALSE)-CP138</f>
        <v>38.478607879306338</v>
      </c>
      <c r="FW138" s="209">
        <f>VLOOKUP(Tulemused!$BN$19,LOU,2,FALSE)-CS138</f>
        <v>33.311350490137769</v>
      </c>
      <c r="FX138" s="209">
        <f>VLOOKUP(Tulemused!$BN$20,PM_2.5,2,FALSE)-CR138</f>
        <v>9.2212481626003111</v>
      </c>
      <c r="FY138" s="209">
        <f>VLOOKUP(Tulemused!$BN$14,KHG_2050,2,FALSE)-EF138</f>
        <v>97.252115009362683</v>
      </c>
      <c r="FZ138" s="231" t="str">
        <f t="shared" ca="1" si="79"/>
        <v>JAH</v>
      </c>
      <c r="GA138" s="209"/>
      <c r="GB138" s="209"/>
      <c r="GC138" s="209"/>
      <c r="GD138" s="231"/>
      <c r="GE138" s="87">
        <f t="shared" si="93"/>
        <v>483</v>
      </c>
      <c r="GF138" s="232">
        <f t="shared" ca="1" si="80"/>
        <v>483</v>
      </c>
      <c r="GH138" s="238" t="e">
        <f t="shared" ca="1" si="94"/>
        <v>#NUM!</v>
      </c>
      <c r="GI138" s="87" t="e">
        <f t="array" aca="1" ref="GI138" ca="1">INDEX($A$11:$A$145, SMALL(IF(GH138=$GF$11:$GF$145, MATCH(ROW($GF$11:$GF$145), ROW($GF$11:$GF$145))), SUM(--(GH138=$GH$11:GH138))))</f>
        <v>#NUM!</v>
      </c>
      <c r="GM138" s="209">
        <f>IF(GM$7="X",VLOOKUP(GM$10,'VK-Hooned-Soojus'!$C:$X,2+$C138,FALSE),0)+IF(GM$6="X",VLOOKUP(GM$10,'VK-Transport'!$C:$X,2+$B138,0))+IF(GM$8="X",VLOOKUP(GM$10,'VK-Elekter'!$C:$X,2+$D138,0))+IF(GM$9="X",VLOOKUP(GM$10,'VK-Biokütused'!$C:$U,2+$E138,0))+IF(GM$5="X",VLOOKUP(GM$10,'VK-Põlevkivi'!$C:$X,2+$G138,0))+IF(GM$4="X",VLOOKUP(GM$10,'VK-Võrgud'!$C:$X,2+$F138,0))</f>
        <v>6.011750640646909</v>
      </c>
      <c r="GN138" s="209">
        <f>IF(GN$7="X",VLOOKUP(GN$10,'VK-Hooned-Soojus'!$C:$X,2+$C138,FALSE),0)+IF(GN$6="X",VLOOKUP(GN$10,'VK-Transport'!$C:$X,2+$B138,0))+IF(GN$8="X",VLOOKUP(GN$10,'VK-Elekter'!$C:$X,2+$D138,0))+IF(GN$9="X",VLOOKUP(GN$10,'VK-Biokütused'!$C:$U,2+$E138,0))+IF(GN$5="X",VLOOKUP(GN$10,'VK-Põlevkivi'!$C:$X,2+$G138,0))+IF(GN$4="X",VLOOKUP(GN$10,'VK-Võrgud'!$C:$X,2+$F138,0))</f>
        <v>3.4528686473995491</v>
      </c>
      <c r="GO138" s="209">
        <f>IF(GO$7="X",VLOOKUP(GO$10,'VK-Hooned-Soojus'!$C:$X,2+$C138,FALSE),0)+IF(GO$6="X",VLOOKUP(GO$10,'VK-Transport'!$C:$X,2+$B138,0))+IF(GO$8="X",VLOOKUP(GO$10,'VK-Elekter'!$C:$X,2+$D138,0))+IF(GO$9="X",VLOOKUP(GO$10,'VK-Biokütused'!$C:$U,2+$E138,0))+IF(GO$5="X",VLOOKUP(GO$10,'VK-Põlevkivi'!$C:$X,2+$G138,0))+IF(GO$4="X",VLOOKUP(GO$10,'VK-Võrgud'!$C:$X,2+$F138,0))</f>
        <v>7.5763700102722566</v>
      </c>
      <c r="GP138" s="209">
        <f>IF(GP$7="X",VLOOKUP(GP$10,'VK-Hooned-Soojus'!$C:$X,2+$C138,FALSE),0)+IF(GP$6="X",VLOOKUP(GP$10,'VK-Transport'!$C:$X,2+$B138,0))+IF(GP$8="X",VLOOKUP(GP$10,'VK-Elekter'!$C:$X,2+$D138,0))+IF(GP$9="X",VLOOKUP(GP$10,'VK-Biokütused'!$C:$U,2+$E138,0))+IF(GP$5="X",VLOOKUP(GP$10,'VK-Põlevkivi'!$C:$X,2+$G138,0))+IF(GP$4="X",VLOOKUP(GP$10,'VK-Võrgud'!$C:$X,2+$F138,0))</f>
        <v>8.9326558040707589</v>
      </c>
      <c r="GQ138" s="88">
        <f>IF(GQ$7="X",VLOOKUP(GQ$10,'VK-Hooned-Soojus'!$C:$X,2+$C138,FALSE),0)+IF(GQ$6="X",VLOOKUP(GQ$10,'VK-Transport'!$C:$X,2+$B138,0))+IF(GQ$8="X",VLOOKUP(GQ$10,'VK-Elekter'!$C:$X,2+$D138,0))+IF(GQ$9="X",VLOOKUP(GQ$10,'VK-Biokütused'!$C:$U,2+$E138,0))+IF(GQ$5="X",VLOOKUP(GQ$10,'VK-Põlevkivi'!$C:$X,2+$G138,0))+IF(GQ$4="X",VLOOKUP(GQ$10,'VK-Võrgud'!$C:$X,2+$F138,0))</f>
        <v>0.89042766952822527</v>
      </c>
      <c r="GR138" s="186">
        <f t="shared" si="81"/>
        <v>0.40930554934184821</v>
      </c>
    </row>
    <row r="139" spans="1:200" x14ac:dyDescent="0.2">
      <c r="A139" s="184">
        <v>129</v>
      </c>
      <c r="B139" s="87">
        <v>3</v>
      </c>
      <c r="C139" s="87">
        <v>3</v>
      </c>
      <c r="D139" s="87">
        <v>3</v>
      </c>
      <c r="E139" s="87">
        <v>3</v>
      </c>
      <c r="F139" s="87">
        <f>VLOOKUP(Tulemused!$BF$7,data!$J$6:$K$8,2,FALSE)</f>
        <v>2</v>
      </c>
      <c r="G139" s="87">
        <f>VLOOKUP(data!$H$2,data!$J$12:$K$14,2,FALSE)</f>
        <v>2</v>
      </c>
      <c r="I139" s="209">
        <f>IF(I$7="X",VLOOKUP(I$10,'VK-Hooned-Soojus'!$C:$X,2+$C139,FALSE),0)+IF(I$6="X",VLOOKUP(I$10,'VK-Transport'!$C:$X,2+$B139,0))+IF(I$8="X",VLOOKUP(I$10,'VK-Elekter'!$C:$X,2+$D139,0))+IF(I$9="X",VLOOKUP(I$10,'VK-Biokütused'!$C:$U,2+$E139,0))+IF(I$5="X",VLOOKUP(I$10,'VK-Põlevkivi'!$C:$X,2+$G139,0))+IF(I$4="X",VLOOKUP(I$10,'VK-Võrgud'!$C:$X,2+$F139,0))</f>
        <v>23.490000000000002</v>
      </c>
      <c r="J139" s="209">
        <f>IF(J$7="X",VLOOKUP(J$10,'VK-Hooned-Soojus'!$C:$X,2+$C139,FALSE),0)+IF(J$6="X",VLOOKUP(J$10,'VK-Transport'!$C:$X,2+$B139,0))+IF(J$8="X",VLOOKUP(J$10,'VK-Elekter'!$C:$X,2+$D139,0))+IF(J$9="X",VLOOKUP(J$10,'VK-Biokütused'!$C:$U,2+$E139,0))+IF(J$5="X",VLOOKUP(J$10,'VK-Põlevkivi'!$C:$X,2+$G139,0))+IF(J$4="X",VLOOKUP(J$10,'VK-Võrgud'!$C:$X,2+$F139,0))</f>
        <v>8.1258333333333344</v>
      </c>
      <c r="K139" s="209">
        <f>IF(K$7="X",VLOOKUP(K$10,'VK-Hooned-Soojus'!$C:$X,2+$C139,FALSE),0)+IF(K$6="X",VLOOKUP(K$10,'VK-Transport'!$C:$X,2+$B139,0))+IF(K$8="X",VLOOKUP(K$10,'VK-Elekter'!$C:$X,2+$D139,0))+IF(K$9="X",VLOOKUP(K$10,'VK-Biokütused'!$C:$U,2+$E139,0))+IF(K$5="X",VLOOKUP(K$10,'VK-Põlevkivi'!$C:$X,2+$G139,0))+IF(K$4="X",VLOOKUP(K$10,'VK-Võrgud'!$C:$X,2+$F139,0))</f>
        <v>13.780000000000001</v>
      </c>
      <c r="L139" s="209">
        <f>IF(L$7="X",VLOOKUP(L$10,'VK-Hooned-Soojus'!$C:$X,2+$C139,FALSE),0)+IF(L$6="X",VLOOKUP(L$10,'VK-Transport'!$C:$X,2+$B139,0))+IF(L$8="X",VLOOKUP(L$10,'VK-Elekter'!$C:$X,2+$D139,0))+IF(L$9="X",VLOOKUP(L$10,'VK-Biokütused'!$C:$U,2+$E139,0))+IF(L$5="X",VLOOKUP(L$10,'VK-Põlevkivi'!$C:$X,2+$G139,0))+IF(L$4="X",VLOOKUP(L$10,'VK-Võrgud'!$C:$X,2+$F139,0))</f>
        <v>23.75</v>
      </c>
      <c r="M139" s="209">
        <f>IF(M$7="X",VLOOKUP(M$10,'VK-Hooned-Soojus'!$C:$X,2+$C139,FALSE),0)+IF(M$6="X",VLOOKUP(M$10,'VK-Transport'!$C:$X,2+$B139,0))+IF(M$8="X",VLOOKUP(M$10,'VK-Elekter'!$C:$X,2+$D139,0))+IF(M$9="X",VLOOKUP(M$10,'VK-Biokütused'!$C:$U,2+$E139,0))+IF(M$5="X",VLOOKUP(M$10,'VK-Põlevkivi'!$C:$X,2+$G139,0))+IF(M$4="X",VLOOKUP(M$10,'VK-Võrgud'!$C:$X,2+$F139,0))</f>
        <v>8.68530937302436</v>
      </c>
      <c r="N139" s="209">
        <f>IF(N$7="X",VLOOKUP(N$10,'VK-Hooned-Soojus'!$C:$X,2+$C139,FALSE),0)+IF(N$6="X",VLOOKUP(N$10,'VK-Transport'!$C:$X,2+$B139,0))+IF(N$8="X",VLOOKUP(N$10,'VK-Elekter'!$C:$X,2+$D139,0))+IF(N$9="X",VLOOKUP(N$10,'VK-Biokütused'!$C:$U,2+$E139,0))+IF(N$5="X",VLOOKUP(N$10,'VK-Põlevkivi'!$C:$X,2+$G139,0))+IF(N$4="X",VLOOKUP(N$10,'VK-Võrgud'!$C:$X,2+$F139,0))</f>
        <v>15.25</v>
      </c>
      <c r="O139" s="209">
        <f t="shared" si="60"/>
        <v>31.615833333333335</v>
      </c>
      <c r="P139" s="209"/>
      <c r="Q139" s="209">
        <f>(IF(Q$7="X",VLOOKUP(Q$10,'VK-Hooned-Soojus'!$C:$X,2+$C139,FALSE),0)+IF(Q$6="X",VLOOKUP(Q$10,'VK-Transport'!$C:$X,2+$B139,0))+IF(Q$8="X",VLOOKUP(Q$10,'VK-Elekter'!$C:$X,2+$D139,0))+IF(Q$9="X",VLOOKUP(Q$10,'VK-Biokütused'!$C:$U,2+$E139,0))+IF(Q$5="X",VLOOKUP(Q$10,'VK-Põlevkivi'!$C:$X,2+$G139,0))+IF(Q$4="X",VLOOKUP(Q$10,'VK-Võrgud'!$C:$X,2+$F139,0)))/1000</f>
        <v>4.9050000000000002</v>
      </c>
      <c r="R139" s="209">
        <f>(IF(R$7="X",VLOOKUP(R$10,'VK-Hooned-Soojus'!$C:$X,2+$C139,FALSE),0)+IF(R$6="X",VLOOKUP(R$10,'VK-Transport'!$C:$X,2+$B139,0))+IF(R$8="X",VLOOKUP(R$10,'VK-Elekter'!$C:$X,2+$D139,0))+IF(R$9="X",VLOOKUP(R$10,'VK-Biokütused'!$C:$U,2+$E139,0))+IF(R$5="X",VLOOKUP(R$10,'VK-Põlevkivi'!$C:$X,2+$G139,0))+IF(R$4="X",VLOOKUP(R$10,'VK-Võrgud'!$C:$X,2+$F139,0)))/1000</f>
        <v>1.62408499063732</v>
      </c>
      <c r="S139" s="226">
        <f>VLOOKUP(S$10,'VK-Hooned-Soojus'!$C:$I,2+$C139,FALSE) + VLOOKUP(S$10,'VK-Transport'!$C:$I,2+$B139,FALSE)+ VLOOKUP(S$10,'VK-Biokütused'!$C:$G,2+$E139,FALSE)+ VLOOKUP(S$10,'VK-Elekter'!$C:$I,2+$D139,FALSE)+ VLOOKUP(S$10,'VK-Põlevkivi'!$C:$I,2+$G139,FALSE)+ VLOOKUP(S$10,'VK-Võrgud'!$C:$I,2+$F139,FALSE)</f>
        <v>2.6637965611334694E-2</v>
      </c>
      <c r="T139" s="226">
        <f>VLOOKUP(T$10,'VK-Hooned-Soojus'!$C:$I,2+$C139,FALSE) + VLOOKUP(T$10,'VK-Transport'!$C:$I,2+$B139,FALSE)+ VLOOKUP(T$10,'VK-Biokütused'!$C:$G,2+$E139,FALSE)+ VLOOKUP(T$10,'VK-Elekter'!$C:$I,2+$D139,FALSE)+ VLOOKUP(T$10,'VK-Põlevkivi'!$C:$I,2+$G139,FALSE)+ VLOOKUP(T$10,'VK-Võrgud'!$C:$I,2+$F139,FALSE)</f>
        <v>3.1058650804800022E-3</v>
      </c>
      <c r="U139" s="226">
        <f>VLOOKUP(U$10,'VK-Hooned-Soojus'!$C:$I,2+$C139,FALSE) + VLOOKUP(U$10,'VK-Transport'!$C:$I,2+$B139,FALSE)+ VLOOKUP(U$10,'VK-Biokütused'!$C:$G,2+$E139,FALSE)+ VLOOKUP(U$10,'VK-Elekter'!$C:$I,2+$D139,FALSE)+ VLOOKUP(U$10,'VK-Põlevkivi'!$C:$I,2+$G139,FALSE)+ VLOOKUP(U$10,'VK-Võrgud'!$C:$I,2+$F139,FALSE)</f>
        <v>6.4007113804134541E-3</v>
      </c>
      <c r="V139" s="226">
        <f>VLOOKUP(V$10,'VK-Hooned-Soojus'!$C:$I,2+$C139,FALSE) + VLOOKUP(V$10,'VK-Transport'!$C:$I,2+$B139,FALSE)+ VLOOKUP(V$10,'VK-Biokütused'!$C:$G,2+$E139,FALSE)+ VLOOKUP(V$10,'VK-Elekter'!$C:$I,2+$D139,FALSE)+ VLOOKUP(V$10,'VK-Põlevkivi'!$C:$I,2+$G139,FALSE)+ VLOOKUP(V$10,'VK-Võrgud'!$C:$I,2+$F139,FALSE)</f>
        <v>2.0466863800668721E-2</v>
      </c>
      <c r="W139" s="226">
        <f>VLOOKUP(W$10,'VK-Hooned-Soojus'!$C:$I,2+$C139,FALSE) + VLOOKUP(W$10,'VK-Transport'!$C:$I,2+$B139,FALSE)+ VLOOKUP(W$10,'VK-Biokütused'!$C:$G,2+$E139,FALSE)+ VLOOKUP(W$10,'VK-Elekter'!$C:$I,2+$D139,FALSE)+ VLOOKUP(W$10,'VK-Põlevkivi'!$C:$I,2+$G139,FALSE)+ VLOOKUP(W$10,'VK-Võrgud'!$C:$I,2+$F139,FALSE)</f>
        <v>-4.4598439328278769E-2</v>
      </c>
      <c r="X139" s="226">
        <f>VLOOKUP(X$10,'VK-Hooned-Soojus'!$C:$I,2+$C139,FALSE) + VLOOKUP(X$10,'VK-Transport'!$C:$I,2+$B139,FALSE)+ VLOOKUP(X$10,'VK-Biokütused'!$C:$G,2+$E139,FALSE)+ VLOOKUP(X$10,'VK-Elekter'!$C:$I,2+$D139,FALSE)+ VLOOKUP(X$10,'VK-Põlevkivi'!$C:$I,2+$G139,FALSE)+ VLOOKUP(X$10,'VK-Võrgud'!$C:$I,2+$F139,FALSE)</f>
        <v>-5.7198034850571254E-2</v>
      </c>
      <c r="Y139" s="226">
        <f>VLOOKUP(Y$10,'VK-Hooned-Soojus'!$C:$I,2+$C139,FALSE) + VLOOKUP(Y$10,'VK-Transport'!$C:$I,2+$B139,FALSE)+ VLOOKUP(Y$10,'VK-Biokütused'!$C:$G,2+$E139,FALSE)+ VLOOKUP(Y$10,'VK-Elekter'!$C:$I,2+$D139,FALSE)+ VLOOKUP(Y$10,'VK-Põlevkivi'!$C:$I,2+$G139,FALSE)+ VLOOKUP(Y$10,'VK-Võrgud'!$C:$I,2+$F139,FALSE)</f>
        <v>-8.0262296294678515E-2</v>
      </c>
      <c r="Z139" s="227">
        <f>(S139*Tulemused!$Q$9*10+T139*Tulemused!$Q$10*10+KOMBI!U139*Tulemused!$Q$11*10+KOMBI!V139*Tulemused!$Q$12*10)*Tulemused!$Q$8+-(W139*Tulemused!$Q$14*10+KOMBI!X139*Tulemused!$Q$15*10+KOMBI!Y139*Tulemused!$Q$16*10)*Tulemused!$Q$13</f>
        <v>8.14237860102266</v>
      </c>
      <c r="AA139" s="228">
        <f>(IF(AA$7="X",VLOOKUP(AA$10,'VK-Hooned-Soojus'!$C:$X,2+$C139,FALSE),0)+IF(AA$6="X",VLOOKUP(AA$10,'VK-Transport'!$C:$X,2+$B139,0))+IF(AA$8="X",VLOOKUP(AA$10,'VK-Elekter'!$C:$X,2+$D139,0))+IF(AA$9="X",VLOOKUP(AA$10,'VK-Biokütused'!$C:$U,2+$E139,0))+IF(AA$5="X",VLOOKUP(AA$10,'VK-Põlevkivi'!$C:$X,2+$G139,0))+IF(AA$4="X",VLOOKUP(AA$10,'VK-Võrgud'!$C:$X,2+$F139,0)))</f>
        <v>3728</v>
      </c>
      <c r="AB139" s="228">
        <f>(IF(AB$7="X",VLOOKUP(AB$10,'VK-Hooned-Soojus'!$C:$X,2+$C139,FALSE),0)+IF(AB$6="X",VLOOKUP(AB$10,'VK-Transport'!$C:$X,2+$B139,0))+IF(AB$8="X",VLOOKUP(AB$10,'VK-Elekter'!$C:$X,2+$D139,0))+IF(AB$9="X",VLOOKUP(AB$10,'VK-Biokütused'!$C:$U,2+$E139,0))+IF(AB$5="X",VLOOKUP(AB$10,'VK-Põlevkivi'!$C:$X,2+$G139,0))+IF(AB$4="X",VLOOKUP(AB$10,'VK-Võrgud'!$C:$X,2+$F139,0)))</f>
        <v>1177</v>
      </c>
      <c r="AC139" s="228">
        <f>(IF(AC$7="X",VLOOKUP(AC$10,'VK-Hooned-Soojus'!$C:$X,2+$C139,FALSE),0)+IF(AC$6="X",VLOOKUP(AC$10,'VK-Transport'!$C:$X,2+$B139,0))+IF(AC$8="X",VLOOKUP(AC$10,'VK-Elekter'!$C:$X,2+$D139,0))+IF(AC$9="X",VLOOKUP(AC$10,'VK-Biokütused'!$C:$U,2+$E139,0))+IF(AC$5="X",VLOOKUP(AC$10,'VK-Põlevkivi'!$C:$X,2+$G139,0))+IF(AC$4="X",VLOOKUP(AC$10,'VK-Võrgud'!$C:$X,2+$F139,0)))</f>
        <v>2346</v>
      </c>
      <c r="AD139" s="228">
        <f>(IF(AD$7="X",VLOOKUP(AD$10,'VK-Hooned-Soojus'!$C:$X,2+$C139,FALSE),0)+IF(AD$6="X",VLOOKUP(AD$10,'VK-Transport'!$C:$X,2+$B139,0))+IF(AD$8="X",VLOOKUP(AD$10,'VK-Elekter'!$C:$X,2+$D139,0))+IF(AD$9="X",VLOOKUP(AD$10,'VK-Biokütused'!$C:$U,2+$E139,0))+IF(AD$5="X",VLOOKUP(AD$10,'VK-Põlevkivi'!$C:$X,2+$G139,0))+IF(AD$4="X",VLOOKUP(AD$10,'VK-Võrgud'!$C:$X,2+$F139,0)))</f>
        <v>586.20000000000005</v>
      </c>
      <c r="AE139" s="228">
        <f>(IF(AE$7="X",VLOOKUP(AE$10,'VK-Hooned-Soojus'!$C:$X,2+$C139,FALSE),0)+IF(AE$6="X",VLOOKUP(AE$10,'VK-Transport'!$C:$X,2+$B139,0))+IF(AE$8="X",VLOOKUP(AE$10,'VK-Elekter'!$C:$X,2+$D139,0))+IF(AE$9="X",VLOOKUP(AE$10,'VK-Biokütused'!$C:$U,2+$E139,0))+IF(AE$5="X",VLOOKUP(AE$10,'VK-Põlevkivi'!$C:$X,2+$G139,0))+IF(AE$4="X",VLOOKUP(AE$10,'VK-Võrgud'!$C:$X,2+$F139,0)))</f>
        <v>507</v>
      </c>
      <c r="AF139" s="228">
        <f>(IF(AF$7="X",VLOOKUP(AF$10,'VK-Hooned-Soojus'!$C:$X,2+$C139,FALSE),0)+IF(AF$6="X",VLOOKUP(AF$10,'VK-Transport'!$C:$X,2+$B139,0))+IF(AF$8="X",VLOOKUP(AF$10,'VK-Elekter'!$C:$X,2+$D139,0))+IF(AF$9="X",VLOOKUP(AF$10,'VK-Biokütused'!$C:$U,2+$E139,0))+IF(AF$5="X",VLOOKUP(AF$10,'VK-Põlevkivi'!$C:$X,2+$G139,0))+IF(AF$4="X",VLOOKUP(AF$10,'VK-Võrgud'!$C:$X,2+$F139,0)))</f>
        <v>530.88499063732002</v>
      </c>
      <c r="AG139" s="209"/>
      <c r="AH139" s="209">
        <f>IF(AH$7="X",VLOOKUP(AH$10,'VK-Hooned-Soojus'!$C:$X,2+$C139,FALSE),0)+IF(AH$6="X",VLOOKUP(AH$10,'VK-Transport'!$C:$X,2+$B139,0))+IF(AH$8="X",VLOOKUP(AH$10,'VK-Elekter'!$C:$X,2+$D139,0))+IF(AH$9="X",VLOOKUP(AH$10,'VK-Biokütused'!$C:$U,2+$E139,0))+IF(AH$5="X",VLOOKUP(AH$10,'VK-Põlevkivi'!$C:$X,2+$G139,0))+IF(AH$4="X",VLOOKUP(AH$10,'VK-Võrgud'!$C:$X,2+$F139,0))</f>
        <v>11.579999999999998</v>
      </c>
      <c r="AI139" s="209">
        <f>IF(AI$7="X",VLOOKUP(AI$10,'VK-Hooned-Soojus'!$C:$X,2+$C139,FALSE),0)+IF(AI$6="X",VLOOKUP(AI$10,'VK-Transport'!$C:$X,2+$B139,0))+IF(AI$8="X",VLOOKUP(AI$10,'VK-Elekter'!$C:$X,2+$D139,0))+IF(AI$9="X",VLOOKUP(AI$10,'VK-Biokütused'!$C:$U,2+$E139,0))+IF(AI$5="X",VLOOKUP(AI$10,'VK-Põlevkivi'!$C:$X,2+$G139,0))+IF(AI$4="X",VLOOKUP(AI$10,'VK-Võrgud'!$C:$X,2+$F139,0))</f>
        <v>4.45</v>
      </c>
      <c r="AJ139" s="209">
        <f>IF(AJ$7="X",VLOOKUP(AJ$10,'VK-Hooned-Soojus'!$C:$X,2+$C139,FALSE),0)+IF(AJ$6="X",VLOOKUP(AJ$10,'VK-Transport'!$C:$X,2+$B139,0))+IF(AJ$8="X",VLOOKUP(AJ$10,'VK-Elekter'!$C:$X,2+$D139,0))+IF(AJ$9="X",VLOOKUP(AJ$10,'VK-Biokütused'!$C:$U,2+$E139,0))+IF(AJ$5="X",VLOOKUP(AJ$10,'VK-Põlevkivi'!$C:$X,2+$G139,0))+IF(AJ$4="X",VLOOKUP(AJ$10,'VK-Võrgud'!$C:$X,2+$F139,0))</f>
        <v>9.19</v>
      </c>
      <c r="AK139" s="209">
        <f>IF(AK$7="X",VLOOKUP(AK$10,'VK-Hooned-Soojus'!$C:$X,2+$C139,FALSE),0)+IF(AK$6="X",VLOOKUP(AK$10,'VK-Transport'!$C:$X,2+$B139,0))+IF(AK$8="X",VLOOKUP(AK$10,'VK-Elekter'!$C:$X,2+$D139,0))+IF(AK$9="X",VLOOKUP(AK$10,'VK-Biokütused'!$C:$U,2+$E139,0))+IF(AK$5="X",VLOOKUP(AK$10,'VK-Põlevkivi'!$C:$X,2+$G139,0))+IF(AK$4="X",VLOOKUP(AK$10,'VK-Võrgud'!$C:$X,2+$F139,0))</f>
        <v>0.66</v>
      </c>
      <c r="AL139" s="209">
        <f>IF(AL$7="X",VLOOKUP(AL$10,'VK-Hooned-Soojus'!$C:$X,2+$C139,FALSE),0)+IF(AL$6="X",VLOOKUP(AL$10,'VK-Transport'!$C:$X,2+$B139,0))+IF(AL$8="X",VLOOKUP(AL$10,'VK-Elekter'!$C:$X,2+$D139,0))+IF(AL$9="X",VLOOKUP(AL$10,'VK-Biokütused'!$C:$U,2+$E139,0))+IF(AL$5="X",VLOOKUP(AL$10,'VK-Põlevkivi'!$C:$X,2+$G139,0))+IF(AL$4="X",VLOOKUP(AL$10,'VK-Võrgud'!$C:$X,2+$F139,0))</f>
        <v>7.1</v>
      </c>
      <c r="AM139" s="209">
        <f>IF(AM$7="X",VLOOKUP(AM$10,'VK-Hooned-Soojus'!$C:$X,2+$C139,FALSE),0)+IF(AM$6="X",VLOOKUP(AM$10,'VK-Transport'!$C:$X,2+$B139,0))+IF(AM$8="X",VLOOKUP(AM$10,'VK-Elekter'!$C:$X,2+$D139,0))+IF(AM$9="X",VLOOKUP(AM$10,'VK-Biokütused'!$C:$U,2+$E139,0))+IF(AM$5="X",VLOOKUP(AM$10,'VK-Põlevkivi'!$C:$X,2+$G139,0))+IF(AM$4="X",VLOOKUP(AM$10,'VK-Võrgud'!$C:$X,2+$F139,0))</f>
        <v>11.5</v>
      </c>
      <c r="AN139" s="209">
        <f>IF(AN$7="X",VLOOKUP(AN$10,'VK-Hooned-Soojus'!$C:$X,2+$C139,FALSE),0)+IF(AN$6="X",VLOOKUP(AN$10,'VK-Transport'!$C:$X,2+$B139,0))+IF(AN$8="X",VLOOKUP(AN$10,'VK-Elekter'!$C:$X,2+$D139,0))+IF(AN$9="X",VLOOKUP(AN$10,'VK-Biokütused'!$C:$U,2+$E139,0))+IF(AN$5="X",VLOOKUP(AN$10,'VK-Põlevkivi'!$C:$X,2+$G139,0))+IF(AN$4="X",VLOOKUP(AN$10,'VK-Võrgud'!$C:$X,2+$F139,0))</f>
        <v>4.0999999999999996</v>
      </c>
      <c r="AO139" s="209">
        <f>IF(AO$7="X",VLOOKUP(AO$10,'VK-Hooned-Soojus'!$C:$X,2+$C139,FALSE),0)+IF(AO$6="X",VLOOKUP(AO$10,'VK-Transport'!$C:$X,2+$B139,0))+IF(AO$8="X",VLOOKUP(AO$10,'VK-Elekter'!$C:$X,2+$D139,0))+IF(AO$9="X",VLOOKUP(AO$10,'VK-Biokütused'!$C:$U,2+$E139,0))+IF(AO$5="X",VLOOKUP(AO$10,'VK-Põlevkivi'!$C:$X,2+$G139,0))+IF(AO$4="X",VLOOKUP(AO$10,'VK-Võrgud'!$C:$X,2+$F139,0))</f>
        <v>12.16</v>
      </c>
      <c r="AP139" s="209">
        <f>IF(AP$7="X",VLOOKUP(AP$10,'VK-Hooned-Soojus'!$C:$X,2+$C139,FALSE),0)+IF(AP$6="X",VLOOKUP(AP$10,'VK-Transport'!$C:$X,2+$B139,0))+IF(AP$8="X",VLOOKUP(AP$10,'VK-Elekter'!$C:$X,2+$D139,0))+IF(AP$9="X",VLOOKUP(AP$10,'VK-Biokütused'!$C:$U,2+$E139,0))+IF(AP$5="X",VLOOKUP(AP$10,'VK-Põlevkivi'!$C:$X,2+$G139,0))+IF(AP$4="X",VLOOKUP(AP$10,'VK-Võrgud'!$C:$X,2+$F139,0))</f>
        <v>6.08</v>
      </c>
      <c r="AQ139" s="320">
        <f t="shared" si="61"/>
        <v>0</v>
      </c>
      <c r="AR139" s="209">
        <f>IF(AR$7="X",VLOOKUP(AR$10,'VK-Hooned-Soojus'!$C:$X,2+$C139,FALSE),0)+IF(AR$6="X",VLOOKUP(AR$10,'VK-Transport'!$C:$X,2+$B139,0))+IF(AR$8="X",VLOOKUP(AR$10,'VK-Elekter'!$C:$X,2+$D139,0))+IF(AR$9="X",VLOOKUP(AR$10,'VK-Biokütused'!$C:$U,2+$E139,0))+IF(AR$5="X",VLOOKUP(AR$10,'VK-Põlevkivi'!$C:$X,2+$G139,0))+IF(AR$4="X",VLOOKUP(AR$10,'VK-Võrgud'!$C:$X,2+$F139,0))</f>
        <v>2.3899999999999997</v>
      </c>
      <c r="AS139" s="320">
        <f>VLOOKUP("Kütuste tarbimine @ 2030 - UTTEGAAS",'VK-Hooned-Soojus'!$C:$X,2+$C139,FALSE)/0.172+VLOOKUP("Kütuste tarbimine @ 2030 - UTTEGAAS",'VK-Elekter'!$C:$X,2+$D139,FALSE)/0.172-AR139-AU139</f>
        <v>2.8565116279069773</v>
      </c>
      <c r="AT139" s="209">
        <f>IF(AT$7="X",VLOOKUP(AT$10,'VK-Hooned-Soojus'!$C:$X,2+$C139,FALSE),0)+IF(AT$6="X",VLOOKUP(AT$10,'VK-Transport'!$C:$X,2+$B139,0))+IF(AT$8="X",VLOOKUP(AT$10,'VK-Elekter'!$C:$X,2+$D139,0))+IF(AT$9="X",VLOOKUP(AT$10,'VK-Biokütused'!$C:$U,2+$E139,0))+IF(AT$5="X",VLOOKUP(AT$10,'VK-Põlevkivi'!$C:$X,2+$G139,0))+IF(AT$4="X",VLOOKUP(AT$10,'VK-Võrgud'!$C:$X,2+$F139,0))</f>
        <v>5.7045296564339489</v>
      </c>
      <c r="AU139" s="229">
        <f>MAX(0,(VLOOKUP("Kütuste tarbimine @ 2030 - UTTEGAAS",'VK-Hooned-Soojus'!$C:$X,2+$C139,FALSE)/0.172+VLOOKUP("Kütuste tarbimine @ 2030 - UTTEGAAS",'VK-Elekter'!$C:$X,2+$D139,FALSE)/0.172)*0.52-VLOOKUP("Kütuste tarbimine @ 2030 - PÕLEVKIVIÕLI",'VK-Hooned-Soojus'!$C:$X,2+$C139,FALSE))</f>
        <v>5.6837209302325586</v>
      </c>
      <c r="AV139" s="209">
        <f>IF(AV$7="X",VLOOKUP(AV$10,'VK-Hooned-Soojus'!$C:$X,2+$C139,FALSE),0)+IF(AV$6="X",VLOOKUP(AV$10,'VK-Transport'!$C:$X,2+$B139,0))+IF(AV$8="X",VLOOKUP(AV$10,'VK-Elekter'!$C:$X,2+$D139,0))+IF(AV$9="X",VLOOKUP(AV$10,'VK-Biokütused'!$C:$U,2+$E139,0))+IF(AV$5="X",VLOOKUP(AV$10,'VK-Põlevkivi'!$C:$X,2+$G139,0))+IF(AV$4="X",VLOOKUP(AV$10,'VK-Võrgud'!$C:$X,2+$F139,0))</f>
        <v>2.1219844082566364</v>
      </c>
      <c r="AW139" s="209">
        <f>IF(AW$7="X",VLOOKUP(AW$10,'VK-Hooned-Soojus'!$C:$X,2+$C139,FALSE),0)+IF(AW$6="X",VLOOKUP(AW$10,'VK-Transport'!$C:$X,2+$B139,0))+IF(AW$8="X",VLOOKUP(AW$10,'VK-Elekter'!$C:$X,2+$D139,0))+IF(AW$9="X",VLOOKUP(AW$10,'VK-Biokütused'!$C:$U,2+$E139,0))+IF(AW$5="X",VLOOKUP(AW$10,'VK-Põlevkivi'!$C:$X,2+$G139,0))+IF(AW$4="X",VLOOKUP(AW$10,'VK-Võrgud'!$C:$X,2+$F139,0))</f>
        <v>4.2799999999999994</v>
      </c>
      <c r="AX139" s="229">
        <f t="shared" si="62"/>
        <v>2.158015591743363</v>
      </c>
      <c r="AY139" s="229">
        <f t="shared" si="63"/>
        <v>0</v>
      </c>
      <c r="AZ139" s="230">
        <f t="shared" ref="AZ139" si="95">(MAX(0,AK139)+AJ139+AN139+AQ139+AT139+AY139)/EI139</f>
        <v>0.4541994971842776</v>
      </c>
      <c r="BA139" s="209">
        <f>IF(BA$7="X",VLOOKUP(BA$10,'VK-Hooned-Soojus'!$C:$X,2+$C139,FALSE),0)+IF(BA$6="X",VLOOKUP(BA$10,'VK-Transport'!$C:$X,2+$B139,0))+IF(BA$8="X",VLOOKUP(BA$10,'VK-Elekter'!$C:$X,2+$D139,0))+IF(BA$9="X",VLOOKUP(BA$10,'VK-Biokütused'!$C:$U,2+$E139,0))+IF(BA$5="X",VLOOKUP(BA$10,'VK-Põlevkivi'!$C:$X,2+$G139,0))+IF(BA$4="X",VLOOKUP(BA$10,'VK-Võrgud'!$C:$X,2+$F139,0))</f>
        <v>4.2</v>
      </c>
      <c r="BB139" s="209">
        <f>IF(BB$7="X",VLOOKUP(BB$10,'VK-Hooned-Soojus'!$C:$X,2+$C139,FALSE),0)+IF(BB$6="X",VLOOKUP(BB$10,'VK-Transport'!$C:$X,2+$B139,0))+IF(BB$8="X",VLOOKUP(BB$10,'VK-Elekter'!$C:$X,2+$D139,0))+IF(BB$9="X",VLOOKUP(BB$10,'VK-Biokütused'!$C:$U,2+$E139,0))+IF(BB$5="X",VLOOKUP(BB$10,'VK-Põlevkivi'!$C:$X,2+$G139,0))+IF(BB$4="X",VLOOKUP(BB$10,'VK-Võrgud'!$C:$X,2+$F139,0))</f>
        <v>5.1000000000000005</v>
      </c>
      <c r="BC139" s="209">
        <f>IF(BC$7="X",VLOOKUP(BC$10,'VK-Hooned-Soojus'!$C:$X,2+$C139,FALSE),0)+IF(BC$6="X",VLOOKUP(BC$10,'VK-Transport'!$C:$X,2+$B139,0))+IF(BC$8="X",VLOOKUP(BC$10,'VK-Elekter'!$C:$X,2+$D139,0))+IF(BC$9="X",VLOOKUP(BC$10,'VK-Biokütused'!$C:$U,2+$E139,0))+IF(BC$5="X",VLOOKUP(BC$10,'VK-Põlevkivi'!$C:$X,2+$G139,0))+IF(BC$4="X",VLOOKUP(BC$10,'VK-Võrgud'!$C:$X,2+$F139,0))</f>
        <v>5.2376666666666667</v>
      </c>
      <c r="BD139" s="209">
        <f>IF(BD$7="X",VLOOKUP(BD$10,'VK-Hooned-Soojus'!$C:$X,2+$C139,FALSE),0)+IF(BD$6="X",VLOOKUP(BD$10,'VK-Transport'!$C:$X,2+$B139,0))+IF(BD$8="X",VLOOKUP(BD$10,'VK-Elekter'!$C:$X,2+$D139,0))+IF(BD$9="X",VLOOKUP(BD$10,'VK-Biokütused'!$C:$U,2+$E139,0))+IF(BD$5="X",VLOOKUP(BD$10,'VK-Põlevkivi'!$C:$X,2+$G139,0))+IF(BD$4="X",VLOOKUP(BD$10,'VK-Võrgud'!$C:$X,2+$F139,0))</f>
        <v>9.1105555555555569</v>
      </c>
      <c r="BE139" s="230"/>
      <c r="BF139" s="229">
        <f t="shared" si="64"/>
        <v>0.41762821979641068</v>
      </c>
      <c r="BG139" s="209" t="e">
        <f>(IF(BG$7="X",VLOOKUP(BG$10,'VK-Hooned-Soojus'!$C:$X,2+$C139,FALSE),0)+IF(BG$6="X",VLOOKUP(BG$10,'VK-Transport'!$C:$X,2+$B139,0))+IF(BG$8="X",VLOOKUP(BG$10,'VK-Elekter'!$C:$X,2+$D139,0))+IF(BG$9="X",VLOOKUP(BG$10,'VK-Biokütused'!$C:$U,2+$E139,0))+IF(BG$5="X",VLOOKUP(BG$10,'VK-Põlevkivi'!$C:$X,2+$G139,0))+IF(BG$4="X",VLOOKUP(BG$10,'VK-Võrgud'!$C:$X,2+$F139,0)))/20</f>
        <v>#N/A</v>
      </c>
      <c r="BH139" s="209">
        <f>(IF(BH$7="X",VLOOKUP(BH$10,'VK-Hooned-Soojus'!$C:$X,2+$C139,FALSE),0)+IF(BH$6="X",VLOOKUP(BH$10,'VK-Transport'!$C:$X,2+$B139,0))+IF(BH$8="X",VLOOKUP(BH$10,'VK-Elekter'!$C:$X,2+$D139,0))+IF(BH$9="X",VLOOKUP(BH$10,'VK-Biokütused'!$C:$U,2+$E139,0))+IF(BH$5="X",VLOOKUP(BH$10,'VK-Põlevkivi'!$C:$X,2+$G139,0))+IF(BH$4="X",VLOOKUP(BH$10,'VK-Võrgud'!$C:$X,2+$F139,0)))/20</f>
        <v>84.204999999999998</v>
      </c>
      <c r="BI139" s="209">
        <f>(IF(BI$7="X",VLOOKUP(BI$10,'VK-Hooned-Soojus'!$C:$X,2+$C139,FALSE),0)+IF(BI$6="X",VLOOKUP(BI$10,'VK-Transport'!$C:$X,2+$B139,0))+IF(BI$8="X",VLOOKUP(BI$10,'VK-Elekter'!$C:$X,2+$D139,0))+IF(BI$9="X",VLOOKUP(BI$10,'VK-Biokütused'!$C:$U,2+$E139,0))+IF(BI$5="X",VLOOKUP(BI$10,'VK-Põlevkivi'!$C:$X,2+$G139,0))+IF(BI$4="X",VLOOKUP(BI$10,'VK-Võrgud'!$C:$X,2+$F139,0)))/16</f>
        <v>8.9375</v>
      </c>
      <c r="BJ139" s="209">
        <f>(IF(BJ$7="X",VLOOKUP(BJ$10,'VK-Hooned-Soojus'!$C:$X,2+$C139,FALSE),0)+IF(BJ$6="X",VLOOKUP(BJ$10,'VK-Transport'!$C:$X,2+$B139,0))+IF(BJ$8="X",VLOOKUP(BJ$10,'VK-Elekter'!$C:$X,2+$D139,0))+IF(BJ$9="X",VLOOKUP(BJ$10,'VK-Biokütused'!$C:$U,2+$E139,0))+IF(BJ$5="X",VLOOKUP(BJ$10,'VK-Põlevkivi'!$C:$X,2+$G139,0))+IF(BJ$4="X",VLOOKUP(BJ$10,'VK-Võrgud'!$C:$X,2+$F139,0)))/20</f>
        <v>5.33</v>
      </c>
      <c r="BK139" s="209"/>
      <c r="BL139" s="209"/>
      <c r="BM139" s="209"/>
      <c r="BN139" s="209" t="e">
        <f>(IF(BN$7="X",VLOOKUP(BN$10,'VK-Hooned-Soojus'!$C:$X,2+$C139,FALSE),0)+IF(BN$6="X",VLOOKUP(BN$10,'VK-Transport'!$C:$X,2+$B139,0))+IF(BN$8="X",VLOOKUP(BN$10,'VK-Elekter'!$C:$X,2+$D139,0))+IF(BN$9="X",VLOOKUP(BN$10,'VK-Biokütused'!$C:$U,2+$E139,0))+IF(BN$5="X",VLOOKUP(BN$10,'VK-Põlevkivi'!$C:$X,2+$G139,0))+IF(BN$4="X",VLOOKUP(BN$10,'VK-Võrgud'!$C:$X,2+$F139,0)))/16</f>
        <v>#N/A</v>
      </c>
      <c r="BO139" s="209">
        <f>(IF(BO$7="X",VLOOKUP(BO$10,'VK-Hooned-Soojus'!$C:$X,2+$C139,FALSE),0)+IF(BO$6="X",VLOOKUP(BO$10,'VK-Transport'!$C:$X,2+$B139,0))+IF(BO$8="X",VLOOKUP(BO$10,'VK-Elekter'!$C:$X,2+$D139,0))+IF(BO$9="X",VLOOKUP(BO$10,'VK-Biokütused'!$C:$U,2+$E139,0))+IF(BO$5="X",VLOOKUP(BO$10,'VK-Põlevkivi'!$C:$X,2+$G139,0))+IF(BO$4="X",VLOOKUP(BO$10,'VK-Võrgud'!$C:$X,2+$F139,0)))/16</f>
        <v>322.79374999999999</v>
      </c>
      <c r="BP139" s="209"/>
      <c r="BQ139" s="209">
        <f>(IF(BQ$7="X",VLOOKUP(BQ$10,'VK-Hooned-Soojus'!$C:$X,2+$C139,FALSE),0)+IF(BQ$6="X",VLOOKUP(BQ$10,'VK-Transport'!$C:$X,2+$B139,0))+IF(BQ$8="X",VLOOKUP(BQ$10,'VK-Elekter'!$C:$X,2+$D139,0))+IF(BQ$9="X",VLOOKUP(BQ$10,'VK-Biokütused'!$C:$U,2+$E139,0))+IF(BQ$5="X",VLOOKUP(BQ$10,'VK-Põlevkivi'!$C:$X,2+$G139,0))+IF(BQ$4="X",VLOOKUP(BQ$10,'VK-Võrgud'!$C:$X,2+$F139,0)))/16</f>
        <v>233.20625000000001</v>
      </c>
      <c r="BR139" s="209">
        <f>(IF(BR$7="X",VLOOKUP(BR$10,'VK-Hooned-Soojus'!$C:$X,2+$C139,FALSE),0)+IF(BR$6="X",VLOOKUP(BR$10,'VK-Transport'!$C:$X,2+$B139,0))+IF(BR$8="X",VLOOKUP(BR$10,'VK-Elekter'!$C:$X,2+$D139,0))+IF(BR$9="X",VLOOKUP(BR$10,'VK-Biokütused'!$C:$U,2+$E139,0))+IF(BR$5="X",VLOOKUP(BR$10,'VK-Põlevkivi'!$C:$X,2+$G139,0))+IF(BR$4="X",VLOOKUP(BR$10,'VK-Võrgud'!$C:$X,2+$F139,0)))/16</f>
        <v>74.512500000000003</v>
      </c>
      <c r="BS139" s="209">
        <f>(IF(BS$7="X",VLOOKUP(BS$10,'VK-Hooned-Soojus'!$C:$X,2+$C139,FALSE),0)+IF(BS$6="X",VLOOKUP(BS$10,'VK-Transport'!$C:$X,2+$B139,0))+IF(BS$8="X",VLOOKUP(BS$10,'VK-Elekter'!$C:$X,2+$D139,0))+IF(BS$9="X",VLOOKUP(BS$10,'VK-Biokütused'!$C:$U,2+$E139,0))+IF(BS$5="X",VLOOKUP(BS$10,'VK-Põlevkivi'!$C:$X,2+$G139,0))+IF(BS$4="X",VLOOKUP(BS$10,'VK-Võrgud'!$C:$X,2+$F139,0)))/16</f>
        <v>-21.475000000000001</v>
      </c>
      <c r="BT139" s="209"/>
      <c r="BU139" s="209"/>
      <c r="BV139" s="209">
        <f>(IF(BV$7="X",VLOOKUP(BV$10,'VK-Hooned-Soojus'!$C:$X,2+$C139,FALSE),0)+IF(BV$6="X",VLOOKUP(BV$10,'VK-Transport'!$C:$X,2+$B139,0))+IF(BV$8="X",VLOOKUP(BV$10,'VK-Elekter'!$C:$X,2+$D139,0))+IF(BV$9="X",VLOOKUP(BV$10,'VK-Biokütused'!$C:$U,2+$E139,0))+IF(BV$5="X",VLOOKUP(BV$10,'VK-Põlevkivi'!$C:$X,2+$G139,0))+IF(BV$4="X",VLOOKUP(BV$10,'VK-Võrgud'!$C:$X,2+$F139,0)))/16</f>
        <v>0</v>
      </c>
      <c r="BW139" s="209"/>
      <c r="BX139" s="209">
        <f>(IF(BX$7="X",VLOOKUP(BX$10,'VK-Hooned-Soojus'!$C:$X,2+$C139,FALSE),0)+IF(BX$6="X",VLOOKUP(BX$10,'VK-Transport'!$C:$X,2+$B139,0))+IF(BX$8="X",VLOOKUP(BX$10,'VK-Elekter'!$C:$X,2+$D139,0))+IF(BX$9="X",VLOOKUP(BX$10,'VK-Biokütused'!$C:$U,2+$E139,0))+IF(BX$5="X",VLOOKUP(BX$10,'VK-Põlevkivi'!$C:$X,2+$G139,0))+IF(BX$4="X",VLOOKUP(BX$10,'VK-Võrgud'!$C:$X,2+$F139,0)))/16</f>
        <v>-99.4375</v>
      </c>
      <c r="BY139" s="209"/>
      <c r="BZ139" s="209"/>
      <c r="CA139" s="209" t="e">
        <f>(IF(CA$7="X",VLOOKUP(CA$10,'VK-Hooned-Soojus'!$C:$X,2+$C139,FALSE),0)+IF(CA$6="X",VLOOKUP(CA$10,'VK-Transport'!$C:$X,2+$B139,0))+IF(CA$8="X",VLOOKUP(CA$10,'VK-Elekter'!$C:$X,2+$D139,0))+IF(CA$9="X",VLOOKUP(CA$10,'VK-Biokütused'!$C:$U,2+$E139,0))+IF(CA$5="X",VLOOKUP(CA$10,'VK-Põlevkivi'!$C:$X,2+$G139,0))+IF(CA$4="X",VLOOKUP(CA$10,'VK-Võrgud'!$C:$X,2+$F139,0)))/16</f>
        <v>#N/A</v>
      </c>
      <c r="CB139" s="209">
        <f>(IF(CB$7="X",VLOOKUP(CB$10,'VK-Hooned-Soojus'!$C:$X,2+$C139,FALSE),0)+IF(CB$6="X",VLOOKUP(CB$10,'VK-Transport'!$C:$X,2+$B139,0))+IF(CB$8="X",VLOOKUP(CB$10,'VK-Elekter'!$C:$X,2+$D139,0))+IF(CB$9="X",VLOOKUP(CB$10,'VK-Biokütused'!$C:$U,2+$E139,0))+IF(CB$5="X",VLOOKUP(CB$10,'VK-Põlevkivi'!$C:$X,2+$G139,0))+IF(CB$4="X",VLOOKUP(CB$10,'VK-Võrgud'!$C:$X,2+$F139,0)))/16</f>
        <v>0</v>
      </c>
      <c r="CC139" s="209">
        <f>(IF(CC$7="X",VLOOKUP(CC$10,'VK-Hooned-Soojus'!$C:$X,2+$C139,FALSE),0)+IF(CC$6="X",VLOOKUP(CC$10,'VK-Transport'!$C:$X,2+$B139,0))+IF(CC$8="X",VLOOKUP(CC$10,'VK-Elekter'!$C:$X,2+$D139,0))+IF(CC$9="X",VLOOKUP(CC$10,'VK-Biokütused'!$C:$U,2+$E139,0))+IF(CC$5="X",VLOOKUP(CC$10,'VK-Põlevkivi'!$C:$X,2+$G139,0))+IF(CC$4="X",VLOOKUP(CC$10,'VK-Võrgud'!$C:$X,2+$F139,0)))/16</f>
        <v>0</v>
      </c>
      <c r="CD139" s="209"/>
      <c r="CE139" s="209">
        <f>(IF(CE$7="X",VLOOKUP(CE$10,'VK-Hooned-Soojus'!$C:$X,2+$C139,FALSE),0)+IF(CE$6="X",VLOOKUP(CE$10,'VK-Transport'!$C:$X,2+$B139,0))+IF(CE$8="X",VLOOKUP(CE$10,'VK-Elekter'!$C:$X,2+$D139,0))+IF(CE$9="X",VLOOKUP(CE$10,'VK-Biokütused'!$C:$U,2+$E139,0))+IF(CE$5="X",VLOOKUP(CE$10,'VK-Põlevkivi'!$C:$X,2+$G139,0))+IF(CE$4="X",VLOOKUP(CE$10,'VK-Võrgud'!$C:$X,2+$F139,0)))/16</f>
        <v>24.15625</v>
      </c>
      <c r="CF139" s="209"/>
      <c r="CG139" s="209">
        <f>(IF(CG$7="X",VLOOKUP(CG$10,'VK-Hooned-Soojus'!$C:$X,2+$C139,FALSE),0)+IF(CG$6="X",VLOOKUP(CG$10,'VK-Transport'!$C:$X,2+$B139,0))+IF(CG$8="X",VLOOKUP(CG$10,'VK-Elekter'!$C:$X,2+$D139,0))+IF(CG$9="X",VLOOKUP(CG$10,'VK-Biokütused'!$C:$U,2+$E139,0))+IF(CG$5="X",VLOOKUP(CG$10,'VK-Põlevkivi'!$C:$X,2+$G139,0))+IF(CG$4="X",VLOOKUP(CG$10,'VK-Võrgud'!$C:$X,2+$F139,0)))/16</f>
        <v>0</v>
      </c>
      <c r="CH139" s="209">
        <f>(IF(CH$7="X",VLOOKUP(CH$10,'VK-Hooned-Soojus'!$C:$X,2+$C139,FALSE),0)+IF(CH$6="X",VLOOKUP(CH$10,'VK-Transport'!$C:$X,2+$B139,0))+IF(CH$8="X",VLOOKUP(CH$10,'VK-Elekter'!$C:$X,2+$D139,0))+IF(CH$9="X",VLOOKUP(CH$10,'VK-Biokütused'!$C:$U,2+$E139,0))+IF(CH$5="X",VLOOKUP(CH$10,'VK-Põlevkivi'!$C:$X,2+$G139,0))+IF(CH$4="X",VLOOKUP(CH$10,'VK-Võrgud'!$C:$X,2+$F139,0)))/20*0.21</f>
        <v>26.9178</v>
      </c>
      <c r="CI139" s="209"/>
      <c r="CJ139" s="209">
        <f>(IF(CJ$7="X",VLOOKUP(CJ$10,'VK-Hooned-Soojus'!$C:$X,2+$C139,FALSE),0)+IF(CJ$6="X",VLOOKUP(CJ$10,'VK-Transport'!$C:$X,2+$B139,0))+IF(CJ$8="X",VLOOKUP(CJ$10,'VK-Elekter'!$C:$X,2+$D139,0))+IF(CJ$9="X",VLOOKUP(CJ$10,'VK-Biokütused'!$C:$U,2+$E139,0))+IF(CJ$5="X",VLOOKUP(CJ$10,'VK-Põlevkivi'!$C:$X,2+$G139,0))+IF(CJ$4="X",VLOOKUP(CJ$10,'VK-Võrgud'!$C:$X,2+$F139,0)))/1000</f>
        <v>16.465861099430587</v>
      </c>
      <c r="CK139" s="209">
        <f>(IF(CK$7="X",VLOOKUP(CK$10,'VK-Hooned-Soojus'!$C:$X,2+$C139,FALSE),0)+IF(CK$6="X",VLOOKUP(CK$10,'VK-Transport'!$C:$X,2+$B139,0))+IF(CK$8="X",VLOOKUP(CK$10,'VK-Elekter'!$C:$X,2+$D139,0))+IF(CK$9="X",VLOOKUP(CK$10,'VK-Biokütused'!$C:$U,2+$E139,0))+IF(CK$5="X",VLOOKUP(CK$10,'VK-Põlevkivi'!$C:$X,2+$G139,0))+IF(CK$4="X",VLOOKUP(CK$10,'VK-Võrgud'!$C:$X,2+$F139,0)))/1000</f>
        <v>11.219077976340797</v>
      </c>
      <c r="CL139" s="235">
        <f>(IF(CL$7="X",VLOOKUP(CL$10,'VK-Hooned-Soojus'!$C:$X,2+$C139,FALSE),0)+IF(CL$6="X",VLOOKUP(CL$10,'VK-Transport'!$C:$X,2+$B139,0))+IF(CL$8="X",VLOOKUP(CL$10,'VK-Elekter'!$C:$X,2+$D139,0))+IF(CL$9="X",VLOOKUP(CL$10,'VK-Biokütused'!$C:$U,2+$E139,0)))/1000</f>
        <v>7.1502826922990277</v>
      </c>
      <c r="CM139" s="209">
        <f>(IF(CM$7="X",VLOOKUP(CM$10,'VK-Hooned-Soojus'!$C:$X,2+$C139,FALSE),0)+IF(CM$6="X",VLOOKUP(CM$10,'VK-Transport'!$C:$X,2+$B139,0))+IF(CM$8="X",VLOOKUP(CM$10,'VK-Elekter'!$C:$X,2+$D139,0))+IF(CM$9="X",VLOOKUP(CM$10,'VK-Biokütused'!$C:$U,2+$E139,0))+IF(CM$5="X",VLOOKUP(CM$10,'VK-Põlevkivi'!$C:$X,2+$G139,0))+IF(CM$4="X",VLOOKUP(CM$10,'VK-Võrgud'!$C:$X,2+$F139,0)))/1000</f>
        <v>7.5743156794471025</v>
      </c>
      <c r="CN139" s="209">
        <f>(IF(CN$7="X",VLOOKUP(CN$10,'VK-Hooned-Soojus'!$C:$X,2+$C139,FALSE),0)+IF(CN$6="X",VLOOKUP(CN$10,'VK-Transport'!$C:$X,2+$B139,0))+IF(CN$8="X",VLOOKUP(CN$10,'VK-Elekter'!$C:$X,2+$D139,0))+IF(CN$9="X",VLOOKUP(CN$10,'VK-Biokütused'!$C:$U,2+$E139,0))+IF(CN$5="X",VLOOKUP(CN$10,'VK-Põlevkivi'!$C:$X,2+$G139,0))+IF(CN$4="X",VLOOKUP(CN$10,'VK-Võrgud'!$C:$X,2+$F139,0)))/1000</f>
        <v>2.7810000000000001</v>
      </c>
      <c r="CO139" s="209">
        <f>(IF(CO$7="X",VLOOKUP(CO$10,'VK-Hooned-Soojus'!$C:$X,2+$C139,FALSE),0)+IF(CO$6="X",VLOOKUP(CO$10,'VK-Transport'!$C:$X,2+$B139,0))+IF(CO$8="X",VLOOKUP(CO$10,'VK-Elekter'!$C:$X,2+$D139,0))+IF(CO$9="X",VLOOKUP(CO$10,'VK-Biokütused'!$C:$U,2+$E139,0))+IF(CO$5="X",VLOOKUP(CO$10,'VK-Põlevkivi'!$C:$X,2+$G139,0))+IF(CO$4="X",VLOOKUP(CO$10,'VK-Võrgud'!$C:$X,2+$F139,0)))/1000</f>
        <v>23.569362337356992</v>
      </c>
      <c r="CP139" s="209">
        <f>(IF(CP$7="X",VLOOKUP(CP$10,'VK-Hooned-Soojus'!$C:$X,2+$C139,FALSE),0)+IF(CP$6="X",VLOOKUP(CP$10,'VK-Transport'!$C:$X,2+$B139,0))+IF(CP$8="X",VLOOKUP(CP$10,'VK-Elekter'!$C:$X,2+$D139,0))+IF(CP$9="X",VLOOKUP(CP$10,'VK-Biokütused'!$C:$U,2+$E139,0))+IF(CP$5="X",VLOOKUP(CP$10,'VK-Põlevkivi'!$C:$X,2+$G139,0))+IF(CP$4="X",VLOOKUP(CP$10,'VK-Võrgud'!$C:$X,2+$F139,0)))/1000</f>
        <v>13.40539212069366</v>
      </c>
      <c r="CQ139" s="235">
        <f>(IF(CQ$7="X",VLOOKUP(CQ$10,'VK-Hooned-Soojus'!$C:$X,2+$C139,FALSE),0)+IF(CQ$6="X",VLOOKUP(CQ$10,'VK-Transport'!$C:$X,2+$B139,0))+IF(CQ$8="X",VLOOKUP(CQ$10,'VK-Elekter'!$C:$X,2+$D139,0))+IF(CQ$9="X",VLOOKUP(CQ$10,'VK-Biokütused'!$C:$U,2+$E139,0)))/1000</f>
        <v>10.247919</v>
      </c>
      <c r="CR139" s="209">
        <f>(IF(CR$7="X",VLOOKUP(CR$10,'VK-Hooned-Soojus'!$C:$X,2+$C139,FALSE),0)+IF(CR$6="X",VLOOKUP(CR$10,'VK-Transport'!$C:$X,2+$B139,0))+IF(CR$8="X",VLOOKUP(CR$10,'VK-Elekter'!$C:$X,2+$D139,0))+IF(CR$9="X",VLOOKUP(CR$10,'VK-Biokütused'!$C:$U,2+$E139,0))+IF(CR$5="X",VLOOKUP(CR$10,'VK-Põlevkivi'!$C:$X,2+$G139,0))+IF(CR$4="X",VLOOKUP(CR$10,'VK-Võrgud'!$C:$X,2+$F139,0)))/1000</f>
        <v>7.6937518373996889</v>
      </c>
      <c r="CS139" s="209">
        <f>(IF(CS$7="X",VLOOKUP(CS$10,'VK-Hooned-Soojus'!$C:$X,2+$C139,FALSE),0)+IF(CS$6="X",VLOOKUP(CS$10,'VK-Transport'!$C:$X,2+$B139,0))+IF(CS$8="X",VLOOKUP(CS$10,'VK-Elekter'!$C:$X,2+$D139,0))+IF(CS$9="X",VLOOKUP(CS$10,'VK-Biokütused'!$C:$U,2+$E139,0))+IF(CS$5="X",VLOOKUP(CS$10,'VK-Põlevkivi'!$C:$X,2+$G139,0))+IF(CS$4="X",VLOOKUP(CS$10,'VK-Võrgud'!$C:$X,2+$F139,0)))/1000</f>
        <v>3.7686495098622381</v>
      </c>
      <c r="CT139" s="209">
        <f>IF(CT$7="X",VLOOKUP(CT$10,'VK-Hooned-Soojus'!$C:$X,2+$C139,FALSE),0)+IF(CT$6="X",VLOOKUP(CT$10,'VK-Transport'!$C:$X,2+$B139,0))+IF(CT$8="X",VLOOKUP(CT$10,'VK-Elekter'!$C:$X,2+$D139,0))+IF(CT$9="X",VLOOKUP(CT$10,'VK-Biokütused'!$C:$U,2+$E139,0))+IF(CT$5="X",VLOOKUP(CT$10,'VK-Põlevkivi'!$C:$X,2+$G139,0))+IF(CT$4="X",VLOOKUP(CT$10,'VK-Võrgud'!$C:$X,2+$F139,0))</f>
        <v>90</v>
      </c>
      <c r="CU139" s="209">
        <f>IF(CU$7="X",VLOOKUP(CU$10,'VK-Hooned-Soojus'!$C:$X,2+$C139,FALSE),0)+IF(CU$6="X",VLOOKUP(CU$10,'VK-Transport'!$C:$X,2+$B139,0))+IF(CU$8="X",VLOOKUP(CU$10,'VK-Elekter'!$C:$X,2+$D139,0))+IF(CU$9="X",VLOOKUP(CU$10,'VK-Biokütused'!$C:$U,2+$E139,0))+IF(CU$5="X",VLOOKUP(CU$10,'VK-Põlevkivi'!$C:$X,2+$G139,0))+IF(CU$4="X",VLOOKUP(CU$10,'VK-Võrgud'!$C:$X,2+$F139,0))</f>
        <v>0.9337349397590361</v>
      </c>
      <c r="CV139" s="209">
        <f t="shared" si="84"/>
        <v>0.72887234460741646</v>
      </c>
      <c r="CW139" s="209">
        <f>(IF(CW$7="X",VLOOKUP(CW$10,'VK-Hooned-Soojus'!$C:$X,2+$C139,FALSE),0)+IF(CW$6="X",VLOOKUP(CW$10,'VK-Transport'!$C:$X,2+$B139,0))+IF(CW$8="X",VLOOKUP(CW$10,'VK-Elekter'!$C:$X,2+$D139,0))+IF(CW$9="X",VLOOKUP(CW$10,'VK-Biokütused'!$C:$U,2+$E139,0))+IF(CW$5="X",VLOOKUP(CW$10,'VK-Põlevkivi'!$C:$X,2+$G139,0))+IF(CW$4="X",VLOOKUP(CW$10,'VK-Võrgud'!$C:$X,2+$F139,0)))/16</f>
        <v>126.01875</v>
      </c>
      <c r="CY139" s="209">
        <f>(IF(CY$7="X",VLOOKUP(CY$10,'VK-Hooned-Soojus'!$C:$X,2+$C139,FALSE),0)+IF(CY$6="X",VLOOKUP(CY$10,'VK-Transport'!$C:$X,2+$B139,0))+IF(CY$8="X",VLOOKUP(CY$10,'VK-Elekter'!$C:$X,2+$D139,0))+IF(CY$9="X",VLOOKUP(CY$10,'VK-Biokütused'!$C:$U,2+$E139,0))+IF(CY$5="X",VLOOKUP(CY$10,'VK-Põlevkivi'!$C:$X,2+$G139,0))+IF(CY$4="X",VLOOKUP(CY$10,'VK-Võrgud'!$C:$X,2+$F139,0)))/1000</f>
        <v>10.077999999999999</v>
      </c>
      <c r="CZ139" s="209">
        <f>(IF(CZ$7="X",VLOOKUP(CZ$10,'VK-Hooned-Soojus'!$C:$X,2+$C139,FALSE),0)+IF(CZ$6="X",VLOOKUP(CZ$10,'VK-Transport'!$C:$X,2+$B139,0))+IF(CZ$8="X",VLOOKUP(CZ$10,'VK-Elekter'!$C:$X,2+$D139,0))+IF(CZ$9="X",VLOOKUP(CZ$10,'VK-Biokütused'!$C:$U,2+$E139,0))+IF(CZ$5="X",VLOOKUP(CZ$10,'VK-Põlevkivi'!$C:$X,2+$G139,0))+IF(CZ$4="X",VLOOKUP(CZ$10,'VK-Võrgud'!$C:$X,2+$F139,0)))</f>
        <v>70</v>
      </c>
      <c r="DA139" s="209">
        <f>(IF(DA$7="X",VLOOKUP(DA$10,'VK-Hooned-Soojus'!$C:$X,2+$C139,FALSE),0)+IF(DA$6="X",VLOOKUP(DA$10,'VK-Transport'!$C:$X,2+$B139,0))+IF(DA$8="X",VLOOKUP(DA$10,'VK-Elekter'!$C:$X,2+$D139,0))+IF(DA$9="X",VLOOKUP(DA$10,'VK-Biokütused'!$C:$U,2+$E139,0))+IF(DA$5="X",VLOOKUP(DA$10,'VK-Põlevkivi'!$C:$X,2+$G139,0))+IF(DA$4="X",VLOOKUP(DA$10,'VK-Võrgud'!$C:$X,2+$F139,0)))/1000</f>
        <v>12.991</v>
      </c>
      <c r="DB139" s="209">
        <f>(IF(DB$7="X",VLOOKUP(DB$10,'VK-Hooned-Soojus'!$C:$X,2+$C139,FALSE),0)+IF(DB$6="X",VLOOKUP(DB$10,'VK-Transport'!$C:$X,2+$B139,0))+IF(DB$8="X",VLOOKUP(DB$10,'VK-Elekter'!$C:$X,2+$D139,0))+IF(DB$9="X",VLOOKUP(DB$10,'VK-Biokütused'!$C:$U,2+$E139,0))+IF(DB$5="X",VLOOKUP(DB$10,'VK-Põlevkivi'!$C:$X,2+$G139,0))+IF(DB$4="X",VLOOKUP(DB$10,'VK-Võrgud'!$C:$X,2+$F139,0)))/1000/3.6</f>
        <v>58.260833333333331</v>
      </c>
      <c r="DC139" s="209">
        <f>(IF(DC$7="X",VLOOKUP(DC$10,'VK-Hooned-Soojus'!$C:$X,2+$C139,FALSE),0)+IF(DC$6="X",VLOOKUP(DC$10,'VK-Transport'!$C:$X,2+$B139,0))+IF(DC$8="X",VLOOKUP(DC$10,'VK-Elekter'!$C:$X,2+$D139,0))+IF(DC$9="X",VLOOKUP(DC$10,'VK-Biokütused'!$C:$U,2+$E139,0))+IF(DC$5="X",VLOOKUP(DC$10,'VK-Põlevkivi'!$C:$X,2+$G139,0))+IF(DC$4="X",VLOOKUP(DC$10,'VK-Võrgud'!$C:$X,2+$F139,0)))/1000000</f>
        <v>4.7402689999999996</v>
      </c>
      <c r="DD139" s="209"/>
      <c r="DE139" s="88">
        <f>VLOOKUP(Tulemused!$BN$12,data!M$7:N$12,2,FALSE)-SUM(L139,M139)</f>
        <v>0.39749062697563176</v>
      </c>
      <c r="DF139" s="209" t="str">
        <f>IF(AZ139&lt;=VLOOKUP(Tulemused!$BN$15,data!$E$36:$F$39,2,FALSE),"JAH","EI")</f>
        <v>JAH</v>
      </c>
      <c r="DG139" s="209"/>
      <c r="DH139" s="209">
        <f t="shared" si="85"/>
        <v>6.08</v>
      </c>
      <c r="DI139" s="231" t="str">
        <f t="shared" si="65"/>
        <v>JAH</v>
      </c>
      <c r="DK139" s="232">
        <f t="shared" ref="DK139:DK145" si="96">$Z139+IF($DI139="EI",-1000,0)</f>
        <v>8.14237860102266</v>
      </c>
      <c r="DM139" s="233">
        <f t="shared" ref="DM139:DM145" si="97">LARGE($DK$11:$DK$145,ROW(129:129))</f>
        <v>-999.02172334962813</v>
      </c>
      <c r="DN139" s="87">
        <f t="array" ref="DN139">INDEX($A$11:$A$145, SMALL(IF(DM139=$DK$11:$DK$145, MATCH(ROW($DK$11:$DK$145), ROW($DK$11:$DK$145))), SUM(--(DM139=$DM$11:DM139))))</f>
        <v>5</v>
      </c>
      <c r="DP139" s="87" t="e">
        <f t="shared" ca="1" si="66"/>
        <v>#N/A</v>
      </c>
      <c r="DQ139" s="87" t="e">
        <f t="shared" ca="1" si="67"/>
        <v>#N/A</v>
      </c>
      <c r="DR139" s="87">
        <f t="shared" ca="1" si="68"/>
        <v>0</v>
      </c>
      <c r="DS139" s="87" t="e">
        <f t="shared" ca="1" si="69"/>
        <v>#N/A</v>
      </c>
      <c r="DT139" s="87">
        <f t="shared" ca="1" si="70"/>
        <v>0</v>
      </c>
      <c r="DU139" s="87" t="e">
        <f t="shared" ca="1" si="71"/>
        <v>#N/A</v>
      </c>
      <c r="DV139" s="87" t="e">
        <f t="shared" ca="1" si="72"/>
        <v>#N/A</v>
      </c>
      <c r="DW139" s="87">
        <f t="shared" ca="1" si="73"/>
        <v>0</v>
      </c>
      <c r="DX139" s="87">
        <f t="shared" ca="1" si="74"/>
        <v>0</v>
      </c>
      <c r="DZ139" s="87">
        <f t="shared" ca="1" si="82"/>
        <v>0</v>
      </c>
      <c r="EB139" s="87">
        <f t="shared" ca="1" si="75"/>
        <v>0</v>
      </c>
      <c r="EC139" s="87" t="e">
        <f t="shared" ca="1" si="76"/>
        <v>#N/A</v>
      </c>
      <c r="EE139" s="228">
        <f>(IF(EE$7="X",VLOOKUP(EE$10,'VK-Hooned-Soojus'!$C:$X,2+$C139,FALSE),0)+IF(EE$6="X",VLOOKUP(EE$10,'VK-Transport'!$C:$X,2+$B139,0))+IF(EE$8="X",VLOOKUP(EE$10,'VK-Elekter'!$C:$X,2+$D139,0))+IF(EE$9="X",VLOOKUP(EE$10,'VK-Biokütused'!$C:$U,2+$E139,0))+IF(EE$5="X",VLOOKUP(EE$10,'VK-Põlevkivi'!$C:$X,2+$G139,0))+IF(EE$4="X",VLOOKUP(EE$10,'VK-Võrgud'!$C:$X,2+$F139,0)))</f>
        <v>16097.852344293788</v>
      </c>
      <c r="EF139" s="235">
        <f>(IF(EF$7="X",VLOOKUP(EF$10,'VK-Hooned-Soojus'!$C:$X,2+$C139,FALSE),0)+IF(EF$6="X",VLOOKUP(EF$10,'VK-Transport'!$C:$X,2+$B139,0))+IF(EF$8="X",VLOOKUP(EF$10,'VK-Elekter'!$C:$X,2+$D139,0))+IF(EF$9="X",VLOOKUP(EF$10,'VK-Biokütused'!$C:$U,2+$E139,0)))/1000</f>
        <v>2.7478849906373197</v>
      </c>
      <c r="EG139" s="209">
        <f>(IF(EG$7="X",VLOOKUP(EG$10,'VK-Hooned-Soojus'!$C:$X,2+$C139,FALSE),0)+IF(EG$6="X",VLOOKUP(EG$10,'VK-Transport'!$C:$X,2+$B139,0))+IF(EG$8="X",VLOOKUP(EG$10,'VK-Elekter'!$C:$X,2+$D139,0))+IF(EG$9="X",VLOOKUP(EG$10,'VK-Biokütused'!$C:$U,2+$E139,0))+IF(EG$5="X",VLOOKUP(EG$10,'VK-Põlevkivi'!$C:$X,2+$G139,0))+IF(EG$4="X",VLOOKUP(EG$10,'VK-Võrgud'!$C:$X,2+$F139,0)))</f>
        <v>2.95</v>
      </c>
      <c r="EH139" s="209">
        <f>(IF(EH$7="X",VLOOKUP(EH$10,'VK-Hooned-Soojus'!$C:$X,2+$C139,FALSE),0)+IF(EH$6="X",VLOOKUP(EH$10,'VK-Transport'!$C:$X,2+$B139,0))+IF(EH$8="X",VLOOKUP(EH$10,'VK-Elekter'!$C:$X,2+$D139,0))+IF(EH$9="X",VLOOKUP(EH$10,'VK-Biokütused'!$C:$U,2+$E139,0)))+AR139+AS139+AU139+AX139</f>
        <v>51.114637038771789</v>
      </c>
      <c r="EI139" s="320">
        <f t="shared" ref="EI139" si="98">EH139-AU139-AX139</f>
        <v>43.272900516795865</v>
      </c>
      <c r="EJ139" s="322">
        <f t="shared" si="89"/>
        <v>9.3307678114868606E-2</v>
      </c>
      <c r="EK139" s="323">
        <f t="shared" si="77"/>
        <v>0.51659368872597156</v>
      </c>
      <c r="EM139" s="209"/>
      <c r="EN139" s="209">
        <f t="shared" ca="1" si="90"/>
        <v>0</v>
      </c>
      <c r="EO139" s="209"/>
      <c r="EP139" s="234"/>
      <c r="EQ139" s="209">
        <f>(IF(EQ$7="X",VLOOKUP(EQ$10,'VK-Hooned-Soojus'!$C:$X,2+$C139,FALSE),0)+IF(EQ$6="X",VLOOKUP(EQ$10,'VK-Transport'!$C:$X,2+$B139,0))+IF(EQ$8="X",VLOOKUP(EQ$10,'VK-Elekter'!$C:$X,2+$D139,0))+IF(EQ$9="X",VLOOKUP(EQ$10,'VK-Biokütused'!$C:$U,2+$E139,0))+IF(EQ$5="X",VLOOKUP(EQ$10,'VK-Põlevkivi'!$C:$X,2+$G139,0))+IF(EQ$4="X",VLOOKUP(EQ$10,'VK-Võrgud'!$C:$X,2+$F139,0)))/1000</f>
        <v>0.19900000000000001</v>
      </c>
      <c r="ER139" s="209">
        <f>(IF(ER$7="X",VLOOKUP(ER$10,'VK-Hooned-Soojus'!$C:$X,2+$C139,FALSE),0)+IF(ER$6="X",VLOOKUP(ER$10,'VK-Transport'!$C:$X,2+$B139,0))+IF(ER$8="X",VLOOKUP(ER$10,'VK-Elekter'!$C:$X,2+$D139,0))+IF(ER$9="X",VLOOKUP(ER$10,'VK-Biokütused'!$C:$U,2+$E139,0))+IF(ER$5="X",VLOOKUP(ER$10,'VK-Põlevkivi'!$C:$X,2+$G139,0))+IF(ER$4="X",VLOOKUP(ER$10,'VK-Võrgud'!$C:$X,2+$F139,0)))</f>
        <v>0.72299999999999998</v>
      </c>
      <c r="ES139" s="209">
        <f>(IF(ES$7="X",VLOOKUP(ES$10,'VK-Hooned-Soojus'!$C:$X,2+$C139,FALSE),0)+IF(ES$6="X",VLOOKUP(ES$10,'VK-Transport'!$C:$X,2+$B139,0))+IF(ES$8="X",VLOOKUP(ES$10,'VK-Elekter'!$C:$X,2+$D139,0))+IF(ES$9="X",VLOOKUP(ES$10,'VK-Biokütused'!$C:$U,2+$E139,0))+IF(ES$5="X",VLOOKUP(ES$10,'VK-Põlevkivi'!$C:$X,2+$G139,0))+IF(ES$4="X",VLOOKUP(ES$10,'VK-Võrgud'!$C:$X,2+$F139,0)))</f>
        <v>6.08</v>
      </c>
      <c r="ET139" s="209"/>
      <c r="EU139" s="209"/>
      <c r="EV139" s="87">
        <f>'KSH järjestus'!AS132</f>
        <v>462</v>
      </c>
      <c r="EZ139" s="237">
        <f t="shared" si="91"/>
        <v>6.6265060240963902E-2</v>
      </c>
      <c r="FA139" s="209">
        <f>IF(FA$7="X",VLOOKUP(FA$10,'VK-Hooned-Soojus'!$C:$X,2+$C139,FALSE),0)+IF(FA$6="X",VLOOKUP(FA$10,'VK-Transport'!$C:$X,2+$B139,0))+IF(FA$8="X",VLOOKUP(FA$10,'VK-Elekter'!$C:$X,2+$D139,0))+IF(FA$9="X",VLOOKUP(FA$10,'VK-Biokütused'!$C:$U,2+$E139,0))+IF(FA$5="X",VLOOKUP(FA$10,'VK-Põlevkivi'!$C:$X,2+$G139,0))+IF(FA$4="X",VLOOKUP(FA$10,'VK-Võrgud'!$C:$X,2+$F139,0))</f>
        <v>2989.9189999999999</v>
      </c>
      <c r="FB139" s="279">
        <f>(IF(FB$7="X",VLOOKUP(FB$10,'VK-Hooned-Soojus'!$C:$X,2+$C139,FALSE),0)+IF(FB$6="X",VLOOKUP(FB$10,'VK-Transport'!$C:$X,2+$B139,0))+IF(FB$8="X",VLOOKUP(FB$10,'VK-Elekter'!$C:$X,2+$D139,0))+IF(FB$9="X",VLOOKUP(FB$10,'VK-Biokütused'!$C:$U,2+$E139,0))+IF(FB$5="X",VLOOKUP(FB$10,'VK-Põlevkivi'!$C:$X,2+$G139,0))+IF(FB$4="X",VLOOKUP(FB$10,'VK-Võrgud'!$C:$X,2+$F139,0)))/16</f>
        <v>678.64576611730354</v>
      </c>
      <c r="FC139" s="209">
        <f>IF(FC$7="X",VLOOKUP(FC$10,'VK-Hooned-Soojus'!$C:$X,2+$C139,FALSE),0)+IF(FC$6="X",VLOOKUP(FC$10,'VK-Transport'!$C:$X,2+$B139,0))+IF(FC$8="X",VLOOKUP(FC$10,'VK-Elekter'!$C:$X,2+$D139,0))+IF(FC$9="X",VLOOKUP(FC$10,'VK-Biokütused'!$C:$U,2+$E139,0))+IF(FC$5="X",VLOOKUP(FC$10,'VK-Põlevkivi'!$C:$X,2+$G139,0))+IF(FC$4="X",VLOOKUP(FC$10,'VK-Võrgud'!$C:$X,2+$F139,0))</f>
        <v>285</v>
      </c>
      <c r="FD139" s="209">
        <f>(IF(FD$7="X",VLOOKUP(FD$10,'VK-Hooned-Soojus'!$C:$X,2+$C139,FALSE),0)+IF(FD$6="X",VLOOKUP(FD$10,'VK-Transport'!$C:$X,2+$B139,0))+IF(FD$8="X",VLOOKUP(FD$10,'VK-Elekter'!$C:$X,2+$D139,0))+IF(FD$9="X",VLOOKUP(FD$10,'VK-Biokütused'!$C:$U,2+$E139,0))+IF(FD$5="X",VLOOKUP(FD$10,'VK-Põlevkivi'!$C:$X,2+$G139,0))+IF(FD$4="X",VLOOKUP(FD$10,'VK-Võrgud'!$C:$X,2+$F139,0)))/16</f>
        <v>678.64576611730354</v>
      </c>
      <c r="FE139" s="209">
        <f>(IF(FE$7="X",VLOOKUP(FE$10,'VK-Hooned-Soojus'!$C:$X,2+$C139,FALSE),0)+IF(FE$6="X",VLOOKUP(FE$10,'VK-Transport'!$C:$X,2+$B139,0))+IF(FE$8="X",VLOOKUP(FE$10,'VK-Elekter'!$C:$X,2+$D139,0))+IF(FE$9="X",VLOOKUP(FE$10,'VK-Biokütused'!$C:$U,2+$E139,0))+IF(FE$5="X",VLOOKUP(FE$10,'VK-Põlevkivi'!$C:$X,2+$G139,0))+IF(FE$4="X",VLOOKUP(FE$10,'VK-Võrgud'!$C:$X,2+$F139,0)))/16</f>
        <v>-197.29831369909104</v>
      </c>
      <c r="FF139" s="209">
        <f>(IF(FF$7="X",VLOOKUP(FF$10,'VK-Hooned-Soojus'!$C:$X,2+$C139,FALSE),0)+IF(FF$6="X",VLOOKUP(FF$10,'VK-Transport'!$C:$X,2+$B139,0))+IF(FF$8="X",VLOOKUP(FF$10,'VK-Elekter'!$C:$X,2+$D139,0))+IF(FF$9="X",VLOOKUP(FF$10,'VK-Biokütused'!$C:$U,2+$E139,0))+IF(FF$5="X",VLOOKUP(FF$10,'VK-Põlevkivi'!$C:$X,2+$G139,0))+IF(FF$4="X",VLOOKUP(FF$10,'VK-Võrgud'!$C:$X,2+$F139,0)))/16</f>
        <v>277.7508432907581</v>
      </c>
      <c r="FG139" s="88">
        <f t="shared" ca="1" si="78"/>
        <v>80.452529591667059</v>
      </c>
      <c r="FH139" s="88"/>
      <c r="FI139" s="88"/>
      <c r="FJ139" s="88">
        <f>VLOOKUP(Tulemused!$BN$12,data!M$7:N$12,2,FALSE)-SUM(L139,M139)</f>
        <v>0.39749062697563176</v>
      </c>
      <c r="FK139" s="209" t="str">
        <f>IF(AZ139&lt;=VLOOKUP(Tulemused!$BN$15,data!$E$36:$F$39,2,FALSE),"JAH","EI")</f>
        <v>JAH</v>
      </c>
      <c r="FL139" s="235">
        <f ca="1">IF(ISNA(MATCH($A139,INDIRECT(VLOOKUP(Tulemused!$BF$11,data!$J$57:$M$71,4,FALSE)))),0,MATCH($A139,INDIRECT(VLOOKUP(Tulemused!$BF$11,data!$J$57:$M$71,4,FALSE))))</f>
        <v>0</v>
      </c>
      <c r="FM139" s="235" t="str">
        <f t="shared" ca="1" si="92"/>
        <v>JAH</v>
      </c>
      <c r="FN139" s="209">
        <f>VLOOKUP(Tulemused!$BN$13,data!$C$132:$D$137,2,FALSE)-KOMBI!R139</f>
        <v>4.6218850093626802</v>
      </c>
      <c r="FO139" s="209"/>
      <c r="FP139" s="209">
        <f>VLOOKUP(Tulemused!$BN$17,NO_x,2,FALSE)-CJ139</f>
        <v>12.972138900569412</v>
      </c>
      <c r="FQ139" s="209">
        <f>VLOOKUP(Tulemused!$BN$18,SO_2,2,FALSE)-CK139</f>
        <v>40.664922023659201</v>
      </c>
      <c r="FR139" s="209">
        <f>VLOOKUP(Tulemused!$BN$19,LOU,2,FALSE)-CN139</f>
        <v>34.299000000000007</v>
      </c>
      <c r="FS139" s="209">
        <f>VLOOKUP(Tulemused!$BN$20,PM_2.5,2,FALSE)-CM139</f>
        <v>9.3406843205528958</v>
      </c>
      <c r="FT139" s="209">
        <f>VLOOKUP(Tulemused!$BN$13,data!$C$132:$D$137,2,FALSE)-FA139/1000</f>
        <v>3.2560510000000007</v>
      </c>
      <c r="FU139" s="209">
        <f>VLOOKUP(Tulemused!$BN$17,NO_x,2,FALSE)-CO139</f>
        <v>5.8686376626430068</v>
      </c>
      <c r="FV139" s="209">
        <f>VLOOKUP(Tulemused!$BN$18,SO_2,2,FALSE)-CP139</f>
        <v>38.478607879306338</v>
      </c>
      <c r="FW139" s="209">
        <f>VLOOKUP(Tulemused!$BN$19,LOU,2,FALSE)-CS139</f>
        <v>33.311350490137769</v>
      </c>
      <c r="FX139" s="209">
        <f>VLOOKUP(Tulemused!$BN$20,PM_2.5,2,FALSE)-CR139</f>
        <v>9.2212481626003111</v>
      </c>
      <c r="FY139" s="209">
        <f>VLOOKUP(Tulemused!$BN$14,KHG_2050,2,FALSE)-EF139</f>
        <v>97.252115009362683</v>
      </c>
      <c r="FZ139" s="231" t="str">
        <f t="shared" ca="1" si="79"/>
        <v>JAH</v>
      </c>
      <c r="GA139" s="209"/>
      <c r="GB139" s="209"/>
      <c r="GC139" s="209"/>
      <c r="GD139" s="231"/>
      <c r="GE139" s="87">
        <f t="shared" ref="GE139:GE145" si="99">HLOOKUP($GE$10,$I$1:$GC$145,ROW(A139),FALSE)</f>
        <v>462</v>
      </c>
      <c r="GF139" s="232">
        <f t="shared" ca="1" si="80"/>
        <v>462</v>
      </c>
      <c r="GH139" s="238" t="e">
        <f t="shared" ref="GH139:GH145" ca="1" si="100">IF($GG$10="↓",SMALL($GF$11:$GF$145,ROW(129:129)),LARGE($GF$11:$GF$145,ROW(129:129)))</f>
        <v>#NUM!</v>
      </c>
      <c r="GI139" s="87" t="e">
        <f t="array" aca="1" ref="GI139" ca="1">INDEX($A$11:$A$145, SMALL(IF(GH139=$GF$11:$GF$145, MATCH(ROW($GF$11:$GF$145), ROW($GF$11:$GF$145))), SUM(--(GH139=$GH$11:GH139))))</f>
        <v>#NUM!</v>
      </c>
      <c r="GM139" s="209">
        <f>IF(GM$7="X",VLOOKUP(GM$10,'VK-Hooned-Soojus'!$C:$X,2+$C139,FALSE),0)+IF(GM$6="X",VLOOKUP(GM$10,'VK-Transport'!$C:$X,2+$B139,0))+IF(GM$8="X",VLOOKUP(GM$10,'VK-Elekter'!$C:$X,2+$D139,0))+IF(GM$9="X",VLOOKUP(GM$10,'VK-Biokütused'!$C:$U,2+$E139,0))+IF(GM$5="X",VLOOKUP(GM$10,'VK-Põlevkivi'!$C:$X,2+$G139,0))+IF(GM$4="X",VLOOKUP(GM$10,'VK-Võrgud'!$C:$X,2+$F139,0))</f>
        <v>6.011750640646909</v>
      </c>
      <c r="GN139" s="209">
        <f>IF(GN$7="X",VLOOKUP(GN$10,'VK-Hooned-Soojus'!$C:$X,2+$C139,FALSE),0)+IF(GN$6="X",VLOOKUP(GN$10,'VK-Transport'!$C:$X,2+$B139,0))+IF(GN$8="X",VLOOKUP(GN$10,'VK-Elekter'!$C:$X,2+$D139,0))+IF(GN$9="X",VLOOKUP(GN$10,'VK-Biokütused'!$C:$U,2+$E139,0))+IF(GN$5="X",VLOOKUP(GN$10,'VK-Põlevkivi'!$C:$X,2+$G139,0))+IF(GN$4="X",VLOOKUP(GN$10,'VK-Võrgud'!$C:$X,2+$F139,0))</f>
        <v>3.4528686473995491</v>
      </c>
      <c r="GO139" s="209">
        <f>IF(GO$7="X",VLOOKUP(GO$10,'VK-Hooned-Soojus'!$C:$X,2+$C139,FALSE),0)+IF(GO$6="X",VLOOKUP(GO$10,'VK-Transport'!$C:$X,2+$B139,0))+IF(GO$8="X",VLOOKUP(GO$10,'VK-Elekter'!$C:$X,2+$D139,0))+IF(GO$9="X",VLOOKUP(GO$10,'VK-Biokütused'!$C:$U,2+$E139,0))+IF(GO$5="X",VLOOKUP(GO$10,'VK-Põlevkivi'!$C:$X,2+$G139,0))+IF(GO$4="X",VLOOKUP(GO$10,'VK-Võrgud'!$C:$X,2+$F139,0))</f>
        <v>7.5763700102722566</v>
      </c>
      <c r="GP139" s="209">
        <f>IF(GP$7="X",VLOOKUP(GP$10,'VK-Hooned-Soojus'!$C:$X,2+$C139,FALSE),0)+IF(GP$6="X",VLOOKUP(GP$10,'VK-Transport'!$C:$X,2+$B139,0))+IF(GP$8="X",VLOOKUP(GP$10,'VK-Elekter'!$C:$X,2+$D139,0))+IF(GP$9="X",VLOOKUP(GP$10,'VK-Biokütused'!$C:$U,2+$E139,0))+IF(GP$5="X",VLOOKUP(GP$10,'VK-Põlevkivi'!$C:$X,2+$G139,0))+IF(GP$4="X",VLOOKUP(GP$10,'VK-Võrgud'!$C:$X,2+$F139,0))</f>
        <v>8.9326558040707589</v>
      </c>
      <c r="GQ139" s="88">
        <f>IF(GQ$7="X",VLOOKUP(GQ$10,'VK-Hooned-Soojus'!$C:$X,2+$C139,FALSE),0)+IF(GQ$6="X",VLOOKUP(GQ$10,'VK-Transport'!$C:$X,2+$B139,0))+IF(GQ$8="X",VLOOKUP(GQ$10,'VK-Elekter'!$C:$X,2+$D139,0))+IF(GQ$9="X",VLOOKUP(GQ$10,'VK-Biokütused'!$C:$U,2+$E139,0))+IF(GQ$5="X",VLOOKUP(GQ$10,'VK-Põlevkivi'!$C:$X,2+$G139,0))+IF(GQ$4="X",VLOOKUP(GQ$10,'VK-Võrgud'!$C:$X,2+$F139,0))</f>
        <v>0.89042766952822527</v>
      </c>
      <c r="GR139" s="186">
        <f t="shared" si="81"/>
        <v>0.40930554934184821</v>
      </c>
    </row>
    <row r="140" spans="1:200" x14ac:dyDescent="0.2">
      <c r="A140" s="184">
        <v>130</v>
      </c>
      <c r="B140" s="87">
        <v>3</v>
      </c>
      <c r="C140" s="87">
        <v>3</v>
      </c>
      <c r="D140" s="87">
        <v>4</v>
      </c>
      <c r="E140" s="87">
        <v>1</v>
      </c>
      <c r="F140" s="87">
        <f>VLOOKUP(Tulemused!$BF$7,data!$J$6:$K$8,2,FALSE)</f>
        <v>2</v>
      </c>
      <c r="G140" s="87">
        <f>VLOOKUP(data!$H$2,data!$J$12:$K$14,2,FALSE)</f>
        <v>2</v>
      </c>
      <c r="I140" s="209">
        <f>IF(I$7="X",VLOOKUP(I$10,'VK-Hooned-Soojus'!$C:$X,2+$C140,FALSE),0)+IF(I$6="X",VLOOKUP(I$10,'VK-Transport'!$C:$X,2+$B140,0))+IF(I$8="X",VLOOKUP(I$10,'VK-Elekter'!$C:$X,2+$D140,0))+IF(I$9="X",VLOOKUP(I$10,'VK-Biokütused'!$C:$U,2+$E140,0))+IF(I$5="X",VLOOKUP(I$10,'VK-Põlevkivi'!$C:$X,2+$G140,0))+IF(I$4="X",VLOOKUP(I$10,'VK-Võrgud'!$C:$X,2+$F140,0))</f>
        <v>23.490000000000002</v>
      </c>
      <c r="J140" s="209">
        <f>IF(J$7="X",VLOOKUP(J$10,'VK-Hooned-Soojus'!$C:$X,2+$C140,FALSE),0)+IF(J$6="X",VLOOKUP(J$10,'VK-Transport'!$C:$X,2+$B140,0))+IF(J$8="X",VLOOKUP(J$10,'VK-Elekter'!$C:$X,2+$D140,0))+IF(J$9="X",VLOOKUP(J$10,'VK-Biokütused'!$C:$U,2+$E140,0))+IF(J$5="X",VLOOKUP(J$10,'VK-Põlevkivi'!$C:$X,2+$G140,0))+IF(J$4="X",VLOOKUP(J$10,'VK-Võrgud'!$C:$X,2+$F140,0))</f>
        <v>8.1258333333333344</v>
      </c>
      <c r="K140" s="209">
        <f>IF(K$7="X",VLOOKUP(K$10,'VK-Hooned-Soojus'!$C:$X,2+$C140,FALSE),0)+IF(K$6="X",VLOOKUP(K$10,'VK-Transport'!$C:$X,2+$B140,0))+IF(K$8="X",VLOOKUP(K$10,'VK-Elekter'!$C:$X,2+$D140,0))+IF(K$9="X",VLOOKUP(K$10,'VK-Biokütused'!$C:$U,2+$E140,0))+IF(K$5="X",VLOOKUP(K$10,'VK-Põlevkivi'!$C:$X,2+$G140,0))+IF(K$4="X",VLOOKUP(K$10,'VK-Võrgud'!$C:$X,2+$F140,0))</f>
        <v>13.780000000000001</v>
      </c>
      <c r="L140" s="209">
        <f>IF(L$7="X",VLOOKUP(L$10,'VK-Hooned-Soojus'!$C:$X,2+$C140,FALSE),0)+IF(L$6="X",VLOOKUP(L$10,'VK-Transport'!$C:$X,2+$B140,0))+IF(L$8="X",VLOOKUP(L$10,'VK-Elekter'!$C:$X,2+$D140,0))+IF(L$9="X",VLOOKUP(L$10,'VK-Biokütused'!$C:$U,2+$E140,0))+IF(L$5="X",VLOOKUP(L$10,'VK-Põlevkivi'!$C:$X,2+$G140,0))+IF(L$4="X",VLOOKUP(L$10,'VK-Võrgud'!$C:$X,2+$F140,0))</f>
        <v>23.75</v>
      </c>
      <c r="M140" s="209">
        <f>IF(M$7="X",VLOOKUP(M$10,'VK-Hooned-Soojus'!$C:$X,2+$C140,FALSE),0)+IF(M$6="X",VLOOKUP(M$10,'VK-Transport'!$C:$X,2+$B140,0))+IF(M$8="X",VLOOKUP(M$10,'VK-Elekter'!$C:$X,2+$D140,0))+IF(M$9="X",VLOOKUP(M$10,'VK-Biokütused'!$C:$U,2+$E140,0))+IF(M$5="X",VLOOKUP(M$10,'VK-Põlevkivi'!$C:$X,2+$G140,0))+IF(M$4="X",VLOOKUP(M$10,'VK-Võrgud'!$C:$X,2+$F140,0))</f>
        <v>8.68530937302436</v>
      </c>
      <c r="N140" s="209">
        <f>IF(N$7="X",VLOOKUP(N$10,'VK-Hooned-Soojus'!$C:$X,2+$C140,FALSE),0)+IF(N$6="X",VLOOKUP(N$10,'VK-Transport'!$C:$X,2+$B140,0))+IF(N$8="X",VLOOKUP(N$10,'VK-Elekter'!$C:$X,2+$D140,0))+IF(N$9="X",VLOOKUP(N$10,'VK-Biokütused'!$C:$U,2+$E140,0))+IF(N$5="X",VLOOKUP(N$10,'VK-Põlevkivi'!$C:$X,2+$G140,0))+IF(N$4="X",VLOOKUP(N$10,'VK-Võrgud'!$C:$X,2+$F140,0))</f>
        <v>15.25</v>
      </c>
      <c r="O140" s="209">
        <f t="shared" ref="O140:O145" si="101">SUM(I140:J140)</f>
        <v>31.615833333333335</v>
      </c>
      <c r="P140" s="209"/>
      <c r="Q140" s="209">
        <f>(IF(Q$7="X",VLOOKUP(Q$10,'VK-Hooned-Soojus'!$C:$X,2+$C140,FALSE),0)+IF(Q$6="X",VLOOKUP(Q$10,'VK-Transport'!$C:$X,2+$B140,0))+IF(Q$8="X",VLOOKUP(Q$10,'VK-Elekter'!$C:$X,2+$D140,0))+IF(Q$9="X",VLOOKUP(Q$10,'VK-Biokütused'!$C:$U,2+$E140,0))+IF(Q$5="X",VLOOKUP(Q$10,'VK-Põlevkivi'!$C:$X,2+$G140,0))+IF(Q$4="X",VLOOKUP(Q$10,'VK-Võrgud'!$C:$X,2+$F140,0)))/1000</f>
        <v>1.177</v>
      </c>
      <c r="R140" s="209">
        <f>(IF(R$7="X",VLOOKUP(R$10,'VK-Hooned-Soojus'!$C:$X,2+$C140,FALSE),0)+IF(R$6="X",VLOOKUP(R$10,'VK-Transport'!$C:$X,2+$B140,0))+IF(R$8="X",VLOOKUP(R$10,'VK-Elekter'!$C:$X,2+$D140,0))+IF(R$9="X",VLOOKUP(R$10,'VK-Biokütused'!$C:$U,2+$E140,0))+IF(R$5="X",VLOOKUP(R$10,'VK-Põlevkivi'!$C:$X,2+$G140,0))+IF(R$4="X",VLOOKUP(R$10,'VK-Võrgud'!$C:$X,2+$F140,0)))/1000</f>
        <v>1.03788499063732</v>
      </c>
      <c r="S140" s="226">
        <f>VLOOKUP(S$10,'VK-Hooned-Soojus'!$C:$I,2+$C140,FALSE) + VLOOKUP(S$10,'VK-Transport'!$C:$I,2+$B140,FALSE)+ VLOOKUP(S$10,'VK-Biokütused'!$C:$G,2+$E140,FALSE)+ VLOOKUP(S$10,'VK-Elekter'!$C:$I,2+$D140,FALSE)+ VLOOKUP(S$10,'VK-Põlevkivi'!$C:$I,2+$G140,FALSE)+ VLOOKUP(S$10,'VK-Võrgud'!$C:$I,2+$F140,FALSE)</f>
        <v>1.3240980689949371E-2</v>
      </c>
      <c r="T140" s="226">
        <f>VLOOKUP(T$10,'VK-Hooned-Soojus'!$C:$I,2+$C140,FALSE) + VLOOKUP(T$10,'VK-Transport'!$C:$I,2+$B140,FALSE)+ VLOOKUP(T$10,'VK-Biokütused'!$C:$G,2+$E140,FALSE)+ VLOOKUP(T$10,'VK-Elekter'!$C:$I,2+$D140,FALSE)+ VLOOKUP(T$10,'VK-Põlevkivi'!$C:$I,2+$G140,FALSE)+ VLOOKUP(T$10,'VK-Võrgud'!$C:$I,2+$F140,FALSE)</f>
        <v>5.8899192587170239E-3</v>
      </c>
      <c r="U140" s="226">
        <f>VLOOKUP(U$10,'VK-Hooned-Soojus'!$C:$I,2+$C140,FALSE) + VLOOKUP(U$10,'VK-Transport'!$C:$I,2+$B140,FALSE)+ VLOOKUP(U$10,'VK-Biokütused'!$C:$G,2+$E140,FALSE)+ VLOOKUP(U$10,'VK-Elekter'!$C:$I,2+$D140,FALSE)+ VLOOKUP(U$10,'VK-Põlevkivi'!$C:$I,2+$G140,FALSE)+ VLOOKUP(U$10,'VK-Võrgud'!$C:$I,2+$F140,FALSE)</f>
        <v>6.373069332196446E-4</v>
      </c>
      <c r="V140" s="226">
        <f>VLOOKUP(V$10,'VK-Hooned-Soojus'!$C:$I,2+$C140,FALSE) + VLOOKUP(V$10,'VK-Transport'!$C:$I,2+$B140,FALSE)+ VLOOKUP(V$10,'VK-Biokütused'!$C:$G,2+$E140,FALSE)+ VLOOKUP(V$10,'VK-Elekter'!$C:$I,2+$D140,FALSE)+ VLOOKUP(V$10,'VK-Põlevkivi'!$C:$I,2+$G140,FALSE)+ VLOOKUP(V$10,'VK-Võrgud'!$C:$I,2+$F140,FALSE)</f>
        <v>1.2700248739138373E-2</v>
      </c>
      <c r="W140" s="226">
        <f>VLOOKUP(W$10,'VK-Hooned-Soojus'!$C:$I,2+$C140,FALSE) + VLOOKUP(W$10,'VK-Transport'!$C:$I,2+$B140,FALSE)+ VLOOKUP(W$10,'VK-Biokütused'!$C:$G,2+$E140,FALSE)+ VLOOKUP(W$10,'VK-Elekter'!$C:$I,2+$D140,FALSE)+ VLOOKUP(W$10,'VK-Põlevkivi'!$C:$I,2+$G140,FALSE)+ VLOOKUP(W$10,'VK-Võrgud'!$C:$I,2+$F140,FALSE)</f>
        <v>-7.3291596440282575E-2</v>
      </c>
      <c r="X140" s="226">
        <f>VLOOKUP(X$10,'VK-Hooned-Soojus'!$C:$I,2+$C140,FALSE) + VLOOKUP(X$10,'VK-Transport'!$C:$I,2+$B140,FALSE)+ VLOOKUP(X$10,'VK-Biokütused'!$C:$G,2+$E140,FALSE)+ VLOOKUP(X$10,'VK-Elekter'!$C:$I,2+$D140,FALSE)+ VLOOKUP(X$10,'VK-Põlevkivi'!$C:$I,2+$G140,FALSE)+ VLOOKUP(X$10,'VK-Võrgud'!$C:$I,2+$F140,FALSE)</f>
        <v>-0.19966539199296618</v>
      </c>
      <c r="Y140" s="226">
        <f>VLOOKUP(Y$10,'VK-Hooned-Soojus'!$C:$I,2+$C140,FALSE) + VLOOKUP(Y$10,'VK-Transport'!$C:$I,2+$B140,FALSE)+ VLOOKUP(Y$10,'VK-Biokütused'!$C:$G,2+$E140,FALSE)+ VLOOKUP(Y$10,'VK-Elekter'!$C:$I,2+$D140,FALSE)+ VLOOKUP(Y$10,'VK-Põlevkivi'!$C:$I,2+$G140,FALSE)+ VLOOKUP(Y$10,'VK-Võrgud'!$C:$I,2+$F140,FALSE)</f>
        <v>-0.13211680225103617</v>
      </c>
      <c r="Z140" s="227">
        <f>(S140*Tulemused!$Q$9*10+T140*Tulemused!$Q$10*10+KOMBI!U140*Tulemused!$Q$11*10+KOMBI!V140*Tulemused!$Q$12*10)*Tulemused!$Q$8+-(W140*Tulemused!$Q$14*10+KOMBI!X140*Tulemused!$Q$15*10+KOMBI!Y140*Tulemused!$Q$16*10)*Tulemused!$Q$13</f>
        <v>10.21606847907174</v>
      </c>
      <c r="AA140" s="228">
        <f>(IF(AA$7="X",VLOOKUP(AA$10,'VK-Hooned-Soojus'!$C:$X,2+$C140,FALSE),0)+IF(AA$6="X",VLOOKUP(AA$10,'VK-Transport'!$C:$X,2+$B140,0))+IF(AA$8="X",VLOOKUP(AA$10,'VK-Elekter'!$C:$X,2+$D140,0))+IF(AA$9="X",VLOOKUP(AA$10,'VK-Biokütused'!$C:$U,2+$E140,0))+IF(AA$5="X",VLOOKUP(AA$10,'VK-Põlevkivi'!$C:$X,2+$G140,0))+IF(AA$4="X",VLOOKUP(AA$10,'VK-Võrgud'!$C:$X,2+$F140,0)))</f>
        <v>0</v>
      </c>
      <c r="AB140" s="228">
        <f>(IF(AB$7="X",VLOOKUP(AB$10,'VK-Hooned-Soojus'!$C:$X,2+$C140,FALSE),0)+IF(AB$6="X",VLOOKUP(AB$10,'VK-Transport'!$C:$X,2+$B140,0))+IF(AB$8="X",VLOOKUP(AB$10,'VK-Elekter'!$C:$X,2+$D140,0))+IF(AB$9="X",VLOOKUP(AB$10,'VK-Biokütused'!$C:$U,2+$E140,0))+IF(AB$5="X",VLOOKUP(AB$10,'VK-Põlevkivi'!$C:$X,2+$G140,0))+IF(AB$4="X",VLOOKUP(AB$10,'VK-Võrgud'!$C:$X,2+$F140,0)))</f>
        <v>1177</v>
      </c>
      <c r="AC140" s="228">
        <f>(IF(AC$7="X",VLOOKUP(AC$10,'VK-Hooned-Soojus'!$C:$X,2+$C140,FALSE),0)+IF(AC$6="X",VLOOKUP(AC$10,'VK-Transport'!$C:$X,2+$B140,0))+IF(AC$8="X",VLOOKUP(AC$10,'VK-Elekter'!$C:$X,2+$D140,0))+IF(AC$9="X",VLOOKUP(AC$10,'VK-Biokütused'!$C:$U,2+$E140,0))+IF(AC$5="X",VLOOKUP(AC$10,'VK-Põlevkivi'!$C:$X,2+$G140,0))+IF(AC$4="X",VLOOKUP(AC$10,'VK-Võrgud'!$C:$X,2+$F140,0)))</f>
        <v>2346</v>
      </c>
      <c r="AD140" s="228">
        <f>(IF(AD$7="X",VLOOKUP(AD$10,'VK-Hooned-Soojus'!$C:$X,2+$C140,FALSE),0)+IF(AD$6="X",VLOOKUP(AD$10,'VK-Transport'!$C:$X,2+$B140,0))+IF(AD$8="X",VLOOKUP(AD$10,'VK-Elekter'!$C:$X,2+$D140,0))+IF(AD$9="X",VLOOKUP(AD$10,'VK-Biokütused'!$C:$U,2+$E140,0))+IF(AD$5="X",VLOOKUP(AD$10,'VK-Põlevkivi'!$C:$X,2+$G140,0))+IF(AD$4="X",VLOOKUP(AD$10,'VK-Võrgud'!$C:$X,2+$F140,0)))</f>
        <v>0</v>
      </c>
      <c r="AE140" s="228">
        <f>(IF(AE$7="X",VLOOKUP(AE$10,'VK-Hooned-Soojus'!$C:$X,2+$C140,FALSE),0)+IF(AE$6="X",VLOOKUP(AE$10,'VK-Transport'!$C:$X,2+$B140,0))+IF(AE$8="X",VLOOKUP(AE$10,'VK-Elekter'!$C:$X,2+$D140,0))+IF(AE$9="X",VLOOKUP(AE$10,'VK-Biokütused'!$C:$U,2+$E140,0))+IF(AE$5="X",VLOOKUP(AE$10,'VK-Põlevkivi'!$C:$X,2+$G140,0))+IF(AE$4="X",VLOOKUP(AE$10,'VK-Võrgud'!$C:$X,2+$F140,0)))</f>
        <v>507</v>
      </c>
      <c r="AF140" s="228">
        <f>(IF(AF$7="X",VLOOKUP(AF$10,'VK-Hooned-Soojus'!$C:$X,2+$C140,FALSE),0)+IF(AF$6="X",VLOOKUP(AF$10,'VK-Transport'!$C:$X,2+$B140,0))+IF(AF$8="X",VLOOKUP(AF$10,'VK-Elekter'!$C:$X,2+$D140,0))+IF(AF$9="X",VLOOKUP(AF$10,'VK-Biokütused'!$C:$U,2+$E140,0))+IF(AF$5="X",VLOOKUP(AF$10,'VK-Põlevkivi'!$C:$X,2+$G140,0))+IF(AF$4="X",VLOOKUP(AF$10,'VK-Võrgud'!$C:$X,2+$F140,0)))</f>
        <v>530.88499063732002</v>
      </c>
      <c r="AG140" s="209"/>
      <c r="AH140" s="209">
        <f>IF(AH$7="X",VLOOKUP(AH$10,'VK-Hooned-Soojus'!$C:$X,2+$C140,FALSE),0)+IF(AH$6="X",VLOOKUP(AH$10,'VK-Transport'!$C:$X,2+$B140,0))+IF(AH$8="X",VLOOKUP(AH$10,'VK-Elekter'!$C:$X,2+$D140,0))+IF(AH$9="X",VLOOKUP(AH$10,'VK-Biokütused'!$C:$U,2+$E140,0))+IF(AH$5="X",VLOOKUP(AH$10,'VK-Põlevkivi'!$C:$X,2+$G140,0))+IF(AH$4="X",VLOOKUP(AH$10,'VK-Võrgud'!$C:$X,2+$F140,0))</f>
        <v>0</v>
      </c>
      <c r="AI140" s="209">
        <f>IF(AI$7="X",VLOOKUP(AI$10,'VK-Hooned-Soojus'!$C:$X,2+$C140,FALSE),0)+IF(AI$6="X",VLOOKUP(AI$10,'VK-Transport'!$C:$X,2+$B140,0))+IF(AI$8="X",VLOOKUP(AI$10,'VK-Elekter'!$C:$X,2+$D140,0))+IF(AI$9="X",VLOOKUP(AI$10,'VK-Biokütused'!$C:$U,2+$E140,0))+IF(AI$5="X",VLOOKUP(AI$10,'VK-Põlevkivi'!$C:$X,2+$G140,0))+IF(AI$4="X",VLOOKUP(AI$10,'VK-Võrgud'!$C:$X,2+$F140,0))</f>
        <v>11.489999999999998</v>
      </c>
      <c r="AJ140" s="209">
        <f>IF(AJ$7="X",VLOOKUP(AJ$10,'VK-Hooned-Soojus'!$C:$X,2+$C140,FALSE),0)+IF(AJ$6="X",VLOOKUP(AJ$10,'VK-Transport'!$C:$X,2+$B140,0))+IF(AJ$8="X",VLOOKUP(AJ$10,'VK-Elekter'!$C:$X,2+$D140,0))+IF(AJ$9="X",VLOOKUP(AJ$10,'VK-Biokütused'!$C:$U,2+$E140,0))+IF(AJ$5="X",VLOOKUP(AJ$10,'VK-Põlevkivi'!$C:$X,2+$G140,0))+IF(AJ$4="X",VLOOKUP(AJ$10,'VK-Võrgud'!$C:$X,2+$F140,0))</f>
        <v>0</v>
      </c>
      <c r="AK140" s="209">
        <f>IF(AK$7="X",VLOOKUP(AK$10,'VK-Hooned-Soojus'!$C:$X,2+$C140,FALSE),0)+IF(AK$6="X",VLOOKUP(AK$10,'VK-Transport'!$C:$X,2+$B140,0))+IF(AK$8="X",VLOOKUP(AK$10,'VK-Elekter'!$C:$X,2+$D140,0))+IF(AK$9="X",VLOOKUP(AK$10,'VK-Biokütused'!$C:$U,2+$E140,0))+IF(AK$5="X",VLOOKUP(AK$10,'VK-Põlevkivi'!$C:$X,2+$G140,0))+IF(AK$4="X",VLOOKUP(AK$10,'VK-Võrgud'!$C:$X,2+$F140,0))</f>
        <v>3.65</v>
      </c>
      <c r="AL140" s="209">
        <f>IF(AL$7="X",VLOOKUP(AL$10,'VK-Hooned-Soojus'!$C:$X,2+$C140,FALSE),0)+IF(AL$6="X",VLOOKUP(AL$10,'VK-Transport'!$C:$X,2+$B140,0))+IF(AL$8="X",VLOOKUP(AL$10,'VK-Elekter'!$C:$X,2+$D140,0))+IF(AL$9="X",VLOOKUP(AL$10,'VK-Biokütused'!$C:$U,2+$E140,0))+IF(AL$5="X",VLOOKUP(AL$10,'VK-Põlevkivi'!$C:$X,2+$G140,0))+IF(AL$4="X",VLOOKUP(AL$10,'VK-Võrgud'!$C:$X,2+$F140,0))</f>
        <v>7.1</v>
      </c>
      <c r="AM140" s="209">
        <f>IF(AM$7="X",VLOOKUP(AM$10,'VK-Hooned-Soojus'!$C:$X,2+$C140,FALSE),0)+IF(AM$6="X",VLOOKUP(AM$10,'VK-Transport'!$C:$X,2+$B140,0))+IF(AM$8="X",VLOOKUP(AM$10,'VK-Elekter'!$C:$X,2+$D140,0))+IF(AM$9="X",VLOOKUP(AM$10,'VK-Biokütused'!$C:$U,2+$E140,0))+IF(AM$5="X",VLOOKUP(AM$10,'VK-Põlevkivi'!$C:$X,2+$G140,0))+IF(AM$4="X",VLOOKUP(AM$10,'VK-Võrgud'!$C:$X,2+$F140,0))</f>
        <v>11.5</v>
      </c>
      <c r="AN140" s="209">
        <f>IF(AN$7="X",VLOOKUP(AN$10,'VK-Hooned-Soojus'!$C:$X,2+$C140,FALSE),0)+IF(AN$6="X",VLOOKUP(AN$10,'VK-Transport'!$C:$X,2+$B140,0))+IF(AN$8="X",VLOOKUP(AN$10,'VK-Elekter'!$C:$X,2+$D140,0))+IF(AN$9="X",VLOOKUP(AN$10,'VK-Biokütused'!$C:$U,2+$E140,0))+IF(AN$5="X",VLOOKUP(AN$10,'VK-Põlevkivi'!$C:$X,2+$G140,0))+IF(AN$4="X",VLOOKUP(AN$10,'VK-Võrgud'!$C:$X,2+$F140,0))</f>
        <v>4.0999999999999996</v>
      </c>
      <c r="AO140" s="209">
        <f>IF(AO$7="X",VLOOKUP(AO$10,'VK-Hooned-Soojus'!$C:$X,2+$C140,FALSE),0)+IF(AO$6="X",VLOOKUP(AO$10,'VK-Transport'!$C:$X,2+$B140,0))+IF(AO$8="X",VLOOKUP(AO$10,'VK-Elekter'!$C:$X,2+$D140,0))+IF(AO$9="X",VLOOKUP(AO$10,'VK-Biokütused'!$C:$U,2+$E140,0))+IF(AO$5="X",VLOOKUP(AO$10,'VK-Põlevkivi'!$C:$X,2+$G140,0))+IF(AO$4="X",VLOOKUP(AO$10,'VK-Võrgud'!$C:$X,2+$F140,0))</f>
        <v>21.34</v>
      </c>
      <c r="AP140" s="209">
        <f>IF(AP$7="X",VLOOKUP(AP$10,'VK-Hooned-Soojus'!$C:$X,2+$C140,FALSE),0)+IF(AP$6="X",VLOOKUP(AP$10,'VK-Transport'!$C:$X,2+$B140,0))+IF(AP$8="X",VLOOKUP(AP$10,'VK-Elekter'!$C:$X,2+$D140,0))+IF(AP$9="X",VLOOKUP(AP$10,'VK-Biokütused'!$C:$U,2+$E140,0))+IF(AP$5="X",VLOOKUP(AP$10,'VK-Põlevkivi'!$C:$X,2+$G140,0))+IF(AP$4="X",VLOOKUP(AP$10,'VK-Võrgud'!$C:$X,2+$F140,0))</f>
        <v>10.67</v>
      </c>
      <c r="AQ140" s="320">
        <f t="shared" ref="AQ140:AQ145" si="102">IF(12.3-AO140&gt;0,0,ABS(12.3-AO140))</f>
        <v>9.0399999999999991</v>
      </c>
      <c r="AR140" s="209">
        <f>IF(AR$7="X",VLOOKUP(AR$10,'VK-Hooned-Soojus'!$C:$X,2+$C140,FALSE),0)+IF(AR$6="X",VLOOKUP(AR$10,'VK-Transport'!$C:$X,2+$B140,0))+IF(AR$8="X",VLOOKUP(AR$10,'VK-Elekter'!$C:$X,2+$D140,0))+IF(AR$9="X",VLOOKUP(AR$10,'VK-Biokütused'!$C:$U,2+$E140,0))+IF(AR$5="X",VLOOKUP(AR$10,'VK-Põlevkivi'!$C:$X,2+$G140,0))+IF(AR$4="X",VLOOKUP(AR$10,'VK-Võrgud'!$C:$X,2+$F140,0))</f>
        <v>0</v>
      </c>
      <c r="AS140" s="320">
        <f>VLOOKUP("Kütuste tarbimine @ 2030 - UTTEGAAS",'VK-Hooned-Soojus'!$C:$X,2+$C140,FALSE)/0.172+VLOOKUP("Kütuste tarbimine @ 2030 - UTTEGAAS",'VK-Elekter'!$C:$X,2+$D140,FALSE)/0.172-AR140-AU140</f>
        <v>0</v>
      </c>
      <c r="AT140" s="209">
        <f>IF(AT$7="X",VLOOKUP(AT$10,'VK-Hooned-Soojus'!$C:$X,2+$C140,FALSE),0)+IF(AT$6="X",VLOOKUP(AT$10,'VK-Transport'!$C:$X,2+$B140,0))+IF(AT$8="X",VLOOKUP(AT$10,'VK-Elekter'!$C:$X,2+$D140,0))+IF(AT$9="X",VLOOKUP(AT$10,'VK-Biokütused'!$C:$U,2+$E140,0))+IF(AT$5="X",VLOOKUP(AT$10,'VK-Põlevkivi'!$C:$X,2+$G140,0))+IF(AT$4="X",VLOOKUP(AT$10,'VK-Võrgud'!$C:$X,2+$F140,0))</f>
        <v>5.7045296564339489</v>
      </c>
      <c r="AU140" s="229">
        <f>MAX(0,(VLOOKUP("Kütuste tarbimine @ 2030 - UTTEGAAS",'VK-Hooned-Soojus'!$C:$X,2+$C140,FALSE)/0.172+VLOOKUP("Kütuste tarbimine @ 2030 - UTTEGAAS",'VK-Elekter'!$C:$X,2+$D140,FALSE)/0.172)*0.52-VLOOKUP("Kütuste tarbimine @ 2030 - PÕLEVKIVIÕLI",'VK-Hooned-Soojus'!$C:$X,2+$C140,FALSE))</f>
        <v>0</v>
      </c>
      <c r="AV140" s="209">
        <f>IF(AV$7="X",VLOOKUP(AV$10,'VK-Hooned-Soojus'!$C:$X,2+$C140,FALSE),0)+IF(AV$6="X",VLOOKUP(AV$10,'VK-Transport'!$C:$X,2+$B140,0))+IF(AV$8="X",VLOOKUP(AV$10,'VK-Elekter'!$C:$X,2+$D140,0))+IF(AV$9="X",VLOOKUP(AV$10,'VK-Biokütused'!$C:$U,2+$E140,0))+IF(AV$5="X",VLOOKUP(AV$10,'VK-Põlevkivi'!$C:$X,2+$G140,0))+IF(AV$4="X",VLOOKUP(AV$10,'VK-Võrgud'!$C:$X,2+$F140,0))</f>
        <v>2.1219844082566364</v>
      </c>
      <c r="AW140" s="209">
        <f>IF(AW$7="X",VLOOKUP(AW$10,'VK-Hooned-Soojus'!$C:$X,2+$C140,FALSE),0)+IF(AW$6="X",VLOOKUP(AW$10,'VK-Transport'!$C:$X,2+$B140,0))+IF(AW$8="X",VLOOKUP(AW$10,'VK-Elekter'!$C:$X,2+$D140,0))+IF(AW$9="X",VLOOKUP(AW$10,'VK-Biokütused'!$C:$U,2+$E140,0))+IF(AW$5="X",VLOOKUP(AW$10,'VK-Põlevkivi'!$C:$X,2+$G140,0))+IF(AW$4="X",VLOOKUP(AW$10,'VK-Võrgud'!$C:$X,2+$F140,0))</f>
        <v>0</v>
      </c>
      <c r="AX140" s="229">
        <f t="shared" ref="AX140:AX145" si="103">MAX(0,AW140-AV140)</f>
        <v>0</v>
      </c>
      <c r="AY140" s="229">
        <f t="shared" ref="AY140:AY145" si="104">MAX(0,AV140-AW140)</f>
        <v>2.1219844082566364</v>
      </c>
      <c r="AZ140" s="230">
        <f t="shared" ref="AZ140:AZ145" si="105">(MAX(0,AK140)+AJ140+AN140+AQ140+AT140+AY140)/EI140</f>
        <v>0.63336252140800098</v>
      </c>
      <c r="BA140" s="209">
        <f>IF(BA$7="X",VLOOKUP(BA$10,'VK-Hooned-Soojus'!$C:$X,2+$C140,FALSE),0)+IF(BA$6="X",VLOOKUP(BA$10,'VK-Transport'!$C:$X,2+$B140,0))+IF(BA$8="X",VLOOKUP(BA$10,'VK-Elekter'!$C:$X,2+$D140,0))+IF(BA$9="X",VLOOKUP(BA$10,'VK-Biokütused'!$C:$U,2+$E140,0))+IF(BA$5="X",VLOOKUP(BA$10,'VK-Põlevkivi'!$C:$X,2+$G140,0))+IF(BA$4="X",VLOOKUP(BA$10,'VK-Võrgud'!$C:$X,2+$F140,0))</f>
        <v>0</v>
      </c>
      <c r="BB140" s="209">
        <f>IF(BB$7="X",VLOOKUP(BB$10,'VK-Hooned-Soojus'!$C:$X,2+$C140,FALSE),0)+IF(BB$6="X",VLOOKUP(BB$10,'VK-Transport'!$C:$X,2+$B140,0))+IF(BB$8="X",VLOOKUP(BB$10,'VK-Elekter'!$C:$X,2+$D140,0))+IF(BB$9="X",VLOOKUP(BB$10,'VK-Biokütused'!$C:$U,2+$E140,0))+IF(BB$5="X",VLOOKUP(BB$10,'VK-Põlevkivi'!$C:$X,2+$G140,0))+IF(BB$4="X",VLOOKUP(BB$10,'VK-Võrgud'!$C:$X,2+$F140,0))</f>
        <v>6.32</v>
      </c>
      <c r="BC140" s="209">
        <f>IF(BC$7="X",VLOOKUP(BC$10,'VK-Hooned-Soojus'!$C:$X,2+$C140,FALSE),0)+IF(BC$6="X",VLOOKUP(BC$10,'VK-Transport'!$C:$X,2+$B140,0))+IF(BC$8="X",VLOOKUP(BC$10,'VK-Elekter'!$C:$X,2+$D140,0))+IF(BC$9="X",VLOOKUP(BC$10,'VK-Biokütused'!$C:$U,2+$E140,0))+IF(BC$5="X",VLOOKUP(BC$10,'VK-Põlevkivi'!$C:$X,2+$G140,0))+IF(BC$4="X",VLOOKUP(BC$10,'VK-Võrgud'!$C:$X,2+$F140,0))</f>
        <v>5.2376666666666667</v>
      </c>
      <c r="BD140" s="209">
        <f>IF(BD$7="X",VLOOKUP(BD$10,'VK-Hooned-Soojus'!$C:$X,2+$C140,FALSE),0)+IF(BD$6="X",VLOOKUP(BD$10,'VK-Transport'!$C:$X,2+$B140,0))+IF(BD$8="X",VLOOKUP(BD$10,'VK-Elekter'!$C:$X,2+$D140,0))+IF(BD$9="X",VLOOKUP(BD$10,'VK-Biokütused'!$C:$U,2+$E140,0))+IF(BD$5="X",VLOOKUP(BD$10,'VK-Põlevkivi'!$C:$X,2+$G140,0))+IF(BD$4="X",VLOOKUP(BD$10,'VK-Võrgud'!$C:$X,2+$F140,0))</f>
        <v>9.1105555555555569</v>
      </c>
      <c r="BE140" s="230"/>
      <c r="BF140" s="229">
        <f t="shared" ref="BF140:BF144" si="106">SUM(AI140,AM140,AV140)/EI140</f>
        <v>0.64611056303807113</v>
      </c>
      <c r="BG140" s="209" t="e">
        <f>(IF(BG$7="X",VLOOKUP(BG$10,'VK-Hooned-Soojus'!$C:$X,2+$C140,FALSE),0)+IF(BG$6="X",VLOOKUP(BG$10,'VK-Transport'!$C:$X,2+$B140,0))+IF(BG$8="X",VLOOKUP(BG$10,'VK-Elekter'!$C:$X,2+$D140,0))+IF(BG$9="X",VLOOKUP(BG$10,'VK-Biokütused'!$C:$U,2+$E140,0))+IF(BG$5="X",VLOOKUP(BG$10,'VK-Põlevkivi'!$C:$X,2+$G140,0))+IF(BG$4="X",VLOOKUP(BG$10,'VK-Võrgud'!$C:$X,2+$F140,0)))/20</f>
        <v>#N/A</v>
      </c>
      <c r="BH140" s="209">
        <f>(IF(BH$7="X",VLOOKUP(BH$10,'VK-Hooned-Soojus'!$C:$X,2+$C140,FALSE),0)+IF(BH$6="X",VLOOKUP(BH$10,'VK-Transport'!$C:$X,2+$B140,0))+IF(BH$8="X",VLOOKUP(BH$10,'VK-Elekter'!$C:$X,2+$D140,0))+IF(BH$9="X",VLOOKUP(BH$10,'VK-Biokütused'!$C:$U,2+$E140,0))+IF(BH$5="X",VLOOKUP(BH$10,'VK-Põlevkivi'!$C:$X,2+$G140,0))+IF(BH$4="X",VLOOKUP(BH$10,'VK-Võrgud'!$C:$X,2+$F140,0)))/20</f>
        <v>84.204999999999998</v>
      </c>
      <c r="BI140" s="209">
        <f>(IF(BI$7="X",VLOOKUP(BI$10,'VK-Hooned-Soojus'!$C:$X,2+$C140,FALSE),0)+IF(BI$6="X",VLOOKUP(BI$10,'VK-Transport'!$C:$X,2+$B140,0))+IF(BI$8="X",VLOOKUP(BI$10,'VK-Elekter'!$C:$X,2+$D140,0))+IF(BI$9="X",VLOOKUP(BI$10,'VK-Biokütused'!$C:$U,2+$E140,0))+IF(BI$5="X",VLOOKUP(BI$10,'VK-Põlevkivi'!$C:$X,2+$G140,0))+IF(BI$4="X",VLOOKUP(BI$10,'VK-Võrgud'!$C:$X,2+$F140,0)))/16</f>
        <v>8.9375</v>
      </c>
      <c r="BJ140" s="209">
        <f>(IF(BJ$7="X",VLOOKUP(BJ$10,'VK-Hooned-Soojus'!$C:$X,2+$C140,FALSE),0)+IF(BJ$6="X",VLOOKUP(BJ$10,'VK-Transport'!$C:$X,2+$B140,0))+IF(BJ$8="X",VLOOKUP(BJ$10,'VK-Elekter'!$C:$X,2+$D140,0))+IF(BJ$9="X",VLOOKUP(BJ$10,'VK-Biokütused'!$C:$U,2+$E140,0))+IF(BJ$5="X",VLOOKUP(BJ$10,'VK-Põlevkivi'!$C:$X,2+$G140,0))+IF(BJ$4="X",VLOOKUP(BJ$10,'VK-Võrgud'!$C:$X,2+$F140,0)))/20</f>
        <v>5.33</v>
      </c>
      <c r="BK140" s="209"/>
      <c r="BL140" s="209"/>
      <c r="BM140" s="209"/>
      <c r="BN140" s="209" t="e">
        <f>(IF(BN$7="X",VLOOKUP(BN$10,'VK-Hooned-Soojus'!$C:$X,2+$C140,FALSE),0)+IF(BN$6="X",VLOOKUP(BN$10,'VK-Transport'!$C:$X,2+$B140,0))+IF(BN$8="X",VLOOKUP(BN$10,'VK-Elekter'!$C:$X,2+$D140,0))+IF(BN$9="X",VLOOKUP(BN$10,'VK-Biokütused'!$C:$U,2+$E140,0))+IF(BN$5="X",VLOOKUP(BN$10,'VK-Põlevkivi'!$C:$X,2+$G140,0))+IF(BN$4="X",VLOOKUP(BN$10,'VK-Võrgud'!$C:$X,2+$F140,0)))/16</f>
        <v>#N/A</v>
      </c>
      <c r="BO140" s="209">
        <f>(IF(BO$7="X",VLOOKUP(BO$10,'VK-Hooned-Soojus'!$C:$X,2+$C140,FALSE),0)+IF(BO$6="X",VLOOKUP(BO$10,'VK-Transport'!$C:$X,2+$B140,0))+IF(BO$8="X",VLOOKUP(BO$10,'VK-Elekter'!$C:$X,2+$D140,0))+IF(BO$9="X",VLOOKUP(BO$10,'VK-Biokütused'!$C:$U,2+$E140,0))+IF(BO$5="X",VLOOKUP(BO$10,'VK-Põlevkivi'!$C:$X,2+$G140,0))+IF(BO$4="X",VLOOKUP(BO$10,'VK-Võrgud'!$C:$X,2+$F140,0)))/16</f>
        <v>322.79374999999999</v>
      </c>
      <c r="BP140" s="209"/>
      <c r="BQ140" s="209">
        <f>(IF(BQ$7="X",VLOOKUP(BQ$10,'VK-Hooned-Soojus'!$C:$X,2+$C140,FALSE),0)+IF(BQ$6="X",VLOOKUP(BQ$10,'VK-Transport'!$C:$X,2+$B140,0))+IF(BQ$8="X",VLOOKUP(BQ$10,'VK-Elekter'!$C:$X,2+$D140,0))+IF(BQ$9="X",VLOOKUP(BQ$10,'VK-Biokütused'!$C:$U,2+$E140,0))+IF(BQ$5="X",VLOOKUP(BQ$10,'VK-Põlevkivi'!$C:$X,2+$G140,0))+IF(BQ$4="X",VLOOKUP(BQ$10,'VK-Võrgud'!$C:$X,2+$F140,0)))/16</f>
        <v>233.20625000000001</v>
      </c>
      <c r="BR140" s="209">
        <f>(IF(BR$7="X",VLOOKUP(BR$10,'VK-Hooned-Soojus'!$C:$X,2+$C140,FALSE),0)+IF(BR$6="X",VLOOKUP(BR$10,'VK-Transport'!$C:$X,2+$B140,0))+IF(BR$8="X",VLOOKUP(BR$10,'VK-Elekter'!$C:$X,2+$D140,0))+IF(BR$9="X",VLOOKUP(BR$10,'VK-Biokütused'!$C:$U,2+$E140,0))+IF(BR$5="X",VLOOKUP(BR$10,'VK-Põlevkivi'!$C:$X,2+$G140,0))+IF(BR$4="X",VLOOKUP(BR$10,'VK-Võrgud'!$C:$X,2+$F140,0)))/16</f>
        <v>74.512500000000003</v>
      </c>
      <c r="BS140" s="209">
        <f>(IF(BS$7="X",VLOOKUP(BS$10,'VK-Hooned-Soojus'!$C:$X,2+$C140,FALSE),0)+IF(BS$6="X",VLOOKUP(BS$10,'VK-Transport'!$C:$X,2+$B140,0))+IF(BS$8="X",VLOOKUP(BS$10,'VK-Elekter'!$C:$X,2+$D140,0))+IF(BS$9="X",VLOOKUP(BS$10,'VK-Biokütused'!$C:$U,2+$E140,0))+IF(BS$5="X",VLOOKUP(BS$10,'VK-Põlevkivi'!$C:$X,2+$G140,0))+IF(BS$4="X",VLOOKUP(BS$10,'VK-Võrgud'!$C:$X,2+$F140,0)))/16</f>
        <v>-21.475000000000001</v>
      </c>
      <c r="BT140" s="209"/>
      <c r="BU140" s="209"/>
      <c r="BV140" s="209">
        <f>(IF(BV$7="X",VLOOKUP(BV$10,'VK-Hooned-Soojus'!$C:$X,2+$C140,FALSE),0)+IF(BV$6="X",VLOOKUP(BV$10,'VK-Transport'!$C:$X,2+$B140,0))+IF(BV$8="X",VLOOKUP(BV$10,'VK-Elekter'!$C:$X,2+$D140,0))+IF(BV$9="X",VLOOKUP(BV$10,'VK-Biokütused'!$C:$U,2+$E140,0))+IF(BV$5="X",VLOOKUP(BV$10,'VK-Põlevkivi'!$C:$X,2+$G140,0))+IF(BV$4="X",VLOOKUP(BV$10,'VK-Võrgud'!$C:$X,2+$F140,0)))/16</f>
        <v>0</v>
      </c>
      <c r="BW140" s="209"/>
      <c r="BX140" s="209">
        <f>(IF(BX$7="X",VLOOKUP(BX$10,'VK-Hooned-Soojus'!$C:$X,2+$C140,FALSE),0)+IF(BX$6="X",VLOOKUP(BX$10,'VK-Transport'!$C:$X,2+$B140,0))+IF(BX$8="X",VLOOKUP(BX$10,'VK-Elekter'!$C:$X,2+$D140,0))+IF(BX$9="X",VLOOKUP(BX$10,'VK-Biokütused'!$C:$U,2+$E140,0))+IF(BX$5="X",VLOOKUP(BX$10,'VK-Põlevkivi'!$C:$X,2+$G140,0))+IF(BX$4="X",VLOOKUP(BX$10,'VK-Võrgud'!$C:$X,2+$F140,0)))/16</f>
        <v>-19.25</v>
      </c>
      <c r="BY140" s="209"/>
      <c r="BZ140" s="209"/>
      <c r="CA140" s="209" t="e">
        <f>(IF(CA$7="X",VLOOKUP(CA$10,'VK-Hooned-Soojus'!$C:$X,2+$C140,FALSE),0)+IF(CA$6="X",VLOOKUP(CA$10,'VK-Transport'!$C:$X,2+$B140,0))+IF(CA$8="X",VLOOKUP(CA$10,'VK-Elekter'!$C:$X,2+$D140,0))+IF(CA$9="X",VLOOKUP(CA$10,'VK-Biokütused'!$C:$U,2+$E140,0))+IF(CA$5="X",VLOOKUP(CA$10,'VK-Põlevkivi'!$C:$X,2+$G140,0))+IF(CA$4="X",VLOOKUP(CA$10,'VK-Võrgud'!$C:$X,2+$F140,0)))/16</f>
        <v>#N/A</v>
      </c>
      <c r="CB140" s="209">
        <f>(IF(CB$7="X",VLOOKUP(CB$10,'VK-Hooned-Soojus'!$C:$X,2+$C140,FALSE),0)+IF(CB$6="X",VLOOKUP(CB$10,'VK-Transport'!$C:$X,2+$B140,0))+IF(CB$8="X",VLOOKUP(CB$10,'VK-Elekter'!$C:$X,2+$D140,0))+IF(CB$9="X",VLOOKUP(CB$10,'VK-Biokütused'!$C:$U,2+$E140,0))+IF(CB$5="X",VLOOKUP(CB$10,'VK-Põlevkivi'!$C:$X,2+$G140,0))+IF(CB$4="X",VLOOKUP(CB$10,'VK-Võrgud'!$C:$X,2+$F140,0)))/16</f>
        <v>0</v>
      </c>
      <c r="CC140" s="209">
        <f>(IF(CC$7="X",VLOOKUP(CC$10,'VK-Hooned-Soojus'!$C:$X,2+$C140,FALSE),0)+IF(CC$6="X",VLOOKUP(CC$10,'VK-Transport'!$C:$X,2+$B140,0))+IF(CC$8="X",VLOOKUP(CC$10,'VK-Elekter'!$C:$X,2+$D140,0))+IF(CC$9="X",VLOOKUP(CC$10,'VK-Biokütused'!$C:$U,2+$E140,0))+IF(CC$5="X",VLOOKUP(CC$10,'VK-Põlevkivi'!$C:$X,2+$G140,0))+IF(CC$4="X",VLOOKUP(CC$10,'VK-Võrgud'!$C:$X,2+$F140,0)))/16</f>
        <v>0</v>
      </c>
      <c r="CD140" s="209"/>
      <c r="CE140" s="209">
        <f>(IF(CE$7="X",VLOOKUP(CE$10,'VK-Hooned-Soojus'!$C:$X,2+$C140,FALSE),0)+IF(CE$6="X",VLOOKUP(CE$10,'VK-Transport'!$C:$X,2+$B140,0))+IF(CE$8="X",VLOOKUP(CE$10,'VK-Elekter'!$C:$X,2+$D140,0))+IF(CE$9="X",VLOOKUP(CE$10,'VK-Biokütused'!$C:$U,2+$E140,0))+IF(CE$5="X",VLOOKUP(CE$10,'VK-Põlevkivi'!$C:$X,2+$G140,0))+IF(CE$4="X",VLOOKUP(CE$10,'VK-Võrgud'!$C:$X,2+$F140,0)))/16</f>
        <v>24.15625</v>
      </c>
      <c r="CF140" s="209"/>
      <c r="CG140" s="209">
        <f>(IF(CG$7="X",VLOOKUP(CG$10,'VK-Hooned-Soojus'!$C:$X,2+$C140,FALSE),0)+IF(CG$6="X",VLOOKUP(CG$10,'VK-Transport'!$C:$X,2+$B140,0))+IF(CG$8="X",VLOOKUP(CG$10,'VK-Elekter'!$C:$X,2+$D140,0))+IF(CG$9="X",VLOOKUP(CG$10,'VK-Biokütused'!$C:$U,2+$E140,0))+IF(CG$5="X",VLOOKUP(CG$10,'VK-Põlevkivi'!$C:$X,2+$G140,0))+IF(CG$4="X",VLOOKUP(CG$10,'VK-Võrgud'!$C:$X,2+$F140,0)))/16</f>
        <v>0</v>
      </c>
      <c r="CH140" s="209">
        <f>(IF(CH$7="X",VLOOKUP(CH$10,'VK-Hooned-Soojus'!$C:$X,2+$C140,FALSE),0)+IF(CH$6="X",VLOOKUP(CH$10,'VK-Transport'!$C:$X,2+$B140,0))+IF(CH$8="X",VLOOKUP(CH$10,'VK-Elekter'!$C:$X,2+$D140,0))+IF(CH$9="X",VLOOKUP(CH$10,'VK-Biokütused'!$C:$U,2+$E140,0))+IF(CH$5="X",VLOOKUP(CH$10,'VK-Põlevkivi'!$C:$X,2+$G140,0))+IF(CH$4="X",VLOOKUP(CH$10,'VK-Võrgud'!$C:$X,2+$F140,0)))/20*0.21</f>
        <v>26.9178</v>
      </c>
      <c r="CI140" s="209"/>
      <c r="CJ140" s="209">
        <f>(IF(CJ$7="X",VLOOKUP(CJ$10,'VK-Hooned-Soojus'!$C:$X,2+$C140,FALSE),0)+IF(CJ$6="X",VLOOKUP(CJ$10,'VK-Transport'!$C:$X,2+$B140,0))+IF(CJ$8="X",VLOOKUP(CJ$10,'VK-Elekter'!$C:$X,2+$D140,0))+IF(CJ$9="X",VLOOKUP(CJ$10,'VK-Biokütused'!$C:$U,2+$E140,0))+IF(CJ$5="X",VLOOKUP(CJ$10,'VK-Põlevkivi'!$C:$X,2+$G140,0))+IF(CJ$4="X",VLOOKUP(CJ$10,'VK-Võrgud'!$C:$X,2+$F140,0)))/1000</f>
        <v>16.029721793242818</v>
      </c>
      <c r="CK140" s="209">
        <f>(IF(CK$7="X",VLOOKUP(CK$10,'VK-Hooned-Soojus'!$C:$X,2+$C140,FALSE),0)+IF(CK$6="X",VLOOKUP(CK$10,'VK-Transport'!$C:$X,2+$B140,0))+IF(CK$8="X",VLOOKUP(CK$10,'VK-Elekter'!$C:$X,2+$D140,0))+IF(CK$9="X",VLOOKUP(CK$10,'VK-Biokütused'!$C:$U,2+$E140,0))+IF(CK$5="X",VLOOKUP(CK$10,'VK-Põlevkivi'!$C:$X,2+$G140,0))+IF(CK$4="X",VLOOKUP(CK$10,'VK-Võrgud'!$C:$X,2+$F140,0)))/1000</f>
        <v>6.0056988012134216</v>
      </c>
      <c r="CL140" s="235">
        <f>(IF(CL$7="X",VLOOKUP(CL$10,'VK-Hooned-Soojus'!$C:$X,2+$C140,FALSE),0)+IF(CL$6="X",VLOOKUP(CL$10,'VK-Transport'!$C:$X,2+$B140,0))+IF(CL$8="X",VLOOKUP(CL$10,'VK-Elekter'!$C:$X,2+$D140,0))+IF(CL$9="X",VLOOKUP(CL$10,'VK-Biokütused'!$C:$U,2+$E140,0)))/1000</f>
        <v>3.4793975506064014</v>
      </c>
      <c r="CM140" s="209">
        <f>(IF(CM$7="X",VLOOKUP(CM$10,'VK-Hooned-Soojus'!$C:$X,2+$C140,FALSE),0)+IF(CM$6="X",VLOOKUP(CM$10,'VK-Transport'!$C:$X,2+$B140,0))+IF(CM$8="X",VLOOKUP(CM$10,'VK-Elekter'!$C:$X,2+$D140,0))+IF(CM$9="X",VLOOKUP(CM$10,'VK-Biokütused'!$C:$U,2+$E140,0))+IF(CM$5="X",VLOOKUP(CM$10,'VK-Põlevkivi'!$C:$X,2+$G140,0))+IF(CM$4="X",VLOOKUP(CM$10,'VK-Võrgud'!$C:$X,2+$F140,0)))/1000</f>
        <v>7.6038313570900957</v>
      </c>
      <c r="CN140" s="209">
        <f>(IF(CN$7="X",VLOOKUP(CN$10,'VK-Hooned-Soojus'!$C:$X,2+$C140,FALSE),0)+IF(CN$6="X",VLOOKUP(CN$10,'VK-Transport'!$C:$X,2+$B140,0))+IF(CN$8="X",VLOOKUP(CN$10,'VK-Elekter'!$C:$X,2+$D140,0))+IF(CN$9="X",VLOOKUP(CN$10,'VK-Biokütused'!$C:$U,2+$E140,0))+IF(CN$5="X",VLOOKUP(CN$10,'VK-Põlevkivi'!$C:$X,2+$G140,0))+IF(CN$4="X",VLOOKUP(CN$10,'VK-Võrgud'!$C:$X,2+$F140,0)))/1000</f>
        <v>2.7810000000000001</v>
      </c>
      <c r="CO140" s="209">
        <f>(IF(CO$7="X",VLOOKUP(CO$10,'VK-Hooned-Soojus'!$C:$X,2+$C140,FALSE),0)+IF(CO$6="X",VLOOKUP(CO$10,'VK-Transport'!$C:$X,2+$B140,0))+IF(CO$8="X",VLOOKUP(CO$10,'VK-Elekter'!$C:$X,2+$D140,0))+IF(CO$9="X",VLOOKUP(CO$10,'VK-Biokütused'!$C:$U,2+$E140,0))+IF(CO$5="X",VLOOKUP(CO$10,'VK-Põlevkivi'!$C:$X,2+$G140,0))+IF(CO$4="X",VLOOKUP(CO$10,'VK-Võrgud'!$C:$X,2+$F140,0)))/1000</f>
        <v>22.339362337356995</v>
      </c>
      <c r="CP140" s="209">
        <f>(IF(CP$7="X",VLOOKUP(CP$10,'VK-Hooned-Soojus'!$C:$X,2+$C140,FALSE),0)+IF(CP$6="X",VLOOKUP(CP$10,'VK-Transport'!$C:$X,2+$B140,0))+IF(CP$8="X",VLOOKUP(CP$10,'VK-Elekter'!$C:$X,2+$D140,0))+IF(CP$9="X",VLOOKUP(CP$10,'VK-Biokütused'!$C:$U,2+$E140,0))+IF(CP$5="X",VLOOKUP(CP$10,'VK-Põlevkivi'!$C:$X,2+$G140,0))+IF(CP$4="X",VLOOKUP(CP$10,'VK-Võrgud'!$C:$X,2+$F140,0)))/1000</f>
        <v>6.6213921206936615</v>
      </c>
      <c r="CQ140" s="235">
        <f>(IF(CQ$7="X",VLOOKUP(CQ$10,'VK-Hooned-Soojus'!$C:$X,2+$C140,FALSE),0)+IF(CQ$6="X",VLOOKUP(CQ$10,'VK-Transport'!$C:$X,2+$B140,0))+IF(CQ$8="X",VLOOKUP(CQ$10,'VK-Elekter'!$C:$X,2+$D140,0))+IF(CQ$9="X",VLOOKUP(CQ$10,'VK-Biokütused'!$C:$U,2+$E140,0)))/1000</f>
        <v>4.6459190000000001</v>
      </c>
      <c r="CR140" s="209">
        <f>(IF(CR$7="X",VLOOKUP(CR$10,'VK-Hooned-Soojus'!$C:$X,2+$C140,FALSE),0)+IF(CR$6="X",VLOOKUP(CR$10,'VK-Transport'!$C:$X,2+$B140,0))+IF(CR$8="X",VLOOKUP(CR$10,'VK-Elekter'!$C:$X,2+$D140,0))+IF(CR$9="X",VLOOKUP(CR$10,'VK-Biokütused'!$C:$U,2+$E140,0))+IF(CR$5="X",VLOOKUP(CR$10,'VK-Põlevkivi'!$C:$X,2+$G140,0))+IF(CR$4="X",VLOOKUP(CR$10,'VK-Võrgud'!$C:$X,2+$F140,0)))/1000</f>
        <v>7.6767518373996895</v>
      </c>
      <c r="CS140" s="209">
        <f>(IF(CS$7="X",VLOOKUP(CS$10,'VK-Hooned-Soojus'!$C:$X,2+$C140,FALSE),0)+IF(CS$6="X",VLOOKUP(CS$10,'VK-Transport'!$C:$X,2+$B140,0))+IF(CS$8="X",VLOOKUP(CS$10,'VK-Elekter'!$C:$X,2+$D140,0))+IF(CS$9="X",VLOOKUP(CS$10,'VK-Biokütused'!$C:$U,2+$E140,0))+IF(CS$5="X",VLOOKUP(CS$10,'VK-Põlevkivi'!$C:$X,2+$G140,0))+IF(CS$4="X",VLOOKUP(CS$10,'VK-Võrgud'!$C:$X,2+$F140,0)))/1000</f>
        <v>3.7686495098622381</v>
      </c>
      <c r="CT140" s="209">
        <f>IF(CT$7="X",VLOOKUP(CT$10,'VK-Hooned-Soojus'!$C:$X,2+$C140,FALSE),0)+IF(CT$6="X",VLOOKUP(CT$10,'VK-Transport'!$C:$X,2+$B140,0))+IF(CT$8="X",VLOOKUP(CT$10,'VK-Elekter'!$C:$X,2+$D140,0))+IF(CT$9="X",VLOOKUP(CT$10,'VK-Biokütused'!$C:$U,2+$E140,0))+IF(CT$5="X",VLOOKUP(CT$10,'VK-Põlevkivi'!$C:$X,2+$G140,0))+IF(CT$4="X",VLOOKUP(CT$10,'VK-Võrgud'!$C:$X,2+$F140,0))</f>
        <v>90</v>
      </c>
      <c r="CU140" s="209">
        <f>IF(CU$7="X",VLOOKUP(CU$10,'VK-Hooned-Soojus'!$C:$X,2+$C140,FALSE),0)+IF(CU$6="X",VLOOKUP(CU$10,'VK-Transport'!$C:$X,2+$B140,0))+IF(CU$8="X",VLOOKUP(CU$10,'VK-Elekter'!$C:$X,2+$D140,0))+IF(CU$9="X",VLOOKUP(CU$10,'VK-Biokütused'!$C:$U,2+$E140,0))+IF(CU$5="X",VLOOKUP(CU$10,'VK-Põlevkivi'!$C:$X,2+$G140,0))+IF(CU$4="X",VLOOKUP(CU$10,'VK-Võrgud'!$C:$X,2+$F140,0))</f>
        <v>0.63390170511534605</v>
      </c>
      <c r="CV140" s="209">
        <f t="shared" ref="CV140:CV144" si="107">(AY140+AT140)/(AT140+AY140+AW140-AX140)</f>
        <v>1</v>
      </c>
      <c r="CW140" s="209">
        <f>(IF(CW$7="X",VLOOKUP(CW$10,'VK-Hooned-Soojus'!$C:$X,2+$C140,FALSE),0)+IF(CW$6="X",VLOOKUP(CW$10,'VK-Transport'!$C:$X,2+$B140,0))+IF(CW$8="X",VLOOKUP(CW$10,'VK-Elekter'!$C:$X,2+$D140,0))+IF(CW$9="X",VLOOKUP(CW$10,'VK-Biokütused'!$C:$U,2+$E140,0))+IF(CW$5="X",VLOOKUP(CW$10,'VK-Põlevkivi'!$C:$X,2+$G140,0))+IF(CW$4="X",VLOOKUP(CW$10,'VK-Võrgud'!$C:$X,2+$F140,0)))/16</f>
        <v>0</v>
      </c>
      <c r="CY140" s="209">
        <f>(IF(CY$7="X",VLOOKUP(CY$10,'VK-Hooned-Soojus'!$C:$X,2+$C140,FALSE),0)+IF(CY$6="X",VLOOKUP(CY$10,'VK-Transport'!$C:$X,2+$B140,0))+IF(CY$8="X",VLOOKUP(CY$10,'VK-Elekter'!$C:$X,2+$D140,0))+IF(CY$9="X",VLOOKUP(CY$10,'VK-Biokütused'!$C:$U,2+$E140,0))+IF(CY$5="X",VLOOKUP(CY$10,'VK-Põlevkivi'!$C:$X,2+$G140,0))+IF(CY$4="X",VLOOKUP(CY$10,'VK-Võrgud'!$C:$X,2+$F140,0)))/1000</f>
        <v>9.2170000000000005</v>
      </c>
      <c r="CZ140" s="209">
        <f>(IF(CZ$7="X",VLOOKUP(CZ$10,'VK-Hooned-Soojus'!$C:$X,2+$C140,FALSE),0)+IF(CZ$6="X",VLOOKUP(CZ$10,'VK-Transport'!$C:$X,2+$B140,0))+IF(CZ$8="X",VLOOKUP(CZ$10,'VK-Elekter'!$C:$X,2+$D140,0))+IF(CZ$9="X",VLOOKUP(CZ$10,'VK-Biokütused'!$C:$U,2+$E140,0))+IF(CZ$5="X",VLOOKUP(CZ$10,'VK-Põlevkivi'!$C:$X,2+$G140,0))+IF(CZ$4="X",VLOOKUP(CZ$10,'VK-Võrgud'!$C:$X,2+$F140,0)))</f>
        <v>75</v>
      </c>
      <c r="DA140" s="209">
        <f>(IF(DA$7="X",VLOOKUP(DA$10,'VK-Hooned-Soojus'!$C:$X,2+$C140,FALSE),0)+IF(DA$6="X",VLOOKUP(DA$10,'VK-Transport'!$C:$X,2+$B140,0))+IF(DA$8="X",VLOOKUP(DA$10,'VK-Elekter'!$C:$X,2+$D140,0))+IF(DA$9="X",VLOOKUP(DA$10,'VK-Biokütused'!$C:$U,2+$E140,0))+IF(DA$5="X",VLOOKUP(DA$10,'VK-Põlevkivi'!$C:$X,2+$G140,0))+IF(DA$4="X",VLOOKUP(DA$10,'VK-Võrgud'!$C:$X,2+$F140,0)))/1000</f>
        <v>8.5299999999999994</v>
      </c>
      <c r="DB140" s="209">
        <f>(IF(DB$7="X",VLOOKUP(DB$10,'VK-Hooned-Soojus'!$C:$X,2+$C140,FALSE),0)+IF(DB$6="X",VLOOKUP(DB$10,'VK-Transport'!$C:$X,2+$B140,0))+IF(DB$8="X",VLOOKUP(DB$10,'VK-Elekter'!$C:$X,2+$D140,0))+IF(DB$9="X",VLOOKUP(DB$10,'VK-Biokütused'!$C:$U,2+$E140,0))+IF(DB$5="X",VLOOKUP(DB$10,'VK-Põlevkivi'!$C:$X,2+$G140,0))+IF(DB$4="X",VLOOKUP(DB$10,'VK-Võrgud'!$C:$X,2+$F140,0)))/1000/3.6</f>
        <v>33.973888888888887</v>
      </c>
      <c r="DC140" s="209">
        <f>(IF(DC$7="X",VLOOKUP(DC$10,'VK-Hooned-Soojus'!$C:$X,2+$C140,FALSE),0)+IF(DC$6="X",VLOOKUP(DC$10,'VK-Transport'!$C:$X,2+$B140,0))+IF(DC$8="X",VLOOKUP(DC$10,'VK-Elekter'!$C:$X,2+$D140,0))+IF(DC$9="X",VLOOKUP(DC$10,'VK-Biokütused'!$C:$U,2+$E140,0))+IF(DC$5="X",VLOOKUP(DC$10,'VK-Põlevkivi'!$C:$X,2+$G140,0))+IF(DC$4="X",VLOOKUP(DC$10,'VK-Võrgud'!$C:$X,2+$F140,0)))/1000000</f>
        <v>3.6436060000000001</v>
      </c>
      <c r="DD140" s="209"/>
      <c r="DE140" s="88">
        <f>VLOOKUP(Tulemused!$BN$12,data!M$7:N$12,2,FALSE)-SUM(L140,M140)</f>
        <v>0.39749062697563176</v>
      </c>
      <c r="DF140" s="209" t="str">
        <f>IF(AZ140&lt;=VLOOKUP(Tulemused!$BN$15,data!$E$36:$F$39,2,FALSE),"JAH","EI")</f>
        <v>JAH</v>
      </c>
      <c r="DG140" s="209"/>
      <c r="DH140" s="209">
        <f t="shared" ref="DH140:DH145" si="108">ES140</f>
        <v>10.67</v>
      </c>
      <c r="DI140" s="231" t="str">
        <f t="shared" ref="DI140:DI145" si="109">IF((DE140&lt;0)+(DF140="EI")+(DG140="EI")+(DH140="JAH"),"EI","JAH")</f>
        <v>JAH</v>
      </c>
      <c r="DK140" s="232">
        <f t="shared" si="96"/>
        <v>10.21606847907174</v>
      </c>
      <c r="DM140" s="233">
        <f t="shared" si="97"/>
        <v>-999.02514318224758</v>
      </c>
      <c r="DN140" s="87">
        <f t="array" ref="DN140">INDEX($A$11:$A$145, SMALL(IF(DM140=$DK$11:$DK$145, MATCH(ROW($DK$11:$DK$145), ROW($DK$11:$DK$145))), SUM(--(DM140=$DM$11:DM140))))</f>
        <v>2</v>
      </c>
      <c r="DP140" s="87" t="e">
        <f t="shared" ref="DP140:DP145" ca="1" si="110">IF(INDIRECT("Tulemused!"&amp;DP$8)="Jah",BN140,0)</f>
        <v>#N/A</v>
      </c>
      <c r="DQ140" s="87" t="e">
        <f t="shared" ref="DQ140:DQ145" ca="1" si="111">IF(INDIRECT("Tulemused!"&amp;DQ$8)="Jah",BO140,0)</f>
        <v>#N/A</v>
      </c>
      <c r="DR140" s="87">
        <f t="shared" ref="DR140:DR145" ca="1" si="112">IF(INDIRECT("Tulemused!"&amp;DR$8)="Jah",BP140,0)</f>
        <v>0</v>
      </c>
      <c r="DS140" s="87" t="e">
        <f t="shared" ref="DS140:DS145" ca="1" si="113">IF(INDIRECT("Tulemused!"&amp;DS$8)="Jah",BQ140,0)</f>
        <v>#N/A</v>
      </c>
      <c r="DT140" s="87">
        <f t="shared" ref="DT140:DT145" ca="1" si="114">IF(INDIRECT("Tulemused!"&amp;DT$8)="Jah",BS140+BX140,0)</f>
        <v>0</v>
      </c>
      <c r="DU140" s="87" t="e">
        <f t="shared" ref="DU140:DU145" ca="1" si="115">IF(INDIRECT("Tulemused!"&amp;DU$8)="Jah",BS140,0)</f>
        <v>#N/A</v>
      </c>
      <c r="DV140" s="87" t="e">
        <f t="shared" ref="DV140:DV145" ca="1" si="116">IF(INDIRECT("Tulemused!"&amp;DV$8)="Jah",BT140,0)</f>
        <v>#N/A</v>
      </c>
      <c r="DW140" s="87">
        <f t="shared" ref="DW140:DW145" ca="1" si="117">IF(INDIRECT("Tulemused!"&amp;DW$8)="Jah",BU140,0)</f>
        <v>0</v>
      </c>
      <c r="DX140" s="87">
        <f t="shared" ref="DX140:DX145" ca="1" si="118">IF(INDIRECT("Tulemused!"&amp;DX$8)="Jah",BR140+BJ140,0)</f>
        <v>0</v>
      </c>
      <c r="DZ140" s="87">
        <f t="shared" ca="1" si="82"/>
        <v>0</v>
      </c>
      <c r="EB140" s="87">
        <f t="shared" ref="EB140:EB145" ca="1" si="119">IF(INDIRECT("Tulemused!"&amp;EB$8)="Jah",CH140,0)</f>
        <v>0</v>
      </c>
      <c r="EC140" s="87" t="e">
        <f t="shared" ref="EC140:EC145" ca="1" si="120">IF(INDIRECT("Tulemused!"&amp;EC$8)="Jah",CA140,0)</f>
        <v>#N/A</v>
      </c>
      <c r="EE140" s="228">
        <f>(IF(EE$7="X",VLOOKUP(EE$10,'VK-Hooned-Soojus'!$C:$X,2+$C140,FALSE),0)+IF(EE$6="X",VLOOKUP(EE$10,'VK-Transport'!$C:$X,2+$B140,0))+IF(EE$8="X",VLOOKUP(EE$10,'VK-Elekter'!$C:$X,2+$D140,0))+IF(EE$9="X",VLOOKUP(EE$10,'VK-Biokütused'!$C:$U,2+$E140,0))+IF(EE$5="X",VLOOKUP(EE$10,'VK-Põlevkivi'!$C:$X,2+$G140,0))+IF(EE$4="X",VLOOKUP(EE$10,'VK-Võrgud'!$C:$X,2+$F140,0)))</f>
        <v>6947.5222404417173</v>
      </c>
      <c r="EF140" s="235">
        <f>(IF(EF$7="X",VLOOKUP(EF$10,'VK-Hooned-Soojus'!$C:$X,2+$C140,FALSE),0)+IF(EF$6="X",VLOOKUP(EF$10,'VK-Transport'!$C:$X,2+$B140,0))+IF(EF$8="X",VLOOKUP(EF$10,'VK-Elekter'!$C:$X,2+$D140,0))+IF(EF$9="X",VLOOKUP(EF$10,'VK-Biokütused'!$C:$U,2+$E140,0)))/1000</f>
        <v>1.7198849906373199</v>
      </c>
      <c r="EG140" s="209">
        <f>(IF(EG$7="X",VLOOKUP(EG$10,'VK-Hooned-Soojus'!$C:$X,2+$C140,FALSE),0)+IF(EG$6="X",VLOOKUP(EG$10,'VK-Transport'!$C:$X,2+$B140,0))+IF(EG$8="X",VLOOKUP(EG$10,'VK-Elekter'!$C:$X,2+$D140,0))+IF(EG$9="X",VLOOKUP(EG$10,'VK-Biokütused'!$C:$U,2+$E140,0))+IF(EG$5="X",VLOOKUP(EG$10,'VK-Põlevkivi'!$C:$X,2+$G140,0))+IF(EG$4="X",VLOOKUP(EG$10,'VK-Võrgud'!$C:$X,2+$F140,0)))</f>
        <v>0.81</v>
      </c>
      <c r="EH140" s="209">
        <f>(IF(EH$7="X",VLOOKUP(EH$10,'VK-Hooned-Soojus'!$C:$X,2+$C140,FALSE),0)+IF(EH$6="X",VLOOKUP(EH$10,'VK-Transport'!$C:$X,2+$B140,0))+IF(EH$8="X",VLOOKUP(EH$10,'VK-Elekter'!$C:$X,2+$D140,0))+IF(EH$9="X",VLOOKUP(EH$10,'VK-Biokütused'!$C:$U,2+$E140,0)))+AR140+AS140+AU140+AX140</f>
        <v>38.866388888888892</v>
      </c>
      <c r="EI140" s="320">
        <f t="shared" ref="EI140:EI145" si="121">EH140-AU140-AX140</f>
        <v>38.866388888888892</v>
      </c>
      <c r="EJ140" s="322">
        <f t="shared" ref="EJ140:EJ145" si="122">EG140/O140</f>
        <v>2.5620074329845279E-2</v>
      </c>
      <c r="EK140" s="323">
        <f t="shared" ref="EK140:EK144" si="123">SUM(BB140,BD140,AV140)/O140</f>
        <v>0.55518194882771377</v>
      </c>
      <c r="EM140" s="209"/>
      <c r="EN140" s="209">
        <f t="shared" ref="EN140:EN145" ca="1" si="124">SUM(DT140,DX140,DZ140,EB140,DY140)</f>
        <v>0</v>
      </c>
      <c r="EO140" s="209"/>
      <c r="EP140" s="234"/>
      <c r="EQ140" s="209">
        <f>(IF(EQ$7="X",VLOOKUP(EQ$10,'VK-Hooned-Soojus'!$C:$X,2+$C140,FALSE),0)+IF(EQ$6="X",VLOOKUP(EQ$10,'VK-Transport'!$C:$X,2+$B140,0))+IF(EQ$8="X",VLOOKUP(EQ$10,'VK-Elekter'!$C:$X,2+$D140,0))+IF(EQ$9="X",VLOOKUP(EQ$10,'VK-Biokütused'!$C:$U,2+$E140,0))+IF(EQ$5="X",VLOOKUP(EQ$10,'VK-Põlevkivi'!$C:$X,2+$G140,0))+IF(EQ$4="X",VLOOKUP(EQ$10,'VK-Võrgud'!$C:$X,2+$F140,0)))/1000</f>
        <v>0.19900000000000001</v>
      </c>
      <c r="ER140" s="209">
        <f>(IF(ER$7="X",VLOOKUP(ER$10,'VK-Hooned-Soojus'!$C:$X,2+$C140,FALSE),0)+IF(ER$6="X",VLOOKUP(ER$10,'VK-Transport'!$C:$X,2+$B140,0))+IF(ER$8="X",VLOOKUP(ER$10,'VK-Elekter'!$C:$X,2+$D140,0))+IF(ER$9="X",VLOOKUP(ER$10,'VK-Biokütused'!$C:$U,2+$E140,0))+IF(ER$5="X",VLOOKUP(ER$10,'VK-Põlevkivi'!$C:$X,2+$G140,0))+IF(ER$4="X",VLOOKUP(ER$10,'VK-Võrgud'!$C:$X,2+$F140,0)))</f>
        <v>0.72299999999999998</v>
      </c>
      <c r="ES140" s="209">
        <f>(IF(ES$7="X",VLOOKUP(ES$10,'VK-Hooned-Soojus'!$C:$X,2+$C140,FALSE),0)+IF(ES$6="X",VLOOKUP(ES$10,'VK-Transport'!$C:$X,2+$B140,0))+IF(ES$8="X",VLOOKUP(ES$10,'VK-Elekter'!$C:$X,2+$D140,0))+IF(ES$9="X",VLOOKUP(ES$10,'VK-Biokütused'!$C:$U,2+$E140,0))+IF(ES$5="X",VLOOKUP(ES$10,'VK-Põlevkivi'!$C:$X,2+$G140,0))+IF(ES$4="X",VLOOKUP(ES$10,'VK-Võrgud'!$C:$X,2+$F140,0)))</f>
        <v>10.67</v>
      </c>
      <c r="ET140" s="209"/>
      <c r="EU140" s="209"/>
      <c r="EV140" s="87">
        <f>'KSH järjestus'!AS133</f>
        <v>714</v>
      </c>
      <c r="EZ140" s="237">
        <f t="shared" ref="EZ140:EZ145" si="125">1-CU140</f>
        <v>0.36609829488465395</v>
      </c>
      <c r="FA140" s="209">
        <f>IF(FA$7="X",VLOOKUP(FA$10,'VK-Hooned-Soojus'!$C:$X,2+$C140,FALSE),0)+IF(FA$6="X",VLOOKUP(FA$10,'VK-Transport'!$C:$X,2+$B140,0))+IF(FA$8="X",VLOOKUP(FA$10,'VK-Elekter'!$C:$X,2+$D140,0))+IF(FA$9="X",VLOOKUP(FA$10,'VK-Biokütused'!$C:$U,2+$E140,0))+IF(FA$5="X",VLOOKUP(FA$10,'VK-Põlevkivi'!$C:$X,2+$G140,0))+IF(FA$4="X",VLOOKUP(FA$10,'VK-Võrgud'!$C:$X,2+$F140,0))</f>
        <v>2700.9189999999999</v>
      </c>
      <c r="FB140" s="279">
        <f>(IF(FB$7="X",VLOOKUP(FB$10,'VK-Hooned-Soojus'!$C:$X,2+$C140,FALSE),0)+IF(FB$6="X",VLOOKUP(FB$10,'VK-Transport'!$C:$X,2+$B140,0))+IF(FB$8="X",VLOOKUP(FB$10,'VK-Elekter'!$C:$X,2+$D140,0))+IF(FB$9="X",VLOOKUP(FB$10,'VK-Biokütused'!$C:$U,2+$E140,0))+IF(FB$5="X",VLOOKUP(FB$10,'VK-Põlevkivi'!$C:$X,2+$G140,0))+IF(FB$4="X",VLOOKUP(FB$10,'VK-Võrgud'!$C:$X,2+$F140,0)))/16</f>
        <v>344.14457998922347</v>
      </c>
      <c r="FC140" s="209">
        <f>IF(FC$7="X",VLOOKUP(FC$10,'VK-Hooned-Soojus'!$C:$X,2+$C140,FALSE),0)+IF(FC$6="X",VLOOKUP(FC$10,'VK-Transport'!$C:$X,2+$B140,0))+IF(FC$8="X",VLOOKUP(FC$10,'VK-Elekter'!$C:$X,2+$D140,0))+IF(FC$9="X",VLOOKUP(FC$10,'VK-Biokütused'!$C:$U,2+$E140,0))+IF(FC$5="X",VLOOKUP(FC$10,'VK-Põlevkivi'!$C:$X,2+$G140,0))+IF(FC$4="X",VLOOKUP(FC$10,'VK-Võrgud'!$C:$X,2+$F140,0))</f>
        <v>285.10000000000002</v>
      </c>
      <c r="FD140" s="209">
        <f>(IF(FD$7="X",VLOOKUP(FD$10,'VK-Hooned-Soojus'!$C:$X,2+$C140,FALSE),0)+IF(FD$6="X",VLOOKUP(FD$10,'VK-Transport'!$C:$X,2+$B140,0))+IF(FD$8="X",VLOOKUP(FD$10,'VK-Elekter'!$C:$X,2+$D140,0))+IF(FD$9="X",VLOOKUP(FD$10,'VK-Biokütused'!$C:$U,2+$E140,0))+IF(FD$5="X",VLOOKUP(FD$10,'VK-Põlevkivi'!$C:$X,2+$G140,0))+IF(FD$4="X",VLOOKUP(FD$10,'VK-Võrgud'!$C:$X,2+$F140,0)))/16</f>
        <v>344.14457998922347</v>
      </c>
      <c r="FE140" s="209">
        <f>(IF(FE$7="X",VLOOKUP(FE$10,'VK-Hooned-Soojus'!$C:$X,2+$C140,FALSE),0)+IF(FE$6="X",VLOOKUP(FE$10,'VK-Transport'!$C:$X,2+$B140,0))+IF(FE$8="X",VLOOKUP(FE$10,'VK-Elekter'!$C:$X,2+$D140,0))+IF(FE$9="X",VLOOKUP(FE$10,'VK-Biokütused'!$C:$U,2+$E140,0))+IF(FE$5="X",VLOOKUP(FE$10,'VK-Põlevkivi'!$C:$X,2+$G140,0))+IF(FE$4="X",VLOOKUP(FE$10,'VK-Võrgud'!$C:$X,2+$F140,0)))/16</f>
        <v>-162.95750000000001</v>
      </c>
      <c r="FF140" s="209">
        <f>(IF(FF$7="X",VLOOKUP(FF$10,'VK-Hooned-Soojus'!$C:$X,2+$C140,FALSE),0)+IF(FF$6="X",VLOOKUP(FF$10,'VK-Transport'!$C:$X,2+$B140,0))+IF(FF$8="X",VLOOKUP(FF$10,'VK-Elekter'!$C:$X,2+$D140,0))+IF(FF$9="X",VLOOKUP(FF$10,'VK-Biokütused'!$C:$U,2+$E140,0))+IF(FF$5="X",VLOOKUP(FF$10,'VK-Põlevkivi'!$C:$X,2+$G140,0))+IF(FF$4="X",VLOOKUP(FF$10,'VK-Võrgud'!$C:$X,2+$F140,0)))/16</f>
        <v>188.06349336674774</v>
      </c>
      <c r="FG140" s="88">
        <f t="shared" ref="FG140:FG145" ca="1" si="126">SUM(EN140,FE140,FF140)</f>
        <v>25.105993366747725</v>
      </c>
      <c r="FH140" s="88"/>
      <c r="FI140" s="88"/>
      <c r="FJ140" s="88">
        <f>VLOOKUP(Tulemused!$BN$12,data!M$7:N$12,2,FALSE)-SUM(L140,M140)</f>
        <v>0.39749062697563176</v>
      </c>
      <c r="FK140" s="209" t="str">
        <f>IF(AZ140&lt;=VLOOKUP(Tulemused!$BN$15,data!$E$36:$F$39,2,FALSE),"JAH","EI")</f>
        <v>JAH</v>
      </c>
      <c r="FL140" s="235">
        <f ca="1">IF(ISNA(MATCH($A140,INDIRECT(VLOOKUP(Tulemused!$BF$11,data!$J$57:$M$71,4,FALSE)))),0,MATCH($A140,INDIRECT(VLOOKUP(Tulemused!$BF$11,data!$J$57:$M$71,4,FALSE))))</f>
        <v>0</v>
      </c>
      <c r="FM140" s="235" t="str">
        <f t="shared" ref="FM140:FM145" ca="1" si="127">IF(OR(ISNA($FL140),$FL140=$FL139,$FL140=0),"JAH","EI")</f>
        <v>JAH</v>
      </c>
      <c r="FN140" s="209">
        <f>VLOOKUP(Tulemused!$BN$13,data!$C$132:$D$137,2,FALSE)-KOMBI!R140</f>
        <v>5.2080850093626809</v>
      </c>
      <c r="FO140" s="209"/>
      <c r="FP140" s="209">
        <f>VLOOKUP(Tulemused!$BN$17,NO_x,2,FALSE)-CJ140</f>
        <v>13.408278206757181</v>
      </c>
      <c r="FQ140" s="209">
        <f>VLOOKUP(Tulemused!$BN$18,SO_2,2,FALSE)-CK140</f>
        <v>45.878301198786581</v>
      </c>
      <c r="FR140" s="209">
        <f>VLOOKUP(Tulemused!$BN$19,LOU,2,FALSE)-CN140</f>
        <v>34.299000000000007</v>
      </c>
      <c r="FS140" s="209">
        <f>VLOOKUP(Tulemused!$BN$20,PM_2.5,2,FALSE)-CM140</f>
        <v>9.3111686429099034</v>
      </c>
      <c r="FT140" s="209">
        <f>VLOOKUP(Tulemused!$BN$13,data!$C$132:$D$137,2,FALSE)-FA140/1000</f>
        <v>3.5450510000000008</v>
      </c>
      <c r="FU140" s="209">
        <f>VLOOKUP(Tulemused!$BN$17,NO_x,2,FALSE)-CO140</f>
        <v>7.0986376626430037</v>
      </c>
      <c r="FV140" s="209">
        <f>VLOOKUP(Tulemused!$BN$18,SO_2,2,FALSE)-CP140</f>
        <v>45.262607879306337</v>
      </c>
      <c r="FW140" s="209">
        <f>VLOOKUP(Tulemused!$BN$19,LOU,2,FALSE)-CS140</f>
        <v>33.311350490137769</v>
      </c>
      <c r="FX140" s="209">
        <f>VLOOKUP(Tulemused!$BN$20,PM_2.5,2,FALSE)-CR140</f>
        <v>9.2382481626003106</v>
      </c>
      <c r="FY140" s="209">
        <f>VLOOKUP(Tulemused!$BN$14,KHG_2050,2,FALSE)-EF140</f>
        <v>98.280115009362675</v>
      </c>
      <c r="FZ140" s="231" t="str">
        <f t="shared" ref="FZ140:FZ145" ca="1" si="128">IF((FJ140&lt;0)+(FK140="EI")+(FM140="EI")+(FN140&lt;0)+(FO140&lt;0)+(FP140&lt;0)+(FQ140&lt;0)+(FR140&lt;0)+(FS140&lt;0)+(FT140&lt;0)+(FU140&lt;0)+(FV140&lt;0)+(FW140&lt;0)+(FX140&lt;0)+(FY140&lt;0),"EI","JAH")</f>
        <v>JAH</v>
      </c>
      <c r="GA140" s="209"/>
      <c r="GB140" s="209"/>
      <c r="GC140" s="209"/>
      <c r="GD140" s="231"/>
      <c r="GE140" s="87">
        <f t="shared" si="99"/>
        <v>714</v>
      </c>
      <c r="GF140" s="232">
        <f t="shared" ref="GF140:GF145" ca="1" si="129">IF(FZ140="EI","",GE140)</f>
        <v>714</v>
      </c>
      <c r="GH140" s="238" t="e">
        <f t="shared" ca="1" si="100"/>
        <v>#NUM!</v>
      </c>
      <c r="GI140" s="87" t="e">
        <f t="array" aca="1" ref="GI140" ca="1">INDEX($A$11:$A$145, SMALL(IF(GH140=$GF$11:$GF$145, MATCH(ROW($GF$11:$GF$145), ROW($GF$11:$GF$145))), SUM(--(GH140=$GH$11:GH140))))</f>
        <v>#NUM!</v>
      </c>
      <c r="GM140" s="209">
        <f>IF(GM$7="X",VLOOKUP(GM$10,'VK-Hooned-Soojus'!$C:$X,2+$C140,FALSE),0)+IF(GM$6="X",VLOOKUP(GM$10,'VK-Transport'!$C:$X,2+$B140,0))+IF(GM$8="X",VLOOKUP(GM$10,'VK-Elekter'!$C:$X,2+$D140,0))+IF(GM$9="X",VLOOKUP(GM$10,'VK-Biokütused'!$C:$U,2+$E140,0))+IF(GM$5="X",VLOOKUP(GM$10,'VK-Põlevkivi'!$C:$X,2+$G140,0))+IF(GM$4="X",VLOOKUP(GM$10,'VK-Võrgud'!$C:$X,2+$F140,0))</f>
        <v>0</v>
      </c>
      <c r="GN140" s="209">
        <f>IF(GN$7="X",VLOOKUP(GN$10,'VK-Hooned-Soojus'!$C:$X,2+$C140,FALSE),0)+IF(GN$6="X",VLOOKUP(GN$10,'VK-Transport'!$C:$X,2+$B140,0))+IF(GN$8="X",VLOOKUP(GN$10,'VK-Elekter'!$C:$X,2+$D140,0))+IF(GN$9="X",VLOOKUP(GN$10,'VK-Biokütused'!$C:$U,2+$E140,0))+IF(GN$5="X",VLOOKUP(GN$10,'VK-Põlevkivi'!$C:$X,2+$G140,0))+IF(GN$4="X",VLOOKUP(GN$10,'VK-Võrgud'!$C:$X,2+$F140,0))</f>
        <v>7.5434676424145266</v>
      </c>
      <c r="GO140" s="209">
        <f>IF(GO$7="X",VLOOKUP(GO$10,'VK-Hooned-Soojus'!$C:$X,2+$C140,FALSE),0)+IF(GO$6="X",VLOOKUP(GO$10,'VK-Transport'!$C:$X,2+$B140,0))+IF(GO$8="X",VLOOKUP(GO$10,'VK-Elekter'!$C:$X,2+$D140,0))+IF(GO$9="X",VLOOKUP(GO$10,'VK-Biokütused'!$C:$U,2+$E140,0))+IF(GO$5="X",VLOOKUP(GO$10,'VK-Põlevkivi'!$C:$X,2+$G140,0))+IF(GO$4="X",VLOOKUP(GO$10,'VK-Võrgud'!$C:$X,2+$F140,0))</f>
        <v>7.5763700102722566</v>
      </c>
      <c r="GP140" s="209">
        <f>IF(GP$7="X",VLOOKUP(GP$10,'VK-Hooned-Soojus'!$C:$X,2+$C140,FALSE),0)+IF(GP$6="X",VLOOKUP(GP$10,'VK-Transport'!$C:$X,2+$B140,0))+IF(GP$8="X",VLOOKUP(GP$10,'VK-Elekter'!$C:$X,2+$D140,0))+IF(GP$9="X",VLOOKUP(GP$10,'VK-Biokütused'!$C:$U,2+$E140,0))+IF(GP$5="X",VLOOKUP(GP$10,'VK-Põlevkivi'!$C:$X,2+$G140,0))+IF(GP$4="X",VLOOKUP(GP$10,'VK-Võrgud'!$C:$X,2+$F140,0))</f>
        <v>8.9326558040707589</v>
      </c>
      <c r="GQ140" s="88">
        <f>IF(GQ$7="X",VLOOKUP(GQ$10,'VK-Hooned-Soojus'!$C:$X,2+$C140,FALSE),0)+IF(GQ$6="X",VLOOKUP(GQ$10,'VK-Transport'!$C:$X,2+$B140,0))+IF(GQ$8="X",VLOOKUP(GQ$10,'VK-Elekter'!$C:$X,2+$D140,0))+IF(GQ$9="X",VLOOKUP(GQ$10,'VK-Biokütused'!$C:$U,2+$E140,0))+IF(GQ$5="X",VLOOKUP(GQ$10,'VK-Põlevkivi'!$C:$X,2+$G140,0))+IF(GQ$4="X",VLOOKUP(GQ$10,'VK-Võrgud'!$C:$X,2+$F140,0))</f>
        <v>0.89042766952822527</v>
      </c>
      <c r="GR140" s="186">
        <f t="shared" ref="GR140:GR145" si="130">SUM(GN140,GP140,GQ140)/SUM(L140,M140)</f>
        <v>0.53542116451822219</v>
      </c>
    </row>
    <row r="141" spans="1:200" x14ac:dyDescent="0.2">
      <c r="A141" s="184">
        <v>131</v>
      </c>
      <c r="B141" s="87">
        <v>3</v>
      </c>
      <c r="C141" s="87">
        <v>3</v>
      </c>
      <c r="D141" s="87">
        <v>4</v>
      </c>
      <c r="E141" s="87">
        <v>2</v>
      </c>
      <c r="F141" s="87">
        <f>VLOOKUP(Tulemused!$BF$7,data!$J$6:$K$8,2,FALSE)</f>
        <v>2</v>
      </c>
      <c r="G141" s="87">
        <f>VLOOKUP(data!$H$2,data!$J$12:$K$14,2,FALSE)</f>
        <v>2</v>
      </c>
      <c r="I141" s="209">
        <f>IF(I$7="X",VLOOKUP(I$10,'VK-Hooned-Soojus'!$C:$X,2+$C141,FALSE),0)+IF(I$6="X",VLOOKUP(I$10,'VK-Transport'!$C:$X,2+$B141,0))+IF(I$8="X",VLOOKUP(I$10,'VK-Elekter'!$C:$X,2+$D141,0))+IF(I$9="X",VLOOKUP(I$10,'VK-Biokütused'!$C:$U,2+$E141,0))+IF(I$5="X",VLOOKUP(I$10,'VK-Põlevkivi'!$C:$X,2+$G141,0))+IF(I$4="X",VLOOKUP(I$10,'VK-Võrgud'!$C:$X,2+$F141,0))</f>
        <v>23.490000000000002</v>
      </c>
      <c r="J141" s="209">
        <f>IF(J$7="X",VLOOKUP(J$10,'VK-Hooned-Soojus'!$C:$X,2+$C141,FALSE),0)+IF(J$6="X",VLOOKUP(J$10,'VK-Transport'!$C:$X,2+$B141,0))+IF(J$8="X",VLOOKUP(J$10,'VK-Elekter'!$C:$X,2+$D141,0))+IF(J$9="X",VLOOKUP(J$10,'VK-Biokütused'!$C:$U,2+$E141,0))+IF(J$5="X",VLOOKUP(J$10,'VK-Põlevkivi'!$C:$X,2+$G141,0))+IF(J$4="X",VLOOKUP(J$10,'VK-Võrgud'!$C:$X,2+$F141,0))</f>
        <v>8.1258333333333344</v>
      </c>
      <c r="K141" s="209">
        <f>IF(K$7="X",VLOOKUP(K$10,'VK-Hooned-Soojus'!$C:$X,2+$C141,FALSE),0)+IF(K$6="X",VLOOKUP(K$10,'VK-Transport'!$C:$X,2+$B141,0))+IF(K$8="X",VLOOKUP(K$10,'VK-Elekter'!$C:$X,2+$D141,0))+IF(K$9="X",VLOOKUP(K$10,'VK-Biokütused'!$C:$U,2+$E141,0))+IF(K$5="X",VLOOKUP(K$10,'VK-Põlevkivi'!$C:$X,2+$G141,0))+IF(K$4="X",VLOOKUP(K$10,'VK-Võrgud'!$C:$X,2+$F141,0))</f>
        <v>13.780000000000001</v>
      </c>
      <c r="L141" s="209">
        <f>IF(L$7="X",VLOOKUP(L$10,'VK-Hooned-Soojus'!$C:$X,2+$C141,FALSE),0)+IF(L$6="X",VLOOKUP(L$10,'VK-Transport'!$C:$X,2+$B141,0))+IF(L$8="X",VLOOKUP(L$10,'VK-Elekter'!$C:$X,2+$D141,0))+IF(L$9="X",VLOOKUP(L$10,'VK-Biokütused'!$C:$U,2+$E141,0))+IF(L$5="X",VLOOKUP(L$10,'VK-Põlevkivi'!$C:$X,2+$G141,0))+IF(L$4="X",VLOOKUP(L$10,'VK-Võrgud'!$C:$X,2+$F141,0))</f>
        <v>23.75</v>
      </c>
      <c r="M141" s="209">
        <f>IF(M$7="X",VLOOKUP(M$10,'VK-Hooned-Soojus'!$C:$X,2+$C141,FALSE),0)+IF(M$6="X",VLOOKUP(M$10,'VK-Transport'!$C:$X,2+$B141,0))+IF(M$8="X",VLOOKUP(M$10,'VK-Elekter'!$C:$X,2+$D141,0))+IF(M$9="X",VLOOKUP(M$10,'VK-Biokütused'!$C:$U,2+$E141,0))+IF(M$5="X",VLOOKUP(M$10,'VK-Põlevkivi'!$C:$X,2+$G141,0))+IF(M$4="X",VLOOKUP(M$10,'VK-Võrgud'!$C:$X,2+$F141,0))</f>
        <v>8.68530937302436</v>
      </c>
      <c r="N141" s="209">
        <f>IF(N$7="X",VLOOKUP(N$10,'VK-Hooned-Soojus'!$C:$X,2+$C141,FALSE),0)+IF(N$6="X",VLOOKUP(N$10,'VK-Transport'!$C:$X,2+$B141,0))+IF(N$8="X",VLOOKUP(N$10,'VK-Elekter'!$C:$X,2+$D141,0))+IF(N$9="X",VLOOKUP(N$10,'VK-Biokütused'!$C:$U,2+$E141,0))+IF(N$5="X",VLOOKUP(N$10,'VK-Põlevkivi'!$C:$X,2+$G141,0))+IF(N$4="X",VLOOKUP(N$10,'VK-Võrgud'!$C:$X,2+$F141,0))</f>
        <v>15.25</v>
      </c>
      <c r="O141" s="209">
        <f t="shared" si="101"/>
        <v>31.615833333333335</v>
      </c>
      <c r="P141" s="209"/>
      <c r="Q141" s="209">
        <f>(IF(Q$7="X",VLOOKUP(Q$10,'VK-Hooned-Soojus'!$C:$X,2+$C141,FALSE),0)+IF(Q$6="X",VLOOKUP(Q$10,'VK-Transport'!$C:$X,2+$B141,0))+IF(Q$8="X",VLOOKUP(Q$10,'VK-Elekter'!$C:$X,2+$D141,0))+IF(Q$9="X",VLOOKUP(Q$10,'VK-Biokütused'!$C:$U,2+$E141,0))+IF(Q$5="X",VLOOKUP(Q$10,'VK-Põlevkivi'!$C:$X,2+$G141,0))+IF(Q$4="X",VLOOKUP(Q$10,'VK-Võrgud'!$C:$X,2+$F141,0)))/1000</f>
        <v>1.177</v>
      </c>
      <c r="R141" s="209">
        <f>(IF(R$7="X",VLOOKUP(R$10,'VK-Hooned-Soojus'!$C:$X,2+$C141,FALSE),0)+IF(R$6="X",VLOOKUP(R$10,'VK-Transport'!$C:$X,2+$B141,0))+IF(R$8="X",VLOOKUP(R$10,'VK-Elekter'!$C:$X,2+$D141,0))+IF(R$9="X",VLOOKUP(R$10,'VK-Biokütused'!$C:$U,2+$E141,0))+IF(R$5="X",VLOOKUP(R$10,'VK-Põlevkivi'!$C:$X,2+$G141,0))+IF(R$4="X",VLOOKUP(R$10,'VK-Võrgud'!$C:$X,2+$F141,0)))/1000</f>
        <v>1.4153849906373199</v>
      </c>
      <c r="S141" s="226">
        <f>VLOOKUP(S$10,'VK-Hooned-Soojus'!$C:$I,2+$C141,FALSE) + VLOOKUP(S$10,'VK-Transport'!$C:$I,2+$B141,FALSE)+ VLOOKUP(S$10,'VK-Biokütused'!$C:$G,2+$E141,FALSE)+ VLOOKUP(S$10,'VK-Elekter'!$C:$I,2+$D141,FALSE)+ VLOOKUP(S$10,'VK-Põlevkivi'!$C:$I,2+$G141,FALSE)+ VLOOKUP(S$10,'VK-Võrgud'!$C:$I,2+$F141,FALSE)</f>
        <v>1.9523373776371703E-2</v>
      </c>
      <c r="T141" s="226">
        <f>VLOOKUP(T$10,'VK-Hooned-Soojus'!$C:$I,2+$C141,FALSE) + VLOOKUP(T$10,'VK-Transport'!$C:$I,2+$B141,FALSE)+ VLOOKUP(T$10,'VK-Biokütused'!$C:$G,2+$E141,FALSE)+ VLOOKUP(T$10,'VK-Elekter'!$C:$I,2+$D141,FALSE)+ VLOOKUP(T$10,'VK-Põlevkivi'!$C:$I,2+$G141,FALSE)+ VLOOKUP(T$10,'VK-Võrgud'!$C:$I,2+$F141,FALSE)</f>
        <v>3.1968664093014101E-3</v>
      </c>
      <c r="U141" s="226">
        <f>VLOOKUP(U$10,'VK-Hooned-Soojus'!$C:$I,2+$C141,FALSE) + VLOOKUP(U$10,'VK-Transport'!$C:$I,2+$B141,FALSE)+ VLOOKUP(U$10,'VK-Biokütused'!$C:$G,2+$E141,FALSE)+ VLOOKUP(U$10,'VK-Elekter'!$C:$I,2+$D141,FALSE)+ VLOOKUP(U$10,'VK-Põlevkivi'!$C:$I,2+$G141,FALSE)+ VLOOKUP(U$10,'VK-Võrgud'!$C:$I,2+$F141,FALSE)</f>
        <v>3.1301767945774717E-3</v>
      </c>
      <c r="V141" s="226">
        <f>VLOOKUP(V$10,'VK-Hooned-Soojus'!$C:$I,2+$C141,FALSE) + VLOOKUP(V$10,'VK-Transport'!$C:$I,2+$B141,FALSE)+ VLOOKUP(V$10,'VK-Biokütused'!$C:$G,2+$E141,FALSE)+ VLOOKUP(V$10,'VK-Elekter'!$C:$I,2+$D141,FALSE)+ VLOOKUP(V$10,'VK-Põlevkivi'!$C:$I,2+$G141,FALSE)+ VLOOKUP(V$10,'VK-Võrgud'!$C:$I,2+$F141,FALSE)</f>
        <v>1.6525135283015201E-2</v>
      </c>
      <c r="W141" s="226">
        <f>VLOOKUP(W$10,'VK-Hooned-Soojus'!$C:$I,2+$C141,FALSE) + VLOOKUP(W$10,'VK-Transport'!$C:$I,2+$B141,FALSE)+ VLOOKUP(W$10,'VK-Biokütused'!$C:$G,2+$E141,FALSE)+ VLOOKUP(W$10,'VK-Elekter'!$C:$I,2+$D141,FALSE)+ VLOOKUP(W$10,'VK-Põlevkivi'!$C:$I,2+$G141,FALSE)+ VLOOKUP(W$10,'VK-Võrgud'!$C:$I,2+$F141,FALSE)</f>
        <v>-6.9057797429017853E-2</v>
      </c>
      <c r="X141" s="226">
        <f>VLOOKUP(X$10,'VK-Hooned-Soojus'!$C:$I,2+$C141,FALSE) + VLOOKUP(X$10,'VK-Transport'!$C:$I,2+$B141,FALSE)+ VLOOKUP(X$10,'VK-Biokütused'!$C:$G,2+$E141,FALSE)+ VLOOKUP(X$10,'VK-Elekter'!$C:$I,2+$D141,FALSE)+ VLOOKUP(X$10,'VK-Põlevkivi'!$C:$I,2+$G141,FALSE)+ VLOOKUP(X$10,'VK-Võrgud'!$C:$I,2+$F141,FALSE)</f>
        <v>-0.19833177977333061</v>
      </c>
      <c r="Y141" s="226">
        <f>VLOOKUP(Y$10,'VK-Hooned-Soojus'!$C:$I,2+$C141,FALSE) + VLOOKUP(Y$10,'VK-Transport'!$C:$I,2+$B141,FALSE)+ VLOOKUP(Y$10,'VK-Biokütused'!$C:$G,2+$E141,FALSE)+ VLOOKUP(Y$10,'VK-Elekter'!$C:$I,2+$D141,FALSE)+ VLOOKUP(Y$10,'VK-Põlevkivi'!$C:$I,2+$G141,FALSE)+ VLOOKUP(Y$10,'VK-Võrgud'!$C:$I,2+$F141,FALSE)</f>
        <v>-0.13101783945164222</v>
      </c>
      <c r="Z141" s="227">
        <f>(S141*Tulemused!$Q$9*10+T141*Tulemused!$Q$10*10+KOMBI!U141*Tulemused!$Q$11*10+KOMBI!V141*Tulemused!$Q$12*10)*Tulemused!$Q$8+-(W141*Tulemused!$Q$14*10+KOMBI!X141*Tulemused!$Q$15*10+KOMBI!Y141*Tulemused!$Q$16*10)*Tulemused!$Q$13</f>
        <v>11.131980127717581</v>
      </c>
      <c r="AA141" s="228">
        <f>(IF(AA$7="X",VLOOKUP(AA$10,'VK-Hooned-Soojus'!$C:$X,2+$C141,FALSE),0)+IF(AA$6="X",VLOOKUP(AA$10,'VK-Transport'!$C:$X,2+$B141,0))+IF(AA$8="X",VLOOKUP(AA$10,'VK-Elekter'!$C:$X,2+$D141,0))+IF(AA$9="X",VLOOKUP(AA$10,'VK-Biokütused'!$C:$U,2+$E141,0))+IF(AA$5="X",VLOOKUP(AA$10,'VK-Põlevkivi'!$C:$X,2+$G141,0))+IF(AA$4="X",VLOOKUP(AA$10,'VK-Võrgud'!$C:$X,2+$F141,0)))</f>
        <v>0</v>
      </c>
      <c r="AB141" s="228">
        <f>(IF(AB$7="X",VLOOKUP(AB$10,'VK-Hooned-Soojus'!$C:$X,2+$C141,FALSE),0)+IF(AB$6="X",VLOOKUP(AB$10,'VK-Transport'!$C:$X,2+$B141,0))+IF(AB$8="X",VLOOKUP(AB$10,'VK-Elekter'!$C:$X,2+$D141,0))+IF(AB$9="X",VLOOKUP(AB$10,'VK-Biokütused'!$C:$U,2+$E141,0))+IF(AB$5="X",VLOOKUP(AB$10,'VK-Põlevkivi'!$C:$X,2+$G141,0))+IF(AB$4="X",VLOOKUP(AB$10,'VK-Võrgud'!$C:$X,2+$F141,0)))</f>
        <v>1177</v>
      </c>
      <c r="AC141" s="228">
        <f>(IF(AC$7="X",VLOOKUP(AC$10,'VK-Hooned-Soojus'!$C:$X,2+$C141,FALSE),0)+IF(AC$6="X",VLOOKUP(AC$10,'VK-Transport'!$C:$X,2+$B141,0))+IF(AC$8="X",VLOOKUP(AC$10,'VK-Elekter'!$C:$X,2+$D141,0))+IF(AC$9="X",VLOOKUP(AC$10,'VK-Biokütused'!$C:$U,2+$E141,0))+IF(AC$5="X",VLOOKUP(AC$10,'VK-Põlevkivi'!$C:$X,2+$G141,0))+IF(AC$4="X",VLOOKUP(AC$10,'VK-Võrgud'!$C:$X,2+$F141,0)))</f>
        <v>2346</v>
      </c>
      <c r="AD141" s="228">
        <f>(IF(AD$7="X",VLOOKUP(AD$10,'VK-Hooned-Soojus'!$C:$X,2+$C141,FALSE),0)+IF(AD$6="X",VLOOKUP(AD$10,'VK-Transport'!$C:$X,2+$B141,0))+IF(AD$8="X",VLOOKUP(AD$10,'VK-Elekter'!$C:$X,2+$D141,0))+IF(AD$9="X",VLOOKUP(AD$10,'VK-Biokütused'!$C:$U,2+$E141,0))+IF(AD$5="X",VLOOKUP(AD$10,'VK-Põlevkivi'!$C:$X,2+$G141,0))+IF(AD$4="X",VLOOKUP(AD$10,'VK-Võrgud'!$C:$X,2+$F141,0)))</f>
        <v>377.5</v>
      </c>
      <c r="AE141" s="228">
        <f>(IF(AE$7="X",VLOOKUP(AE$10,'VK-Hooned-Soojus'!$C:$X,2+$C141,FALSE),0)+IF(AE$6="X",VLOOKUP(AE$10,'VK-Transport'!$C:$X,2+$B141,0))+IF(AE$8="X",VLOOKUP(AE$10,'VK-Elekter'!$C:$X,2+$D141,0))+IF(AE$9="X",VLOOKUP(AE$10,'VK-Biokütused'!$C:$U,2+$E141,0))+IF(AE$5="X",VLOOKUP(AE$10,'VK-Põlevkivi'!$C:$X,2+$G141,0))+IF(AE$4="X",VLOOKUP(AE$10,'VK-Võrgud'!$C:$X,2+$F141,0)))</f>
        <v>507</v>
      </c>
      <c r="AF141" s="228">
        <f>(IF(AF$7="X",VLOOKUP(AF$10,'VK-Hooned-Soojus'!$C:$X,2+$C141,FALSE),0)+IF(AF$6="X",VLOOKUP(AF$10,'VK-Transport'!$C:$X,2+$B141,0))+IF(AF$8="X",VLOOKUP(AF$10,'VK-Elekter'!$C:$X,2+$D141,0))+IF(AF$9="X",VLOOKUP(AF$10,'VK-Biokütused'!$C:$U,2+$E141,0))+IF(AF$5="X",VLOOKUP(AF$10,'VK-Põlevkivi'!$C:$X,2+$G141,0))+IF(AF$4="X",VLOOKUP(AF$10,'VK-Võrgud'!$C:$X,2+$F141,0)))</f>
        <v>530.88499063732002</v>
      </c>
      <c r="AG141" s="209"/>
      <c r="AH141" s="209">
        <f>IF(AH$7="X",VLOOKUP(AH$10,'VK-Hooned-Soojus'!$C:$X,2+$C141,FALSE),0)+IF(AH$6="X",VLOOKUP(AH$10,'VK-Transport'!$C:$X,2+$B141,0))+IF(AH$8="X",VLOOKUP(AH$10,'VK-Elekter'!$C:$X,2+$D141,0))+IF(AH$9="X",VLOOKUP(AH$10,'VK-Biokütused'!$C:$U,2+$E141,0))+IF(AH$5="X",VLOOKUP(AH$10,'VK-Põlevkivi'!$C:$X,2+$G141,0))+IF(AH$4="X",VLOOKUP(AH$10,'VK-Võrgud'!$C:$X,2+$F141,0))</f>
        <v>0</v>
      </c>
      <c r="AI141" s="209">
        <f>IF(AI$7="X",VLOOKUP(AI$10,'VK-Hooned-Soojus'!$C:$X,2+$C141,FALSE),0)+IF(AI$6="X",VLOOKUP(AI$10,'VK-Transport'!$C:$X,2+$B141,0))+IF(AI$8="X",VLOOKUP(AI$10,'VK-Elekter'!$C:$X,2+$D141,0))+IF(AI$9="X",VLOOKUP(AI$10,'VK-Biokütused'!$C:$U,2+$E141,0))+IF(AI$5="X",VLOOKUP(AI$10,'VK-Põlevkivi'!$C:$X,2+$G141,0))+IF(AI$4="X",VLOOKUP(AI$10,'VK-Võrgud'!$C:$X,2+$F141,0))</f>
        <v>11.489999999999998</v>
      </c>
      <c r="AJ141" s="209">
        <f>IF(AJ$7="X",VLOOKUP(AJ$10,'VK-Hooned-Soojus'!$C:$X,2+$C141,FALSE),0)+IF(AJ$6="X",VLOOKUP(AJ$10,'VK-Transport'!$C:$X,2+$B141,0))+IF(AJ$8="X",VLOOKUP(AJ$10,'VK-Elekter'!$C:$X,2+$D141,0))+IF(AJ$9="X",VLOOKUP(AJ$10,'VK-Biokütused'!$C:$U,2+$E141,0))+IF(AJ$5="X",VLOOKUP(AJ$10,'VK-Põlevkivi'!$C:$X,2+$G141,0))+IF(AJ$4="X",VLOOKUP(AJ$10,'VK-Võrgud'!$C:$X,2+$F141,0))</f>
        <v>0</v>
      </c>
      <c r="AK141" s="209">
        <f>IF(AK$7="X",VLOOKUP(AK$10,'VK-Hooned-Soojus'!$C:$X,2+$C141,FALSE),0)+IF(AK$6="X",VLOOKUP(AK$10,'VK-Transport'!$C:$X,2+$B141,0))+IF(AK$8="X",VLOOKUP(AK$10,'VK-Elekter'!$C:$X,2+$D141,0))+IF(AK$9="X",VLOOKUP(AK$10,'VK-Biokütused'!$C:$U,2+$E141,0))+IF(AK$5="X",VLOOKUP(AK$10,'VK-Põlevkivi'!$C:$X,2+$G141,0))+IF(AK$4="X",VLOOKUP(AK$10,'VK-Võrgud'!$C:$X,2+$F141,0))</f>
        <v>3.65</v>
      </c>
      <c r="AL141" s="209">
        <f>IF(AL$7="X",VLOOKUP(AL$10,'VK-Hooned-Soojus'!$C:$X,2+$C141,FALSE),0)+IF(AL$6="X",VLOOKUP(AL$10,'VK-Transport'!$C:$X,2+$B141,0))+IF(AL$8="X",VLOOKUP(AL$10,'VK-Elekter'!$C:$X,2+$D141,0))+IF(AL$9="X",VLOOKUP(AL$10,'VK-Biokütused'!$C:$U,2+$E141,0))+IF(AL$5="X",VLOOKUP(AL$10,'VK-Põlevkivi'!$C:$X,2+$G141,0))+IF(AL$4="X",VLOOKUP(AL$10,'VK-Võrgud'!$C:$X,2+$F141,0))</f>
        <v>7.1</v>
      </c>
      <c r="AM141" s="209">
        <f>IF(AM$7="X",VLOOKUP(AM$10,'VK-Hooned-Soojus'!$C:$X,2+$C141,FALSE),0)+IF(AM$6="X",VLOOKUP(AM$10,'VK-Transport'!$C:$X,2+$B141,0))+IF(AM$8="X",VLOOKUP(AM$10,'VK-Elekter'!$C:$X,2+$D141,0))+IF(AM$9="X",VLOOKUP(AM$10,'VK-Biokütused'!$C:$U,2+$E141,0))+IF(AM$5="X",VLOOKUP(AM$10,'VK-Põlevkivi'!$C:$X,2+$G141,0))+IF(AM$4="X",VLOOKUP(AM$10,'VK-Võrgud'!$C:$X,2+$F141,0))</f>
        <v>11.5</v>
      </c>
      <c r="AN141" s="209">
        <f>IF(AN$7="X",VLOOKUP(AN$10,'VK-Hooned-Soojus'!$C:$X,2+$C141,FALSE),0)+IF(AN$6="X",VLOOKUP(AN$10,'VK-Transport'!$C:$X,2+$B141,0))+IF(AN$8="X",VLOOKUP(AN$10,'VK-Elekter'!$C:$X,2+$D141,0))+IF(AN$9="X",VLOOKUP(AN$10,'VK-Biokütused'!$C:$U,2+$E141,0))+IF(AN$5="X",VLOOKUP(AN$10,'VK-Põlevkivi'!$C:$X,2+$G141,0))+IF(AN$4="X",VLOOKUP(AN$10,'VK-Võrgud'!$C:$X,2+$F141,0))</f>
        <v>4.0999999999999996</v>
      </c>
      <c r="AO141" s="209">
        <f>IF(AO$7="X",VLOOKUP(AO$10,'VK-Hooned-Soojus'!$C:$X,2+$C141,FALSE),0)+IF(AO$6="X",VLOOKUP(AO$10,'VK-Transport'!$C:$X,2+$B141,0))+IF(AO$8="X",VLOOKUP(AO$10,'VK-Elekter'!$C:$X,2+$D141,0))+IF(AO$9="X",VLOOKUP(AO$10,'VK-Biokütused'!$C:$U,2+$E141,0))+IF(AO$5="X",VLOOKUP(AO$10,'VK-Põlevkivi'!$C:$X,2+$G141,0))+IF(AO$4="X",VLOOKUP(AO$10,'VK-Võrgud'!$C:$X,2+$F141,0))</f>
        <v>21.34</v>
      </c>
      <c r="AP141" s="209">
        <f>IF(AP$7="X",VLOOKUP(AP$10,'VK-Hooned-Soojus'!$C:$X,2+$C141,FALSE),0)+IF(AP$6="X",VLOOKUP(AP$10,'VK-Transport'!$C:$X,2+$B141,0))+IF(AP$8="X",VLOOKUP(AP$10,'VK-Elekter'!$C:$X,2+$D141,0))+IF(AP$9="X",VLOOKUP(AP$10,'VK-Biokütused'!$C:$U,2+$E141,0))+IF(AP$5="X",VLOOKUP(AP$10,'VK-Põlevkivi'!$C:$X,2+$G141,0))+IF(AP$4="X",VLOOKUP(AP$10,'VK-Võrgud'!$C:$X,2+$F141,0))</f>
        <v>10.67</v>
      </c>
      <c r="AQ141" s="320">
        <f t="shared" si="102"/>
        <v>9.0399999999999991</v>
      </c>
      <c r="AR141" s="209">
        <f>IF(AR$7="X",VLOOKUP(AR$10,'VK-Hooned-Soojus'!$C:$X,2+$C141,FALSE),0)+IF(AR$6="X",VLOOKUP(AR$10,'VK-Transport'!$C:$X,2+$B141,0))+IF(AR$8="X",VLOOKUP(AR$10,'VK-Elekter'!$C:$X,2+$D141,0))+IF(AR$9="X",VLOOKUP(AR$10,'VK-Biokütused'!$C:$U,2+$E141,0))+IF(AR$5="X",VLOOKUP(AR$10,'VK-Põlevkivi'!$C:$X,2+$G141,0))+IF(AR$4="X",VLOOKUP(AR$10,'VK-Võrgud'!$C:$X,2+$F141,0))</f>
        <v>0</v>
      </c>
      <c r="AS141" s="320">
        <f>VLOOKUP("Kütuste tarbimine @ 2030 - UTTEGAAS",'VK-Hooned-Soojus'!$C:$X,2+$C141,FALSE)/0.172+VLOOKUP("Kütuste tarbimine @ 2030 - UTTEGAAS",'VK-Elekter'!$C:$X,2+$D141,FALSE)/0.172-AR141-AU141</f>
        <v>0</v>
      </c>
      <c r="AT141" s="209">
        <f>IF(AT$7="X",VLOOKUP(AT$10,'VK-Hooned-Soojus'!$C:$X,2+$C141,FALSE),0)+IF(AT$6="X",VLOOKUP(AT$10,'VK-Transport'!$C:$X,2+$B141,0))+IF(AT$8="X",VLOOKUP(AT$10,'VK-Elekter'!$C:$X,2+$D141,0))+IF(AT$9="X",VLOOKUP(AT$10,'VK-Biokütused'!$C:$U,2+$E141,0))+IF(AT$5="X",VLOOKUP(AT$10,'VK-Põlevkivi'!$C:$X,2+$G141,0))+IF(AT$4="X",VLOOKUP(AT$10,'VK-Võrgud'!$C:$X,2+$F141,0))</f>
        <v>5.7045296564339489</v>
      </c>
      <c r="AU141" s="229">
        <f>MAX(0,(VLOOKUP("Kütuste tarbimine @ 2030 - UTTEGAAS",'VK-Hooned-Soojus'!$C:$X,2+$C141,FALSE)/0.172+VLOOKUP("Kütuste tarbimine @ 2030 - UTTEGAAS",'VK-Elekter'!$C:$X,2+$D141,FALSE)/0.172)*0.52-VLOOKUP("Kütuste tarbimine @ 2030 - PÕLEVKIVIÕLI",'VK-Hooned-Soojus'!$C:$X,2+$C141,FALSE))</f>
        <v>0</v>
      </c>
      <c r="AV141" s="209">
        <f>IF(AV$7="X",VLOOKUP(AV$10,'VK-Hooned-Soojus'!$C:$X,2+$C141,FALSE),0)+IF(AV$6="X",VLOOKUP(AV$10,'VK-Transport'!$C:$X,2+$B141,0))+IF(AV$8="X",VLOOKUP(AV$10,'VK-Elekter'!$C:$X,2+$D141,0))+IF(AV$9="X",VLOOKUP(AV$10,'VK-Biokütused'!$C:$U,2+$E141,0))+IF(AV$5="X",VLOOKUP(AV$10,'VK-Põlevkivi'!$C:$X,2+$G141,0))+IF(AV$4="X",VLOOKUP(AV$10,'VK-Võrgud'!$C:$X,2+$F141,0))</f>
        <v>2.1219844082566364</v>
      </c>
      <c r="AW141" s="209">
        <f>IF(AW$7="X",VLOOKUP(AW$10,'VK-Hooned-Soojus'!$C:$X,2+$C141,FALSE),0)+IF(AW$6="X",VLOOKUP(AW$10,'VK-Transport'!$C:$X,2+$B141,0))+IF(AW$8="X",VLOOKUP(AW$10,'VK-Elekter'!$C:$X,2+$D141,0))+IF(AW$9="X",VLOOKUP(AW$10,'VK-Biokütused'!$C:$U,2+$E141,0))+IF(AW$5="X",VLOOKUP(AW$10,'VK-Põlevkivi'!$C:$X,2+$G141,0))+IF(AW$4="X",VLOOKUP(AW$10,'VK-Võrgud'!$C:$X,2+$F141,0))</f>
        <v>2.141</v>
      </c>
      <c r="AX141" s="229">
        <f t="shared" si="103"/>
        <v>1.9015591743363647E-2</v>
      </c>
      <c r="AY141" s="229">
        <f t="shared" si="104"/>
        <v>0</v>
      </c>
      <c r="AZ141" s="230">
        <f t="shared" si="105"/>
        <v>0.57876561984549779</v>
      </c>
      <c r="BA141" s="209">
        <f>IF(BA$7="X",VLOOKUP(BA$10,'VK-Hooned-Soojus'!$C:$X,2+$C141,FALSE),0)+IF(BA$6="X",VLOOKUP(BA$10,'VK-Transport'!$C:$X,2+$B141,0))+IF(BA$8="X",VLOOKUP(BA$10,'VK-Elekter'!$C:$X,2+$D141,0))+IF(BA$9="X",VLOOKUP(BA$10,'VK-Biokütused'!$C:$U,2+$E141,0))+IF(BA$5="X",VLOOKUP(BA$10,'VK-Põlevkivi'!$C:$X,2+$G141,0))+IF(BA$4="X",VLOOKUP(BA$10,'VK-Võrgud'!$C:$X,2+$F141,0))</f>
        <v>0</v>
      </c>
      <c r="BB141" s="209">
        <f>IF(BB$7="X",VLOOKUP(BB$10,'VK-Hooned-Soojus'!$C:$X,2+$C141,FALSE),0)+IF(BB$6="X",VLOOKUP(BB$10,'VK-Transport'!$C:$X,2+$B141,0))+IF(BB$8="X",VLOOKUP(BB$10,'VK-Elekter'!$C:$X,2+$D141,0))+IF(BB$9="X",VLOOKUP(BB$10,'VK-Biokütused'!$C:$U,2+$E141,0))+IF(BB$5="X",VLOOKUP(BB$10,'VK-Põlevkivi'!$C:$X,2+$G141,0))+IF(BB$4="X",VLOOKUP(BB$10,'VK-Võrgud'!$C:$X,2+$F141,0))</f>
        <v>6.32</v>
      </c>
      <c r="BC141" s="209">
        <f>IF(BC$7="X",VLOOKUP(BC$10,'VK-Hooned-Soojus'!$C:$X,2+$C141,FALSE),0)+IF(BC$6="X",VLOOKUP(BC$10,'VK-Transport'!$C:$X,2+$B141,0))+IF(BC$8="X",VLOOKUP(BC$10,'VK-Elekter'!$C:$X,2+$D141,0))+IF(BC$9="X",VLOOKUP(BC$10,'VK-Biokütused'!$C:$U,2+$E141,0))+IF(BC$5="X",VLOOKUP(BC$10,'VK-Põlevkivi'!$C:$X,2+$G141,0))+IF(BC$4="X",VLOOKUP(BC$10,'VK-Võrgud'!$C:$X,2+$F141,0))</f>
        <v>5.2376666666666667</v>
      </c>
      <c r="BD141" s="209">
        <f>IF(BD$7="X",VLOOKUP(BD$10,'VK-Hooned-Soojus'!$C:$X,2+$C141,FALSE),0)+IF(BD$6="X",VLOOKUP(BD$10,'VK-Transport'!$C:$X,2+$B141,0))+IF(BD$8="X",VLOOKUP(BD$10,'VK-Elekter'!$C:$X,2+$D141,0))+IF(BD$9="X",VLOOKUP(BD$10,'VK-Biokütused'!$C:$U,2+$E141,0))+IF(BD$5="X",VLOOKUP(BD$10,'VK-Põlevkivi'!$C:$X,2+$G141,0))+IF(BD$4="X",VLOOKUP(BD$10,'VK-Võrgud'!$C:$X,2+$F141,0))</f>
        <v>9.1105555555555569</v>
      </c>
      <c r="BE141" s="230"/>
      <c r="BF141" s="229">
        <f t="shared" si="106"/>
        <v>0.64611056303807113</v>
      </c>
      <c r="BG141" s="209" t="e">
        <f>(IF(BG$7="X",VLOOKUP(BG$10,'VK-Hooned-Soojus'!$C:$X,2+$C141,FALSE),0)+IF(BG$6="X",VLOOKUP(BG$10,'VK-Transport'!$C:$X,2+$B141,0))+IF(BG$8="X",VLOOKUP(BG$10,'VK-Elekter'!$C:$X,2+$D141,0))+IF(BG$9="X",VLOOKUP(BG$10,'VK-Biokütused'!$C:$U,2+$E141,0))+IF(BG$5="X",VLOOKUP(BG$10,'VK-Põlevkivi'!$C:$X,2+$G141,0))+IF(BG$4="X",VLOOKUP(BG$10,'VK-Võrgud'!$C:$X,2+$F141,0)))/20</f>
        <v>#N/A</v>
      </c>
      <c r="BH141" s="209">
        <f>(IF(BH$7="X",VLOOKUP(BH$10,'VK-Hooned-Soojus'!$C:$X,2+$C141,FALSE),0)+IF(BH$6="X",VLOOKUP(BH$10,'VK-Transport'!$C:$X,2+$B141,0))+IF(BH$8="X",VLOOKUP(BH$10,'VK-Elekter'!$C:$X,2+$D141,0))+IF(BH$9="X",VLOOKUP(BH$10,'VK-Biokütused'!$C:$U,2+$E141,0))+IF(BH$5="X",VLOOKUP(BH$10,'VK-Põlevkivi'!$C:$X,2+$G141,0))+IF(BH$4="X",VLOOKUP(BH$10,'VK-Võrgud'!$C:$X,2+$F141,0)))/20</f>
        <v>84.204999999999998</v>
      </c>
      <c r="BI141" s="209">
        <f>(IF(BI$7="X",VLOOKUP(BI$10,'VK-Hooned-Soojus'!$C:$X,2+$C141,FALSE),0)+IF(BI$6="X",VLOOKUP(BI$10,'VK-Transport'!$C:$X,2+$B141,0))+IF(BI$8="X",VLOOKUP(BI$10,'VK-Elekter'!$C:$X,2+$D141,0))+IF(BI$9="X",VLOOKUP(BI$10,'VK-Biokütused'!$C:$U,2+$E141,0))+IF(BI$5="X",VLOOKUP(BI$10,'VK-Põlevkivi'!$C:$X,2+$G141,0))+IF(BI$4="X",VLOOKUP(BI$10,'VK-Võrgud'!$C:$X,2+$F141,0)))/16</f>
        <v>8.9375</v>
      </c>
      <c r="BJ141" s="209">
        <f>(IF(BJ$7="X",VLOOKUP(BJ$10,'VK-Hooned-Soojus'!$C:$X,2+$C141,FALSE),0)+IF(BJ$6="X",VLOOKUP(BJ$10,'VK-Transport'!$C:$X,2+$B141,0))+IF(BJ$8="X",VLOOKUP(BJ$10,'VK-Elekter'!$C:$X,2+$D141,0))+IF(BJ$9="X",VLOOKUP(BJ$10,'VK-Biokütused'!$C:$U,2+$E141,0))+IF(BJ$5="X",VLOOKUP(BJ$10,'VK-Põlevkivi'!$C:$X,2+$G141,0))+IF(BJ$4="X",VLOOKUP(BJ$10,'VK-Võrgud'!$C:$X,2+$F141,0)))/20</f>
        <v>5.33</v>
      </c>
      <c r="BK141" s="209"/>
      <c r="BL141" s="209"/>
      <c r="BM141" s="209"/>
      <c r="BN141" s="209" t="e">
        <f>(IF(BN$7="X",VLOOKUP(BN$10,'VK-Hooned-Soojus'!$C:$X,2+$C141,FALSE),0)+IF(BN$6="X",VLOOKUP(BN$10,'VK-Transport'!$C:$X,2+$B141,0))+IF(BN$8="X",VLOOKUP(BN$10,'VK-Elekter'!$C:$X,2+$D141,0))+IF(BN$9="X",VLOOKUP(BN$10,'VK-Biokütused'!$C:$U,2+$E141,0))+IF(BN$5="X",VLOOKUP(BN$10,'VK-Põlevkivi'!$C:$X,2+$G141,0))+IF(BN$4="X",VLOOKUP(BN$10,'VK-Võrgud'!$C:$X,2+$F141,0)))/16</f>
        <v>#N/A</v>
      </c>
      <c r="BO141" s="209">
        <f>(IF(BO$7="X",VLOOKUP(BO$10,'VK-Hooned-Soojus'!$C:$X,2+$C141,FALSE),0)+IF(BO$6="X",VLOOKUP(BO$10,'VK-Transport'!$C:$X,2+$B141,0))+IF(BO$8="X",VLOOKUP(BO$10,'VK-Elekter'!$C:$X,2+$D141,0))+IF(BO$9="X",VLOOKUP(BO$10,'VK-Biokütused'!$C:$U,2+$E141,0))+IF(BO$5="X",VLOOKUP(BO$10,'VK-Põlevkivi'!$C:$X,2+$G141,0))+IF(BO$4="X",VLOOKUP(BO$10,'VK-Võrgud'!$C:$X,2+$F141,0)))/16</f>
        <v>322.79374999999999</v>
      </c>
      <c r="BP141" s="209"/>
      <c r="BQ141" s="209">
        <f>(IF(BQ$7="X",VLOOKUP(BQ$10,'VK-Hooned-Soojus'!$C:$X,2+$C141,FALSE),0)+IF(BQ$6="X",VLOOKUP(BQ$10,'VK-Transport'!$C:$X,2+$B141,0))+IF(BQ$8="X",VLOOKUP(BQ$10,'VK-Elekter'!$C:$X,2+$D141,0))+IF(BQ$9="X",VLOOKUP(BQ$10,'VK-Biokütused'!$C:$U,2+$E141,0))+IF(BQ$5="X",VLOOKUP(BQ$10,'VK-Põlevkivi'!$C:$X,2+$G141,0))+IF(BQ$4="X",VLOOKUP(BQ$10,'VK-Võrgud'!$C:$X,2+$F141,0)))/16</f>
        <v>233.20625000000001</v>
      </c>
      <c r="BR141" s="209">
        <f>(IF(BR$7="X",VLOOKUP(BR$10,'VK-Hooned-Soojus'!$C:$X,2+$C141,FALSE),0)+IF(BR$6="X",VLOOKUP(BR$10,'VK-Transport'!$C:$X,2+$B141,0))+IF(BR$8="X",VLOOKUP(BR$10,'VK-Elekter'!$C:$X,2+$D141,0))+IF(BR$9="X",VLOOKUP(BR$10,'VK-Biokütused'!$C:$U,2+$E141,0))+IF(BR$5="X",VLOOKUP(BR$10,'VK-Põlevkivi'!$C:$X,2+$G141,0))+IF(BR$4="X",VLOOKUP(BR$10,'VK-Võrgud'!$C:$X,2+$F141,0)))/16</f>
        <v>74.512500000000003</v>
      </c>
      <c r="BS141" s="209">
        <f>(IF(BS$7="X",VLOOKUP(BS$10,'VK-Hooned-Soojus'!$C:$X,2+$C141,FALSE),0)+IF(BS$6="X",VLOOKUP(BS$10,'VK-Transport'!$C:$X,2+$B141,0))+IF(BS$8="X",VLOOKUP(BS$10,'VK-Elekter'!$C:$X,2+$D141,0))+IF(BS$9="X",VLOOKUP(BS$10,'VK-Biokütused'!$C:$U,2+$E141,0))+IF(BS$5="X",VLOOKUP(BS$10,'VK-Põlevkivi'!$C:$X,2+$G141,0))+IF(BS$4="X",VLOOKUP(BS$10,'VK-Võrgud'!$C:$X,2+$F141,0)))/16</f>
        <v>-21.475000000000001</v>
      </c>
      <c r="BT141" s="209"/>
      <c r="BU141" s="209"/>
      <c r="BV141" s="209">
        <f>(IF(BV$7="X",VLOOKUP(BV$10,'VK-Hooned-Soojus'!$C:$X,2+$C141,FALSE),0)+IF(BV$6="X",VLOOKUP(BV$10,'VK-Transport'!$C:$X,2+$B141,0))+IF(BV$8="X",VLOOKUP(BV$10,'VK-Elekter'!$C:$X,2+$D141,0))+IF(BV$9="X",VLOOKUP(BV$10,'VK-Biokütused'!$C:$U,2+$E141,0))+IF(BV$5="X",VLOOKUP(BV$10,'VK-Põlevkivi'!$C:$X,2+$G141,0))+IF(BV$4="X",VLOOKUP(BV$10,'VK-Võrgud'!$C:$X,2+$F141,0)))/16</f>
        <v>0</v>
      </c>
      <c r="BW141" s="209"/>
      <c r="BX141" s="209">
        <f>(IF(BX$7="X",VLOOKUP(BX$10,'VK-Hooned-Soojus'!$C:$X,2+$C141,FALSE),0)+IF(BX$6="X",VLOOKUP(BX$10,'VK-Transport'!$C:$X,2+$B141,0))+IF(BX$8="X",VLOOKUP(BX$10,'VK-Elekter'!$C:$X,2+$D141,0))+IF(BX$9="X",VLOOKUP(BX$10,'VK-Biokütused'!$C:$U,2+$E141,0))+IF(BX$5="X",VLOOKUP(BX$10,'VK-Põlevkivi'!$C:$X,2+$G141,0))+IF(BX$4="X",VLOOKUP(BX$10,'VK-Võrgud'!$C:$X,2+$F141,0)))/16</f>
        <v>-19.25</v>
      </c>
      <c r="BY141" s="209"/>
      <c r="BZ141" s="209"/>
      <c r="CA141" s="209" t="e">
        <f>(IF(CA$7="X",VLOOKUP(CA$10,'VK-Hooned-Soojus'!$C:$X,2+$C141,FALSE),0)+IF(CA$6="X",VLOOKUP(CA$10,'VK-Transport'!$C:$X,2+$B141,0))+IF(CA$8="X",VLOOKUP(CA$10,'VK-Elekter'!$C:$X,2+$D141,0))+IF(CA$9="X",VLOOKUP(CA$10,'VK-Biokütused'!$C:$U,2+$E141,0))+IF(CA$5="X",VLOOKUP(CA$10,'VK-Põlevkivi'!$C:$X,2+$G141,0))+IF(CA$4="X",VLOOKUP(CA$10,'VK-Võrgud'!$C:$X,2+$F141,0)))/16</f>
        <v>#N/A</v>
      </c>
      <c r="CB141" s="209">
        <f>(IF(CB$7="X",VLOOKUP(CB$10,'VK-Hooned-Soojus'!$C:$X,2+$C141,FALSE),0)+IF(CB$6="X",VLOOKUP(CB$10,'VK-Transport'!$C:$X,2+$B141,0))+IF(CB$8="X",VLOOKUP(CB$10,'VK-Elekter'!$C:$X,2+$D141,0))+IF(CB$9="X",VLOOKUP(CB$10,'VK-Biokütused'!$C:$U,2+$E141,0))+IF(CB$5="X",VLOOKUP(CB$10,'VK-Põlevkivi'!$C:$X,2+$G141,0))+IF(CB$4="X",VLOOKUP(CB$10,'VK-Võrgud'!$C:$X,2+$F141,0)))/16</f>
        <v>0</v>
      </c>
      <c r="CC141" s="209">
        <f>(IF(CC$7="X",VLOOKUP(CC$10,'VK-Hooned-Soojus'!$C:$X,2+$C141,FALSE),0)+IF(CC$6="X",VLOOKUP(CC$10,'VK-Transport'!$C:$X,2+$B141,0))+IF(CC$8="X",VLOOKUP(CC$10,'VK-Elekter'!$C:$X,2+$D141,0))+IF(CC$9="X",VLOOKUP(CC$10,'VK-Biokütused'!$C:$U,2+$E141,0))+IF(CC$5="X",VLOOKUP(CC$10,'VK-Põlevkivi'!$C:$X,2+$G141,0))+IF(CC$4="X",VLOOKUP(CC$10,'VK-Võrgud'!$C:$X,2+$F141,0)))/16</f>
        <v>0</v>
      </c>
      <c r="CD141" s="209"/>
      <c r="CE141" s="209">
        <f>(IF(CE$7="X",VLOOKUP(CE$10,'VK-Hooned-Soojus'!$C:$X,2+$C141,FALSE),0)+IF(CE$6="X",VLOOKUP(CE$10,'VK-Transport'!$C:$X,2+$B141,0))+IF(CE$8="X",VLOOKUP(CE$10,'VK-Elekter'!$C:$X,2+$D141,0))+IF(CE$9="X",VLOOKUP(CE$10,'VK-Biokütused'!$C:$U,2+$E141,0))+IF(CE$5="X",VLOOKUP(CE$10,'VK-Põlevkivi'!$C:$X,2+$G141,0))+IF(CE$4="X",VLOOKUP(CE$10,'VK-Võrgud'!$C:$X,2+$F141,0)))/16</f>
        <v>24.15625</v>
      </c>
      <c r="CF141" s="209"/>
      <c r="CG141" s="209">
        <f>(IF(CG$7="X",VLOOKUP(CG$10,'VK-Hooned-Soojus'!$C:$X,2+$C141,FALSE),0)+IF(CG$6="X",VLOOKUP(CG$10,'VK-Transport'!$C:$X,2+$B141,0))+IF(CG$8="X",VLOOKUP(CG$10,'VK-Elekter'!$C:$X,2+$D141,0))+IF(CG$9="X",VLOOKUP(CG$10,'VK-Biokütused'!$C:$U,2+$E141,0))+IF(CG$5="X",VLOOKUP(CG$10,'VK-Põlevkivi'!$C:$X,2+$G141,0))+IF(CG$4="X",VLOOKUP(CG$10,'VK-Võrgud'!$C:$X,2+$F141,0)))/16</f>
        <v>0</v>
      </c>
      <c r="CH141" s="209">
        <f>(IF(CH$7="X",VLOOKUP(CH$10,'VK-Hooned-Soojus'!$C:$X,2+$C141,FALSE),0)+IF(CH$6="X",VLOOKUP(CH$10,'VK-Transport'!$C:$X,2+$B141,0))+IF(CH$8="X",VLOOKUP(CH$10,'VK-Elekter'!$C:$X,2+$D141,0))+IF(CH$9="X",VLOOKUP(CH$10,'VK-Biokütused'!$C:$U,2+$E141,0))+IF(CH$5="X",VLOOKUP(CH$10,'VK-Põlevkivi'!$C:$X,2+$G141,0))+IF(CH$4="X",VLOOKUP(CH$10,'VK-Võrgud'!$C:$X,2+$F141,0)))/20*0.21</f>
        <v>26.9178</v>
      </c>
      <c r="CI141" s="209"/>
      <c r="CJ141" s="209">
        <f>(IF(CJ$7="X",VLOOKUP(CJ$10,'VK-Hooned-Soojus'!$C:$X,2+$C141,FALSE),0)+IF(CJ$6="X",VLOOKUP(CJ$10,'VK-Transport'!$C:$X,2+$B141,0))+IF(CJ$8="X",VLOOKUP(CJ$10,'VK-Elekter'!$C:$X,2+$D141,0))+IF(CJ$9="X",VLOOKUP(CJ$10,'VK-Biokütused'!$C:$U,2+$E141,0))+IF(CJ$5="X",VLOOKUP(CJ$10,'VK-Põlevkivi'!$C:$X,2+$G141,0))+IF(CJ$4="X",VLOOKUP(CJ$10,'VK-Võrgud'!$C:$X,2+$F141,0)))/1000</f>
        <v>16.029721793242818</v>
      </c>
      <c r="CK141" s="209">
        <f>(IF(CK$7="X",VLOOKUP(CK$10,'VK-Hooned-Soojus'!$C:$X,2+$C141,FALSE),0)+IF(CK$6="X",VLOOKUP(CK$10,'VK-Transport'!$C:$X,2+$B141,0))+IF(CK$8="X",VLOOKUP(CK$10,'VK-Elekter'!$C:$X,2+$D141,0))+IF(CK$9="X",VLOOKUP(CK$10,'VK-Biokütused'!$C:$U,2+$E141,0))+IF(CK$5="X",VLOOKUP(CK$10,'VK-Põlevkivi'!$C:$X,2+$G141,0))+IF(CK$4="X",VLOOKUP(CK$10,'VK-Võrgud'!$C:$X,2+$F141,0)))/1000</f>
        <v>6.0056988012134216</v>
      </c>
      <c r="CL141" s="235">
        <f>(IF(CL$7="X",VLOOKUP(CL$10,'VK-Hooned-Soojus'!$C:$X,2+$C141,FALSE),0)+IF(CL$6="X",VLOOKUP(CL$10,'VK-Transport'!$C:$X,2+$B141,0))+IF(CL$8="X",VLOOKUP(CL$10,'VK-Elekter'!$C:$X,2+$D141,0))+IF(CL$9="X",VLOOKUP(CL$10,'VK-Biokütused'!$C:$U,2+$E141,0)))/1000</f>
        <v>3.4793975506064014</v>
      </c>
      <c r="CM141" s="209">
        <f>(IF(CM$7="X",VLOOKUP(CM$10,'VK-Hooned-Soojus'!$C:$X,2+$C141,FALSE),0)+IF(CM$6="X",VLOOKUP(CM$10,'VK-Transport'!$C:$X,2+$B141,0))+IF(CM$8="X",VLOOKUP(CM$10,'VK-Elekter'!$C:$X,2+$D141,0))+IF(CM$9="X",VLOOKUP(CM$10,'VK-Biokütused'!$C:$U,2+$E141,0))+IF(CM$5="X",VLOOKUP(CM$10,'VK-Põlevkivi'!$C:$X,2+$G141,0))+IF(CM$4="X",VLOOKUP(CM$10,'VK-Võrgud'!$C:$X,2+$F141,0)))/1000</f>
        <v>7.6038313570900957</v>
      </c>
      <c r="CN141" s="209">
        <f>(IF(CN$7="X",VLOOKUP(CN$10,'VK-Hooned-Soojus'!$C:$X,2+$C141,FALSE),0)+IF(CN$6="X",VLOOKUP(CN$10,'VK-Transport'!$C:$X,2+$B141,0))+IF(CN$8="X",VLOOKUP(CN$10,'VK-Elekter'!$C:$X,2+$D141,0))+IF(CN$9="X",VLOOKUP(CN$10,'VK-Biokütused'!$C:$U,2+$E141,0))+IF(CN$5="X",VLOOKUP(CN$10,'VK-Põlevkivi'!$C:$X,2+$G141,0))+IF(CN$4="X",VLOOKUP(CN$10,'VK-Võrgud'!$C:$X,2+$F141,0)))/1000</f>
        <v>2.7810000000000001</v>
      </c>
      <c r="CO141" s="209">
        <f>(IF(CO$7="X",VLOOKUP(CO$10,'VK-Hooned-Soojus'!$C:$X,2+$C141,FALSE),0)+IF(CO$6="X",VLOOKUP(CO$10,'VK-Transport'!$C:$X,2+$B141,0))+IF(CO$8="X",VLOOKUP(CO$10,'VK-Elekter'!$C:$X,2+$D141,0))+IF(CO$9="X",VLOOKUP(CO$10,'VK-Biokütused'!$C:$U,2+$E141,0))+IF(CO$5="X",VLOOKUP(CO$10,'VK-Põlevkivi'!$C:$X,2+$G141,0))+IF(CO$4="X",VLOOKUP(CO$10,'VK-Võrgud'!$C:$X,2+$F141,0)))/1000</f>
        <v>22.339362337356995</v>
      </c>
      <c r="CP141" s="209">
        <f>(IF(CP$7="X",VLOOKUP(CP$10,'VK-Hooned-Soojus'!$C:$X,2+$C141,FALSE),0)+IF(CP$6="X",VLOOKUP(CP$10,'VK-Transport'!$C:$X,2+$B141,0))+IF(CP$8="X",VLOOKUP(CP$10,'VK-Elekter'!$C:$X,2+$D141,0))+IF(CP$9="X",VLOOKUP(CP$10,'VK-Biokütused'!$C:$U,2+$E141,0))+IF(CP$5="X",VLOOKUP(CP$10,'VK-Põlevkivi'!$C:$X,2+$G141,0))+IF(CP$4="X",VLOOKUP(CP$10,'VK-Võrgud'!$C:$X,2+$F141,0)))/1000</f>
        <v>6.6213921206936615</v>
      </c>
      <c r="CQ141" s="235">
        <f>(IF(CQ$7="X",VLOOKUP(CQ$10,'VK-Hooned-Soojus'!$C:$X,2+$C141,FALSE),0)+IF(CQ$6="X",VLOOKUP(CQ$10,'VK-Transport'!$C:$X,2+$B141,0))+IF(CQ$8="X",VLOOKUP(CQ$10,'VK-Elekter'!$C:$X,2+$D141,0))+IF(CQ$9="X",VLOOKUP(CQ$10,'VK-Biokütused'!$C:$U,2+$E141,0)))/1000</f>
        <v>4.6459190000000001</v>
      </c>
      <c r="CR141" s="209">
        <f>(IF(CR$7="X",VLOOKUP(CR$10,'VK-Hooned-Soojus'!$C:$X,2+$C141,FALSE),0)+IF(CR$6="X",VLOOKUP(CR$10,'VK-Transport'!$C:$X,2+$B141,0))+IF(CR$8="X",VLOOKUP(CR$10,'VK-Elekter'!$C:$X,2+$D141,0))+IF(CR$9="X",VLOOKUP(CR$10,'VK-Biokütused'!$C:$U,2+$E141,0))+IF(CR$5="X",VLOOKUP(CR$10,'VK-Põlevkivi'!$C:$X,2+$G141,0))+IF(CR$4="X",VLOOKUP(CR$10,'VK-Võrgud'!$C:$X,2+$F141,0)))/1000</f>
        <v>7.6767518373996895</v>
      </c>
      <c r="CS141" s="209">
        <f>(IF(CS$7="X",VLOOKUP(CS$10,'VK-Hooned-Soojus'!$C:$X,2+$C141,FALSE),0)+IF(CS$6="X",VLOOKUP(CS$10,'VK-Transport'!$C:$X,2+$B141,0))+IF(CS$8="X",VLOOKUP(CS$10,'VK-Elekter'!$C:$X,2+$D141,0))+IF(CS$9="X",VLOOKUP(CS$10,'VK-Biokütused'!$C:$U,2+$E141,0))+IF(CS$5="X",VLOOKUP(CS$10,'VK-Põlevkivi'!$C:$X,2+$G141,0))+IF(CS$4="X",VLOOKUP(CS$10,'VK-Võrgud'!$C:$X,2+$F141,0)))/1000</f>
        <v>3.7686495098622381</v>
      </c>
      <c r="CT141" s="209">
        <f>IF(CT$7="X",VLOOKUP(CT$10,'VK-Hooned-Soojus'!$C:$X,2+$C141,FALSE),0)+IF(CT$6="X",VLOOKUP(CT$10,'VK-Transport'!$C:$X,2+$B141,0))+IF(CT$8="X",VLOOKUP(CT$10,'VK-Elekter'!$C:$X,2+$D141,0))+IF(CT$9="X",VLOOKUP(CT$10,'VK-Biokütused'!$C:$U,2+$E141,0))+IF(CT$5="X",VLOOKUP(CT$10,'VK-Põlevkivi'!$C:$X,2+$G141,0))+IF(CT$4="X",VLOOKUP(CT$10,'VK-Võrgud'!$C:$X,2+$F141,0))</f>
        <v>90</v>
      </c>
      <c r="CU141" s="209">
        <f>IF(CU$7="X",VLOOKUP(CU$10,'VK-Hooned-Soojus'!$C:$X,2+$C141,FALSE),0)+IF(CU$6="X",VLOOKUP(CU$10,'VK-Transport'!$C:$X,2+$B141,0))+IF(CU$8="X",VLOOKUP(CU$10,'VK-Elekter'!$C:$X,2+$D141,0))+IF(CU$9="X",VLOOKUP(CU$10,'VK-Biokütused'!$C:$U,2+$E141,0))+IF(CU$5="X",VLOOKUP(CU$10,'VK-Põlevkivi'!$C:$X,2+$G141,0))+IF(CU$4="X",VLOOKUP(CU$10,'VK-Võrgud'!$C:$X,2+$F141,0))</f>
        <v>0.63390170511534605</v>
      </c>
      <c r="CV141" s="209">
        <f t="shared" si="107"/>
        <v>0.72887234460741657</v>
      </c>
      <c r="CW141" s="209">
        <f>(IF(CW$7="X",VLOOKUP(CW$10,'VK-Hooned-Soojus'!$C:$X,2+$C141,FALSE),0)+IF(CW$6="X",VLOOKUP(CW$10,'VK-Transport'!$C:$X,2+$B141,0))+IF(CW$8="X",VLOOKUP(CW$10,'VK-Elekter'!$C:$X,2+$D141,0))+IF(CW$9="X",VLOOKUP(CW$10,'VK-Biokütused'!$C:$U,2+$E141,0))+IF(CW$5="X",VLOOKUP(CW$10,'VK-Põlevkivi'!$C:$X,2+$G141,0))+IF(CW$4="X",VLOOKUP(CW$10,'VK-Võrgud'!$C:$X,2+$F141,0)))/16</f>
        <v>59.743749999999999</v>
      </c>
      <c r="CY141" s="209">
        <f>(IF(CY$7="X",VLOOKUP(CY$10,'VK-Hooned-Soojus'!$C:$X,2+$C141,FALSE),0)+IF(CY$6="X",VLOOKUP(CY$10,'VK-Transport'!$C:$X,2+$B141,0))+IF(CY$8="X",VLOOKUP(CY$10,'VK-Elekter'!$C:$X,2+$D141,0))+IF(CY$9="X",VLOOKUP(CY$10,'VK-Biokütused'!$C:$U,2+$E141,0))+IF(CY$5="X",VLOOKUP(CY$10,'VK-Põlevkivi'!$C:$X,2+$G141,0))+IF(CY$4="X",VLOOKUP(CY$10,'VK-Võrgud'!$C:$X,2+$F141,0)))/1000</f>
        <v>9.3079999999999998</v>
      </c>
      <c r="CZ141" s="209">
        <f>(IF(CZ$7="X",VLOOKUP(CZ$10,'VK-Hooned-Soojus'!$C:$X,2+$C141,FALSE),0)+IF(CZ$6="X",VLOOKUP(CZ$10,'VK-Transport'!$C:$X,2+$B141,0))+IF(CZ$8="X",VLOOKUP(CZ$10,'VK-Elekter'!$C:$X,2+$D141,0))+IF(CZ$9="X",VLOOKUP(CZ$10,'VK-Biokütused'!$C:$U,2+$E141,0))+IF(CZ$5="X",VLOOKUP(CZ$10,'VK-Põlevkivi'!$C:$X,2+$G141,0))+IF(CZ$4="X",VLOOKUP(CZ$10,'VK-Võrgud'!$C:$X,2+$F141,0)))</f>
        <v>75.400000000000006</v>
      </c>
      <c r="DA141" s="209">
        <f>(IF(DA$7="X",VLOOKUP(DA$10,'VK-Hooned-Soojus'!$C:$X,2+$C141,FALSE),0)+IF(DA$6="X",VLOOKUP(DA$10,'VK-Transport'!$C:$X,2+$B141,0))+IF(DA$8="X",VLOOKUP(DA$10,'VK-Elekter'!$C:$X,2+$D141,0))+IF(DA$9="X",VLOOKUP(DA$10,'VK-Biokütused'!$C:$U,2+$E141,0))+IF(DA$5="X",VLOOKUP(DA$10,'VK-Põlevkivi'!$C:$X,2+$G141,0))+IF(DA$4="X",VLOOKUP(DA$10,'VK-Võrgud'!$C:$X,2+$F141,0)))/1000</f>
        <v>8.6189999999999998</v>
      </c>
      <c r="DB141" s="209">
        <f>(IF(DB$7="X",VLOOKUP(DB$10,'VK-Hooned-Soojus'!$C:$X,2+$C141,FALSE),0)+IF(DB$6="X",VLOOKUP(DB$10,'VK-Transport'!$C:$X,2+$B141,0))+IF(DB$8="X",VLOOKUP(DB$10,'VK-Elekter'!$C:$X,2+$D141,0))+IF(DB$9="X",VLOOKUP(DB$10,'VK-Biokütused'!$C:$U,2+$E141,0))+IF(DB$5="X",VLOOKUP(DB$10,'VK-Põlevkivi'!$C:$X,2+$G141,0))+IF(DB$4="X",VLOOKUP(DB$10,'VK-Võrgud'!$C:$X,2+$F141,0)))/1000/3.6</f>
        <v>34.314166666666665</v>
      </c>
      <c r="DC141" s="209">
        <f>(IF(DC$7="X",VLOOKUP(DC$10,'VK-Hooned-Soojus'!$C:$X,2+$C141,FALSE),0)+IF(DC$6="X",VLOOKUP(DC$10,'VK-Transport'!$C:$X,2+$B141,0))+IF(DC$8="X",VLOOKUP(DC$10,'VK-Elekter'!$C:$X,2+$D141,0))+IF(DC$9="X",VLOOKUP(DC$10,'VK-Biokütused'!$C:$U,2+$E141,0))+IF(DC$5="X",VLOOKUP(DC$10,'VK-Põlevkivi'!$C:$X,2+$G141,0))+IF(DC$4="X",VLOOKUP(DC$10,'VK-Võrgud'!$C:$X,2+$F141,0)))/1000000</f>
        <v>3.676898</v>
      </c>
      <c r="DD141" s="209"/>
      <c r="DE141" s="88">
        <f>VLOOKUP(Tulemused!$BN$12,data!M$7:N$12,2,FALSE)-SUM(L141,M141)</f>
        <v>0.39749062697563176</v>
      </c>
      <c r="DF141" s="209" t="str">
        <f>IF(AZ141&lt;=VLOOKUP(Tulemused!$BN$15,data!$E$36:$F$39,2,FALSE),"JAH","EI")</f>
        <v>JAH</v>
      </c>
      <c r="DG141" s="209"/>
      <c r="DH141" s="209">
        <f t="shared" si="108"/>
        <v>10.67</v>
      </c>
      <c r="DI141" s="231" t="str">
        <f t="shared" si="109"/>
        <v>JAH</v>
      </c>
      <c r="DK141" s="232">
        <f t="shared" si="96"/>
        <v>11.131980127717581</v>
      </c>
      <c r="DM141" s="233">
        <f t="shared" si="97"/>
        <v>-999.03174037788892</v>
      </c>
      <c r="DN141" s="87">
        <f t="array" ref="DN141">INDEX($A$11:$A$145, SMALL(IF(DM141=$DK$11:$DK$145, MATCH(ROW($DK$11:$DK$145), ROW($DK$11:$DK$145))), SUM(--(DM141=$DM$11:DM141))))</f>
        <v>19</v>
      </c>
      <c r="DP141" s="87" t="e">
        <f t="shared" ca="1" si="110"/>
        <v>#N/A</v>
      </c>
      <c r="DQ141" s="87" t="e">
        <f t="shared" ca="1" si="111"/>
        <v>#N/A</v>
      </c>
      <c r="DR141" s="87">
        <f t="shared" ca="1" si="112"/>
        <v>0</v>
      </c>
      <c r="DS141" s="87" t="e">
        <f t="shared" ca="1" si="113"/>
        <v>#N/A</v>
      </c>
      <c r="DT141" s="87">
        <f t="shared" ca="1" si="114"/>
        <v>0</v>
      </c>
      <c r="DU141" s="87" t="e">
        <f t="shared" ca="1" si="115"/>
        <v>#N/A</v>
      </c>
      <c r="DV141" s="87" t="e">
        <f t="shared" ca="1" si="116"/>
        <v>#N/A</v>
      </c>
      <c r="DW141" s="87">
        <f t="shared" ca="1" si="117"/>
        <v>0</v>
      </c>
      <c r="DX141" s="87">
        <f t="shared" ca="1" si="118"/>
        <v>0</v>
      </c>
      <c r="DZ141" s="87">
        <f t="shared" ca="1" si="82"/>
        <v>0</v>
      </c>
      <c r="EB141" s="87">
        <f t="shared" ca="1" si="119"/>
        <v>0</v>
      </c>
      <c r="EC141" s="87" t="e">
        <f t="shared" ca="1" si="120"/>
        <v>#N/A</v>
      </c>
      <c r="EE141" s="228">
        <f>(IF(EE$7="X",VLOOKUP(EE$10,'VK-Hooned-Soojus'!$C:$X,2+$C141,FALSE),0)+IF(EE$6="X",VLOOKUP(EE$10,'VK-Transport'!$C:$X,2+$B141,0))+IF(EE$8="X",VLOOKUP(EE$10,'VK-Elekter'!$C:$X,2+$D141,0))+IF(EE$9="X",VLOOKUP(EE$10,'VK-Biokütused'!$C:$U,2+$E141,0))+IF(EE$5="X",VLOOKUP(EE$10,'VK-Põlevkivi'!$C:$X,2+$G141,0))+IF(EE$4="X",VLOOKUP(EE$10,'VK-Võrgud'!$C:$X,2+$F141,0)))</f>
        <v>10061.011486262587</v>
      </c>
      <c r="EF141" s="235">
        <f>(IF(EF$7="X",VLOOKUP(EF$10,'VK-Hooned-Soojus'!$C:$X,2+$C141,FALSE),0)+IF(EF$6="X",VLOOKUP(EF$10,'VK-Transport'!$C:$X,2+$B141,0))+IF(EF$8="X",VLOOKUP(EF$10,'VK-Elekter'!$C:$X,2+$D141,0))+IF(EF$9="X",VLOOKUP(EF$10,'VK-Biokütused'!$C:$U,2+$E141,0)))/1000</f>
        <v>1.7198849906373199</v>
      </c>
      <c r="EG141" s="209">
        <f>(IF(EG$7="X",VLOOKUP(EG$10,'VK-Hooned-Soojus'!$C:$X,2+$C141,FALSE),0)+IF(EG$6="X",VLOOKUP(EG$10,'VK-Transport'!$C:$X,2+$B141,0))+IF(EG$8="X",VLOOKUP(EG$10,'VK-Elekter'!$C:$X,2+$D141,0))+IF(EG$9="X",VLOOKUP(EG$10,'VK-Biokütused'!$C:$U,2+$E141,0))+IF(EG$5="X",VLOOKUP(EG$10,'VK-Põlevkivi'!$C:$X,2+$G141,0))+IF(EG$4="X",VLOOKUP(EG$10,'VK-Võrgud'!$C:$X,2+$F141,0)))</f>
        <v>0.81</v>
      </c>
      <c r="EH141" s="209">
        <f>(IF(EH$7="X",VLOOKUP(EH$10,'VK-Hooned-Soojus'!$C:$X,2+$C141,FALSE),0)+IF(EH$6="X",VLOOKUP(EH$10,'VK-Transport'!$C:$X,2+$B141,0))+IF(EH$8="X",VLOOKUP(EH$10,'VK-Elekter'!$C:$X,2+$D141,0))+IF(EH$9="X",VLOOKUP(EH$10,'VK-Biokütused'!$C:$U,2+$E141,0)))+AR141+AS141+AU141+AX141</f>
        <v>38.885404480632253</v>
      </c>
      <c r="EI141" s="320">
        <f t="shared" si="121"/>
        <v>38.866388888888892</v>
      </c>
      <c r="EJ141" s="322">
        <f t="shared" si="122"/>
        <v>2.5620074329845279E-2</v>
      </c>
      <c r="EK141" s="323">
        <f t="shared" si="123"/>
        <v>0.55518194882771377</v>
      </c>
      <c r="EM141" s="209"/>
      <c r="EN141" s="209">
        <f t="shared" ca="1" si="124"/>
        <v>0</v>
      </c>
      <c r="EO141" s="209"/>
      <c r="EP141" s="234"/>
      <c r="EQ141" s="209">
        <f>(IF(EQ$7="X",VLOOKUP(EQ$10,'VK-Hooned-Soojus'!$C:$X,2+$C141,FALSE),0)+IF(EQ$6="X",VLOOKUP(EQ$10,'VK-Transport'!$C:$X,2+$B141,0))+IF(EQ$8="X",VLOOKUP(EQ$10,'VK-Elekter'!$C:$X,2+$D141,0))+IF(EQ$9="X",VLOOKUP(EQ$10,'VK-Biokütused'!$C:$U,2+$E141,0))+IF(EQ$5="X",VLOOKUP(EQ$10,'VK-Põlevkivi'!$C:$X,2+$G141,0))+IF(EQ$4="X",VLOOKUP(EQ$10,'VK-Võrgud'!$C:$X,2+$F141,0)))/1000</f>
        <v>0.19900000000000001</v>
      </c>
      <c r="ER141" s="209">
        <f>(IF(ER$7="X",VLOOKUP(ER$10,'VK-Hooned-Soojus'!$C:$X,2+$C141,FALSE),0)+IF(ER$6="X",VLOOKUP(ER$10,'VK-Transport'!$C:$X,2+$B141,0))+IF(ER$8="X",VLOOKUP(ER$10,'VK-Elekter'!$C:$X,2+$D141,0))+IF(ER$9="X",VLOOKUP(ER$10,'VK-Biokütused'!$C:$U,2+$E141,0))+IF(ER$5="X",VLOOKUP(ER$10,'VK-Põlevkivi'!$C:$X,2+$G141,0))+IF(ER$4="X",VLOOKUP(ER$10,'VK-Võrgud'!$C:$X,2+$F141,0)))</f>
        <v>0.72299999999999998</v>
      </c>
      <c r="ES141" s="209">
        <f>(IF(ES$7="X",VLOOKUP(ES$10,'VK-Hooned-Soojus'!$C:$X,2+$C141,FALSE),0)+IF(ES$6="X",VLOOKUP(ES$10,'VK-Transport'!$C:$X,2+$B141,0))+IF(ES$8="X",VLOOKUP(ES$10,'VK-Elekter'!$C:$X,2+$D141,0))+IF(ES$9="X",VLOOKUP(ES$10,'VK-Biokütused'!$C:$U,2+$E141,0))+IF(ES$5="X",VLOOKUP(ES$10,'VK-Põlevkivi'!$C:$X,2+$G141,0))+IF(ES$4="X",VLOOKUP(ES$10,'VK-Võrgud'!$C:$X,2+$F141,0)))</f>
        <v>10.67</v>
      </c>
      <c r="ET141" s="209"/>
      <c r="EU141" s="209"/>
      <c r="EV141" s="87">
        <f>'KSH järjestus'!AS134</f>
        <v>584</v>
      </c>
      <c r="EZ141" s="237">
        <f t="shared" si="125"/>
        <v>0.36609829488465395</v>
      </c>
      <c r="FA141" s="209">
        <f>IF(FA$7="X",VLOOKUP(FA$10,'VK-Hooned-Soojus'!$C:$X,2+$C141,FALSE),0)+IF(FA$6="X",VLOOKUP(FA$10,'VK-Transport'!$C:$X,2+$B141,0))+IF(FA$8="X",VLOOKUP(FA$10,'VK-Elekter'!$C:$X,2+$D141,0))+IF(FA$9="X",VLOOKUP(FA$10,'VK-Biokütused'!$C:$U,2+$E141,0))+IF(FA$5="X",VLOOKUP(FA$10,'VK-Põlevkivi'!$C:$X,2+$G141,0))+IF(FA$4="X",VLOOKUP(FA$10,'VK-Võrgud'!$C:$X,2+$F141,0))</f>
        <v>2912.9189999999999</v>
      </c>
      <c r="FB141" s="279">
        <f>(IF(FB$7="X",VLOOKUP(FB$10,'VK-Hooned-Soojus'!$C:$X,2+$C141,FALSE),0)+IF(FB$6="X",VLOOKUP(FB$10,'VK-Transport'!$C:$X,2+$B141,0))+IF(FB$8="X",VLOOKUP(FB$10,'VK-Elekter'!$C:$X,2+$D141,0))+IF(FB$9="X",VLOOKUP(FB$10,'VK-Biokütused'!$C:$U,2+$E141,0))+IF(FB$5="X",VLOOKUP(FB$10,'VK-Põlevkivi'!$C:$X,2+$G141,0))+IF(FB$4="X",VLOOKUP(FB$10,'VK-Võrgud'!$C:$X,2+$F141,0)))/16</f>
        <v>504.62461225848671</v>
      </c>
      <c r="FC141" s="209">
        <f>IF(FC$7="X",VLOOKUP(FC$10,'VK-Hooned-Soojus'!$C:$X,2+$C141,FALSE),0)+IF(FC$6="X",VLOOKUP(FC$10,'VK-Transport'!$C:$X,2+$B141,0))+IF(FC$8="X",VLOOKUP(FC$10,'VK-Elekter'!$C:$X,2+$D141,0))+IF(FC$9="X",VLOOKUP(FC$10,'VK-Biokütused'!$C:$U,2+$E141,0))+IF(FC$5="X",VLOOKUP(FC$10,'VK-Põlevkivi'!$C:$X,2+$G141,0))+IF(FC$4="X",VLOOKUP(FC$10,'VK-Võrgud'!$C:$X,2+$F141,0))</f>
        <v>285.10000000000002</v>
      </c>
      <c r="FD141" s="209">
        <f>(IF(FD$7="X",VLOOKUP(FD$10,'VK-Hooned-Soojus'!$C:$X,2+$C141,FALSE),0)+IF(FD$6="X",VLOOKUP(FD$10,'VK-Transport'!$C:$X,2+$B141,0))+IF(FD$8="X",VLOOKUP(FD$10,'VK-Elekter'!$C:$X,2+$D141,0))+IF(FD$9="X",VLOOKUP(FD$10,'VK-Biokütused'!$C:$U,2+$E141,0))+IF(FD$5="X",VLOOKUP(FD$10,'VK-Põlevkivi'!$C:$X,2+$G141,0))+IF(FD$4="X",VLOOKUP(FD$10,'VK-Võrgud'!$C:$X,2+$F141,0)))/16</f>
        <v>504.62461225848671</v>
      </c>
      <c r="FE141" s="209">
        <f>(IF(FE$7="X",VLOOKUP(FE$10,'VK-Hooned-Soojus'!$C:$X,2+$C141,FALSE),0)+IF(FE$6="X",VLOOKUP(FE$10,'VK-Transport'!$C:$X,2+$B141,0))+IF(FE$8="X",VLOOKUP(FE$10,'VK-Elekter'!$C:$X,2+$D141,0))+IF(FE$9="X",VLOOKUP(FE$10,'VK-Biokütused'!$C:$U,2+$E141,0))+IF(FE$5="X",VLOOKUP(FE$10,'VK-Põlevkivi'!$C:$X,2+$G141,0))+IF(FE$4="X",VLOOKUP(FE$10,'VK-Võrgud'!$C:$X,2+$F141,0)))/16</f>
        <v>-178.19071988063212</v>
      </c>
      <c r="FF141" s="209">
        <f>(IF(FF$7="X",VLOOKUP(FF$10,'VK-Hooned-Soojus'!$C:$X,2+$C141,FALSE),0)+IF(FF$6="X",VLOOKUP(FF$10,'VK-Transport'!$C:$X,2+$B141,0))+IF(FF$8="X",VLOOKUP(FF$10,'VK-Elekter'!$C:$X,2+$D141,0))+IF(FF$9="X",VLOOKUP(FF$10,'VK-Biokütused'!$C:$U,2+$E141,0))+IF(FF$5="X",VLOOKUP(FF$10,'VK-Põlevkivi'!$C:$X,2+$G141,0))+IF(FF$4="X",VLOOKUP(FF$10,'VK-Võrgud'!$C:$X,2+$F141,0)))/16</f>
        <v>232.46203527591493</v>
      </c>
      <c r="FG141" s="88">
        <f t="shared" ca="1" si="126"/>
        <v>54.271315395282812</v>
      </c>
      <c r="FH141" s="88"/>
      <c r="FI141" s="88"/>
      <c r="FJ141" s="88">
        <f>VLOOKUP(Tulemused!$BN$12,data!M$7:N$12,2,FALSE)-SUM(L141,M141)</f>
        <v>0.39749062697563176</v>
      </c>
      <c r="FK141" s="209" t="str">
        <f>IF(AZ141&lt;=VLOOKUP(Tulemused!$BN$15,data!$E$36:$F$39,2,FALSE),"JAH","EI")</f>
        <v>JAH</v>
      </c>
      <c r="FL141" s="235">
        <f ca="1">IF(ISNA(MATCH($A141,INDIRECT(VLOOKUP(Tulemused!$BF$11,data!$J$57:$M$71,4,FALSE)))),0,MATCH($A141,INDIRECT(VLOOKUP(Tulemused!$BF$11,data!$J$57:$M$71,4,FALSE))))</f>
        <v>0</v>
      </c>
      <c r="FM141" s="235" t="str">
        <f t="shared" ca="1" si="127"/>
        <v>JAH</v>
      </c>
      <c r="FN141" s="209">
        <f>VLOOKUP(Tulemused!$BN$13,data!$C$132:$D$137,2,FALSE)-KOMBI!R141</f>
        <v>4.8305850093626805</v>
      </c>
      <c r="FO141" s="209"/>
      <c r="FP141" s="209">
        <f>VLOOKUP(Tulemused!$BN$17,NO_x,2,FALSE)-CJ141</f>
        <v>13.408278206757181</v>
      </c>
      <c r="FQ141" s="209">
        <f>VLOOKUP(Tulemused!$BN$18,SO_2,2,FALSE)-CK141</f>
        <v>45.878301198786581</v>
      </c>
      <c r="FR141" s="209">
        <f>VLOOKUP(Tulemused!$BN$19,LOU,2,FALSE)-CN141</f>
        <v>34.299000000000007</v>
      </c>
      <c r="FS141" s="209">
        <f>VLOOKUP(Tulemused!$BN$20,PM_2.5,2,FALSE)-CM141</f>
        <v>9.3111686429099034</v>
      </c>
      <c r="FT141" s="209">
        <f>VLOOKUP(Tulemused!$BN$13,data!$C$132:$D$137,2,FALSE)-FA141/1000</f>
        <v>3.3330510000000007</v>
      </c>
      <c r="FU141" s="209">
        <f>VLOOKUP(Tulemused!$BN$17,NO_x,2,FALSE)-CO141</f>
        <v>7.0986376626430037</v>
      </c>
      <c r="FV141" s="209">
        <f>VLOOKUP(Tulemused!$BN$18,SO_2,2,FALSE)-CP141</f>
        <v>45.262607879306337</v>
      </c>
      <c r="FW141" s="209">
        <f>VLOOKUP(Tulemused!$BN$19,LOU,2,FALSE)-CS141</f>
        <v>33.311350490137769</v>
      </c>
      <c r="FX141" s="209">
        <f>VLOOKUP(Tulemused!$BN$20,PM_2.5,2,FALSE)-CR141</f>
        <v>9.2382481626003106</v>
      </c>
      <c r="FY141" s="209">
        <f>VLOOKUP(Tulemused!$BN$14,KHG_2050,2,FALSE)-EF141</f>
        <v>98.280115009362675</v>
      </c>
      <c r="FZ141" s="231" t="str">
        <f t="shared" ca="1" si="128"/>
        <v>JAH</v>
      </c>
      <c r="GA141" s="209"/>
      <c r="GB141" s="209"/>
      <c r="GC141" s="209"/>
      <c r="GD141" s="231"/>
      <c r="GE141" s="87">
        <f t="shared" si="99"/>
        <v>584</v>
      </c>
      <c r="GF141" s="232">
        <f t="shared" ca="1" si="129"/>
        <v>584</v>
      </c>
      <c r="GH141" s="238" t="e">
        <f t="shared" ca="1" si="100"/>
        <v>#NUM!</v>
      </c>
      <c r="GI141" s="87" t="e">
        <f t="array" aca="1" ref="GI141" ca="1">INDEX($A$11:$A$145, SMALL(IF(GH141=$GF$11:$GF$145, MATCH(ROW($GF$11:$GF$145), ROW($GF$11:$GF$145))), SUM(--(GH141=$GH$11:GH141))))</f>
        <v>#NUM!</v>
      </c>
      <c r="GM141" s="209">
        <f>IF(GM$7="X",VLOOKUP(GM$10,'VK-Hooned-Soojus'!$C:$X,2+$C141,FALSE),0)+IF(GM$6="X",VLOOKUP(GM$10,'VK-Transport'!$C:$X,2+$B141,0))+IF(GM$8="X",VLOOKUP(GM$10,'VK-Elekter'!$C:$X,2+$D141,0))+IF(GM$9="X",VLOOKUP(GM$10,'VK-Biokütused'!$C:$U,2+$E141,0))+IF(GM$5="X",VLOOKUP(GM$10,'VK-Põlevkivi'!$C:$X,2+$G141,0))+IF(GM$4="X",VLOOKUP(GM$10,'VK-Võrgud'!$C:$X,2+$F141,0))</f>
        <v>0</v>
      </c>
      <c r="GN141" s="209">
        <f>IF(GN$7="X",VLOOKUP(GN$10,'VK-Hooned-Soojus'!$C:$X,2+$C141,FALSE),0)+IF(GN$6="X",VLOOKUP(GN$10,'VK-Transport'!$C:$X,2+$B141,0))+IF(GN$8="X",VLOOKUP(GN$10,'VK-Elekter'!$C:$X,2+$D141,0))+IF(GN$9="X",VLOOKUP(GN$10,'VK-Biokütused'!$C:$U,2+$E141,0))+IF(GN$5="X",VLOOKUP(GN$10,'VK-Põlevkivi'!$C:$X,2+$G141,0))+IF(GN$4="X",VLOOKUP(GN$10,'VK-Võrgud'!$C:$X,2+$F141,0))</f>
        <v>7.5434676424145266</v>
      </c>
      <c r="GO141" s="209">
        <f>IF(GO$7="X",VLOOKUP(GO$10,'VK-Hooned-Soojus'!$C:$X,2+$C141,FALSE),0)+IF(GO$6="X",VLOOKUP(GO$10,'VK-Transport'!$C:$X,2+$B141,0))+IF(GO$8="X",VLOOKUP(GO$10,'VK-Elekter'!$C:$X,2+$D141,0))+IF(GO$9="X",VLOOKUP(GO$10,'VK-Biokütused'!$C:$U,2+$E141,0))+IF(GO$5="X",VLOOKUP(GO$10,'VK-Põlevkivi'!$C:$X,2+$G141,0))+IF(GO$4="X",VLOOKUP(GO$10,'VK-Võrgud'!$C:$X,2+$F141,0))</f>
        <v>7.5763700102722566</v>
      </c>
      <c r="GP141" s="209">
        <f>IF(GP$7="X",VLOOKUP(GP$10,'VK-Hooned-Soojus'!$C:$X,2+$C141,FALSE),0)+IF(GP$6="X",VLOOKUP(GP$10,'VK-Transport'!$C:$X,2+$B141,0))+IF(GP$8="X",VLOOKUP(GP$10,'VK-Elekter'!$C:$X,2+$D141,0))+IF(GP$9="X",VLOOKUP(GP$10,'VK-Biokütused'!$C:$U,2+$E141,0))+IF(GP$5="X",VLOOKUP(GP$10,'VK-Põlevkivi'!$C:$X,2+$G141,0))+IF(GP$4="X",VLOOKUP(GP$10,'VK-Võrgud'!$C:$X,2+$F141,0))</f>
        <v>8.9326558040707589</v>
      </c>
      <c r="GQ141" s="88">
        <f>IF(GQ$7="X",VLOOKUP(GQ$10,'VK-Hooned-Soojus'!$C:$X,2+$C141,FALSE),0)+IF(GQ$6="X",VLOOKUP(GQ$10,'VK-Transport'!$C:$X,2+$B141,0))+IF(GQ$8="X",VLOOKUP(GQ$10,'VK-Elekter'!$C:$X,2+$D141,0))+IF(GQ$9="X",VLOOKUP(GQ$10,'VK-Biokütused'!$C:$U,2+$E141,0))+IF(GQ$5="X",VLOOKUP(GQ$10,'VK-Põlevkivi'!$C:$X,2+$G141,0))+IF(GQ$4="X",VLOOKUP(GQ$10,'VK-Võrgud'!$C:$X,2+$F141,0))</f>
        <v>0.89042766952822527</v>
      </c>
      <c r="GR141" s="186">
        <f t="shared" si="130"/>
        <v>0.53542116451822219</v>
      </c>
    </row>
    <row r="142" spans="1:200" x14ac:dyDescent="0.2">
      <c r="A142" s="184">
        <v>132</v>
      </c>
      <c r="B142" s="87">
        <v>3</v>
      </c>
      <c r="C142" s="87">
        <v>3</v>
      </c>
      <c r="D142" s="87">
        <v>4</v>
      </c>
      <c r="E142" s="87">
        <v>3</v>
      </c>
      <c r="F142" s="87">
        <f>VLOOKUP(Tulemused!$BF$7,data!$J$6:$K$8,2,FALSE)</f>
        <v>2</v>
      </c>
      <c r="G142" s="87">
        <f>VLOOKUP(data!$H$2,data!$J$12:$K$14,2,FALSE)</f>
        <v>2</v>
      </c>
      <c r="I142" s="209">
        <f>IF(I$7="X",VLOOKUP(I$10,'VK-Hooned-Soojus'!$C:$X,2+$C142,FALSE),0)+IF(I$6="X",VLOOKUP(I$10,'VK-Transport'!$C:$X,2+$B142,0))+IF(I$8="X",VLOOKUP(I$10,'VK-Elekter'!$C:$X,2+$D142,0))+IF(I$9="X",VLOOKUP(I$10,'VK-Biokütused'!$C:$U,2+$E142,0))+IF(I$5="X",VLOOKUP(I$10,'VK-Põlevkivi'!$C:$X,2+$G142,0))+IF(I$4="X",VLOOKUP(I$10,'VK-Võrgud'!$C:$X,2+$F142,0))</f>
        <v>23.490000000000002</v>
      </c>
      <c r="J142" s="209">
        <f>IF(J$7="X",VLOOKUP(J$10,'VK-Hooned-Soojus'!$C:$X,2+$C142,FALSE),0)+IF(J$6="X",VLOOKUP(J$10,'VK-Transport'!$C:$X,2+$B142,0))+IF(J$8="X",VLOOKUP(J$10,'VK-Elekter'!$C:$X,2+$D142,0))+IF(J$9="X",VLOOKUP(J$10,'VK-Biokütused'!$C:$U,2+$E142,0))+IF(J$5="X",VLOOKUP(J$10,'VK-Põlevkivi'!$C:$X,2+$G142,0))+IF(J$4="X",VLOOKUP(J$10,'VK-Võrgud'!$C:$X,2+$F142,0))</f>
        <v>8.1258333333333344</v>
      </c>
      <c r="K142" s="209">
        <f>IF(K$7="X",VLOOKUP(K$10,'VK-Hooned-Soojus'!$C:$X,2+$C142,FALSE),0)+IF(K$6="X",VLOOKUP(K$10,'VK-Transport'!$C:$X,2+$B142,0))+IF(K$8="X",VLOOKUP(K$10,'VK-Elekter'!$C:$X,2+$D142,0))+IF(K$9="X",VLOOKUP(K$10,'VK-Biokütused'!$C:$U,2+$E142,0))+IF(K$5="X",VLOOKUP(K$10,'VK-Põlevkivi'!$C:$X,2+$G142,0))+IF(K$4="X",VLOOKUP(K$10,'VK-Võrgud'!$C:$X,2+$F142,0))</f>
        <v>13.780000000000001</v>
      </c>
      <c r="L142" s="209">
        <f>IF(L$7="X",VLOOKUP(L$10,'VK-Hooned-Soojus'!$C:$X,2+$C142,FALSE),0)+IF(L$6="X",VLOOKUP(L$10,'VK-Transport'!$C:$X,2+$B142,0))+IF(L$8="X",VLOOKUP(L$10,'VK-Elekter'!$C:$X,2+$D142,0))+IF(L$9="X",VLOOKUP(L$10,'VK-Biokütused'!$C:$U,2+$E142,0))+IF(L$5="X",VLOOKUP(L$10,'VK-Põlevkivi'!$C:$X,2+$G142,0))+IF(L$4="X",VLOOKUP(L$10,'VK-Võrgud'!$C:$X,2+$F142,0))</f>
        <v>23.75</v>
      </c>
      <c r="M142" s="209">
        <f>IF(M$7="X",VLOOKUP(M$10,'VK-Hooned-Soojus'!$C:$X,2+$C142,FALSE),0)+IF(M$6="X",VLOOKUP(M$10,'VK-Transport'!$C:$X,2+$B142,0))+IF(M$8="X",VLOOKUP(M$10,'VK-Elekter'!$C:$X,2+$D142,0))+IF(M$9="X",VLOOKUP(M$10,'VK-Biokütused'!$C:$U,2+$E142,0))+IF(M$5="X",VLOOKUP(M$10,'VK-Põlevkivi'!$C:$X,2+$G142,0))+IF(M$4="X",VLOOKUP(M$10,'VK-Võrgud'!$C:$X,2+$F142,0))</f>
        <v>8.68530937302436</v>
      </c>
      <c r="N142" s="209">
        <f>IF(N$7="X",VLOOKUP(N$10,'VK-Hooned-Soojus'!$C:$X,2+$C142,FALSE),0)+IF(N$6="X",VLOOKUP(N$10,'VK-Transport'!$C:$X,2+$B142,0))+IF(N$8="X",VLOOKUP(N$10,'VK-Elekter'!$C:$X,2+$D142,0))+IF(N$9="X",VLOOKUP(N$10,'VK-Biokütused'!$C:$U,2+$E142,0))+IF(N$5="X",VLOOKUP(N$10,'VK-Põlevkivi'!$C:$X,2+$G142,0))+IF(N$4="X",VLOOKUP(N$10,'VK-Võrgud'!$C:$X,2+$F142,0))</f>
        <v>15.25</v>
      </c>
      <c r="O142" s="209">
        <f t="shared" si="101"/>
        <v>31.615833333333335</v>
      </c>
      <c r="P142" s="209"/>
      <c r="Q142" s="209">
        <f>(IF(Q$7="X",VLOOKUP(Q$10,'VK-Hooned-Soojus'!$C:$X,2+$C142,FALSE),0)+IF(Q$6="X",VLOOKUP(Q$10,'VK-Transport'!$C:$X,2+$B142,0))+IF(Q$8="X",VLOOKUP(Q$10,'VK-Elekter'!$C:$X,2+$D142,0))+IF(Q$9="X",VLOOKUP(Q$10,'VK-Biokütused'!$C:$U,2+$E142,0))+IF(Q$5="X",VLOOKUP(Q$10,'VK-Põlevkivi'!$C:$X,2+$G142,0))+IF(Q$4="X",VLOOKUP(Q$10,'VK-Võrgud'!$C:$X,2+$F142,0)))/1000</f>
        <v>1.177</v>
      </c>
      <c r="R142" s="209">
        <f>(IF(R$7="X",VLOOKUP(R$10,'VK-Hooned-Soojus'!$C:$X,2+$C142,FALSE),0)+IF(R$6="X",VLOOKUP(R$10,'VK-Transport'!$C:$X,2+$B142,0))+IF(R$8="X",VLOOKUP(R$10,'VK-Elekter'!$C:$X,2+$D142,0))+IF(R$9="X",VLOOKUP(R$10,'VK-Biokütused'!$C:$U,2+$E142,0))+IF(R$5="X",VLOOKUP(R$10,'VK-Põlevkivi'!$C:$X,2+$G142,0))+IF(R$4="X",VLOOKUP(R$10,'VK-Võrgud'!$C:$X,2+$F142,0)))/1000</f>
        <v>1.62408499063732</v>
      </c>
      <c r="S142" s="226">
        <f>VLOOKUP(S$10,'VK-Hooned-Soojus'!$C:$I,2+$C142,FALSE) + VLOOKUP(S$10,'VK-Transport'!$C:$I,2+$B142,FALSE)+ VLOOKUP(S$10,'VK-Biokütused'!$C:$G,2+$E142,FALSE)+ VLOOKUP(S$10,'VK-Elekter'!$C:$I,2+$D142,FALSE)+ VLOOKUP(S$10,'VK-Põlevkivi'!$C:$I,2+$G142,FALSE)+ VLOOKUP(S$10,'VK-Võrgud'!$C:$I,2+$F142,FALSE)</f>
        <v>2.4174429154618222E-2</v>
      </c>
      <c r="T142" s="226">
        <f>VLOOKUP(T$10,'VK-Hooned-Soojus'!$C:$I,2+$C142,FALSE) + VLOOKUP(T$10,'VK-Transport'!$C:$I,2+$B142,FALSE)+ VLOOKUP(T$10,'VK-Biokütused'!$C:$G,2+$E142,FALSE)+ VLOOKUP(T$10,'VK-Elekter'!$C:$I,2+$D142,FALSE)+ VLOOKUP(T$10,'VK-Põlevkivi'!$C:$I,2+$G142,FALSE)+ VLOOKUP(T$10,'VK-Võrgud'!$C:$I,2+$F142,FALSE)</f>
        <v>3.2096321363427969E-3</v>
      </c>
      <c r="U142" s="226">
        <f>VLOOKUP(U$10,'VK-Hooned-Soojus'!$C:$I,2+$C142,FALSE) + VLOOKUP(U$10,'VK-Transport'!$C:$I,2+$B142,FALSE)+ VLOOKUP(U$10,'VK-Biokütused'!$C:$G,2+$E142,FALSE)+ VLOOKUP(U$10,'VK-Elekter'!$C:$I,2+$D142,FALSE)+ VLOOKUP(U$10,'VK-Põlevkivi'!$C:$I,2+$G142,FALSE)+ VLOOKUP(U$10,'VK-Võrgud'!$C:$I,2+$F142,FALSE)</f>
        <v>4.4609666306242024E-3</v>
      </c>
      <c r="V142" s="226">
        <f>VLOOKUP(V$10,'VK-Hooned-Soojus'!$C:$I,2+$C142,FALSE) + VLOOKUP(V$10,'VK-Transport'!$C:$I,2+$B142,FALSE)+ VLOOKUP(V$10,'VK-Biokütused'!$C:$G,2+$E142,FALSE)+ VLOOKUP(V$10,'VK-Elekter'!$C:$I,2+$D142,FALSE)+ VLOOKUP(V$10,'VK-Põlevkivi'!$C:$I,2+$G142,FALSE)+ VLOOKUP(V$10,'VK-Võrgud'!$C:$I,2+$F142,FALSE)</f>
        <v>1.9918998731180058E-2</v>
      </c>
      <c r="W142" s="226">
        <f>VLOOKUP(W$10,'VK-Hooned-Soojus'!$C:$I,2+$C142,FALSE) + VLOOKUP(W$10,'VK-Transport'!$C:$I,2+$B142,FALSE)+ VLOOKUP(W$10,'VK-Biokütused'!$C:$G,2+$E142,FALSE)+ VLOOKUP(W$10,'VK-Elekter'!$C:$I,2+$D142,FALSE)+ VLOOKUP(W$10,'VK-Põlevkivi'!$C:$I,2+$G142,FALSE)+ VLOOKUP(W$10,'VK-Võrgud'!$C:$I,2+$F142,FALSE)</f>
        <v>-6.5078310298571945E-2</v>
      </c>
      <c r="X142" s="226">
        <f>VLOOKUP(X$10,'VK-Hooned-Soojus'!$C:$I,2+$C142,FALSE) + VLOOKUP(X$10,'VK-Transport'!$C:$I,2+$B142,FALSE)+ VLOOKUP(X$10,'VK-Biokütused'!$C:$G,2+$E142,FALSE)+ VLOOKUP(X$10,'VK-Elekter'!$C:$I,2+$D142,FALSE)+ VLOOKUP(X$10,'VK-Põlevkivi'!$C:$I,2+$G142,FALSE)+ VLOOKUP(X$10,'VK-Võrgud'!$C:$I,2+$F142,FALSE)</f>
        <v>-0.19707261985704216</v>
      </c>
      <c r="Y142" s="226">
        <f>VLOOKUP(Y$10,'VK-Hooned-Soojus'!$C:$I,2+$C142,FALSE) + VLOOKUP(Y$10,'VK-Transport'!$C:$I,2+$B142,FALSE)+ VLOOKUP(Y$10,'VK-Biokütused'!$C:$G,2+$E142,FALSE)+ VLOOKUP(Y$10,'VK-Elekter'!$C:$I,2+$D142,FALSE)+ VLOOKUP(Y$10,'VK-Põlevkivi'!$C:$I,2+$G142,FALSE)+ VLOOKUP(Y$10,'VK-Võrgud'!$C:$I,2+$F142,FALSE)</f>
        <v>-0.12955712047841597</v>
      </c>
      <c r="Z142" s="227">
        <f>(S142*Tulemused!$Q$9*10+T142*Tulemused!$Q$10*10+KOMBI!U142*Tulemused!$Q$11*10+KOMBI!V142*Tulemused!$Q$12*10)*Tulemused!$Q$8+-(W142*Tulemused!$Q$14*10+KOMBI!X142*Tulemused!$Q$15*10+KOMBI!Y142*Tulemused!$Q$16*10)*Tulemused!$Q$13</f>
        <v>12.03707984995911</v>
      </c>
      <c r="AA142" s="228">
        <f>(IF(AA$7="X",VLOOKUP(AA$10,'VK-Hooned-Soojus'!$C:$X,2+$C142,FALSE),0)+IF(AA$6="X",VLOOKUP(AA$10,'VK-Transport'!$C:$X,2+$B142,0))+IF(AA$8="X",VLOOKUP(AA$10,'VK-Elekter'!$C:$X,2+$D142,0))+IF(AA$9="X",VLOOKUP(AA$10,'VK-Biokütused'!$C:$U,2+$E142,0))+IF(AA$5="X",VLOOKUP(AA$10,'VK-Põlevkivi'!$C:$X,2+$G142,0))+IF(AA$4="X",VLOOKUP(AA$10,'VK-Võrgud'!$C:$X,2+$F142,0)))</f>
        <v>0</v>
      </c>
      <c r="AB142" s="228">
        <f>(IF(AB$7="X",VLOOKUP(AB$10,'VK-Hooned-Soojus'!$C:$X,2+$C142,FALSE),0)+IF(AB$6="X",VLOOKUP(AB$10,'VK-Transport'!$C:$X,2+$B142,0))+IF(AB$8="X",VLOOKUP(AB$10,'VK-Elekter'!$C:$X,2+$D142,0))+IF(AB$9="X",VLOOKUP(AB$10,'VK-Biokütused'!$C:$U,2+$E142,0))+IF(AB$5="X",VLOOKUP(AB$10,'VK-Põlevkivi'!$C:$X,2+$G142,0))+IF(AB$4="X",VLOOKUP(AB$10,'VK-Võrgud'!$C:$X,2+$F142,0)))</f>
        <v>1177</v>
      </c>
      <c r="AC142" s="228">
        <f>(IF(AC$7="X",VLOOKUP(AC$10,'VK-Hooned-Soojus'!$C:$X,2+$C142,FALSE),0)+IF(AC$6="X",VLOOKUP(AC$10,'VK-Transport'!$C:$X,2+$B142,0))+IF(AC$8="X",VLOOKUP(AC$10,'VK-Elekter'!$C:$X,2+$D142,0))+IF(AC$9="X",VLOOKUP(AC$10,'VK-Biokütused'!$C:$U,2+$E142,0))+IF(AC$5="X",VLOOKUP(AC$10,'VK-Põlevkivi'!$C:$X,2+$G142,0))+IF(AC$4="X",VLOOKUP(AC$10,'VK-Võrgud'!$C:$X,2+$F142,0)))</f>
        <v>2346</v>
      </c>
      <c r="AD142" s="228">
        <f>(IF(AD$7="X",VLOOKUP(AD$10,'VK-Hooned-Soojus'!$C:$X,2+$C142,FALSE),0)+IF(AD$6="X",VLOOKUP(AD$10,'VK-Transport'!$C:$X,2+$B142,0))+IF(AD$8="X",VLOOKUP(AD$10,'VK-Elekter'!$C:$X,2+$D142,0))+IF(AD$9="X",VLOOKUP(AD$10,'VK-Biokütused'!$C:$U,2+$E142,0))+IF(AD$5="X",VLOOKUP(AD$10,'VK-Põlevkivi'!$C:$X,2+$G142,0))+IF(AD$4="X",VLOOKUP(AD$10,'VK-Võrgud'!$C:$X,2+$F142,0)))</f>
        <v>586.20000000000005</v>
      </c>
      <c r="AE142" s="228">
        <f>(IF(AE$7="X",VLOOKUP(AE$10,'VK-Hooned-Soojus'!$C:$X,2+$C142,FALSE),0)+IF(AE$6="X",VLOOKUP(AE$10,'VK-Transport'!$C:$X,2+$B142,0))+IF(AE$8="X",VLOOKUP(AE$10,'VK-Elekter'!$C:$X,2+$D142,0))+IF(AE$9="X",VLOOKUP(AE$10,'VK-Biokütused'!$C:$U,2+$E142,0))+IF(AE$5="X",VLOOKUP(AE$10,'VK-Põlevkivi'!$C:$X,2+$G142,0))+IF(AE$4="X",VLOOKUP(AE$10,'VK-Võrgud'!$C:$X,2+$F142,0)))</f>
        <v>507</v>
      </c>
      <c r="AF142" s="228">
        <f>(IF(AF$7="X",VLOOKUP(AF$10,'VK-Hooned-Soojus'!$C:$X,2+$C142,FALSE),0)+IF(AF$6="X",VLOOKUP(AF$10,'VK-Transport'!$C:$X,2+$B142,0))+IF(AF$8="X",VLOOKUP(AF$10,'VK-Elekter'!$C:$X,2+$D142,0))+IF(AF$9="X",VLOOKUP(AF$10,'VK-Biokütused'!$C:$U,2+$E142,0))+IF(AF$5="X",VLOOKUP(AF$10,'VK-Põlevkivi'!$C:$X,2+$G142,0))+IF(AF$4="X",VLOOKUP(AF$10,'VK-Võrgud'!$C:$X,2+$F142,0)))</f>
        <v>530.88499063732002</v>
      </c>
      <c r="AG142" s="209"/>
      <c r="AH142" s="209">
        <f>IF(AH$7="X",VLOOKUP(AH$10,'VK-Hooned-Soojus'!$C:$X,2+$C142,FALSE),0)+IF(AH$6="X",VLOOKUP(AH$10,'VK-Transport'!$C:$X,2+$B142,0))+IF(AH$8="X",VLOOKUP(AH$10,'VK-Elekter'!$C:$X,2+$D142,0))+IF(AH$9="X",VLOOKUP(AH$10,'VK-Biokütused'!$C:$U,2+$E142,0))+IF(AH$5="X",VLOOKUP(AH$10,'VK-Põlevkivi'!$C:$X,2+$G142,0))+IF(AH$4="X",VLOOKUP(AH$10,'VK-Võrgud'!$C:$X,2+$F142,0))</f>
        <v>0</v>
      </c>
      <c r="AI142" s="209">
        <f>IF(AI$7="X",VLOOKUP(AI$10,'VK-Hooned-Soojus'!$C:$X,2+$C142,FALSE),0)+IF(AI$6="X",VLOOKUP(AI$10,'VK-Transport'!$C:$X,2+$B142,0))+IF(AI$8="X",VLOOKUP(AI$10,'VK-Elekter'!$C:$X,2+$D142,0))+IF(AI$9="X",VLOOKUP(AI$10,'VK-Biokütused'!$C:$U,2+$E142,0))+IF(AI$5="X",VLOOKUP(AI$10,'VK-Põlevkivi'!$C:$X,2+$G142,0))+IF(AI$4="X",VLOOKUP(AI$10,'VK-Võrgud'!$C:$X,2+$F142,0))</f>
        <v>11.489999999999998</v>
      </c>
      <c r="AJ142" s="209">
        <f>IF(AJ$7="X",VLOOKUP(AJ$10,'VK-Hooned-Soojus'!$C:$X,2+$C142,FALSE),0)+IF(AJ$6="X",VLOOKUP(AJ$10,'VK-Transport'!$C:$X,2+$B142,0))+IF(AJ$8="X",VLOOKUP(AJ$10,'VK-Elekter'!$C:$X,2+$D142,0))+IF(AJ$9="X",VLOOKUP(AJ$10,'VK-Biokütused'!$C:$U,2+$E142,0))+IF(AJ$5="X",VLOOKUP(AJ$10,'VK-Põlevkivi'!$C:$X,2+$G142,0))+IF(AJ$4="X",VLOOKUP(AJ$10,'VK-Võrgud'!$C:$X,2+$F142,0))</f>
        <v>0</v>
      </c>
      <c r="AK142" s="209">
        <f>IF(AK$7="X",VLOOKUP(AK$10,'VK-Hooned-Soojus'!$C:$X,2+$C142,FALSE),0)+IF(AK$6="X",VLOOKUP(AK$10,'VK-Transport'!$C:$X,2+$B142,0))+IF(AK$8="X",VLOOKUP(AK$10,'VK-Elekter'!$C:$X,2+$D142,0))+IF(AK$9="X",VLOOKUP(AK$10,'VK-Biokütused'!$C:$U,2+$E142,0))+IF(AK$5="X",VLOOKUP(AK$10,'VK-Põlevkivi'!$C:$X,2+$G142,0))+IF(AK$4="X",VLOOKUP(AK$10,'VK-Võrgud'!$C:$X,2+$F142,0))</f>
        <v>3.65</v>
      </c>
      <c r="AL142" s="209">
        <f>IF(AL$7="X",VLOOKUP(AL$10,'VK-Hooned-Soojus'!$C:$X,2+$C142,FALSE),0)+IF(AL$6="X",VLOOKUP(AL$10,'VK-Transport'!$C:$X,2+$B142,0))+IF(AL$8="X",VLOOKUP(AL$10,'VK-Elekter'!$C:$X,2+$D142,0))+IF(AL$9="X",VLOOKUP(AL$10,'VK-Biokütused'!$C:$U,2+$E142,0))+IF(AL$5="X",VLOOKUP(AL$10,'VK-Põlevkivi'!$C:$X,2+$G142,0))+IF(AL$4="X",VLOOKUP(AL$10,'VK-Võrgud'!$C:$X,2+$F142,0))</f>
        <v>7.1</v>
      </c>
      <c r="AM142" s="209">
        <f>IF(AM$7="X",VLOOKUP(AM$10,'VK-Hooned-Soojus'!$C:$X,2+$C142,FALSE),0)+IF(AM$6="X",VLOOKUP(AM$10,'VK-Transport'!$C:$X,2+$B142,0))+IF(AM$8="X",VLOOKUP(AM$10,'VK-Elekter'!$C:$X,2+$D142,0))+IF(AM$9="X",VLOOKUP(AM$10,'VK-Biokütused'!$C:$U,2+$E142,0))+IF(AM$5="X",VLOOKUP(AM$10,'VK-Põlevkivi'!$C:$X,2+$G142,0))+IF(AM$4="X",VLOOKUP(AM$10,'VK-Võrgud'!$C:$X,2+$F142,0))</f>
        <v>11.5</v>
      </c>
      <c r="AN142" s="209">
        <f>IF(AN$7="X",VLOOKUP(AN$10,'VK-Hooned-Soojus'!$C:$X,2+$C142,FALSE),0)+IF(AN$6="X",VLOOKUP(AN$10,'VK-Transport'!$C:$X,2+$B142,0))+IF(AN$8="X",VLOOKUP(AN$10,'VK-Elekter'!$C:$X,2+$D142,0))+IF(AN$9="X",VLOOKUP(AN$10,'VK-Biokütused'!$C:$U,2+$E142,0))+IF(AN$5="X",VLOOKUP(AN$10,'VK-Põlevkivi'!$C:$X,2+$G142,0))+IF(AN$4="X",VLOOKUP(AN$10,'VK-Võrgud'!$C:$X,2+$F142,0))</f>
        <v>4.0999999999999996</v>
      </c>
      <c r="AO142" s="209">
        <f>IF(AO$7="X",VLOOKUP(AO$10,'VK-Hooned-Soojus'!$C:$X,2+$C142,FALSE),0)+IF(AO$6="X",VLOOKUP(AO$10,'VK-Transport'!$C:$X,2+$B142,0))+IF(AO$8="X",VLOOKUP(AO$10,'VK-Elekter'!$C:$X,2+$D142,0))+IF(AO$9="X",VLOOKUP(AO$10,'VK-Biokütused'!$C:$U,2+$E142,0))+IF(AO$5="X",VLOOKUP(AO$10,'VK-Põlevkivi'!$C:$X,2+$G142,0))+IF(AO$4="X",VLOOKUP(AO$10,'VK-Võrgud'!$C:$X,2+$F142,0))</f>
        <v>21.34</v>
      </c>
      <c r="AP142" s="209">
        <f>IF(AP$7="X",VLOOKUP(AP$10,'VK-Hooned-Soojus'!$C:$X,2+$C142,FALSE),0)+IF(AP$6="X",VLOOKUP(AP$10,'VK-Transport'!$C:$X,2+$B142,0))+IF(AP$8="X",VLOOKUP(AP$10,'VK-Elekter'!$C:$X,2+$D142,0))+IF(AP$9="X",VLOOKUP(AP$10,'VK-Biokütused'!$C:$U,2+$E142,0))+IF(AP$5="X",VLOOKUP(AP$10,'VK-Põlevkivi'!$C:$X,2+$G142,0))+IF(AP$4="X",VLOOKUP(AP$10,'VK-Võrgud'!$C:$X,2+$F142,0))</f>
        <v>10.67</v>
      </c>
      <c r="AQ142" s="320">
        <f t="shared" si="102"/>
        <v>9.0399999999999991</v>
      </c>
      <c r="AR142" s="209">
        <f>IF(AR$7="X",VLOOKUP(AR$10,'VK-Hooned-Soojus'!$C:$X,2+$C142,FALSE),0)+IF(AR$6="X",VLOOKUP(AR$10,'VK-Transport'!$C:$X,2+$B142,0))+IF(AR$8="X",VLOOKUP(AR$10,'VK-Elekter'!$C:$X,2+$D142,0))+IF(AR$9="X",VLOOKUP(AR$10,'VK-Biokütused'!$C:$U,2+$E142,0))+IF(AR$5="X",VLOOKUP(AR$10,'VK-Põlevkivi'!$C:$X,2+$G142,0))+IF(AR$4="X",VLOOKUP(AR$10,'VK-Võrgud'!$C:$X,2+$F142,0))</f>
        <v>0</v>
      </c>
      <c r="AS142" s="320">
        <f>VLOOKUP("Kütuste tarbimine @ 2030 - UTTEGAAS",'VK-Hooned-Soojus'!$C:$X,2+$C142,FALSE)/0.172+VLOOKUP("Kütuste tarbimine @ 2030 - UTTEGAAS",'VK-Elekter'!$C:$X,2+$D142,FALSE)/0.172-AR142-AU142</f>
        <v>0</v>
      </c>
      <c r="AT142" s="209">
        <f>IF(AT$7="X",VLOOKUP(AT$10,'VK-Hooned-Soojus'!$C:$X,2+$C142,FALSE),0)+IF(AT$6="X",VLOOKUP(AT$10,'VK-Transport'!$C:$X,2+$B142,0))+IF(AT$8="X",VLOOKUP(AT$10,'VK-Elekter'!$C:$X,2+$D142,0))+IF(AT$9="X",VLOOKUP(AT$10,'VK-Biokütused'!$C:$U,2+$E142,0))+IF(AT$5="X",VLOOKUP(AT$10,'VK-Põlevkivi'!$C:$X,2+$G142,0))+IF(AT$4="X",VLOOKUP(AT$10,'VK-Võrgud'!$C:$X,2+$F142,0))</f>
        <v>5.7045296564339489</v>
      </c>
      <c r="AU142" s="229">
        <f>MAX(0,(VLOOKUP("Kütuste tarbimine @ 2030 - UTTEGAAS",'VK-Hooned-Soojus'!$C:$X,2+$C142,FALSE)/0.172+VLOOKUP("Kütuste tarbimine @ 2030 - UTTEGAAS",'VK-Elekter'!$C:$X,2+$D142,FALSE)/0.172)*0.52-VLOOKUP("Kütuste tarbimine @ 2030 - PÕLEVKIVIÕLI",'VK-Hooned-Soojus'!$C:$X,2+$C142,FALSE))</f>
        <v>0</v>
      </c>
      <c r="AV142" s="209">
        <f>IF(AV$7="X",VLOOKUP(AV$10,'VK-Hooned-Soojus'!$C:$X,2+$C142,FALSE),0)+IF(AV$6="X",VLOOKUP(AV$10,'VK-Transport'!$C:$X,2+$B142,0))+IF(AV$8="X",VLOOKUP(AV$10,'VK-Elekter'!$C:$X,2+$D142,0))+IF(AV$9="X",VLOOKUP(AV$10,'VK-Biokütused'!$C:$U,2+$E142,0))+IF(AV$5="X",VLOOKUP(AV$10,'VK-Põlevkivi'!$C:$X,2+$G142,0))+IF(AV$4="X",VLOOKUP(AV$10,'VK-Võrgud'!$C:$X,2+$F142,0))</f>
        <v>2.1219844082566364</v>
      </c>
      <c r="AW142" s="209">
        <f>IF(AW$7="X",VLOOKUP(AW$10,'VK-Hooned-Soojus'!$C:$X,2+$C142,FALSE),0)+IF(AW$6="X",VLOOKUP(AW$10,'VK-Transport'!$C:$X,2+$B142,0))+IF(AW$8="X",VLOOKUP(AW$10,'VK-Elekter'!$C:$X,2+$D142,0))+IF(AW$9="X",VLOOKUP(AW$10,'VK-Biokütused'!$C:$U,2+$E142,0))+IF(AW$5="X",VLOOKUP(AW$10,'VK-Põlevkivi'!$C:$X,2+$G142,0))+IF(AW$4="X",VLOOKUP(AW$10,'VK-Võrgud'!$C:$X,2+$F142,0))</f>
        <v>4.2799999999999994</v>
      </c>
      <c r="AX142" s="229">
        <f t="shared" si="103"/>
        <v>2.158015591743363</v>
      </c>
      <c r="AY142" s="229">
        <f t="shared" si="104"/>
        <v>0</v>
      </c>
      <c r="AZ142" s="230">
        <f t="shared" si="105"/>
        <v>0.57876561984549779</v>
      </c>
      <c r="BA142" s="209">
        <f>IF(BA$7="X",VLOOKUP(BA$10,'VK-Hooned-Soojus'!$C:$X,2+$C142,FALSE),0)+IF(BA$6="X",VLOOKUP(BA$10,'VK-Transport'!$C:$X,2+$B142,0))+IF(BA$8="X",VLOOKUP(BA$10,'VK-Elekter'!$C:$X,2+$D142,0))+IF(BA$9="X",VLOOKUP(BA$10,'VK-Biokütused'!$C:$U,2+$E142,0))+IF(BA$5="X",VLOOKUP(BA$10,'VK-Põlevkivi'!$C:$X,2+$G142,0))+IF(BA$4="X",VLOOKUP(BA$10,'VK-Võrgud'!$C:$X,2+$F142,0))</f>
        <v>0</v>
      </c>
      <c r="BB142" s="209">
        <f>IF(BB$7="X",VLOOKUP(BB$10,'VK-Hooned-Soojus'!$C:$X,2+$C142,FALSE),0)+IF(BB$6="X",VLOOKUP(BB$10,'VK-Transport'!$C:$X,2+$B142,0))+IF(BB$8="X",VLOOKUP(BB$10,'VK-Elekter'!$C:$X,2+$D142,0))+IF(BB$9="X",VLOOKUP(BB$10,'VK-Biokütused'!$C:$U,2+$E142,0))+IF(BB$5="X",VLOOKUP(BB$10,'VK-Põlevkivi'!$C:$X,2+$G142,0))+IF(BB$4="X",VLOOKUP(BB$10,'VK-Võrgud'!$C:$X,2+$F142,0))</f>
        <v>6.32</v>
      </c>
      <c r="BC142" s="209">
        <f>IF(BC$7="X",VLOOKUP(BC$10,'VK-Hooned-Soojus'!$C:$X,2+$C142,FALSE),0)+IF(BC$6="X",VLOOKUP(BC$10,'VK-Transport'!$C:$X,2+$B142,0))+IF(BC$8="X",VLOOKUP(BC$10,'VK-Elekter'!$C:$X,2+$D142,0))+IF(BC$9="X",VLOOKUP(BC$10,'VK-Biokütused'!$C:$U,2+$E142,0))+IF(BC$5="X",VLOOKUP(BC$10,'VK-Põlevkivi'!$C:$X,2+$G142,0))+IF(BC$4="X",VLOOKUP(BC$10,'VK-Võrgud'!$C:$X,2+$F142,0))</f>
        <v>5.2376666666666667</v>
      </c>
      <c r="BD142" s="209">
        <f>IF(BD$7="X",VLOOKUP(BD$10,'VK-Hooned-Soojus'!$C:$X,2+$C142,FALSE),0)+IF(BD$6="X",VLOOKUP(BD$10,'VK-Transport'!$C:$X,2+$B142,0))+IF(BD$8="X",VLOOKUP(BD$10,'VK-Elekter'!$C:$X,2+$D142,0))+IF(BD$9="X",VLOOKUP(BD$10,'VK-Biokütused'!$C:$U,2+$E142,0))+IF(BD$5="X",VLOOKUP(BD$10,'VK-Põlevkivi'!$C:$X,2+$G142,0))+IF(BD$4="X",VLOOKUP(BD$10,'VK-Võrgud'!$C:$X,2+$F142,0))</f>
        <v>9.1105555555555569</v>
      </c>
      <c r="BE142" s="230"/>
      <c r="BF142" s="229">
        <f t="shared" si="106"/>
        <v>0.64611056303807113</v>
      </c>
      <c r="BG142" s="209" t="e">
        <f>(IF(BG$7="X",VLOOKUP(BG$10,'VK-Hooned-Soojus'!$C:$X,2+$C142,FALSE),0)+IF(BG$6="X",VLOOKUP(BG$10,'VK-Transport'!$C:$X,2+$B142,0))+IF(BG$8="X",VLOOKUP(BG$10,'VK-Elekter'!$C:$X,2+$D142,0))+IF(BG$9="X",VLOOKUP(BG$10,'VK-Biokütused'!$C:$U,2+$E142,0))+IF(BG$5="X",VLOOKUP(BG$10,'VK-Põlevkivi'!$C:$X,2+$G142,0))+IF(BG$4="X",VLOOKUP(BG$10,'VK-Võrgud'!$C:$X,2+$F142,0)))/20</f>
        <v>#N/A</v>
      </c>
      <c r="BH142" s="209">
        <f>(IF(BH$7="X",VLOOKUP(BH$10,'VK-Hooned-Soojus'!$C:$X,2+$C142,FALSE),0)+IF(BH$6="X",VLOOKUP(BH$10,'VK-Transport'!$C:$X,2+$B142,0))+IF(BH$8="X",VLOOKUP(BH$10,'VK-Elekter'!$C:$X,2+$D142,0))+IF(BH$9="X",VLOOKUP(BH$10,'VK-Biokütused'!$C:$U,2+$E142,0))+IF(BH$5="X",VLOOKUP(BH$10,'VK-Põlevkivi'!$C:$X,2+$G142,0))+IF(BH$4="X",VLOOKUP(BH$10,'VK-Võrgud'!$C:$X,2+$F142,0)))/20</f>
        <v>84.204999999999998</v>
      </c>
      <c r="BI142" s="209">
        <f>(IF(BI$7="X",VLOOKUP(BI$10,'VK-Hooned-Soojus'!$C:$X,2+$C142,FALSE),0)+IF(BI$6="X",VLOOKUP(BI$10,'VK-Transport'!$C:$X,2+$B142,0))+IF(BI$8="X",VLOOKUP(BI$10,'VK-Elekter'!$C:$X,2+$D142,0))+IF(BI$9="X",VLOOKUP(BI$10,'VK-Biokütused'!$C:$U,2+$E142,0))+IF(BI$5="X",VLOOKUP(BI$10,'VK-Põlevkivi'!$C:$X,2+$G142,0))+IF(BI$4="X",VLOOKUP(BI$10,'VK-Võrgud'!$C:$X,2+$F142,0)))/16</f>
        <v>8.9375</v>
      </c>
      <c r="BJ142" s="209">
        <f>(IF(BJ$7="X",VLOOKUP(BJ$10,'VK-Hooned-Soojus'!$C:$X,2+$C142,FALSE),0)+IF(BJ$6="X",VLOOKUP(BJ$10,'VK-Transport'!$C:$X,2+$B142,0))+IF(BJ$8="X",VLOOKUP(BJ$10,'VK-Elekter'!$C:$X,2+$D142,0))+IF(BJ$9="X",VLOOKUP(BJ$10,'VK-Biokütused'!$C:$U,2+$E142,0))+IF(BJ$5="X",VLOOKUP(BJ$10,'VK-Põlevkivi'!$C:$X,2+$G142,0))+IF(BJ$4="X",VLOOKUP(BJ$10,'VK-Võrgud'!$C:$X,2+$F142,0)))/20</f>
        <v>5.33</v>
      </c>
      <c r="BK142" s="209"/>
      <c r="BL142" s="209"/>
      <c r="BM142" s="209"/>
      <c r="BN142" s="209" t="e">
        <f>(IF(BN$7="X",VLOOKUP(BN$10,'VK-Hooned-Soojus'!$C:$X,2+$C142,FALSE),0)+IF(BN$6="X",VLOOKUP(BN$10,'VK-Transport'!$C:$X,2+$B142,0))+IF(BN$8="X",VLOOKUP(BN$10,'VK-Elekter'!$C:$X,2+$D142,0))+IF(BN$9="X",VLOOKUP(BN$10,'VK-Biokütused'!$C:$U,2+$E142,0))+IF(BN$5="X",VLOOKUP(BN$10,'VK-Põlevkivi'!$C:$X,2+$G142,0))+IF(BN$4="X",VLOOKUP(BN$10,'VK-Võrgud'!$C:$X,2+$F142,0)))/16</f>
        <v>#N/A</v>
      </c>
      <c r="BO142" s="209">
        <f>(IF(BO$7="X",VLOOKUP(BO$10,'VK-Hooned-Soojus'!$C:$X,2+$C142,FALSE),0)+IF(BO$6="X",VLOOKUP(BO$10,'VK-Transport'!$C:$X,2+$B142,0))+IF(BO$8="X",VLOOKUP(BO$10,'VK-Elekter'!$C:$X,2+$D142,0))+IF(BO$9="X",VLOOKUP(BO$10,'VK-Biokütused'!$C:$U,2+$E142,0))+IF(BO$5="X",VLOOKUP(BO$10,'VK-Põlevkivi'!$C:$X,2+$G142,0))+IF(BO$4="X",VLOOKUP(BO$10,'VK-Võrgud'!$C:$X,2+$F142,0)))/16</f>
        <v>322.79374999999999</v>
      </c>
      <c r="BP142" s="209"/>
      <c r="BQ142" s="209">
        <f>(IF(BQ$7="X",VLOOKUP(BQ$10,'VK-Hooned-Soojus'!$C:$X,2+$C142,FALSE),0)+IF(BQ$6="X",VLOOKUP(BQ$10,'VK-Transport'!$C:$X,2+$B142,0))+IF(BQ$8="X",VLOOKUP(BQ$10,'VK-Elekter'!$C:$X,2+$D142,0))+IF(BQ$9="X",VLOOKUP(BQ$10,'VK-Biokütused'!$C:$U,2+$E142,0))+IF(BQ$5="X",VLOOKUP(BQ$10,'VK-Põlevkivi'!$C:$X,2+$G142,0))+IF(BQ$4="X",VLOOKUP(BQ$10,'VK-Võrgud'!$C:$X,2+$F142,0)))/16</f>
        <v>233.20625000000001</v>
      </c>
      <c r="BR142" s="209">
        <f>(IF(BR$7="X",VLOOKUP(BR$10,'VK-Hooned-Soojus'!$C:$X,2+$C142,FALSE),0)+IF(BR$6="X",VLOOKUP(BR$10,'VK-Transport'!$C:$X,2+$B142,0))+IF(BR$8="X",VLOOKUP(BR$10,'VK-Elekter'!$C:$X,2+$D142,0))+IF(BR$9="X",VLOOKUP(BR$10,'VK-Biokütused'!$C:$U,2+$E142,0))+IF(BR$5="X",VLOOKUP(BR$10,'VK-Põlevkivi'!$C:$X,2+$G142,0))+IF(BR$4="X",VLOOKUP(BR$10,'VK-Võrgud'!$C:$X,2+$F142,0)))/16</f>
        <v>74.512500000000003</v>
      </c>
      <c r="BS142" s="209">
        <f>(IF(BS$7="X",VLOOKUP(BS$10,'VK-Hooned-Soojus'!$C:$X,2+$C142,FALSE),0)+IF(BS$6="X",VLOOKUP(BS$10,'VK-Transport'!$C:$X,2+$B142,0))+IF(BS$8="X",VLOOKUP(BS$10,'VK-Elekter'!$C:$X,2+$D142,0))+IF(BS$9="X",VLOOKUP(BS$10,'VK-Biokütused'!$C:$U,2+$E142,0))+IF(BS$5="X",VLOOKUP(BS$10,'VK-Põlevkivi'!$C:$X,2+$G142,0))+IF(BS$4="X",VLOOKUP(BS$10,'VK-Võrgud'!$C:$X,2+$F142,0)))/16</f>
        <v>-21.475000000000001</v>
      </c>
      <c r="BT142" s="209"/>
      <c r="BU142" s="209"/>
      <c r="BV142" s="209">
        <f>(IF(BV$7="X",VLOOKUP(BV$10,'VK-Hooned-Soojus'!$C:$X,2+$C142,FALSE),0)+IF(BV$6="X",VLOOKUP(BV$10,'VK-Transport'!$C:$X,2+$B142,0))+IF(BV$8="X",VLOOKUP(BV$10,'VK-Elekter'!$C:$X,2+$D142,0))+IF(BV$9="X",VLOOKUP(BV$10,'VK-Biokütused'!$C:$U,2+$E142,0))+IF(BV$5="X",VLOOKUP(BV$10,'VK-Põlevkivi'!$C:$X,2+$G142,0))+IF(BV$4="X",VLOOKUP(BV$10,'VK-Võrgud'!$C:$X,2+$F142,0)))/16</f>
        <v>0</v>
      </c>
      <c r="BW142" s="209"/>
      <c r="BX142" s="209">
        <f>(IF(BX$7="X",VLOOKUP(BX$10,'VK-Hooned-Soojus'!$C:$X,2+$C142,FALSE),0)+IF(BX$6="X",VLOOKUP(BX$10,'VK-Transport'!$C:$X,2+$B142,0))+IF(BX$8="X",VLOOKUP(BX$10,'VK-Elekter'!$C:$X,2+$D142,0))+IF(BX$9="X",VLOOKUP(BX$10,'VK-Biokütused'!$C:$U,2+$E142,0))+IF(BX$5="X",VLOOKUP(BX$10,'VK-Põlevkivi'!$C:$X,2+$G142,0))+IF(BX$4="X",VLOOKUP(BX$10,'VK-Võrgud'!$C:$X,2+$F142,0)))/16</f>
        <v>-19.25</v>
      </c>
      <c r="BY142" s="209"/>
      <c r="BZ142" s="209"/>
      <c r="CA142" s="209" t="e">
        <f>(IF(CA$7="X",VLOOKUP(CA$10,'VK-Hooned-Soojus'!$C:$X,2+$C142,FALSE),0)+IF(CA$6="X",VLOOKUP(CA$10,'VK-Transport'!$C:$X,2+$B142,0))+IF(CA$8="X",VLOOKUP(CA$10,'VK-Elekter'!$C:$X,2+$D142,0))+IF(CA$9="X",VLOOKUP(CA$10,'VK-Biokütused'!$C:$U,2+$E142,0))+IF(CA$5="X",VLOOKUP(CA$10,'VK-Põlevkivi'!$C:$X,2+$G142,0))+IF(CA$4="X",VLOOKUP(CA$10,'VK-Võrgud'!$C:$X,2+$F142,0)))/16</f>
        <v>#N/A</v>
      </c>
      <c r="CB142" s="209">
        <f>(IF(CB$7="X",VLOOKUP(CB$10,'VK-Hooned-Soojus'!$C:$X,2+$C142,FALSE),0)+IF(CB$6="X",VLOOKUP(CB$10,'VK-Transport'!$C:$X,2+$B142,0))+IF(CB$8="X",VLOOKUP(CB$10,'VK-Elekter'!$C:$X,2+$D142,0))+IF(CB$9="X",VLOOKUP(CB$10,'VK-Biokütused'!$C:$U,2+$E142,0))+IF(CB$5="X",VLOOKUP(CB$10,'VK-Põlevkivi'!$C:$X,2+$G142,0))+IF(CB$4="X",VLOOKUP(CB$10,'VK-Võrgud'!$C:$X,2+$F142,0)))/16</f>
        <v>0</v>
      </c>
      <c r="CC142" s="209">
        <f>(IF(CC$7="X",VLOOKUP(CC$10,'VK-Hooned-Soojus'!$C:$X,2+$C142,FALSE),0)+IF(CC$6="X",VLOOKUP(CC$10,'VK-Transport'!$C:$X,2+$B142,0))+IF(CC$8="X",VLOOKUP(CC$10,'VK-Elekter'!$C:$X,2+$D142,0))+IF(CC$9="X",VLOOKUP(CC$10,'VK-Biokütused'!$C:$U,2+$E142,0))+IF(CC$5="X",VLOOKUP(CC$10,'VK-Põlevkivi'!$C:$X,2+$G142,0))+IF(CC$4="X",VLOOKUP(CC$10,'VK-Võrgud'!$C:$X,2+$F142,0)))/16</f>
        <v>0</v>
      </c>
      <c r="CD142" s="209"/>
      <c r="CE142" s="209">
        <f>(IF(CE$7="X",VLOOKUP(CE$10,'VK-Hooned-Soojus'!$C:$X,2+$C142,FALSE),0)+IF(CE$6="X",VLOOKUP(CE$10,'VK-Transport'!$C:$X,2+$B142,0))+IF(CE$8="X",VLOOKUP(CE$10,'VK-Elekter'!$C:$X,2+$D142,0))+IF(CE$9="X",VLOOKUP(CE$10,'VK-Biokütused'!$C:$U,2+$E142,0))+IF(CE$5="X",VLOOKUP(CE$10,'VK-Põlevkivi'!$C:$X,2+$G142,0))+IF(CE$4="X",VLOOKUP(CE$10,'VK-Võrgud'!$C:$X,2+$F142,0)))/16</f>
        <v>24.15625</v>
      </c>
      <c r="CF142" s="209"/>
      <c r="CG142" s="209">
        <f>(IF(CG$7="X",VLOOKUP(CG$10,'VK-Hooned-Soojus'!$C:$X,2+$C142,FALSE),0)+IF(CG$6="X",VLOOKUP(CG$10,'VK-Transport'!$C:$X,2+$B142,0))+IF(CG$8="X",VLOOKUP(CG$10,'VK-Elekter'!$C:$X,2+$D142,0))+IF(CG$9="X",VLOOKUP(CG$10,'VK-Biokütused'!$C:$U,2+$E142,0))+IF(CG$5="X",VLOOKUP(CG$10,'VK-Põlevkivi'!$C:$X,2+$G142,0))+IF(CG$4="X",VLOOKUP(CG$10,'VK-Võrgud'!$C:$X,2+$F142,0)))/16</f>
        <v>0</v>
      </c>
      <c r="CH142" s="209">
        <f>(IF(CH$7="X",VLOOKUP(CH$10,'VK-Hooned-Soojus'!$C:$X,2+$C142,FALSE),0)+IF(CH$6="X",VLOOKUP(CH$10,'VK-Transport'!$C:$X,2+$B142,0))+IF(CH$8="X",VLOOKUP(CH$10,'VK-Elekter'!$C:$X,2+$D142,0))+IF(CH$9="X",VLOOKUP(CH$10,'VK-Biokütused'!$C:$U,2+$E142,0))+IF(CH$5="X",VLOOKUP(CH$10,'VK-Põlevkivi'!$C:$X,2+$G142,0))+IF(CH$4="X",VLOOKUP(CH$10,'VK-Võrgud'!$C:$X,2+$F142,0)))/20*0.21</f>
        <v>26.9178</v>
      </c>
      <c r="CI142" s="209"/>
      <c r="CJ142" s="209">
        <f>(IF(CJ$7="X",VLOOKUP(CJ$10,'VK-Hooned-Soojus'!$C:$X,2+$C142,FALSE),0)+IF(CJ$6="X",VLOOKUP(CJ$10,'VK-Transport'!$C:$X,2+$B142,0))+IF(CJ$8="X",VLOOKUP(CJ$10,'VK-Elekter'!$C:$X,2+$D142,0))+IF(CJ$9="X",VLOOKUP(CJ$10,'VK-Biokütused'!$C:$U,2+$E142,0))+IF(CJ$5="X",VLOOKUP(CJ$10,'VK-Põlevkivi'!$C:$X,2+$G142,0))+IF(CJ$4="X",VLOOKUP(CJ$10,'VK-Võrgud'!$C:$X,2+$F142,0)))/1000</f>
        <v>16.029721793242818</v>
      </c>
      <c r="CK142" s="209">
        <f>(IF(CK$7="X",VLOOKUP(CK$10,'VK-Hooned-Soojus'!$C:$X,2+$C142,FALSE),0)+IF(CK$6="X",VLOOKUP(CK$10,'VK-Transport'!$C:$X,2+$B142,0))+IF(CK$8="X",VLOOKUP(CK$10,'VK-Elekter'!$C:$X,2+$D142,0))+IF(CK$9="X",VLOOKUP(CK$10,'VK-Biokütused'!$C:$U,2+$E142,0))+IF(CK$5="X",VLOOKUP(CK$10,'VK-Põlevkivi'!$C:$X,2+$G142,0))+IF(CK$4="X",VLOOKUP(CK$10,'VK-Võrgud'!$C:$X,2+$F142,0)))/1000</f>
        <v>6.0056988012134216</v>
      </c>
      <c r="CL142" s="235">
        <f>(IF(CL$7="X",VLOOKUP(CL$10,'VK-Hooned-Soojus'!$C:$X,2+$C142,FALSE),0)+IF(CL$6="X",VLOOKUP(CL$10,'VK-Transport'!$C:$X,2+$B142,0))+IF(CL$8="X",VLOOKUP(CL$10,'VK-Elekter'!$C:$X,2+$D142,0))+IF(CL$9="X",VLOOKUP(CL$10,'VK-Biokütused'!$C:$U,2+$E142,0)))/1000</f>
        <v>3.4793975506064014</v>
      </c>
      <c r="CM142" s="209">
        <f>(IF(CM$7="X",VLOOKUP(CM$10,'VK-Hooned-Soojus'!$C:$X,2+$C142,FALSE),0)+IF(CM$6="X",VLOOKUP(CM$10,'VK-Transport'!$C:$X,2+$B142,0))+IF(CM$8="X",VLOOKUP(CM$10,'VK-Elekter'!$C:$X,2+$D142,0))+IF(CM$9="X",VLOOKUP(CM$10,'VK-Biokütused'!$C:$U,2+$E142,0))+IF(CM$5="X",VLOOKUP(CM$10,'VK-Põlevkivi'!$C:$X,2+$G142,0))+IF(CM$4="X",VLOOKUP(CM$10,'VK-Võrgud'!$C:$X,2+$F142,0)))/1000</f>
        <v>7.6038313570900957</v>
      </c>
      <c r="CN142" s="209">
        <f>(IF(CN$7="X",VLOOKUP(CN$10,'VK-Hooned-Soojus'!$C:$X,2+$C142,FALSE),0)+IF(CN$6="X",VLOOKUP(CN$10,'VK-Transport'!$C:$X,2+$B142,0))+IF(CN$8="X",VLOOKUP(CN$10,'VK-Elekter'!$C:$X,2+$D142,0))+IF(CN$9="X",VLOOKUP(CN$10,'VK-Biokütused'!$C:$U,2+$E142,0))+IF(CN$5="X",VLOOKUP(CN$10,'VK-Põlevkivi'!$C:$X,2+$G142,0))+IF(CN$4="X",VLOOKUP(CN$10,'VK-Võrgud'!$C:$X,2+$F142,0)))/1000</f>
        <v>2.7810000000000001</v>
      </c>
      <c r="CO142" s="209">
        <f>(IF(CO$7="X",VLOOKUP(CO$10,'VK-Hooned-Soojus'!$C:$X,2+$C142,FALSE),0)+IF(CO$6="X",VLOOKUP(CO$10,'VK-Transport'!$C:$X,2+$B142,0))+IF(CO$8="X",VLOOKUP(CO$10,'VK-Elekter'!$C:$X,2+$D142,0))+IF(CO$9="X",VLOOKUP(CO$10,'VK-Biokütused'!$C:$U,2+$E142,0))+IF(CO$5="X",VLOOKUP(CO$10,'VK-Põlevkivi'!$C:$X,2+$G142,0))+IF(CO$4="X",VLOOKUP(CO$10,'VK-Võrgud'!$C:$X,2+$F142,0)))/1000</f>
        <v>22.339362337356995</v>
      </c>
      <c r="CP142" s="209">
        <f>(IF(CP$7="X",VLOOKUP(CP$10,'VK-Hooned-Soojus'!$C:$X,2+$C142,FALSE),0)+IF(CP$6="X",VLOOKUP(CP$10,'VK-Transport'!$C:$X,2+$B142,0))+IF(CP$8="X",VLOOKUP(CP$10,'VK-Elekter'!$C:$X,2+$D142,0))+IF(CP$9="X",VLOOKUP(CP$10,'VK-Biokütused'!$C:$U,2+$E142,0))+IF(CP$5="X",VLOOKUP(CP$10,'VK-Põlevkivi'!$C:$X,2+$G142,0))+IF(CP$4="X",VLOOKUP(CP$10,'VK-Võrgud'!$C:$X,2+$F142,0)))/1000</f>
        <v>6.6213921206936615</v>
      </c>
      <c r="CQ142" s="235">
        <f>(IF(CQ$7="X",VLOOKUP(CQ$10,'VK-Hooned-Soojus'!$C:$X,2+$C142,FALSE),0)+IF(CQ$6="X",VLOOKUP(CQ$10,'VK-Transport'!$C:$X,2+$B142,0))+IF(CQ$8="X",VLOOKUP(CQ$10,'VK-Elekter'!$C:$X,2+$D142,0))+IF(CQ$9="X",VLOOKUP(CQ$10,'VK-Biokütused'!$C:$U,2+$E142,0)))/1000</f>
        <v>4.6459190000000001</v>
      </c>
      <c r="CR142" s="209">
        <f>(IF(CR$7="X",VLOOKUP(CR$10,'VK-Hooned-Soojus'!$C:$X,2+$C142,FALSE),0)+IF(CR$6="X",VLOOKUP(CR$10,'VK-Transport'!$C:$X,2+$B142,0))+IF(CR$8="X",VLOOKUP(CR$10,'VK-Elekter'!$C:$X,2+$D142,0))+IF(CR$9="X",VLOOKUP(CR$10,'VK-Biokütused'!$C:$U,2+$E142,0))+IF(CR$5="X",VLOOKUP(CR$10,'VK-Põlevkivi'!$C:$X,2+$G142,0))+IF(CR$4="X",VLOOKUP(CR$10,'VK-Võrgud'!$C:$X,2+$F142,0)))/1000</f>
        <v>7.6767518373996895</v>
      </c>
      <c r="CS142" s="209">
        <f>(IF(CS$7="X",VLOOKUP(CS$10,'VK-Hooned-Soojus'!$C:$X,2+$C142,FALSE),0)+IF(CS$6="X",VLOOKUP(CS$10,'VK-Transport'!$C:$X,2+$B142,0))+IF(CS$8="X",VLOOKUP(CS$10,'VK-Elekter'!$C:$X,2+$D142,0))+IF(CS$9="X",VLOOKUP(CS$10,'VK-Biokütused'!$C:$U,2+$E142,0))+IF(CS$5="X",VLOOKUP(CS$10,'VK-Põlevkivi'!$C:$X,2+$G142,0))+IF(CS$4="X",VLOOKUP(CS$10,'VK-Võrgud'!$C:$X,2+$F142,0)))/1000</f>
        <v>3.7686495098622381</v>
      </c>
      <c r="CT142" s="209">
        <f>IF(CT$7="X",VLOOKUP(CT$10,'VK-Hooned-Soojus'!$C:$X,2+$C142,FALSE),0)+IF(CT$6="X",VLOOKUP(CT$10,'VK-Transport'!$C:$X,2+$B142,0))+IF(CT$8="X",VLOOKUP(CT$10,'VK-Elekter'!$C:$X,2+$D142,0))+IF(CT$9="X",VLOOKUP(CT$10,'VK-Biokütused'!$C:$U,2+$E142,0))+IF(CT$5="X",VLOOKUP(CT$10,'VK-Põlevkivi'!$C:$X,2+$G142,0))+IF(CT$4="X",VLOOKUP(CT$10,'VK-Võrgud'!$C:$X,2+$F142,0))</f>
        <v>90</v>
      </c>
      <c r="CU142" s="209">
        <f>IF(CU$7="X",VLOOKUP(CU$10,'VK-Hooned-Soojus'!$C:$X,2+$C142,FALSE),0)+IF(CU$6="X",VLOOKUP(CU$10,'VK-Transport'!$C:$X,2+$B142,0))+IF(CU$8="X",VLOOKUP(CU$10,'VK-Elekter'!$C:$X,2+$D142,0))+IF(CU$9="X",VLOOKUP(CU$10,'VK-Biokütused'!$C:$U,2+$E142,0))+IF(CU$5="X",VLOOKUP(CU$10,'VK-Põlevkivi'!$C:$X,2+$G142,0))+IF(CU$4="X",VLOOKUP(CU$10,'VK-Võrgud'!$C:$X,2+$F142,0))</f>
        <v>0.63390170511534605</v>
      </c>
      <c r="CV142" s="209">
        <f t="shared" si="107"/>
        <v>0.72887234460741646</v>
      </c>
      <c r="CW142" s="209">
        <f>(IF(CW$7="X",VLOOKUP(CW$10,'VK-Hooned-Soojus'!$C:$X,2+$C142,FALSE),0)+IF(CW$6="X",VLOOKUP(CW$10,'VK-Transport'!$C:$X,2+$B142,0))+IF(CW$8="X",VLOOKUP(CW$10,'VK-Elekter'!$C:$X,2+$D142,0))+IF(CW$9="X",VLOOKUP(CW$10,'VK-Biokütused'!$C:$U,2+$E142,0))+IF(CW$5="X",VLOOKUP(CW$10,'VK-Põlevkivi'!$C:$X,2+$G142,0))+IF(CW$4="X",VLOOKUP(CW$10,'VK-Võrgud'!$C:$X,2+$F142,0)))/16</f>
        <v>126.01875</v>
      </c>
      <c r="CY142" s="209">
        <f>(IF(CY$7="X",VLOOKUP(CY$10,'VK-Hooned-Soojus'!$C:$X,2+$C142,FALSE),0)+IF(CY$6="X",VLOOKUP(CY$10,'VK-Transport'!$C:$X,2+$B142,0))+IF(CY$8="X",VLOOKUP(CY$10,'VK-Elekter'!$C:$X,2+$D142,0))+IF(CY$9="X",VLOOKUP(CY$10,'VK-Biokütused'!$C:$U,2+$E142,0))+IF(CY$5="X",VLOOKUP(CY$10,'VK-Põlevkivi'!$C:$X,2+$G142,0))+IF(CY$4="X",VLOOKUP(CY$10,'VK-Võrgud'!$C:$X,2+$F142,0)))/1000</f>
        <v>9.532</v>
      </c>
      <c r="CZ142" s="209">
        <f>(IF(CZ$7="X",VLOOKUP(CZ$10,'VK-Hooned-Soojus'!$C:$X,2+$C142,FALSE),0)+IF(CZ$6="X",VLOOKUP(CZ$10,'VK-Transport'!$C:$X,2+$B142,0))+IF(CZ$8="X",VLOOKUP(CZ$10,'VK-Elekter'!$C:$X,2+$D142,0))+IF(CZ$9="X",VLOOKUP(CZ$10,'VK-Biokütused'!$C:$U,2+$E142,0))+IF(CZ$5="X",VLOOKUP(CZ$10,'VK-Põlevkivi'!$C:$X,2+$G142,0))+IF(CZ$4="X",VLOOKUP(CZ$10,'VK-Võrgud'!$C:$X,2+$F142,0)))</f>
        <v>77</v>
      </c>
      <c r="DA142" s="209">
        <f>(IF(DA$7="X",VLOOKUP(DA$10,'VK-Hooned-Soojus'!$C:$X,2+$C142,FALSE),0)+IF(DA$6="X",VLOOKUP(DA$10,'VK-Transport'!$C:$X,2+$B142,0))+IF(DA$8="X",VLOOKUP(DA$10,'VK-Elekter'!$C:$X,2+$D142,0))+IF(DA$9="X",VLOOKUP(DA$10,'VK-Biokütused'!$C:$U,2+$E142,0))+IF(DA$5="X",VLOOKUP(DA$10,'VK-Põlevkivi'!$C:$X,2+$G142,0))+IF(DA$4="X",VLOOKUP(DA$10,'VK-Võrgud'!$C:$X,2+$F142,0)))/1000</f>
        <v>8.8710000000000004</v>
      </c>
      <c r="DB142" s="209">
        <f>(IF(DB$7="X",VLOOKUP(DB$10,'VK-Hooned-Soojus'!$C:$X,2+$C142,FALSE),0)+IF(DB$6="X",VLOOKUP(DB$10,'VK-Transport'!$C:$X,2+$B142,0))+IF(DB$8="X",VLOOKUP(DB$10,'VK-Elekter'!$C:$X,2+$D142,0))+IF(DB$9="X",VLOOKUP(DB$10,'VK-Biokütused'!$C:$U,2+$E142,0))+IF(DB$5="X",VLOOKUP(DB$10,'VK-Põlevkivi'!$C:$X,2+$G142,0))+IF(DB$4="X",VLOOKUP(DB$10,'VK-Võrgud'!$C:$X,2+$F142,0)))/1000/3.6</f>
        <v>35.222222222222221</v>
      </c>
      <c r="DC142" s="209">
        <f>(IF(DC$7="X",VLOOKUP(DC$10,'VK-Hooned-Soojus'!$C:$X,2+$C142,FALSE),0)+IF(DC$6="X",VLOOKUP(DC$10,'VK-Transport'!$C:$X,2+$B142,0))+IF(DC$8="X",VLOOKUP(DC$10,'VK-Elekter'!$C:$X,2+$D142,0))+IF(DC$9="X",VLOOKUP(DC$10,'VK-Biokütused'!$C:$U,2+$E142,0))+IF(DC$5="X",VLOOKUP(DC$10,'VK-Põlevkivi'!$C:$X,2+$G142,0))+IF(DC$4="X",VLOOKUP(DC$10,'VK-Võrgud'!$C:$X,2+$F142,0)))/1000000</f>
        <v>3.7702429999999998</v>
      </c>
      <c r="DD142" s="209"/>
      <c r="DE142" s="88">
        <f>VLOOKUP(Tulemused!$BN$12,data!M$7:N$12,2,FALSE)-SUM(L142,M142)</f>
        <v>0.39749062697563176</v>
      </c>
      <c r="DF142" s="209" t="str">
        <f>IF(AZ142&lt;=VLOOKUP(Tulemused!$BN$15,data!$E$36:$F$39,2,FALSE),"JAH","EI")</f>
        <v>JAH</v>
      </c>
      <c r="DG142" s="209"/>
      <c r="DH142" s="209">
        <f t="shared" si="108"/>
        <v>10.67</v>
      </c>
      <c r="DI142" s="231" t="str">
        <f t="shared" si="109"/>
        <v>JAH</v>
      </c>
      <c r="DK142" s="232">
        <f t="shared" si="96"/>
        <v>12.03707984995911</v>
      </c>
      <c r="DM142" s="233">
        <f t="shared" si="97"/>
        <v>-999.03516021050837</v>
      </c>
      <c r="DN142" s="87">
        <f t="array" ref="DN142">INDEX($A$11:$A$145, SMALL(IF(DM142=$DK$11:$DK$145, MATCH(ROW($DK$11:$DK$145), ROW($DK$11:$DK$145))), SUM(--(DM142=$DM$11:DM142))))</f>
        <v>16</v>
      </c>
      <c r="DP142" s="87" t="e">
        <f t="shared" ca="1" si="110"/>
        <v>#N/A</v>
      </c>
      <c r="DQ142" s="87" t="e">
        <f t="shared" ca="1" si="111"/>
        <v>#N/A</v>
      </c>
      <c r="DR142" s="87">
        <f t="shared" ca="1" si="112"/>
        <v>0</v>
      </c>
      <c r="DS142" s="87" t="e">
        <f t="shared" ca="1" si="113"/>
        <v>#N/A</v>
      </c>
      <c r="DT142" s="87">
        <f t="shared" ca="1" si="114"/>
        <v>0</v>
      </c>
      <c r="DU142" s="87" t="e">
        <f t="shared" ca="1" si="115"/>
        <v>#N/A</v>
      </c>
      <c r="DV142" s="87" t="e">
        <f t="shared" ca="1" si="116"/>
        <v>#N/A</v>
      </c>
      <c r="DW142" s="87">
        <f t="shared" ca="1" si="117"/>
        <v>0</v>
      </c>
      <c r="DX142" s="87">
        <f t="shared" ca="1" si="118"/>
        <v>0</v>
      </c>
      <c r="DZ142" s="87">
        <f t="shared" ca="1" si="82"/>
        <v>0</v>
      </c>
      <c r="EB142" s="87">
        <f t="shared" ca="1" si="119"/>
        <v>0</v>
      </c>
      <c r="EC142" s="87" t="e">
        <f t="shared" ca="1" si="120"/>
        <v>#N/A</v>
      </c>
      <c r="EE142" s="228">
        <f>(IF(EE$7="X",VLOOKUP(EE$10,'VK-Hooned-Soojus'!$C:$X,2+$C142,FALSE),0)+IF(EE$6="X",VLOOKUP(EE$10,'VK-Transport'!$C:$X,2+$B142,0))+IF(EE$8="X",VLOOKUP(EE$10,'VK-Elekter'!$C:$X,2+$D142,0))+IF(EE$9="X",VLOOKUP(EE$10,'VK-Biokütused'!$C:$U,2+$E142,0))+IF(EE$5="X",VLOOKUP(EE$10,'VK-Põlevkivi'!$C:$X,2+$G142,0))+IF(EE$4="X",VLOOKUP(EE$10,'VK-Võrgud'!$C:$X,2+$F142,0)))</f>
        <v>13132.601427461437</v>
      </c>
      <c r="EF142" s="235">
        <f>(IF(EF$7="X",VLOOKUP(EF$10,'VK-Hooned-Soojus'!$C:$X,2+$C142,FALSE),0)+IF(EF$6="X",VLOOKUP(EF$10,'VK-Transport'!$C:$X,2+$B142,0))+IF(EF$8="X",VLOOKUP(EF$10,'VK-Elekter'!$C:$X,2+$D142,0))+IF(EF$9="X",VLOOKUP(EF$10,'VK-Biokütused'!$C:$U,2+$E142,0)))/1000</f>
        <v>1.7198849906373199</v>
      </c>
      <c r="EG142" s="209">
        <f>(IF(EG$7="X",VLOOKUP(EG$10,'VK-Hooned-Soojus'!$C:$X,2+$C142,FALSE),0)+IF(EG$6="X",VLOOKUP(EG$10,'VK-Transport'!$C:$X,2+$B142,0))+IF(EG$8="X",VLOOKUP(EG$10,'VK-Elekter'!$C:$X,2+$D142,0))+IF(EG$9="X",VLOOKUP(EG$10,'VK-Biokütused'!$C:$U,2+$E142,0))+IF(EG$5="X",VLOOKUP(EG$10,'VK-Põlevkivi'!$C:$X,2+$G142,0))+IF(EG$4="X",VLOOKUP(EG$10,'VK-Võrgud'!$C:$X,2+$F142,0)))</f>
        <v>0.81</v>
      </c>
      <c r="EH142" s="209">
        <f>(IF(EH$7="X",VLOOKUP(EH$10,'VK-Hooned-Soojus'!$C:$X,2+$C142,FALSE),0)+IF(EH$6="X",VLOOKUP(EH$10,'VK-Transport'!$C:$X,2+$B142,0))+IF(EH$8="X",VLOOKUP(EH$10,'VK-Elekter'!$C:$X,2+$D142,0))+IF(EH$9="X",VLOOKUP(EH$10,'VK-Biokütused'!$C:$U,2+$E142,0)))+AR142+AS142+AU142+AX142</f>
        <v>41.024404480632256</v>
      </c>
      <c r="EI142" s="320">
        <f t="shared" si="121"/>
        <v>38.866388888888892</v>
      </c>
      <c r="EJ142" s="322">
        <f t="shared" si="122"/>
        <v>2.5620074329845279E-2</v>
      </c>
      <c r="EK142" s="323">
        <f t="shared" si="123"/>
        <v>0.55518194882771377</v>
      </c>
      <c r="EM142" s="209"/>
      <c r="EN142" s="209">
        <f t="shared" ca="1" si="124"/>
        <v>0</v>
      </c>
      <c r="EO142" s="209"/>
      <c r="EP142" s="234"/>
      <c r="EQ142" s="209">
        <f>(IF(EQ$7="X",VLOOKUP(EQ$10,'VK-Hooned-Soojus'!$C:$X,2+$C142,FALSE),0)+IF(EQ$6="X",VLOOKUP(EQ$10,'VK-Transport'!$C:$X,2+$B142,0))+IF(EQ$8="X",VLOOKUP(EQ$10,'VK-Elekter'!$C:$X,2+$D142,0))+IF(EQ$9="X",VLOOKUP(EQ$10,'VK-Biokütused'!$C:$U,2+$E142,0))+IF(EQ$5="X",VLOOKUP(EQ$10,'VK-Põlevkivi'!$C:$X,2+$G142,0))+IF(EQ$4="X",VLOOKUP(EQ$10,'VK-Võrgud'!$C:$X,2+$F142,0)))/1000</f>
        <v>0.19900000000000001</v>
      </c>
      <c r="ER142" s="209">
        <f>(IF(ER$7="X",VLOOKUP(ER$10,'VK-Hooned-Soojus'!$C:$X,2+$C142,FALSE),0)+IF(ER$6="X",VLOOKUP(ER$10,'VK-Transport'!$C:$X,2+$B142,0))+IF(ER$8="X",VLOOKUP(ER$10,'VK-Elekter'!$C:$X,2+$D142,0))+IF(ER$9="X",VLOOKUP(ER$10,'VK-Biokütused'!$C:$U,2+$E142,0))+IF(ER$5="X",VLOOKUP(ER$10,'VK-Põlevkivi'!$C:$X,2+$G142,0))+IF(ER$4="X",VLOOKUP(ER$10,'VK-Võrgud'!$C:$X,2+$F142,0)))</f>
        <v>0.72299999999999998</v>
      </c>
      <c r="ES142" s="209">
        <f>(IF(ES$7="X",VLOOKUP(ES$10,'VK-Hooned-Soojus'!$C:$X,2+$C142,FALSE),0)+IF(ES$6="X",VLOOKUP(ES$10,'VK-Transport'!$C:$X,2+$B142,0))+IF(ES$8="X",VLOOKUP(ES$10,'VK-Elekter'!$C:$X,2+$D142,0))+IF(ES$9="X",VLOOKUP(ES$10,'VK-Biokütused'!$C:$U,2+$E142,0))+IF(ES$5="X",VLOOKUP(ES$10,'VK-Põlevkivi'!$C:$X,2+$G142,0))+IF(ES$4="X",VLOOKUP(ES$10,'VK-Võrgud'!$C:$X,2+$F142,0)))</f>
        <v>10.67</v>
      </c>
      <c r="ET142" s="209"/>
      <c r="EU142" s="209"/>
      <c r="EV142" s="87">
        <f>'KSH järjestus'!AS135</f>
        <v>519</v>
      </c>
      <c r="EZ142" s="237">
        <f t="shared" si="125"/>
        <v>0.36609829488465395</v>
      </c>
      <c r="FA142" s="209">
        <f>IF(FA$7="X",VLOOKUP(FA$10,'VK-Hooned-Soojus'!$C:$X,2+$C142,FALSE),0)+IF(FA$6="X",VLOOKUP(FA$10,'VK-Transport'!$C:$X,2+$B142,0))+IF(FA$8="X",VLOOKUP(FA$10,'VK-Elekter'!$C:$X,2+$D142,0))+IF(FA$9="X",VLOOKUP(FA$10,'VK-Biokütused'!$C:$U,2+$E142,0))+IF(FA$5="X",VLOOKUP(FA$10,'VK-Põlevkivi'!$C:$X,2+$G142,0))+IF(FA$4="X",VLOOKUP(FA$10,'VK-Võrgud'!$C:$X,2+$F142,0))</f>
        <v>2989.9189999999999</v>
      </c>
      <c r="FB142" s="279">
        <f>(IF(FB$7="X",VLOOKUP(FB$10,'VK-Hooned-Soojus'!$C:$X,2+$C142,FALSE),0)+IF(FB$6="X",VLOOKUP(FB$10,'VK-Transport'!$C:$X,2+$B142,0))+IF(FB$8="X",VLOOKUP(FB$10,'VK-Elekter'!$C:$X,2+$D142,0))+IF(FB$9="X",VLOOKUP(FB$10,'VK-Biokütused'!$C:$U,2+$E142,0))+IF(FB$5="X",VLOOKUP(FB$10,'VK-Põlevkivi'!$C:$X,2+$G142,0))+IF(FB$4="X",VLOOKUP(FB$10,'VK-Võrgud'!$C:$X,2+$F142,0)))/16</f>
        <v>621.23540327596606</v>
      </c>
      <c r="FC142" s="209">
        <f>IF(FC$7="X",VLOOKUP(FC$10,'VK-Hooned-Soojus'!$C:$X,2+$C142,FALSE),0)+IF(FC$6="X",VLOOKUP(FC$10,'VK-Transport'!$C:$X,2+$B142,0))+IF(FC$8="X",VLOOKUP(FC$10,'VK-Elekter'!$C:$X,2+$D142,0))+IF(FC$9="X",VLOOKUP(FC$10,'VK-Biokütused'!$C:$U,2+$E142,0))+IF(FC$5="X",VLOOKUP(FC$10,'VK-Põlevkivi'!$C:$X,2+$G142,0))+IF(FC$4="X",VLOOKUP(FC$10,'VK-Võrgud'!$C:$X,2+$F142,0))</f>
        <v>285.10000000000002</v>
      </c>
      <c r="FD142" s="209">
        <f>(IF(FD$7="X",VLOOKUP(FD$10,'VK-Hooned-Soojus'!$C:$X,2+$C142,FALSE),0)+IF(FD$6="X",VLOOKUP(FD$10,'VK-Transport'!$C:$X,2+$B142,0))+IF(FD$8="X",VLOOKUP(FD$10,'VK-Elekter'!$C:$X,2+$D142,0))+IF(FD$9="X",VLOOKUP(FD$10,'VK-Biokütused'!$C:$U,2+$E142,0))+IF(FD$5="X",VLOOKUP(FD$10,'VK-Põlevkivi'!$C:$X,2+$G142,0))+IF(FD$4="X",VLOOKUP(FD$10,'VK-Võrgud'!$C:$X,2+$F142,0)))/16</f>
        <v>621.23540327596606</v>
      </c>
      <c r="FE142" s="209">
        <f>(IF(FE$7="X",VLOOKUP(FE$10,'VK-Hooned-Soojus'!$C:$X,2+$C142,FALSE),0)+IF(FE$6="X",VLOOKUP(FE$10,'VK-Transport'!$C:$X,2+$B142,0))+IF(FE$8="X",VLOOKUP(FE$10,'VK-Elekter'!$C:$X,2+$D142,0))+IF(FE$9="X",VLOOKUP(FE$10,'VK-Biokütused'!$C:$U,2+$E142,0))+IF(FE$5="X",VLOOKUP(FE$10,'VK-Põlevkivi'!$C:$X,2+$G142,0))+IF(FE$4="X",VLOOKUP(FE$10,'VK-Võrgud'!$C:$X,2+$F142,0)))/16</f>
        <v>-197.29831369909104</v>
      </c>
      <c r="FF142" s="209">
        <f>(IF(FF$7="X",VLOOKUP(FF$10,'VK-Hooned-Soojus'!$C:$X,2+$C142,FALSE),0)+IF(FF$6="X",VLOOKUP(FF$10,'VK-Transport'!$C:$X,2+$B142,0))+IF(FF$8="X",VLOOKUP(FF$10,'VK-Elekter'!$C:$X,2+$D142,0))+IF(FF$9="X",VLOOKUP(FF$10,'VK-Biokütused'!$C:$U,2+$E142,0))+IF(FF$5="X",VLOOKUP(FF$10,'VK-Põlevkivi'!$C:$X,2+$G142,0))+IF(FF$4="X",VLOOKUP(FF$10,'VK-Võrgud'!$C:$X,2+$F142,0)))/16</f>
        <v>268.1240434534588</v>
      </c>
      <c r="FG142" s="88">
        <f t="shared" ca="1" si="126"/>
        <v>70.825729754367757</v>
      </c>
      <c r="FH142" s="88"/>
      <c r="FI142" s="88"/>
      <c r="FJ142" s="88">
        <f>VLOOKUP(Tulemused!$BN$12,data!M$7:N$12,2,FALSE)-SUM(L142,M142)</f>
        <v>0.39749062697563176</v>
      </c>
      <c r="FK142" s="209" t="str">
        <f>IF(AZ142&lt;=VLOOKUP(Tulemused!$BN$15,data!$E$36:$F$39,2,FALSE),"JAH","EI")</f>
        <v>JAH</v>
      </c>
      <c r="FL142" s="235">
        <f ca="1">IF(ISNA(MATCH($A142,INDIRECT(VLOOKUP(Tulemused!$BF$11,data!$J$57:$M$71,4,FALSE)))),0,MATCH($A142,INDIRECT(VLOOKUP(Tulemused!$BF$11,data!$J$57:$M$71,4,FALSE))))</f>
        <v>0</v>
      </c>
      <c r="FM142" s="235" t="str">
        <f t="shared" ca="1" si="127"/>
        <v>JAH</v>
      </c>
      <c r="FN142" s="209">
        <f>VLOOKUP(Tulemused!$BN$13,data!$C$132:$D$137,2,FALSE)-KOMBI!R142</f>
        <v>4.6218850093626802</v>
      </c>
      <c r="FO142" s="209"/>
      <c r="FP142" s="209">
        <f>VLOOKUP(Tulemused!$BN$17,NO_x,2,FALSE)-CJ142</f>
        <v>13.408278206757181</v>
      </c>
      <c r="FQ142" s="209">
        <f>VLOOKUP(Tulemused!$BN$18,SO_2,2,FALSE)-CK142</f>
        <v>45.878301198786581</v>
      </c>
      <c r="FR142" s="209">
        <f>VLOOKUP(Tulemused!$BN$19,LOU,2,FALSE)-CN142</f>
        <v>34.299000000000007</v>
      </c>
      <c r="FS142" s="209">
        <f>VLOOKUP(Tulemused!$BN$20,PM_2.5,2,FALSE)-CM142</f>
        <v>9.3111686429099034</v>
      </c>
      <c r="FT142" s="209">
        <f>VLOOKUP(Tulemused!$BN$13,data!$C$132:$D$137,2,FALSE)-FA142/1000</f>
        <v>3.2560510000000007</v>
      </c>
      <c r="FU142" s="209">
        <f>VLOOKUP(Tulemused!$BN$17,NO_x,2,FALSE)-CO142</f>
        <v>7.0986376626430037</v>
      </c>
      <c r="FV142" s="209">
        <f>VLOOKUP(Tulemused!$BN$18,SO_2,2,FALSE)-CP142</f>
        <v>45.262607879306337</v>
      </c>
      <c r="FW142" s="209">
        <f>VLOOKUP(Tulemused!$BN$19,LOU,2,FALSE)-CS142</f>
        <v>33.311350490137769</v>
      </c>
      <c r="FX142" s="209">
        <f>VLOOKUP(Tulemused!$BN$20,PM_2.5,2,FALSE)-CR142</f>
        <v>9.2382481626003106</v>
      </c>
      <c r="FY142" s="209">
        <f>VLOOKUP(Tulemused!$BN$14,KHG_2050,2,FALSE)-EF142</f>
        <v>98.280115009362675</v>
      </c>
      <c r="FZ142" s="231" t="str">
        <f t="shared" ca="1" si="128"/>
        <v>JAH</v>
      </c>
      <c r="GA142" s="209"/>
      <c r="GB142" s="209"/>
      <c r="GC142" s="209"/>
      <c r="GD142" s="231"/>
      <c r="GE142" s="87">
        <f t="shared" si="99"/>
        <v>519</v>
      </c>
      <c r="GF142" s="232">
        <f t="shared" ca="1" si="129"/>
        <v>519</v>
      </c>
      <c r="GH142" s="238" t="e">
        <f t="shared" ca="1" si="100"/>
        <v>#NUM!</v>
      </c>
      <c r="GI142" s="87" t="e">
        <f t="array" aca="1" ref="GI142" ca="1">INDEX($A$11:$A$145, SMALL(IF(GH142=$GF$11:$GF$145, MATCH(ROW($GF$11:$GF$145), ROW($GF$11:$GF$145))), SUM(--(GH142=$GH$11:GH142))))</f>
        <v>#NUM!</v>
      </c>
      <c r="GM142" s="209">
        <f>IF(GM$7="X",VLOOKUP(GM$10,'VK-Hooned-Soojus'!$C:$X,2+$C142,FALSE),0)+IF(GM$6="X",VLOOKUP(GM$10,'VK-Transport'!$C:$X,2+$B142,0))+IF(GM$8="X",VLOOKUP(GM$10,'VK-Elekter'!$C:$X,2+$D142,0))+IF(GM$9="X",VLOOKUP(GM$10,'VK-Biokütused'!$C:$U,2+$E142,0))+IF(GM$5="X",VLOOKUP(GM$10,'VK-Põlevkivi'!$C:$X,2+$G142,0))+IF(GM$4="X",VLOOKUP(GM$10,'VK-Võrgud'!$C:$X,2+$F142,0))</f>
        <v>0</v>
      </c>
      <c r="GN142" s="209">
        <f>IF(GN$7="X",VLOOKUP(GN$10,'VK-Hooned-Soojus'!$C:$X,2+$C142,FALSE),0)+IF(GN$6="X",VLOOKUP(GN$10,'VK-Transport'!$C:$X,2+$B142,0))+IF(GN$8="X",VLOOKUP(GN$10,'VK-Elekter'!$C:$X,2+$D142,0))+IF(GN$9="X",VLOOKUP(GN$10,'VK-Biokütused'!$C:$U,2+$E142,0))+IF(GN$5="X",VLOOKUP(GN$10,'VK-Põlevkivi'!$C:$X,2+$G142,0))+IF(GN$4="X",VLOOKUP(GN$10,'VK-Võrgud'!$C:$X,2+$F142,0))</f>
        <v>7.5434676424145266</v>
      </c>
      <c r="GO142" s="209">
        <f>IF(GO$7="X",VLOOKUP(GO$10,'VK-Hooned-Soojus'!$C:$X,2+$C142,FALSE),0)+IF(GO$6="X",VLOOKUP(GO$10,'VK-Transport'!$C:$X,2+$B142,0))+IF(GO$8="X",VLOOKUP(GO$10,'VK-Elekter'!$C:$X,2+$D142,0))+IF(GO$9="X",VLOOKUP(GO$10,'VK-Biokütused'!$C:$U,2+$E142,0))+IF(GO$5="X",VLOOKUP(GO$10,'VK-Põlevkivi'!$C:$X,2+$G142,0))+IF(GO$4="X",VLOOKUP(GO$10,'VK-Võrgud'!$C:$X,2+$F142,0))</f>
        <v>7.5763700102722566</v>
      </c>
      <c r="GP142" s="209">
        <f>IF(GP$7="X",VLOOKUP(GP$10,'VK-Hooned-Soojus'!$C:$X,2+$C142,FALSE),0)+IF(GP$6="X",VLOOKUP(GP$10,'VK-Transport'!$C:$X,2+$B142,0))+IF(GP$8="X",VLOOKUP(GP$10,'VK-Elekter'!$C:$X,2+$D142,0))+IF(GP$9="X",VLOOKUP(GP$10,'VK-Biokütused'!$C:$U,2+$E142,0))+IF(GP$5="X",VLOOKUP(GP$10,'VK-Põlevkivi'!$C:$X,2+$G142,0))+IF(GP$4="X",VLOOKUP(GP$10,'VK-Võrgud'!$C:$X,2+$F142,0))</f>
        <v>8.9326558040707589</v>
      </c>
      <c r="GQ142" s="88">
        <f>IF(GQ$7="X",VLOOKUP(GQ$10,'VK-Hooned-Soojus'!$C:$X,2+$C142,FALSE),0)+IF(GQ$6="X",VLOOKUP(GQ$10,'VK-Transport'!$C:$X,2+$B142,0))+IF(GQ$8="X",VLOOKUP(GQ$10,'VK-Elekter'!$C:$X,2+$D142,0))+IF(GQ$9="X",VLOOKUP(GQ$10,'VK-Biokütused'!$C:$U,2+$E142,0))+IF(GQ$5="X",VLOOKUP(GQ$10,'VK-Põlevkivi'!$C:$X,2+$G142,0))+IF(GQ$4="X",VLOOKUP(GQ$10,'VK-Võrgud'!$C:$X,2+$F142,0))</f>
        <v>0.89042766952822527</v>
      </c>
      <c r="GR142" s="186">
        <f t="shared" si="130"/>
        <v>0.53542116451822219</v>
      </c>
    </row>
    <row r="143" spans="1:200" x14ac:dyDescent="0.2">
      <c r="A143" s="184">
        <v>133</v>
      </c>
      <c r="B143" s="87">
        <v>3</v>
      </c>
      <c r="C143" s="87">
        <v>3</v>
      </c>
      <c r="D143" s="87">
        <v>5</v>
      </c>
      <c r="E143" s="87">
        <v>1</v>
      </c>
      <c r="F143" s="87">
        <f>VLOOKUP(Tulemused!$BF$7,data!$J$6:$K$8,2,FALSE)</f>
        <v>2</v>
      </c>
      <c r="G143" s="87">
        <f>VLOOKUP(data!$H$2,data!$J$12:$K$14,2,FALSE)</f>
        <v>2</v>
      </c>
      <c r="I143" s="209">
        <f>IF(I$7="X",VLOOKUP(I$10,'VK-Hooned-Soojus'!$C:$X,2+$C143,FALSE),0)+IF(I$6="X",VLOOKUP(I$10,'VK-Transport'!$C:$X,2+$B143,0))+IF(I$8="X",VLOOKUP(I$10,'VK-Elekter'!$C:$X,2+$D143,0))+IF(I$9="X",VLOOKUP(I$10,'VK-Biokütused'!$C:$U,2+$E143,0))+IF(I$5="X",VLOOKUP(I$10,'VK-Põlevkivi'!$C:$X,2+$G143,0))+IF(I$4="X",VLOOKUP(I$10,'VK-Võrgud'!$C:$X,2+$F143,0))</f>
        <v>23.490000000000002</v>
      </c>
      <c r="J143" s="209">
        <f>IF(J$7="X",VLOOKUP(J$10,'VK-Hooned-Soojus'!$C:$X,2+$C143,FALSE),0)+IF(J$6="X",VLOOKUP(J$10,'VK-Transport'!$C:$X,2+$B143,0))+IF(J$8="X",VLOOKUP(J$10,'VK-Elekter'!$C:$X,2+$D143,0))+IF(J$9="X",VLOOKUP(J$10,'VK-Biokütused'!$C:$U,2+$E143,0))+IF(J$5="X",VLOOKUP(J$10,'VK-Põlevkivi'!$C:$X,2+$G143,0))+IF(J$4="X",VLOOKUP(J$10,'VK-Võrgud'!$C:$X,2+$F143,0))</f>
        <v>8.1258333333333344</v>
      </c>
      <c r="K143" s="209">
        <f>IF(K$7="X",VLOOKUP(K$10,'VK-Hooned-Soojus'!$C:$X,2+$C143,FALSE),0)+IF(K$6="X",VLOOKUP(K$10,'VK-Transport'!$C:$X,2+$B143,0))+IF(K$8="X",VLOOKUP(K$10,'VK-Elekter'!$C:$X,2+$D143,0))+IF(K$9="X",VLOOKUP(K$10,'VK-Biokütused'!$C:$U,2+$E143,0))+IF(K$5="X",VLOOKUP(K$10,'VK-Põlevkivi'!$C:$X,2+$G143,0))+IF(K$4="X",VLOOKUP(K$10,'VK-Võrgud'!$C:$X,2+$F143,0))</f>
        <v>13.780000000000001</v>
      </c>
      <c r="L143" s="209">
        <f>IF(L$7="X",VLOOKUP(L$10,'VK-Hooned-Soojus'!$C:$X,2+$C143,FALSE),0)+IF(L$6="X",VLOOKUP(L$10,'VK-Transport'!$C:$X,2+$B143,0))+IF(L$8="X",VLOOKUP(L$10,'VK-Elekter'!$C:$X,2+$D143,0))+IF(L$9="X",VLOOKUP(L$10,'VK-Biokütused'!$C:$U,2+$E143,0))+IF(L$5="X",VLOOKUP(L$10,'VK-Põlevkivi'!$C:$X,2+$G143,0))+IF(L$4="X",VLOOKUP(L$10,'VK-Võrgud'!$C:$X,2+$F143,0))</f>
        <v>23.75</v>
      </c>
      <c r="M143" s="209">
        <f>IF(M$7="X",VLOOKUP(M$10,'VK-Hooned-Soojus'!$C:$X,2+$C143,FALSE),0)+IF(M$6="X",VLOOKUP(M$10,'VK-Transport'!$C:$X,2+$B143,0))+IF(M$8="X",VLOOKUP(M$10,'VK-Elekter'!$C:$X,2+$D143,0))+IF(M$9="X",VLOOKUP(M$10,'VK-Biokütused'!$C:$U,2+$E143,0))+IF(M$5="X",VLOOKUP(M$10,'VK-Põlevkivi'!$C:$X,2+$G143,0))+IF(M$4="X",VLOOKUP(M$10,'VK-Võrgud'!$C:$X,2+$F143,0))</f>
        <v>8.68530937302436</v>
      </c>
      <c r="N143" s="209">
        <f>IF(N$7="X",VLOOKUP(N$10,'VK-Hooned-Soojus'!$C:$X,2+$C143,FALSE),0)+IF(N$6="X",VLOOKUP(N$10,'VK-Transport'!$C:$X,2+$B143,0))+IF(N$8="X",VLOOKUP(N$10,'VK-Elekter'!$C:$X,2+$D143,0))+IF(N$9="X",VLOOKUP(N$10,'VK-Biokütused'!$C:$U,2+$E143,0))+IF(N$5="X",VLOOKUP(N$10,'VK-Põlevkivi'!$C:$X,2+$G143,0))+IF(N$4="X",VLOOKUP(N$10,'VK-Võrgud'!$C:$X,2+$F143,0))</f>
        <v>15.25</v>
      </c>
      <c r="O143" s="209">
        <f t="shared" si="101"/>
        <v>31.615833333333335</v>
      </c>
      <c r="P143" s="209"/>
      <c r="Q143" s="209">
        <f>(IF(Q$7="X",VLOOKUP(Q$10,'VK-Hooned-Soojus'!$C:$X,2+$C143,FALSE),0)+IF(Q$6="X",VLOOKUP(Q$10,'VK-Transport'!$C:$X,2+$B143,0))+IF(Q$8="X",VLOOKUP(Q$10,'VK-Elekter'!$C:$X,2+$D143,0))+IF(Q$9="X",VLOOKUP(Q$10,'VK-Biokütused'!$C:$U,2+$E143,0))+IF(Q$5="X",VLOOKUP(Q$10,'VK-Põlevkivi'!$C:$X,2+$G143,0))+IF(Q$4="X",VLOOKUP(Q$10,'VK-Võrgud'!$C:$X,2+$F143,0)))/1000</f>
        <v>5.9039999999999999</v>
      </c>
      <c r="R143" s="209">
        <f>(IF(R$7="X",VLOOKUP(R$10,'VK-Hooned-Soojus'!$C:$X,2+$C143,FALSE),0)+IF(R$6="X",VLOOKUP(R$10,'VK-Transport'!$C:$X,2+$B143,0))+IF(R$8="X",VLOOKUP(R$10,'VK-Elekter'!$C:$X,2+$D143,0))+IF(R$9="X",VLOOKUP(R$10,'VK-Biokütused'!$C:$U,2+$E143,0))+IF(R$5="X",VLOOKUP(R$10,'VK-Põlevkivi'!$C:$X,2+$G143,0))+IF(R$4="X",VLOOKUP(R$10,'VK-Võrgud'!$C:$X,2+$F143,0)))/1000</f>
        <v>1.03788499063732</v>
      </c>
      <c r="S143" s="226">
        <f>VLOOKUP(S$10,'VK-Hooned-Soojus'!$C:$I,2+$C143,FALSE) + VLOOKUP(S$10,'VK-Transport'!$C:$I,2+$B143,FALSE)+ VLOOKUP(S$10,'VK-Biokütused'!$C:$G,2+$E143,FALSE)+ VLOOKUP(S$10,'VK-Elekter'!$C:$I,2+$D143,FALSE)+ VLOOKUP(S$10,'VK-Põlevkivi'!$C:$I,2+$G143,FALSE)+ VLOOKUP(S$10,'VK-Võrgud'!$C:$I,2+$F143,FALSE)</f>
        <v>2.8225660947919749E-2</v>
      </c>
      <c r="T143" s="226">
        <f>VLOOKUP(T$10,'VK-Hooned-Soojus'!$C:$I,2+$C143,FALSE) + VLOOKUP(T$10,'VK-Transport'!$C:$I,2+$B143,FALSE)+ VLOOKUP(T$10,'VK-Biokütused'!$C:$G,2+$E143,FALSE)+ VLOOKUP(T$10,'VK-Elekter'!$C:$I,2+$D143,FALSE)+ VLOOKUP(T$10,'VK-Põlevkivi'!$C:$I,2+$G143,FALSE)+ VLOOKUP(T$10,'VK-Võrgud'!$C:$I,2+$F143,FALSE)</f>
        <v>1.4219272735081974E-2</v>
      </c>
      <c r="U143" s="226">
        <f>VLOOKUP(U$10,'VK-Hooned-Soojus'!$C:$I,2+$C143,FALSE) + VLOOKUP(U$10,'VK-Transport'!$C:$I,2+$B143,FALSE)+ VLOOKUP(U$10,'VK-Biokütused'!$C:$G,2+$E143,FALSE)+ VLOOKUP(U$10,'VK-Elekter'!$C:$I,2+$D143,FALSE)+ VLOOKUP(U$10,'VK-Põlevkivi'!$C:$I,2+$G143,FALSE)+ VLOOKUP(U$10,'VK-Võrgud'!$C:$I,2+$F143,FALSE)</f>
        <v>1.0375960865619566E-2</v>
      </c>
      <c r="V143" s="226">
        <f>VLOOKUP(V$10,'VK-Hooned-Soojus'!$C:$I,2+$C143,FALSE) + VLOOKUP(V$10,'VK-Transport'!$C:$I,2+$B143,FALSE)+ VLOOKUP(V$10,'VK-Biokütused'!$C:$G,2+$E143,FALSE)+ VLOOKUP(V$10,'VK-Elekter'!$C:$I,2+$D143,FALSE)+ VLOOKUP(V$10,'VK-Põlevkivi'!$C:$I,2+$G143,FALSE)+ VLOOKUP(V$10,'VK-Võrgud'!$C:$I,2+$F143,FALSE)</f>
        <v>1.8223260111437593E-2</v>
      </c>
      <c r="W143" s="226">
        <f>VLOOKUP(W$10,'VK-Hooned-Soojus'!$C:$I,2+$C143,FALSE) + VLOOKUP(W$10,'VK-Transport'!$C:$I,2+$B143,FALSE)+ VLOOKUP(W$10,'VK-Biokütused'!$C:$G,2+$E143,FALSE)+ VLOOKUP(W$10,'VK-Elekter'!$C:$I,2+$D143,FALSE)+ VLOOKUP(W$10,'VK-Põlevkivi'!$C:$I,2+$G143,FALSE)+ VLOOKUP(W$10,'VK-Võrgud'!$C:$I,2+$F143,FALSE)</f>
        <v>-4.3036781019003816E-2</v>
      </c>
      <c r="X143" s="226">
        <f>VLOOKUP(X$10,'VK-Hooned-Soojus'!$C:$I,2+$C143,FALSE) + VLOOKUP(X$10,'VK-Transport'!$C:$I,2+$B143,FALSE)+ VLOOKUP(X$10,'VK-Biokütused'!$C:$G,2+$E143,FALSE)+ VLOOKUP(X$10,'VK-Elekter'!$C:$I,2+$D143,FALSE)+ VLOOKUP(X$10,'VK-Põlevkivi'!$C:$I,2+$G143,FALSE)+ VLOOKUP(X$10,'VK-Võrgud'!$C:$I,2+$F143,FALSE)</f>
        <v>2.8724424661701213E-2</v>
      </c>
      <c r="Y143" s="226">
        <f>VLOOKUP(Y$10,'VK-Hooned-Soojus'!$C:$I,2+$C143,FALSE) + VLOOKUP(Y$10,'VK-Transport'!$C:$I,2+$B143,FALSE)+ VLOOKUP(Y$10,'VK-Biokütused'!$C:$G,2+$E143,FALSE)+ VLOOKUP(Y$10,'VK-Elekter'!$C:$I,2+$D143,FALSE)+ VLOOKUP(Y$10,'VK-Põlevkivi'!$C:$I,2+$G143,FALSE)+ VLOOKUP(Y$10,'VK-Võrgud'!$C:$I,2+$F143,FALSE)</f>
        <v>1.177840027048313E-2</v>
      </c>
      <c r="Z143" s="227">
        <f>(S143*Tulemused!$Q$9*10+T143*Tulemused!$Q$10*10+KOMBI!U143*Tulemused!$Q$11*10+KOMBI!V143*Tulemused!$Q$12*10)*Tulemused!$Q$8+-(W143*Tulemused!$Q$14*10+KOMBI!X143*Tulemused!$Q$15*10+KOMBI!Y143*Tulemused!$Q$16*10)*Tulemused!$Q$13</f>
        <v>7.2247501993602317</v>
      </c>
      <c r="AA143" s="228">
        <f>(IF(AA$7="X",VLOOKUP(AA$10,'VK-Hooned-Soojus'!$C:$X,2+$C143,FALSE),0)+IF(AA$6="X",VLOOKUP(AA$10,'VK-Transport'!$C:$X,2+$B143,0))+IF(AA$8="X",VLOOKUP(AA$10,'VK-Elekter'!$C:$X,2+$D143,0))+IF(AA$9="X",VLOOKUP(AA$10,'VK-Biokütused'!$C:$U,2+$E143,0))+IF(AA$5="X",VLOOKUP(AA$10,'VK-Põlevkivi'!$C:$X,2+$G143,0))+IF(AA$4="X",VLOOKUP(AA$10,'VK-Võrgud'!$C:$X,2+$F143,0)))</f>
        <v>4727</v>
      </c>
      <c r="AB143" s="228">
        <f>(IF(AB$7="X",VLOOKUP(AB$10,'VK-Hooned-Soojus'!$C:$X,2+$C143,FALSE),0)+IF(AB$6="X",VLOOKUP(AB$10,'VK-Transport'!$C:$X,2+$B143,0))+IF(AB$8="X",VLOOKUP(AB$10,'VK-Elekter'!$C:$X,2+$D143,0))+IF(AB$9="X",VLOOKUP(AB$10,'VK-Biokütused'!$C:$U,2+$E143,0))+IF(AB$5="X",VLOOKUP(AB$10,'VK-Põlevkivi'!$C:$X,2+$G143,0))+IF(AB$4="X",VLOOKUP(AB$10,'VK-Võrgud'!$C:$X,2+$F143,0)))</f>
        <v>1177</v>
      </c>
      <c r="AC143" s="228">
        <f>(IF(AC$7="X",VLOOKUP(AC$10,'VK-Hooned-Soojus'!$C:$X,2+$C143,FALSE),0)+IF(AC$6="X",VLOOKUP(AC$10,'VK-Transport'!$C:$X,2+$B143,0))+IF(AC$8="X",VLOOKUP(AC$10,'VK-Elekter'!$C:$X,2+$D143,0))+IF(AC$9="X",VLOOKUP(AC$10,'VK-Biokütused'!$C:$U,2+$E143,0))+IF(AC$5="X",VLOOKUP(AC$10,'VK-Põlevkivi'!$C:$X,2+$G143,0))+IF(AC$4="X",VLOOKUP(AC$10,'VK-Võrgud'!$C:$X,2+$F143,0)))</f>
        <v>2346</v>
      </c>
      <c r="AD143" s="228">
        <f>(IF(AD$7="X",VLOOKUP(AD$10,'VK-Hooned-Soojus'!$C:$X,2+$C143,FALSE),0)+IF(AD$6="X",VLOOKUP(AD$10,'VK-Transport'!$C:$X,2+$B143,0))+IF(AD$8="X",VLOOKUP(AD$10,'VK-Elekter'!$C:$X,2+$D143,0))+IF(AD$9="X",VLOOKUP(AD$10,'VK-Biokütused'!$C:$U,2+$E143,0))+IF(AD$5="X",VLOOKUP(AD$10,'VK-Põlevkivi'!$C:$X,2+$G143,0))+IF(AD$4="X",VLOOKUP(AD$10,'VK-Võrgud'!$C:$X,2+$F143,0)))</f>
        <v>0</v>
      </c>
      <c r="AE143" s="228">
        <f>(IF(AE$7="X",VLOOKUP(AE$10,'VK-Hooned-Soojus'!$C:$X,2+$C143,FALSE),0)+IF(AE$6="X",VLOOKUP(AE$10,'VK-Transport'!$C:$X,2+$B143,0))+IF(AE$8="X",VLOOKUP(AE$10,'VK-Elekter'!$C:$X,2+$D143,0))+IF(AE$9="X",VLOOKUP(AE$10,'VK-Biokütused'!$C:$U,2+$E143,0))+IF(AE$5="X",VLOOKUP(AE$10,'VK-Põlevkivi'!$C:$X,2+$G143,0))+IF(AE$4="X",VLOOKUP(AE$10,'VK-Võrgud'!$C:$X,2+$F143,0)))</f>
        <v>507</v>
      </c>
      <c r="AF143" s="228">
        <f>(IF(AF$7="X",VLOOKUP(AF$10,'VK-Hooned-Soojus'!$C:$X,2+$C143,FALSE),0)+IF(AF$6="X",VLOOKUP(AF$10,'VK-Transport'!$C:$X,2+$B143,0))+IF(AF$8="X",VLOOKUP(AF$10,'VK-Elekter'!$C:$X,2+$D143,0))+IF(AF$9="X",VLOOKUP(AF$10,'VK-Biokütused'!$C:$U,2+$E143,0))+IF(AF$5="X",VLOOKUP(AF$10,'VK-Põlevkivi'!$C:$X,2+$G143,0))+IF(AF$4="X",VLOOKUP(AF$10,'VK-Võrgud'!$C:$X,2+$F143,0)))</f>
        <v>530.88499063732002</v>
      </c>
      <c r="AG143" s="209"/>
      <c r="AH143" s="209">
        <f>IF(AH$7="X",VLOOKUP(AH$10,'VK-Hooned-Soojus'!$C:$X,2+$C143,FALSE),0)+IF(AH$6="X",VLOOKUP(AH$10,'VK-Transport'!$C:$X,2+$B143,0))+IF(AH$8="X",VLOOKUP(AH$10,'VK-Elekter'!$C:$X,2+$D143,0))+IF(AH$9="X",VLOOKUP(AH$10,'VK-Biokütused'!$C:$U,2+$E143,0))+IF(AH$5="X",VLOOKUP(AH$10,'VK-Põlevkivi'!$C:$X,2+$G143,0))+IF(AH$4="X",VLOOKUP(AH$10,'VK-Võrgud'!$C:$X,2+$F143,0))</f>
        <v>17.400000000000002</v>
      </c>
      <c r="AI143" s="209">
        <f>IF(AI$7="X",VLOOKUP(AI$10,'VK-Hooned-Soojus'!$C:$X,2+$C143,FALSE),0)+IF(AI$6="X",VLOOKUP(AI$10,'VK-Transport'!$C:$X,2+$B143,0))+IF(AI$8="X",VLOOKUP(AI$10,'VK-Elekter'!$C:$X,2+$D143,0))+IF(AI$9="X",VLOOKUP(AI$10,'VK-Biokütused'!$C:$U,2+$E143,0))+IF(AI$5="X",VLOOKUP(AI$10,'VK-Põlevkivi'!$C:$X,2+$G143,0))+IF(AI$4="X",VLOOKUP(AI$10,'VK-Võrgud'!$C:$X,2+$F143,0))</f>
        <v>2.3100000000000005</v>
      </c>
      <c r="AJ143" s="209">
        <f>IF(AJ$7="X",VLOOKUP(AJ$10,'VK-Hooned-Soojus'!$C:$X,2+$C143,FALSE),0)+IF(AJ$6="X",VLOOKUP(AJ$10,'VK-Transport'!$C:$X,2+$B143,0))+IF(AJ$8="X",VLOOKUP(AJ$10,'VK-Elekter'!$C:$X,2+$D143,0))+IF(AJ$9="X",VLOOKUP(AJ$10,'VK-Biokütused'!$C:$U,2+$E143,0))+IF(AJ$5="X",VLOOKUP(AJ$10,'VK-Põlevkivi'!$C:$X,2+$G143,0))+IF(AJ$4="X",VLOOKUP(AJ$10,'VK-Võrgud'!$C:$X,2+$F143,0))</f>
        <v>4.59</v>
      </c>
      <c r="AK143" s="209">
        <f>IF(AK$7="X",VLOOKUP(AK$10,'VK-Hooned-Soojus'!$C:$X,2+$C143,FALSE),0)+IF(AK$6="X",VLOOKUP(AK$10,'VK-Transport'!$C:$X,2+$B143,0))+IF(AK$8="X",VLOOKUP(AK$10,'VK-Elekter'!$C:$X,2+$D143,0))+IF(AK$9="X",VLOOKUP(AK$10,'VK-Biokütused'!$C:$U,2+$E143,0))+IF(AK$5="X",VLOOKUP(AK$10,'VK-Põlevkivi'!$C:$X,2+$G143,0))+IF(AK$4="X",VLOOKUP(AK$10,'VK-Võrgud'!$C:$X,2+$F143,0))</f>
        <v>-0.41</v>
      </c>
      <c r="AL143" s="209">
        <f>IF(AL$7="X",VLOOKUP(AL$10,'VK-Hooned-Soojus'!$C:$X,2+$C143,FALSE),0)+IF(AL$6="X",VLOOKUP(AL$10,'VK-Transport'!$C:$X,2+$B143,0))+IF(AL$8="X",VLOOKUP(AL$10,'VK-Elekter'!$C:$X,2+$D143,0))+IF(AL$9="X",VLOOKUP(AL$10,'VK-Biokütused'!$C:$U,2+$E143,0))+IF(AL$5="X",VLOOKUP(AL$10,'VK-Põlevkivi'!$C:$X,2+$G143,0))+IF(AL$4="X",VLOOKUP(AL$10,'VK-Võrgud'!$C:$X,2+$F143,0))</f>
        <v>7.1</v>
      </c>
      <c r="AM143" s="209">
        <f>IF(AM$7="X",VLOOKUP(AM$10,'VK-Hooned-Soojus'!$C:$X,2+$C143,FALSE),0)+IF(AM$6="X",VLOOKUP(AM$10,'VK-Transport'!$C:$X,2+$B143,0))+IF(AM$8="X",VLOOKUP(AM$10,'VK-Elekter'!$C:$X,2+$D143,0))+IF(AM$9="X",VLOOKUP(AM$10,'VK-Biokütused'!$C:$U,2+$E143,0))+IF(AM$5="X",VLOOKUP(AM$10,'VK-Põlevkivi'!$C:$X,2+$G143,0))+IF(AM$4="X",VLOOKUP(AM$10,'VK-Võrgud'!$C:$X,2+$F143,0))</f>
        <v>11.5</v>
      </c>
      <c r="AN143" s="209">
        <f>IF(AN$7="X",VLOOKUP(AN$10,'VK-Hooned-Soojus'!$C:$X,2+$C143,FALSE),0)+IF(AN$6="X",VLOOKUP(AN$10,'VK-Transport'!$C:$X,2+$B143,0))+IF(AN$8="X",VLOOKUP(AN$10,'VK-Elekter'!$C:$X,2+$D143,0))+IF(AN$9="X",VLOOKUP(AN$10,'VK-Biokütused'!$C:$U,2+$E143,0))+IF(AN$5="X",VLOOKUP(AN$10,'VK-Põlevkivi'!$C:$X,2+$G143,0))+IF(AN$4="X",VLOOKUP(AN$10,'VK-Võrgud'!$C:$X,2+$F143,0))</f>
        <v>4.0999999999999996</v>
      </c>
      <c r="AO143" s="209">
        <f>IF(AO$7="X",VLOOKUP(AO$10,'VK-Hooned-Soojus'!$C:$X,2+$C143,FALSE),0)+IF(AO$6="X",VLOOKUP(AO$10,'VK-Transport'!$C:$X,2+$B143,0))+IF(AO$8="X",VLOOKUP(AO$10,'VK-Elekter'!$C:$X,2+$D143,0))+IF(AO$9="X",VLOOKUP(AO$10,'VK-Biokütused'!$C:$U,2+$E143,0))+IF(AO$5="X",VLOOKUP(AO$10,'VK-Põlevkivi'!$C:$X,2+$G143,0))+IF(AO$4="X",VLOOKUP(AO$10,'VK-Võrgud'!$C:$X,2+$F143,0))</f>
        <v>12.16</v>
      </c>
      <c r="AP143" s="209">
        <f>IF(AP$7="X",VLOOKUP(AP$10,'VK-Hooned-Soojus'!$C:$X,2+$C143,FALSE),0)+IF(AP$6="X",VLOOKUP(AP$10,'VK-Transport'!$C:$X,2+$B143,0))+IF(AP$8="X",VLOOKUP(AP$10,'VK-Elekter'!$C:$X,2+$D143,0))+IF(AP$9="X",VLOOKUP(AP$10,'VK-Biokütused'!$C:$U,2+$E143,0))+IF(AP$5="X",VLOOKUP(AP$10,'VK-Põlevkivi'!$C:$X,2+$G143,0))+IF(AP$4="X",VLOOKUP(AP$10,'VK-Võrgud'!$C:$X,2+$F143,0))</f>
        <v>6.08</v>
      </c>
      <c r="AQ143" s="320">
        <f t="shared" si="102"/>
        <v>0</v>
      </c>
      <c r="AR143" s="209">
        <f>IF(AR$7="X",VLOOKUP(AR$10,'VK-Hooned-Soojus'!$C:$X,2+$C143,FALSE),0)+IF(AR$6="X",VLOOKUP(AR$10,'VK-Transport'!$C:$X,2+$B143,0))+IF(AR$8="X",VLOOKUP(AR$10,'VK-Elekter'!$C:$X,2+$D143,0))+IF(AR$9="X",VLOOKUP(AR$10,'VK-Biokütused'!$C:$U,2+$E143,0))+IF(AR$5="X",VLOOKUP(AR$10,'VK-Põlevkivi'!$C:$X,2+$G143,0))+IF(AR$4="X",VLOOKUP(AR$10,'VK-Võrgud'!$C:$X,2+$F143,0))</f>
        <v>12.809999999999999</v>
      </c>
      <c r="AS143" s="235">
        <f>'VK-Põlevkivi'!$F$8-AR143-AU143</f>
        <v>14.298622986547709</v>
      </c>
      <c r="AT143" s="209">
        <f>IF(AT$7="X",VLOOKUP(AT$10,'VK-Hooned-Soojus'!$C:$X,2+$C143,FALSE),0)+IF(AT$6="X",VLOOKUP(AT$10,'VK-Transport'!$C:$X,2+$B143,0))+IF(AT$8="X",VLOOKUP(AT$10,'VK-Elekter'!$C:$X,2+$D143,0))+IF(AT$9="X",VLOOKUP(AT$10,'VK-Biokütused'!$C:$U,2+$E143,0))+IF(AT$5="X",VLOOKUP(AT$10,'VK-Põlevkivi'!$C:$X,2+$G143,0))+IF(AT$4="X",VLOOKUP(AT$10,'VK-Võrgud'!$C:$X,2+$F143,0))</f>
        <v>5.7045296564339489</v>
      </c>
      <c r="AU143" s="235">
        <f>'VK-Põlevkivi'!$F$9-VLOOKUP("Kütuste tarbimine @ 2030 - PÕLEVKIVIÕLI",'VK-Hooned-Soojus'!$C:$X,2+$C143,FALSE)</f>
        <v>29.428043680118964</v>
      </c>
      <c r="AV143" s="209">
        <f>IF(AV$7="X",VLOOKUP(AV$10,'VK-Hooned-Soojus'!$C:$X,2+$C143,FALSE),0)+IF(AV$6="X",VLOOKUP(AV$10,'VK-Transport'!$C:$X,2+$B143,0))+IF(AV$8="X",VLOOKUP(AV$10,'VK-Elekter'!$C:$X,2+$D143,0))+IF(AV$9="X",VLOOKUP(AV$10,'VK-Biokütused'!$C:$U,2+$E143,0))+IF(AV$5="X",VLOOKUP(AV$10,'VK-Põlevkivi'!$C:$X,2+$G143,0))+IF(AV$4="X",VLOOKUP(AV$10,'VK-Võrgud'!$C:$X,2+$F143,0))</f>
        <v>2.1219844082566364</v>
      </c>
      <c r="AW143" s="209">
        <f>IF(AW$7="X",VLOOKUP(AW$10,'VK-Hooned-Soojus'!$C:$X,2+$C143,FALSE),0)+IF(AW$6="X",VLOOKUP(AW$10,'VK-Transport'!$C:$X,2+$B143,0))+IF(AW$8="X",VLOOKUP(AW$10,'VK-Elekter'!$C:$X,2+$D143,0))+IF(AW$9="X",VLOOKUP(AW$10,'VK-Biokütused'!$C:$U,2+$E143,0))+IF(AW$5="X",VLOOKUP(AW$10,'VK-Põlevkivi'!$C:$X,2+$G143,0))+IF(AW$4="X",VLOOKUP(AW$10,'VK-Võrgud'!$C:$X,2+$F143,0))</f>
        <v>0</v>
      </c>
      <c r="AX143" s="229">
        <f t="shared" si="103"/>
        <v>0</v>
      </c>
      <c r="AY143" s="229">
        <f t="shared" si="104"/>
        <v>2.1219844082566364</v>
      </c>
      <c r="AZ143" s="230">
        <f t="shared" si="105"/>
        <v>0.28607448977970246</v>
      </c>
      <c r="BA143" s="209">
        <f>IF(BA$7="X",VLOOKUP(BA$10,'VK-Hooned-Soojus'!$C:$X,2+$C143,FALSE),0)+IF(BA$6="X",VLOOKUP(BA$10,'VK-Transport'!$C:$X,2+$B143,0))+IF(BA$8="X",VLOOKUP(BA$10,'VK-Elekter'!$C:$X,2+$D143,0))+IF(BA$9="X",VLOOKUP(BA$10,'VK-Biokütused'!$C:$U,2+$E143,0))+IF(BA$5="X",VLOOKUP(BA$10,'VK-Põlevkivi'!$C:$X,2+$G143,0))+IF(BA$4="X",VLOOKUP(BA$10,'VK-Võrgud'!$C:$X,2+$F143,0))</f>
        <v>7.41</v>
      </c>
      <c r="BB143" s="209">
        <f>IF(BB$7="X",VLOOKUP(BB$10,'VK-Hooned-Soojus'!$C:$X,2+$C143,FALSE),0)+IF(BB$6="X",VLOOKUP(BB$10,'VK-Transport'!$C:$X,2+$B143,0))+IF(BB$8="X",VLOOKUP(BB$10,'VK-Elekter'!$C:$X,2+$D143,0))+IF(BB$9="X",VLOOKUP(BB$10,'VK-Biokütused'!$C:$U,2+$E143,0))+IF(BB$5="X",VLOOKUP(BB$10,'VK-Põlevkivi'!$C:$X,2+$G143,0))+IF(BB$4="X",VLOOKUP(BB$10,'VK-Võrgud'!$C:$X,2+$F143,0))</f>
        <v>2.96</v>
      </c>
      <c r="BC143" s="209">
        <f>IF(BC$7="X",VLOOKUP(BC$10,'VK-Hooned-Soojus'!$C:$X,2+$C143,FALSE),0)+IF(BC$6="X",VLOOKUP(BC$10,'VK-Transport'!$C:$X,2+$B143,0))+IF(BC$8="X",VLOOKUP(BC$10,'VK-Elekter'!$C:$X,2+$D143,0))+IF(BC$9="X",VLOOKUP(BC$10,'VK-Biokütused'!$C:$U,2+$E143,0))+IF(BC$5="X",VLOOKUP(BC$10,'VK-Põlevkivi'!$C:$X,2+$G143,0))+IF(BC$4="X",VLOOKUP(BC$10,'VK-Võrgud'!$C:$X,2+$F143,0))</f>
        <v>5.2376666666666667</v>
      </c>
      <c r="BD143" s="209">
        <f>IF(BD$7="X",VLOOKUP(BD$10,'VK-Hooned-Soojus'!$C:$X,2+$C143,FALSE),0)+IF(BD$6="X",VLOOKUP(BD$10,'VK-Transport'!$C:$X,2+$B143,0))+IF(BD$8="X",VLOOKUP(BD$10,'VK-Elekter'!$C:$X,2+$D143,0))+IF(BD$9="X",VLOOKUP(BD$10,'VK-Biokütused'!$C:$U,2+$E143,0))+IF(BD$5="X",VLOOKUP(BD$10,'VK-Põlevkivi'!$C:$X,2+$G143,0))+IF(BD$4="X",VLOOKUP(BD$10,'VK-Võrgud'!$C:$X,2+$F143,0))</f>
        <v>9.1105555555555569</v>
      </c>
      <c r="BE143" s="230"/>
      <c r="BF143" s="229">
        <f t="shared" si="106"/>
        <v>0.27595013650694183</v>
      </c>
      <c r="BG143" s="209" t="e">
        <f>(IF(BG$7="X",VLOOKUP(BG$10,'VK-Hooned-Soojus'!$C:$X,2+$C143,FALSE),0)+IF(BG$6="X",VLOOKUP(BG$10,'VK-Transport'!$C:$X,2+$B143,0))+IF(BG$8="X",VLOOKUP(BG$10,'VK-Elekter'!$C:$X,2+$D143,0))+IF(BG$9="X",VLOOKUP(BG$10,'VK-Biokütused'!$C:$U,2+$E143,0))+IF(BG$5="X",VLOOKUP(BG$10,'VK-Põlevkivi'!$C:$X,2+$G143,0))+IF(BG$4="X",VLOOKUP(BG$10,'VK-Võrgud'!$C:$X,2+$F143,0)))/20</f>
        <v>#N/A</v>
      </c>
      <c r="BH143" s="209">
        <f>(IF(BH$7="X",VLOOKUP(BH$10,'VK-Hooned-Soojus'!$C:$X,2+$C143,FALSE),0)+IF(BH$6="X",VLOOKUP(BH$10,'VK-Transport'!$C:$X,2+$B143,0))+IF(BH$8="X",VLOOKUP(BH$10,'VK-Elekter'!$C:$X,2+$D143,0))+IF(BH$9="X",VLOOKUP(BH$10,'VK-Biokütused'!$C:$U,2+$E143,0))+IF(BH$5="X",VLOOKUP(BH$10,'VK-Põlevkivi'!$C:$X,2+$G143,0))+IF(BH$4="X",VLOOKUP(BH$10,'VK-Võrgud'!$C:$X,2+$F143,0)))/20</f>
        <v>84.204999999999998</v>
      </c>
      <c r="BI143" s="209">
        <f>(IF(BI$7="X",VLOOKUP(BI$10,'VK-Hooned-Soojus'!$C:$X,2+$C143,FALSE),0)+IF(BI$6="X",VLOOKUP(BI$10,'VK-Transport'!$C:$X,2+$B143,0))+IF(BI$8="X",VLOOKUP(BI$10,'VK-Elekter'!$C:$X,2+$D143,0))+IF(BI$9="X",VLOOKUP(BI$10,'VK-Biokütused'!$C:$U,2+$E143,0))+IF(BI$5="X",VLOOKUP(BI$10,'VK-Põlevkivi'!$C:$X,2+$G143,0))+IF(BI$4="X",VLOOKUP(BI$10,'VK-Võrgud'!$C:$X,2+$F143,0)))/16</f>
        <v>8.9375</v>
      </c>
      <c r="BJ143" s="209">
        <f>(IF(BJ$7="X",VLOOKUP(BJ$10,'VK-Hooned-Soojus'!$C:$X,2+$C143,FALSE),0)+IF(BJ$6="X",VLOOKUP(BJ$10,'VK-Transport'!$C:$X,2+$B143,0))+IF(BJ$8="X",VLOOKUP(BJ$10,'VK-Elekter'!$C:$X,2+$D143,0))+IF(BJ$9="X",VLOOKUP(BJ$10,'VK-Biokütused'!$C:$U,2+$E143,0))+IF(BJ$5="X",VLOOKUP(BJ$10,'VK-Põlevkivi'!$C:$X,2+$G143,0))+IF(BJ$4="X",VLOOKUP(BJ$10,'VK-Võrgud'!$C:$X,2+$F143,0)))/20</f>
        <v>5.33</v>
      </c>
      <c r="BK143" s="209"/>
      <c r="BL143" s="209"/>
      <c r="BM143" s="209"/>
      <c r="BN143" s="209" t="e">
        <f>(IF(BN$7="X",VLOOKUP(BN$10,'VK-Hooned-Soojus'!$C:$X,2+$C143,FALSE),0)+IF(BN$6="X",VLOOKUP(BN$10,'VK-Transport'!$C:$X,2+$B143,0))+IF(BN$8="X",VLOOKUP(BN$10,'VK-Elekter'!$C:$X,2+$D143,0))+IF(BN$9="X",VLOOKUP(BN$10,'VK-Biokütused'!$C:$U,2+$E143,0))+IF(BN$5="X",VLOOKUP(BN$10,'VK-Põlevkivi'!$C:$X,2+$G143,0))+IF(BN$4="X",VLOOKUP(BN$10,'VK-Võrgud'!$C:$X,2+$F143,0)))/16</f>
        <v>#N/A</v>
      </c>
      <c r="BO143" s="209">
        <f>(IF(BO$7="X",VLOOKUP(BO$10,'VK-Hooned-Soojus'!$C:$X,2+$C143,FALSE),0)+IF(BO$6="X",VLOOKUP(BO$10,'VK-Transport'!$C:$X,2+$B143,0))+IF(BO$8="X",VLOOKUP(BO$10,'VK-Elekter'!$C:$X,2+$D143,0))+IF(BO$9="X",VLOOKUP(BO$10,'VK-Biokütused'!$C:$U,2+$E143,0))+IF(BO$5="X",VLOOKUP(BO$10,'VK-Põlevkivi'!$C:$X,2+$G143,0))+IF(BO$4="X",VLOOKUP(BO$10,'VK-Võrgud'!$C:$X,2+$F143,0)))/16</f>
        <v>322.79374999999999</v>
      </c>
      <c r="BP143" s="209"/>
      <c r="BQ143" s="209">
        <f>(IF(BQ$7="X",VLOOKUP(BQ$10,'VK-Hooned-Soojus'!$C:$X,2+$C143,FALSE),0)+IF(BQ$6="X",VLOOKUP(BQ$10,'VK-Transport'!$C:$X,2+$B143,0))+IF(BQ$8="X",VLOOKUP(BQ$10,'VK-Elekter'!$C:$X,2+$D143,0))+IF(BQ$9="X",VLOOKUP(BQ$10,'VK-Biokütused'!$C:$U,2+$E143,0))+IF(BQ$5="X",VLOOKUP(BQ$10,'VK-Põlevkivi'!$C:$X,2+$G143,0))+IF(BQ$4="X",VLOOKUP(BQ$10,'VK-Võrgud'!$C:$X,2+$F143,0)))/16</f>
        <v>233.20625000000001</v>
      </c>
      <c r="BR143" s="209">
        <f>(IF(BR$7="X",VLOOKUP(BR$10,'VK-Hooned-Soojus'!$C:$X,2+$C143,FALSE),0)+IF(BR$6="X",VLOOKUP(BR$10,'VK-Transport'!$C:$X,2+$B143,0))+IF(BR$8="X",VLOOKUP(BR$10,'VK-Elekter'!$C:$X,2+$D143,0))+IF(BR$9="X",VLOOKUP(BR$10,'VK-Biokütused'!$C:$U,2+$E143,0))+IF(BR$5="X",VLOOKUP(BR$10,'VK-Põlevkivi'!$C:$X,2+$G143,0))+IF(BR$4="X",VLOOKUP(BR$10,'VK-Võrgud'!$C:$X,2+$F143,0)))/16</f>
        <v>74.512500000000003</v>
      </c>
      <c r="BS143" s="209">
        <f>(IF(BS$7="X",VLOOKUP(BS$10,'VK-Hooned-Soojus'!$C:$X,2+$C143,FALSE),0)+IF(BS$6="X",VLOOKUP(BS$10,'VK-Transport'!$C:$X,2+$B143,0))+IF(BS$8="X",VLOOKUP(BS$10,'VK-Elekter'!$C:$X,2+$D143,0))+IF(BS$9="X",VLOOKUP(BS$10,'VK-Biokütused'!$C:$U,2+$E143,0))+IF(BS$5="X",VLOOKUP(BS$10,'VK-Põlevkivi'!$C:$X,2+$G143,0))+IF(BS$4="X",VLOOKUP(BS$10,'VK-Võrgud'!$C:$X,2+$F143,0)))/16</f>
        <v>-21.475000000000001</v>
      </c>
      <c r="BT143" s="209"/>
      <c r="BU143" s="209"/>
      <c r="BV143" s="209">
        <f>(IF(BV$7="X",VLOOKUP(BV$10,'VK-Hooned-Soojus'!$C:$X,2+$C143,FALSE),0)+IF(BV$6="X",VLOOKUP(BV$10,'VK-Transport'!$C:$X,2+$B143,0))+IF(BV$8="X",VLOOKUP(BV$10,'VK-Elekter'!$C:$X,2+$D143,0))+IF(BV$9="X",VLOOKUP(BV$10,'VK-Biokütused'!$C:$U,2+$E143,0))+IF(BV$5="X",VLOOKUP(BV$10,'VK-Põlevkivi'!$C:$X,2+$G143,0))+IF(BV$4="X",VLOOKUP(BV$10,'VK-Võrgud'!$C:$X,2+$F143,0)))/16</f>
        <v>0</v>
      </c>
      <c r="BW143" s="209"/>
      <c r="BX143" s="209">
        <f>(IF(BX$7="X",VLOOKUP(BX$10,'VK-Hooned-Soojus'!$C:$X,2+$C143,FALSE),0)+IF(BX$6="X",VLOOKUP(BX$10,'VK-Transport'!$C:$X,2+$B143,0))+IF(BX$8="X",VLOOKUP(BX$10,'VK-Elekter'!$C:$X,2+$D143,0))+IF(BX$9="X",VLOOKUP(BX$10,'VK-Biokütused'!$C:$U,2+$E143,0))+IF(BX$5="X",VLOOKUP(BX$10,'VK-Põlevkivi'!$C:$X,2+$G143,0))+IF(BX$4="X",VLOOKUP(BX$10,'VK-Võrgud'!$C:$X,2+$F143,0)))/16</f>
        <v>-145.125</v>
      </c>
      <c r="BY143" s="209"/>
      <c r="BZ143" s="209"/>
      <c r="CA143" s="209" t="e">
        <f>(IF(CA$7="X",VLOOKUP(CA$10,'VK-Hooned-Soojus'!$C:$X,2+$C143,FALSE),0)+IF(CA$6="X",VLOOKUP(CA$10,'VK-Transport'!$C:$X,2+$B143,0))+IF(CA$8="X",VLOOKUP(CA$10,'VK-Elekter'!$C:$X,2+$D143,0))+IF(CA$9="X",VLOOKUP(CA$10,'VK-Biokütused'!$C:$U,2+$E143,0))+IF(CA$5="X",VLOOKUP(CA$10,'VK-Põlevkivi'!$C:$X,2+$G143,0))+IF(CA$4="X",VLOOKUP(CA$10,'VK-Võrgud'!$C:$X,2+$F143,0)))/16</f>
        <v>#N/A</v>
      </c>
      <c r="CB143" s="209">
        <f>(IF(CB$7="X",VLOOKUP(CB$10,'VK-Hooned-Soojus'!$C:$X,2+$C143,FALSE),0)+IF(CB$6="X",VLOOKUP(CB$10,'VK-Transport'!$C:$X,2+$B143,0))+IF(CB$8="X",VLOOKUP(CB$10,'VK-Elekter'!$C:$X,2+$D143,0))+IF(CB$9="X",VLOOKUP(CB$10,'VK-Biokütused'!$C:$U,2+$E143,0))+IF(CB$5="X",VLOOKUP(CB$10,'VK-Põlevkivi'!$C:$X,2+$G143,0))+IF(CB$4="X",VLOOKUP(CB$10,'VK-Võrgud'!$C:$X,2+$F143,0)))/16</f>
        <v>0</v>
      </c>
      <c r="CC143" s="209">
        <f>(IF(CC$7="X",VLOOKUP(CC$10,'VK-Hooned-Soojus'!$C:$X,2+$C143,FALSE),0)+IF(CC$6="X",VLOOKUP(CC$10,'VK-Transport'!$C:$X,2+$B143,0))+IF(CC$8="X",VLOOKUP(CC$10,'VK-Elekter'!$C:$X,2+$D143,0))+IF(CC$9="X",VLOOKUP(CC$10,'VK-Biokütused'!$C:$U,2+$E143,0))+IF(CC$5="X",VLOOKUP(CC$10,'VK-Põlevkivi'!$C:$X,2+$G143,0))+IF(CC$4="X",VLOOKUP(CC$10,'VK-Võrgud'!$C:$X,2+$F143,0)))/16</f>
        <v>0</v>
      </c>
      <c r="CD143" s="209"/>
      <c r="CE143" s="209">
        <f>(IF(CE$7="X",VLOOKUP(CE$10,'VK-Hooned-Soojus'!$C:$X,2+$C143,FALSE),0)+IF(CE$6="X",VLOOKUP(CE$10,'VK-Transport'!$C:$X,2+$B143,0))+IF(CE$8="X",VLOOKUP(CE$10,'VK-Elekter'!$C:$X,2+$D143,0))+IF(CE$9="X",VLOOKUP(CE$10,'VK-Biokütused'!$C:$U,2+$E143,0))+IF(CE$5="X",VLOOKUP(CE$10,'VK-Põlevkivi'!$C:$X,2+$G143,0))+IF(CE$4="X",VLOOKUP(CE$10,'VK-Võrgud'!$C:$X,2+$F143,0)))/16</f>
        <v>24.15625</v>
      </c>
      <c r="CF143" s="209"/>
      <c r="CG143" s="209">
        <f>(IF(CG$7="X",VLOOKUP(CG$10,'VK-Hooned-Soojus'!$C:$X,2+$C143,FALSE),0)+IF(CG$6="X",VLOOKUP(CG$10,'VK-Transport'!$C:$X,2+$B143,0))+IF(CG$8="X",VLOOKUP(CG$10,'VK-Elekter'!$C:$X,2+$D143,0))+IF(CG$9="X",VLOOKUP(CG$10,'VK-Biokütused'!$C:$U,2+$E143,0))+IF(CG$5="X",VLOOKUP(CG$10,'VK-Põlevkivi'!$C:$X,2+$G143,0))+IF(CG$4="X",VLOOKUP(CG$10,'VK-Võrgud'!$C:$X,2+$F143,0)))/16</f>
        <v>0</v>
      </c>
      <c r="CH143" s="209">
        <f>(IF(CH$7="X",VLOOKUP(CH$10,'VK-Hooned-Soojus'!$C:$X,2+$C143,FALSE),0)+IF(CH$6="X",VLOOKUP(CH$10,'VK-Transport'!$C:$X,2+$B143,0))+IF(CH$8="X",VLOOKUP(CH$10,'VK-Elekter'!$C:$X,2+$D143,0))+IF(CH$9="X",VLOOKUP(CH$10,'VK-Biokütused'!$C:$U,2+$E143,0))+IF(CH$5="X",VLOOKUP(CH$10,'VK-Põlevkivi'!$C:$X,2+$G143,0))+IF(CH$4="X",VLOOKUP(CH$10,'VK-Võrgud'!$C:$X,2+$F143,0)))/20*0.21</f>
        <v>26.9178</v>
      </c>
      <c r="CI143" s="209"/>
      <c r="CJ143" s="209">
        <f>(IF(CJ$7="X",VLOOKUP(CJ$10,'VK-Hooned-Soojus'!$C:$X,2+$C143,FALSE),0)+IF(CJ$6="X",VLOOKUP(CJ$10,'VK-Transport'!$C:$X,2+$B143,0))+IF(CJ$8="X",VLOOKUP(CJ$10,'VK-Elekter'!$C:$X,2+$D143,0))+IF(CJ$9="X",VLOOKUP(CJ$10,'VK-Biokütused'!$C:$U,2+$E143,0))+IF(CJ$5="X",VLOOKUP(CJ$10,'VK-Põlevkivi'!$C:$X,2+$G143,0))+IF(CJ$4="X",VLOOKUP(CJ$10,'VK-Võrgud'!$C:$X,2+$F143,0)))/1000</f>
        <v>20.928000000000001</v>
      </c>
      <c r="CK143" s="209">
        <f>(IF(CK$7="X",VLOOKUP(CK$10,'VK-Hooned-Soojus'!$C:$X,2+$C143,FALSE),0)+IF(CK$6="X",VLOOKUP(CK$10,'VK-Transport'!$C:$X,2+$B143,0))+IF(CK$8="X",VLOOKUP(CK$10,'VK-Elekter'!$C:$X,2+$D143,0))+IF(CK$9="X",VLOOKUP(CK$10,'VK-Biokütused'!$C:$U,2+$E143,0))+IF(CK$5="X",VLOOKUP(CK$10,'VK-Põlevkivi'!$C:$X,2+$G143,0))+IF(CK$4="X",VLOOKUP(CK$10,'VK-Võrgud'!$C:$X,2+$F143,0)))/1000</f>
        <v>37.837669554234019</v>
      </c>
      <c r="CL143" s="209">
        <f>(IF(CL$7="X",VLOOKUP(CL$10,'VK-Hooned-Soojus'!$C:$X,2+$C143,FALSE),0)+IF(CL$6="X",VLOOKUP(CL$10,'VK-Transport'!$C:$X,2+$B143,0))+IF(CL$8="X",VLOOKUP(CL$10,'VK-Elekter'!$C:$X,2+$D143,0))+IF(CL$9="X",VLOOKUP(CL$10,'VK-Biokütused'!$C:$U,2+$E143,0))+IF(CL$5="X",VLOOKUP(CL$10,'VK-Põlevkivi'!$C:$X,2+$G143,0))+IF(CL$4="X",VLOOKUP(CL$10,'VK-Võrgud'!$C:$X,2+$F143,0)))/1000</f>
        <v>10.488630311598682</v>
      </c>
      <c r="CM143" s="209">
        <f>(IF(CM$7="X",VLOOKUP(CM$10,'VK-Hooned-Soojus'!$C:$X,2+$C143,FALSE),0)+IF(CM$6="X",VLOOKUP(CM$10,'VK-Transport'!$C:$X,2+$B143,0))+IF(CM$8="X",VLOOKUP(CM$10,'VK-Elekter'!$C:$X,2+$D143,0))+IF(CM$9="X",VLOOKUP(CM$10,'VK-Biokütused'!$C:$U,2+$E143,0))+IF(CM$5="X",VLOOKUP(CM$10,'VK-Põlevkivi'!$C:$X,2+$G143,0))+IF(CM$4="X",VLOOKUP(CM$10,'VK-Võrgud'!$C:$X,2+$F143,0)))/1000</f>
        <v>7.5199896156049162</v>
      </c>
      <c r="CN143" s="209">
        <f>(IF(CN$7="X",VLOOKUP(CN$10,'VK-Hooned-Soojus'!$C:$X,2+$C143,FALSE),0)+IF(CN$6="X",VLOOKUP(CN$10,'VK-Transport'!$C:$X,2+$B143,0))+IF(CN$8="X",VLOOKUP(CN$10,'VK-Elekter'!$C:$X,2+$D143,0))+IF(CN$9="X",VLOOKUP(CN$10,'VK-Biokütused'!$C:$U,2+$E143,0))+IF(CN$5="X",VLOOKUP(CN$10,'VK-Põlevkivi'!$C:$X,2+$G143,0))+IF(CN$4="X",VLOOKUP(CN$10,'VK-Võrgud'!$C:$X,2+$F143,0)))/1000</f>
        <v>2.7810000000000001</v>
      </c>
      <c r="CO143" s="209">
        <f>(IF(CO$7="X",VLOOKUP(CO$10,'VK-Hooned-Soojus'!$C:$X,2+$C143,FALSE),0)+IF(CO$6="X",VLOOKUP(CO$10,'VK-Transport'!$C:$X,2+$B143,0))+IF(CO$8="X",VLOOKUP(CO$10,'VK-Elekter'!$C:$X,2+$D143,0))+IF(CO$9="X",VLOOKUP(CO$10,'VK-Biokütused'!$C:$U,2+$E143,0))+IF(CO$5="X",VLOOKUP(CO$10,'VK-Põlevkivi'!$C:$X,2+$G143,0))+IF(CO$4="X",VLOOKUP(CO$10,'VK-Võrgud'!$C:$X,2+$F143,0)))/1000</f>
        <v>28.915362337356992</v>
      </c>
      <c r="CP143" s="209">
        <f>(IF(CP$7="X",VLOOKUP(CP$10,'VK-Hooned-Soojus'!$C:$X,2+$C143,FALSE),0)+IF(CP$6="X",VLOOKUP(CP$10,'VK-Transport'!$C:$X,2+$B143,0))+IF(CP$8="X",VLOOKUP(CP$10,'VK-Elekter'!$C:$X,2+$D143,0))+IF(CP$9="X",VLOOKUP(CP$10,'VK-Biokütused'!$C:$U,2+$E143,0))+IF(CP$5="X",VLOOKUP(CP$10,'VK-Põlevkivi'!$C:$X,2+$G143,0))+IF(CP$4="X",VLOOKUP(CP$10,'VK-Võrgud'!$C:$X,2+$F143,0)))/1000</f>
        <v>32.301874014997935</v>
      </c>
      <c r="CQ143" s="209">
        <f>(IF(CQ$7="X",VLOOKUP(CQ$10,'VK-Hooned-Soojus'!$C:$X,2+$C143,FALSE),0)+IF(CQ$6="X",VLOOKUP(CQ$10,'VK-Transport'!$C:$X,2+$B143,0))+IF(CQ$8="X",VLOOKUP(CQ$10,'VK-Elekter'!$C:$X,2+$D143,0))+IF(CQ$9="X",VLOOKUP(CQ$10,'VK-Biokütused'!$C:$U,2+$E143,0))+IF(CQ$5="X",VLOOKUP(CQ$10,'VK-Põlevkivi'!$C:$X,2+$G143,0))+IF(CQ$4="X",VLOOKUP(CQ$10,'VK-Võrgud'!$C:$X,2+$F143,0)))/1000</f>
        <v>16.620919000000001</v>
      </c>
      <c r="CR143" s="209">
        <f>(IF(CR$7="X",VLOOKUP(CR$10,'VK-Hooned-Soojus'!$C:$X,2+$C143,FALSE),0)+IF(CR$6="X",VLOOKUP(CR$10,'VK-Transport'!$C:$X,2+$B143,0))+IF(CR$8="X",VLOOKUP(CR$10,'VK-Elekter'!$C:$X,2+$D143,0))+IF(CR$9="X",VLOOKUP(CR$10,'VK-Biokütused'!$C:$U,2+$E143,0))+IF(CR$5="X",VLOOKUP(CR$10,'VK-Põlevkivi'!$C:$X,2+$G143,0))+IF(CR$4="X",VLOOKUP(CR$10,'VK-Võrgud'!$C:$X,2+$F143,0)))/1000</f>
        <v>8.0077518373996899</v>
      </c>
      <c r="CS143" s="209">
        <f>(IF(CS$7="X",VLOOKUP(CS$10,'VK-Hooned-Soojus'!$C:$X,2+$C143,FALSE),0)+IF(CS$6="X",VLOOKUP(CS$10,'VK-Transport'!$C:$X,2+$B143,0))+IF(CS$8="X",VLOOKUP(CS$10,'VK-Elekter'!$C:$X,2+$D143,0))+IF(CS$9="X",VLOOKUP(CS$10,'VK-Biokütused'!$C:$U,2+$E143,0))+IF(CS$5="X",VLOOKUP(CS$10,'VK-Põlevkivi'!$C:$X,2+$G143,0))+IF(CS$4="X",VLOOKUP(CS$10,'VK-Võrgud'!$C:$X,2+$F143,0)))/1000</f>
        <v>3.7686495098622381</v>
      </c>
      <c r="CT143" s="209">
        <f>IF(CT$7="X",VLOOKUP(CT$10,'VK-Hooned-Soojus'!$C:$X,2+$C143,FALSE),0)+IF(CT$6="X",VLOOKUP(CT$10,'VK-Transport'!$C:$X,2+$B143,0))+IF(CT$8="X",VLOOKUP(CT$10,'VK-Elekter'!$C:$X,2+$D143,0))+IF(CT$9="X",VLOOKUP(CT$10,'VK-Biokütused'!$C:$U,2+$E143,0))+IF(CT$5="X",VLOOKUP(CT$10,'VK-Põlevkivi'!$C:$X,2+$G143,0))+IF(CT$4="X",VLOOKUP(CT$10,'VK-Võrgud'!$C:$X,2+$F143,0))</f>
        <v>90</v>
      </c>
      <c r="CU143" s="209">
        <f>IF(CU$7="X",VLOOKUP(CU$10,'VK-Hooned-Soojus'!$C:$X,2+$C143,FALSE),0)+IF(CU$6="X",VLOOKUP(CU$10,'VK-Transport'!$C:$X,2+$B143,0))+IF(CU$8="X",VLOOKUP(CU$10,'VK-Elekter'!$C:$X,2+$D143,0))+IF(CU$9="X",VLOOKUP(CU$10,'VK-Biokütused'!$C:$U,2+$E143,0))+IF(CU$5="X",VLOOKUP(CU$10,'VK-Põlevkivi'!$C:$X,2+$G143,0))+IF(CU$4="X",VLOOKUP(CU$10,'VK-Võrgud'!$C:$X,2+$F143,0))</f>
        <v>1</v>
      </c>
      <c r="CV143" s="209">
        <f t="shared" si="107"/>
        <v>1</v>
      </c>
      <c r="CW143" s="209">
        <f>(IF(CW$7="X",VLOOKUP(CW$10,'VK-Hooned-Soojus'!$C:$X,2+$C143,FALSE),0)+IF(CW$6="X",VLOOKUP(CW$10,'VK-Transport'!$C:$X,2+$B143,0))+IF(CW$8="X",VLOOKUP(CW$10,'VK-Elekter'!$C:$X,2+$D143,0))+IF(CW$9="X",VLOOKUP(CW$10,'VK-Biokütused'!$C:$U,2+$E143,0))+IF(CW$5="X",VLOOKUP(CW$10,'VK-Põlevkivi'!$C:$X,2+$G143,0))+IF(CW$4="X",VLOOKUP(CW$10,'VK-Võrgud'!$C:$X,2+$F143,0)))/16</f>
        <v>0</v>
      </c>
      <c r="CY143" s="209">
        <f>(IF(CY$7="X",VLOOKUP(CY$10,'VK-Hooned-Soojus'!$C:$X,2+$C143,FALSE),0)+IF(CY$6="X",VLOOKUP(CY$10,'VK-Transport'!$C:$X,2+$B143,0))+IF(CY$8="X",VLOOKUP(CY$10,'VK-Elekter'!$C:$X,2+$D143,0))+IF(CY$9="X",VLOOKUP(CY$10,'VK-Biokütused'!$C:$U,2+$E143,0))+IF(CY$5="X",VLOOKUP(CY$10,'VK-Põlevkivi'!$C:$X,2+$G143,0))+IF(CY$4="X",VLOOKUP(CY$10,'VK-Võrgud'!$C:$X,2+$F143,0)))/1000</f>
        <v>10.715</v>
      </c>
      <c r="CZ143" s="209">
        <f>(IF(CZ$7="X",VLOOKUP(CZ$10,'VK-Hooned-Soojus'!$C:$X,2+$C143,FALSE),0)+IF(CZ$6="X",VLOOKUP(CZ$10,'VK-Transport'!$C:$X,2+$B143,0))+IF(CZ$8="X",VLOOKUP(CZ$10,'VK-Elekter'!$C:$X,2+$D143,0))+IF(CZ$9="X",VLOOKUP(CZ$10,'VK-Biokütused'!$C:$U,2+$E143,0))+IF(CZ$5="X",VLOOKUP(CZ$10,'VK-Põlevkivi'!$C:$X,2+$G143,0))+IF(CZ$4="X",VLOOKUP(CZ$10,'VK-Võrgud'!$C:$X,2+$F143,0)))</f>
        <v>91</v>
      </c>
      <c r="DA143" s="209">
        <f>(IF(DA$7="X",VLOOKUP(DA$10,'VK-Hooned-Soojus'!$C:$X,2+$C143,FALSE),0)+IF(DA$6="X",VLOOKUP(DA$10,'VK-Transport'!$C:$X,2+$B143,0))+IF(DA$8="X",VLOOKUP(DA$10,'VK-Elekter'!$C:$X,2+$D143,0))+IF(DA$9="X",VLOOKUP(DA$10,'VK-Biokütused'!$C:$U,2+$E143,0))+IF(DA$5="X",VLOOKUP(DA$10,'VK-Põlevkivi'!$C:$X,2+$G143,0))+IF(DA$4="X",VLOOKUP(DA$10,'VK-Võrgud'!$C:$X,2+$F143,0)))/1000</f>
        <v>15.191000000000001</v>
      </c>
      <c r="DB143" s="209">
        <f>(IF(DB$7="X",VLOOKUP(DB$10,'VK-Hooned-Soojus'!$C:$X,2+$C143,FALSE),0)+IF(DB$6="X",VLOOKUP(DB$10,'VK-Transport'!$C:$X,2+$B143,0))+IF(DB$8="X",VLOOKUP(DB$10,'VK-Elekter'!$C:$X,2+$D143,0))+IF(DB$9="X",VLOOKUP(DB$10,'VK-Biokütused'!$C:$U,2+$E143,0))+IF(DB$5="X",VLOOKUP(DB$10,'VK-Põlevkivi'!$C:$X,2+$G143,0))+IF(DB$4="X",VLOOKUP(DB$10,'VK-Võrgud'!$C:$X,2+$F143,0)))/1000/3.6</f>
        <v>130.73361111111112</v>
      </c>
      <c r="DC143" s="209">
        <f>(IF(DC$7="X",VLOOKUP(DC$10,'VK-Hooned-Soojus'!$C:$X,2+$C143,FALSE),0)+IF(DC$6="X",VLOOKUP(DC$10,'VK-Transport'!$C:$X,2+$B143,0))+IF(DC$8="X",VLOOKUP(DC$10,'VK-Elekter'!$C:$X,2+$D143,0))+IF(DC$9="X",VLOOKUP(DC$10,'VK-Biokütused'!$C:$U,2+$E143,0))+IF(DC$5="X",VLOOKUP(DC$10,'VK-Põlevkivi'!$C:$X,2+$G143,0))+IF(DC$4="X",VLOOKUP(DC$10,'VK-Võrgud'!$C:$X,2+$F143,0)))/1000000</f>
        <v>6.9564380000000003</v>
      </c>
      <c r="DD143" s="209"/>
      <c r="DE143" s="88">
        <f>VLOOKUP(Tulemused!$BN$12,data!M$7:N$12,2,FALSE)-SUM(L143,M143)</f>
        <v>0.39749062697563176</v>
      </c>
      <c r="DF143" s="209" t="str">
        <f>IF(AZ143&lt;=VLOOKUP(Tulemused!$BN$15,data!$E$36:$F$39,2,FALSE),"JAH","EI")</f>
        <v>JAH</v>
      </c>
      <c r="DG143" s="209"/>
      <c r="DH143" s="209">
        <f t="shared" si="108"/>
        <v>6.08</v>
      </c>
      <c r="DI143" s="231" t="str">
        <f t="shared" si="109"/>
        <v>JAH</v>
      </c>
      <c r="DK143" s="232">
        <f t="shared" si="96"/>
        <v>7.2247501993602317</v>
      </c>
      <c r="DM143" s="233">
        <f t="shared" si="97"/>
        <v>-999.26265560172487</v>
      </c>
      <c r="DN143" s="87">
        <f t="array" ref="DN143">INDEX($A$11:$A$145, SMALL(IF(DM143=$DK$11:$DK$145, MATCH(ROW($DK$11:$DK$145), ROW($DK$11:$DK$145))), SUM(--(DM143=$DM$11:DM143))))</f>
        <v>7</v>
      </c>
      <c r="DP143" s="87" t="e">
        <f t="shared" ca="1" si="110"/>
        <v>#N/A</v>
      </c>
      <c r="DQ143" s="87" t="e">
        <f t="shared" ca="1" si="111"/>
        <v>#N/A</v>
      </c>
      <c r="DR143" s="87">
        <f t="shared" ca="1" si="112"/>
        <v>0</v>
      </c>
      <c r="DS143" s="87" t="e">
        <f t="shared" ca="1" si="113"/>
        <v>#N/A</v>
      </c>
      <c r="DT143" s="87">
        <f t="shared" ca="1" si="114"/>
        <v>0</v>
      </c>
      <c r="DU143" s="87" t="e">
        <f t="shared" ca="1" si="115"/>
        <v>#N/A</v>
      </c>
      <c r="DV143" s="87" t="e">
        <f t="shared" ca="1" si="116"/>
        <v>#N/A</v>
      </c>
      <c r="DW143" s="87">
        <f t="shared" ca="1" si="117"/>
        <v>0</v>
      </c>
      <c r="DX143" s="87">
        <f t="shared" ca="1" si="118"/>
        <v>0</v>
      </c>
      <c r="DZ143" s="87">
        <f t="shared" ca="1" si="82"/>
        <v>0</v>
      </c>
      <c r="EB143" s="87">
        <f t="shared" ca="1" si="119"/>
        <v>0</v>
      </c>
      <c r="EC143" s="87" t="e">
        <f t="shared" ca="1" si="120"/>
        <v>#N/A</v>
      </c>
      <c r="EE143" s="228">
        <f>(IF(EE$7="X",VLOOKUP(EE$10,'VK-Hooned-Soojus'!$C:$X,2+$C143,FALSE),0)+IF(EE$6="X",VLOOKUP(EE$10,'VK-Transport'!$C:$X,2+$B143,0))+IF(EE$8="X",VLOOKUP(EE$10,'VK-Elekter'!$C:$X,2+$D143,0))+IF(EE$9="X",VLOOKUP(EE$10,'VK-Biokütused'!$C:$U,2+$E143,0))+IF(EE$5="X",VLOOKUP(EE$10,'VK-Põlevkivi'!$C:$X,2+$G143,0))+IF(EE$4="X",VLOOKUP(EE$10,'VK-Võrgud'!$C:$X,2+$F143,0)))</f>
        <v>9721.5202996777352</v>
      </c>
      <c r="EF143" s="209">
        <f>(IF(EF$7="X",VLOOKUP(EF$10,'VK-Hooned-Soojus'!$C:$X,2+$C143,FALSE),0)+IF(EF$6="X",VLOOKUP(EF$10,'VK-Transport'!$C:$X,2+$B143,0))+IF(EF$8="X",VLOOKUP(EF$10,'VK-Elekter'!$C:$X,2+$D143,0))+IF(EF$9="X",VLOOKUP(EF$10,'VK-Biokütused'!$C:$U,2+$E143,0))+IF(EF$5="X",VLOOKUP(EF$10,'VK-Põlevkivi'!$C:$X,2+$G143,0))+IF(EF$4="X",VLOOKUP(EF$10,'VK-Võrgud'!$C:$X,2+$F143,0)))/1000</f>
        <v>7.2238849906373197</v>
      </c>
      <c r="EG143" s="209">
        <f>(IF(EG$7="X",VLOOKUP(EG$10,'VK-Hooned-Soojus'!$C:$X,2+$C143,FALSE),0)+IF(EG$6="X",VLOOKUP(EG$10,'VK-Transport'!$C:$X,2+$B143,0))+IF(EG$8="X",VLOOKUP(EG$10,'VK-Elekter'!$C:$X,2+$D143,0))+IF(EG$9="X",VLOOKUP(EG$10,'VK-Biokütused'!$C:$U,2+$E143,0))+IF(EG$5="X",VLOOKUP(EG$10,'VK-Põlevkivi'!$C:$X,2+$G143,0))+IF(EG$4="X",VLOOKUP(EG$10,'VK-Võrgud'!$C:$X,2+$F143,0)))</f>
        <v>0.81</v>
      </c>
      <c r="EH143" s="209">
        <f>(IF(EH$7="X",VLOOKUP(EH$10,'VK-Hooned-Soojus'!$C:$X,2+$C143,FALSE),0)+IF(EH$6="X",VLOOKUP(EH$10,'VK-Transport'!$C:$X,2+$B143,0))+IF(EH$8="X",VLOOKUP(EH$10,'VK-Elekter'!$C:$X,2+$D143,0))+IF(EH$9="X",VLOOKUP(EH$10,'VK-Biokütused'!$C:$U,2+$E143,0)))+AR143+AS143+AU143+AX143</f>
        <v>87.163055555555559</v>
      </c>
      <c r="EI143" s="320">
        <f t="shared" si="121"/>
        <v>57.735011875436598</v>
      </c>
      <c r="EJ143" s="322">
        <f t="shared" si="122"/>
        <v>2.5620074329845279E-2</v>
      </c>
      <c r="EK143" s="323">
        <f t="shared" si="123"/>
        <v>0.44890608494094819</v>
      </c>
      <c r="EM143" s="209"/>
      <c r="EN143" s="209">
        <f t="shared" ca="1" si="124"/>
        <v>0</v>
      </c>
      <c r="EO143" s="209"/>
      <c r="EP143" s="234"/>
      <c r="EQ143" s="209">
        <f>(IF(EQ$7="X",VLOOKUP(EQ$10,'VK-Hooned-Soojus'!$C:$X,2+$C143,FALSE),0)+IF(EQ$6="X",VLOOKUP(EQ$10,'VK-Transport'!$C:$X,2+$B143,0))+IF(EQ$8="X",VLOOKUP(EQ$10,'VK-Elekter'!$C:$X,2+$D143,0))+IF(EQ$9="X",VLOOKUP(EQ$10,'VK-Biokütused'!$C:$U,2+$E143,0))+IF(EQ$5="X",VLOOKUP(EQ$10,'VK-Põlevkivi'!$C:$X,2+$G143,0))+IF(EQ$4="X",VLOOKUP(EQ$10,'VK-Võrgud'!$C:$X,2+$F143,0)))/1000</f>
        <v>0.19900000000000001</v>
      </c>
      <c r="ER143" s="209">
        <f>(IF(ER$7="X",VLOOKUP(ER$10,'VK-Hooned-Soojus'!$C:$X,2+$C143,FALSE),0)+IF(ER$6="X",VLOOKUP(ER$10,'VK-Transport'!$C:$X,2+$B143,0))+IF(ER$8="X",VLOOKUP(ER$10,'VK-Elekter'!$C:$X,2+$D143,0))+IF(ER$9="X",VLOOKUP(ER$10,'VK-Biokütused'!$C:$U,2+$E143,0))+IF(ER$5="X",VLOOKUP(ER$10,'VK-Põlevkivi'!$C:$X,2+$G143,0))+IF(ER$4="X",VLOOKUP(ER$10,'VK-Võrgud'!$C:$X,2+$F143,0)))</f>
        <v>0.72299999999999998</v>
      </c>
      <c r="ES143" s="209">
        <f>(IF(ES$7="X",VLOOKUP(ES$10,'VK-Hooned-Soojus'!$C:$X,2+$C143,FALSE),0)+IF(ES$6="X",VLOOKUP(ES$10,'VK-Transport'!$C:$X,2+$B143,0))+IF(ES$8="X",VLOOKUP(ES$10,'VK-Elekter'!$C:$X,2+$D143,0))+IF(ES$9="X",VLOOKUP(ES$10,'VK-Biokütused'!$C:$U,2+$E143,0))+IF(ES$5="X",VLOOKUP(ES$10,'VK-Põlevkivi'!$C:$X,2+$G143,0))+IF(ES$4="X",VLOOKUP(ES$10,'VK-Võrgud'!$C:$X,2+$F143,0)))</f>
        <v>6.08</v>
      </c>
      <c r="ET143" s="209"/>
      <c r="EU143" s="209"/>
      <c r="EV143" s="87">
        <f>'KSH järjestus'!AS136</f>
        <v>1025</v>
      </c>
      <c r="EZ143" s="237">
        <f t="shared" si="125"/>
        <v>0</v>
      </c>
      <c r="FA143" s="209">
        <f>IF(FA$7="X",VLOOKUP(FA$10,'VK-Hooned-Soojus'!$C:$X,2+$C143,FALSE),0)+IF(FA$6="X",VLOOKUP(FA$10,'VK-Transport'!$C:$X,2+$B143,0))+IF(FA$8="X",VLOOKUP(FA$10,'VK-Elekter'!$C:$X,2+$D143,0))+IF(FA$9="X",VLOOKUP(FA$10,'VK-Biokütused'!$C:$U,2+$E143,0))+IF(FA$5="X",VLOOKUP(FA$10,'VK-Põlevkivi'!$C:$X,2+$G143,0))+IF(FA$4="X",VLOOKUP(FA$10,'VK-Võrgud'!$C:$X,2+$F143,0))</f>
        <v>2700.9189999999999</v>
      </c>
      <c r="FB143" s="279">
        <f>(IF(FB$7="X",VLOOKUP(FB$10,'VK-Hooned-Soojus'!$C:$X,2+$C143,FALSE),0)+IF(FB$6="X",VLOOKUP(FB$10,'VK-Transport'!$C:$X,2+$B143,0))+IF(FB$8="X",VLOOKUP(FB$10,'VK-Elekter'!$C:$X,2+$D143,0))+IF(FB$9="X",VLOOKUP(FB$10,'VK-Biokütused'!$C:$U,2+$E143,0))+IF(FB$5="X",VLOOKUP(FB$10,'VK-Põlevkivi'!$C:$X,2+$G143,0))+IF(FB$4="X",VLOOKUP(FB$10,'VK-Võrgud'!$C:$X,2+$F143,0)))/16</f>
        <v>764.35805468302556</v>
      </c>
      <c r="FC143" s="209">
        <f>IF(FC$7="X",VLOOKUP(FC$10,'VK-Hooned-Soojus'!$C:$X,2+$C143,FALSE),0)+IF(FC$6="X",VLOOKUP(FC$10,'VK-Transport'!$C:$X,2+$B143,0))+IF(FC$8="X",VLOOKUP(FC$10,'VK-Elekter'!$C:$X,2+$D143,0))+IF(FC$9="X",VLOOKUP(FC$10,'VK-Biokütused'!$C:$U,2+$E143,0))+IF(FC$5="X",VLOOKUP(FC$10,'VK-Põlevkivi'!$C:$X,2+$G143,0))+IF(FC$4="X",VLOOKUP(FC$10,'VK-Võrgud'!$C:$X,2+$F143,0))</f>
        <v>284.90000000000003</v>
      </c>
      <c r="FD143" s="209">
        <f>(IF(FD$7="X",VLOOKUP(FD$10,'VK-Hooned-Soojus'!$C:$X,2+$C143,FALSE),0)+IF(FD$6="X",VLOOKUP(FD$10,'VK-Transport'!$C:$X,2+$B143,0))+IF(FD$8="X",VLOOKUP(FD$10,'VK-Elekter'!$C:$X,2+$D143,0))+IF(FD$9="X",VLOOKUP(FD$10,'VK-Biokütused'!$C:$U,2+$E143,0))+IF(FD$5="X",VLOOKUP(FD$10,'VK-Põlevkivi'!$C:$X,2+$G143,0))+IF(FD$4="X",VLOOKUP(FD$10,'VK-Võrgud'!$C:$X,2+$F143,0)))/16</f>
        <v>764.35805468302556</v>
      </c>
      <c r="FE143" s="209">
        <f>(IF(FE$7="X",VLOOKUP(FE$10,'VK-Hooned-Soojus'!$C:$X,2+$C143,FALSE),0)+IF(FE$6="X",VLOOKUP(FE$10,'VK-Transport'!$C:$X,2+$B143,0))+IF(FE$8="X",VLOOKUP(FE$10,'VK-Elekter'!$C:$X,2+$D143,0))+IF(FE$9="X",VLOOKUP(FE$10,'VK-Biokütused'!$C:$U,2+$E143,0))+IF(FE$5="X",VLOOKUP(FE$10,'VK-Põlevkivi'!$C:$X,2+$G143,0))+IF(FE$4="X",VLOOKUP(FE$10,'VK-Võrgud'!$C:$X,2+$F143,0)))/16</f>
        <v>-162.95750000000001</v>
      </c>
      <c r="FF143" s="209">
        <f>(IF(FF$7="X",VLOOKUP(FF$10,'VK-Hooned-Soojus'!$C:$X,2+$C143,FALSE),0)+IF(FF$6="X",VLOOKUP(FF$10,'VK-Transport'!$C:$X,2+$B143,0))+IF(FF$8="X",VLOOKUP(FF$10,'VK-Elekter'!$C:$X,2+$D143,0))+IF(FF$9="X",VLOOKUP(FF$10,'VK-Biokütused'!$C:$U,2+$E143,0))+IF(FF$5="X",VLOOKUP(FF$10,'VK-Põlevkivi'!$C:$X,2+$G143,0))+IF(FF$4="X",VLOOKUP(FF$10,'VK-Võrgud'!$C:$X,2+$F143,0)))/16</f>
        <v>280.90131416246919</v>
      </c>
      <c r="FG143" s="88">
        <f t="shared" ca="1" si="126"/>
        <v>117.94381416246918</v>
      </c>
      <c r="FH143" s="88"/>
      <c r="FI143" s="88"/>
      <c r="FJ143" s="88">
        <f>VLOOKUP(Tulemused!$BN$12,data!M$7:N$12,2,FALSE)-SUM(L143,M143)</f>
        <v>0.39749062697563176</v>
      </c>
      <c r="FK143" s="209" t="str">
        <f>IF(AZ143&lt;=VLOOKUP(Tulemused!$BN$15,data!$E$36:$F$39,2,FALSE),"JAH","EI")</f>
        <v>JAH</v>
      </c>
      <c r="FL143" s="235">
        <f ca="1">IF(ISNA(MATCH($A143,INDIRECT(VLOOKUP(Tulemused!$BF$11,data!$J$57:$M$71,4,FALSE)))),0,MATCH($A143,INDIRECT(VLOOKUP(Tulemused!$BF$11,data!$J$57:$M$71,4,FALSE))))</f>
        <v>0</v>
      </c>
      <c r="FM143" s="235" t="str">
        <f t="shared" ca="1" si="127"/>
        <v>JAH</v>
      </c>
      <c r="FN143" s="209">
        <f>VLOOKUP(Tulemused!$BN$13,data!$C$132:$D$137,2,FALSE)-KOMBI!R143</f>
        <v>5.2080850093626809</v>
      </c>
      <c r="FO143" s="209"/>
      <c r="FP143" s="209">
        <f>VLOOKUP(Tulemused!$BN$17,NO_x,2,FALSE)-CJ143</f>
        <v>8.509999999999998</v>
      </c>
      <c r="FQ143" s="209">
        <f>VLOOKUP(Tulemused!$BN$18,SO_2,2,FALSE)-CK143</f>
        <v>14.046330445765982</v>
      </c>
      <c r="FR143" s="209">
        <f>VLOOKUP(Tulemused!$BN$19,LOU,2,FALSE)-CN143</f>
        <v>34.299000000000007</v>
      </c>
      <c r="FS143" s="209">
        <f>VLOOKUP(Tulemused!$BN$20,PM_2.5,2,FALSE)-CM143</f>
        <v>9.3950103843950821</v>
      </c>
      <c r="FT143" s="209">
        <f>VLOOKUP(Tulemused!$BN$13,data!$C$132:$D$137,2,FALSE)-FA143/1000</f>
        <v>3.5450510000000008</v>
      </c>
      <c r="FU143" s="209">
        <f>VLOOKUP(Tulemused!$BN$17,NO_x,2,FALSE)-CO143</f>
        <v>0.52263766264300671</v>
      </c>
      <c r="FV143" s="209">
        <f>VLOOKUP(Tulemused!$BN$18,SO_2,2,FALSE)-CP143</f>
        <v>19.582125985002065</v>
      </c>
      <c r="FW143" s="209">
        <f>VLOOKUP(Tulemused!$BN$19,LOU,2,FALSE)-CS143</f>
        <v>33.311350490137769</v>
      </c>
      <c r="FX143" s="209">
        <f>VLOOKUP(Tulemused!$BN$20,PM_2.5,2,FALSE)-CR143</f>
        <v>8.9072481626003093</v>
      </c>
      <c r="FY143" s="209">
        <f>VLOOKUP(Tulemused!$BN$14,KHG_2050,2,FALSE)-EF143</f>
        <v>92.776115009362684</v>
      </c>
      <c r="FZ143" s="231" t="str">
        <f t="shared" ca="1" si="128"/>
        <v>JAH</v>
      </c>
      <c r="GA143" s="209"/>
      <c r="GB143" s="209"/>
      <c r="GC143" s="209"/>
      <c r="GD143" s="231"/>
      <c r="GE143" s="87">
        <f t="shared" si="99"/>
        <v>1025</v>
      </c>
      <c r="GF143" s="232">
        <f t="shared" ca="1" si="129"/>
        <v>1025</v>
      </c>
      <c r="GH143" s="238" t="e">
        <f t="shared" ca="1" si="100"/>
        <v>#NUM!</v>
      </c>
      <c r="GI143" s="87" t="e">
        <f t="array" aca="1" ref="GI143" ca="1">INDEX($A$11:$A$145, SMALL(IF(GH143=$GF$11:$GF$145, MATCH(ROW($GF$11:$GF$145), ROW($GF$11:$GF$145))), SUM(--(GH143=$GH$11:GH143))))</f>
        <v>#NUM!</v>
      </c>
      <c r="GM143" s="209">
        <f>IF(GM$7="X",VLOOKUP(GM$10,'VK-Hooned-Soojus'!$C:$X,2+$C143,FALSE),0)+IF(GM$6="X",VLOOKUP(GM$10,'VK-Transport'!$C:$X,2+$B143,0))+IF(GM$8="X",VLOOKUP(GM$10,'VK-Elekter'!$C:$X,2+$D143,0))+IF(GM$9="X",VLOOKUP(GM$10,'VK-Biokütused'!$C:$U,2+$E143,0))+IF(GM$5="X",VLOOKUP(GM$10,'VK-Põlevkivi'!$C:$X,2+$G143,0))+IF(GM$4="X",VLOOKUP(GM$10,'VK-Võrgud'!$C:$X,2+$F143,0))</f>
        <v>11.189888530766083</v>
      </c>
      <c r="GN143" s="209">
        <f>IF(GN$7="X",VLOOKUP(GN$10,'VK-Hooned-Soojus'!$C:$X,2+$C143,FALSE),0)+IF(GN$6="X",VLOOKUP(GN$10,'VK-Transport'!$C:$X,2+$B143,0))+IF(GN$8="X",VLOOKUP(GN$10,'VK-Elekter'!$C:$X,2+$D143,0))+IF(GN$9="X",VLOOKUP(GN$10,'VK-Biokütused'!$C:$U,2+$E143,0))+IF(GN$5="X",VLOOKUP(GN$10,'VK-Põlevkivi'!$C:$X,2+$G143,0))+IF(GN$4="X",VLOOKUP(GN$10,'VK-Võrgud'!$C:$X,2+$F143,0))</f>
        <v>2.9930837725682502</v>
      </c>
      <c r="GO143" s="209">
        <f>IF(GO$7="X",VLOOKUP(GO$10,'VK-Hooned-Soojus'!$C:$X,2+$C143,FALSE),0)+IF(GO$6="X",VLOOKUP(GO$10,'VK-Transport'!$C:$X,2+$B143,0))+IF(GO$8="X",VLOOKUP(GO$10,'VK-Elekter'!$C:$X,2+$D143,0))+IF(GO$9="X",VLOOKUP(GO$10,'VK-Biokütused'!$C:$U,2+$E143,0))+IF(GO$5="X",VLOOKUP(GO$10,'VK-Põlevkivi'!$C:$X,2+$G143,0))+IF(GO$4="X",VLOOKUP(GO$10,'VK-Võrgud'!$C:$X,2+$F143,0))</f>
        <v>7.5763700102722566</v>
      </c>
      <c r="GP143" s="209">
        <f>IF(GP$7="X",VLOOKUP(GP$10,'VK-Hooned-Soojus'!$C:$X,2+$C143,FALSE),0)+IF(GP$6="X",VLOOKUP(GP$10,'VK-Transport'!$C:$X,2+$B143,0))+IF(GP$8="X",VLOOKUP(GP$10,'VK-Elekter'!$C:$X,2+$D143,0))+IF(GP$9="X",VLOOKUP(GP$10,'VK-Biokütused'!$C:$U,2+$E143,0))+IF(GP$5="X",VLOOKUP(GP$10,'VK-Põlevkivi'!$C:$X,2+$G143,0))+IF(GP$4="X",VLOOKUP(GP$10,'VK-Võrgud'!$C:$X,2+$F143,0))</f>
        <v>8.9326558040707589</v>
      </c>
      <c r="GQ143" s="88">
        <f>IF(GQ$7="X",VLOOKUP(GQ$10,'VK-Hooned-Soojus'!$C:$X,2+$C143,FALSE),0)+IF(GQ$6="X",VLOOKUP(GQ$10,'VK-Transport'!$C:$X,2+$B143,0))+IF(GQ$8="X",VLOOKUP(GQ$10,'VK-Elekter'!$C:$X,2+$D143,0))+IF(GQ$9="X",VLOOKUP(GQ$10,'VK-Biokütused'!$C:$U,2+$E143,0))+IF(GQ$5="X",VLOOKUP(GQ$10,'VK-Põlevkivi'!$C:$X,2+$G143,0))+IF(GQ$4="X",VLOOKUP(GQ$10,'VK-Võrgud'!$C:$X,2+$F143,0))</f>
        <v>0.89042766952822527</v>
      </c>
      <c r="GR143" s="186">
        <f t="shared" si="130"/>
        <v>0.3951301064766819</v>
      </c>
    </row>
    <row r="144" spans="1:200" x14ac:dyDescent="0.2">
      <c r="A144" s="184">
        <v>134</v>
      </c>
      <c r="B144" s="87">
        <v>3</v>
      </c>
      <c r="C144" s="87">
        <v>3</v>
      </c>
      <c r="D144" s="87">
        <v>5</v>
      </c>
      <c r="E144" s="87">
        <v>2</v>
      </c>
      <c r="F144" s="87">
        <f>VLOOKUP(Tulemused!$BF$7,data!$J$6:$K$8,2,FALSE)</f>
        <v>2</v>
      </c>
      <c r="G144" s="87">
        <f>VLOOKUP(data!$H$2,data!$J$12:$K$14,2,FALSE)</f>
        <v>2</v>
      </c>
      <c r="I144" s="209">
        <f>IF(I$7="X",VLOOKUP(I$10,'VK-Hooned-Soojus'!$C:$X,2+$C144,FALSE),0)+IF(I$6="X",VLOOKUP(I$10,'VK-Transport'!$C:$X,2+$B144,0))+IF(I$8="X",VLOOKUP(I$10,'VK-Elekter'!$C:$X,2+$D144,0))+IF(I$9="X",VLOOKUP(I$10,'VK-Biokütused'!$C:$U,2+$E144,0))+IF(I$5="X",VLOOKUP(I$10,'VK-Põlevkivi'!$C:$X,2+$G144,0))+IF(I$4="X",VLOOKUP(I$10,'VK-Võrgud'!$C:$X,2+$F144,0))</f>
        <v>23.490000000000002</v>
      </c>
      <c r="J144" s="209">
        <f>IF(J$7="X",VLOOKUP(J$10,'VK-Hooned-Soojus'!$C:$X,2+$C144,FALSE),0)+IF(J$6="X",VLOOKUP(J$10,'VK-Transport'!$C:$X,2+$B144,0))+IF(J$8="X",VLOOKUP(J$10,'VK-Elekter'!$C:$X,2+$D144,0))+IF(J$9="X",VLOOKUP(J$10,'VK-Biokütused'!$C:$U,2+$E144,0))+IF(J$5="X",VLOOKUP(J$10,'VK-Põlevkivi'!$C:$X,2+$G144,0))+IF(J$4="X",VLOOKUP(J$10,'VK-Võrgud'!$C:$X,2+$F144,0))</f>
        <v>8.1258333333333344</v>
      </c>
      <c r="K144" s="209">
        <f>IF(K$7="X",VLOOKUP(K$10,'VK-Hooned-Soojus'!$C:$X,2+$C144,FALSE),0)+IF(K$6="X",VLOOKUP(K$10,'VK-Transport'!$C:$X,2+$B144,0))+IF(K$8="X",VLOOKUP(K$10,'VK-Elekter'!$C:$X,2+$D144,0))+IF(K$9="X",VLOOKUP(K$10,'VK-Biokütused'!$C:$U,2+$E144,0))+IF(K$5="X",VLOOKUP(K$10,'VK-Põlevkivi'!$C:$X,2+$G144,0))+IF(K$4="X",VLOOKUP(K$10,'VK-Võrgud'!$C:$X,2+$F144,0))</f>
        <v>13.780000000000001</v>
      </c>
      <c r="L144" s="209">
        <f>IF(L$7="X",VLOOKUP(L$10,'VK-Hooned-Soojus'!$C:$X,2+$C144,FALSE),0)+IF(L$6="X",VLOOKUP(L$10,'VK-Transport'!$C:$X,2+$B144,0))+IF(L$8="X",VLOOKUP(L$10,'VK-Elekter'!$C:$X,2+$D144,0))+IF(L$9="X",VLOOKUP(L$10,'VK-Biokütused'!$C:$U,2+$E144,0))+IF(L$5="X",VLOOKUP(L$10,'VK-Põlevkivi'!$C:$X,2+$G144,0))+IF(L$4="X",VLOOKUP(L$10,'VK-Võrgud'!$C:$X,2+$F144,0))</f>
        <v>23.75</v>
      </c>
      <c r="M144" s="209">
        <f>IF(M$7="X",VLOOKUP(M$10,'VK-Hooned-Soojus'!$C:$X,2+$C144,FALSE),0)+IF(M$6="X",VLOOKUP(M$10,'VK-Transport'!$C:$X,2+$B144,0))+IF(M$8="X",VLOOKUP(M$10,'VK-Elekter'!$C:$X,2+$D144,0))+IF(M$9="X",VLOOKUP(M$10,'VK-Biokütused'!$C:$U,2+$E144,0))+IF(M$5="X",VLOOKUP(M$10,'VK-Põlevkivi'!$C:$X,2+$G144,0))+IF(M$4="X",VLOOKUP(M$10,'VK-Võrgud'!$C:$X,2+$F144,0))</f>
        <v>8.68530937302436</v>
      </c>
      <c r="N144" s="209">
        <f>IF(N$7="X",VLOOKUP(N$10,'VK-Hooned-Soojus'!$C:$X,2+$C144,FALSE),0)+IF(N$6="X",VLOOKUP(N$10,'VK-Transport'!$C:$X,2+$B144,0))+IF(N$8="X",VLOOKUP(N$10,'VK-Elekter'!$C:$X,2+$D144,0))+IF(N$9="X",VLOOKUP(N$10,'VK-Biokütused'!$C:$U,2+$E144,0))+IF(N$5="X",VLOOKUP(N$10,'VK-Põlevkivi'!$C:$X,2+$G144,0))+IF(N$4="X",VLOOKUP(N$10,'VK-Võrgud'!$C:$X,2+$F144,0))</f>
        <v>15.25</v>
      </c>
      <c r="O144" s="209">
        <f t="shared" si="101"/>
        <v>31.615833333333335</v>
      </c>
      <c r="P144" s="209"/>
      <c r="Q144" s="209">
        <f>(IF(Q$7="X",VLOOKUP(Q$10,'VK-Hooned-Soojus'!$C:$X,2+$C144,FALSE),0)+IF(Q$6="X",VLOOKUP(Q$10,'VK-Transport'!$C:$X,2+$B144,0))+IF(Q$8="X",VLOOKUP(Q$10,'VK-Elekter'!$C:$X,2+$D144,0))+IF(Q$9="X",VLOOKUP(Q$10,'VK-Biokütused'!$C:$U,2+$E144,0))+IF(Q$5="X",VLOOKUP(Q$10,'VK-Põlevkivi'!$C:$X,2+$G144,0))+IF(Q$4="X",VLOOKUP(Q$10,'VK-Võrgud'!$C:$X,2+$F144,0)))/1000</f>
        <v>5.9039999999999999</v>
      </c>
      <c r="R144" s="209">
        <f>(IF(R$7="X",VLOOKUP(R$10,'VK-Hooned-Soojus'!$C:$X,2+$C144,FALSE),0)+IF(R$6="X",VLOOKUP(R$10,'VK-Transport'!$C:$X,2+$B144,0))+IF(R$8="X",VLOOKUP(R$10,'VK-Elekter'!$C:$X,2+$D144,0))+IF(R$9="X",VLOOKUP(R$10,'VK-Biokütused'!$C:$U,2+$E144,0))+IF(R$5="X",VLOOKUP(R$10,'VK-Põlevkivi'!$C:$X,2+$G144,0))+IF(R$4="X",VLOOKUP(R$10,'VK-Võrgud'!$C:$X,2+$F144,0)))/1000</f>
        <v>1.4153849906373199</v>
      </c>
      <c r="S144" s="226">
        <f>VLOOKUP(S$10,'VK-Hooned-Soojus'!$C:$I,2+$C144,FALSE) + VLOOKUP(S$10,'VK-Transport'!$C:$I,2+$B144,FALSE)+ VLOOKUP(S$10,'VK-Biokütused'!$C:$G,2+$E144,FALSE)+ VLOOKUP(S$10,'VK-Elekter'!$C:$I,2+$D144,FALSE)+ VLOOKUP(S$10,'VK-Põlevkivi'!$C:$I,2+$G144,FALSE)+ VLOOKUP(S$10,'VK-Võrgud'!$C:$I,2+$F144,FALSE)</f>
        <v>3.4508054034342074E-2</v>
      </c>
      <c r="T144" s="226">
        <f>VLOOKUP(T$10,'VK-Hooned-Soojus'!$C:$I,2+$C144,FALSE) + VLOOKUP(T$10,'VK-Transport'!$C:$I,2+$B144,FALSE)+ VLOOKUP(T$10,'VK-Biokütused'!$C:$G,2+$E144,FALSE)+ VLOOKUP(T$10,'VK-Elekter'!$C:$I,2+$D144,FALSE)+ VLOOKUP(T$10,'VK-Põlevkivi'!$C:$I,2+$G144,FALSE)+ VLOOKUP(T$10,'VK-Võrgud'!$C:$I,2+$F144,FALSE)</f>
        <v>1.1526219885666359E-2</v>
      </c>
      <c r="U144" s="226">
        <f>VLOOKUP(U$10,'VK-Hooned-Soojus'!$C:$I,2+$C144,FALSE) + VLOOKUP(U$10,'VK-Transport'!$C:$I,2+$B144,FALSE)+ VLOOKUP(U$10,'VK-Biokütused'!$C:$G,2+$E144,FALSE)+ VLOOKUP(U$10,'VK-Elekter'!$C:$I,2+$D144,FALSE)+ VLOOKUP(U$10,'VK-Põlevkivi'!$C:$I,2+$G144,FALSE)+ VLOOKUP(U$10,'VK-Võrgud'!$C:$I,2+$F144,FALSE)</f>
        <v>1.2868830726977393E-2</v>
      </c>
      <c r="V144" s="226">
        <f>VLOOKUP(V$10,'VK-Hooned-Soojus'!$C:$I,2+$C144,FALSE) + VLOOKUP(V$10,'VK-Transport'!$C:$I,2+$B144,FALSE)+ VLOOKUP(V$10,'VK-Biokütused'!$C:$G,2+$E144,FALSE)+ VLOOKUP(V$10,'VK-Elekter'!$C:$I,2+$D144,FALSE)+ VLOOKUP(V$10,'VK-Põlevkivi'!$C:$I,2+$G144,FALSE)+ VLOOKUP(V$10,'VK-Võrgud'!$C:$I,2+$F144,FALSE)</f>
        <v>2.2048146655314422E-2</v>
      </c>
      <c r="W144" s="226">
        <f>VLOOKUP(W$10,'VK-Hooned-Soojus'!$C:$I,2+$C144,FALSE) + VLOOKUP(W$10,'VK-Transport'!$C:$I,2+$B144,FALSE)+ VLOOKUP(W$10,'VK-Biokütused'!$C:$G,2+$E144,FALSE)+ VLOOKUP(W$10,'VK-Elekter'!$C:$I,2+$D144,FALSE)+ VLOOKUP(W$10,'VK-Põlevkivi'!$C:$I,2+$G144,FALSE)+ VLOOKUP(W$10,'VK-Võrgud'!$C:$I,2+$F144,FALSE)</f>
        <v>-3.8802982007739094E-2</v>
      </c>
      <c r="X144" s="226">
        <f>VLOOKUP(X$10,'VK-Hooned-Soojus'!$C:$I,2+$C144,FALSE) + VLOOKUP(X$10,'VK-Transport'!$C:$I,2+$B144,FALSE)+ VLOOKUP(X$10,'VK-Biokütused'!$C:$G,2+$E144,FALSE)+ VLOOKUP(X$10,'VK-Elekter'!$C:$I,2+$D144,FALSE)+ VLOOKUP(X$10,'VK-Põlevkivi'!$C:$I,2+$G144,FALSE)+ VLOOKUP(X$10,'VK-Võrgud'!$C:$I,2+$F144,FALSE)</f>
        <v>3.0058036881336778E-2</v>
      </c>
      <c r="Y144" s="226">
        <f>VLOOKUP(Y$10,'VK-Hooned-Soojus'!$C:$I,2+$C144,FALSE) + VLOOKUP(Y$10,'VK-Transport'!$C:$I,2+$B144,FALSE)+ VLOOKUP(Y$10,'VK-Biokütused'!$C:$G,2+$E144,FALSE)+ VLOOKUP(Y$10,'VK-Elekter'!$C:$I,2+$D144,FALSE)+ VLOOKUP(Y$10,'VK-Põlevkivi'!$C:$I,2+$G144,FALSE)+ VLOOKUP(Y$10,'VK-Võrgud'!$C:$I,2+$F144,FALSE)</f>
        <v>1.2877363069877093E-2</v>
      </c>
      <c r="Z144" s="227">
        <f>(S144*Tulemused!$Q$9*10+T144*Tulemused!$Q$10*10+KOMBI!U144*Tulemused!$Q$11*10+KOMBI!V144*Tulemused!$Q$12*10)*Tulemused!$Q$8+-(W144*Tulemused!$Q$14*10+KOMBI!X144*Tulemused!$Q$15*10+KOMBI!Y144*Tulemused!$Q$16*10)*Tulemused!$Q$13</f>
        <v>8.1406618480060722</v>
      </c>
      <c r="AA144" s="228">
        <f>(IF(AA$7="X",VLOOKUP(AA$10,'VK-Hooned-Soojus'!$C:$X,2+$C144,FALSE),0)+IF(AA$6="X",VLOOKUP(AA$10,'VK-Transport'!$C:$X,2+$B144,0))+IF(AA$8="X",VLOOKUP(AA$10,'VK-Elekter'!$C:$X,2+$D144,0))+IF(AA$9="X",VLOOKUP(AA$10,'VK-Biokütused'!$C:$U,2+$E144,0))+IF(AA$5="X",VLOOKUP(AA$10,'VK-Põlevkivi'!$C:$X,2+$G144,0))+IF(AA$4="X",VLOOKUP(AA$10,'VK-Võrgud'!$C:$X,2+$F144,0)))</f>
        <v>4727</v>
      </c>
      <c r="AB144" s="228">
        <f>(IF(AB$7="X",VLOOKUP(AB$10,'VK-Hooned-Soojus'!$C:$X,2+$C144,FALSE),0)+IF(AB$6="X",VLOOKUP(AB$10,'VK-Transport'!$C:$X,2+$B144,0))+IF(AB$8="X",VLOOKUP(AB$10,'VK-Elekter'!$C:$X,2+$D144,0))+IF(AB$9="X",VLOOKUP(AB$10,'VK-Biokütused'!$C:$U,2+$E144,0))+IF(AB$5="X",VLOOKUP(AB$10,'VK-Põlevkivi'!$C:$X,2+$G144,0))+IF(AB$4="X",VLOOKUP(AB$10,'VK-Võrgud'!$C:$X,2+$F144,0)))</f>
        <v>1177</v>
      </c>
      <c r="AC144" s="228">
        <f>(IF(AC$7="X",VLOOKUP(AC$10,'VK-Hooned-Soojus'!$C:$X,2+$C144,FALSE),0)+IF(AC$6="X",VLOOKUP(AC$10,'VK-Transport'!$C:$X,2+$B144,0))+IF(AC$8="X",VLOOKUP(AC$10,'VK-Elekter'!$C:$X,2+$D144,0))+IF(AC$9="X",VLOOKUP(AC$10,'VK-Biokütused'!$C:$U,2+$E144,0))+IF(AC$5="X",VLOOKUP(AC$10,'VK-Põlevkivi'!$C:$X,2+$G144,0))+IF(AC$4="X",VLOOKUP(AC$10,'VK-Võrgud'!$C:$X,2+$F144,0)))</f>
        <v>2346</v>
      </c>
      <c r="AD144" s="228">
        <f>(IF(AD$7="X",VLOOKUP(AD$10,'VK-Hooned-Soojus'!$C:$X,2+$C144,FALSE),0)+IF(AD$6="X",VLOOKUP(AD$10,'VK-Transport'!$C:$X,2+$B144,0))+IF(AD$8="X",VLOOKUP(AD$10,'VK-Elekter'!$C:$X,2+$D144,0))+IF(AD$9="X",VLOOKUP(AD$10,'VK-Biokütused'!$C:$U,2+$E144,0))+IF(AD$5="X",VLOOKUP(AD$10,'VK-Põlevkivi'!$C:$X,2+$G144,0))+IF(AD$4="X",VLOOKUP(AD$10,'VK-Võrgud'!$C:$X,2+$F144,0)))</f>
        <v>377.5</v>
      </c>
      <c r="AE144" s="228">
        <f>(IF(AE$7="X",VLOOKUP(AE$10,'VK-Hooned-Soojus'!$C:$X,2+$C144,FALSE),0)+IF(AE$6="X",VLOOKUP(AE$10,'VK-Transport'!$C:$X,2+$B144,0))+IF(AE$8="X",VLOOKUP(AE$10,'VK-Elekter'!$C:$X,2+$D144,0))+IF(AE$9="X",VLOOKUP(AE$10,'VK-Biokütused'!$C:$U,2+$E144,0))+IF(AE$5="X",VLOOKUP(AE$10,'VK-Põlevkivi'!$C:$X,2+$G144,0))+IF(AE$4="X",VLOOKUP(AE$10,'VK-Võrgud'!$C:$X,2+$F144,0)))</f>
        <v>507</v>
      </c>
      <c r="AF144" s="228">
        <f>(IF(AF$7="X",VLOOKUP(AF$10,'VK-Hooned-Soojus'!$C:$X,2+$C144,FALSE),0)+IF(AF$6="X",VLOOKUP(AF$10,'VK-Transport'!$C:$X,2+$B144,0))+IF(AF$8="X",VLOOKUP(AF$10,'VK-Elekter'!$C:$X,2+$D144,0))+IF(AF$9="X",VLOOKUP(AF$10,'VK-Biokütused'!$C:$U,2+$E144,0))+IF(AF$5="X",VLOOKUP(AF$10,'VK-Põlevkivi'!$C:$X,2+$G144,0))+IF(AF$4="X",VLOOKUP(AF$10,'VK-Võrgud'!$C:$X,2+$F144,0)))</f>
        <v>530.88499063732002</v>
      </c>
      <c r="AG144" s="209"/>
      <c r="AH144" s="209">
        <f>IF(AH$7="X",VLOOKUP(AH$10,'VK-Hooned-Soojus'!$C:$X,2+$C144,FALSE),0)+IF(AH$6="X",VLOOKUP(AH$10,'VK-Transport'!$C:$X,2+$B144,0))+IF(AH$8="X",VLOOKUP(AH$10,'VK-Elekter'!$C:$X,2+$D144,0))+IF(AH$9="X",VLOOKUP(AH$10,'VK-Biokütused'!$C:$U,2+$E144,0))+IF(AH$5="X",VLOOKUP(AH$10,'VK-Põlevkivi'!$C:$X,2+$G144,0))+IF(AH$4="X",VLOOKUP(AH$10,'VK-Võrgud'!$C:$X,2+$F144,0))</f>
        <v>17.400000000000002</v>
      </c>
      <c r="AI144" s="209">
        <f>IF(AI$7="X",VLOOKUP(AI$10,'VK-Hooned-Soojus'!$C:$X,2+$C144,FALSE),0)+IF(AI$6="X",VLOOKUP(AI$10,'VK-Transport'!$C:$X,2+$B144,0))+IF(AI$8="X",VLOOKUP(AI$10,'VK-Elekter'!$C:$X,2+$D144,0))+IF(AI$9="X",VLOOKUP(AI$10,'VK-Biokütused'!$C:$U,2+$E144,0))+IF(AI$5="X",VLOOKUP(AI$10,'VK-Põlevkivi'!$C:$X,2+$G144,0))+IF(AI$4="X",VLOOKUP(AI$10,'VK-Võrgud'!$C:$X,2+$F144,0))</f>
        <v>2.3100000000000005</v>
      </c>
      <c r="AJ144" s="209">
        <f>IF(AJ$7="X",VLOOKUP(AJ$10,'VK-Hooned-Soojus'!$C:$X,2+$C144,FALSE),0)+IF(AJ$6="X",VLOOKUP(AJ$10,'VK-Transport'!$C:$X,2+$B144,0))+IF(AJ$8="X",VLOOKUP(AJ$10,'VK-Elekter'!$C:$X,2+$D144,0))+IF(AJ$9="X",VLOOKUP(AJ$10,'VK-Biokütused'!$C:$U,2+$E144,0))+IF(AJ$5="X",VLOOKUP(AJ$10,'VK-Põlevkivi'!$C:$X,2+$G144,0))+IF(AJ$4="X",VLOOKUP(AJ$10,'VK-Võrgud'!$C:$X,2+$F144,0))</f>
        <v>4.59</v>
      </c>
      <c r="AK144" s="209">
        <f>IF(AK$7="X",VLOOKUP(AK$10,'VK-Hooned-Soojus'!$C:$X,2+$C144,FALSE),0)+IF(AK$6="X",VLOOKUP(AK$10,'VK-Transport'!$C:$X,2+$B144,0))+IF(AK$8="X",VLOOKUP(AK$10,'VK-Elekter'!$C:$X,2+$D144,0))+IF(AK$9="X",VLOOKUP(AK$10,'VK-Biokütused'!$C:$U,2+$E144,0))+IF(AK$5="X",VLOOKUP(AK$10,'VK-Põlevkivi'!$C:$X,2+$G144,0))+IF(AK$4="X",VLOOKUP(AK$10,'VK-Võrgud'!$C:$X,2+$F144,0))</f>
        <v>-0.41</v>
      </c>
      <c r="AL144" s="209">
        <f>IF(AL$7="X",VLOOKUP(AL$10,'VK-Hooned-Soojus'!$C:$X,2+$C144,FALSE),0)+IF(AL$6="X",VLOOKUP(AL$10,'VK-Transport'!$C:$X,2+$B144,0))+IF(AL$8="X",VLOOKUP(AL$10,'VK-Elekter'!$C:$X,2+$D144,0))+IF(AL$9="X",VLOOKUP(AL$10,'VK-Biokütused'!$C:$U,2+$E144,0))+IF(AL$5="X",VLOOKUP(AL$10,'VK-Põlevkivi'!$C:$X,2+$G144,0))+IF(AL$4="X",VLOOKUP(AL$10,'VK-Võrgud'!$C:$X,2+$F144,0))</f>
        <v>7.1</v>
      </c>
      <c r="AM144" s="209">
        <f>IF(AM$7="X",VLOOKUP(AM$10,'VK-Hooned-Soojus'!$C:$X,2+$C144,FALSE),0)+IF(AM$6="X",VLOOKUP(AM$10,'VK-Transport'!$C:$X,2+$B144,0))+IF(AM$8="X",VLOOKUP(AM$10,'VK-Elekter'!$C:$X,2+$D144,0))+IF(AM$9="X",VLOOKUP(AM$10,'VK-Biokütused'!$C:$U,2+$E144,0))+IF(AM$5="X",VLOOKUP(AM$10,'VK-Põlevkivi'!$C:$X,2+$G144,0))+IF(AM$4="X",VLOOKUP(AM$10,'VK-Võrgud'!$C:$X,2+$F144,0))</f>
        <v>11.5</v>
      </c>
      <c r="AN144" s="209">
        <f>IF(AN$7="X",VLOOKUP(AN$10,'VK-Hooned-Soojus'!$C:$X,2+$C144,FALSE),0)+IF(AN$6="X",VLOOKUP(AN$10,'VK-Transport'!$C:$X,2+$B144,0))+IF(AN$8="X",VLOOKUP(AN$10,'VK-Elekter'!$C:$X,2+$D144,0))+IF(AN$9="X",VLOOKUP(AN$10,'VK-Biokütused'!$C:$U,2+$E144,0))+IF(AN$5="X",VLOOKUP(AN$10,'VK-Põlevkivi'!$C:$X,2+$G144,0))+IF(AN$4="X",VLOOKUP(AN$10,'VK-Võrgud'!$C:$X,2+$F144,0))</f>
        <v>4.0999999999999996</v>
      </c>
      <c r="AO144" s="209">
        <f>IF(AO$7="X",VLOOKUP(AO$10,'VK-Hooned-Soojus'!$C:$X,2+$C144,FALSE),0)+IF(AO$6="X",VLOOKUP(AO$10,'VK-Transport'!$C:$X,2+$B144,0))+IF(AO$8="X",VLOOKUP(AO$10,'VK-Elekter'!$C:$X,2+$D144,0))+IF(AO$9="X",VLOOKUP(AO$10,'VK-Biokütused'!$C:$U,2+$E144,0))+IF(AO$5="X",VLOOKUP(AO$10,'VK-Põlevkivi'!$C:$X,2+$G144,0))+IF(AO$4="X",VLOOKUP(AO$10,'VK-Võrgud'!$C:$X,2+$F144,0))</f>
        <v>12.16</v>
      </c>
      <c r="AP144" s="209">
        <f>IF(AP$7="X",VLOOKUP(AP$10,'VK-Hooned-Soojus'!$C:$X,2+$C144,FALSE),0)+IF(AP$6="X",VLOOKUP(AP$10,'VK-Transport'!$C:$X,2+$B144,0))+IF(AP$8="X",VLOOKUP(AP$10,'VK-Elekter'!$C:$X,2+$D144,0))+IF(AP$9="X",VLOOKUP(AP$10,'VK-Biokütused'!$C:$U,2+$E144,0))+IF(AP$5="X",VLOOKUP(AP$10,'VK-Põlevkivi'!$C:$X,2+$G144,0))+IF(AP$4="X",VLOOKUP(AP$10,'VK-Võrgud'!$C:$X,2+$F144,0))</f>
        <v>6.08</v>
      </c>
      <c r="AQ144" s="320">
        <f t="shared" si="102"/>
        <v>0</v>
      </c>
      <c r="AR144" s="209">
        <f>IF(AR$7="X",VLOOKUP(AR$10,'VK-Hooned-Soojus'!$C:$X,2+$C144,FALSE),0)+IF(AR$6="X",VLOOKUP(AR$10,'VK-Transport'!$C:$X,2+$B144,0))+IF(AR$8="X",VLOOKUP(AR$10,'VK-Elekter'!$C:$X,2+$D144,0))+IF(AR$9="X",VLOOKUP(AR$10,'VK-Biokütused'!$C:$U,2+$E144,0))+IF(AR$5="X",VLOOKUP(AR$10,'VK-Põlevkivi'!$C:$X,2+$G144,0))+IF(AR$4="X",VLOOKUP(AR$10,'VK-Võrgud'!$C:$X,2+$F144,0))</f>
        <v>12.809999999999999</v>
      </c>
      <c r="AS144" s="235">
        <f>'VK-Põlevkivi'!$F$8-AR144-AU144</f>
        <v>14.298622986547709</v>
      </c>
      <c r="AT144" s="209">
        <f>IF(AT$7="X",VLOOKUP(AT$10,'VK-Hooned-Soojus'!$C:$X,2+$C144,FALSE),0)+IF(AT$6="X",VLOOKUP(AT$10,'VK-Transport'!$C:$X,2+$B144,0))+IF(AT$8="X",VLOOKUP(AT$10,'VK-Elekter'!$C:$X,2+$D144,0))+IF(AT$9="X",VLOOKUP(AT$10,'VK-Biokütused'!$C:$U,2+$E144,0))+IF(AT$5="X",VLOOKUP(AT$10,'VK-Põlevkivi'!$C:$X,2+$G144,0))+IF(AT$4="X",VLOOKUP(AT$10,'VK-Võrgud'!$C:$X,2+$F144,0))</f>
        <v>5.7045296564339489</v>
      </c>
      <c r="AU144" s="235">
        <f>'VK-Põlevkivi'!$F$9-VLOOKUP("Kütuste tarbimine @ 2030 - PÕLEVKIVIÕLI",'VK-Hooned-Soojus'!$C:$X,2+$C144,FALSE)</f>
        <v>29.428043680118964</v>
      </c>
      <c r="AV144" s="209">
        <f>IF(AV$7="X",VLOOKUP(AV$10,'VK-Hooned-Soojus'!$C:$X,2+$C144,FALSE),0)+IF(AV$6="X",VLOOKUP(AV$10,'VK-Transport'!$C:$X,2+$B144,0))+IF(AV$8="X",VLOOKUP(AV$10,'VK-Elekter'!$C:$X,2+$D144,0))+IF(AV$9="X",VLOOKUP(AV$10,'VK-Biokütused'!$C:$U,2+$E144,0))+IF(AV$5="X",VLOOKUP(AV$10,'VK-Põlevkivi'!$C:$X,2+$G144,0))+IF(AV$4="X",VLOOKUP(AV$10,'VK-Võrgud'!$C:$X,2+$F144,0))</f>
        <v>2.1219844082566364</v>
      </c>
      <c r="AW144" s="209">
        <f>IF(AW$7="X",VLOOKUP(AW$10,'VK-Hooned-Soojus'!$C:$X,2+$C144,FALSE),0)+IF(AW$6="X",VLOOKUP(AW$10,'VK-Transport'!$C:$X,2+$B144,0))+IF(AW$8="X",VLOOKUP(AW$10,'VK-Elekter'!$C:$X,2+$D144,0))+IF(AW$9="X",VLOOKUP(AW$10,'VK-Biokütused'!$C:$U,2+$E144,0))+IF(AW$5="X",VLOOKUP(AW$10,'VK-Põlevkivi'!$C:$X,2+$G144,0))+IF(AW$4="X",VLOOKUP(AW$10,'VK-Võrgud'!$C:$X,2+$F144,0))</f>
        <v>2.141</v>
      </c>
      <c r="AX144" s="229">
        <f t="shared" si="103"/>
        <v>1.9015591743363647E-2</v>
      </c>
      <c r="AY144" s="229">
        <f t="shared" si="104"/>
        <v>0</v>
      </c>
      <c r="AZ144" s="230">
        <f t="shared" si="105"/>
        <v>0.24932063212336691</v>
      </c>
      <c r="BA144" s="209">
        <f>IF(BA$7="X",VLOOKUP(BA$10,'VK-Hooned-Soojus'!$C:$X,2+$C144,FALSE),0)+IF(BA$6="X",VLOOKUP(BA$10,'VK-Transport'!$C:$X,2+$B144,0))+IF(BA$8="X",VLOOKUP(BA$10,'VK-Elekter'!$C:$X,2+$D144,0))+IF(BA$9="X",VLOOKUP(BA$10,'VK-Biokütused'!$C:$U,2+$E144,0))+IF(BA$5="X",VLOOKUP(BA$10,'VK-Põlevkivi'!$C:$X,2+$G144,0))+IF(BA$4="X",VLOOKUP(BA$10,'VK-Võrgud'!$C:$X,2+$F144,0))</f>
        <v>7.41</v>
      </c>
      <c r="BB144" s="209">
        <f>IF(BB$7="X",VLOOKUP(BB$10,'VK-Hooned-Soojus'!$C:$X,2+$C144,FALSE),0)+IF(BB$6="X",VLOOKUP(BB$10,'VK-Transport'!$C:$X,2+$B144,0))+IF(BB$8="X",VLOOKUP(BB$10,'VK-Elekter'!$C:$X,2+$D144,0))+IF(BB$9="X",VLOOKUP(BB$10,'VK-Biokütused'!$C:$U,2+$E144,0))+IF(BB$5="X",VLOOKUP(BB$10,'VK-Põlevkivi'!$C:$X,2+$G144,0))+IF(BB$4="X",VLOOKUP(BB$10,'VK-Võrgud'!$C:$X,2+$F144,0))</f>
        <v>2.96</v>
      </c>
      <c r="BC144" s="209">
        <f>IF(BC$7="X",VLOOKUP(BC$10,'VK-Hooned-Soojus'!$C:$X,2+$C144,FALSE),0)+IF(BC$6="X",VLOOKUP(BC$10,'VK-Transport'!$C:$X,2+$B144,0))+IF(BC$8="X",VLOOKUP(BC$10,'VK-Elekter'!$C:$X,2+$D144,0))+IF(BC$9="X",VLOOKUP(BC$10,'VK-Biokütused'!$C:$U,2+$E144,0))+IF(BC$5="X",VLOOKUP(BC$10,'VK-Põlevkivi'!$C:$X,2+$G144,0))+IF(BC$4="X",VLOOKUP(BC$10,'VK-Võrgud'!$C:$X,2+$F144,0))</f>
        <v>5.2376666666666667</v>
      </c>
      <c r="BD144" s="209">
        <f>IF(BD$7="X",VLOOKUP(BD$10,'VK-Hooned-Soojus'!$C:$X,2+$C144,FALSE),0)+IF(BD$6="X",VLOOKUP(BD$10,'VK-Transport'!$C:$X,2+$B144,0))+IF(BD$8="X",VLOOKUP(BD$10,'VK-Elekter'!$C:$X,2+$D144,0))+IF(BD$9="X",VLOOKUP(BD$10,'VK-Biokütused'!$C:$U,2+$E144,0))+IF(BD$5="X",VLOOKUP(BD$10,'VK-Põlevkivi'!$C:$X,2+$G144,0))+IF(BD$4="X",VLOOKUP(BD$10,'VK-Võrgud'!$C:$X,2+$F144,0))</f>
        <v>9.1105555555555569</v>
      </c>
      <c r="BE144" s="368"/>
      <c r="BF144" s="229">
        <f t="shared" si="106"/>
        <v>0.27595013650694178</v>
      </c>
      <c r="BG144" s="209" t="e">
        <f>(IF(BG$7="X",VLOOKUP(BG$10,'VK-Hooned-Soojus'!$C:$X,2+$C144,FALSE),0)+IF(BG$6="X",VLOOKUP(BG$10,'VK-Transport'!$C:$X,2+$B144,0))+IF(BG$8="X",VLOOKUP(BG$10,'VK-Elekter'!$C:$X,2+$D144,0))+IF(BG$9="X",VLOOKUP(BG$10,'VK-Biokütused'!$C:$U,2+$E144,0))+IF(BG$5="X",VLOOKUP(BG$10,'VK-Põlevkivi'!$C:$X,2+$G144,0))+IF(BG$4="X",VLOOKUP(BG$10,'VK-Võrgud'!$C:$X,2+$F144,0)))/20</f>
        <v>#N/A</v>
      </c>
      <c r="BH144" s="209">
        <f>(IF(BH$7="X",VLOOKUP(BH$10,'VK-Hooned-Soojus'!$C:$X,2+$C144,FALSE),0)+IF(BH$6="X",VLOOKUP(BH$10,'VK-Transport'!$C:$X,2+$B144,0))+IF(BH$8="X",VLOOKUP(BH$10,'VK-Elekter'!$C:$X,2+$D144,0))+IF(BH$9="X",VLOOKUP(BH$10,'VK-Biokütused'!$C:$U,2+$E144,0))+IF(BH$5="X",VLOOKUP(BH$10,'VK-Põlevkivi'!$C:$X,2+$G144,0))+IF(BH$4="X",VLOOKUP(BH$10,'VK-Võrgud'!$C:$X,2+$F144,0)))/20</f>
        <v>84.204999999999998</v>
      </c>
      <c r="BI144" s="209">
        <f>(IF(BI$7="X",VLOOKUP(BI$10,'VK-Hooned-Soojus'!$C:$X,2+$C144,FALSE),0)+IF(BI$6="X",VLOOKUP(BI$10,'VK-Transport'!$C:$X,2+$B144,0))+IF(BI$8="X",VLOOKUP(BI$10,'VK-Elekter'!$C:$X,2+$D144,0))+IF(BI$9="X",VLOOKUP(BI$10,'VK-Biokütused'!$C:$U,2+$E144,0))+IF(BI$5="X",VLOOKUP(BI$10,'VK-Põlevkivi'!$C:$X,2+$G144,0))+IF(BI$4="X",VLOOKUP(BI$10,'VK-Võrgud'!$C:$X,2+$F144,0)))/16</f>
        <v>8.9375</v>
      </c>
      <c r="BJ144" s="209">
        <f>(IF(BJ$7="X",VLOOKUP(BJ$10,'VK-Hooned-Soojus'!$C:$X,2+$C144,FALSE),0)+IF(BJ$6="X",VLOOKUP(BJ$10,'VK-Transport'!$C:$X,2+$B144,0))+IF(BJ$8="X",VLOOKUP(BJ$10,'VK-Elekter'!$C:$X,2+$D144,0))+IF(BJ$9="X",VLOOKUP(BJ$10,'VK-Biokütused'!$C:$U,2+$E144,0))+IF(BJ$5="X",VLOOKUP(BJ$10,'VK-Põlevkivi'!$C:$X,2+$G144,0))+IF(BJ$4="X",VLOOKUP(BJ$10,'VK-Võrgud'!$C:$X,2+$F144,0)))/20</f>
        <v>5.33</v>
      </c>
      <c r="BK144" s="209"/>
      <c r="BL144" s="209"/>
      <c r="BM144" s="209"/>
      <c r="BN144" s="209" t="e">
        <f>(IF(BN$7="X",VLOOKUP(BN$10,'VK-Hooned-Soojus'!$C:$X,2+$C144,FALSE),0)+IF(BN$6="X",VLOOKUP(BN$10,'VK-Transport'!$C:$X,2+$B144,0))+IF(BN$8="X",VLOOKUP(BN$10,'VK-Elekter'!$C:$X,2+$D144,0))+IF(BN$9="X",VLOOKUP(BN$10,'VK-Biokütused'!$C:$U,2+$E144,0))+IF(BN$5="X",VLOOKUP(BN$10,'VK-Põlevkivi'!$C:$X,2+$G144,0))+IF(BN$4="X",VLOOKUP(BN$10,'VK-Võrgud'!$C:$X,2+$F144,0)))/16</f>
        <v>#N/A</v>
      </c>
      <c r="BO144" s="209">
        <f>(IF(BO$7="X",VLOOKUP(BO$10,'VK-Hooned-Soojus'!$C:$X,2+$C144,FALSE),0)+IF(BO$6="X",VLOOKUP(BO$10,'VK-Transport'!$C:$X,2+$B144,0))+IF(BO$8="X",VLOOKUP(BO$10,'VK-Elekter'!$C:$X,2+$D144,0))+IF(BO$9="X",VLOOKUP(BO$10,'VK-Biokütused'!$C:$U,2+$E144,0))+IF(BO$5="X",VLOOKUP(BO$10,'VK-Põlevkivi'!$C:$X,2+$G144,0))+IF(BO$4="X",VLOOKUP(BO$10,'VK-Võrgud'!$C:$X,2+$F144,0)))/16</f>
        <v>322.79374999999999</v>
      </c>
      <c r="BP144" s="209"/>
      <c r="BQ144" s="209">
        <f>(IF(BQ$7="X",VLOOKUP(BQ$10,'VK-Hooned-Soojus'!$C:$X,2+$C144,FALSE),0)+IF(BQ$6="X",VLOOKUP(BQ$10,'VK-Transport'!$C:$X,2+$B144,0))+IF(BQ$8="X",VLOOKUP(BQ$10,'VK-Elekter'!$C:$X,2+$D144,0))+IF(BQ$9="X",VLOOKUP(BQ$10,'VK-Biokütused'!$C:$U,2+$E144,0))+IF(BQ$5="X",VLOOKUP(BQ$10,'VK-Põlevkivi'!$C:$X,2+$G144,0))+IF(BQ$4="X",VLOOKUP(BQ$10,'VK-Võrgud'!$C:$X,2+$F144,0)))/16</f>
        <v>233.20625000000001</v>
      </c>
      <c r="BR144" s="209">
        <f>(IF(BR$7="X",VLOOKUP(BR$10,'VK-Hooned-Soojus'!$C:$X,2+$C144,FALSE),0)+IF(BR$6="X",VLOOKUP(BR$10,'VK-Transport'!$C:$X,2+$B144,0))+IF(BR$8="X",VLOOKUP(BR$10,'VK-Elekter'!$C:$X,2+$D144,0))+IF(BR$9="X",VLOOKUP(BR$10,'VK-Biokütused'!$C:$U,2+$E144,0))+IF(BR$5="X",VLOOKUP(BR$10,'VK-Põlevkivi'!$C:$X,2+$G144,0))+IF(BR$4="X",VLOOKUP(BR$10,'VK-Võrgud'!$C:$X,2+$F144,0)))/16</f>
        <v>74.512500000000003</v>
      </c>
      <c r="BS144" s="209">
        <f>(IF(BS$7="X",VLOOKUP(BS$10,'VK-Hooned-Soojus'!$C:$X,2+$C144,FALSE),0)+IF(BS$6="X",VLOOKUP(BS$10,'VK-Transport'!$C:$X,2+$B144,0))+IF(BS$8="X",VLOOKUP(BS$10,'VK-Elekter'!$C:$X,2+$D144,0))+IF(BS$9="X",VLOOKUP(BS$10,'VK-Biokütused'!$C:$U,2+$E144,0))+IF(BS$5="X",VLOOKUP(BS$10,'VK-Põlevkivi'!$C:$X,2+$G144,0))+IF(BS$4="X",VLOOKUP(BS$10,'VK-Võrgud'!$C:$X,2+$F144,0)))/16</f>
        <v>-21.475000000000001</v>
      </c>
      <c r="BT144" s="209"/>
      <c r="BU144" s="209"/>
      <c r="BV144" s="209">
        <f>(IF(BV$7="X",VLOOKUP(BV$10,'VK-Hooned-Soojus'!$C:$X,2+$C144,FALSE),0)+IF(BV$6="X",VLOOKUP(BV$10,'VK-Transport'!$C:$X,2+$B144,0))+IF(BV$8="X",VLOOKUP(BV$10,'VK-Elekter'!$C:$X,2+$D144,0))+IF(BV$9="X",VLOOKUP(BV$10,'VK-Biokütused'!$C:$U,2+$E144,0))+IF(BV$5="X",VLOOKUP(BV$10,'VK-Põlevkivi'!$C:$X,2+$G144,0))+IF(BV$4="X",VLOOKUP(BV$10,'VK-Võrgud'!$C:$X,2+$F144,0)))/16</f>
        <v>0</v>
      </c>
      <c r="BW144" s="209"/>
      <c r="BX144" s="209">
        <f>(IF(BX$7="X",VLOOKUP(BX$10,'VK-Hooned-Soojus'!$C:$X,2+$C144,FALSE),0)+IF(BX$6="X",VLOOKUP(BX$10,'VK-Transport'!$C:$X,2+$B144,0))+IF(BX$8="X",VLOOKUP(BX$10,'VK-Elekter'!$C:$X,2+$D144,0))+IF(BX$9="X",VLOOKUP(BX$10,'VK-Biokütused'!$C:$U,2+$E144,0))+IF(BX$5="X",VLOOKUP(BX$10,'VK-Põlevkivi'!$C:$X,2+$G144,0))+IF(BX$4="X",VLOOKUP(BX$10,'VK-Võrgud'!$C:$X,2+$F144,0)))/16</f>
        <v>-145.125</v>
      </c>
      <c r="BY144" s="209"/>
      <c r="BZ144" s="209"/>
      <c r="CA144" s="209" t="e">
        <f>(IF(CA$7="X",VLOOKUP(CA$10,'VK-Hooned-Soojus'!$C:$X,2+$C144,FALSE),0)+IF(CA$6="X",VLOOKUP(CA$10,'VK-Transport'!$C:$X,2+$B144,0))+IF(CA$8="X",VLOOKUP(CA$10,'VK-Elekter'!$C:$X,2+$D144,0))+IF(CA$9="X",VLOOKUP(CA$10,'VK-Biokütused'!$C:$U,2+$E144,0))+IF(CA$5="X",VLOOKUP(CA$10,'VK-Põlevkivi'!$C:$X,2+$G144,0))+IF(CA$4="X",VLOOKUP(CA$10,'VK-Võrgud'!$C:$X,2+$F144,0)))/16</f>
        <v>#N/A</v>
      </c>
      <c r="CB144" s="209">
        <f>(IF(CB$7="X",VLOOKUP(CB$10,'VK-Hooned-Soojus'!$C:$X,2+$C144,FALSE),0)+IF(CB$6="X",VLOOKUP(CB$10,'VK-Transport'!$C:$X,2+$B144,0))+IF(CB$8="X",VLOOKUP(CB$10,'VK-Elekter'!$C:$X,2+$D144,0))+IF(CB$9="X",VLOOKUP(CB$10,'VK-Biokütused'!$C:$U,2+$E144,0))+IF(CB$5="X",VLOOKUP(CB$10,'VK-Põlevkivi'!$C:$X,2+$G144,0))+IF(CB$4="X",VLOOKUP(CB$10,'VK-Võrgud'!$C:$X,2+$F144,0)))/16</f>
        <v>0</v>
      </c>
      <c r="CC144" s="209">
        <f>(IF(CC$7="X",VLOOKUP(CC$10,'VK-Hooned-Soojus'!$C:$X,2+$C144,FALSE),0)+IF(CC$6="X",VLOOKUP(CC$10,'VK-Transport'!$C:$X,2+$B144,0))+IF(CC$8="X",VLOOKUP(CC$10,'VK-Elekter'!$C:$X,2+$D144,0))+IF(CC$9="X",VLOOKUP(CC$10,'VK-Biokütused'!$C:$U,2+$E144,0))+IF(CC$5="X",VLOOKUP(CC$10,'VK-Põlevkivi'!$C:$X,2+$G144,0))+IF(CC$4="X",VLOOKUP(CC$10,'VK-Võrgud'!$C:$X,2+$F144,0)))/16</f>
        <v>0</v>
      </c>
      <c r="CD144" s="209"/>
      <c r="CE144" s="209">
        <f>(IF(CE$7="X",VLOOKUP(CE$10,'VK-Hooned-Soojus'!$C:$X,2+$C144,FALSE),0)+IF(CE$6="X",VLOOKUP(CE$10,'VK-Transport'!$C:$X,2+$B144,0))+IF(CE$8="X",VLOOKUP(CE$10,'VK-Elekter'!$C:$X,2+$D144,0))+IF(CE$9="X",VLOOKUP(CE$10,'VK-Biokütused'!$C:$U,2+$E144,0))+IF(CE$5="X",VLOOKUP(CE$10,'VK-Põlevkivi'!$C:$X,2+$G144,0))+IF(CE$4="X",VLOOKUP(CE$10,'VK-Võrgud'!$C:$X,2+$F144,0)))/16</f>
        <v>24.15625</v>
      </c>
      <c r="CF144" s="209"/>
      <c r="CG144" s="209">
        <f>(IF(CG$7="X",VLOOKUP(CG$10,'VK-Hooned-Soojus'!$C:$X,2+$C144,FALSE),0)+IF(CG$6="X",VLOOKUP(CG$10,'VK-Transport'!$C:$X,2+$B144,0))+IF(CG$8="X",VLOOKUP(CG$10,'VK-Elekter'!$C:$X,2+$D144,0))+IF(CG$9="X",VLOOKUP(CG$10,'VK-Biokütused'!$C:$U,2+$E144,0))+IF(CG$5="X",VLOOKUP(CG$10,'VK-Põlevkivi'!$C:$X,2+$G144,0))+IF(CG$4="X",VLOOKUP(CG$10,'VK-Võrgud'!$C:$X,2+$F144,0)))/16</f>
        <v>0</v>
      </c>
      <c r="CH144" s="209">
        <f>(IF(CH$7="X",VLOOKUP(CH$10,'VK-Hooned-Soojus'!$C:$X,2+$C144,FALSE),0)+IF(CH$6="X",VLOOKUP(CH$10,'VK-Transport'!$C:$X,2+$B144,0))+IF(CH$8="X",VLOOKUP(CH$10,'VK-Elekter'!$C:$X,2+$D144,0))+IF(CH$9="X",VLOOKUP(CH$10,'VK-Biokütused'!$C:$U,2+$E144,0))+IF(CH$5="X",VLOOKUP(CH$10,'VK-Põlevkivi'!$C:$X,2+$G144,0))+IF(CH$4="X",VLOOKUP(CH$10,'VK-Võrgud'!$C:$X,2+$F144,0)))/20*0.21</f>
        <v>26.9178</v>
      </c>
      <c r="CI144" s="209"/>
      <c r="CJ144" s="209">
        <f>(IF(CJ$7="X",VLOOKUP(CJ$10,'VK-Hooned-Soojus'!$C:$X,2+$C144,FALSE),0)+IF(CJ$6="X",VLOOKUP(CJ$10,'VK-Transport'!$C:$X,2+$B144,0))+IF(CJ$8="X",VLOOKUP(CJ$10,'VK-Elekter'!$C:$X,2+$D144,0))+IF(CJ$9="X",VLOOKUP(CJ$10,'VK-Biokütused'!$C:$U,2+$E144,0))+IF(CJ$5="X",VLOOKUP(CJ$10,'VK-Põlevkivi'!$C:$X,2+$G144,0))+IF(CJ$4="X",VLOOKUP(CJ$10,'VK-Võrgud'!$C:$X,2+$F144,0)))/1000</f>
        <v>20.928000000000001</v>
      </c>
      <c r="CK144" s="209">
        <f>(IF(CK$7="X",VLOOKUP(CK$10,'VK-Hooned-Soojus'!$C:$X,2+$C144,FALSE),0)+IF(CK$6="X",VLOOKUP(CK$10,'VK-Transport'!$C:$X,2+$B144,0))+IF(CK$8="X",VLOOKUP(CK$10,'VK-Elekter'!$C:$X,2+$D144,0))+IF(CK$9="X",VLOOKUP(CK$10,'VK-Biokütused'!$C:$U,2+$E144,0))+IF(CK$5="X",VLOOKUP(CK$10,'VK-Põlevkivi'!$C:$X,2+$G144,0))+IF(CK$4="X",VLOOKUP(CK$10,'VK-Võrgud'!$C:$X,2+$F144,0)))/1000</f>
        <v>37.837669554234019</v>
      </c>
      <c r="CL144" s="209">
        <f>(IF(CL$7="X",VLOOKUP(CL$10,'VK-Hooned-Soojus'!$C:$X,2+$C144,FALSE),0)+IF(CL$6="X",VLOOKUP(CL$10,'VK-Transport'!$C:$X,2+$B144,0))+IF(CL$8="X",VLOOKUP(CL$10,'VK-Elekter'!$C:$X,2+$D144,0))+IF(CL$9="X",VLOOKUP(CL$10,'VK-Biokütused'!$C:$U,2+$E144,0))+IF(CL$5="X",VLOOKUP(CL$10,'VK-Põlevkivi'!$C:$X,2+$G144,0))+IF(CL$4="X",VLOOKUP(CL$10,'VK-Võrgud'!$C:$X,2+$F144,0)))/1000</f>
        <v>10.488630311598682</v>
      </c>
      <c r="CM144" s="209">
        <f>(IF(CM$7="X",VLOOKUP(CM$10,'VK-Hooned-Soojus'!$C:$X,2+$C144,FALSE),0)+IF(CM$6="X",VLOOKUP(CM$10,'VK-Transport'!$C:$X,2+$B144,0))+IF(CM$8="X",VLOOKUP(CM$10,'VK-Elekter'!$C:$X,2+$D144,0))+IF(CM$9="X",VLOOKUP(CM$10,'VK-Biokütused'!$C:$U,2+$E144,0))+IF(CM$5="X",VLOOKUP(CM$10,'VK-Põlevkivi'!$C:$X,2+$G144,0))+IF(CM$4="X",VLOOKUP(CM$10,'VK-Võrgud'!$C:$X,2+$F144,0)))/1000</f>
        <v>7.5199896156049162</v>
      </c>
      <c r="CN144" s="209">
        <f>(IF(CN$7="X",VLOOKUP(CN$10,'VK-Hooned-Soojus'!$C:$X,2+$C144,FALSE),0)+IF(CN$6="X",VLOOKUP(CN$10,'VK-Transport'!$C:$X,2+$B144,0))+IF(CN$8="X",VLOOKUP(CN$10,'VK-Elekter'!$C:$X,2+$D144,0))+IF(CN$9="X",VLOOKUP(CN$10,'VK-Biokütused'!$C:$U,2+$E144,0))+IF(CN$5="X",VLOOKUP(CN$10,'VK-Põlevkivi'!$C:$X,2+$G144,0))+IF(CN$4="X",VLOOKUP(CN$10,'VK-Võrgud'!$C:$X,2+$F144,0)))/1000</f>
        <v>2.7810000000000001</v>
      </c>
      <c r="CO144" s="209">
        <f>(IF(CO$7="X",VLOOKUP(CO$10,'VK-Hooned-Soojus'!$C:$X,2+$C144,FALSE),0)+IF(CO$6="X",VLOOKUP(CO$10,'VK-Transport'!$C:$X,2+$B144,0))+IF(CO$8="X",VLOOKUP(CO$10,'VK-Elekter'!$C:$X,2+$D144,0))+IF(CO$9="X",VLOOKUP(CO$10,'VK-Biokütused'!$C:$U,2+$E144,0))+IF(CO$5="X",VLOOKUP(CO$10,'VK-Põlevkivi'!$C:$X,2+$G144,0))+IF(CO$4="X",VLOOKUP(CO$10,'VK-Võrgud'!$C:$X,2+$F144,0)))/1000</f>
        <v>28.915362337356992</v>
      </c>
      <c r="CP144" s="209">
        <f>(IF(CP$7="X",VLOOKUP(CP$10,'VK-Hooned-Soojus'!$C:$X,2+$C144,FALSE),0)+IF(CP$6="X",VLOOKUP(CP$10,'VK-Transport'!$C:$X,2+$B144,0))+IF(CP$8="X",VLOOKUP(CP$10,'VK-Elekter'!$C:$X,2+$D144,0))+IF(CP$9="X",VLOOKUP(CP$10,'VK-Biokütused'!$C:$U,2+$E144,0))+IF(CP$5="X",VLOOKUP(CP$10,'VK-Põlevkivi'!$C:$X,2+$G144,0))+IF(CP$4="X",VLOOKUP(CP$10,'VK-Võrgud'!$C:$X,2+$F144,0)))/1000</f>
        <v>32.301874014997935</v>
      </c>
      <c r="CQ144" s="209">
        <f>(IF(CQ$7="X",VLOOKUP(CQ$10,'VK-Hooned-Soojus'!$C:$X,2+$C144,FALSE),0)+IF(CQ$6="X",VLOOKUP(CQ$10,'VK-Transport'!$C:$X,2+$B144,0))+IF(CQ$8="X",VLOOKUP(CQ$10,'VK-Elekter'!$C:$X,2+$D144,0))+IF(CQ$9="X",VLOOKUP(CQ$10,'VK-Biokütused'!$C:$U,2+$E144,0))+IF(CQ$5="X",VLOOKUP(CQ$10,'VK-Põlevkivi'!$C:$X,2+$G144,0))+IF(CQ$4="X",VLOOKUP(CQ$10,'VK-Võrgud'!$C:$X,2+$F144,0)))/1000</f>
        <v>16.620919000000001</v>
      </c>
      <c r="CR144" s="209">
        <f>(IF(CR$7="X",VLOOKUP(CR$10,'VK-Hooned-Soojus'!$C:$X,2+$C144,FALSE),0)+IF(CR$6="X",VLOOKUP(CR$10,'VK-Transport'!$C:$X,2+$B144,0))+IF(CR$8="X",VLOOKUP(CR$10,'VK-Elekter'!$C:$X,2+$D144,0))+IF(CR$9="X",VLOOKUP(CR$10,'VK-Biokütused'!$C:$U,2+$E144,0))+IF(CR$5="X",VLOOKUP(CR$10,'VK-Põlevkivi'!$C:$X,2+$G144,0))+IF(CR$4="X",VLOOKUP(CR$10,'VK-Võrgud'!$C:$X,2+$F144,0)))/1000</f>
        <v>8.0077518373996899</v>
      </c>
      <c r="CS144" s="209">
        <f>(IF(CS$7="X",VLOOKUP(CS$10,'VK-Hooned-Soojus'!$C:$X,2+$C144,FALSE),0)+IF(CS$6="X",VLOOKUP(CS$10,'VK-Transport'!$C:$X,2+$B144,0))+IF(CS$8="X",VLOOKUP(CS$10,'VK-Elekter'!$C:$X,2+$D144,0))+IF(CS$9="X",VLOOKUP(CS$10,'VK-Biokütused'!$C:$U,2+$E144,0))+IF(CS$5="X",VLOOKUP(CS$10,'VK-Põlevkivi'!$C:$X,2+$G144,0))+IF(CS$4="X",VLOOKUP(CS$10,'VK-Võrgud'!$C:$X,2+$F144,0)))/1000</f>
        <v>3.7686495098622381</v>
      </c>
      <c r="CT144" s="209">
        <f>IF(CT$7="X",VLOOKUP(CT$10,'VK-Hooned-Soojus'!$C:$X,2+$C144,FALSE),0)+IF(CT$6="X",VLOOKUP(CT$10,'VK-Transport'!$C:$X,2+$B144,0))+IF(CT$8="X",VLOOKUP(CT$10,'VK-Elekter'!$C:$X,2+$D144,0))+IF(CT$9="X",VLOOKUP(CT$10,'VK-Biokütused'!$C:$U,2+$E144,0))+IF(CT$5="X",VLOOKUP(CT$10,'VK-Põlevkivi'!$C:$X,2+$G144,0))+IF(CT$4="X",VLOOKUP(CT$10,'VK-Võrgud'!$C:$X,2+$F144,0))</f>
        <v>90</v>
      </c>
      <c r="CU144" s="209">
        <f>IF(CU$7="X",VLOOKUP(CU$10,'VK-Hooned-Soojus'!$C:$X,2+$C144,FALSE),0)+IF(CU$6="X",VLOOKUP(CU$10,'VK-Transport'!$C:$X,2+$B144,0))+IF(CU$8="X",VLOOKUP(CU$10,'VK-Elekter'!$C:$X,2+$D144,0))+IF(CU$9="X",VLOOKUP(CU$10,'VK-Biokütused'!$C:$U,2+$E144,0))+IF(CU$5="X",VLOOKUP(CU$10,'VK-Põlevkivi'!$C:$X,2+$G144,0))+IF(CU$4="X",VLOOKUP(CU$10,'VK-Võrgud'!$C:$X,2+$F144,0))</f>
        <v>1</v>
      </c>
      <c r="CV144" s="209">
        <f t="shared" si="107"/>
        <v>0.72887234460741657</v>
      </c>
      <c r="CW144" s="209">
        <f>(IF(CW$7="X",VLOOKUP(CW$10,'VK-Hooned-Soojus'!$C:$X,2+$C144,FALSE),0)+IF(CW$6="X",VLOOKUP(CW$10,'VK-Transport'!$C:$X,2+$B144,0))+IF(CW$8="X",VLOOKUP(CW$10,'VK-Elekter'!$C:$X,2+$D144,0))+IF(CW$9="X",VLOOKUP(CW$10,'VK-Biokütused'!$C:$U,2+$E144,0))+IF(CW$5="X",VLOOKUP(CW$10,'VK-Põlevkivi'!$C:$X,2+$G144,0))+IF(CW$4="X",VLOOKUP(CW$10,'VK-Võrgud'!$C:$X,2+$F144,0)))/16</f>
        <v>59.743749999999999</v>
      </c>
      <c r="CY144" s="209">
        <f>(IF(CY$7="X",VLOOKUP(CY$10,'VK-Hooned-Soojus'!$C:$X,2+$C144,FALSE),0)+IF(CY$6="X",VLOOKUP(CY$10,'VK-Transport'!$C:$X,2+$B144,0))+IF(CY$8="X",VLOOKUP(CY$10,'VK-Elekter'!$C:$X,2+$D144,0))+IF(CY$9="X",VLOOKUP(CY$10,'VK-Biokütused'!$C:$U,2+$E144,0))+IF(CY$5="X",VLOOKUP(CY$10,'VK-Põlevkivi'!$C:$X,2+$G144,0))+IF(CY$4="X",VLOOKUP(CY$10,'VK-Võrgud'!$C:$X,2+$F144,0)))/1000</f>
        <v>10.805999999999999</v>
      </c>
      <c r="CZ144" s="209">
        <f>(IF(CZ$7="X",VLOOKUP(CZ$10,'VK-Hooned-Soojus'!$C:$X,2+$C144,FALSE),0)+IF(CZ$6="X",VLOOKUP(CZ$10,'VK-Transport'!$C:$X,2+$B144,0))+IF(CZ$8="X",VLOOKUP(CZ$10,'VK-Elekter'!$C:$X,2+$D144,0))+IF(CZ$9="X",VLOOKUP(CZ$10,'VK-Biokütused'!$C:$U,2+$E144,0))+IF(CZ$5="X",VLOOKUP(CZ$10,'VK-Põlevkivi'!$C:$X,2+$G144,0))+IF(CZ$4="X",VLOOKUP(CZ$10,'VK-Võrgud'!$C:$X,2+$F144,0)))</f>
        <v>91.4</v>
      </c>
      <c r="DA144" s="209">
        <f>(IF(DA$7="X",VLOOKUP(DA$10,'VK-Hooned-Soojus'!$C:$X,2+$C144,FALSE),0)+IF(DA$6="X",VLOOKUP(DA$10,'VK-Transport'!$C:$X,2+$B144,0))+IF(DA$8="X",VLOOKUP(DA$10,'VK-Elekter'!$C:$X,2+$D144,0))+IF(DA$9="X",VLOOKUP(DA$10,'VK-Biokütused'!$C:$U,2+$E144,0))+IF(DA$5="X",VLOOKUP(DA$10,'VK-Põlevkivi'!$C:$X,2+$G144,0))+IF(DA$4="X",VLOOKUP(DA$10,'VK-Võrgud'!$C:$X,2+$F144,0)))/1000</f>
        <v>15.28</v>
      </c>
      <c r="DB144" s="209">
        <f>(IF(DB$7="X",VLOOKUP(DB$10,'VK-Hooned-Soojus'!$C:$X,2+$C144,FALSE),0)+IF(DB$6="X",VLOOKUP(DB$10,'VK-Transport'!$C:$X,2+$B144,0))+IF(DB$8="X",VLOOKUP(DB$10,'VK-Elekter'!$C:$X,2+$D144,0))+IF(DB$9="X",VLOOKUP(DB$10,'VK-Biokütused'!$C:$U,2+$E144,0))+IF(DB$5="X",VLOOKUP(DB$10,'VK-Põlevkivi'!$C:$X,2+$G144,0))+IF(DB$4="X",VLOOKUP(DB$10,'VK-Võrgud'!$C:$X,2+$F144,0)))/1000/3.6</f>
        <v>131.07388888888889</v>
      </c>
      <c r="DC144" s="209">
        <f>(IF(DC$7="X",VLOOKUP(DC$10,'VK-Hooned-Soojus'!$C:$X,2+$C144,FALSE),0)+IF(DC$6="X",VLOOKUP(DC$10,'VK-Transport'!$C:$X,2+$B144,0))+IF(DC$8="X",VLOOKUP(DC$10,'VK-Elekter'!$C:$X,2+$D144,0))+IF(DC$9="X",VLOOKUP(DC$10,'VK-Biokütused'!$C:$U,2+$E144,0))+IF(DC$5="X",VLOOKUP(DC$10,'VK-Põlevkivi'!$C:$X,2+$G144,0))+IF(DC$4="X",VLOOKUP(DC$10,'VK-Võrgud'!$C:$X,2+$F144,0)))/1000000</f>
        <v>6.9897299999999998</v>
      </c>
      <c r="DD144" s="209"/>
      <c r="DE144" s="88">
        <f>VLOOKUP(Tulemused!$BN$12,data!M$7:N$12,2,FALSE)-SUM(L144,M144)</f>
        <v>0.39749062697563176</v>
      </c>
      <c r="DF144" s="209" t="str">
        <f>IF(AZ144&lt;=VLOOKUP(Tulemused!$BN$15,data!$E$36:$F$39,2,FALSE),"JAH","EI")</f>
        <v>JAH</v>
      </c>
      <c r="DG144" s="209"/>
      <c r="DH144" s="209">
        <f t="shared" si="108"/>
        <v>6.08</v>
      </c>
      <c r="DI144" s="231" t="str">
        <f t="shared" si="109"/>
        <v>JAH</v>
      </c>
      <c r="DK144" s="232">
        <f t="shared" si="96"/>
        <v>8.1406618480060722</v>
      </c>
      <c r="DM144" s="233">
        <f t="shared" si="97"/>
        <v>-999.93763499827401</v>
      </c>
      <c r="DN144" s="87">
        <f t="array" ref="DN144">INDEX($A$11:$A$145, SMALL(IF(DM144=$DK$11:$DK$145, MATCH(ROW($DK$11:$DK$145), ROW($DK$11:$DK$145))), SUM(--(DM144=$DM$11:DM144))))</f>
        <v>4</v>
      </c>
      <c r="DP144" s="87" t="e">
        <f t="shared" ca="1" si="110"/>
        <v>#N/A</v>
      </c>
      <c r="DQ144" s="87" t="e">
        <f t="shared" ca="1" si="111"/>
        <v>#N/A</v>
      </c>
      <c r="DR144" s="87">
        <f t="shared" ca="1" si="112"/>
        <v>0</v>
      </c>
      <c r="DS144" s="87" t="e">
        <f t="shared" ca="1" si="113"/>
        <v>#N/A</v>
      </c>
      <c r="DT144" s="87">
        <f t="shared" ca="1" si="114"/>
        <v>0</v>
      </c>
      <c r="DU144" s="87" t="e">
        <f t="shared" ca="1" si="115"/>
        <v>#N/A</v>
      </c>
      <c r="DV144" s="87" t="e">
        <f t="shared" ca="1" si="116"/>
        <v>#N/A</v>
      </c>
      <c r="DW144" s="87">
        <f t="shared" ca="1" si="117"/>
        <v>0</v>
      </c>
      <c r="DX144" s="87">
        <f t="shared" ca="1" si="118"/>
        <v>0</v>
      </c>
      <c r="DZ144" s="87">
        <f t="shared" ca="1" si="82"/>
        <v>0</v>
      </c>
      <c r="EB144" s="87">
        <f t="shared" ca="1" si="119"/>
        <v>0</v>
      </c>
      <c r="EC144" s="87" t="e">
        <f t="shared" ca="1" si="120"/>
        <v>#N/A</v>
      </c>
      <c r="EE144" s="228">
        <f>(IF(EE$7="X",VLOOKUP(EE$10,'VK-Hooned-Soojus'!$C:$X,2+$C144,FALSE),0)+IF(EE$6="X",VLOOKUP(EE$10,'VK-Transport'!$C:$X,2+$B144,0))+IF(EE$8="X",VLOOKUP(EE$10,'VK-Elekter'!$C:$X,2+$D144,0))+IF(EE$9="X",VLOOKUP(EE$10,'VK-Biokütused'!$C:$U,2+$E144,0))+IF(EE$5="X",VLOOKUP(EE$10,'VK-Põlevkivi'!$C:$X,2+$G144,0))+IF(EE$4="X",VLOOKUP(EE$10,'VK-Võrgud'!$C:$X,2+$F144,0)))</f>
        <v>12835.009545498606</v>
      </c>
      <c r="EF144" s="209">
        <f>(IF(EF$7="X",VLOOKUP(EF$10,'VK-Hooned-Soojus'!$C:$X,2+$C144,FALSE),0)+IF(EF$6="X",VLOOKUP(EF$10,'VK-Transport'!$C:$X,2+$B144,0))+IF(EF$8="X",VLOOKUP(EF$10,'VK-Elekter'!$C:$X,2+$D144,0))+IF(EF$9="X",VLOOKUP(EF$10,'VK-Biokütused'!$C:$U,2+$E144,0))+IF(EF$5="X",VLOOKUP(EF$10,'VK-Põlevkivi'!$C:$X,2+$G144,0))+IF(EF$4="X",VLOOKUP(EF$10,'VK-Võrgud'!$C:$X,2+$F144,0)))/1000</f>
        <v>7.2238849906373197</v>
      </c>
      <c r="EG144" s="209">
        <f>(IF(EG$7="X",VLOOKUP(EG$10,'VK-Hooned-Soojus'!$C:$X,2+$C144,FALSE),0)+IF(EG$6="X",VLOOKUP(EG$10,'VK-Transport'!$C:$X,2+$B144,0))+IF(EG$8="X",VLOOKUP(EG$10,'VK-Elekter'!$C:$X,2+$D144,0))+IF(EG$9="X",VLOOKUP(EG$10,'VK-Biokütused'!$C:$U,2+$E144,0))+IF(EG$5="X",VLOOKUP(EG$10,'VK-Põlevkivi'!$C:$X,2+$G144,0))+IF(EG$4="X",VLOOKUP(EG$10,'VK-Võrgud'!$C:$X,2+$F144,0)))</f>
        <v>0.81</v>
      </c>
      <c r="EH144" s="209">
        <f>(IF(EH$7="X",VLOOKUP(EH$10,'VK-Hooned-Soojus'!$C:$X,2+$C144,FALSE),0)+IF(EH$6="X",VLOOKUP(EH$10,'VK-Transport'!$C:$X,2+$B144,0))+IF(EH$8="X",VLOOKUP(EH$10,'VK-Elekter'!$C:$X,2+$D144,0))+IF(EH$9="X",VLOOKUP(EH$10,'VK-Biokütused'!$C:$U,2+$E144,0)))+AR144+AS144+AU144+AX144</f>
        <v>87.182071147298927</v>
      </c>
      <c r="EI144" s="320">
        <f t="shared" si="121"/>
        <v>57.735011875436605</v>
      </c>
      <c r="EJ144" s="322">
        <f t="shared" si="122"/>
        <v>2.5620074329845279E-2</v>
      </c>
      <c r="EK144" s="323">
        <f t="shared" si="123"/>
        <v>0.44890608494094819</v>
      </c>
      <c r="EM144" s="209"/>
      <c r="EN144" s="209">
        <f t="shared" ca="1" si="124"/>
        <v>0</v>
      </c>
      <c r="EO144" s="209"/>
      <c r="EP144" s="234"/>
      <c r="EQ144" s="209">
        <f>(IF(EQ$7="X",VLOOKUP(EQ$10,'VK-Hooned-Soojus'!$C:$X,2+$C144,FALSE),0)+IF(EQ$6="X",VLOOKUP(EQ$10,'VK-Transport'!$C:$X,2+$B144,0))+IF(EQ$8="X",VLOOKUP(EQ$10,'VK-Elekter'!$C:$X,2+$D144,0))+IF(EQ$9="X",VLOOKUP(EQ$10,'VK-Biokütused'!$C:$U,2+$E144,0))+IF(EQ$5="X",VLOOKUP(EQ$10,'VK-Põlevkivi'!$C:$X,2+$G144,0))+IF(EQ$4="X",VLOOKUP(EQ$10,'VK-Võrgud'!$C:$X,2+$F144,0)))/1000</f>
        <v>0.19900000000000001</v>
      </c>
      <c r="ER144" s="209">
        <f>(IF(ER$7="X",VLOOKUP(ER$10,'VK-Hooned-Soojus'!$C:$X,2+$C144,FALSE),0)+IF(ER$6="X",VLOOKUP(ER$10,'VK-Transport'!$C:$X,2+$B144,0))+IF(ER$8="X",VLOOKUP(ER$10,'VK-Elekter'!$C:$X,2+$D144,0))+IF(ER$9="X",VLOOKUP(ER$10,'VK-Biokütused'!$C:$U,2+$E144,0))+IF(ER$5="X",VLOOKUP(ER$10,'VK-Põlevkivi'!$C:$X,2+$G144,0))+IF(ER$4="X",VLOOKUP(ER$10,'VK-Võrgud'!$C:$X,2+$F144,0)))</f>
        <v>0.72299999999999998</v>
      </c>
      <c r="ES144" s="209">
        <f>(IF(ES$7="X",VLOOKUP(ES$10,'VK-Hooned-Soojus'!$C:$X,2+$C144,FALSE),0)+IF(ES$6="X",VLOOKUP(ES$10,'VK-Transport'!$C:$X,2+$B144,0))+IF(ES$8="X",VLOOKUP(ES$10,'VK-Elekter'!$C:$X,2+$D144,0))+IF(ES$9="X",VLOOKUP(ES$10,'VK-Biokütused'!$C:$U,2+$E144,0))+IF(ES$5="X",VLOOKUP(ES$10,'VK-Põlevkivi'!$C:$X,2+$G144,0))+IF(ES$4="X",VLOOKUP(ES$10,'VK-Võrgud'!$C:$X,2+$F144,0)))</f>
        <v>6.08</v>
      </c>
      <c r="ET144" s="209"/>
      <c r="EU144" s="209"/>
      <c r="EV144" s="87">
        <f>'KSH järjestus'!AS137</f>
        <v>1007</v>
      </c>
      <c r="EZ144" s="237">
        <f t="shared" si="125"/>
        <v>0</v>
      </c>
      <c r="FA144" s="209">
        <f>IF(FA$7="X",VLOOKUP(FA$10,'VK-Hooned-Soojus'!$C:$X,2+$C144,FALSE),0)+IF(FA$6="X",VLOOKUP(FA$10,'VK-Transport'!$C:$X,2+$B144,0))+IF(FA$8="X",VLOOKUP(FA$10,'VK-Elekter'!$C:$X,2+$D144,0))+IF(FA$9="X",VLOOKUP(FA$10,'VK-Biokütused'!$C:$U,2+$E144,0))+IF(FA$5="X",VLOOKUP(FA$10,'VK-Põlevkivi'!$C:$X,2+$G144,0))+IF(FA$4="X",VLOOKUP(FA$10,'VK-Võrgud'!$C:$X,2+$F144,0))</f>
        <v>2912.9189999999999</v>
      </c>
      <c r="FB144" s="279">
        <f>(IF(FB$7="X",VLOOKUP(FB$10,'VK-Hooned-Soojus'!$C:$X,2+$C144,FALSE),0)+IF(FB$6="X",VLOOKUP(FB$10,'VK-Transport'!$C:$X,2+$B144,0))+IF(FB$8="X",VLOOKUP(FB$10,'VK-Elekter'!$C:$X,2+$D144,0))+IF(FB$9="X",VLOOKUP(FB$10,'VK-Biokütused'!$C:$U,2+$E144,0))+IF(FB$5="X",VLOOKUP(FB$10,'VK-Põlevkivi'!$C:$X,2+$G144,0))+IF(FB$4="X",VLOOKUP(FB$10,'VK-Võrgud'!$C:$X,2+$F144,0)))/16</f>
        <v>924.83808695228879</v>
      </c>
      <c r="FC144" s="209">
        <f>IF(FC$7="X",VLOOKUP(FC$10,'VK-Hooned-Soojus'!$C:$X,2+$C144,FALSE),0)+IF(FC$6="X",VLOOKUP(FC$10,'VK-Transport'!$C:$X,2+$B144,0))+IF(FC$8="X",VLOOKUP(FC$10,'VK-Elekter'!$C:$X,2+$D144,0))+IF(FC$9="X",VLOOKUP(FC$10,'VK-Biokütused'!$C:$U,2+$E144,0))+IF(FC$5="X",VLOOKUP(FC$10,'VK-Põlevkivi'!$C:$X,2+$G144,0))+IF(FC$4="X",VLOOKUP(FC$10,'VK-Võrgud'!$C:$X,2+$F144,0))</f>
        <v>284.90000000000003</v>
      </c>
      <c r="FD144" s="209">
        <f>(IF(FD$7="X",VLOOKUP(FD$10,'VK-Hooned-Soojus'!$C:$X,2+$C144,FALSE),0)+IF(FD$6="X",VLOOKUP(FD$10,'VK-Transport'!$C:$X,2+$B144,0))+IF(FD$8="X",VLOOKUP(FD$10,'VK-Elekter'!$C:$X,2+$D144,0))+IF(FD$9="X",VLOOKUP(FD$10,'VK-Biokütused'!$C:$U,2+$E144,0))+IF(FD$5="X",VLOOKUP(FD$10,'VK-Põlevkivi'!$C:$X,2+$G144,0))+IF(FD$4="X",VLOOKUP(FD$10,'VK-Võrgud'!$C:$X,2+$F144,0)))/16</f>
        <v>924.83808695228879</v>
      </c>
      <c r="FE144" s="209">
        <f>(IF(FE$7="X",VLOOKUP(FE$10,'VK-Hooned-Soojus'!$C:$X,2+$C144,FALSE),0)+IF(FE$6="X",VLOOKUP(FE$10,'VK-Transport'!$C:$X,2+$B144,0))+IF(FE$8="X",VLOOKUP(FE$10,'VK-Elekter'!$C:$X,2+$D144,0))+IF(FE$9="X",VLOOKUP(FE$10,'VK-Biokütused'!$C:$U,2+$E144,0))+IF(FE$5="X",VLOOKUP(FE$10,'VK-Põlevkivi'!$C:$X,2+$G144,0))+IF(FE$4="X",VLOOKUP(FE$10,'VK-Võrgud'!$C:$X,2+$F144,0)))/16</f>
        <v>-178.19071988063212</v>
      </c>
      <c r="FF144" s="209">
        <f>(IF(FF$7="X",VLOOKUP(FF$10,'VK-Hooned-Soojus'!$C:$X,2+$C144,FALSE),0)+IF(FF$6="X",VLOOKUP(FF$10,'VK-Transport'!$C:$X,2+$B144,0))+IF(FF$8="X",VLOOKUP(FF$10,'VK-Elekter'!$C:$X,2+$D144,0))+IF(FF$9="X",VLOOKUP(FF$10,'VK-Biokütused'!$C:$U,2+$E144,0))+IF(FF$5="X",VLOOKUP(FF$10,'VK-Põlevkivi'!$C:$X,2+$G144,0))+IF(FF$4="X",VLOOKUP(FF$10,'VK-Võrgud'!$C:$X,2+$F144,0)))/16</f>
        <v>325.29985607163638</v>
      </c>
      <c r="FG144" s="88">
        <f t="shared" ca="1" si="126"/>
        <v>147.10913619100427</v>
      </c>
      <c r="FH144" s="88"/>
      <c r="FI144" s="88"/>
      <c r="FJ144" s="88">
        <f>VLOOKUP(Tulemused!$BN$12,data!M$7:N$12,2,FALSE)-SUM(L144,M144)</f>
        <v>0.39749062697563176</v>
      </c>
      <c r="FK144" s="209" t="str">
        <f>IF(AZ144&lt;=VLOOKUP(Tulemused!$BN$15,data!$E$36:$F$39,2,FALSE),"JAH","EI")</f>
        <v>JAH</v>
      </c>
      <c r="FL144" s="235">
        <f ca="1">IF(ISNA(MATCH($A144,INDIRECT(VLOOKUP(Tulemused!$BF$11,data!$J$57:$M$71,4,FALSE)))),0,MATCH($A144,INDIRECT(VLOOKUP(Tulemused!$BF$11,data!$J$57:$M$71,4,FALSE))))</f>
        <v>0</v>
      </c>
      <c r="FM144" s="235" t="str">
        <f t="shared" ca="1" si="127"/>
        <v>JAH</v>
      </c>
      <c r="FN144" s="209">
        <f>VLOOKUP(Tulemused!$BN$13,data!$C$132:$D$137,2,FALSE)-KOMBI!R144</f>
        <v>4.8305850093626805</v>
      </c>
      <c r="FO144" s="209"/>
      <c r="FP144" s="209">
        <f>VLOOKUP(Tulemused!$BN$17,NO_x,2,FALSE)-CJ144</f>
        <v>8.509999999999998</v>
      </c>
      <c r="FQ144" s="209">
        <f>VLOOKUP(Tulemused!$BN$18,SO_2,2,FALSE)-CK144</f>
        <v>14.046330445765982</v>
      </c>
      <c r="FR144" s="209">
        <f>VLOOKUP(Tulemused!$BN$19,LOU,2,FALSE)-CN144</f>
        <v>34.299000000000007</v>
      </c>
      <c r="FS144" s="209">
        <f>VLOOKUP(Tulemused!$BN$20,PM_2.5,2,FALSE)-CM144</f>
        <v>9.3950103843950821</v>
      </c>
      <c r="FT144" s="209">
        <f>VLOOKUP(Tulemused!$BN$13,data!$C$132:$D$137,2,FALSE)-FA144/1000</f>
        <v>3.3330510000000007</v>
      </c>
      <c r="FU144" s="209">
        <f>VLOOKUP(Tulemused!$BN$17,NO_x,2,FALSE)-CO144</f>
        <v>0.52263766264300671</v>
      </c>
      <c r="FV144" s="209">
        <f>VLOOKUP(Tulemused!$BN$18,SO_2,2,FALSE)-CP144</f>
        <v>19.582125985002065</v>
      </c>
      <c r="FW144" s="209">
        <f>VLOOKUP(Tulemused!$BN$19,LOU,2,FALSE)-CS144</f>
        <v>33.311350490137769</v>
      </c>
      <c r="FX144" s="209">
        <f>VLOOKUP(Tulemused!$BN$20,PM_2.5,2,FALSE)-CR144</f>
        <v>8.9072481626003093</v>
      </c>
      <c r="FY144" s="209">
        <f>VLOOKUP(Tulemused!$BN$14,KHG_2050,2,FALSE)-EF144</f>
        <v>92.776115009362684</v>
      </c>
      <c r="FZ144" s="231" t="str">
        <f t="shared" ca="1" si="128"/>
        <v>JAH</v>
      </c>
      <c r="GA144" s="209"/>
      <c r="GB144" s="209"/>
      <c r="GC144" s="209"/>
      <c r="GD144" s="231"/>
      <c r="GE144" s="87">
        <f t="shared" si="99"/>
        <v>1007</v>
      </c>
      <c r="GF144" s="232">
        <f t="shared" ca="1" si="129"/>
        <v>1007</v>
      </c>
      <c r="GH144" s="238" t="e">
        <f t="shared" ca="1" si="100"/>
        <v>#NUM!</v>
      </c>
      <c r="GI144" s="87" t="e">
        <f t="array" aca="1" ref="GI144" ca="1">INDEX($A$11:$A$145, SMALL(IF(GH144=$GF$11:$GF$145, MATCH(ROW($GF$11:$GF$145), ROW($GF$11:$GF$145))), SUM(--(GH144=$GH$11:GH144))))</f>
        <v>#NUM!</v>
      </c>
      <c r="GM144" s="209">
        <f>IF(GM$7="X",VLOOKUP(GM$10,'VK-Hooned-Soojus'!$C:$X,2+$C144,FALSE),0)+IF(GM$6="X",VLOOKUP(GM$10,'VK-Transport'!$C:$X,2+$B144,0))+IF(GM$8="X",VLOOKUP(GM$10,'VK-Elekter'!$C:$X,2+$D144,0))+IF(GM$9="X",VLOOKUP(GM$10,'VK-Biokütused'!$C:$U,2+$E144,0))+IF(GM$5="X",VLOOKUP(GM$10,'VK-Põlevkivi'!$C:$X,2+$G144,0))+IF(GM$4="X",VLOOKUP(GM$10,'VK-Võrgud'!$C:$X,2+$F144,0))</f>
        <v>11.189888530766083</v>
      </c>
      <c r="GN144" s="209">
        <f>IF(GN$7="X",VLOOKUP(GN$10,'VK-Hooned-Soojus'!$C:$X,2+$C144,FALSE),0)+IF(GN$6="X",VLOOKUP(GN$10,'VK-Transport'!$C:$X,2+$B144,0))+IF(GN$8="X",VLOOKUP(GN$10,'VK-Elekter'!$C:$X,2+$D144,0))+IF(GN$9="X",VLOOKUP(GN$10,'VK-Biokütused'!$C:$U,2+$E144,0))+IF(GN$5="X",VLOOKUP(GN$10,'VK-Põlevkivi'!$C:$X,2+$G144,0))+IF(GN$4="X",VLOOKUP(GN$10,'VK-Võrgud'!$C:$X,2+$F144,0))</f>
        <v>2.9930837725682502</v>
      </c>
      <c r="GO144" s="209">
        <f>IF(GO$7="X",VLOOKUP(GO$10,'VK-Hooned-Soojus'!$C:$X,2+$C144,FALSE),0)+IF(GO$6="X",VLOOKUP(GO$10,'VK-Transport'!$C:$X,2+$B144,0))+IF(GO$8="X",VLOOKUP(GO$10,'VK-Elekter'!$C:$X,2+$D144,0))+IF(GO$9="X",VLOOKUP(GO$10,'VK-Biokütused'!$C:$U,2+$E144,0))+IF(GO$5="X",VLOOKUP(GO$10,'VK-Põlevkivi'!$C:$X,2+$G144,0))+IF(GO$4="X",VLOOKUP(GO$10,'VK-Võrgud'!$C:$X,2+$F144,0))</f>
        <v>7.5763700102722566</v>
      </c>
      <c r="GP144" s="209">
        <f>IF(GP$7="X",VLOOKUP(GP$10,'VK-Hooned-Soojus'!$C:$X,2+$C144,FALSE),0)+IF(GP$6="X",VLOOKUP(GP$10,'VK-Transport'!$C:$X,2+$B144,0))+IF(GP$8="X",VLOOKUP(GP$10,'VK-Elekter'!$C:$X,2+$D144,0))+IF(GP$9="X",VLOOKUP(GP$10,'VK-Biokütused'!$C:$U,2+$E144,0))+IF(GP$5="X",VLOOKUP(GP$10,'VK-Põlevkivi'!$C:$X,2+$G144,0))+IF(GP$4="X",VLOOKUP(GP$10,'VK-Võrgud'!$C:$X,2+$F144,0))</f>
        <v>8.9326558040707589</v>
      </c>
      <c r="GQ144" s="88">
        <f>IF(GQ$7="X",VLOOKUP(GQ$10,'VK-Hooned-Soojus'!$C:$X,2+$C144,FALSE),0)+IF(GQ$6="X",VLOOKUP(GQ$10,'VK-Transport'!$C:$X,2+$B144,0))+IF(GQ$8="X",VLOOKUP(GQ$10,'VK-Elekter'!$C:$X,2+$D144,0))+IF(GQ$9="X",VLOOKUP(GQ$10,'VK-Biokütused'!$C:$U,2+$E144,0))+IF(GQ$5="X",VLOOKUP(GQ$10,'VK-Põlevkivi'!$C:$X,2+$G144,0))+IF(GQ$4="X",VLOOKUP(GQ$10,'VK-Võrgud'!$C:$X,2+$F144,0))</f>
        <v>0.89042766952822527</v>
      </c>
      <c r="GR144" s="186">
        <f t="shared" si="130"/>
        <v>0.3951301064766819</v>
      </c>
    </row>
    <row r="145" spans="1:200" x14ac:dyDescent="0.2">
      <c r="A145" s="184">
        <v>135</v>
      </c>
      <c r="B145" s="87">
        <v>3</v>
      </c>
      <c r="C145" s="87">
        <v>3</v>
      </c>
      <c r="D145" s="87">
        <v>5</v>
      </c>
      <c r="E145" s="87">
        <v>3</v>
      </c>
      <c r="F145" s="87">
        <f>VLOOKUP(Tulemused!$BF$7,data!$J$6:$K$8,2,FALSE)</f>
        <v>2</v>
      </c>
      <c r="G145" s="87">
        <f>VLOOKUP(data!$H$2,data!$J$12:$K$14,2,FALSE)</f>
        <v>2</v>
      </c>
      <c r="I145" s="209">
        <f>IF(I$7="X",VLOOKUP(I$10,'VK-Hooned-Soojus'!$C:$X,2+$C145,FALSE),0)+IF(I$6="X",VLOOKUP(I$10,'VK-Transport'!$C:$X,2+$B145,0))+IF(I$8="X",VLOOKUP(I$10,'VK-Elekter'!$C:$X,2+$D145,0))+IF(I$9="X",VLOOKUP(I$10,'VK-Biokütused'!$C:$U,2+$E145,0))+IF(I$5="X",VLOOKUP(I$10,'VK-Põlevkivi'!$C:$X,2+$G145,0))+IF(I$4="X",VLOOKUP(I$10,'VK-Võrgud'!$C:$X,2+$F145,0))</f>
        <v>23.490000000000002</v>
      </c>
      <c r="J145" s="209">
        <f>IF(J$7="X",VLOOKUP(J$10,'VK-Hooned-Soojus'!$C:$X,2+$C145,FALSE),0)+IF(J$6="X",VLOOKUP(J$10,'VK-Transport'!$C:$X,2+$B145,0))+IF(J$8="X",VLOOKUP(J$10,'VK-Elekter'!$C:$X,2+$D145,0))+IF(J$9="X",VLOOKUP(J$10,'VK-Biokütused'!$C:$U,2+$E145,0))+IF(J$5="X",VLOOKUP(J$10,'VK-Põlevkivi'!$C:$X,2+$G145,0))+IF(J$4="X",VLOOKUP(J$10,'VK-Võrgud'!$C:$X,2+$F145,0))</f>
        <v>8.1258333333333344</v>
      </c>
      <c r="K145" s="209">
        <f>IF(K$7="X",VLOOKUP(K$10,'VK-Hooned-Soojus'!$C:$X,2+$C145,FALSE),0)+IF(K$6="X",VLOOKUP(K$10,'VK-Transport'!$C:$X,2+$B145,0))+IF(K$8="X",VLOOKUP(K$10,'VK-Elekter'!$C:$X,2+$D145,0))+IF(K$9="X",VLOOKUP(K$10,'VK-Biokütused'!$C:$U,2+$E145,0))+IF(K$5="X",VLOOKUP(K$10,'VK-Põlevkivi'!$C:$X,2+$G145,0))+IF(K$4="X",VLOOKUP(K$10,'VK-Võrgud'!$C:$X,2+$F145,0))</f>
        <v>13.780000000000001</v>
      </c>
      <c r="L145" s="209">
        <f>IF(L$7="X",VLOOKUP(L$10,'VK-Hooned-Soojus'!$C:$X,2+$C145,FALSE),0)+IF(L$6="X",VLOOKUP(L$10,'VK-Transport'!$C:$X,2+$B145,0))+IF(L$8="X",VLOOKUP(L$10,'VK-Elekter'!$C:$X,2+$D145,0))+IF(L$9="X",VLOOKUP(L$10,'VK-Biokütused'!$C:$U,2+$E145,0))+IF(L$5="X",VLOOKUP(L$10,'VK-Põlevkivi'!$C:$X,2+$G145,0))+IF(L$4="X",VLOOKUP(L$10,'VK-Võrgud'!$C:$X,2+$F145,0))</f>
        <v>23.75</v>
      </c>
      <c r="M145" s="209">
        <f>IF(M$7="X",VLOOKUP(M$10,'VK-Hooned-Soojus'!$C:$X,2+$C145,FALSE),0)+IF(M$6="X",VLOOKUP(M$10,'VK-Transport'!$C:$X,2+$B145,0))+IF(M$8="X",VLOOKUP(M$10,'VK-Elekter'!$C:$X,2+$D145,0))+IF(M$9="X",VLOOKUP(M$10,'VK-Biokütused'!$C:$U,2+$E145,0))+IF(M$5="X",VLOOKUP(M$10,'VK-Põlevkivi'!$C:$X,2+$G145,0))+IF(M$4="X",VLOOKUP(M$10,'VK-Võrgud'!$C:$X,2+$F145,0))</f>
        <v>8.68530937302436</v>
      </c>
      <c r="N145" s="209">
        <f>IF(N$7="X",VLOOKUP(N$10,'VK-Hooned-Soojus'!$C:$X,2+$C145,FALSE),0)+IF(N$6="X",VLOOKUP(N$10,'VK-Transport'!$C:$X,2+$B145,0))+IF(N$8="X",VLOOKUP(N$10,'VK-Elekter'!$C:$X,2+$D145,0))+IF(N$9="X",VLOOKUP(N$10,'VK-Biokütused'!$C:$U,2+$E145,0))+IF(N$5="X",VLOOKUP(N$10,'VK-Põlevkivi'!$C:$X,2+$G145,0))+IF(N$4="X",VLOOKUP(N$10,'VK-Võrgud'!$C:$X,2+$F145,0))</f>
        <v>15.25</v>
      </c>
      <c r="O145" s="209">
        <f t="shared" si="101"/>
        <v>31.615833333333335</v>
      </c>
      <c r="P145" s="209"/>
      <c r="Q145" s="209">
        <f>(IF(Q$7="X",VLOOKUP(Q$10,'VK-Hooned-Soojus'!$C:$X,2+$C145,FALSE),0)+IF(Q$6="X",VLOOKUP(Q$10,'VK-Transport'!$C:$X,2+$B145,0))+IF(Q$8="X",VLOOKUP(Q$10,'VK-Elekter'!$C:$X,2+$D145,0))+IF(Q$9="X",VLOOKUP(Q$10,'VK-Biokütused'!$C:$U,2+$E145,0))+IF(Q$5="X",VLOOKUP(Q$10,'VK-Põlevkivi'!$C:$X,2+$G145,0))+IF(Q$4="X",VLOOKUP(Q$10,'VK-Võrgud'!$C:$X,2+$F145,0)))/1000</f>
        <v>5.9039999999999999</v>
      </c>
      <c r="R145" s="209">
        <f>(IF(R$7="X",VLOOKUP(R$10,'VK-Hooned-Soojus'!$C:$X,2+$C145,FALSE),0)+IF(R$6="X",VLOOKUP(R$10,'VK-Transport'!$C:$X,2+$B145,0))+IF(R$8="X",VLOOKUP(R$10,'VK-Elekter'!$C:$X,2+$D145,0))+IF(R$9="X",VLOOKUP(R$10,'VK-Biokütused'!$C:$U,2+$E145,0))+IF(R$5="X",VLOOKUP(R$10,'VK-Põlevkivi'!$C:$X,2+$G145,0))+IF(R$4="X",VLOOKUP(R$10,'VK-Võrgud'!$C:$X,2+$F145,0)))/1000</f>
        <v>1.62408499063732</v>
      </c>
      <c r="S145" s="226">
        <f>VLOOKUP(S$10,'VK-Hooned-Soojus'!$C:$I,2+$C145,FALSE) + VLOOKUP(S$10,'VK-Transport'!$C:$I,2+$B145,FALSE)+ VLOOKUP(S$10,'VK-Biokütused'!$C:$G,2+$E145,FALSE)+ VLOOKUP(S$10,'VK-Elekter'!$C:$I,2+$D145,FALSE)+ VLOOKUP(S$10,'VK-Põlevkivi'!$C:$I,2+$G145,FALSE)+ VLOOKUP(S$10,'VK-Võrgud'!$C:$I,2+$F145,FALSE)</f>
        <v>3.9159109412588593E-2</v>
      </c>
      <c r="T145" s="226">
        <f>VLOOKUP(T$10,'VK-Hooned-Soojus'!$C:$I,2+$C145,FALSE) + VLOOKUP(T$10,'VK-Transport'!$C:$I,2+$B145,FALSE)+ VLOOKUP(T$10,'VK-Biokütused'!$C:$G,2+$E145,FALSE)+ VLOOKUP(T$10,'VK-Elekter'!$C:$I,2+$D145,FALSE)+ VLOOKUP(T$10,'VK-Põlevkivi'!$C:$I,2+$G145,FALSE)+ VLOOKUP(T$10,'VK-Võrgud'!$C:$I,2+$F145,FALSE)</f>
        <v>1.1538985612707746E-2</v>
      </c>
      <c r="U145" s="226">
        <f>VLOOKUP(U$10,'VK-Hooned-Soojus'!$C:$I,2+$C145,FALSE) + VLOOKUP(U$10,'VK-Transport'!$C:$I,2+$B145,FALSE)+ VLOOKUP(U$10,'VK-Biokütused'!$C:$G,2+$E145,FALSE)+ VLOOKUP(U$10,'VK-Elekter'!$C:$I,2+$D145,FALSE)+ VLOOKUP(U$10,'VK-Põlevkivi'!$C:$I,2+$G145,FALSE)+ VLOOKUP(U$10,'VK-Võrgud'!$C:$I,2+$F145,FALSE)</f>
        <v>1.4199620563024123E-2</v>
      </c>
      <c r="V145" s="226">
        <f>VLOOKUP(V$10,'VK-Hooned-Soojus'!$C:$I,2+$C145,FALSE) + VLOOKUP(V$10,'VK-Transport'!$C:$I,2+$B145,FALSE)+ VLOOKUP(V$10,'VK-Biokütused'!$C:$G,2+$E145,FALSE)+ VLOOKUP(V$10,'VK-Elekter'!$C:$I,2+$D145,FALSE)+ VLOOKUP(V$10,'VK-Põlevkivi'!$C:$I,2+$G145,FALSE)+ VLOOKUP(V$10,'VK-Võrgud'!$C:$I,2+$F145,FALSE)</f>
        <v>2.5442010103479275E-2</v>
      </c>
      <c r="W145" s="226">
        <f>VLOOKUP(W$10,'VK-Hooned-Soojus'!$C:$I,2+$C145,FALSE) + VLOOKUP(W$10,'VK-Transport'!$C:$I,2+$B145,FALSE)+ VLOOKUP(W$10,'VK-Biokütused'!$C:$G,2+$E145,FALSE)+ VLOOKUP(W$10,'VK-Elekter'!$C:$I,2+$D145,FALSE)+ VLOOKUP(W$10,'VK-Põlevkivi'!$C:$I,2+$G145,FALSE)+ VLOOKUP(W$10,'VK-Võrgud'!$C:$I,2+$F145,FALSE)</f>
        <v>-3.4823494877293193E-2</v>
      </c>
      <c r="X145" s="226">
        <f>VLOOKUP(X$10,'VK-Hooned-Soojus'!$C:$I,2+$C145,FALSE) + VLOOKUP(X$10,'VK-Transport'!$C:$I,2+$B145,FALSE)+ VLOOKUP(X$10,'VK-Biokütused'!$C:$G,2+$E145,FALSE)+ VLOOKUP(X$10,'VK-Elekter'!$C:$I,2+$D145,FALSE)+ VLOOKUP(X$10,'VK-Põlevkivi'!$C:$I,2+$G145,FALSE)+ VLOOKUP(X$10,'VK-Võrgud'!$C:$I,2+$F145,FALSE)</f>
        <v>3.1317196797625221E-2</v>
      </c>
      <c r="Y145" s="226">
        <f>VLOOKUP(Y$10,'VK-Hooned-Soojus'!$C:$I,2+$C145,FALSE) + VLOOKUP(Y$10,'VK-Transport'!$C:$I,2+$B145,FALSE)+ VLOOKUP(Y$10,'VK-Biokütused'!$C:$G,2+$E145,FALSE)+ VLOOKUP(Y$10,'VK-Elekter'!$C:$I,2+$D145,FALSE)+ VLOOKUP(Y$10,'VK-Põlevkivi'!$C:$I,2+$G145,FALSE)+ VLOOKUP(Y$10,'VK-Võrgud'!$C:$I,2+$F145,FALSE)</f>
        <v>1.4338082043103342E-2</v>
      </c>
      <c r="Z145" s="227">
        <f>(S145*Tulemused!$Q$9*10+T145*Tulemused!$Q$10*10+KOMBI!U145*Tulemused!$Q$11*10+KOMBI!V145*Tulemused!$Q$12*10)*Tulemused!$Q$8+-(W145*Tulemused!$Q$14*10+KOMBI!X145*Tulemused!$Q$15*10+KOMBI!Y145*Tulemused!$Q$16*10)*Tulemused!$Q$13</f>
        <v>9.0457615702475991</v>
      </c>
      <c r="AA145" s="228">
        <f>(IF(AA$7="X",VLOOKUP(AA$10,'VK-Hooned-Soojus'!$C:$X,2+$C145,FALSE),0)+IF(AA$6="X",VLOOKUP(AA$10,'VK-Transport'!$C:$X,2+$B145,0))+IF(AA$8="X",VLOOKUP(AA$10,'VK-Elekter'!$C:$X,2+$D145,0))+IF(AA$9="X",VLOOKUP(AA$10,'VK-Biokütused'!$C:$U,2+$E145,0))+IF(AA$5="X",VLOOKUP(AA$10,'VK-Põlevkivi'!$C:$X,2+$G145,0))+IF(AA$4="X",VLOOKUP(AA$10,'VK-Võrgud'!$C:$X,2+$F145,0)))</f>
        <v>4727</v>
      </c>
      <c r="AB145" s="228">
        <f>(IF(AB$7="X",VLOOKUP(AB$10,'VK-Hooned-Soojus'!$C:$X,2+$C145,FALSE),0)+IF(AB$6="X",VLOOKUP(AB$10,'VK-Transport'!$C:$X,2+$B145,0))+IF(AB$8="X",VLOOKUP(AB$10,'VK-Elekter'!$C:$X,2+$D145,0))+IF(AB$9="X",VLOOKUP(AB$10,'VK-Biokütused'!$C:$U,2+$E145,0))+IF(AB$5="X",VLOOKUP(AB$10,'VK-Põlevkivi'!$C:$X,2+$G145,0))+IF(AB$4="X",VLOOKUP(AB$10,'VK-Võrgud'!$C:$X,2+$F145,0)))</f>
        <v>1177</v>
      </c>
      <c r="AC145" s="228">
        <f>(IF(AC$7="X",VLOOKUP(AC$10,'VK-Hooned-Soojus'!$C:$X,2+$C145,FALSE),0)+IF(AC$6="X",VLOOKUP(AC$10,'VK-Transport'!$C:$X,2+$B145,0))+IF(AC$8="X",VLOOKUP(AC$10,'VK-Elekter'!$C:$X,2+$D145,0))+IF(AC$9="X",VLOOKUP(AC$10,'VK-Biokütused'!$C:$U,2+$E145,0))+IF(AC$5="X",VLOOKUP(AC$10,'VK-Põlevkivi'!$C:$X,2+$G145,0))+IF(AC$4="X",VLOOKUP(AC$10,'VK-Võrgud'!$C:$X,2+$F145,0)))</f>
        <v>2346</v>
      </c>
      <c r="AD145" s="228">
        <f>(IF(AD$7="X",VLOOKUP(AD$10,'VK-Hooned-Soojus'!$C:$X,2+$C145,FALSE),0)+IF(AD$6="X",VLOOKUP(AD$10,'VK-Transport'!$C:$X,2+$B145,0))+IF(AD$8="X",VLOOKUP(AD$10,'VK-Elekter'!$C:$X,2+$D145,0))+IF(AD$9="X",VLOOKUP(AD$10,'VK-Biokütused'!$C:$U,2+$E145,0))+IF(AD$5="X",VLOOKUP(AD$10,'VK-Põlevkivi'!$C:$X,2+$G145,0))+IF(AD$4="X",VLOOKUP(AD$10,'VK-Võrgud'!$C:$X,2+$F145,0)))</f>
        <v>586.20000000000005</v>
      </c>
      <c r="AE145" s="228">
        <f>(IF(AE$7="X",VLOOKUP(AE$10,'VK-Hooned-Soojus'!$C:$X,2+$C145,FALSE),0)+IF(AE$6="X",VLOOKUP(AE$10,'VK-Transport'!$C:$X,2+$B145,0))+IF(AE$8="X",VLOOKUP(AE$10,'VK-Elekter'!$C:$X,2+$D145,0))+IF(AE$9="X",VLOOKUP(AE$10,'VK-Biokütused'!$C:$U,2+$E145,0))+IF(AE$5="X",VLOOKUP(AE$10,'VK-Põlevkivi'!$C:$X,2+$G145,0))+IF(AE$4="X",VLOOKUP(AE$10,'VK-Võrgud'!$C:$X,2+$F145,0)))</f>
        <v>507</v>
      </c>
      <c r="AF145" s="228">
        <f>(IF(AF$7="X",VLOOKUP(AF$10,'VK-Hooned-Soojus'!$C:$X,2+$C145,FALSE),0)+IF(AF$6="X",VLOOKUP(AF$10,'VK-Transport'!$C:$X,2+$B145,0))+IF(AF$8="X",VLOOKUP(AF$10,'VK-Elekter'!$C:$X,2+$D145,0))+IF(AF$9="X",VLOOKUP(AF$10,'VK-Biokütused'!$C:$U,2+$E145,0))+IF(AF$5="X",VLOOKUP(AF$10,'VK-Põlevkivi'!$C:$X,2+$G145,0))+IF(AF$4="X",VLOOKUP(AF$10,'VK-Võrgud'!$C:$X,2+$F145,0)))</f>
        <v>530.88499063732002</v>
      </c>
      <c r="AG145" s="209"/>
      <c r="AH145" s="209">
        <f>IF(AH$7="X",VLOOKUP(AH$10,'VK-Hooned-Soojus'!$C:$X,2+$C145,FALSE),0)+IF(AH$6="X",VLOOKUP(AH$10,'VK-Transport'!$C:$X,2+$B145,0))+IF(AH$8="X",VLOOKUP(AH$10,'VK-Elekter'!$C:$X,2+$D145,0))+IF(AH$9="X",VLOOKUP(AH$10,'VK-Biokütused'!$C:$U,2+$E145,0))+IF(AH$5="X",VLOOKUP(AH$10,'VK-Põlevkivi'!$C:$X,2+$G145,0))+IF(AH$4="X",VLOOKUP(AH$10,'VK-Võrgud'!$C:$X,2+$F145,0))</f>
        <v>17.400000000000002</v>
      </c>
      <c r="AI145" s="209">
        <f>IF(AI$7="X",VLOOKUP(AI$10,'VK-Hooned-Soojus'!$C:$X,2+$C145,FALSE),0)+IF(AI$6="X",VLOOKUP(AI$10,'VK-Transport'!$C:$X,2+$B145,0))+IF(AI$8="X",VLOOKUP(AI$10,'VK-Elekter'!$C:$X,2+$D145,0))+IF(AI$9="X",VLOOKUP(AI$10,'VK-Biokütused'!$C:$U,2+$E145,0))+IF(AI$5="X",VLOOKUP(AI$10,'VK-Põlevkivi'!$C:$X,2+$G145,0))+IF(AI$4="X",VLOOKUP(AI$10,'VK-Võrgud'!$C:$X,2+$F145,0))</f>
        <v>2.3100000000000005</v>
      </c>
      <c r="AJ145" s="209">
        <f>IF(AJ$7="X",VLOOKUP(AJ$10,'VK-Hooned-Soojus'!$C:$X,2+$C145,FALSE),0)+IF(AJ$6="X",VLOOKUP(AJ$10,'VK-Transport'!$C:$X,2+$B145,0))+IF(AJ$8="X",VLOOKUP(AJ$10,'VK-Elekter'!$C:$X,2+$D145,0))+IF(AJ$9="X",VLOOKUP(AJ$10,'VK-Biokütused'!$C:$U,2+$E145,0))+IF(AJ$5="X",VLOOKUP(AJ$10,'VK-Põlevkivi'!$C:$X,2+$G145,0))+IF(AJ$4="X",VLOOKUP(AJ$10,'VK-Võrgud'!$C:$X,2+$F145,0))</f>
        <v>4.59</v>
      </c>
      <c r="AK145" s="209">
        <f>IF(AK$7="X",VLOOKUP(AK$10,'VK-Hooned-Soojus'!$C:$X,2+$C145,FALSE),0)+IF(AK$6="X",VLOOKUP(AK$10,'VK-Transport'!$C:$X,2+$B145,0))+IF(AK$8="X",VLOOKUP(AK$10,'VK-Elekter'!$C:$X,2+$D145,0))+IF(AK$9="X",VLOOKUP(AK$10,'VK-Biokütused'!$C:$U,2+$E145,0))+IF(AK$5="X",VLOOKUP(AK$10,'VK-Põlevkivi'!$C:$X,2+$G145,0))+IF(AK$4="X",VLOOKUP(AK$10,'VK-Võrgud'!$C:$X,2+$F145,0))</f>
        <v>-0.41</v>
      </c>
      <c r="AL145" s="209">
        <f>IF(AL$7="X",VLOOKUP(AL$10,'VK-Hooned-Soojus'!$C:$X,2+$C145,FALSE),0)+IF(AL$6="X",VLOOKUP(AL$10,'VK-Transport'!$C:$X,2+$B145,0))+IF(AL$8="X",VLOOKUP(AL$10,'VK-Elekter'!$C:$X,2+$D145,0))+IF(AL$9="X",VLOOKUP(AL$10,'VK-Biokütused'!$C:$U,2+$E145,0))+IF(AL$5="X",VLOOKUP(AL$10,'VK-Põlevkivi'!$C:$X,2+$G145,0))+IF(AL$4="X",VLOOKUP(AL$10,'VK-Võrgud'!$C:$X,2+$F145,0))</f>
        <v>7.1</v>
      </c>
      <c r="AM145" s="209">
        <f>IF(AM$7="X",VLOOKUP(AM$10,'VK-Hooned-Soojus'!$C:$X,2+$C145,FALSE),0)+IF(AM$6="X",VLOOKUP(AM$10,'VK-Transport'!$C:$X,2+$B145,0))+IF(AM$8="X",VLOOKUP(AM$10,'VK-Elekter'!$C:$X,2+$D145,0))+IF(AM$9="X",VLOOKUP(AM$10,'VK-Biokütused'!$C:$U,2+$E145,0))+IF(AM$5="X",VLOOKUP(AM$10,'VK-Põlevkivi'!$C:$X,2+$G145,0))+IF(AM$4="X",VLOOKUP(AM$10,'VK-Võrgud'!$C:$X,2+$F145,0))</f>
        <v>11.5</v>
      </c>
      <c r="AN145" s="209">
        <f>IF(AN$7="X",VLOOKUP(AN$10,'VK-Hooned-Soojus'!$C:$X,2+$C145,FALSE),0)+IF(AN$6="X",VLOOKUP(AN$10,'VK-Transport'!$C:$X,2+$B145,0))+IF(AN$8="X",VLOOKUP(AN$10,'VK-Elekter'!$C:$X,2+$D145,0))+IF(AN$9="X",VLOOKUP(AN$10,'VK-Biokütused'!$C:$U,2+$E145,0))+IF(AN$5="X",VLOOKUP(AN$10,'VK-Põlevkivi'!$C:$X,2+$G145,0))+IF(AN$4="X",VLOOKUP(AN$10,'VK-Võrgud'!$C:$X,2+$F145,0))</f>
        <v>4.0999999999999996</v>
      </c>
      <c r="AO145" s="209">
        <f>IF(AO$7="X",VLOOKUP(AO$10,'VK-Hooned-Soojus'!$C:$X,2+$C145,FALSE),0)+IF(AO$6="X",VLOOKUP(AO$10,'VK-Transport'!$C:$X,2+$B145,0))+IF(AO$8="X",VLOOKUP(AO$10,'VK-Elekter'!$C:$X,2+$D145,0))+IF(AO$9="X",VLOOKUP(AO$10,'VK-Biokütused'!$C:$U,2+$E145,0))+IF(AO$5="X",VLOOKUP(AO$10,'VK-Põlevkivi'!$C:$X,2+$G145,0))+IF(AO$4="X",VLOOKUP(AO$10,'VK-Võrgud'!$C:$X,2+$F145,0))</f>
        <v>12.16</v>
      </c>
      <c r="AP145" s="209">
        <f>IF(AP$7="X",VLOOKUP(AP$10,'VK-Hooned-Soojus'!$C:$X,2+$C145,FALSE),0)+IF(AP$6="X",VLOOKUP(AP$10,'VK-Transport'!$C:$X,2+$B145,0))+IF(AP$8="X",VLOOKUP(AP$10,'VK-Elekter'!$C:$X,2+$D145,0))+IF(AP$9="X",VLOOKUP(AP$10,'VK-Biokütused'!$C:$U,2+$E145,0))+IF(AP$5="X",VLOOKUP(AP$10,'VK-Põlevkivi'!$C:$X,2+$G145,0))+IF(AP$4="X",VLOOKUP(AP$10,'VK-Võrgud'!$C:$X,2+$F145,0))</f>
        <v>6.08</v>
      </c>
      <c r="AQ145" s="320">
        <f t="shared" si="102"/>
        <v>0</v>
      </c>
      <c r="AR145" s="209">
        <f>IF(AR$7="X",VLOOKUP(AR$10,'VK-Hooned-Soojus'!$C:$X,2+$C145,FALSE),0)+IF(AR$6="X",VLOOKUP(AR$10,'VK-Transport'!$C:$X,2+$B145,0))+IF(AR$8="X",VLOOKUP(AR$10,'VK-Elekter'!$C:$X,2+$D145,0))+IF(AR$9="X",VLOOKUP(AR$10,'VK-Biokütused'!$C:$U,2+$E145,0))+IF(AR$5="X",VLOOKUP(AR$10,'VK-Põlevkivi'!$C:$X,2+$G145,0))+IF(AR$4="X",VLOOKUP(AR$10,'VK-Võrgud'!$C:$X,2+$F145,0))</f>
        <v>12.809999999999999</v>
      </c>
      <c r="AS145" s="235">
        <f>'VK-Põlevkivi'!$F$8-AR145-AU145</f>
        <v>14.298622986547709</v>
      </c>
      <c r="AT145" s="209">
        <f>IF(AT$7="X",VLOOKUP(AT$10,'VK-Hooned-Soojus'!$C:$X,2+$C145,FALSE),0)+IF(AT$6="X",VLOOKUP(AT$10,'VK-Transport'!$C:$X,2+$B145,0))+IF(AT$8="X",VLOOKUP(AT$10,'VK-Elekter'!$C:$X,2+$D145,0))+IF(AT$9="X",VLOOKUP(AT$10,'VK-Biokütused'!$C:$U,2+$E145,0))+IF(AT$5="X",VLOOKUP(AT$10,'VK-Põlevkivi'!$C:$X,2+$G145,0))+IF(AT$4="X",VLOOKUP(AT$10,'VK-Võrgud'!$C:$X,2+$F145,0))</f>
        <v>5.7045296564339489</v>
      </c>
      <c r="AU145" s="235">
        <f>'VK-Põlevkivi'!$F$9-VLOOKUP("Kütuste tarbimine @ 2030 - PÕLEVKIVIÕLI",'VK-Hooned-Soojus'!$C:$X,2+$C145,FALSE)</f>
        <v>29.428043680118964</v>
      </c>
      <c r="AV145" s="209">
        <f>IF(AV$7="X",VLOOKUP(AV$10,'VK-Hooned-Soojus'!$C:$X,2+$C145,FALSE),0)+IF(AV$6="X",VLOOKUP(AV$10,'VK-Transport'!$C:$X,2+$B145,0))+IF(AV$8="X",VLOOKUP(AV$10,'VK-Elekter'!$C:$X,2+$D145,0))+IF(AV$9="X",VLOOKUP(AV$10,'VK-Biokütused'!$C:$U,2+$E145,0))+IF(AV$5="X",VLOOKUP(AV$10,'VK-Põlevkivi'!$C:$X,2+$G145,0))+IF(AV$4="X",VLOOKUP(AV$10,'VK-Võrgud'!$C:$X,2+$F145,0))</f>
        <v>2.1219844082566364</v>
      </c>
      <c r="AW145" s="209">
        <f>IF(AW$7="X",VLOOKUP(AW$10,'VK-Hooned-Soojus'!$C:$X,2+$C145,FALSE),0)+IF(AW$6="X",VLOOKUP(AW$10,'VK-Transport'!$C:$X,2+$B145,0))+IF(AW$8="X",VLOOKUP(AW$10,'VK-Elekter'!$C:$X,2+$D145,0))+IF(AW$9="X",VLOOKUP(AW$10,'VK-Biokütused'!$C:$U,2+$E145,0))+IF(AW$5="X",VLOOKUP(AW$10,'VK-Põlevkivi'!$C:$X,2+$G145,0))+IF(AW$4="X",VLOOKUP(AW$10,'VK-Võrgud'!$C:$X,2+$F145,0))</f>
        <v>4.2799999999999994</v>
      </c>
      <c r="AX145" s="229">
        <f t="shared" si="103"/>
        <v>2.158015591743363</v>
      </c>
      <c r="AY145" s="229">
        <f t="shared" si="104"/>
        <v>0</v>
      </c>
      <c r="AZ145" s="230">
        <f t="shared" si="105"/>
        <v>0.24932063212336694</v>
      </c>
      <c r="BA145" s="209">
        <f>IF(BA$7="X",VLOOKUP(BA$10,'VK-Hooned-Soojus'!$C:$X,2+$C145,FALSE),0)+IF(BA$6="X",VLOOKUP(BA$10,'VK-Transport'!$C:$X,2+$B145,0))+IF(BA$8="X",VLOOKUP(BA$10,'VK-Elekter'!$C:$X,2+$D145,0))+IF(BA$9="X",VLOOKUP(BA$10,'VK-Biokütused'!$C:$U,2+$E145,0))+IF(BA$5="X",VLOOKUP(BA$10,'VK-Põlevkivi'!$C:$X,2+$G145,0))+IF(BA$4="X",VLOOKUP(BA$10,'VK-Võrgud'!$C:$X,2+$F145,0))</f>
        <v>7.41</v>
      </c>
      <c r="BB145" s="209">
        <f>IF(BB$7="X",VLOOKUP(BB$10,'VK-Hooned-Soojus'!$C:$X,2+$C145,FALSE),0)+IF(BB$6="X",VLOOKUP(BB$10,'VK-Transport'!$C:$X,2+$B145,0))+IF(BB$8="X",VLOOKUP(BB$10,'VK-Elekter'!$C:$X,2+$D145,0))+IF(BB$9="X",VLOOKUP(BB$10,'VK-Biokütused'!$C:$U,2+$E145,0))+IF(BB$5="X",VLOOKUP(BB$10,'VK-Põlevkivi'!$C:$X,2+$G145,0))+IF(BB$4="X",VLOOKUP(BB$10,'VK-Võrgud'!$C:$X,2+$F145,0))</f>
        <v>2.96</v>
      </c>
      <c r="BC145" s="209">
        <f>IF(BC$7="X",VLOOKUP(BC$10,'VK-Hooned-Soojus'!$C:$X,2+$C145,FALSE),0)+IF(BC$6="X",VLOOKUP(BC$10,'VK-Transport'!$C:$X,2+$B145,0))+IF(BC$8="X",VLOOKUP(BC$10,'VK-Elekter'!$C:$X,2+$D145,0))+IF(BC$9="X",VLOOKUP(BC$10,'VK-Biokütused'!$C:$U,2+$E145,0))+IF(BC$5="X",VLOOKUP(BC$10,'VK-Põlevkivi'!$C:$X,2+$G145,0))+IF(BC$4="X",VLOOKUP(BC$10,'VK-Võrgud'!$C:$X,2+$F145,0))</f>
        <v>5.2376666666666667</v>
      </c>
      <c r="BD145" s="209">
        <f>IF(BD$7="X",VLOOKUP(BD$10,'VK-Hooned-Soojus'!$C:$X,2+$C145,FALSE),0)+IF(BD$6="X",VLOOKUP(BD$10,'VK-Transport'!$C:$X,2+$B145,0))+IF(BD$8="X",VLOOKUP(BD$10,'VK-Elekter'!$C:$X,2+$D145,0))+IF(BD$9="X",VLOOKUP(BD$10,'VK-Biokütused'!$C:$U,2+$E145,0))+IF(BD$5="X",VLOOKUP(BD$10,'VK-Põlevkivi'!$C:$X,2+$G145,0))+IF(BD$4="X",VLOOKUP(BD$10,'VK-Võrgud'!$C:$X,2+$F145,0))</f>
        <v>9.1105555555555569</v>
      </c>
      <c r="BE145" s="230"/>
      <c r="BF145" s="230">
        <f>SUM(AI145,AM145,AV145)/EI145</f>
        <v>0.27595013650694183</v>
      </c>
      <c r="BG145" s="209" t="e">
        <f>(IF(BG$7="X",VLOOKUP(BG$10,'VK-Hooned-Soojus'!$C:$X,2+$C145,FALSE),0)+IF(BG$6="X",VLOOKUP(BG$10,'VK-Transport'!$C:$X,2+$B145,0))+IF(BG$8="X",VLOOKUP(BG$10,'VK-Elekter'!$C:$X,2+$D145,0))+IF(BG$9="X",VLOOKUP(BG$10,'VK-Biokütused'!$C:$U,2+$E145,0))+IF(BG$5="X",VLOOKUP(BG$10,'VK-Põlevkivi'!$C:$X,2+$G145,0))+IF(BG$4="X",VLOOKUP(BG$10,'VK-Võrgud'!$C:$X,2+$F145,0)))/20</f>
        <v>#N/A</v>
      </c>
      <c r="BH145" s="209">
        <f>(IF(BH$7="X",VLOOKUP(BH$10,'VK-Hooned-Soojus'!$C:$X,2+$C145,FALSE),0)+IF(BH$6="X",VLOOKUP(BH$10,'VK-Transport'!$C:$X,2+$B145,0))+IF(BH$8="X",VLOOKUP(BH$10,'VK-Elekter'!$C:$X,2+$D145,0))+IF(BH$9="X",VLOOKUP(BH$10,'VK-Biokütused'!$C:$U,2+$E145,0))+IF(BH$5="X",VLOOKUP(BH$10,'VK-Põlevkivi'!$C:$X,2+$G145,0))+IF(BH$4="X",VLOOKUP(BH$10,'VK-Võrgud'!$C:$X,2+$F145,0)))/20</f>
        <v>84.204999999999998</v>
      </c>
      <c r="BI145" s="209">
        <f>(IF(BI$7="X",VLOOKUP(BI$10,'VK-Hooned-Soojus'!$C:$X,2+$C145,FALSE),0)+IF(BI$6="X",VLOOKUP(BI$10,'VK-Transport'!$C:$X,2+$B145,0))+IF(BI$8="X",VLOOKUP(BI$10,'VK-Elekter'!$C:$X,2+$D145,0))+IF(BI$9="X",VLOOKUP(BI$10,'VK-Biokütused'!$C:$U,2+$E145,0))+IF(BI$5="X",VLOOKUP(BI$10,'VK-Põlevkivi'!$C:$X,2+$G145,0))+IF(BI$4="X",VLOOKUP(BI$10,'VK-Võrgud'!$C:$X,2+$F145,0)))/16</f>
        <v>8.9375</v>
      </c>
      <c r="BJ145" s="209">
        <f>(IF(BJ$7="X",VLOOKUP(BJ$10,'VK-Hooned-Soojus'!$C:$X,2+$C145,FALSE),0)+IF(BJ$6="X",VLOOKUP(BJ$10,'VK-Transport'!$C:$X,2+$B145,0))+IF(BJ$8="X",VLOOKUP(BJ$10,'VK-Elekter'!$C:$X,2+$D145,0))+IF(BJ$9="X",VLOOKUP(BJ$10,'VK-Biokütused'!$C:$U,2+$E145,0))+IF(BJ$5="X",VLOOKUP(BJ$10,'VK-Põlevkivi'!$C:$X,2+$G145,0))+IF(BJ$4="X",VLOOKUP(BJ$10,'VK-Võrgud'!$C:$X,2+$F145,0)))/20</f>
        <v>5.33</v>
      </c>
      <c r="BK145" s="209"/>
      <c r="BL145" s="209"/>
      <c r="BM145" s="209"/>
      <c r="BN145" s="209" t="e">
        <f>(IF(BN$7="X",VLOOKUP(BN$10,'VK-Hooned-Soojus'!$C:$X,2+$C145,FALSE),0)+IF(BN$6="X",VLOOKUP(BN$10,'VK-Transport'!$C:$X,2+$B145,0))+IF(BN$8="X",VLOOKUP(BN$10,'VK-Elekter'!$C:$X,2+$D145,0))+IF(BN$9="X",VLOOKUP(BN$10,'VK-Biokütused'!$C:$U,2+$E145,0))+IF(BN$5="X",VLOOKUP(BN$10,'VK-Põlevkivi'!$C:$X,2+$G145,0))+IF(BN$4="X",VLOOKUP(BN$10,'VK-Võrgud'!$C:$X,2+$F145,0)))/16</f>
        <v>#N/A</v>
      </c>
      <c r="BO145" s="209">
        <f>(IF(BO$7="X",VLOOKUP(BO$10,'VK-Hooned-Soojus'!$C:$X,2+$C145,FALSE),0)+IF(BO$6="X",VLOOKUP(BO$10,'VK-Transport'!$C:$X,2+$B145,0))+IF(BO$8="X",VLOOKUP(BO$10,'VK-Elekter'!$C:$X,2+$D145,0))+IF(BO$9="X",VLOOKUP(BO$10,'VK-Biokütused'!$C:$U,2+$E145,0))+IF(BO$5="X",VLOOKUP(BO$10,'VK-Põlevkivi'!$C:$X,2+$G145,0))+IF(BO$4="X",VLOOKUP(BO$10,'VK-Võrgud'!$C:$X,2+$F145,0)))/16</f>
        <v>322.79374999999999</v>
      </c>
      <c r="BP145" s="209"/>
      <c r="BQ145" s="209">
        <f>(IF(BQ$7="X",VLOOKUP(BQ$10,'VK-Hooned-Soojus'!$C:$X,2+$C145,FALSE),0)+IF(BQ$6="X",VLOOKUP(BQ$10,'VK-Transport'!$C:$X,2+$B145,0))+IF(BQ$8="X",VLOOKUP(BQ$10,'VK-Elekter'!$C:$X,2+$D145,0))+IF(BQ$9="X",VLOOKUP(BQ$10,'VK-Biokütused'!$C:$U,2+$E145,0))+IF(BQ$5="X",VLOOKUP(BQ$10,'VK-Põlevkivi'!$C:$X,2+$G145,0))+IF(BQ$4="X",VLOOKUP(BQ$10,'VK-Võrgud'!$C:$X,2+$F145,0)))/16</f>
        <v>233.20625000000001</v>
      </c>
      <c r="BR145" s="209">
        <f>(IF(BR$7="X",VLOOKUP(BR$10,'VK-Hooned-Soojus'!$C:$X,2+$C145,FALSE),0)+IF(BR$6="X",VLOOKUP(BR$10,'VK-Transport'!$C:$X,2+$B145,0))+IF(BR$8="X",VLOOKUP(BR$10,'VK-Elekter'!$C:$X,2+$D145,0))+IF(BR$9="X",VLOOKUP(BR$10,'VK-Biokütused'!$C:$U,2+$E145,0))+IF(BR$5="X",VLOOKUP(BR$10,'VK-Põlevkivi'!$C:$X,2+$G145,0))+IF(BR$4="X",VLOOKUP(BR$10,'VK-Võrgud'!$C:$X,2+$F145,0)))/16</f>
        <v>74.512500000000003</v>
      </c>
      <c r="BS145" s="209">
        <f>(IF(BS$7="X",VLOOKUP(BS$10,'VK-Hooned-Soojus'!$C:$X,2+$C145,FALSE),0)+IF(BS$6="X",VLOOKUP(BS$10,'VK-Transport'!$C:$X,2+$B145,0))+IF(BS$8="X",VLOOKUP(BS$10,'VK-Elekter'!$C:$X,2+$D145,0))+IF(BS$9="X",VLOOKUP(BS$10,'VK-Biokütused'!$C:$U,2+$E145,0))+IF(BS$5="X",VLOOKUP(BS$10,'VK-Põlevkivi'!$C:$X,2+$G145,0))+IF(BS$4="X",VLOOKUP(BS$10,'VK-Võrgud'!$C:$X,2+$F145,0)))/16</f>
        <v>-21.475000000000001</v>
      </c>
      <c r="BT145" s="209"/>
      <c r="BU145" s="209"/>
      <c r="BV145" s="209">
        <f>(IF(BV$7="X",VLOOKUP(BV$10,'VK-Hooned-Soojus'!$C:$X,2+$C145,FALSE),0)+IF(BV$6="X",VLOOKUP(BV$10,'VK-Transport'!$C:$X,2+$B145,0))+IF(BV$8="X",VLOOKUP(BV$10,'VK-Elekter'!$C:$X,2+$D145,0))+IF(BV$9="X",VLOOKUP(BV$10,'VK-Biokütused'!$C:$U,2+$E145,0))+IF(BV$5="X",VLOOKUP(BV$10,'VK-Põlevkivi'!$C:$X,2+$G145,0))+IF(BV$4="X",VLOOKUP(BV$10,'VK-Võrgud'!$C:$X,2+$F145,0)))/16</f>
        <v>0</v>
      </c>
      <c r="BW145" s="209"/>
      <c r="BX145" s="209">
        <f>(IF(BX$7="X",VLOOKUP(BX$10,'VK-Hooned-Soojus'!$C:$X,2+$C145,FALSE),0)+IF(BX$6="X",VLOOKUP(BX$10,'VK-Transport'!$C:$X,2+$B145,0))+IF(BX$8="X",VLOOKUP(BX$10,'VK-Elekter'!$C:$X,2+$D145,0))+IF(BX$9="X",VLOOKUP(BX$10,'VK-Biokütused'!$C:$U,2+$E145,0))+IF(BX$5="X",VLOOKUP(BX$10,'VK-Põlevkivi'!$C:$X,2+$G145,0))+IF(BX$4="X",VLOOKUP(BX$10,'VK-Võrgud'!$C:$X,2+$F145,0)))/16</f>
        <v>-145.125</v>
      </c>
      <c r="BY145" s="209"/>
      <c r="BZ145" s="209"/>
      <c r="CA145" s="209" t="e">
        <f>(IF(CA$7="X",VLOOKUP(CA$10,'VK-Hooned-Soojus'!$C:$X,2+$C145,FALSE),0)+IF(CA$6="X",VLOOKUP(CA$10,'VK-Transport'!$C:$X,2+$B145,0))+IF(CA$8="X",VLOOKUP(CA$10,'VK-Elekter'!$C:$X,2+$D145,0))+IF(CA$9="X",VLOOKUP(CA$10,'VK-Biokütused'!$C:$U,2+$E145,0))+IF(CA$5="X",VLOOKUP(CA$10,'VK-Põlevkivi'!$C:$X,2+$G145,0))+IF(CA$4="X",VLOOKUP(CA$10,'VK-Võrgud'!$C:$X,2+$F145,0)))/16</f>
        <v>#N/A</v>
      </c>
      <c r="CB145" s="209">
        <f>(IF(CB$7="X",VLOOKUP(CB$10,'VK-Hooned-Soojus'!$C:$X,2+$C145,FALSE),0)+IF(CB$6="X",VLOOKUP(CB$10,'VK-Transport'!$C:$X,2+$B145,0))+IF(CB$8="X",VLOOKUP(CB$10,'VK-Elekter'!$C:$X,2+$D145,0))+IF(CB$9="X",VLOOKUP(CB$10,'VK-Biokütused'!$C:$U,2+$E145,0))+IF(CB$5="X",VLOOKUP(CB$10,'VK-Põlevkivi'!$C:$X,2+$G145,0))+IF(CB$4="X",VLOOKUP(CB$10,'VK-Võrgud'!$C:$X,2+$F145,0)))/16</f>
        <v>0</v>
      </c>
      <c r="CC145" s="209">
        <f>(IF(CC$7="X",VLOOKUP(CC$10,'VK-Hooned-Soojus'!$C:$X,2+$C145,FALSE),0)+IF(CC$6="X",VLOOKUP(CC$10,'VK-Transport'!$C:$X,2+$B145,0))+IF(CC$8="X",VLOOKUP(CC$10,'VK-Elekter'!$C:$X,2+$D145,0))+IF(CC$9="X",VLOOKUP(CC$10,'VK-Biokütused'!$C:$U,2+$E145,0))+IF(CC$5="X",VLOOKUP(CC$10,'VK-Põlevkivi'!$C:$X,2+$G145,0))+IF(CC$4="X",VLOOKUP(CC$10,'VK-Võrgud'!$C:$X,2+$F145,0)))/16</f>
        <v>0</v>
      </c>
      <c r="CD145" s="209"/>
      <c r="CE145" s="209">
        <f>(IF(CE$7="X",VLOOKUP(CE$10,'VK-Hooned-Soojus'!$C:$X,2+$C145,FALSE),0)+IF(CE$6="X",VLOOKUP(CE$10,'VK-Transport'!$C:$X,2+$B145,0))+IF(CE$8="X",VLOOKUP(CE$10,'VK-Elekter'!$C:$X,2+$D145,0))+IF(CE$9="X",VLOOKUP(CE$10,'VK-Biokütused'!$C:$U,2+$E145,0))+IF(CE$5="X",VLOOKUP(CE$10,'VK-Põlevkivi'!$C:$X,2+$G145,0))+IF(CE$4="X",VLOOKUP(CE$10,'VK-Võrgud'!$C:$X,2+$F145,0)))/16</f>
        <v>24.15625</v>
      </c>
      <c r="CF145" s="209"/>
      <c r="CG145" s="209">
        <f>(IF(CG$7="X",VLOOKUP(CG$10,'VK-Hooned-Soojus'!$C:$X,2+$C145,FALSE),0)+IF(CG$6="X",VLOOKUP(CG$10,'VK-Transport'!$C:$X,2+$B145,0))+IF(CG$8="X",VLOOKUP(CG$10,'VK-Elekter'!$C:$X,2+$D145,0))+IF(CG$9="X",VLOOKUP(CG$10,'VK-Biokütused'!$C:$U,2+$E145,0))+IF(CG$5="X",VLOOKUP(CG$10,'VK-Põlevkivi'!$C:$X,2+$G145,0))+IF(CG$4="X",VLOOKUP(CG$10,'VK-Võrgud'!$C:$X,2+$F145,0)))/16</f>
        <v>0</v>
      </c>
      <c r="CH145" s="209">
        <f>(IF(CH$7="X",VLOOKUP(CH$10,'VK-Hooned-Soojus'!$C:$X,2+$C145,FALSE),0)+IF(CH$6="X",VLOOKUP(CH$10,'VK-Transport'!$C:$X,2+$B145,0))+IF(CH$8="X",VLOOKUP(CH$10,'VK-Elekter'!$C:$X,2+$D145,0))+IF(CH$9="X",VLOOKUP(CH$10,'VK-Biokütused'!$C:$U,2+$E145,0))+IF(CH$5="X",VLOOKUP(CH$10,'VK-Põlevkivi'!$C:$X,2+$G145,0))+IF(CH$4="X",VLOOKUP(CH$10,'VK-Võrgud'!$C:$X,2+$F145,0)))/20*0.21</f>
        <v>26.9178</v>
      </c>
      <c r="CI145" s="209"/>
      <c r="CJ145" s="209">
        <f>(IF(CJ$7="X",VLOOKUP(CJ$10,'VK-Hooned-Soojus'!$C:$X,2+$C145,FALSE),0)+IF(CJ$6="X",VLOOKUP(CJ$10,'VK-Transport'!$C:$X,2+$B145,0))+IF(CJ$8="X",VLOOKUP(CJ$10,'VK-Elekter'!$C:$X,2+$D145,0))+IF(CJ$9="X",VLOOKUP(CJ$10,'VK-Biokütused'!$C:$U,2+$E145,0))+IF(CJ$5="X",VLOOKUP(CJ$10,'VK-Põlevkivi'!$C:$X,2+$G145,0))+IF(CJ$4="X",VLOOKUP(CJ$10,'VK-Võrgud'!$C:$X,2+$F145,0)))/1000</f>
        <v>20.928000000000001</v>
      </c>
      <c r="CK145" s="209">
        <f>(IF(CK$7="X",VLOOKUP(CK$10,'VK-Hooned-Soojus'!$C:$X,2+$C145,FALSE),0)+IF(CK$6="X",VLOOKUP(CK$10,'VK-Transport'!$C:$X,2+$B145,0))+IF(CK$8="X",VLOOKUP(CK$10,'VK-Elekter'!$C:$X,2+$D145,0))+IF(CK$9="X",VLOOKUP(CK$10,'VK-Biokütused'!$C:$U,2+$E145,0))+IF(CK$5="X",VLOOKUP(CK$10,'VK-Põlevkivi'!$C:$X,2+$G145,0))+IF(CK$4="X",VLOOKUP(CK$10,'VK-Võrgud'!$C:$X,2+$F145,0)))/1000</f>
        <v>37.837669554234019</v>
      </c>
      <c r="CL145" s="209">
        <f>(IF(CL$7="X",VLOOKUP(CL$10,'VK-Hooned-Soojus'!$C:$X,2+$C145,FALSE),0)+IF(CL$6="X",VLOOKUP(CL$10,'VK-Transport'!$C:$X,2+$B145,0))+IF(CL$8="X",VLOOKUP(CL$10,'VK-Elekter'!$C:$X,2+$D145,0))+IF(CL$9="X",VLOOKUP(CL$10,'VK-Biokütused'!$C:$U,2+$E145,0))+IF(CL$5="X",VLOOKUP(CL$10,'VK-Põlevkivi'!$C:$X,2+$G145,0))+IF(CL$4="X",VLOOKUP(CL$10,'VK-Võrgud'!$C:$X,2+$F145,0)))/1000</f>
        <v>10.488630311598682</v>
      </c>
      <c r="CM145" s="209">
        <f>(IF(CM$7="X",VLOOKUP(CM$10,'VK-Hooned-Soojus'!$C:$X,2+$C145,FALSE),0)+IF(CM$6="X",VLOOKUP(CM$10,'VK-Transport'!$C:$X,2+$B145,0))+IF(CM$8="X",VLOOKUP(CM$10,'VK-Elekter'!$C:$X,2+$D145,0))+IF(CM$9="X",VLOOKUP(CM$10,'VK-Biokütused'!$C:$U,2+$E145,0))+IF(CM$5="X",VLOOKUP(CM$10,'VK-Põlevkivi'!$C:$X,2+$G145,0))+IF(CM$4="X",VLOOKUP(CM$10,'VK-Võrgud'!$C:$X,2+$F145,0)))/1000</f>
        <v>7.5199896156049162</v>
      </c>
      <c r="CN145" s="209">
        <f>(IF(CN$7="X",VLOOKUP(CN$10,'VK-Hooned-Soojus'!$C:$X,2+$C145,FALSE),0)+IF(CN$6="X",VLOOKUP(CN$10,'VK-Transport'!$C:$X,2+$B145,0))+IF(CN$8="X",VLOOKUP(CN$10,'VK-Elekter'!$C:$X,2+$D145,0))+IF(CN$9="X",VLOOKUP(CN$10,'VK-Biokütused'!$C:$U,2+$E145,0))+IF(CN$5="X",VLOOKUP(CN$10,'VK-Põlevkivi'!$C:$X,2+$G145,0))+IF(CN$4="X",VLOOKUP(CN$10,'VK-Võrgud'!$C:$X,2+$F145,0)))/1000</f>
        <v>2.7810000000000001</v>
      </c>
      <c r="CO145" s="209">
        <f>(IF(CO$7="X",VLOOKUP(CO$10,'VK-Hooned-Soojus'!$C:$X,2+$C145,FALSE),0)+IF(CO$6="X",VLOOKUP(CO$10,'VK-Transport'!$C:$X,2+$B145,0))+IF(CO$8="X",VLOOKUP(CO$10,'VK-Elekter'!$C:$X,2+$D145,0))+IF(CO$9="X",VLOOKUP(CO$10,'VK-Biokütused'!$C:$U,2+$E145,0))+IF(CO$5="X",VLOOKUP(CO$10,'VK-Põlevkivi'!$C:$X,2+$G145,0))+IF(CO$4="X",VLOOKUP(CO$10,'VK-Võrgud'!$C:$X,2+$F145,0)))/1000</f>
        <v>28.915362337356992</v>
      </c>
      <c r="CP145" s="209">
        <f>(IF(CP$7="X",VLOOKUP(CP$10,'VK-Hooned-Soojus'!$C:$X,2+$C145,FALSE),0)+IF(CP$6="X",VLOOKUP(CP$10,'VK-Transport'!$C:$X,2+$B145,0))+IF(CP$8="X",VLOOKUP(CP$10,'VK-Elekter'!$C:$X,2+$D145,0))+IF(CP$9="X",VLOOKUP(CP$10,'VK-Biokütused'!$C:$U,2+$E145,0))+IF(CP$5="X",VLOOKUP(CP$10,'VK-Põlevkivi'!$C:$X,2+$G145,0))+IF(CP$4="X",VLOOKUP(CP$10,'VK-Võrgud'!$C:$X,2+$F145,0)))/1000</f>
        <v>32.301874014997935</v>
      </c>
      <c r="CQ145" s="209">
        <f>(IF(CQ$7="X",VLOOKUP(CQ$10,'VK-Hooned-Soojus'!$C:$X,2+$C145,FALSE),0)+IF(CQ$6="X",VLOOKUP(CQ$10,'VK-Transport'!$C:$X,2+$B145,0))+IF(CQ$8="X",VLOOKUP(CQ$10,'VK-Elekter'!$C:$X,2+$D145,0))+IF(CQ$9="X",VLOOKUP(CQ$10,'VK-Biokütused'!$C:$U,2+$E145,0))+IF(CQ$5="X",VLOOKUP(CQ$10,'VK-Põlevkivi'!$C:$X,2+$G145,0))+IF(CQ$4="X",VLOOKUP(CQ$10,'VK-Võrgud'!$C:$X,2+$F145,0)))/1000</f>
        <v>16.620919000000001</v>
      </c>
      <c r="CR145" s="209">
        <f>(IF(CR$7="X",VLOOKUP(CR$10,'VK-Hooned-Soojus'!$C:$X,2+$C145,FALSE),0)+IF(CR$6="X",VLOOKUP(CR$10,'VK-Transport'!$C:$X,2+$B145,0))+IF(CR$8="X",VLOOKUP(CR$10,'VK-Elekter'!$C:$X,2+$D145,0))+IF(CR$9="X",VLOOKUP(CR$10,'VK-Biokütused'!$C:$U,2+$E145,0))+IF(CR$5="X",VLOOKUP(CR$10,'VK-Põlevkivi'!$C:$X,2+$G145,0))+IF(CR$4="X",VLOOKUP(CR$10,'VK-Võrgud'!$C:$X,2+$F145,0)))/1000</f>
        <v>8.0077518373996899</v>
      </c>
      <c r="CS145" s="209">
        <f>(IF(CS$7="X",VLOOKUP(CS$10,'VK-Hooned-Soojus'!$C:$X,2+$C145,FALSE),0)+IF(CS$6="X",VLOOKUP(CS$10,'VK-Transport'!$C:$X,2+$B145,0))+IF(CS$8="X",VLOOKUP(CS$10,'VK-Elekter'!$C:$X,2+$D145,0))+IF(CS$9="X",VLOOKUP(CS$10,'VK-Biokütused'!$C:$U,2+$E145,0))+IF(CS$5="X",VLOOKUP(CS$10,'VK-Põlevkivi'!$C:$X,2+$G145,0))+IF(CS$4="X",VLOOKUP(CS$10,'VK-Võrgud'!$C:$X,2+$F145,0)))/1000</f>
        <v>3.7686495098622381</v>
      </c>
      <c r="CT145" s="209">
        <f>IF(CT$7="X",VLOOKUP(CT$10,'VK-Hooned-Soojus'!$C:$X,2+$C145,FALSE),0)+IF(CT$6="X",VLOOKUP(CT$10,'VK-Transport'!$C:$X,2+$B145,0))+IF(CT$8="X",VLOOKUP(CT$10,'VK-Elekter'!$C:$X,2+$D145,0))+IF(CT$9="X",VLOOKUP(CT$10,'VK-Biokütused'!$C:$U,2+$E145,0))+IF(CT$5="X",VLOOKUP(CT$10,'VK-Põlevkivi'!$C:$X,2+$G145,0))+IF(CT$4="X",VLOOKUP(CT$10,'VK-Võrgud'!$C:$X,2+$F145,0))</f>
        <v>90</v>
      </c>
      <c r="CU145" s="209">
        <f>IF(CU$7="X",VLOOKUP(CU$10,'VK-Hooned-Soojus'!$C:$X,2+$C145,FALSE),0)+IF(CU$6="X",VLOOKUP(CU$10,'VK-Transport'!$C:$X,2+$B145,0))+IF(CU$8="X",VLOOKUP(CU$10,'VK-Elekter'!$C:$X,2+$D145,0))+IF(CU$9="X",VLOOKUP(CU$10,'VK-Biokütused'!$C:$U,2+$E145,0))+IF(CU$5="X",VLOOKUP(CU$10,'VK-Põlevkivi'!$C:$X,2+$G145,0))+IF(CU$4="X",VLOOKUP(CU$10,'VK-Võrgud'!$C:$X,2+$F145,0))</f>
        <v>1</v>
      </c>
      <c r="CV145" s="209">
        <f>(AY145+AT145)/(AT145+AY145+AW145-AX145)</f>
        <v>0.72887234460741646</v>
      </c>
      <c r="CW145" s="209">
        <f>(IF(CW$7="X",VLOOKUP(CW$10,'VK-Hooned-Soojus'!$C:$X,2+$C145,FALSE),0)+IF(CW$6="X",VLOOKUP(CW$10,'VK-Transport'!$C:$X,2+$B145,0))+IF(CW$8="X",VLOOKUP(CW$10,'VK-Elekter'!$C:$X,2+$D145,0))+IF(CW$9="X",VLOOKUP(CW$10,'VK-Biokütused'!$C:$U,2+$E145,0))+IF(CW$5="X",VLOOKUP(CW$10,'VK-Põlevkivi'!$C:$X,2+$G145,0))+IF(CW$4="X",VLOOKUP(CW$10,'VK-Võrgud'!$C:$X,2+$F145,0)))/16</f>
        <v>126.01875</v>
      </c>
      <c r="CY145" s="209">
        <f>(IF(CY$7="X",VLOOKUP(CY$10,'VK-Hooned-Soojus'!$C:$X,2+$C145,FALSE),0)+IF(CY$6="X",VLOOKUP(CY$10,'VK-Transport'!$C:$X,2+$B145,0))+IF(CY$8="X",VLOOKUP(CY$10,'VK-Elekter'!$C:$X,2+$D145,0))+IF(CY$9="X",VLOOKUP(CY$10,'VK-Biokütused'!$C:$U,2+$E145,0))+IF(CY$5="X",VLOOKUP(CY$10,'VK-Põlevkivi'!$C:$X,2+$G145,0))+IF(CY$4="X",VLOOKUP(CY$10,'VK-Võrgud'!$C:$X,2+$F145,0)))/1000</f>
        <v>11.03</v>
      </c>
      <c r="CZ145" s="209">
        <f>(IF(CZ$7="X",VLOOKUP(CZ$10,'VK-Hooned-Soojus'!$C:$X,2+$C145,FALSE),0)+IF(CZ$6="X",VLOOKUP(CZ$10,'VK-Transport'!$C:$X,2+$B145,0))+IF(CZ$8="X",VLOOKUP(CZ$10,'VK-Elekter'!$C:$X,2+$D145,0))+IF(CZ$9="X",VLOOKUP(CZ$10,'VK-Biokütused'!$C:$U,2+$E145,0))+IF(CZ$5="X",VLOOKUP(CZ$10,'VK-Põlevkivi'!$C:$X,2+$G145,0))+IF(CZ$4="X",VLOOKUP(CZ$10,'VK-Võrgud'!$C:$X,2+$F145,0)))</f>
        <v>93</v>
      </c>
      <c r="DA145" s="209">
        <f>(IF(DA$7="X",VLOOKUP(DA$10,'VK-Hooned-Soojus'!$C:$X,2+$C145,FALSE),0)+IF(DA$6="X",VLOOKUP(DA$10,'VK-Transport'!$C:$X,2+$B145,0))+IF(DA$8="X",VLOOKUP(DA$10,'VK-Elekter'!$C:$X,2+$D145,0))+IF(DA$9="X",VLOOKUP(DA$10,'VK-Biokütused'!$C:$U,2+$E145,0))+IF(DA$5="X",VLOOKUP(DA$10,'VK-Põlevkivi'!$C:$X,2+$G145,0))+IF(DA$4="X",VLOOKUP(DA$10,'VK-Võrgud'!$C:$X,2+$F145,0)))/1000</f>
        <v>15.532</v>
      </c>
      <c r="DB145" s="209">
        <f>(IF(DB$7="X",VLOOKUP(DB$10,'VK-Hooned-Soojus'!$C:$X,2+$C145,FALSE),0)+IF(DB$6="X",VLOOKUP(DB$10,'VK-Transport'!$C:$X,2+$B145,0))+IF(DB$8="X",VLOOKUP(DB$10,'VK-Elekter'!$C:$X,2+$D145,0))+IF(DB$9="X",VLOOKUP(DB$10,'VK-Biokütused'!$C:$U,2+$E145,0))+IF(DB$5="X",VLOOKUP(DB$10,'VK-Põlevkivi'!$C:$X,2+$G145,0))+IF(DB$4="X",VLOOKUP(DB$10,'VK-Võrgud'!$C:$X,2+$F145,0)))/1000/3.6</f>
        <v>131.98194444444445</v>
      </c>
      <c r="DC145" s="209">
        <f>(IF(DC$7="X",VLOOKUP(DC$10,'VK-Hooned-Soojus'!$C:$X,2+$C145,FALSE),0)+IF(DC$6="X",VLOOKUP(DC$10,'VK-Transport'!$C:$X,2+$B145,0))+IF(DC$8="X",VLOOKUP(DC$10,'VK-Elekter'!$C:$X,2+$D145,0))+IF(DC$9="X",VLOOKUP(DC$10,'VK-Biokütused'!$C:$U,2+$E145,0))+IF(DC$5="X",VLOOKUP(DC$10,'VK-Põlevkivi'!$C:$X,2+$G145,0))+IF(DC$4="X",VLOOKUP(DC$10,'VK-Võrgud'!$C:$X,2+$F145,0)))/1000000</f>
        <v>7.083075</v>
      </c>
      <c r="DD145" s="209"/>
      <c r="DE145" s="88">
        <f>VLOOKUP(Tulemused!$BN$12,data!M$7:N$12,2,FALSE)-SUM(L145,M145)</f>
        <v>0.39749062697563176</v>
      </c>
      <c r="DF145" s="209" t="str">
        <f>IF(AZ145&lt;=VLOOKUP(Tulemused!$BN$15,data!$E$36:$F$39,2,FALSE),"JAH","EI")</f>
        <v>JAH</v>
      </c>
      <c r="DG145" s="209"/>
      <c r="DH145" s="209">
        <f t="shared" si="108"/>
        <v>6.08</v>
      </c>
      <c r="DI145" s="231" t="str">
        <f t="shared" si="109"/>
        <v>JAH</v>
      </c>
      <c r="DK145" s="232">
        <f t="shared" si="96"/>
        <v>9.0457615702475991</v>
      </c>
      <c r="DM145" s="233">
        <f t="shared" si="97"/>
        <v>-1000</v>
      </c>
      <c r="DN145" s="87">
        <f t="array" ref="DN145">INDEX($A$11:$A$145, SMALL(IF(DM145=$DK$11:$DK$145, MATCH(ROW($DK$11:$DK$145), ROW($DK$11:$DK$145))), SUM(--(DM145=$DM$11:DM145))))</f>
        <v>1</v>
      </c>
      <c r="DP145" s="87" t="e">
        <f t="shared" ca="1" si="110"/>
        <v>#N/A</v>
      </c>
      <c r="DQ145" s="87" t="e">
        <f t="shared" ca="1" si="111"/>
        <v>#N/A</v>
      </c>
      <c r="DR145" s="87">
        <f t="shared" ca="1" si="112"/>
        <v>0</v>
      </c>
      <c r="DS145" s="87" t="e">
        <f t="shared" ca="1" si="113"/>
        <v>#N/A</v>
      </c>
      <c r="DT145" s="87">
        <f t="shared" ca="1" si="114"/>
        <v>0</v>
      </c>
      <c r="DU145" s="87" t="e">
        <f t="shared" ca="1" si="115"/>
        <v>#N/A</v>
      </c>
      <c r="DV145" s="87" t="e">
        <f t="shared" ca="1" si="116"/>
        <v>#N/A</v>
      </c>
      <c r="DW145" s="87">
        <f t="shared" ca="1" si="117"/>
        <v>0</v>
      </c>
      <c r="DX145" s="87">
        <f t="shared" ca="1" si="118"/>
        <v>0</v>
      </c>
      <c r="DZ145" s="87">
        <f t="shared" ca="1" si="82"/>
        <v>0</v>
      </c>
      <c r="EB145" s="87">
        <f t="shared" ca="1" si="119"/>
        <v>0</v>
      </c>
      <c r="EC145" s="87" t="e">
        <f t="shared" ca="1" si="120"/>
        <v>#N/A</v>
      </c>
      <c r="EE145" s="228">
        <f>(IF(EE$7="X",VLOOKUP(EE$10,'VK-Hooned-Soojus'!$C:$X,2+$C145,FALSE),0)+IF(EE$6="X",VLOOKUP(EE$10,'VK-Transport'!$C:$X,2+$B145,0))+IF(EE$8="X",VLOOKUP(EE$10,'VK-Elekter'!$C:$X,2+$D145,0))+IF(EE$9="X",VLOOKUP(EE$10,'VK-Biokütused'!$C:$U,2+$E145,0))+IF(EE$5="X",VLOOKUP(EE$10,'VK-Põlevkivi'!$C:$X,2+$G145,0))+IF(EE$4="X",VLOOKUP(EE$10,'VK-Võrgud'!$C:$X,2+$F145,0)))</f>
        <v>15906.599486697454</v>
      </c>
      <c r="EF145" s="209">
        <f>(IF(EF$7="X",VLOOKUP(EF$10,'VK-Hooned-Soojus'!$C:$X,2+$C145,FALSE),0)+IF(EF$6="X",VLOOKUP(EF$10,'VK-Transport'!$C:$X,2+$B145,0))+IF(EF$8="X",VLOOKUP(EF$10,'VK-Elekter'!$C:$X,2+$D145,0))+IF(EF$9="X",VLOOKUP(EF$10,'VK-Biokütused'!$C:$U,2+$E145,0))+IF(EF$5="X",VLOOKUP(EF$10,'VK-Põlevkivi'!$C:$X,2+$G145,0))+IF(EF$4="X",VLOOKUP(EF$10,'VK-Võrgud'!$C:$X,2+$F145,0)))/1000</f>
        <v>7.2238849906373197</v>
      </c>
      <c r="EG145" s="209">
        <f>(IF(EG$7="X",VLOOKUP(EG$10,'VK-Hooned-Soojus'!$C:$X,2+$C145,FALSE),0)+IF(EG$6="X",VLOOKUP(EG$10,'VK-Transport'!$C:$X,2+$B145,0))+IF(EG$8="X",VLOOKUP(EG$10,'VK-Elekter'!$C:$X,2+$D145,0))+IF(EG$9="X",VLOOKUP(EG$10,'VK-Biokütused'!$C:$U,2+$E145,0))+IF(EG$5="X",VLOOKUP(EG$10,'VK-Põlevkivi'!$C:$X,2+$G145,0))+IF(EG$4="X",VLOOKUP(EG$10,'VK-Võrgud'!$C:$X,2+$F145,0)))</f>
        <v>0.81</v>
      </c>
      <c r="EH145" s="209">
        <f>(IF(EH$7="X",VLOOKUP(EH$10,'VK-Hooned-Soojus'!$C:$X,2+$C145,FALSE),0)+IF(EH$6="X",VLOOKUP(EH$10,'VK-Transport'!$C:$X,2+$B145,0))+IF(EH$8="X",VLOOKUP(EH$10,'VK-Elekter'!$C:$X,2+$D145,0))+IF(EH$9="X",VLOOKUP(EH$10,'VK-Biokütused'!$C:$U,2+$E145,0)))+AR145+AS145+AU145+AX145</f>
        <v>89.321071147298923</v>
      </c>
      <c r="EI145" s="320">
        <f t="shared" si="121"/>
        <v>57.735011875436598</v>
      </c>
      <c r="EJ145" s="322">
        <f t="shared" si="122"/>
        <v>2.5620074329845279E-2</v>
      </c>
      <c r="EK145" s="323">
        <f>SUM(BB145,BD145,AV145)/O145</f>
        <v>0.44890608494094819</v>
      </c>
      <c r="EM145" s="209"/>
      <c r="EN145" s="209">
        <f t="shared" ca="1" si="124"/>
        <v>0</v>
      </c>
      <c r="EO145" s="209"/>
      <c r="EP145" s="234"/>
      <c r="EQ145" s="209">
        <f>(IF(EQ$7="X",VLOOKUP(EQ$10,'VK-Hooned-Soojus'!$C:$X,2+$C145,FALSE),0)+IF(EQ$6="X",VLOOKUP(EQ$10,'VK-Transport'!$C:$X,2+$B145,0))+IF(EQ$8="X",VLOOKUP(EQ$10,'VK-Elekter'!$C:$X,2+$D145,0))+IF(EQ$9="X",VLOOKUP(EQ$10,'VK-Biokütused'!$C:$U,2+$E145,0))+IF(EQ$5="X",VLOOKUP(EQ$10,'VK-Põlevkivi'!$C:$X,2+$G145,0))+IF(EQ$4="X",VLOOKUP(EQ$10,'VK-Võrgud'!$C:$X,2+$F145,0)))/1000</f>
        <v>0.19900000000000001</v>
      </c>
      <c r="ER145" s="372">
        <f>(IF(ER$7="X",VLOOKUP(ER$10,'VK-Hooned-Soojus'!$C:$X,2+$C145,FALSE),0)+IF(ER$6="X",VLOOKUP(ER$10,'VK-Transport'!$C:$X,2+$B145,0))+IF(ER$8="X",VLOOKUP(ER$10,'VK-Elekter'!$C:$X,2+$D145,0))+IF(ER$9="X",VLOOKUP(ER$10,'VK-Biokütused'!$C:$U,2+$E145,0))+IF(ER$5="X",VLOOKUP(ER$10,'VK-Põlevkivi'!$C:$X,2+$G145,0))+IF(ER$4="X",VLOOKUP(ER$10,'VK-Võrgud'!$C:$X,2+$F145,0)))</f>
        <v>0.72299999999999998</v>
      </c>
      <c r="ES145" s="209">
        <f>(IF(ES$7="X",VLOOKUP(ES$10,'VK-Hooned-Soojus'!$C:$X,2+$C145,FALSE),0)+IF(ES$6="X",VLOOKUP(ES$10,'VK-Transport'!$C:$X,2+$B145,0))+IF(ES$8="X",VLOOKUP(ES$10,'VK-Elekter'!$C:$X,2+$D145,0))+IF(ES$9="X",VLOOKUP(ES$10,'VK-Biokütused'!$C:$U,2+$E145,0))+IF(ES$5="X",VLOOKUP(ES$10,'VK-Põlevkivi'!$C:$X,2+$G145,0))+IF(ES$4="X",VLOOKUP(ES$10,'VK-Võrgud'!$C:$X,2+$F145,0)))</f>
        <v>6.08</v>
      </c>
      <c r="ET145" s="209"/>
      <c r="EU145" s="209"/>
      <c r="EV145" s="87">
        <f>'KSH järjestus'!AS138</f>
        <v>1020</v>
      </c>
      <c r="EZ145" s="237">
        <f t="shared" si="125"/>
        <v>0</v>
      </c>
      <c r="FA145" s="209">
        <f>IF(FA$7="X",VLOOKUP(FA$10,'VK-Hooned-Soojus'!$C:$X,2+$C145,FALSE),0)+IF(FA$6="X",VLOOKUP(FA$10,'VK-Transport'!$C:$X,2+$B145,0))+IF(FA$8="X",VLOOKUP(FA$10,'VK-Elekter'!$C:$X,2+$D145,0))+IF(FA$9="X",VLOOKUP(FA$10,'VK-Biokütused'!$C:$U,2+$E145,0))+IF(FA$5="X",VLOOKUP(FA$10,'VK-Põlevkivi'!$C:$X,2+$G145,0))+IF(FA$4="X",VLOOKUP(FA$10,'VK-Võrgud'!$C:$X,2+$F145,0))</f>
        <v>2989.9189999999999</v>
      </c>
      <c r="FB145" s="279">
        <f>(IF(FB$7="X",VLOOKUP(FB$10,'VK-Hooned-Soojus'!$C:$X,2+$C145,FALSE),0)+IF(FB$6="X",VLOOKUP(FB$10,'VK-Transport'!$C:$X,2+$B145,0))+IF(FB$8="X",VLOOKUP(FB$10,'VK-Elekter'!$C:$X,2+$D145,0))+IF(FB$9="X",VLOOKUP(FB$10,'VK-Biokütused'!$C:$U,2+$E145,0))+IF(FB$5="X",VLOOKUP(FB$10,'VK-Põlevkivi'!$C:$X,2+$G145,0))+IF(FB$4="X",VLOOKUP(FB$10,'VK-Võrgud'!$C:$X,2+$F145,0)))/16</f>
        <v>1041.4488779697681</v>
      </c>
      <c r="FC145" s="209">
        <f>IF(FC$7="X",VLOOKUP(FC$10,'VK-Hooned-Soojus'!$C:$X,2+$C145,FALSE),0)+IF(FC$6="X",VLOOKUP(FC$10,'VK-Transport'!$C:$X,2+$B145,0))+IF(FC$8="X",VLOOKUP(FC$10,'VK-Elekter'!$C:$X,2+$D145,0))+IF(FC$9="X",VLOOKUP(FC$10,'VK-Biokütused'!$C:$U,2+$E145,0))+IF(FC$5="X",VLOOKUP(FC$10,'VK-Põlevkivi'!$C:$X,2+$G145,0))+IF(FC$4="X",VLOOKUP(FC$10,'VK-Võrgud'!$C:$X,2+$F145,0))</f>
        <v>284.90000000000003</v>
      </c>
      <c r="FD145" s="209">
        <f>(IF(FD$7="X",VLOOKUP(FD$10,'VK-Hooned-Soojus'!$C:$X,2+$C145,FALSE),0)+IF(FD$6="X",VLOOKUP(FD$10,'VK-Transport'!$C:$X,2+$B145,0))+IF(FD$8="X",VLOOKUP(FD$10,'VK-Elekter'!$C:$X,2+$D145,0))+IF(FD$9="X",VLOOKUP(FD$10,'VK-Biokütused'!$C:$U,2+$E145,0))+IF(FD$5="X",VLOOKUP(FD$10,'VK-Põlevkivi'!$C:$X,2+$G145,0))+IF(FD$4="X",VLOOKUP(FD$10,'VK-Võrgud'!$C:$X,2+$F145,0)))/16</f>
        <v>1041.4488779697681</v>
      </c>
      <c r="FE145" s="209">
        <f>(IF(FE$7="X",VLOOKUP(FE$10,'VK-Hooned-Soojus'!$C:$X,2+$C145,FALSE),0)+IF(FE$6="X",VLOOKUP(FE$10,'VK-Transport'!$C:$X,2+$B145,0))+IF(FE$8="X",VLOOKUP(FE$10,'VK-Elekter'!$C:$X,2+$D145,0))+IF(FE$9="X",VLOOKUP(FE$10,'VK-Biokütused'!$C:$U,2+$E145,0))+IF(FE$5="X",VLOOKUP(FE$10,'VK-Põlevkivi'!$C:$X,2+$G145,0))+IF(FE$4="X",VLOOKUP(FE$10,'VK-Võrgud'!$C:$X,2+$F145,0)))/16</f>
        <v>-197.29831369909104</v>
      </c>
      <c r="FF145" s="209">
        <f>(IF(FF$7="X",VLOOKUP(FF$10,'VK-Hooned-Soojus'!$C:$X,2+$C145,FALSE),0)+IF(FF$6="X",VLOOKUP(FF$10,'VK-Transport'!$C:$X,2+$B145,0))+IF(FF$8="X",VLOOKUP(FF$10,'VK-Elekter'!$C:$X,2+$D145,0))+IF(FF$9="X",VLOOKUP(FF$10,'VK-Biokütused'!$C:$U,2+$E145,0))+IF(FF$5="X",VLOOKUP(FF$10,'VK-Põlevkivi'!$C:$X,2+$G145,0))+IF(FF$4="X",VLOOKUP(FF$10,'VK-Võrgud'!$C:$X,2+$F145,0)))/16</f>
        <v>360.96186424918022</v>
      </c>
      <c r="FG145" s="88">
        <f t="shared" ca="1" si="126"/>
        <v>163.66355055008918</v>
      </c>
      <c r="FH145" s="88"/>
      <c r="FI145" s="88"/>
      <c r="FJ145" s="88">
        <f>VLOOKUP(Tulemused!$BN$12,data!M$7:N$12,2,FALSE)-SUM(L145,M145)</f>
        <v>0.39749062697563176</v>
      </c>
      <c r="FK145" s="209" t="str">
        <f>IF(AZ145&lt;=VLOOKUP(Tulemused!$BN$15,data!$E$36:$F$39,2,FALSE),"JAH","EI")</f>
        <v>JAH</v>
      </c>
      <c r="FL145" s="235">
        <f ca="1">IF(ISNA(MATCH($A145,INDIRECT(VLOOKUP(Tulemused!$BF$11,data!$J$57:$M$71,4,FALSE)))),0,MATCH($A145,INDIRECT(VLOOKUP(Tulemused!$BF$11,data!$J$57:$M$71,4,FALSE))))</f>
        <v>0</v>
      </c>
      <c r="FM145" s="235" t="str">
        <f t="shared" ca="1" si="127"/>
        <v>JAH</v>
      </c>
      <c r="FN145" s="209">
        <f>VLOOKUP(Tulemused!$BN$13,data!$C$132:$D$137,2,FALSE)-KOMBI!R145</f>
        <v>4.6218850093626802</v>
      </c>
      <c r="FO145" s="209"/>
      <c r="FP145" s="209">
        <f>VLOOKUP(Tulemused!$BN$17,NO_x,2,FALSE)-CJ145</f>
        <v>8.509999999999998</v>
      </c>
      <c r="FQ145" s="209">
        <f>VLOOKUP(Tulemused!$BN$18,SO_2,2,FALSE)-CK145</f>
        <v>14.046330445765982</v>
      </c>
      <c r="FR145" s="209">
        <f>VLOOKUP(Tulemused!$BN$19,LOU,2,FALSE)-CN145</f>
        <v>34.299000000000007</v>
      </c>
      <c r="FS145" s="209">
        <f>VLOOKUP(Tulemused!$BN$20,PM_2.5,2,FALSE)-CM145</f>
        <v>9.3950103843950821</v>
      </c>
      <c r="FT145" s="209">
        <f>VLOOKUP(Tulemused!$BN$13,data!$C$132:$D$137,2,FALSE)-FA145/1000</f>
        <v>3.2560510000000007</v>
      </c>
      <c r="FU145" s="209">
        <f>VLOOKUP(Tulemused!$BN$17,NO_x,2,FALSE)-CO145</f>
        <v>0.52263766264300671</v>
      </c>
      <c r="FV145" s="209">
        <f>VLOOKUP(Tulemused!$BN$18,SO_2,2,FALSE)-CP145</f>
        <v>19.582125985002065</v>
      </c>
      <c r="FW145" s="209">
        <f>VLOOKUP(Tulemused!$BN$19,LOU,2,FALSE)-CS145</f>
        <v>33.311350490137769</v>
      </c>
      <c r="FX145" s="209">
        <f>VLOOKUP(Tulemused!$BN$20,PM_2.5,2,FALSE)-CR145</f>
        <v>8.9072481626003093</v>
      </c>
      <c r="FY145" s="209">
        <f>VLOOKUP(Tulemused!$BN$14,KHG_2050,2,FALSE)-EF145</f>
        <v>92.776115009362684</v>
      </c>
      <c r="FZ145" s="231" t="str">
        <f t="shared" ca="1" si="128"/>
        <v>JAH</v>
      </c>
      <c r="GA145" s="209"/>
      <c r="GB145" s="209"/>
      <c r="GC145" s="209"/>
      <c r="GD145" s="231"/>
      <c r="GE145" s="87">
        <f t="shared" si="99"/>
        <v>1020</v>
      </c>
      <c r="GF145" s="232">
        <f t="shared" ca="1" si="129"/>
        <v>1020</v>
      </c>
      <c r="GH145" s="238" t="e">
        <f t="shared" ca="1" si="100"/>
        <v>#NUM!</v>
      </c>
      <c r="GI145" s="87" t="e">
        <f t="array" aca="1" ref="GI145" ca="1">INDEX($A$11:$A$145, SMALL(IF(GH145=$GF$11:$GF$145, MATCH(ROW($GF$11:$GF$145), ROW($GF$11:$GF$145))), SUM(--(GH145=$GH$11:GH145))))</f>
        <v>#NUM!</v>
      </c>
      <c r="GM145" s="209">
        <f>IF(GM$7="X",VLOOKUP(GM$10,'VK-Hooned-Soojus'!$C:$X,2+$C145,FALSE),0)+IF(GM$6="X",VLOOKUP(GM$10,'VK-Transport'!$C:$X,2+$B145,0))+IF(GM$8="X",VLOOKUP(GM$10,'VK-Elekter'!$C:$X,2+$D145,0))+IF(GM$9="X",VLOOKUP(GM$10,'VK-Biokütused'!$C:$U,2+$E145,0))+IF(GM$5="X",VLOOKUP(GM$10,'VK-Põlevkivi'!$C:$X,2+$G145,0))+IF(GM$4="X",VLOOKUP(GM$10,'VK-Võrgud'!$C:$X,2+$F145,0))</f>
        <v>11.189888530766083</v>
      </c>
      <c r="GN145" s="209">
        <f>IF(GN$7="X",VLOOKUP(GN$10,'VK-Hooned-Soojus'!$C:$X,2+$C145,FALSE),0)+IF(GN$6="X",VLOOKUP(GN$10,'VK-Transport'!$C:$X,2+$B145,0))+IF(GN$8="X",VLOOKUP(GN$10,'VK-Elekter'!$C:$X,2+$D145,0))+IF(GN$9="X",VLOOKUP(GN$10,'VK-Biokütused'!$C:$U,2+$E145,0))+IF(GN$5="X",VLOOKUP(GN$10,'VK-Põlevkivi'!$C:$X,2+$G145,0))+IF(GN$4="X",VLOOKUP(GN$10,'VK-Võrgud'!$C:$X,2+$F145,0))</f>
        <v>2.9930837725682502</v>
      </c>
      <c r="GO145" s="209">
        <f>IF(GO$7="X",VLOOKUP(GO$10,'VK-Hooned-Soojus'!$C:$X,2+$C145,FALSE),0)+IF(GO$6="X",VLOOKUP(GO$10,'VK-Transport'!$C:$X,2+$B145,0))+IF(GO$8="X",VLOOKUP(GO$10,'VK-Elekter'!$C:$X,2+$D145,0))+IF(GO$9="X",VLOOKUP(GO$10,'VK-Biokütused'!$C:$U,2+$E145,0))+IF(GO$5="X",VLOOKUP(GO$10,'VK-Põlevkivi'!$C:$X,2+$G145,0))+IF(GO$4="X",VLOOKUP(GO$10,'VK-Võrgud'!$C:$X,2+$F145,0))</f>
        <v>7.5763700102722566</v>
      </c>
      <c r="GP145" s="209">
        <f>IF(GP$7="X",VLOOKUP(GP$10,'VK-Hooned-Soojus'!$C:$X,2+$C145,FALSE),0)+IF(GP$6="X",VLOOKUP(GP$10,'VK-Transport'!$C:$X,2+$B145,0))+IF(GP$8="X",VLOOKUP(GP$10,'VK-Elekter'!$C:$X,2+$D145,0))+IF(GP$9="X",VLOOKUP(GP$10,'VK-Biokütused'!$C:$U,2+$E145,0))+IF(GP$5="X",VLOOKUP(GP$10,'VK-Põlevkivi'!$C:$X,2+$G145,0))+IF(GP$4="X",VLOOKUP(GP$10,'VK-Võrgud'!$C:$X,2+$F145,0))</f>
        <v>8.9326558040707589</v>
      </c>
      <c r="GQ145" s="88">
        <f>IF(GQ$7="X",VLOOKUP(GQ$10,'VK-Hooned-Soojus'!$C:$X,2+$C145,FALSE),0)+IF(GQ$6="X",VLOOKUP(GQ$10,'VK-Transport'!$C:$X,2+$B145,0))+IF(GQ$8="X",VLOOKUP(GQ$10,'VK-Elekter'!$C:$X,2+$D145,0))+IF(GQ$9="X",VLOOKUP(GQ$10,'VK-Biokütused'!$C:$U,2+$E145,0))+IF(GQ$5="X",VLOOKUP(GQ$10,'VK-Põlevkivi'!$C:$X,2+$G145,0))+IF(GQ$4="X",VLOOKUP(GQ$10,'VK-Võrgud'!$C:$X,2+$F145,0))</f>
        <v>0.89042766952822527</v>
      </c>
      <c r="GR145" s="186">
        <f t="shared" si="130"/>
        <v>0.3951301064766819</v>
      </c>
    </row>
    <row r="147" spans="1:200" x14ac:dyDescent="0.2">
      <c r="AP147" s="209"/>
      <c r="BF147" s="229"/>
    </row>
    <row r="148" spans="1:200" x14ac:dyDescent="0.2">
      <c r="BF148" s="229"/>
      <c r="GM148" s="209">
        <f>SUM(GN145,GP145,GQ145)</f>
        <v>12.816167246167234</v>
      </c>
    </row>
    <row r="149" spans="1:200" x14ac:dyDescent="0.2">
      <c r="AN149" s="209"/>
      <c r="BA149" s="229"/>
      <c r="GM149" s="87">
        <f>GM148/SUM(L145:M145)</f>
        <v>0.3951301064766819</v>
      </c>
    </row>
    <row r="150" spans="1:200" x14ac:dyDescent="0.2">
      <c r="AZ150" s="230"/>
      <c r="BA150" s="230"/>
      <c r="BB150" s="229"/>
      <c r="BD150" s="229"/>
    </row>
  </sheetData>
  <autoFilter ref="A10:Z145">
    <sortState ref="A8:X142">
      <sortCondition ref="A7"/>
    </sortState>
  </autoFilter>
  <mergeCells count="14">
    <mergeCell ref="FL10:FM10"/>
    <mergeCell ref="GF9:GI9"/>
    <mergeCell ref="CY2:DB2"/>
    <mergeCell ref="CJ2:CM2"/>
    <mergeCell ref="DK9:DN9"/>
    <mergeCell ref="DP9:DX9"/>
    <mergeCell ref="BF3:BP3"/>
    <mergeCell ref="B9:H9"/>
    <mergeCell ref="B8:H8"/>
    <mergeCell ref="B7:H7"/>
    <mergeCell ref="B6:H6"/>
    <mergeCell ref="AH3:AY3"/>
    <mergeCell ref="AA3:AF3"/>
    <mergeCell ref="S3:Z3"/>
  </mergeCells>
  <pageMargins left="0.7" right="0.7" top="0.75" bottom="0.75" header="0.3" footer="0.3"/>
  <pageSetup paperSize="9" orientation="portrait"/>
  <legacy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T202"/>
  <sheetViews>
    <sheetView topLeftCell="D111" zoomScale="145" zoomScaleNormal="145" zoomScalePageLayoutView="145" workbookViewId="0">
      <selection activeCell="F121" sqref="F121"/>
    </sheetView>
  </sheetViews>
  <sheetFormatPr baseColWidth="10" defaultColWidth="8.796875" defaultRowHeight="15" x14ac:dyDescent="0.2"/>
  <cols>
    <col min="1" max="1" width="8.796875" style="7"/>
    <col min="2" max="2" width="0.3984375" style="33" customWidth="1"/>
    <col min="3" max="3" width="56.19921875" bestFit="1" customWidth="1"/>
    <col min="4" max="4" width="10.3984375" bestFit="1" customWidth="1"/>
    <col min="5" max="5" width="15.796875" customWidth="1"/>
    <col min="6" max="6" width="15.59765625" customWidth="1"/>
    <col min="7" max="7" width="16" customWidth="1"/>
    <col min="8" max="8" width="1.3984375" style="30" customWidth="1"/>
    <col min="9" max="9" width="32.3984375" customWidth="1"/>
    <col min="10" max="10" width="0.796875" style="30" customWidth="1"/>
    <col min="11" max="11" width="32.19921875" customWidth="1"/>
  </cols>
  <sheetData>
    <row r="1" spans="1:13" s="5" customFormat="1" x14ac:dyDescent="0.2">
      <c r="A1" s="8"/>
      <c r="B1" s="33"/>
      <c r="E1" s="96" t="s">
        <v>10</v>
      </c>
      <c r="F1" s="96" t="s">
        <v>11</v>
      </c>
      <c r="G1" s="96" t="s">
        <v>12</v>
      </c>
      <c r="H1" s="33"/>
      <c r="I1" s="526" t="s">
        <v>398</v>
      </c>
      <c r="J1" s="527"/>
      <c r="K1" s="528"/>
    </row>
    <row r="2" spans="1:13" s="5" customFormat="1" x14ac:dyDescent="0.2">
      <c r="A2" s="8"/>
      <c r="B2" s="33"/>
      <c r="C2" s="5" t="s">
        <v>62</v>
      </c>
      <c r="E2" s="96" t="s">
        <v>0</v>
      </c>
      <c r="F2" s="96" t="s">
        <v>1</v>
      </c>
      <c r="G2" s="96" t="s">
        <v>2</v>
      </c>
      <c r="H2" s="33"/>
      <c r="I2" s="97" t="s">
        <v>399</v>
      </c>
      <c r="J2" s="97"/>
      <c r="K2" s="95" t="s">
        <v>400</v>
      </c>
      <c r="L2" s="93"/>
      <c r="M2" s="93"/>
    </row>
    <row r="3" spans="1:13" s="5" customFormat="1" ht="3.5" customHeight="1" x14ac:dyDescent="0.2">
      <c r="A3" s="8"/>
      <c r="B3" s="33"/>
      <c r="H3" s="30"/>
      <c r="J3" s="30"/>
    </row>
    <row r="4" spans="1:13" s="29" customFormat="1" x14ac:dyDescent="0.2">
      <c r="A4" s="298"/>
      <c r="B4" s="33"/>
      <c r="C4" s="28" t="s">
        <v>551</v>
      </c>
      <c r="D4" s="29" t="s">
        <v>27</v>
      </c>
      <c r="E4" s="40">
        <f>SUM(E13,E22)</f>
        <v>0</v>
      </c>
      <c r="F4" s="40">
        <f>SUM(F13,F22)</f>
        <v>0</v>
      </c>
      <c r="G4" s="40">
        <f>SUM(G13,G22)</f>
        <v>0</v>
      </c>
      <c r="H4" s="30"/>
      <c r="I4" s="99" t="s">
        <v>223</v>
      </c>
      <c r="J4" s="30"/>
      <c r="K4" s="99" t="s">
        <v>223</v>
      </c>
      <c r="L4" s="94"/>
      <c r="M4" s="94"/>
    </row>
    <row r="5" spans="1:13" s="29" customFormat="1" x14ac:dyDescent="0.2">
      <c r="A5" s="298"/>
      <c r="B5" s="33"/>
      <c r="C5" s="11" t="s">
        <v>552</v>
      </c>
      <c r="D5" s="29" t="s">
        <v>27</v>
      </c>
      <c r="E5" s="40">
        <f t="shared" ref="E5:F5" si="0">SUM(E14,E23)</f>
        <v>0</v>
      </c>
      <c r="F5" s="40">
        <f t="shared" si="0"/>
        <v>0</v>
      </c>
      <c r="G5" s="40">
        <f>SUM(G14,G23)</f>
        <v>0</v>
      </c>
      <c r="H5" s="30"/>
      <c r="I5" s="79" t="str">
        <f t="shared" ref="I5:I11" si="1">HYPERLINK("http://www.energiatalgud.ee/index.php?title=Hoonefondi_ENMAK_stsenaariumid","Hoonefondi stsenaariumid")</f>
        <v>Hoonefondi stsenaariumid</v>
      </c>
      <c r="J5" s="30"/>
      <c r="K5" s="94" t="str">
        <f>HYPERLINK("https://onedrive.live.com/redir?resid=31206ECE3E1FC115!141&amp;authkey=!AHU4Zko6SkAF_XE&amp;ithint=file%2cxlsx","Summaarne hoonefondi energia")</f>
        <v>Summaarne hoonefondi energia</v>
      </c>
      <c r="L5" s="94"/>
      <c r="M5" s="94"/>
    </row>
    <row r="6" spans="1:13" s="4" customFormat="1" x14ac:dyDescent="0.2">
      <c r="A6" s="530" t="s">
        <v>401</v>
      </c>
      <c r="B6" s="33"/>
      <c r="C6" s="3" t="s">
        <v>40</v>
      </c>
      <c r="D6" s="4" t="s">
        <v>27</v>
      </c>
      <c r="E6" s="14">
        <f t="shared" ref="E6:F9" si="2">SUM(E15,E24)</f>
        <v>24.95</v>
      </c>
      <c r="F6" s="14">
        <f t="shared" si="2"/>
        <v>24.2</v>
      </c>
      <c r="G6" s="14">
        <f>SUM(G15,G24)</f>
        <v>23.75</v>
      </c>
      <c r="H6" s="30"/>
      <c r="I6" s="99" t="s">
        <v>223</v>
      </c>
      <c r="J6" s="30"/>
      <c r="K6" s="99" t="s">
        <v>223</v>
      </c>
      <c r="L6" s="94"/>
      <c r="M6" s="94"/>
    </row>
    <row r="7" spans="1:13" s="4" customFormat="1" x14ac:dyDescent="0.2">
      <c r="A7" s="530"/>
      <c r="B7" s="33"/>
      <c r="C7" s="11" t="s">
        <v>161</v>
      </c>
      <c r="D7" s="4" t="s">
        <v>27</v>
      </c>
      <c r="E7" s="14">
        <f t="shared" si="2"/>
        <v>16.75</v>
      </c>
      <c r="F7" s="14">
        <f t="shared" si="2"/>
        <v>16.09</v>
      </c>
      <c r="G7" s="14">
        <f>SUM(G16,G25)</f>
        <v>15.25</v>
      </c>
      <c r="H7" s="30"/>
      <c r="I7" s="79" t="str">
        <f t="shared" si="1"/>
        <v>Hoonefondi stsenaariumid</v>
      </c>
      <c r="J7" s="30"/>
      <c r="K7" s="94" t="str">
        <f>HYPERLINK("https://onedrive.live.com/redir?resid=31206ECE3E1FC115!141&amp;authkey=!AHU4Zko6SkAF_XE&amp;ithint=file%2cxlsx","Summaarne hoonefondi energia")</f>
        <v>Summaarne hoonefondi energia</v>
      </c>
      <c r="L7" s="94"/>
      <c r="M7" s="94"/>
    </row>
    <row r="8" spans="1:13" s="4" customFormat="1" x14ac:dyDescent="0.2">
      <c r="A8" s="530"/>
      <c r="B8" s="33"/>
      <c r="C8" s="3" t="s">
        <v>39</v>
      </c>
      <c r="D8" s="4" t="s">
        <v>27</v>
      </c>
      <c r="E8" s="14">
        <f t="shared" si="2"/>
        <v>26.89</v>
      </c>
      <c r="F8" s="14">
        <f t="shared" si="2"/>
        <v>24.79</v>
      </c>
      <c r="G8" s="14">
        <f>SUM(G17,G26)</f>
        <v>23.490000000000002</v>
      </c>
      <c r="H8" s="30"/>
      <c r="I8" s="99" t="s">
        <v>223</v>
      </c>
      <c r="J8" s="30"/>
      <c r="K8" s="99" t="s">
        <v>223</v>
      </c>
      <c r="L8" s="94"/>
      <c r="M8" s="94"/>
    </row>
    <row r="9" spans="1:13" s="4" customFormat="1" x14ac:dyDescent="0.2">
      <c r="A9" s="530"/>
      <c r="B9" s="33"/>
      <c r="C9" s="11" t="s">
        <v>160</v>
      </c>
      <c r="D9" s="4" t="s">
        <v>27</v>
      </c>
      <c r="E9" s="14">
        <f t="shared" si="2"/>
        <v>16.75</v>
      </c>
      <c r="F9" s="14">
        <f t="shared" si="2"/>
        <v>15.27</v>
      </c>
      <c r="G9" s="14">
        <f>SUM(G18,G27)</f>
        <v>13.780000000000001</v>
      </c>
      <c r="H9" s="30"/>
      <c r="I9" s="79" t="str">
        <f t="shared" si="1"/>
        <v>Hoonefondi stsenaariumid</v>
      </c>
      <c r="J9" s="30"/>
      <c r="K9" s="94" t="str">
        <f>HYPERLINK("https://onedrive.live.com/redir?resid=31206ECE3E1FC115!141&amp;authkey=!AHU4Zko6SkAF_XE&amp;ithint=file%2cxlsx","Summaarne hoonefondi energia")</f>
        <v>Summaarne hoonefondi energia</v>
      </c>
      <c r="L9" s="94"/>
      <c r="M9" s="94"/>
    </row>
    <row r="10" spans="1:13" s="4" customFormat="1" x14ac:dyDescent="0.2">
      <c r="A10" s="530"/>
      <c r="B10" s="33"/>
      <c r="C10" s="3" t="s">
        <v>3</v>
      </c>
      <c r="D10" s="4" t="s">
        <v>27</v>
      </c>
      <c r="E10" s="14">
        <f>SUM(E29,E19)</f>
        <v>29.21</v>
      </c>
      <c r="F10" s="14">
        <f>SUM(F29,F19)</f>
        <v>23.61</v>
      </c>
      <c r="G10" s="14">
        <f>235/3.6/1000</f>
        <v>6.5277777777777768E-2</v>
      </c>
      <c r="H10" s="30"/>
      <c r="I10" s="99" t="s">
        <v>223</v>
      </c>
      <c r="J10" s="30"/>
      <c r="K10" s="99" t="s">
        <v>223</v>
      </c>
      <c r="L10" s="94"/>
      <c r="M10" s="94"/>
    </row>
    <row r="11" spans="1:13" s="4" customFormat="1" x14ac:dyDescent="0.2">
      <c r="A11" s="530"/>
      <c r="B11" s="33"/>
      <c r="C11" s="11" t="s">
        <v>26</v>
      </c>
      <c r="D11" s="4" t="s">
        <v>27</v>
      </c>
      <c r="E11" s="14">
        <f>SUM(E30,E20)</f>
        <v>16.41</v>
      </c>
      <c r="F11" s="14">
        <f>SUM(F30,F20)</f>
        <v>13.709999999999999</v>
      </c>
      <c r="G11" s="14">
        <f>1078/3.6/1000</f>
        <v>0.29944444444444446</v>
      </c>
      <c r="H11" s="30"/>
      <c r="I11" s="79" t="str">
        <f t="shared" si="1"/>
        <v>Hoonefondi stsenaariumid</v>
      </c>
      <c r="J11" s="30"/>
      <c r="K11" s="94" t="str">
        <f>HYPERLINK("https://onedrive.live.com/redir?resid=31206ECE3E1FC115!141&amp;authkey=!AHU4Zko6SkAF_XE&amp;ithint=file%2cxlsx","Summaarne hoonefondi energia")</f>
        <v>Summaarne hoonefondi energia</v>
      </c>
      <c r="L11" s="94"/>
      <c r="M11" s="94"/>
    </row>
    <row r="12" spans="1:13" s="5" customFormat="1" ht="5" customHeight="1" x14ac:dyDescent="0.2">
      <c r="A12" s="530"/>
      <c r="B12" s="33"/>
      <c r="C12" s="6"/>
      <c r="G12" s="15">
        <f>2136/3.6/1000</f>
        <v>0.59333333333333338</v>
      </c>
      <c r="H12" s="30"/>
      <c r="J12" s="30"/>
    </row>
    <row r="13" spans="1:13" s="29" customFormat="1" x14ac:dyDescent="0.2">
      <c r="A13" s="530"/>
      <c r="B13" s="33"/>
      <c r="C13" s="28" t="s">
        <v>553</v>
      </c>
      <c r="E13" s="111"/>
      <c r="F13" s="111"/>
      <c r="G13" s="111"/>
      <c r="H13" s="30"/>
      <c r="I13" s="79" t="str">
        <f t="shared" ref="I13:I15" si="3">HYPERLINK("http://www.energiatalgud.ee/index.php?title=Elektritootmise_ja_-v%C3%B5rkude_ENMAK_stsenaariumid","Elektritootmisstsenaariumid")</f>
        <v>Elektritootmisstsenaariumid</v>
      </c>
      <c r="J13" s="30"/>
      <c r="K13" s="79" t="str">
        <f t="shared" ref="K13:K15" si="4">HYPERLINK("https://onedrive.live.com/redir?resid=31206ECE3E1FC115!131&amp;authkey=!AON5kv7mHgv98A8&amp;ithint=file%2cxlsx","Elektritoomistsenaariumite tulemuste võrdlus")</f>
        <v>Elektritoomistsenaariumite tulemuste võrdlus</v>
      </c>
      <c r="L13" s="94"/>
      <c r="M13" s="94"/>
    </row>
    <row r="14" spans="1:13" s="29" customFormat="1" x14ac:dyDescent="0.2">
      <c r="A14" s="530"/>
      <c r="B14" s="33"/>
      <c r="C14" s="11" t="s">
        <v>26</v>
      </c>
      <c r="E14" s="111"/>
      <c r="F14" s="111"/>
      <c r="G14" s="111"/>
      <c r="H14" s="30"/>
      <c r="I14" s="79" t="str">
        <f>HYPERLINK("http://www.energiatalgud.ee/index.php?title=Hoonefondi_ENMAK_stsenaariumid","Hoonefondi stsenaariumid")</f>
        <v>Hoonefondi stsenaariumid</v>
      </c>
      <c r="J14" s="30"/>
      <c r="K14" s="94" t="str">
        <f>HYPERLINK("https://onedrive.live.com/redir?resid=31206ECE3E1FC115!141&amp;authkey=!AHU4Zko6SkAF_XE&amp;ithint=file%2cxlsx","Summaarne hoonefondi energia")</f>
        <v>Summaarne hoonefondi energia</v>
      </c>
      <c r="L14" s="94"/>
      <c r="M14" s="94"/>
    </row>
    <row r="15" spans="1:13" s="4" customFormat="1" x14ac:dyDescent="0.2">
      <c r="A15" s="530"/>
      <c r="B15" s="33"/>
      <c r="C15" s="3" t="s">
        <v>4</v>
      </c>
      <c r="D15" s="4" t="s">
        <v>27</v>
      </c>
      <c r="E15" s="111">
        <v>7.95</v>
      </c>
      <c r="F15" s="111">
        <v>7.95</v>
      </c>
      <c r="G15" s="111">
        <v>7.95</v>
      </c>
      <c r="H15" s="30"/>
      <c r="I15" s="79" t="str">
        <f t="shared" si="3"/>
        <v>Elektritootmisstsenaariumid</v>
      </c>
      <c r="J15" s="30"/>
      <c r="K15" s="79" t="str">
        <f t="shared" si="4"/>
        <v>Elektritoomistsenaariumite tulemuste võrdlus</v>
      </c>
      <c r="L15" s="94"/>
      <c r="M15" s="94"/>
    </row>
    <row r="16" spans="1:13" s="4" customFormat="1" x14ac:dyDescent="0.2">
      <c r="A16" s="530"/>
      <c r="B16" s="33"/>
      <c r="C16" s="11" t="s">
        <v>26</v>
      </c>
      <c r="D16" s="4" t="s">
        <v>27</v>
      </c>
      <c r="E16" s="14">
        <v>4.83</v>
      </c>
      <c r="F16" s="14">
        <v>4.84</v>
      </c>
      <c r="G16" s="14">
        <v>4.76</v>
      </c>
      <c r="H16" s="30"/>
      <c r="I16" s="79" t="str">
        <f>HYPERLINK("http://www.energiatalgud.ee/index.php?title=Hoonefondi_ENMAK_stsenaariumid","Hoonefondi stsenaariumid")</f>
        <v>Hoonefondi stsenaariumid</v>
      </c>
      <c r="J16" s="30"/>
      <c r="K16" s="94" t="str">
        <f>HYPERLINK("https://onedrive.live.com/redir?resid=31206ECE3E1FC115!141&amp;authkey=!AHU4Zko6SkAF_XE&amp;ithint=file%2cxlsx","Summaarne hoonefondi energia")</f>
        <v>Summaarne hoonefondi energia</v>
      </c>
      <c r="L16" s="94"/>
      <c r="M16" s="94"/>
    </row>
    <row r="17" spans="1:13" s="4" customFormat="1" x14ac:dyDescent="0.2">
      <c r="A17" s="530"/>
      <c r="B17" s="33"/>
      <c r="C17" s="3" t="s">
        <v>5</v>
      </c>
      <c r="D17" s="4" t="s">
        <v>27</v>
      </c>
      <c r="E17" s="111">
        <v>8.89</v>
      </c>
      <c r="F17" s="111">
        <v>8.89</v>
      </c>
      <c r="G17" s="111">
        <v>8.89</v>
      </c>
      <c r="H17" s="30"/>
      <c r="I17" s="79" t="str">
        <f t="shared" ref="I17" si="5">HYPERLINK("http://www.energiatalgud.ee/index.php?title=Elektritootmise_ja_-v%C3%B5rkude_ENMAK_stsenaariumid","Elektritootmisstsenaariumid")</f>
        <v>Elektritootmisstsenaariumid</v>
      </c>
      <c r="J17" s="30"/>
      <c r="K17" s="79" t="str">
        <f t="shared" ref="K17" si="6">HYPERLINK("https://onedrive.live.com/redir?resid=31206ECE3E1FC115!131&amp;authkey=!AON5kv7mHgv98A8&amp;ithint=file%2cxlsx","Elektritoomistsenaariumite tulemuste võrdlus")</f>
        <v>Elektritoomistsenaariumite tulemuste võrdlus</v>
      </c>
      <c r="L17" s="94"/>
      <c r="M17" s="94"/>
    </row>
    <row r="18" spans="1:13" s="4" customFormat="1" x14ac:dyDescent="0.2">
      <c r="A18" s="530"/>
      <c r="B18" s="33"/>
      <c r="C18" s="11" t="s">
        <v>26</v>
      </c>
      <c r="D18" s="4" t="s">
        <v>27</v>
      </c>
      <c r="E18" s="14">
        <v>5.01</v>
      </c>
      <c r="F18" s="14">
        <v>4.95</v>
      </c>
      <c r="G18" s="14">
        <v>4.87</v>
      </c>
      <c r="H18" s="30"/>
      <c r="I18" s="79" t="str">
        <f>HYPERLINK("http://www.energiatalgud.ee/index.php?title=Hoonefondi_ENMAK_stsenaariumid","Hoonefondi stsenaariumid")</f>
        <v>Hoonefondi stsenaariumid</v>
      </c>
      <c r="J18" s="30"/>
      <c r="K18" s="94" t="str">
        <f>HYPERLINK("https://onedrive.live.com/redir?resid=31206ECE3E1FC115!141&amp;authkey=!AHU4Zko6SkAF_XE&amp;ithint=file%2cxlsx","Summaarne hoonefondi energia")</f>
        <v>Summaarne hoonefondi energia</v>
      </c>
      <c r="L18" s="94"/>
      <c r="M18" s="94"/>
    </row>
    <row r="19" spans="1:13" s="4" customFormat="1" x14ac:dyDescent="0.2">
      <c r="A19" s="530"/>
      <c r="B19" s="33"/>
      <c r="C19" s="3" t="s">
        <v>6</v>
      </c>
      <c r="D19" s="4" t="s">
        <v>27</v>
      </c>
      <c r="E19" s="111">
        <v>11.41</v>
      </c>
      <c r="F19" s="111">
        <v>11.41</v>
      </c>
      <c r="G19" s="111">
        <v>11.41</v>
      </c>
      <c r="H19" s="30"/>
      <c r="I19" s="79" t="str">
        <f t="shared" ref="I19" si="7">HYPERLINK("http://www.energiatalgud.ee/index.php?title=Elektritootmise_ja_-v%C3%B5rkude_ENMAK_stsenaariumid","Elektritootmisstsenaariumid")</f>
        <v>Elektritootmisstsenaariumid</v>
      </c>
      <c r="J19" s="30"/>
      <c r="K19" s="79" t="str">
        <f t="shared" ref="K19" si="8">HYPERLINK("https://onedrive.live.com/redir?resid=31206ECE3E1FC115!131&amp;authkey=!AON5kv7mHgv98A8&amp;ithint=file%2cxlsx","Elektritoomistsenaariumite tulemuste võrdlus")</f>
        <v>Elektritoomistsenaariumite tulemuste võrdlus</v>
      </c>
      <c r="L19" s="94"/>
      <c r="M19" s="94"/>
    </row>
    <row r="20" spans="1:13" s="4" customFormat="1" x14ac:dyDescent="0.2">
      <c r="A20" s="530"/>
      <c r="B20" s="33"/>
      <c r="C20" s="11" t="s">
        <v>26</v>
      </c>
      <c r="D20" s="4" t="s">
        <v>27</v>
      </c>
      <c r="E20" s="14">
        <v>5.21</v>
      </c>
      <c r="F20" s="14">
        <v>5.17</v>
      </c>
      <c r="G20" s="14">
        <v>5.09</v>
      </c>
      <c r="H20" s="30"/>
      <c r="I20" s="79" t="str">
        <f>HYPERLINK("http://www.energiatalgud.ee/index.php?title=Hoonefondi_ENMAK_stsenaariumid","Hoonefondi stsenaariumid")</f>
        <v>Hoonefondi stsenaariumid</v>
      </c>
      <c r="J20" s="30"/>
      <c r="K20" s="94" t="str">
        <f>HYPERLINK("https://onedrive.live.com/redir?resid=31206ECE3E1FC115!141&amp;authkey=!AHU4Zko6SkAF_XE&amp;ithint=file%2cxlsx","Summaarne hoonefondi energia")</f>
        <v>Summaarne hoonefondi energia</v>
      </c>
      <c r="L20" s="94"/>
      <c r="M20" s="94"/>
    </row>
    <row r="21" spans="1:13" s="5" customFormat="1" ht="4.25" customHeight="1" x14ac:dyDescent="0.2">
      <c r="A21" s="530"/>
      <c r="B21" s="33"/>
      <c r="C21" s="6"/>
      <c r="E21" s="15"/>
      <c r="F21" s="15"/>
      <c r="G21" s="15"/>
      <c r="H21" s="30"/>
      <c r="J21" s="30"/>
    </row>
    <row r="22" spans="1:13" s="29" customFormat="1" x14ac:dyDescent="0.2">
      <c r="A22" s="530"/>
      <c r="B22" s="33"/>
      <c r="C22" s="28" t="s">
        <v>554</v>
      </c>
      <c r="E22" s="40"/>
      <c r="F22" s="40"/>
      <c r="G22" s="40"/>
      <c r="H22" s="30"/>
      <c r="I22" s="79" t="str">
        <f>HYPERLINK("http://www.energiatalgud.ee/index.php?title=Soojusmajanduse_ENMAK_stsenaariumid","Soojusmajanduse stsenaariumid")</f>
        <v>Soojusmajanduse stsenaariumid</v>
      </c>
      <c r="J22" s="30"/>
      <c r="K22" s="94" t="str">
        <f t="shared" ref="K22:K24" si="9">HYPERLINK("https://onedrive.live.com/redir?resid=31206ECE3E1FC115!150&amp;authkey=!AL2L9cqn4-BEBsE&amp;ithint=file%2cxlsx","Soojusmajanduse stsenaariumite tulemused")</f>
        <v>Soojusmajanduse stsenaariumite tulemused</v>
      </c>
    </row>
    <row r="23" spans="1:13" s="29" customFormat="1" x14ac:dyDescent="0.2">
      <c r="A23" s="530"/>
      <c r="B23" s="33"/>
      <c r="C23" s="11" t="s">
        <v>26</v>
      </c>
      <c r="E23" s="40"/>
      <c r="F23" s="40"/>
      <c r="G23" s="40"/>
      <c r="H23" s="30"/>
      <c r="I23" s="79" t="str">
        <f>HYPERLINK("http://www.energiatalgud.ee/index.php?title=Hoonefondi_ENMAK_stsenaariumid","Hoonefondi stsenaariumid")</f>
        <v>Hoonefondi stsenaariumid</v>
      </c>
      <c r="J23" s="30"/>
      <c r="K23" s="94" t="str">
        <f>HYPERLINK("https://onedrive.live.com/redir?resid=31206ECE3E1FC115!141&amp;authkey=!AHU4Zko6SkAF_XE&amp;ithint=file%2cxlsx","Summaarne hoonefondi energia")</f>
        <v>Summaarne hoonefondi energia</v>
      </c>
    </row>
    <row r="24" spans="1:13" s="4" customFormat="1" x14ac:dyDescent="0.2">
      <c r="A24" s="530"/>
      <c r="B24" s="33"/>
      <c r="C24" s="3" t="s">
        <v>7</v>
      </c>
      <c r="D24" s="4" t="s">
        <v>27</v>
      </c>
      <c r="E24" s="14">
        <v>17</v>
      </c>
      <c r="F24" s="14">
        <v>16.25</v>
      </c>
      <c r="G24" s="14">
        <v>15.8</v>
      </c>
      <c r="H24" s="30"/>
      <c r="I24" s="79" t="str">
        <f>HYPERLINK("http://www.energiatalgud.ee/index.php?title=Soojusmajanduse_ENMAK_stsenaariumid","Soojusmajanduse stsenaariumid")</f>
        <v>Soojusmajanduse stsenaariumid</v>
      </c>
      <c r="J24" s="30"/>
      <c r="K24" s="94" t="str">
        <f t="shared" si="9"/>
        <v>Soojusmajanduse stsenaariumite tulemused</v>
      </c>
    </row>
    <row r="25" spans="1:13" s="4" customFormat="1" x14ac:dyDescent="0.2">
      <c r="A25" s="530"/>
      <c r="B25" s="33"/>
      <c r="C25" s="11" t="s">
        <v>26</v>
      </c>
      <c r="D25" s="4" t="s">
        <v>27</v>
      </c>
      <c r="E25" s="14">
        <v>11.92</v>
      </c>
      <c r="F25" s="14">
        <v>11.25</v>
      </c>
      <c r="G25" s="14">
        <v>10.49</v>
      </c>
      <c r="H25" s="30"/>
      <c r="I25" s="79" t="str">
        <f>HYPERLINK("http://www.energiatalgud.ee/index.php?title=Hoonefondi_ENMAK_stsenaariumid","Hoonefondi stsenaariumid")</f>
        <v>Hoonefondi stsenaariumid</v>
      </c>
      <c r="J25" s="30"/>
      <c r="K25" s="94" t="str">
        <f>HYPERLINK("https://onedrive.live.com/redir?resid=31206ECE3E1FC115!141&amp;authkey=!AHU4Zko6SkAF_XE&amp;ithint=file%2cxlsx","Summaarne hoonefondi energia")</f>
        <v>Summaarne hoonefondi energia</v>
      </c>
    </row>
    <row r="26" spans="1:13" s="4" customFormat="1" x14ac:dyDescent="0.2">
      <c r="A26" s="530"/>
      <c r="B26" s="33"/>
      <c r="C26" s="3" t="s">
        <v>8</v>
      </c>
      <c r="D26" s="4" t="s">
        <v>27</v>
      </c>
      <c r="E26" s="14">
        <v>18</v>
      </c>
      <c r="F26" s="14">
        <v>15.9</v>
      </c>
      <c r="G26" s="14">
        <v>14.6</v>
      </c>
      <c r="H26" s="30"/>
      <c r="I26" s="79" t="str">
        <f>HYPERLINK("http://www.energiatalgud.ee/index.php?title=Soojusmajanduse_ENMAK_stsenaariumid","Soojusmajanduse stsenaariumid")</f>
        <v>Soojusmajanduse stsenaariumid</v>
      </c>
      <c r="J26" s="30"/>
      <c r="K26" s="94" t="str">
        <f t="shared" ref="K26" si="10">HYPERLINK("https://onedrive.live.com/redir?resid=31206ECE3E1FC115!150&amp;authkey=!AL2L9cqn4-BEBsE&amp;ithint=file%2cxlsx","Soojusmajanduse stsenaariumite tulemused")</f>
        <v>Soojusmajanduse stsenaariumite tulemused</v>
      </c>
    </row>
    <row r="27" spans="1:13" s="4" customFormat="1" x14ac:dyDescent="0.2">
      <c r="A27" s="530"/>
      <c r="B27" s="33"/>
      <c r="C27" s="11" t="s">
        <v>26</v>
      </c>
      <c r="D27" s="4" t="s">
        <v>27</v>
      </c>
      <c r="E27" s="14">
        <v>11.74</v>
      </c>
      <c r="F27" s="14">
        <v>10.32</v>
      </c>
      <c r="G27" s="14">
        <v>8.91</v>
      </c>
      <c r="H27" s="30"/>
      <c r="I27" s="79" t="str">
        <f>HYPERLINK("http://www.energiatalgud.ee/index.php?title=Hoonefondi_ENMAK_stsenaariumid","Hoonefondi stsenaariumid")</f>
        <v>Hoonefondi stsenaariumid</v>
      </c>
      <c r="J27" s="30"/>
      <c r="K27" s="94" t="str">
        <f>HYPERLINK("https://onedrive.live.com/redir?resid=31206ECE3E1FC115!141&amp;authkey=!AHU4Zko6SkAF_XE&amp;ithint=file%2cxlsx","Summaarne hoonefondi energia")</f>
        <v>Summaarne hoonefondi energia</v>
      </c>
    </row>
    <row r="28" spans="1:13" s="4" customFormat="1" x14ac:dyDescent="0.2">
      <c r="A28" s="530"/>
      <c r="B28" s="33"/>
      <c r="C28" s="11" t="s">
        <v>28</v>
      </c>
      <c r="D28" s="4" t="s">
        <v>27</v>
      </c>
      <c r="E28" s="14">
        <v>4.4000000000000004</v>
      </c>
      <c r="F28" s="14">
        <v>4.0999999999999996</v>
      </c>
      <c r="G28" s="14">
        <v>3.5</v>
      </c>
      <c r="H28" s="30"/>
      <c r="I28" s="79" t="str">
        <f>HYPERLINK("http://www.energiatalgud.ee/index.php?title=Soojusmajanduse_ENMAK_stsenaariumid","Soojusmajanduse stsenaariumid")</f>
        <v>Soojusmajanduse stsenaariumid</v>
      </c>
      <c r="J28" s="30"/>
      <c r="K28" s="94" t="str">
        <f t="shared" ref="K28" si="11">HYPERLINK("https://onedrive.live.com/redir?resid=31206ECE3E1FC115!150&amp;authkey=!AL2L9cqn4-BEBsE&amp;ithint=file%2cxlsx","Soojusmajanduse stsenaariumite tulemused")</f>
        <v>Soojusmajanduse stsenaariumite tulemused</v>
      </c>
    </row>
    <row r="29" spans="1:13" s="4" customFormat="1" x14ac:dyDescent="0.2">
      <c r="A29" s="530"/>
      <c r="B29" s="33"/>
      <c r="C29" s="3" t="s">
        <v>9</v>
      </c>
      <c r="D29" s="4" t="s">
        <v>27</v>
      </c>
      <c r="E29" s="14">
        <v>17.8</v>
      </c>
      <c r="F29" s="14">
        <v>12.2</v>
      </c>
      <c r="G29" s="14">
        <v>9.8000000000000007</v>
      </c>
      <c r="H29" s="30"/>
      <c r="I29" s="79" t="str">
        <f>HYPERLINK("http://www.energiatalgud.ee/index.php?title=Soojusmajanduse_ENMAK_stsenaariumid","Soojusmajanduse stsenaariumid")</f>
        <v>Soojusmajanduse stsenaariumid</v>
      </c>
      <c r="J29" s="30"/>
      <c r="K29" s="94" t="str">
        <f t="shared" ref="K29" si="12">HYPERLINK("https://onedrive.live.com/redir?resid=31206ECE3E1FC115!150&amp;authkey=!AL2L9cqn4-BEBsE&amp;ithint=file%2cxlsx","Soojusmajanduse stsenaariumite tulemused")</f>
        <v>Soojusmajanduse stsenaariumite tulemused</v>
      </c>
    </row>
    <row r="30" spans="1:13" s="4" customFormat="1" x14ac:dyDescent="0.2">
      <c r="A30" s="530"/>
      <c r="B30" s="33"/>
      <c r="C30" s="11" t="s">
        <v>26</v>
      </c>
      <c r="D30" s="4" t="s">
        <v>27</v>
      </c>
      <c r="E30" s="14">
        <v>11.2</v>
      </c>
      <c r="F30" s="14">
        <v>8.5399999999999991</v>
      </c>
      <c r="G30" s="14">
        <v>5.89</v>
      </c>
      <c r="H30" s="30"/>
      <c r="I30" s="79" t="str">
        <f>HYPERLINK("http://www.energiatalgud.ee/index.php?title=Hoonefondi_ENMAK_stsenaariumid","Hoonefondi stsenaariumid")</f>
        <v>Hoonefondi stsenaariumid</v>
      </c>
      <c r="J30" s="30"/>
      <c r="K30" s="94" t="str">
        <f>HYPERLINK("https://onedrive.live.com/redir?resid=31206ECE3E1FC115!141&amp;authkey=!AHU4Zko6SkAF_XE&amp;ithint=file%2cxlsx","Summaarne hoonefondi energia")</f>
        <v>Summaarne hoonefondi energia</v>
      </c>
    </row>
    <row r="31" spans="1:13" s="30" customFormat="1" ht="5" customHeight="1" x14ac:dyDescent="0.2">
      <c r="A31" s="33"/>
      <c r="B31" s="33"/>
      <c r="C31" s="31"/>
    </row>
    <row r="32" spans="1:13" s="29" customFormat="1" x14ac:dyDescent="0.2">
      <c r="A32" s="361"/>
      <c r="B32" s="33"/>
      <c r="C32" s="28" t="s">
        <v>689</v>
      </c>
      <c r="D32" s="29" t="s">
        <v>27</v>
      </c>
      <c r="E32" s="40">
        <v>6.4263888888888889</v>
      </c>
      <c r="F32" s="40">
        <v>6.2512499999999998</v>
      </c>
      <c r="G32" s="40">
        <v>6.1311111111111103</v>
      </c>
      <c r="H32" s="30"/>
      <c r="I32" s="79" t="str">
        <f>HYPERLINK("http://www.energiatalgud.ee/index.php?title=Soojusmajanduse_ENMAK_stsenaariumid","Soojusmajanduse stsenaariumid")</f>
        <v>Soojusmajanduse stsenaariumid</v>
      </c>
      <c r="J32" s="30"/>
      <c r="K32" s="94" t="str">
        <f t="shared" ref="K32:K41" si="13">HYPERLINK("https://onedrive.live.com/redir?resid=31206ECE3E1FC115!150&amp;authkey=!AL2L9cqn4-BEBsE&amp;ithint=file%2cxlsx","Soojusmajanduse stsenaariumite tulemused")</f>
        <v>Soojusmajanduse stsenaariumite tulemused</v>
      </c>
    </row>
    <row r="33" spans="1:11" s="29" customFormat="1" x14ac:dyDescent="0.2">
      <c r="A33" s="361"/>
      <c r="B33" s="33"/>
      <c r="C33" s="28" t="s">
        <v>690</v>
      </c>
      <c r="D33" s="29" t="s">
        <v>27</v>
      </c>
      <c r="E33" s="40">
        <v>3.6944444444444446</v>
      </c>
      <c r="F33" s="40">
        <v>3.7</v>
      </c>
      <c r="G33" s="40">
        <v>3.6</v>
      </c>
      <c r="H33" s="30"/>
      <c r="I33" s="79" t="str">
        <f t="shared" ref="I33:I42" si="14">HYPERLINK("http://www.energiatalgud.ee/index.php?title=Soojusmajanduse_ENMAK_stsenaariumid","Soojusmajanduse stsenaariumid")</f>
        <v>Soojusmajanduse stsenaariumid</v>
      </c>
      <c r="J33" s="30"/>
      <c r="K33" s="94" t="str">
        <f t="shared" si="13"/>
        <v>Soojusmajanduse stsenaariumite tulemused</v>
      </c>
    </row>
    <row r="34" spans="1:11" s="29" customFormat="1" x14ac:dyDescent="0.2">
      <c r="A34" s="361"/>
      <c r="B34" s="33"/>
      <c r="C34" s="28" t="s">
        <v>692</v>
      </c>
      <c r="D34" s="29" t="s">
        <v>27</v>
      </c>
      <c r="E34" s="40">
        <v>6.405555555555555</v>
      </c>
      <c r="F34" s="40">
        <v>6.0455555555555556</v>
      </c>
      <c r="G34" s="40">
        <v>5.6855555555555553</v>
      </c>
      <c r="H34" s="30"/>
      <c r="I34" s="79" t="str">
        <f t="shared" si="14"/>
        <v>Soojusmajanduse stsenaariumid</v>
      </c>
      <c r="J34" s="30"/>
      <c r="K34" s="94" t="str">
        <f t="shared" si="13"/>
        <v>Soojusmajanduse stsenaariumite tulemused</v>
      </c>
    </row>
    <row r="35" spans="1:11" s="29" customFormat="1" x14ac:dyDescent="0.2">
      <c r="A35" s="361"/>
      <c r="B35" s="33"/>
      <c r="C35" s="28" t="s">
        <v>693</v>
      </c>
      <c r="D35" s="29" t="s">
        <v>27</v>
      </c>
      <c r="E35" s="40">
        <v>0.09</v>
      </c>
      <c r="F35" s="40">
        <v>0.09</v>
      </c>
      <c r="G35" s="40">
        <v>0.09</v>
      </c>
      <c r="H35" s="30"/>
      <c r="I35" s="79" t="str">
        <f t="shared" si="14"/>
        <v>Soojusmajanduse stsenaariumid</v>
      </c>
      <c r="J35" s="30"/>
      <c r="K35" s="94" t="str">
        <f t="shared" si="13"/>
        <v>Soojusmajanduse stsenaariumite tulemused</v>
      </c>
    </row>
    <row r="36" spans="1:11" s="29" customFormat="1" x14ac:dyDescent="0.2">
      <c r="A36" s="361"/>
      <c r="B36" s="33"/>
      <c r="C36" s="28" t="s">
        <v>694</v>
      </c>
      <c r="D36" s="29" t="s">
        <v>27</v>
      </c>
      <c r="E36" s="40">
        <v>1.0999999999999999</v>
      </c>
      <c r="F36" s="40">
        <v>0.7</v>
      </c>
      <c r="G36" s="40">
        <v>0.7</v>
      </c>
      <c r="H36" s="30"/>
      <c r="I36" s="79" t="str">
        <f t="shared" si="14"/>
        <v>Soojusmajanduse stsenaariumid</v>
      </c>
      <c r="J36" s="30"/>
      <c r="K36" s="94" t="str">
        <f t="shared" si="13"/>
        <v>Soojusmajanduse stsenaariumite tulemused</v>
      </c>
    </row>
    <row r="37" spans="1:11" s="29" customFormat="1" x14ac:dyDescent="0.2">
      <c r="A37" s="361"/>
      <c r="B37" s="33"/>
      <c r="C37" s="28" t="s">
        <v>698</v>
      </c>
      <c r="D37" s="29" t="s">
        <v>27</v>
      </c>
      <c r="E37" s="40">
        <v>0.375</v>
      </c>
      <c r="F37" s="40">
        <v>0.375</v>
      </c>
      <c r="G37" s="40">
        <v>0.375</v>
      </c>
      <c r="H37" s="30"/>
      <c r="I37" s="79" t="str">
        <f t="shared" si="14"/>
        <v>Soojusmajanduse stsenaariumid</v>
      </c>
      <c r="J37" s="30"/>
      <c r="K37" s="94" t="str">
        <f t="shared" si="13"/>
        <v>Soojusmajanduse stsenaariumite tulemused</v>
      </c>
    </row>
    <row r="38" spans="1:11" s="29" customFormat="1" x14ac:dyDescent="0.2">
      <c r="A38" s="361"/>
      <c r="B38" s="33"/>
      <c r="C38" s="28" t="s">
        <v>695</v>
      </c>
      <c r="D38" s="29" t="s">
        <v>27</v>
      </c>
      <c r="E38" s="40">
        <v>0.15555555555555556</v>
      </c>
      <c r="F38" s="40">
        <v>0.16000000000000003</v>
      </c>
      <c r="G38" s="40">
        <v>0.16000000000000003</v>
      </c>
      <c r="H38" s="30"/>
      <c r="I38" s="79" t="str">
        <f t="shared" si="14"/>
        <v>Soojusmajanduse stsenaariumid</v>
      </c>
      <c r="J38" s="30"/>
      <c r="K38" s="94" t="str">
        <f t="shared" si="13"/>
        <v>Soojusmajanduse stsenaariumite tulemused</v>
      </c>
    </row>
    <row r="39" spans="1:11" s="29" customFormat="1" x14ac:dyDescent="0.2">
      <c r="A39" s="361"/>
      <c r="B39" s="33"/>
      <c r="C39" s="28" t="s">
        <v>691</v>
      </c>
      <c r="D39" s="29" t="s">
        <v>27</v>
      </c>
      <c r="E39" s="40">
        <v>0.30555555555555558</v>
      </c>
      <c r="F39" s="40">
        <v>0.3</v>
      </c>
      <c r="G39" s="40">
        <v>0.3</v>
      </c>
      <c r="H39" s="30"/>
      <c r="I39" s="79" t="str">
        <f t="shared" si="14"/>
        <v>Soojusmajanduse stsenaariumid</v>
      </c>
      <c r="J39" s="30"/>
      <c r="K39" s="94" t="str">
        <f t="shared" si="13"/>
        <v>Soojusmajanduse stsenaariumite tulemused</v>
      </c>
    </row>
    <row r="40" spans="1:11" s="29" customFormat="1" x14ac:dyDescent="0.2">
      <c r="A40" s="361"/>
      <c r="B40" s="33"/>
      <c r="C40" s="28" t="s">
        <v>696</v>
      </c>
      <c r="D40" s="29" t="s">
        <v>27</v>
      </c>
      <c r="E40" s="40">
        <v>9.9999999999999992E-2</v>
      </c>
      <c r="F40" s="40">
        <v>0.1</v>
      </c>
      <c r="G40" s="40">
        <v>9.9999999999999992E-2</v>
      </c>
      <c r="H40" s="30"/>
      <c r="I40" s="79" t="str">
        <f t="shared" si="14"/>
        <v>Soojusmajanduse stsenaariumid</v>
      </c>
      <c r="J40" s="30"/>
      <c r="K40" s="94" t="str">
        <f t="shared" si="13"/>
        <v>Soojusmajanduse stsenaariumite tulemused</v>
      </c>
    </row>
    <row r="41" spans="1:11" s="29" customFormat="1" x14ac:dyDescent="0.2">
      <c r="A41" s="361"/>
      <c r="B41" s="33"/>
      <c r="C41" s="28" t="s">
        <v>697</v>
      </c>
      <c r="D41" s="29" t="s">
        <v>27</v>
      </c>
      <c r="E41" s="40">
        <v>1.2916666666666667</v>
      </c>
      <c r="F41" s="40">
        <v>1.2066666666666666</v>
      </c>
      <c r="G41" s="40">
        <v>1.2066666666666666</v>
      </c>
      <c r="H41" s="30"/>
      <c r="I41" s="79" t="str">
        <f t="shared" si="14"/>
        <v>Soojusmajanduse stsenaariumid</v>
      </c>
      <c r="J41" s="30"/>
      <c r="K41" s="94" t="str">
        <f t="shared" si="13"/>
        <v>Soojusmajanduse stsenaariumite tulemused</v>
      </c>
    </row>
    <row r="42" spans="1:11" s="29" customFormat="1" x14ac:dyDescent="0.2">
      <c r="A42" s="361"/>
      <c r="B42" s="33"/>
      <c r="C42" s="28" t="s">
        <v>699</v>
      </c>
      <c r="D42" s="29" t="s">
        <v>27</v>
      </c>
      <c r="E42" s="40">
        <v>0.19999999999999998</v>
      </c>
      <c r="F42" s="40">
        <v>9.9999999999999992E-2</v>
      </c>
      <c r="G42" s="40">
        <v>0.1</v>
      </c>
      <c r="H42" s="30"/>
      <c r="I42" s="79" t="str">
        <f t="shared" si="14"/>
        <v>Soojusmajanduse stsenaariumid</v>
      </c>
      <c r="J42" s="30"/>
      <c r="K42" s="94" t="str">
        <f>HYPERLINK("https://onedrive.live.com/redir?resid=31206ECE3E1FC115!150&amp;authkey=!AL2L9cqn4-BEBsE&amp;ithint=file%2cxlsx","Soojusmajanduse stsenaariumite tulemused")</f>
        <v>Soojusmajanduse stsenaariumite tulemused</v>
      </c>
    </row>
    <row r="43" spans="1:11" s="29" customFormat="1" x14ac:dyDescent="0.2">
      <c r="A43" s="361"/>
      <c r="B43" s="33"/>
      <c r="C43" s="28"/>
      <c r="H43" s="30"/>
      <c r="I43" s="79"/>
      <c r="J43" s="30"/>
      <c r="K43" s="94"/>
    </row>
    <row r="44" spans="1:11" s="29" customFormat="1" x14ac:dyDescent="0.2">
      <c r="A44" s="361"/>
      <c r="B44" s="33"/>
      <c r="C44" s="28" t="s">
        <v>700</v>
      </c>
      <c r="D44" s="29" t="s">
        <v>27</v>
      </c>
      <c r="E44" s="29">
        <v>6.7</v>
      </c>
      <c r="F44" s="29">
        <v>6.8</v>
      </c>
      <c r="G44" s="29">
        <v>6.7</v>
      </c>
      <c r="H44" s="30"/>
      <c r="I44" s="79" t="str">
        <f>HYPERLINK("http://www.energiatalgud.ee/index.php?title=Soojusmajanduse_ENMAK_stsenaariumid","Soojusmajanduse stsenaariumid")</f>
        <v>Soojusmajanduse stsenaariumid</v>
      </c>
      <c r="J44" s="30"/>
      <c r="K44" s="94" t="str">
        <f t="shared" ref="K44:K54" si="15">HYPERLINK("https://onedrive.live.com/redir?resid=31206ECE3E1FC115!150&amp;authkey=!AL2L9cqn4-BEBsE&amp;ithint=file%2cxlsx","Soojusmajanduse stsenaariumite tulemused")</f>
        <v>Soojusmajanduse stsenaariumite tulemused</v>
      </c>
    </row>
    <row r="45" spans="1:11" s="29" customFormat="1" x14ac:dyDescent="0.2">
      <c r="A45" s="361"/>
      <c r="B45" s="33"/>
      <c r="C45" s="28" t="s">
        <v>701</v>
      </c>
      <c r="D45" s="29" t="s">
        <v>27</v>
      </c>
      <c r="E45" s="29">
        <v>3.7</v>
      </c>
      <c r="F45" s="29">
        <v>3.7</v>
      </c>
      <c r="G45" s="29">
        <v>3.6</v>
      </c>
      <c r="H45" s="30"/>
      <c r="I45" s="79" t="str">
        <f t="shared" ref="I45:I55" si="16">HYPERLINK("http://www.energiatalgud.ee/index.php?title=Soojusmajanduse_ENMAK_stsenaariumid","Soojusmajanduse stsenaariumid")</f>
        <v>Soojusmajanduse stsenaariumid</v>
      </c>
      <c r="J45" s="30"/>
      <c r="K45" s="94" t="str">
        <f t="shared" si="15"/>
        <v>Soojusmajanduse stsenaariumite tulemused</v>
      </c>
    </row>
    <row r="46" spans="1:11" s="29" customFormat="1" x14ac:dyDescent="0.2">
      <c r="A46" s="361"/>
      <c r="B46" s="33"/>
      <c r="C46" s="28" t="s">
        <v>702</v>
      </c>
      <c r="D46" s="29" t="s">
        <v>27</v>
      </c>
      <c r="E46" s="29">
        <v>6.5</v>
      </c>
      <c r="F46" s="29">
        <v>6.1</v>
      </c>
      <c r="G46" s="29">
        <v>5.7</v>
      </c>
      <c r="H46" s="30"/>
      <c r="I46" s="79" t="str">
        <f t="shared" si="16"/>
        <v>Soojusmajanduse stsenaariumid</v>
      </c>
      <c r="J46" s="30"/>
      <c r="K46" s="94" t="str">
        <f t="shared" si="15"/>
        <v>Soojusmajanduse stsenaariumite tulemused</v>
      </c>
    </row>
    <row r="47" spans="1:11" s="29" customFormat="1" x14ac:dyDescent="0.2">
      <c r="A47" s="361"/>
      <c r="B47" s="33"/>
      <c r="C47" s="28" t="s">
        <v>703</v>
      </c>
      <c r="D47" s="29" t="s">
        <v>27</v>
      </c>
      <c r="E47" s="29">
        <v>0.1</v>
      </c>
      <c r="F47" s="29">
        <v>0.1</v>
      </c>
      <c r="G47" s="29">
        <v>0.1</v>
      </c>
      <c r="H47" s="30"/>
      <c r="I47" s="79" t="str">
        <f t="shared" si="16"/>
        <v>Soojusmajanduse stsenaariumid</v>
      </c>
      <c r="J47" s="30"/>
      <c r="K47" s="94" t="str">
        <f t="shared" si="15"/>
        <v>Soojusmajanduse stsenaariumite tulemused</v>
      </c>
    </row>
    <row r="48" spans="1:11" s="29" customFormat="1" x14ac:dyDescent="0.2">
      <c r="A48" s="361"/>
      <c r="B48" s="33"/>
      <c r="C48" s="28" t="s">
        <v>704</v>
      </c>
      <c r="D48" s="29" t="s">
        <v>27</v>
      </c>
      <c r="E48" s="29">
        <v>1.1000000000000001</v>
      </c>
      <c r="F48" s="29">
        <v>0.7</v>
      </c>
      <c r="G48" s="29">
        <v>0.7</v>
      </c>
      <c r="H48" s="30"/>
      <c r="I48" s="79" t="str">
        <f t="shared" si="16"/>
        <v>Soojusmajanduse stsenaariumid</v>
      </c>
      <c r="J48" s="30"/>
      <c r="K48" s="94" t="str">
        <f t="shared" si="15"/>
        <v>Soojusmajanduse stsenaariumite tulemused</v>
      </c>
    </row>
    <row r="49" spans="1:11" s="29" customFormat="1" x14ac:dyDescent="0.2">
      <c r="A49" s="361"/>
      <c r="B49" s="33"/>
      <c r="C49" s="28" t="s">
        <v>705</v>
      </c>
      <c r="D49" s="29" t="s">
        <v>27</v>
      </c>
      <c r="E49" s="29">
        <v>0.4</v>
      </c>
      <c r="F49" s="29">
        <v>0.4</v>
      </c>
      <c r="G49" s="29">
        <v>0.4</v>
      </c>
      <c r="H49" s="30"/>
      <c r="I49" s="79" t="str">
        <f t="shared" si="16"/>
        <v>Soojusmajanduse stsenaariumid</v>
      </c>
      <c r="J49" s="30"/>
      <c r="K49" s="94" t="str">
        <f t="shared" si="15"/>
        <v>Soojusmajanduse stsenaariumite tulemused</v>
      </c>
    </row>
    <row r="50" spans="1:11" s="29" customFormat="1" x14ac:dyDescent="0.2">
      <c r="A50" s="361"/>
      <c r="B50" s="33"/>
      <c r="C50" s="28" t="s">
        <v>706</v>
      </c>
      <c r="D50" s="29" t="s">
        <v>27</v>
      </c>
      <c r="H50" s="30"/>
      <c r="I50" s="79" t="str">
        <f t="shared" si="16"/>
        <v>Soojusmajanduse stsenaariumid</v>
      </c>
      <c r="J50" s="30"/>
      <c r="K50" s="94" t="str">
        <f t="shared" si="15"/>
        <v>Soojusmajanduse stsenaariumite tulemused</v>
      </c>
    </row>
    <row r="51" spans="1:11" s="29" customFormat="1" x14ac:dyDescent="0.2">
      <c r="A51" s="361"/>
      <c r="B51" s="33"/>
      <c r="C51" s="28" t="s">
        <v>707</v>
      </c>
      <c r="D51" s="29" t="s">
        <v>27</v>
      </c>
      <c r="E51" s="29">
        <v>0.4</v>
      </c>
      <c r="F51" s="29">
        <v>0.4</v>
      </c>
      <c r="G51" s="29">
        <v>0.4</v>
      </c>
      <c r="H51" s="30"/>
      <c r="I51" s="79" t="str">
        <f t="shared" si="16"/>
        <v>Soojusmajanduse stsenaariumid</v>
      </c>
      <c r="J51" s="30"/>
      <c r="K51" s="94" t="str">
        <f t="shared" si="15"/>
        <v>Soojusmajanduse stsenaariumite tulemused</v>
      </c>
    </row>
    <row r="52" spans="1:11" s="29" customFormat="1" x14ac:dyDescent="0.2">
      <c r="A52" s="361"/>
      <c r="B52" s="33"/>
      <c r="C52" s="28" t="s">
        <v>708</v>
      </c>
      <c r="D52" s="29" t="s">
        <v>27</v>
      </c>
      <c r="E52" s="29">
        <v>0.3</v>
      </c>
      <c r="F52" s="29">
        <v>0.3</v>
      </c>
      <c r="G52" s="29">
        <v>0.3</v>
      </c>
      <c r="H52" s="30"/>
      <c r="I52" s="79" t="str">
        <f t="shared" si="16"/>
        <v>Soojusmajanduse stsenaariumid</v>
      </c>
      <c r="J52" s="30"/>
      <c r="K52" s="94" t="str">
        <f t="shared" si="15"/>
        <v>Soojusmajanduse stsenaariumite tulemused</v>
      </c>
    </row>
    <row r="53" spans="1:11" s="29" customFormat="1" x14ac:dyDescent="0.2">
      <c r="A53" s="361"/>
      <c r="B53" s="33"/>
      <c r="C53" s="28" t="s">
        <v>709</v>
      </c>
      <c r="D53" s="29" t="s">
        <v>27</v>
      </c>
      <c r="E53" s="29">
        <v>0.1</v>
      </c>
      <c r="F53" s="29">
        <v>0.1</v>
      </c>
      <c r="G53" s="29">
        <v>0.1</v>
      </c>
      <c r="H53" s="30"/>
      <c r="I53" s="79" t="str">
        <f t="shared" si="16"/>
        <v>Soojusmajanduse stsenaariumid</v>
      </c>
      <c r="J53" s="30"/>
      <c r="K53" s="94" t="str">
        <f t="shared" si="15"/>
        <v>Soojusmajanduse stsenaariumite tulemused</v>
      </c>
    </row>
    <row r="54" spans="1:11" s="29" customFormat="1" x14ac:dyDescent="0.2">
      <c r="A54" s="361"/>
      <c r="B54" s="33"/>
      <c r="C54" s="28" t="s">
        <v>710</v>
      </c>
      <c r="D54" s="29" t="s">
        <v>27</v>
      </c>
      <c r="E54" s="29">
        <v>1.5</v>
      </c>
      <c r="F54" s="29">
        <v>1.4</v>
      </c>
      <c r="G54" s="29">
        <v>1.4</v>
      </c>
      <c r="H54" s="30"/>
      <c r="I54" s="79" t="str">
        <f t="shared" si="16"/>
        <v>Soojusmajanduse stsenaariumid</v>
      </c>
      <c r="J54" s="30"/>
      <c r="K54" s="94" t="str">
        <f t="shared" si="15"/>
        <v>Soojusmajanduse stsenaariumite tulemused</v>
      </c>
    </row>
    <row r="55" spans="1:11" s="29" customFormat="1" x14ac:dyDescent="0.2">
      <c r="A55" s="361"/>
      <c r="B55" s="33"/>
      <c r="C55" s="28" t="s">
        <v>711</v>
      </c>
      <c r="D55" s="29" t="s">
        <v>27</v>
      </c>
      <c r="E55" s="29">
        <v>0.2</v>
      </c>
      <c r="F55" s="29">
        <v>0.1</v>
      </c>
      <c r="G55" s="29">
        <v>0.1</v>
      </c>
      <c r="H55" s="30"/>
      <c r="I55" s="79" t="str">
        <f t="shared" si="16"/>
        <v>Soojusmajanduse stsenaariumid</v>
      </c>
      <c r="J55" s="30"/>
      <c r="K55" s="94" t="str">
        <f>HYPERLINK("https://onedrive.live.com/redir?resid=31206ECE3E1FC115!150&amp;authkey=!AL2L9cqn4-BEBsE&amp;ithint=file%2cxlsx","Soojusmajanduse stsenaariumite tulemused")</f>
        <v>Soojusmajanduse stsenaariumite tulemused</v>
      </c>
    </row>
    <row r="56" spans="1:11" s="29" customFormat="1" x14ac:dyDescent="0.2">
      <c r="A56" s="361"/>
      <c r="B56" s="33"/>
      <c r="C56" s="28"/>
      <c r="H56" s="30"/>
      <c r="I56" s="79"/>
      <c r="J56" s="30"/>
      <c r="K56" s="94"/>
    </row>
    <row r="57" spans="1:11" s="29" customFormat="1" x14ac:dyDescent="0.2">
      <c r="A57" s="254"/>
      <c r="B57" s="33"/>
      <c r="C57" s="28" t="s">
        <v>179</v>
      </c>
      <c r="D57" s="29" t="s">
        <v>27</v>
      </c>
      <c r="E57" s="365">
        <v>8.0555555555555554</v>
      </c>
      <c r="F57" s="365">
        <v>7.3429166666666656</v>
      </c>
      <c r="G57" s="365">
        <v>7.2555555555555546</v>
      </c>
      <c r="H57" s="30"/>
      <c r="I57" s="79" t="str">
        <f>HYPERLINK("http://www.energiatalgud.ee/index.php?title=Soojusmajanduse_ENMAK_stsenaariumid","Soojusmajanduse stsenaariumid")</f>
        <v>Soojusmajanduse stsenaariumid</v>
      </c>
      <c r="J57" s="30"/>
      <c r="K57" s="94" t="str">
        <f t="shared" ref="K57:K66" si="17">HYPERLINK("https://onedrive.live.com/redir?resid=31206ECE3E1FC115!150&amp;authkey=!AL2L9cqn4-BEBsE&amp;ithint=file%2cxlsx","Soojusmajanduse stsenaariumite tulemused")</f>
        <v>Soojusmajanduse stsenaariumite tulemused</v>
      </c>
    </row>
    <row r="58" spans="1:11" s="29" customFormat="1" x14ac:dyDescent="0.2">
      <c r="A58" s="254"/>
      <c r="B58" s="33"/>
      <c r="C58" s="28" t="s">
        <v>180</v>
      </c>
      <c r="D58" s="29" t="s">
        <v>27</v>
      </c>
      <c r="E58" s="365">
        <v>3.6944444444444446</v>
      </c>
      <c r="F58" s="365">
        <v>3.4</v>
      </c>
      <c r="G58" s="365">
        <v>3.2</v>
      </c>
      <c r="H58" s="30"/>
      <c r="I58" s="79" t="str">
        <f t="shared" ref="I58:I67" si="18">HYPERLINK("http://www.energiatalgud.ee/index.php?title=Soojusmajanduse_ENMAK_stsenaariumid","Soojusmajanduse stsenaariumid")</f>
        <v>Soojusmajanduse stsenaariumid</v>
      </c>
      <c r="J58" s="30"/>
      <c r="K58" s="94" t="str">
        <f t="shared" si="17"/>
        <v>Soojusmajanduse stsenaariumite tulemused</v>
      </c>
    </row>
    <row r="59" spans="1:11" s="29" customFormat="1" x14ac:dyDescent="0.2">
      <c r="A59" s="254"/>
      <c r="B59" s="33"/>
      <c r="C59" s="28" t="s">
        <v>87</v>
      </c>
      <c r="D59" s="29" t="s">
        <v>27</v>
      </c>
      <c r="E59" s="365">
        <v>5.5677777777777777</v>
      </c>
      <c r="F59" s="365">
        <v>4.8</v>
      </c>
      <c r="G59" s="365">
        <v>4.0999999999999996</v>
      </c>
      <c r="H59" s="30"/>
      <c r="I59" s="79" t="str">
        <f t="shared" si="18"/>
        <v>Soojusmajanduse stsenaariumid</v>
      </c>
      <c r="J59" s="30"/>
      <c r="K59" s="94" t="str">
        <f t="shared" si="17"/>
        <v>Soojusmajanduse stsenaariumite tulemused</v>
      </c>
    </row>
    <row r="60" spans="1:11" s="29" customFormat="1" x14ac:dyDescent="0.2">
      <c r="A60" s="254"/>
      <c r="B60" s="33"/>
      <c r="C60" s="28" t="s">
        <v>89</v>
      </c>
      <c r="D60" s="29" t="s">
        <v>27</v>
      </c>
      <c r="E60" s="365">
        <v>0.09</v>
      </c>
      <c r="F60" s="365">
        <v>0</v>
      </c>
      <c r="G60" s="365">
        <v>0</v>
      </c>
      <c r="H60" s="30"/>
      <c r="I60" s="79" t="str">
        <f t="shared" si="18"/>
        <v>Soojusmajanduse stsenaariumid</v>
      </c>
      <c r="J60" s="30"/>
      <c r="K60" s="94" t="str">
        <f t="shared" si="17"/>
        <v>Soojusmajanduse stsenaariumite tulemused</v>
      </c>
    </row>
    <row r="61" spans="1:11" s="29" customFormat="1" x14ac:dyDescent="0.2">
      <c r="A61" s="254"/>
      <c r="B61" s="33"/>
      <c r="C61" s="28" t="s">
        <v>181</v>
      </c>
      <c r="D61" s="29" t="s">
        <v>27</v>
      </c>
      <c r="E61" s="365">
        <v>1</v>
      </c>
      <c r="F61" s="365">
        <v>0.5</v>
      </c>
      <c r="G61" s="365">
        <v>0</v>
      </c>
      <c r="H61" s="30"/>
      <c r="I61" s="79" t="str">
        <f t="shared" si="18"/>
        <v>Soojusmajanduse stsenaariumid</v>
      </c>
      <c r="J61" s="30"/>
      <c r="K61" s="94" t="str">
        <f t="shared" si="17"/>
        <v>Soojusmajanduse stsenaariumite tulemused</v>
      </c>
    </row>
    <row r="62" spans="1:11" s="29" customFormat="1" x14ac:dyDescent="0.2">
      <c r="A62" s="254"/>
      <c r="B62" s="33"/>
      <c r="C62" s="28" t="s">
        <v>183</v>
      </c>
      <c r="D62" s="29" t="s">
        <v>27</v>
      </c>
      <c r="E62" s="365">
        <v>0.375</v>
      </c>
      <c r="F62" s="365">
        <v>0.375</v>
      </c>
      <c r="G62" s="365">
        <v>0.28333333333333333</v>
      </c>
      <c r="H62" s="30"/>
      <c r="I62" s="79" t="str">
        <f t="shared" si="18"/>
        <v>Soojusmajanduse stsenaariumid</v>
      </c>
      <c r="J62" s="30"/>
      <c r="K62" s="94" t="str">
        <f t="shared" si="17"/>
        <v>Soojusmajanduse stsenaariumite tulemused</v>
      </c>
    </row>
    <row r="63" spans="1:11" s="29" customFormat="1" x14ac:dyDescent="0.2">
      <c r="A63" s="254"/>
      <c r="B63" s="33"/>
      <c r="C63" s="28" t="s">
        <v>88</v>
      </c>
      <c r="D63" s="29" t="s">
        <v>27</v>
      </c>
      <c r="E63" s="365">
        <v>0.2</v>
      </c>
      <c r="F63" s="365">
        <v>0.16000000000000003</v>
      </c>
      <c r="G63" s="365">
        <v>0.16000000000000003</v>
      </c>
      <c r="H63" s="30"/>
      <c r="I63" s="79" t="str">
        <f t="shared" si="18"/>
        <v>Soojusmajanduse stsenaariumid</v>
      </c>
      <c r="J63" s="30"/>
      <c r="K63" s="94" t="str">
        <f t="shared" si="17"/>
        <v>Soojusmajanduse stsenaariumite tulemused</v>
      </c>
    </row>
    <row r="64" spans="1:11" s="29" customFormat="1" x14ac:dyDescent="0.2">
      <c r="A64" s="254"/>
      <c r="B64" s="33"/>
      <c r="C64" s="28" t="s">
        <v>92</v>
      </c>
      <c r="D64" s="29" t="s">
        <v>27</v>
      </c>
      <c r="E64" s="365">
        <v>0.38888888888888884</v>
      </c>
      <c r="F64" s="365">
        <v>0.4</v>
      </c>
      <c r="G64" s="365">
        <v>0.4</v>
      </c>
      <c r="H64" s="30"/>
      <c r="I64" s="79" t="str">
        <f t="shared" si="18"/>
        <v>Soojusmajanduse stsenaariumid</v>
      </c>
      <c r="J64" s="30"/>
      <c r="K64" s="94" t="str">
        <f t="shared" si="17"/>
        <v>Soojusmajanduse stsenaariumite tulemused</v>
      </c>
    </row>
    <row r="65" spans="1:11" s="29" customFormat="1" x14ac:dyDescent="0.2">
      <c r="A65" s="254"/>
      <c r="B65" s="33"/>
      <c r="C65" s="28" t="s">
        <v>182</v>
      </c>
      <c r="D65" s="29" t="s">
        <v>27</v>
      </c>
      <c r="E65" s="365">
        <v>9.9999999999999992E-2</v>
      </c>
      <c r="F65" s="365">
        <v>0.1</v>
      </c>
      <c r="G65" s="365">
        <v>0</v>
      </c>
      <c r="H65" s="30"/>
      <c r="I65" s="79" t="str">
        <f t="shared" si="18"/>
        <v>Soojusmajanduse stsenaariumid</v>
      </c>
      <c r="J65" s="30"/>
      <c r="K65" s="94" t="str">
        <f t="shared" si="17"/>
        <v>Soojusmajanduse stsenaariumite tulemused</v>
      </c>
    </row>
    <row r="66" spans="1:11" s="29" customFormat="1" x14ac:dyDescent="0.2">
      <c r="A66" s="254"/>
      <c r="B66" s="33"/>
      <c r="C66" s="28" t="s">
        <v>84</v>
      </c>
      <c r="D66" s="29" t="s">
        <v>27</v>
      </c>
      <c r="E66" s="365">
        <v>1.2916666666666667</v>
      </c>
      <c r="F66" s="365">
        <v>1.2066666666666666</v>
      </c>
      <c r="G66" s="365">
        <v>1.2066666666666666</v>
      </c>
      <c r="H66" s="30"/>
      <c r="I66" s="79" t="str">
        <f t="shared" si="18"/>
        <v>Soojusmajanduse stsenaariumid</v>
      </c>
      <c r="J66" s="30"/>
      <c r="K66" s="94" t="str">
        <f t="shared" si="17"/>
        <v>Soojusmajanduse stsenaariumite tulemused</v>
      </c>
    </row>
    <row r="67" spans="1:11" s="29" customFormat="1" x14ac:dyDescent="0.2">
      <c r="A67" s="254"/>
      <c r="B67" s="33"/>
      <c r="C67" s="28" t="s">
        <v>204</v>
      </c>
      <c r="D67" s="29" t="s">
        <v>27</v>
      </c>
      <c r="E67" s="365">
        <v>0.19999999999999998</v>
      </c>
      <c r="F67" s="365">
        <v>0.19999999999999998</v>
      </c>
      <c r="G67" s="365">
        <v>0.2</v>
      </c>
      <c r="H67" s="30"/>
      <c r="I67" s="79" t="str">
        <f t="shared" si="18"/>
        <v>Soojusmajanduse stsenaariumid</v>
      </c>
      <c r="J67" s="30"/>
      <c r="K67" s="94" t="str">
        <f>HYPERLINK("https://onedrive.live.com/redir?resid=31206ECE3E1FC115!150&amp;authkey=!AL2L9cqn4-BEBsE&amp;ithint=file%2cxlsx","Soojusmajanduse stsenaariumite tulemused")</f>
        <v>Soojusmajanduse stsenaariumite tulemused</v>
      </c>
    </row>
    <row r="68" spans="1:11" s="29" customFormat="1" x14ac:dyDescent="0.2">
      <c r="A68" s="254"/>
      <c r="B68" s="33"/>
      <c r="H68" s="30"/>
      <c r="I68" s="79"/>
      <c r="J68" s="30"/>
      <c r="K68" s="94"/>
    </row>
    <row r="69" spans="1:11" s="29" customFormat="1" x14ac:dyDescent="0.2">
      <c r="A69" s="45"/>
      <c r="B69" s="33"/>
      <c r="C69" s="28" t="s">
        <v>509</v>
      </c>
      <c r="D69" s="29" t="s">
        <v>27</v>
      </c>
      <c r="E69" s="29">
        <v>8.6</v>
      </c>
      <c r="F69" s="29">
        <v>7.9</v>
      </c>
      <c r="G69" s="29">
        <v>7.7</v>
      </c>
      <c r="H69" s="30"/>
      <c r="I69" s="79" t="str">
        <f>HYPERLINK("http://www.energiatalgud.ee/index.php?title=Soojusmajanduse_ENMAK_stsenaariumid","Soojusmajanduse stsenaariumid")</f>
        <v>Soojusmajanduse stsenaariumid</v>
      </c>
      <c r="J69" s="30"/>
      <c r="K69" s="94" t="str">
        <f t="shared" ref="K69:K79" si="19">HYPERLINK("https://onedrive.live.com/redir?resid=31206ECE3E1FC115!150&amp;authkey=!AL2L9cqn4-BEBsE&amp;ithint=file%2cxlsx","Soojusmajanduse stsenaariumite tulemused")</f>
        <v>Soojusmajanduse stsenaariumite tulemused</v>
      </c>
    </row>
    <row r="70" spans="1:11" s="29" customFormat="1" x14ac:dyDescent="0.2">
      <c r="A70" s="45"/>
      <c r="B70" s="33"/>
      <c r="C70" s="28" t="s">
        <v>510</v>
      </c>
      <c r="D70" s="29" t="s">
        <v>27</v>
      </c>
      <c r="E70" s="29">
        <v>3.7</v>
      </c>
      <c r="F70" s="29">
        <v>3.4</v>
      </c>
      <c r="G70" s="29">
        <v>3.2</v>
      </c>
      <c r="H70" s="30"/>
      <c r="I70" s="79" t="str">
        <f t="shared" ref="I70:I80" si="20">HYPERLINK("http://www.energiatalgud.ee/index.php?title=Soojusmajanduse_ENMAK_stsenaariumid","Soojusmajanduse stsenaariumid")</f>
        <v>Soojusmajanduse stsenaariumid</v>
      </c>
      <c r="J70" s="30"/>
      <c r="K70" s="94" t="str">
        <f t="shared" si="19"/>
        <v>Soojusmajanduse stsenaariumite tulemused</v>
      </c>
    </row>
    <row r="71" spans="1:11" s="29" customFormat="1" x14ac:dyDescent="0.2">
      <c r="A71" s="45"/>
      <c r="B71" s="33"/>
      <c r="C71" s="28" t="s">
        <v>97</v>
      </c>
      <c r="D71" s="29" t="s">
        <v>27</v>
      </c>
      <c r="E71" s="29">
        <v>5.6</v>
      </c>
      <c r="F71" s="29">
        <v>4.8</v>
      </c>
      <c r="G71" s="29">
        <v>4.0999999999999996</v>
      </c>
      <c r="H71" s="30"/>
      <c r="I71" s="79" t="str">
        <f t="shared" si="20"/>
        <v>Soojusmajanduse stsenaariumid</v>
      </c>
      <c r="J71" s="30"/>
      <c r="K71" s="94" t="str">
        <f t="shared" si="19"/>
        <v>Soojusmajanduse stsenaariumite tulemused</v>
      </c>
    </row>
    <row r="72" spans="1:11" s="29" customFormat="1" x14ac:dyDescent="0.2">
      <c r="A72" s="45"/>
      <c r="B72" s="33"/>
      <c r="C72" s="28" t="s">
        <v>99</v>
      </c>
      <c r="D72" s="29" t="s">
        <v>27</v>
      </c>
      <c r="E72" s="29">
        <v>0.1</v>
      </c>
      <c r="F72" s="29">
        <v>0</v>
      </c>
      <c r="G72" s="29">
        <v>0</v>
      </c>
      <c r="H72" s="30"/>
      <c r="I72" s="79" t="str">
        <f t="shared" si="20"/>
        <v>Soojusmajanduse stsenaariumid</v>
      </c>
      <c r="J72" s="30"/>
      <c r="K72" s="94" t="str">
        <f t="shared" si="19"/>
        <v>Soojusmajanduse stsenaariumite tulemused</v>
      </c>
    </row>
    <row r="73" spans="1:11" s="29" customFormat="1" x14ac:dyDescent="0.2">
      <c r="A73" s="45"/>
      <c r="B73" s="33"/>
      <c r="C73" s="28" t="s">
        <v>511</v>
      </c>
      <c r="D73" s="29" t="s">
        <v>27</v>
      </c>
      <c r="E73" s="29">
        <v>1</v>
      </c>
      <c r="F73" s="29">
        <v>0.5</v>
      </c>
      <c r="G73" s="29">
        <v>0</v>
      </c>
      <c r="H73" s="30"/>
      <c r="I73" s="79" t="str">
        <f t="shared" si="20"/>
        <v>Soojusmajanduse stsenaariumid</v>
      </c>
      <c r="J73" s="30"/>
      <c r="K73" s="94" t="str">
        <f t="shared" si="19"/>
        <v>Soojusmajanduse stsenaariumite tulemused</v>
      </c>
    </row>
    <row r="74" spans="1:11" s="29" customFormat="1" x14ac:dyDescent="0.2">
      <c r="A74" s="45"/>
      <c r="B74" s="33"/>
      <c r="C74" s="28" t="s">
        <v>513</v>
      </c>
      <c r="D74" s="29" t="s">
        <v>27</v>
      </c>
      <c r="E74" s="29">
        <v>0.4</v>
      </c>
      <c r="F74" s="29">
        <v>0.4</v>
      </c>
      <c r="G74" s="29">
        <v>0.3</v>
      </c>
      <c r="H74" s="30"/>
      <c r="I74" s="79" t="str">
        <f t="shared" si="20"/>
        <v>Soojusmajanduse stsenaariumid</v>
      </c>
      <c r="J74" s="30"/>
      <c r="K74" s="94" t="str">
        <f t="shared" si="19"/>
        <v>Soojusmajanduse stsenaariumite tulemused</v>
      </c>
    </row>
    <row r="75" spans="1:11" s="29" customFormat="1" x14ac:dyDescent="0.2">
      <c r="A75" s="45"/>
      <c r="B75" s="33"/>
      <c r="C75" s="28" t="s">
        <v>98</v>
      </c>
      <c r="D75" s="29" t="s">
        <v>27</v>
      </c>
      <c r="H75" s="30"/>
      <c r="I75" s="79" t="str">
        <f t="shared" si="20"/>
        <v>Soojusmajanduse stsenaariumid</v>
      </c>
      <c r="J75" s="30"/>
      <c r="K75" s="94" t="str">
        <f t="shared" si="19"/>
        <v>Soojusmajanduse stsenaariumite tulemused</v>
      </c>
    </row>
    <row r="76" spans="1:11" s="29" customFormat="1" x14ac:dyDescent="0.2">
      <c r="A76" s="343"/>
      <c r="B76" s="33"/>
      <c r="C76" s="28" t="s">
        <v>659</v>
      </c>
      <c r="D76" s="29" t="s">
        <v>27</v>
      </c>
      <c r="E76" s="29">
        <v>0.5</v>
      </c>
      <c r="F76" s="29">
        <v>0.4</v>
      </c>
      <c r="G76" s="29">
        <v>0.4</v>
      </c>
      <c r="H76" s="30"/>
      <c r="I76" s="79" t="str">
        <f t="shared" si="20"/>
        <v>Soojusmajanduse stsenaariumid</v>
      </c>
      <c r="J76" s="30"/>
      <c r="K76" s="94" t="str">
        <f t="shared" si="19"/>
        <v>Soojusmajanduse stsenaariumite tulemused</v>
      </c>
    </row>
    <row r="77" spans="1:11" s="29" customFormat="1" x14ac:dyDescent="0.2">
      <c r="A77" s="45"/>
      <c r="B77" s="33"/>
      <c r="C77" s="28" t="s">
        <v>100</v>
      </c>
      <c r="D77" s="29" t="s">
        <v>27</v>
      </c>
      <c r="E77" s="29">
        <v>0.4</v>
      </c>
      <c r="F77" s="29">
        <v>0.4</v>
      </c>
      <c r="G77" s="29">
        <v>0.4</v>
      </c>
      <c r="H77" s="30"/>
      <c r="I77" s="79" t="str">
        <f t="shared" si="20"/>
        <v>Soojusmajanduse stsenaariumid</v>
      </c>
      <c r="J77" s="30"/>
      <c r="K77" s="94" t="str">
        <f t="shared" si="19"/>
        <v>Soojusmajanduse stsenaariumite tulemused</v>
      </c>
    </row>
    <row r="78" spans="1:11" s="29" customFormat="1" x14ac:dyDescent="0.2">
      <c r="A78" s="45"/>
      <c r="B78" s="33"/>
      <c r="C78" s="28" t="s">
        <v>512</v>
      </c>
      <c r="D78" s="29" t="s">
        <v>27</v>
      </c>
      <c r="E78" s="29">
        <v>0.1</v>
      </c>
      <c r="F78" s="29">
        <v>0.1</v>
      </c>
      <c r="G78" s="29">
        <v>0</v>
      </c>
      <c r="H78" s="30"/>
      <c r="I78" s="79" t="str">
        <f t="shared" si="20"/>
        <v>Soojusmajanduse stsenaariumid</v>
      </c>
      <c r="J78" s="30"/>
      <c r="K78" s="94" t="str">
        <f t="shared" si="19"/>
        <v>Soojusmajanduse stsenaariumite tulemused</v>
      </c>
    </row>
    <row r="79" spans="1:11" s="29" customFormat="1" x14ac:dyDescent="0.2">
      <c r="A79" s="45"/>
      <c r="B79" s="33"/>
      <c r="C79" s="28" t="s">
        <v>94</v>
      </c>
      <c r="D79" s="29" t="s">
        <v>27</v>
      </c>
      <c r="E79" s="29">
        <v>1.5</v>
      </c>
      <c r="F79" s="29">
        <v>1.4</v>
      </c>
      <c r="G79" s="29">
        <v>1.4</v>
      </c>
      <c r="H79" s="30"/>
      <c r="I79" s="79" t="str">
        <f t="shared" si="20"/>
        <v>Soojusmajanduse stsenaariumid</v>
      </c>
      <c r="J79" s="30"/>
      <c r="K79" s="94" t="str">
        <f t="shared" si="19"/>
        <v>Soojusmajanduse stsenaariumite tulemused</v>
      </c>
    </row>
    <row r="80" spans="1:11" s="29" customFormat="1" x14ac:dyDescent="0.2">
      <c r="A80" s="45"/>
      <c r="B80" s="33"/>
      <c r="C80" s="28" t="s">
        <v>514</v>
      </c>
      <c r="D80" s="29" t="s">
        <v>27</v>
      </c>
      <c r="E80" s="29">
        <v>0.2</v>
      </c>
      <c r="F80" s="29">
        <v>0.2</v>
      </c>
      <c r="G80" s="29">
        <v>0.2</v>
      </c>
      <c r="H80" s="30"/>
      <c r="I80" s="79" t="str">
        <f t="shared" si="20"/>
        <v>Soojusmajanduse stsenaariumid</v>
      </c>
      <c r="J80" s="30"/>
      <c r="K80" s="94" t="str">
        <f>HYPERLINK("https://onedrive.live.com/redir?resid=31206ECE3E1FC115!150&amp;authkey=!AL2L9cqn4-BEBsE&amp;ithint=file%2cxlsx","Soojusmajanduse stsenaariumite tulemused")</f>
        <v>Soojusmajanduse stsenaariumite tulemused</v>
      </c>
    </row>
    <row r="81" spans="1:11" s="30" customFormat="1" ht="5" customHeight="1" x14ac:dyDescent="0.2">
      <c r="A81" s="33"/>
      <c r="B81" s="33"/>
      <c r="C81" s="31"/>
    </row>
    <row r="82" spans="1:11" s="29" customFormat="1" x14ac:dyDescent="0.2">
      <c r="A82" s="361"/>
      <c r="B82" s="33"/>
      <c r="C82" s="28" t="s">
        <v>715</v>
      </c>
      <c r="D82" s="29" t="s">
        <v>27</v>
      </c>
      <c r="E82" s="40">
        <f>SUM(E34:E38,E40,E41)-'VK-Elekter'!$E$10-E41*0.35</f>
        <v>8.7471755658278116</v>
      </c>
      <c r="F82" s="40">
        <f>SUM(F34:F38,F40,F41)-'VK-Elekter'!$E$10-F41*0.35</f>
        <v>7.936370010272257</v>
      </c>
      <c r="G82" s="40">
        <f>SUM(G34:G38,G40,G41)-'VK-Elekter'!$E$10-G41*0.35</f>
        <v>7.5763700102722566</v>
      </c>
      <c r="H82" s="15"/>
      <c r="I82" s="99" t="s">
        <v>223</v>
      </c>
      <c r="J82" s="30"/>
      <c r="K82" s="29" t="s">
        <v>223</v>
      </c>
    </row>
    <row r="83" spans="1:11" s="29" customFormat="1" x14ac:dyDescent="0.2">
      <c r="A83" s="361"/>
      <c r="B83" s="33"/>
      <c r="C83" s="28" t="s">
        <v>716</v>
      </c>
      <c r="D83" s="29" t="s">
        <v>27</v>
      </c>
      <c r="E83" s="40">
        <f>SUM(E32:E33,E39)-'VK-Elekter'!$E$15+E37*0.3</f>
        <v>9.3279335818485372</v>
      </c>
      <c r="F83" s="40">
        <f>SUM(F32:F33,F39)-'VK-Elekter'!$E$15+F37*0.3</f>
        <v>9.1527946929596489</v>
      </c>
      <c r="G83" s="40">
        <f>SUM(G32:G33,G39)-'VK-Elekter'!$E$15+G37*0.3</f>
        <v>8.9326558040707589</v>
      </c>
      <c r="H83" s="15"/>
      <c r="I83" s="99" t="s">
        <v>223</v>
      </c>
      <c r="J83" s="30"/>
      <c r="K83" s="29" t="s">
        <v>223</v>
      </c>
    </row>
    <row r="84" spans="1:11" s="29" customFormat="1" x14ac:dyDescent="0.2">
      <c r="A84" s="361"/>
      <c r="B84" s="33"/>
      <c r="C84" s="28" t="s">
        <v>717</v>
      </c>
      <c r="D84" s="29" t="s">
        <v>27</v>
      </c>
      <c r="E84" s="40">
        <f>E55</f>
        <v>0.2</v>
      </c>
      <c r="F84" s="40">
        <f t="shared" ref="F84:G84" si="21">F55</f>
        <v>0.1</v>
      </c>
      <c r="G84" s="40">
        <f t="shared" si="21"/>
        <v>0.1</v>
      </c>
      <c r="H84" s="15"/>
      <c r="I84" s="99" t="s">
        <v>223</v>
      </c>
      <c r="J84" s="30"/>
      <c r="K84" s="29" t="s">
        <v>223</v>
      </c>
    </row>
    <row r="85" spans="1:11" s="29" customFormat="1" x14ac:dyDescent="0.2">
      <c r="A85" s="361"/>
      <c r="B85" s="33"/>
      <c r="C85" s="28" t="s">
        <v>718</v>
      </c>
      <c r="D85" s="29" t="s">
        <v>27</v>
      </c>
      <c r="E85" s="40">
        <f>SUM(E46:E51,E53,E54)</f>
        <v>10.1</v>
      </c>
      <c r="F85" s="40">
        <f t="shared" ref="F85:G85" si="22">SUM(F46:F51,F53,F54)</f>
        <v>9.1999999999999993</v>
      </c>
      <c r="G85" s="40">
        <f t="shared" si="22"/>
        <v>8.8000000000000007</v>
      </c>
      <c r="H85" s="15"/>
      <c r="I85" s="99" t="s">
        <v>223</v>
      </c>
      <c r="J85" s="30"/>
      <c r="K85" s="29" t="s">
        <v>223</v>
      </c>
    </row>
    <row r="86" spans="1:11" s="29" customFormat="1" x14ac:dyDescent="0.2">
      <c r="A86" s="361"/>
      <c r="B86" s="33"/>
      <c r="C86" s="28" t="s">
        <v>719</v>
      </c>
      <c r="D86" s="29" t="s">
        <v>27</v>
      </c>
      <c r="E86" s="40">
        <f>SUM(E44:E45,E52)</f>
        <v>10.700000000000001</v>
      </c>
      <c r="F86" s="40">
        <f t="shared" ref="F86:G86" si="23">SUM(F44:F45,F52)</f>
        <v>10.8</v>
      </c>
      <c r="G86" s="40">
        <f t="shared" si="23"/>
        <v>10.600000000000001</v>
      </c>
      <c r="H86" s="15"/>
      <c r="I86" s="99" t="s">
        <v>223</v>
      </c>
      <c r="J86" s="30"/>
      <c r="K86" s="29" t="s">
        <v>223</v>
      </c>
    </row>
    <row r="87" spans="1:11" s="29" customFormat="1" x14ac:dyDescent="0.2">
      <c r="A87" s="361"/>
      <c r="B87" s="33"/>
      <c r="C87" s="28" t="s">
        <v>720</v>
      </c>
      <c r="D87" s="29" t="s">
        <v>27</v>
      </c>
      <c r="E87" s="40">
        <f>E55</f>
        <v>0.2</v>
      </c>
      <c r="F87" s="40">
        <f t="shared" ref="F87:G87" si="24">F55</f>
        <v>0.1</v>
      </c>
      <c r="G87" s="40">
        <f t="shared" si="24"/>
        <v>0.1</v>
      </c>
      <c r="H87" s="15"/>
      <c r="I87" s="99" t="s">
        <v>223</v>
      </c>
      <c r="J87" s="30"/>
      <c r="K87" s="29" t="s">
        <v>223</v>
      </c>
    </row>
    <row r="88" spans="1:11" s="29" customFormat="1" x14ac:dyDescent="0.2">
      <c r="A88" s="361"/>
      <c r="B88" s="33"/>
      <c r="C88" s="28"/>
      <c r="E88" s="40"/>
      <c r="F88" s="40"/>
      <c r="G88" s="40"/>
      <c r="H88" s="15"/>
      <c r="I88" s="99"/>
      <c r="J88" s="30"/>
    </row>
    <row r="89" spans="1:11" s="29" customFormat="1" x14ac:dyDescent="0.2">
      <c r="A89" s="361"/>
      <c r="B89" s="33"/>
      <c r="C89" s="28" t="s">
        <v>712</v>
      </c>
      <c r="D89" s="29" t="s">
        <v>27</v>
      </c>
      <c r="E89" s="40">
        <f>SUM(E59:E63,E65,E66)-'VK-Elekter'!E33-E66*0.35</f>
        <v>8.0523611111111126</v>
      </c>
      <c r="F89" s="40">
        <f>SUM(F59:F63,F65,F66)-'VK-Elekter'!F33-F66*0.35</f>
        <v>6.5993333333333322</v>
      </c>
      <c r="G89" s="40">
        <f>SUM(G59:G63,G65,G66)-'VK-Elekter'!G33-G66*0.35</f>
        <v>5.2376666666666667</v>
      </c>
      <c r="H89" s="15"/>
      <c r="I89" s="99" t="s">
        <v>223</v>
      </c>
      <c r="J89" s="30"/>
      <c r="K89" s="29" t="s">
        <v>223</v>
      </c>
    </row>
    <row r="90" spans="1:11" s="29" customFormat="1" x14ac:dyDescent="0.2">
      <c r="A90" s="361"/>
      <c r="B90" s="33"/>
      <c r="C90" s="28" t="s">
        <v>713</v>
      </c>
      <c r="D90" s="29" t="s">
        <v>27</v>
      </c>
      <c r="E90" s="40">
        <f>SUM(E57:E58,E64)-'VK-Elekter'!$E$38+E62*0.3</f>
        <v>10.42138888888889</v>
      </c>
      <c r="F90" s="40">
        <f>SUM(F57:F58,F64)-'VK-Elekter'!$E$38+F62*0.3</f>
        <v>9.425416666666667</v>
      </c>
      <c r="G90" s="40">
        <f>SUM(G57:G58,G64)-'VK-Elekter'!$E$38+G62*0.3</f>
        <v>9.1105555555555569</v>
      </c>
      <c r="H90" s="15"/>
      <c r="I90" s="99" t="s">
        <v>223</v>
      </c>
      <c r="J90" s="30"/>
      <c r="K90" s="29" t="s">
        <v>223</v>
      </c>
    </row>
    <row r="91" spans="1:11" s="29" customFormat="1" x14ac:dyDescent="0.2">
      <c r="A91" s="361"/>
      <c r="B91" s="33"/>
      <c r="C91" s="28" t="s">
        <v>714</v>
      </c>
      <c r="D91" s="29" t="s">
        <v>27</v>
      </c>
      <c r="E91" s="40">
        <f>E67</f>
        <v>0.19999999999999998</v>
      </c>
      <c r="F91" s="40">
        <f t="shared" ref="F91:G91" si="25">F67</f>
        <v>0.19999999999999998</v>
      </c>
      <c r="G91" s="40">
        <f t="shared" si="25"/>
        <v>0.2</v>
      </c>
      <c r="H91" s="15"/>
      <c r="I91" s="99" t="s">
        <v>223</v>
      </c>
      <c r="J91" s="30"/>
      <c r="K91" s="29" t="s">
        <v>223</v>
      </c>
    </row>
    <row r="92" spans="1:11" s="29" customFormat="1" x14ac:dyDescent="0.2">
      <c r="A92" s="45"/>
      <c r="B92" s="33"/>
      <c r="C92" s="28" t="s">
        <v>177</v>
      </c>
      <c r="D92" s="29" t="s">
        <v>27</v>
      </c>
      <c r="E92" s="40">
        <f>SUM($E$71:$E$75,E78)</f>
        <v>7.1999999999999993</v>
      </c>
      <c r="F92" s="40">
        <f>SUM($E$71:$E$75,F78)</f>
        <v>7.1999999999999993</v>
      </c>
      <c r="G92" s="40">
        <f>SUM($E$71:$E$75,G78)</f>
        <v>7.1</v>
      </c>
      <c r="H92" s="15">
        <f>SUM(H73,H74,H75,H79,H80)</f>
        <v>0</v>
      </c>
      <c r="I92" s="99" t="s">
        <v>223</v>
      </c>
      <c r="J92" s="30"/>
      <c r="K92" s="29" t="s">
        <v>223</v>
      </c>
    </row>
    <row r="93" spans="1:11" s="29" customFormat="1" x14ac:dyDescent="0.2">
      <c r="A93" s="45"/>
      <c r="B93" s="33"/>
      <c r="C93" s="28" t="s">
        <v>178</v>
      </c>
      <c r="D93" s="29" t="s">
        <v>27</v>
      </c>
      <c r="E93" s="40">
        <f>SUM(E69,E70,E77,E80)</f>
        <v>12.9</v>
      </c>
      <c r="F93" s="40">
        <f>SUM(F69,F70,F77,F80)</f>
        <v>11.9</v>
      </c>
      <c r="G93" s="40">
        <f>SUM(G69,G70,G77,G80)</f>
        <v>11.5</v>
      </c>
      <c r="H93" s="15">
        <f>SUM(H69,H70,H71)</f>
        <v>0</v>
      </c>
      <c r="I93" s="99" t="s">
        <v>223</v>
      </c>
      <c r="J93" s="30"/>
      <c r="K93" s="29" t="s">
        <v>223</v>
      </c>
    </row>
    <row r="94" spans="1:11" s="29" customFormat="1" x14ac:dyDescent="0.2">
      <c r="A94" s="301"/>
      <c r="B94" s="33"/>
      <c r="C94" s="28" t="s">
        <v>602</v>
      </c>
      <c r="D94" s="29" t="s">
        <v>27</v>
      </c>
      <c r="E94" s="40">
        <f>E80</f>
        <v>0.2</v>
      </c>
      <c r="F94" s="40">
        <f>F80</f>
        <v>0.2</v>
      </c>
      <c r="G94" s="40">
        <f>G80</f>
        <v>0.2</v>
      </c>
      <c r="H94" s="15"/>
      <c r="I94" s="99" t="s">
        <v>223</v>
      </c>
      <c r="J94" s="30"/>
      <c r="K94" s="29" t="s">
        <v>223</v>
      </c>
    </row>
    <row r="95" spans="1:11" s="29" customFormat="1" x14ac:dyDescent="0.2">
      <c r="A95" s="45"/>
      <c r="B95" s="33"/>
      <c r="C95" s="28" t="s">
        <v>174</v>
      </c>
      <c r="D95" s="29" t="s">
        <v>27</v>
      </c>
      <c r="E95" s="40">
        <f>SUM(E71,E78)</f>
        <v>5.6999999999999993</v>
      </c>
      <c r="F95" s="40">
        <f>SUM(F71,F78)</f>
        <v>4.8999999999999995</v>
      </c>
      <c r="G95" s="40">
        <f>SUM(G71,G78)</f>
        <v>4.0999999999999996</v>
      </c>
      <c r="H95" s="15">
        <f>SUM(H72,H77,H78)</f>
        <v>0</v>
      </c>
      <c r="I95" s="99" t="s">
        <v>223</v>
      </c>
      <c r="J95" s="30"/>
      <c r="K95" s="29" t="s">
        <v>223</v>
      </c>
    </row>
    <row r="96" spans="1:11" s="29" customFormat="1" hidden="1" x14ac:dyDescent="0.2">
      <c r="A96" s="309"/>
      <c r="B96" s="33"/>
      <c r="C96" s="28" t="s">
        <v>600</v>
      </c>
      <c r="E96" s="40"/>
      <c r="F96" s="40"/>
      <c r="G96" s="40"/>
      <c r="H96" s="15"/>
      <c r="I96" s="99"/>
      <c r="J96" s="30"/>
    </row>
    <row r="97" spans="1:11" s="29" customFormat="1" hidden="1" x14ac:dyDescent="0.2">
      <c r="A97" s="309"/>
      <c r="B97" s="33"/>
      <c r="C97" s="28" t="s">
        <v>601</v>
      </c>
      <c r="E97" s="40"/>
      <c r="F97" s="40"/>
      <c r="G97" s="40"/>
      <c r="H97" s="15"/>
      <c r="I97" s="99"/>
      <c r="J97" s="30"/>
    </row>
    <row r="98" spans="1:11" s="29" customFormat="1" x14ac:dyDescent="0.2">
      <c r="A98" s="301"/>
      <c r="B98" s="33"/>
      <c r="C98" s="28" t="s">
        <v>580</v>
      </c>
      <c r="D98" s="29" t="s">
        <v>27</v>
      </c>
      <c r="E98" s="40">
        <f>SUM(E69,E70,E77)</f>
        <v>12.700000000000001</v>
      </c>
      <c r="F98" s="40">
        <f>SUM(F69,F70,F77)</f>
        <v>11.700000000000001</v>
      </c>
      <c r="G98" s="40">
        <f>SUM(G69,G70,G77)</f>
        <v>11.3</v>
      </c>
      <c r="H98" s="15"/>
      <c r="I98" s="99" t="s">
        <v>223</v>
      </c>
      <c r="J98" s="30"/>
      <c r="K98" s="29" t="s">
        <v>223</v>
      </c>
    </row>
    <row r="99" spans="1:11" s="29" customFormat="1" x14ac:dyDescent="0.2">
      <c r="A99" s="254"/>
      <c r="B99" s="33"/>
      <c r="C99" s="28" t="s">
        <v>581</v>
      </c>
      <c r="D99" s="29" t="s">
        <v>579</v>
      </c>
      <c r="E99" s="40">
        <f>SUM(E69:E70,E77)/2</f>
        <v>6.3500000000000005</v>
      </c>
      <c r="F99" s="40">
        <f>SUM(F69:F70,F77)/2</f>
        <v>5.8500000000000005</v>
      </c>
      <c r="G99" s="40">
        <f>SUM(G69:G70,G77)/2</f>
        <v>5.65</v>
      </c>
      <c r="H99" s="15"/>
      <c r="I99" s="99" t="s">
        <v>223</v>
      </c>
      <c r="J99" s="30"/>
      <c r="K99" s="29" t="s">
        <v>223</v>
      </c>
    </row>
    <row r="100" spans="1:11" s="29" customFormat="1" x14ac:dyDescent="0.2">
      <c r="A100" s="254"/>
      <c r="B100" s="33"/>
      <c r="C100" s="28"/>
      <c r="E100" s="40"/>
      <c r="F100" s="40"/>
      <c r="G100" s="40"/>
      <c r="H100" s="15"/>
      <c r="I100" s="99"/>
      <c r="J100" s="30"/>
    </row>
    <row r="101" spans="1:11" s="29" customFormat="1" x14ac:dyDescent="0.2">
      <c r="A101" s="254"/>
      <c r="B101" s="33"/>
      <c r="C101" s="28" t="s">
        <v>604</v>
      </c>
      <c r="D101" s="29" t="s">
        <v>27</v>
      </c>
      <c r="E101" s="40">
        <f>SUM(E72,E73)</f>
        <v>1.1000000000000001</v>
      </c>
      <c r="F101" s="40">
        <f>SUM(F72,F73)</f>
        <v>0.5</v>
      </c>
      <c r="G101" s="40">
        <f>SUM(G72,G73)</f>
        <v>0</v>
      </c>
      <c r="H101" s="15"/>
      <c r="I101" s="99" t="s">
        <v>223</v>
      </c>
      <c r="J101" s="30"/>
      <c r="K101" s="29" t="s">
        <v>223</v>
      </c>
    </row>
    <row r="102" spans="1:11" s="29" customFormat="1" x14ac:dyDescent="0.2">
      <c r="A102" s="254"/>
      <c r="B102" s="33"/>
      <c r="C102" s="28" t="s">
        <v>605</v>
      </c>
      <c r="D102" s="29" t="s">
        <v>27</v>
      </c>
      <c r="E102" s="40">
        <f>SUM(E69:E80)-E101-E79-E76</f>
        <v>18.999999999999996</v>
      </c>
      <c r="F102" s="40">
        <f>SUM(F69:F80)-F101-F79-F76</f>
        <v>17.2</v>
      </c>
      <c r="G102" s="40">
        <f>SUM(G69:G80)-G101-G79-G76</f>
        <v>15.9</v>
      </c>
      <c r="H102" s="15"/>
      <c r="I102" s="99" t="s">
        <v>223</v>
      </c>
      <c r="J102" s="30"/>
      <c r="K102" s="29" t="s">
        <v>223</v>
      </c>
    </row>
    <row r="103" spans="1:11" s="29" customFormat="1" x14ac:dyDescent="0.2">
      <c r="A103" s="254"/>
      <c r="B103" s="33"/>
      <c r="C103" s="28"/>
      <c r="E103" s="40"/>
      <c r="F103" s="40"/>
      <c r="G103" s="40"/>
      <c r="H103" s="15"/>
      <c r="I103" s="99"/>
      <c r="J103" s="30"/>
    </row>
    <row r="104" spans="1:11" s="29" customFormat="1" x14ac:dyDescent="0.2">
      <c r="A104" s="78"/>
      <c r="B104" s="33"/>
      <c r="C104" s="28"/>
      <c r="E104" s="40"/>
      <c r="F104" s="40"/>
      <c r="G104" s="40"/>
      <c r="H104" s="15"/>
      <c r="J104" s="30"/>
    </row>
    <row r="105" spans="1:11" s="5" customFormat="1" ht="5" customHeight="1" x14ac:dyDescent="0.2">
      <c r="A105" s="8"/>
      <c r="B105" s="33"/>
      <c r="C105" s="6"/>
      <c r="H105" s="30"/>
      <c r="J105" s="30"/>
    </row>
    <row r="106" spans="1:11" s="43" customFormat="1" x14ac:dyDescent="0.2">
      <c r="A106" s="531" t="s">
        <v>23</v>
      </c>
      <c r="B106" s="37"/>
      <c r="C106" s="42" t="s">
        <v>121</v>
      </c>
      <c r="D106" s="43" t="s">
        <v>13</v>
      </c>
      <c r="E106" s="118">
        <f>SUM(E108:E109)</f>
        <v>-38172.5</v>
      </c>
      <c r="F106" s="118">
        <f t="shared" ref="F106:G106" si="26">SUM(F108:F109)</f>
        <v>-38424</v>
      </c>
      <c r="G106" s="118">
        <f t="shared" si="26"/>
        <v>-39540.199999999997</v>
      </c>
      <c r="H106" s="33"/>
      <c r="I106" s="43" t="s">
        <v>223</v>
      </c>
      <c r="J106" s="33"/>
      <c r="K106" s="43" t="s">
        <v>223</v>
      </c>
    </row>
    <row r="107" spans="1:11" s="2" customFormat="1" x14ac:dyDescent="0.2">
      <c r="A107" s="531"/>
      <c r="B107" s="37"/>
      <c r="C107" s="10" t="s">
        <v>30</v>
      </c>
      <c r="D107" s="2" t="s">
        <v>13</v>
      </c>
      <c r="E107" s="90">
        <f>-19100</f>
        <v>-19100</v>
      </c>
      <c r="F107" s="90">
        <f>-21050</f>
        <v>-21050</v>
      </c>
      <c r="G107" s="90">
        <f>-23304</f>
        <v>-23304</v>
      </c>
      <c r="H107" s="30"/>
      <c r="I107" s="80" t="str">
        <f>HYPERLINK("http://www.energiatalgud.ee/index.php?title=Hoonefondi_ENMAK_stsenaariumid","Hoonefondi stsenaariumid")</f>
        <v>Hoonefondi stsenaariumid</v>
      </c>
      <c r="J107" s="30"/>
      <c r="K107" s="101" t="str">
        <f>HYPERLINK("https://onedrive.live.com/redir?resid=31206ECE3E1FC115!140&amp;authkey=!AOuPQbtMve1j0e8&amp;ithint=file%2cxlsx","Elamumajanduse stsenaariumite tulemused")</f>
        <v>Elamumajanduse stsenaariumite tulemused</v>
      </c>
    </row>
    <row r="108" spans="1:11" s="27" customFormat="1" x14ac:dyDescent="0.2">
      <c r="A108" s="531"/>
      <c r="B108" s="37"/>
      <c r="C108" s="34" t="s">
        <v>681</v>
      </c>
      <c r="D108" s="27" t="s">
        <v>13</v>
      </c>
      <c r="E108" s="90">
        <f>E107/20*16</f>
        <v>-15280</v>
      </c>
      <c r="F108" s="90">
        <f t="shared" ref="F108:G108" si="27">F107/20*16</f>
        <v>-16840</v>
      </c>
      <c r="G108" s="90">
        <f t="shared" si="27"/>
        <v>-18643.2</v>
      </c>
      <c r="H108" s="30"/>
      <c r="I108" s="80"/>
      <c r="J108" s="30"/>
      <c r="K108" s="101"/>
    </row>
    <row r="109" spans="1:11" s="2" customFormat="1" x14ac:dyDescent="0.2">
      <c r="A109" s="531"/>
      <c r="B109" s="37"/>
      <c r="C109" s="10" t="s">
        <v>31</v>
      </c>
      <c r="D109" s="2" t="s">
        <v>13</v>
      </c>
      <c r="E109" s="90">
        <f>-22892.5</f>
        <v>-22892.5</v>
      </c>
      <c r="F109" s="90">
        <f>-21584</f>
        <v>-21584</v>
      </c>
      <c r="G109" s="90">
        <f>-20897</f>
        <v>-20897</v>
      </c>
      <c r="H109" s="108"/>
      <c r="I109" s="80" t="str">
        <f t="shared" ref="I109" si="28">HYPERLINK("http://www.energiatalgud.ee/index.php?title=Soojusmajanduse_ENMAK_stsenaariumid","Soojusmajanduse stsenaariumid")</f>
        <v>Soojusmajanduse stsenaariumid</v>
      </c>
      <c r="J109" s="30"/>
      <c r="K109" s="101" t="str">
        <f>HYPERLINK("https://onedrive.live.com/redir?resid=31206ECE3E1FC115!150&amp;authkey=!AL2L9cqn4-BEBsE&amp;ithint=file%2cxlsx","Soojusmajanduse stsenaariumite tulemused")</f>
        <v>Soojusmajanduse stsenaariumite tulemused</v>
      </c>
    </row>
    <row r="110" spans="1:11" s="43" customFormat="1" x14ac:dyDescent="0.2">
      <c r="A110" s="531"/>
      <c r="B110" s="37"/>
      <c r="C110" s="47" t="s">
        <v>442</v>
      </c>
      <c r="D110" s="27" t="s">
        <v>13</v>
      </c>
      <c r="E110" s="90">
        <f t="shared" ref="E110:F110" si="29">SUM(E113:E114)</f>
        <v>-60</v>
      </c>
      <c r="F110" s="90">
        <f t="shared" si="29"/>
        <v>-648.16</v>
      </c>
      <c r="G110" s="90">
        <f>SUM(G113:G114)</f>
        <v>-2018.72</v>
      </c>
      <c r="H110" s="109"/>
      <c r="I110" s="82" t="s">
        <v>223</v>
      </c>
      <c r="J110" s="33"/>
      <c r="K110" s="110" t="s">
        <v>223</v>
      </c>
    </row>
    <row r="111" spans="1:11" s="43" customFormat="1" x14ac:dyDescent="0.2">
      <c r="A111" s="531"/>
      <c r="B111" s="37"/>
      <c r="C111" s="47" t="s">
        <v>443</v>
      </c>
      <c r="D111" s="27" t="s">
        <v>13</v>
      </c>
      <c r="E111" s="90">
        <f>-($E$110-E110)</f>
        <v>0</v>
      </c>
      <c r="F111" s="90">
        <f t="shared" ref="F111:G111" si="30">-($E$110-F110)</f>
        <v>-588.16</v>
      </c>
      <c r="G111" s="90">
        <f t="shared" si="30"/>
        <v>-1958.72</v>
      </c>
      <c r="H111" s="109"/>
      <c r="I111" s="82"/>
      <c r="J111" s="33"/>
      <c r="K111" s="110"/>
    </row>
    <row r="112" spans="1:11" s="2" customFormat="1" x14ac:dyDescent="0.2">
      <c r="A112" s="531"/>
      <c r="B112" s="37"/>
      <c r="C112" s="10" t="s">
        <v>30</v>
      </c>
      <c r="D112" s="2" t="s">
        <v>13</v>
      </c>
      <c r="E112" s="90">
        <v>-71.3</v>
      </c>
      <c r="F112" s="90">
        <v>-810.3</v>
      </c>
      <c r="G112" s="90">
        <v>-2523.4</v>
      </c>
      <c r="H112" s="108"/>
      <c r="I112" s="80" t="str">
        <f>HYPERLINK("http://www.energiatalgud.ee/index.php?title=Hoonefondi_ENMAK_stsenaariumid","Hoonefondi stsenaariumid")</f>
        <v>Hoonefondi stsenaariumid</v>
      </c>
      <c r="J112" s="30"/>
      <c r="K112" s="101" t="str">
        <f>HYPERLINK("https://onedrive.live.com/redir?resid=31206ECE3E1FC115!140&amp;authkey=!AOuPQbtMve1j0e8&amp;ithint=file%2cxlsx","Elamumajanduse stsenaariumite tulemused")</f>
        <v>Elamumajanduse stsenaariumite tulemused</v>
      </c>
    </row>
    <row r="113" spans="1:11" s="27" customFormat="1" x14ac:dyDescent="0.2">
      <c r="A113" s="531"/>
      <c r="B113" s="37"/>
      <c r="C113" s="34" t="s">
        <v>681</v>
      </c>
      <c r="D113" s="27" t="s">
        <v>13</v>
      </c>
      <c r="E113" s="90">
        <f>-3.75*16</f>
        <v>-60</v>
      </c>
      <c r="F113" s="90">
        <f>-40.51*16</f>
        <v>-648.16</v>
      </c>
      <c r="G113" s="90">
        <f>-126.17*16</f>
        <v>-2018.72</v>
      </c>
      <c r="H113" s="108"/>
      <c r="I113" s="80"/>
      <c r="J113" s="30"/>
      <c r="K113" s="101"/>
    </row>
    <row r="114" spans="1:11" s="2" customFormat="1" x14ac:dyDescent="0.2">
      <c r="A114" s="531"/>
      <c r="B114" s="37"/>
      <c r="C114" s="10" t="s">
        <v>31</v>
      </c>
      <c r="D114" s="2" t="s">
        <v>13</v>
      </c>
      <c r="E114" s="90">
        <v>0</v>
      </c>
      <c r="F114" s="90">
        <v>0</v>
      </c>
      <c r="G114" s="90">
        <v>0</v>
      </c>
      <c r="H114" s="30"/>
      <c r="I114" s="80" t="str">
        <f t="shared" ref="I114" si="31">HYPERLINK("http://www.energiatalgud.ee/index.php?title=Soojusmajanduse_ENMAK_stsenaariumid","Soojusmajanduse stsenaariumid")</f>
        <v>Soojusmajanduse stsenaariumid</v>
      </c>
      <c r="J114" s="30"/>
      <c r="K114" s="101" t="str">
        <f>HYPERLINK("https://onedrive.live.com/redir?resid=31206ECE3E1FC115!150&amp;authkey=!AL2L9cqn4-BEBsE&amp;ithint=file%2cxlsx","Soojusmajanduse stsenaariumite tulemused")</f>
        <v>Soojusmajanduse stsenaariumite tulemused</v>
      </c>
    </row>
    <row r="115" spans="1:11" s="5" customFormat="1" ht="4.25" customHeight="1" x14ac:dyDescent="0.2">
      <c r="A115" s="531"/>
      <c r="B115" s="37"/>
      <c r="C115" s="6"/>
      <c r="E115" s="90"/>
      <c r="F115" s="90"/>
      <c r="G115" s="90"/>
      <c r="H115" s="30"/>
      <c r="J115" s="30"/>
    </row>
    <row r="116" spans="1:11" s="2" customFormat="1" ht="16.25" customHeight="1" x14ac:dyDescent="0.2">
      <c r="A116" s="531"/>
      <c r="B116" s="37"/>
      <c r="C116" s="42" t="s">
        <v>528</v>
      </c>
      <c r="D116" s="2" t="s">
        <v>13</v>
      </c>
      <c r="E116" s="118">
        <f>SUM(E117:E118)</f>
        <v>563.79999999999995</v>
      </c>
      <c r="F116" s="118">
        <f>SUM(F117:F118)</f>
        <v>1128.5999999999999</v>
      </c>
      <c r="G116" s="118">
        <f>SUM(G117:G118)</f>
        <v>1827.1</v>
      </c>
      <c r="H116" s="30"/>
      <c r="I116" s="2" t="s">
        <v>223</v>
      </c>
      <c r="J116" s="30"/>
    </row>
    <row r="117" spans="1:11" s="2" customFormat="1" ht="16.25" customHeight="1" x14ac:dyDescent="0.2">
      <c r="A117" s="531"/>
      <c r="B117" s="37"/>
      <c r="C117" s="10" t="s">
        <v>205</v>
      </c>
      <c r="D117" s="2" t="s">
        <v>13</v>
      </c>
      <c r="E117" s="90">
        <f>279.8</f>
        <v>279.8</v>
      </c>
      <c r="F117" s="90">
        <f>901.6</f>
        <v>901.6</v>
      </c>
      <c r="G117" s="90">
        <v>1684.1</v>
      </c>
      <c r="H117" s="30"/>
      <c r="I117" s="80" t="str">
        <f>HYPERLINK("http://www.energiatalgud.ee/index.php?title=Hoonefondi_ENMAK_stsenaariumid","Hoonefondi stsenaariumid")</f>
        <v>Hoonefondi stsenaariumid</v>
      </c>
      <c r="J117" s="30"/>
      <c r="K117" s="101" t="str">
        <f>HYPERLINK("https://onedrive.live.com/redir?resid=31206ECE3E1FC115!140&amp;authkey=!AOuPQbtMve1j0e8&amp;ithint=file%2cxlsx","Elamumajanduse stsenaariumite tulemused")</f>
        <v>Elamumajanduse stsenaariumite tulemused</v>
      </c>
    </row>
    <row r="118" spans="1:11" s="2" customFormat="1" ht="16.25" customHeight="1" x14ac:dyDescent="0.2">
      <c r="A118" s="531"/>
      <c r="B118" s="37"/>
      <c r="C118" s="34" t="s">
        <v>318</v>
      </c>
      <c r="D118" s="27" t="s">
        <v>13</v>
      </c>
      <c r="E118" s="90">
        <v>284</v>
      </c>
      <c r="F118" s="90">
        <v>227</v>
      </c>
      <c r="G118" s="90">
        <v>143</v>
      </c>
      <c r="H118" s="30"/>
      <c r="I118" s="80" t="str">
        <f t="shared" ref="I118" si="32">HYPERLINK("http://www.energiatalgud.ee/index.php?title=Soojusmajanduse_ENMAK_stsenaariumid","Soojusmajanduse stsenaariumid")</f>
        <v>Soojusmajanduse stsenaariumid</v>
      </c>
      <c r="J118" s="30"/>
      <c r="K118" s="101" t="str">
        <f>HYPERLINK("https://onedrive.live.com/redir?resid=31206ECE3E1FC115!150&amp;authkey=!AL2L9cqn4-BEBsE&amp;ithint=file%2cxlsx","Soojusmajanduse stsenaariumite tulemused")</f>
        <v>Soojusmajanduse stsenaariumite tulemused</v>
      </c>
    </row>
    <row r="119" spans="1:11" s="2" customFormat="1" ht="16.25" customHeight="1" x14ac:dyDescent="0.2">
      <c r="A119" s="531"/>
      <c r="B119" s="37"/>
      <c r="C119" s="34"/>
      <c r="D119" s="27"/>
      <c r="E119" s="90"/>
      <c r="F119" s="90"/>
      <c r="G119" s="90"/>
      <c r="H119" s="30"/>
      <c r="I119" s="80"/>
      <c r="J119" s="30"/>
      <c r="K119" s="101"/>
    </row>
    <row r="120" spans="1:11" s="5" customFormat="1" ht="5" customHeight="1" x14ac:dyDescent="0.2">
      <c r="A120" s="531"/>
      <c r="B120" s="37"/>
      <c r="C120" s="22"/>
      <c r="E120" s="23"/>
      <c r="F120" s="23"/>
      <c r="G120" s="23"/>
      <c r="H120" s="30"/>
      <c r="J120" s="30"/>
    </row>
    <row r="121" spans="1:11" s="2" customFormat="1" x14ac:dyDescent="0.2">
      <c r="A121" s="531"/>
      <c r="B121" s="37"/>
      <c r="C121" s="1" t="s">
        <v>206</v>
      </c>
      <c r="D121" s="2" t="s">
        <v>13</v>
      </c>
      <c r="E121" s="90">
        <f>37</f>
        <v>37</v>
      </c>
      <c r="F121" s="90">
        <f>78.2</f>
        <v>78.2</v>
      </c>
      <c r="G121" s="90">
        <v>106.6</v>
      </c>
      <c r="H121" s="30"/>
      <c r="I121" s="80" t="str">
        <f>HYPERLINK("http://www.energiatalgud.ee/index.php?title=Hoonefondi_ENMAK_stsenaariumid","Hoonefondi stsenaariumid")</f>
        <v>Hoonefondi stsenaariumid</v>
      </c>
      <c r="J121" s="30"/>
      <c r="K121" s="101" t="str">
        <f>HYPERLINK("https://onedrive.live.com/redir?resid=31206ECE3E1FC115!140&amp;authkey=!AOuPQbtMve1j0e8&amp;ithint=file%2cxlsx","Elamumajanduse stsenaariumite tulemused")</f>
        <v>Elamumajanduse stsenaariumite tulemused</v>
      </c>
    </row>
    <row r="122" spans="1:11" s="2" customFormat="1" x14ac:dyDescent="0.2">
      <c r="A122" s="531"/>
      <c r="B122" s="37"/>
      <c r="C122" s="1"/>
      <c r="E122" s="90"/>
      <c r="F122" s="90"/>
      <c r="G122" s="90"/>
      <c r="H122" s="30"/>
      <c r="J122" s="30"/>
    </row>
    <row r="123" spans="1:11" s="2" customFormat="1" x14ac:dyDescent="0.2">
      <c r="A123" s="531"/>
      <c r="B123" s="37"/>
      <c r="C123" s="1" t="s">
        <v>112</v>
      </c>
      <c r="D123" s="2" t="s">
        <v>13</v>
      </c>
      <c r="E123" s="90">
        <v>534.5</v>
      </c>
      <c r="F123" s="90">
        <f>1069.1</f>
        <v>1069.0999999999999</v>
      </c>
      <c r="G123" s="90">
        <f>2563.6</f>
        <v>2563.6</v>
      </c>
      <c r="H123" s="30"/>
      <c r="I123" s="80" t="str">
        <f>HYPERLINK("http://www.energiatalgud.ee/index.php?title=Hoonefondi_ENMAK_stsenaariumid","Hoonefondi stsenaariumid")</f>
        <v>Hoonefondi stsenaariumid</v>
      </c>
      <c r="J123" s="30"/>
      <c r="K123" s="101" t="str">
        <f>HYPERLINK("https://onedrive.live.com/redir?resid=31206ECE3E1FC115!140&amp;authkey=!AOuPQbtMve1j0e8&amp;ithint=file%2cxlsx","Elamumajanduse stsenaariumite tulemused")</f>
        <v>Elamumajanduse stsenaariumite tulemused</v>
      </c>
    </row>
    <row r="124" spans="1:11" s="2" customFormat="1" x14ac:dyDescent="0.2">
      <c r="A124" s="531"/>
      <c r="B124" s="37"/>
      <c r="C124" s="1" t="s">
        <v>103</v>
      </c>
      <c r="D124" s="2" t="s">
        <v>24</v>
      </c>
      <c r="E124" s="90">
        <f>SUM(E125:E126)</f>
        <v>1712</v>
      </c>
      <c r="F124" s="90">
        <f>SUM(F125:F126)</f>
        <v>3166</v>
      </c>
      <c r="G124" s="90">
        <f>SUM(G125:G126)</f>
        <v>5097</v>
      </c>
      <c r="H124" s="30"/>
      <c r="I124" s="2" t="s">
        <v>223</v>
      </c>
      <c r="J124" s="30"/>
      <c r="K124" s="2" t="s">
        <v>223</v>
      </c>
    </row>
    <row r="125" spans="1:11" s="2" customFormat="1" x14ac:dyDescent="0.2">
      <c r="A125" s="12"/>
      <c r="B125" s="37"/>
      <c r="C125" s="10" t="s">
        <v>26</v>
      </c>
      <c r="D125" s="2" t="s">
        <v>24</v>
      </c>
      <c r="E125" s="90">
        <v>670</v>
      </c>
      <c r="F125" s="90">
        <v>2150</v>
      </c>
      <c r="G125" s="90">
        <v>4240</v>
      </c>
      <c r="H125" s="30"/>
      <c r="I125" s="80" t="str">
        <f>HYPERLINK("http://www.energiatalgud.ee/index.php?title=Hoonefondi_ENMAK_stsenaariumid","Hoonefondi stsenaariumid")</f>
        <v>Hoonefondi stsenaariumid</v>
      </c>
      <c r="J125" s="30"/>
      <c r="K125" s="101" t="str">
        <f>HYPERLINK("https://onedrive.live.com/redir?resid=31206ECE3E1FC115!140&amp;authkey=!AOuPQbtMve1j0e8&amp;ithint=file%2cxlsx","Elamumajanduse stsenaariumite tulemused")</f>
        <v>Elamumajanduse stsenaariumite tulemused</v>
      </c>
    </row>
    <row r="126" spans="1:11" s="2" customFormat="1" x14ac:dyDescent="0.2">
      <c r="A126" s="12"/>
      <c r="B126" s="37"/>
      <c r="C126" s="10" t="s">
        <v>29</v>
      </c>
      <c r="D126" s="2" t="s">
        <v>24</v>
      </c>
      <c r="E126" s="90">
        <v>1042</v>
      </c>
      <c r="F126" s="90">
        <v>1016</v>
      </c>
      <c r="G126" s="90">
        <v>857</v>
      </c>
      <c r="H126" s="30"/>
      <c r="I126" s="80" t="str">
        <f t="shared" ref="I126" si="33">HYPERLINK("http://www.energiatalgud.ee/index.php?title=Soojusmajanduse_ENMAK_stsenaariumid","Soojusmajanduse stsenaariumid")</f>
        <v>Soojusmajanduse stsenaariumid</v>
      </c>
      <c r="J126" s="30"/>
      <c r="K126" s="101" t="str">
        <f>HYPERLINK("https://onedrive.live.com/redir?resid=31206ECE3E1FC115!150&amp;authkey=!AL2L9cqn4-BEBsE&amp;ithint=file%2cxlsx","Soojusmajanduse stsenaariumite tulemused")</f>
        <v>Soojusmajanduse stsenaariumite tulemused</v>
      </c>
    </row>
    <row r="127" spans="1:11" s="27" customFormat="1" x14ac:dyDescent="0.2">
      <c r="A127" s="46"/>
      <c r="B127" s="37"/>
      <c r="C127" s="26" t="s">
        <v>212</v>
      </c>
      <c r="D127" s="27" t="s">
        <v>13</v>
      </c>
      <c r="E127" s="16"/>
      <c r="F127" s="16"/>
      <c r="G127" s="16"/>
      <c r="H127" s="30"/>
      <c r="J127" s="30"/>
    </row>
    <row r="128" spans="1:11" s="27" customFormat="1" x14ac:dyDescent="0.2">
      <c r="A128" s="122"/>
      <c r="B128" s="37"/>
      <c r="C128" s="26"/>
      <c r="E128" s="16"/>
      <c r="F128" s="16"/>
      <c r="G128" s="16"/>
      <c r="H128" s="30"/>
      <c r="J128" s="30"/>
    </row>
    <row r="129" spans="1:14" s="27" customFormat="1" x14ac:dyDescent="0.2">
      <c r="A129" s="122"/>
      <c r="B129" s="37"/>
      <c r="C129" s="26" t="s">
        <v>429</v>
      </c>
      <c r="D129" s="27" t="s">
        <v>365</v>
      </c>
      <c r="E129" s="90">
        <v>828</v>
      </c>
      <c r="F129" s="90">
        <v>716</v>
      </c>
      <c r="G129" s="90">
        <v>714</v>
      </c>
      <c r="H129" s="30"/>
      <c r="J129" s="30"/>
      <c r="K129" s="80" t="str">
        <f>HYPERLINK("http://www.energiatalgud.ee/img_auth.php/3/39/ENMAK_2030._Stsenaariumitega_kaasneva_%C3%B5hukvaliteedi_muutuste_prognoos_2012-2050.pdf","ENMAK 2030 stsenaariumitega kaasneva õhukvaliteedi muutuse prognoos")</f>
        <v>ENMAK 2030 stsenaariumitega kaasneva õhukvaliteedi muutuse prognoos</v>
      </c>
    </row>
    <row r="130" spans="1:14" s="27" customFormat="1" x14ac:dyDescent="0.2">
      <c r="A130" s="36"/>
      <c r="B130" s="37"/>
      <c r="C130" s="35" t="s">
        <v>367</v>
      </c>
      <c r="D130" s="27" t="s">
        <v>365</v>
      </c>
      <c r="E130" s="90">
        <v>1602</v>
      </c>
      <c r="F130" s="90">
        <v>1337</v>
      </c>
      <c r="G130" s="90">
        <v>1177</v>
      </c>
      <c r="H130" s="30"/>
      <c r="J130" s="30"/>
      <c r="K130" s="80" t="str">
        <f>HYPERLINK("http://www.energiatalgud.ee/img_auth.php/3/39/ENMAK_2030._Stsenaariumitega_kaasneva_%C3%B5hukvaliteedi_muutuste_prognoos_2012-2050.pdf","ENMAK 2030 stsenaariumitega kaasneva õhukvaliteedi muutuse prognoos")</f>
        <v>ENMAK 2030 stsenaariumitega kaasneva õhukvaliteedi muutuse prognoos</v>
      </c>
    </row>
    <row r="131" spans="1:14" s="27" customFormat="1" x14ac:dyDescent="0.2">
      <c r="A131" s="36"/>
      <c r="B131" s="37"/>
      <c r="C131" s="26" t="s">
        <v>366</v>
      </c>
      <c r="D131" s="27" t="s">
        <v>365</v>
      </c>
      <c r="E131" s="90">
        <v>812</v>
      </c>
      <c r="F131" s="90">
        <v>666</v>
      </c>
      <c r="G131" s="90">
        <v>507</v>
      </c>
      <c r="H131" s="30"/>
      <c r="J131" s="30"/>
      <c r="K131" s="80" t="str">
        <f>HYPERLINK("http://www.energiatalgud.ee/img_auth.php/3/39/ENMAK_2030._Stsenaariumitega_kaasneva_%C3%B5hukvaliteedi_muutuste_prognoos_2012-2050.pdf","ENMAK 2030 stsenaariumitega kaasneva õhukvaliteedi muutuse prognoos")</f>
        <v>ENMAK 2030 stsenaariumitega kaasneva õhukvaliteedi muutuse prognoos</v>
      </c>
    </row>
    <row r="132" spans="1:14" s="5" customFormat="1" ht="7.25" customHeight="1" x14ac:dyDescent="0.2">
      <c r="A132" s="8"/>
      <c r="B132" s="33"/>
      <c r="H132" s="30"/>
      <c r="J132" s="30"/>
    </row>
    <row r="133" spans="1:14" s="29" customFormat="1" ht="16.25" hidden="1" customHeight="1" x14ac:dyDescent="0.2">
      <c r="A133" s="245"/>
      <c r="B133" s="38"/>
      <c r="C133" s="28" t="s">
        <v>467</v>
      </c>
      <c r="D133" s="29" t="s">
        <v>446</v>
      </c>
      <c r="E133" s="136">
        <v>-47.600000000000016</v>
      </c>
      <c r="F133" s="136">
        <f>$E133+F135</f>
        <v>-540.13333333333298</v>
      </c>
      <c r="G133" s="136">
        <f>$E133+G135</f>
        <v>-1682.2666666666669</v>
      </c>
      <c r="H133" s="30"/>
      <c r="I133" s="79" t="str">
        <f t="shared" ref="I133:I145" si="34">HYPERLINK("http://www.energiatalgud.ee/index.php?title=ENMAK:Stsenaariumid#Stsenaariumite_majandusm.C3.B5ju","Stsenaariumite majandusmõju hinnang")</f>
        <v>Stsenaariumite majandusmõju hinnang</v>
      </c>
      <c r="J133" s="30"/>
      <c r="K133" s="79" t="str">
        <f t="shared" ref="K133:K145" si="35">HYPERLINK("http://www.energiatalgud.ee/img_auth.php/a/a9/ENMAK_2030%2B_stsenaariumite_majandusm%C3%B5ju_anal%C3%BC%C3%BCs._Arvutusmudel.xlsx","Majandusmõjude hinnang. Arvutusmudel")</f>
        <v>Majandusmõjude hinnang. Arvutusmudel</v>
      </c>
    </row>
    <row r="134" spans="1:14" s="29" customFormat="1" ht="16.25" customHeight="1" x14ac:dyDescent="0.2">
      <c r="A134" s="245"/>
      <c r="B134" s="38"/>
      <c r="C134" s="28" t="s">
        <v>441</v>
      </c>
      <c r="D134" s="29" t="s">
        <v>446</v>
      </c>
      <c r="E134" s="136">
        <v>6559.7059129858972</v>
      </c>
      <c r="F134" s="136">
        <f>$E134+F136</f>
        <v>7014.5208406263009</v>
      </c>
      <c r="G134" s="136">
        <f>$E134+G136</f>
        <v>7310.2743564920638</v>
      </c>
      <c r="H134" s="30"/>
      <c r="I134" s="79" t="str">
        <f t="shared" si="34"/>
        <v>Stsenaariumite majandusmõju hinnang</v>
      </c>
      <c r="J134" s="30"/>
      <c r="K134" s="79" t="str">
        <f t="shared" si="35"/>
        <v>Majandusmõjude hinnang. Arvutusmudel</v>
      </c>
    </row>
    <row r="135" spans="1:14" s="29" customFormat="1" ht="16.25" customHeight="1" x14ac:dyDescent="0.2">
      <c r="A135" s="245"/>
      <c r="B135" s="38"/>
      <c r="C135" s="28" t="s">
        <v>746</v>
      </c>
      <c r="D135" s="29" t="s">
        <v>446</v>
      </c>
      <c r="E135" s="136">
        <v>0</v>
      </c>
      <c r="F135" s="136">
        <v>-492.53333333333302</v>
      </c>
      <c r="G135" s="136">
        <v>-1634.666666666667</v>
      </c>
      <c r="H135" s="30"/>
      <c r="I135" s="79" t="str">
        <f t="shared" si="34"/>
        <v>Stsenaariumite majandusmõju hinnang</v>
      </c>
      <c r="J135" s="30"/>
      <c r="K135" s="79" t="str">
        <f t="shared" si="35"/>
        <v>Majandusmõjude hinnang. Arvutusmudel</v>
      </c>
    </row>
    <row r="136" spans="1:14" s="29" customFormat="1" ht="16.25" customHeight="1" x14ac:dyDescent="0.2">
      <c r="A136" s="245"/>
      <c r="B136" s="38"/>
      <c r="C136" s="28" t="s">
        <v>444</v>
      </c>
      <c r="D136" s="29" t="s">
        <v>446</v>
      </c>
      <c r="E136" s="136">
        <v>0</v>
      </c>
      <c r="F136" s="136">
        <v>454.81492764040348</v>
      </c>
      <c r="G136" s="136">
        <v>750.56844350616711</v>
      </c>
      <c r="H136" s="30"/>
      <c r="I136" s="79" t="str">
        <f t="shared" si="34"/>
        <v>Stsenaariumite majandusmõju hinnang</v>
      </c>
      <c r="J136" s="30"/>
      <c r="K136" s="79" t="str">
        <f t="shared" si="35"/>
        <v>Majandusmõjude hinnang. Arvutusmudel</v>
      </c>
    </row>
    <row r="137" spans="1:14" s="29" customFormat="1" ht="16.25" hidden="1" customHeight="1" x14ac:dyDescent="0.2">
      <c r="A137" s="123"/>
      <c r="B137" s="38"/>
      <c r="C137" s="28" t="s">
        <v>434</v>
      </c>
      <c r="D137" s="29" t="s">
        <v>435</v>
      </c>
      <c r="E137" s="136">
        <v>1132.6093908396394</v>
      </c>
      <c r="F137" s="136">
        <f>$E137+F138</f>
        <v>1178.6186636870341</v>
      </c>
      <c r="G137" s="136">
        <f>$E137+G138</f>
        <v>1167.9260680564014</v>
      </c>
      <c r="H137" s="30"/>
      <c r="I137" s="79" t="str">
        <f t="shared" si="34"/>
        <v>Stsenaariumite majandusmõju hinnang</v>
      </c>
      <c r="J137" s="30"/>
      <c r="K137" s="79" t="str">
        <f t="shared" si="35"/>
        <v>Majandusmõjude hinnang. Arvutusmudel</v>
      </c>
    </row>
    <row r="138" spans="1:14" s="29" customFormat="1" ht="16.25" customHeight="1" x14ac:dyDescent="0.2">
      <c r="A138" s="245"/>
      <c r="B138" s="38"/>
      <c r="C138" s="28" t="s">
        <v>445</v>
      </c>
      <c r="D138" s="29" t="s">
        <v>435</v>
      </c>
      <c r="E138" s="136">
        <v>0</v>
      </c>
      <c r="F138" s="136">
        <v>46.009272847394641</v>
      </c>
      <c r="G138" s="136">
        <v>35.316677216762045</v>
      </c>
      <c r="H138" s="30"/>
      <c r="I138" s="79" t="str">
        <f t="shared" si="34"/>
        <v>Stsenaariumite majandusmõju hinnang</v>
      </c>
      <c r="J138" s="30"/>
      <c r="K138" s="79" t="str">
        <f t="shared" si="35"/>
        <v>Majandusmõjude hinnang. Arvutusmudel</v>
      </c>
      <c r="N138" s="362"/>
    </row>
    <row r="139" spans="1:14" s="29" customFormat="1" ht="16.25" hidden="1" customHeight="1" x14ac:dyDescent="0.2">
      <c r="A139" s="268"/>
      <c r="B139" s="38"/>
      <c r="C139" s="28" t="s">
        <v>526</v>
      </c>
      <c r="D139" s="29" t="s">
        <v>446</v>
      </c>
      <c r="E139" s="136">
        <v>19321.80581996742</v>
      </c>
      <c r="F139" s="136">
        <f>$E$139+F140</f>
        <v>20367.224847844784</v>
      </c>
      <c r="G139" s="136">
        <f>$E$139+G140</f>
        <v>20577.899786487931</v>
      </c>
      <c r="H139" s="30"/>
      <c r="I139" s="79" t="str">
        <f t="shared" si="34"/>
        <v>Stsenaariumite majandusmõju hinnang</v>
      </c>
      <c r="J139" s="30"/>
      <c r="K139" s="79" t="str">
        <f t="shared" si="35"/>
        <v>Majandusmõjude hinnang. Arvutusmudel</v>
      </c>
    </row>
    <row r="140" spans="1:14" s="29" customFormat="1" ht="16.25" customHeight="1" x14ac:dyDescent="0.2">
      <c r="A140" s="268"/>
      <c r="B140" s="38"/>
      <c r="C140" s="28" t="s">
        <v>527</v>
      </c>
      <c r="D140" s="29" t="s">
        <v>446</v>
      </c>
      <c r="E140" s="136">
        <v>0</v>
      </c>
      <c r="F140" s="136">
        <v>1045.4190278773638</v>
      </c>
      <c r="G140" s="136">
        <v>1256.0939665205105</v>
      </c>
      <c r="H140" s="30"/>
      <c r="I140" s="79" t="str">
        <f t="shared" si="34"/>
        <v>Stsenaariumite majandusmõju hinnang</v>
      </c>
      <c r="J140" s="30"/>
      <c r="K140" s="79" t="str">
        <f t="shared" si="35"/>
        <v>Majandusmõjude hinnang. Arvutusmudel</v>
      </c>
    </row>
    <row r="141" spans="1:14" s="29" customFormat="1" ht="16.25" customHeight="1" x14ac:dyDescent="0.2">
      <c r="A141" s="300"/>
      <c r="B141" s="38"/>
      <c r="C141" s="28" t="s">
        <v>556</v>
      </c>
      <c r="D141" s="29" t="s">
        <v>557</v>
      </c>
      <c r="E141" s="136">
        <v>0</v>
      </c>
      <c r="F141" s="136">
        <v>1363.9300660265517</v>
      </c>
      <c r="G141" s="136">
        <v>2406.8486253123333</v>
      </c>
      <c r="H141" s="30"/>
      <c r="I141" s="79" t="str">
        <f t="shared" si="34"/>
        <v>Stsenaariumite majandusmõju hinnang</v>
      </c>
      <c r="J141" s="30"/>
      <c r="K141" s="79" t="str">
        <f t="shared" si="35"/>
        <v>Majandusmõjude hinnang. Arvutusmudel</v>
      </c>
    </row>
    <row r="142" spans="1:14" s="4" customFormat="1" ht="16.25" customHeight="1" x14ac:dyDescent="0.2">
      <c r="A142" s="529" t="s">
        <v>22</v>
      </c>
      <c r="B142" s="38"/>
      <c r="C142" s="28" t="s">
        <v>331</v>
      </c>
      <c r="D142" s="4" t="s">
        <v>21</v>
      </c>
      <c r="E142" s="104">
        <v>0</v>
      </c>
      <c r="F142" s="104">
        <v>2.6107586614104389E-3</v>
      </c>
      <c r="G142" s="104">
        <v>2.9773025447546813E-3</v>
      </c>
      <c r="H142" s="30"/>
      <c r="I142" s="79" t="str">
        <f t="shared" si="34"/>
        <v>Stsenaariumite majandusmõju hinnang</v>
      </c>
      <c r="J142" s="30"/>
      <c r="K142" s="79" t="str">
        <f t="shared" si="35"/>
        <v>Majandusmõjude hinnang. Arvutusmudel</v>
      </c>
    </row>
    <row r="143" spans="1:14" s="4" customFormat="1" ht="16.25" customHeight="1" x14ac:dyDescent="0.2">
      <c r="A143" s="529"/>
      <c r="B143" s="38"/>
      <c r="C143" s="3" t="s">
        <v>15</v>
      </c>
      <c r="D143" s="4" t="s">
        <v>21</v>
      </c>
      <c r="E143" s="104">
        <v>0</v>
      </c>
      <c r="F143" s="104">
        <v>-8.3682040277558171E-4</v>
      </c>
      <c r="G143" s="104">
        <v>-1.6922965218537178E-3</v>
      </c>
      <c r="H143" s="30"/>
      <c r="I143" s="79" t="str">
        <f t="shared" si="34"/>
        <v>Stsenaariumite majandusmõju hinnang</v>
      </c>
      <c r="J143" s="30"/>
      <c r="K143" s="79" t="str">
        <f t="shared" si="35"/>
        <v>Majandusmõjude hinnang. Arvutusmudel</v>
      </c>
    </row>
    <row r="144" spans="1:14" s="4" customFormat="1" ht="16.25" customHeight="1" x14ac:dyDescent="0.2">
      <c r="A144" s="529"/>
      <c r="B144" s="38"/>
      <c r="C144" s="3" t="s">
        <v>17</v>
      </c>
      <c r="D144" s="4" t="s">
        <v>21</v>
      </c>
      <c r="E144" s="104">
        <v>0</v>
      </c>
      <c r="F144" s="104">
        <v>3.3685908932721423E-3</v>
      </c>
      <c r="G144" s="104">
        <v>6.2456943355882859E-3</v>
      </c>
      <c r="H144" s="30"/>
      <c r="I144" s="79" t="str">
        <f t="shared" si="34"/>
        <v>Stsenaariumite majandusmõju hinnang</v>
      </c>
      <c r="J144" s="30"/>
      <c r="K144" s="79" t="str">
        <f t="shared" si="35"/>
        <v>Majandusmõjude hinnang. Arvutusmudel</v>
      </c>
    </row>
    <row r="145" spans="1:20" s="4" customFormat="1" ht="16.25" customHeight="1" x14ac:dyDescent="0.2">
      <c r="A145" s="529"/>
      <c r="B145" s="38"/>
      <c r="C145" s="3" t="s">
        <v>16</v>
      </c>
      <c r="D145" s="4" t="s">
        <v>21</v>
      </c>
      <c r="E145" s="104">
        <v>0</v>
      </c>
      <c r="F145" s="104">
        <v>-7.4724973650786009E-4</v>
      </c>
      <c r="G145" s="104">
        <v>-3.2367936608518888E-3</v>
      </c>
      <c r="H145" s="30"/>
      <c r="I145" s="79" t="str">
        <f t="shared" si="34"/>
        <v>Stsenaariumite majandusmõju hinnang</v>
      </c>
      <c r="J145" s="30"/>
      <c r="K145" s="79" t="str">
        <f t="shared" si="35"/>
        <v>Majandusmõjude hinnang. Arvutusmudel</v>
      </c>
    </row>
    <row r="146" spans="1:20" s="4" customFormat="1" ht="5" customHeight="1" x14ac:dyDescent="0.2">
      <c r="A146" s="529"/>
      <c r="B146" s="38"/>
      <c r="E146" s="105"/>
      <c r="F146" s="105"/>
      <c r="G146" s="105"/>
      <c r="H146" s="30"/>
      <c r="I146" s="29"/>
      <c r="J146" s="30"/>
      <c r="K146" s="29"/>
    </row>
    <row r="147" spans="1:20" s="4" customFormat="1" ht="16.25" customHeight="1" x14ac:dyDescent="0.2">
      <c r="A147" s="529"/>
      <c r="B147" s="38"/>
      <c r="C147" s="3" t="s">
        <v>18</v>
      </c>
      <c r="D147" s="4" t="s">
        <v>21</v>
      </c>
      <c r="E147" s="104">
        <v>0</v>
      </c>
      <c r="F147" s="104">
        <v>-1.2805851953787001E-2</v>
      </c>
      <c r="G147" s="104">
        <v>-2.1560123171907759E-2</v>
      </c>
      <c r="H147" s="30"/>
      <c r="I147" s="79" t="str">
        <f>HYPERLINK("http://www.energiatalgud.ee/index.php?title=ENMAK:Stsenaariumid#Stsenaariumite_majandusm.C3.B5ju","Stsenaariumite majandusmõju hinnang")</f>
        <v>Stsenaariumite majandusmõju hinnang</v>
      </c>
      <c r="J147" s="30"/>
      <c r="K147" s="79" t="str">
        <f>HYPERLINK("http://www.energiatalgud.ee/img_auth.php/a/a9/ENMAK_2030%2B_stsenaariumite_majandusm%C3%B5ju_anal%C3%BC%C3%BCs._Arvutusmudel.xlsx","Majandusmõjude hinnang. Arvutusmudel")</f>
        <v>Majandusmõjude hinnang. Arvutusmudel</v>
      </c>
    </row>
    <row r="148" spans="1:20" s="4" customFormat="1" ht="16.25" customHeight="1" x14ac:dyDescent="0.2">
      <c r="A148" s="529"/>
      <c r="B148" s="38"/>
      <c r="C148" s="3" t="s">
        <v>19</v>
      </c>
      <c r="D148" s="4" t="s">
        <v>21</v>
      </c>
      <c r="E148" s="104">
        <v>0</v>
      </c>
      <c r="F148" s="104">
        <v>-1.0978676018761777E-2</v>
      </c>
      <c r="G148" s="104">
        <v>-1.8678242133685109E-2</v>
      </c>
      <c r="H148" s="30"/>
      <c r="I148" s="79" t="str">
        <f>HYPERLINK("http://www.energiatalgud.ee/index.php?title=ENMAK:Stsenaariumid#Stsenaariumite_majandusm.C3.B5ju","Stsenaariumite majandusmõju hinnang")</f>
        <v>Stsenaariumite majandusmõju hinnang</v>
      </c>
      <c r="J148" s="30"/>
      <c r="K148" s="79" t="str">
        <f>HYPERLINK("http://www.energiatalgud.ee/img_auth.php/a/a9/ENMAK_2030%2B_stsenaariumite_majandusm%C3%B5ju_anal%C3%BC%C3%BCs._Arvutusmudel.xlsx","Majandusmõjude hinnang. Arvutusmudel")</f>
        <v>Majandusmõjude hinnang. Arvutusmudel</v>
      </c>
    </row>
    <row r="149" spans="1:20" s="4" customFormat="1" ht="16.25" customHeight="1" x14ac:dyDescent="0.2">
      <c r="A149" s="529"/>
      <c r="B149" s="38"/>
      <c r="C149" s="3" t="s">
        <v>20</v>
      </c>
      <c r="D149" s="4" t="s">
        <v>21</v>
      </c>
      <c r="E149" s="104">
        <v>0</v>
      </c>
      <c r="F149" s="104">
        <v>-1.9517465554739134E-2</v>
      </c>
      <c r="G149" s="104">
        <v>-3.3253681720014201E-2</v>
      </c>
      <c r="H149" s="30"/>
      <c r="I149" s="79" t="str">
        <f>HYPERLINK("http://www.energiatalgud.ee/index.php?title=ENMAK:Stsenaariumid#Stsenaariumite_majandusm.C3.B5ju","Stsenaariumite majandusmõju hinnang")</f>
        <v>Stsenaariumite majandusmõju hinnang</v>
      </c>
      <c r="J149" s="30"/>
      <c r="K149" s="79" t="str">
        <f>HYPERLINK("http://www.energiatalgud.ee/img_auth.php/a/a9/ENMAK_2030%2B_stsenaariumite_majandusm%C3%B5ju_anal%C3%BC%C3%BCs._Arvutusmudel.xlsx","Majandusmõjude hinnang. Arvutusmudel")</f>
        <v>Majandusmõjude hinnang. Arvutusmudel</v>
      </c>
    </row>
    <row r="150" spans="1:20" s="30" customFormat="1" ht="4.25" customHeight="1" x14ac:dyDescent="0.2">
      <c r="A150" s="38"/>
      <c r="B150" s="38"/>
      <c r="C150" s="31"/>
      <c r="E150" s="303"/>
      <c r="F150" s="303"/>
      <c r="G150" s="303"/>
      <c r="I150" s="304"/>
      <c r="K150" s="304"/>
    </row>
    <row r="151" spans="1:20" s="29" customFormat="1" ht="16.25" customHeight="1" x14ac:dyDescent="0.2">
      <c r="A151" s="531" t="s">
        <v>572</v>
      </c>
      <c r="B151" s="33"/>
      <c r="C151" s="26" t="s">
        <v>573</v>
      </c>
      <c r="D151" s="27" t="s">
        <v>344</v>
      </c>
      <c r="E151" s="90">
        <v>2483</v>
      </c>
      <c r="F151" s="90">
        <f>$E151</f>
        <v>2483</v>
      </c>
      <c r="G151" s="90">
        <f>$E151</f>
        <v>2483</v>
      </c>
      <c r="H151" s="30"/>
      <c r="I151" s="114" t="s">
        <v>223</v>
      </c>
      <c r="J151" s="30"/>
      <c r="K151" s="80" t="str">
        <f>HYPERLINK("http://www.energiatalgud.ee/img_auth.php/3/39/ENMAK_2030._Stsenaariumitega_kaasneva_%C3%B5hukvaliteedi_muutuste_prognoos_2012-2050.pdf","ENMAK 2030 stsenaariumitega kaasneva õhukvaliteedi muutuse prognoos")</f>
        <v>ENMAK 2030 stsenaariumitega kaasneva õhukvaliteedi muutuse prognoos</v>
      </c>
      <c r="L151" s="27"/>
      <c r="M151" s="27"/>
      <c r="N151" s="27"/>
      <c r="O151" s="27"/>
      <c r="P151" s="27"/>
      <c r="Q151" s="27"/>
      <c r="R151" s="27"/>
      <c r="S151" s="27"/>
      <c r="T151" s="27"/>
    </row>
    <row r="152" spans="1:20" s="29" customFormat="1" ht="16.25" customHeight="1" x14ac:dyDescent="0.2">
      <c r="A152" s="531"/>
      <c r="B152" s="33"/>
      <c r="C152" s="26" t="s">
        <v>574</v>
      </c>
      <c r="D152" s="27" t="s">
        <v>317</v>
      </c>
      <c r="E152" s="90">
        <v>7024</v>
      </c>
      <c r="F152" s="90">
        <f t="shared" ref="F152:G157" si="36">$E152</f>
        <v>7024</v>
      </c>
      <c r="G152" s="90">
        <f t="shared" si="36"/>
        <v>7024</v>
      </c>
      <c r="H152" s="30"/>
      <c r="I152" s="114" t="s">
        <v>223</v>
      </c>
      <c r="J152" s="30"/>
      <c r="K152" s="80" t="str">
        <f t="shared" ref="K152:K157" si="37">HYPERLINK("http://www.energiatalgud.ee/img_auth.php/3/39/ENMAK_2030._Stsenaariumitega_kaasneva_%C3%B5hukvaliteedi_muutuste_prognoos_2012-2050.pdf","ENMAK 2030 stsenaariumitega kaasneva õhukvaliteedi muutuse prognoos")</f>
        <v>ENMAK 2030 stsenaariumitega kaasneva õhukvaliteedi muutuse prognoos</v>
      </c>
      <c r="L152" s="27"/>
      <c r="M152" s="27"/>
      <c r="N152" s="27"/>
      <c r="O152" s="27"/>
      <c r="P152" s="27"/>
      <c r="Q152" s="27"/>
      <c r="R152" s="27"/>
      <c r="S152" s="27"/>
      <c r="T152" s="27"/>
    </row>
    <row r="153" spans="1:20" s="29" customFormat="1" ht="16.25" customHeight="1" x14ac:dyDescent="0.2">
      <c r="A153" s="531"/>
      <c r="B153" s="33"/>
      <c r="C153" s="26" t="s">
        <v>575</v>
      </c>
      <c r="D153" s="27" t="s">
        <v>317</v>
      </c>
      <c r="E153" s="90">
        <v>6059</v>
      </c>
      <c r="F153" s="90">
        <f t="shared" si="36"/>
        <v>6059</v>
      </c>
      <c r="G153" s="90">
        <f t="shared" si="36"/>
        <v>6059</v>
      </c>
      <c r="H153" s="30"/>
      <c r="I153" s="114" t="s">
        <v>223</v>
      </c>
      <c r="J153" s="30"/>
      <c r="K153" s="80" t="str">
        <f t="shared" si="37"/>
        <v>ENMAK 2030 stsenaariumitega kaasneva õhukvaliteedi muutuse prognoos</v>
      </c>
      <c r="L153" s="27"/>
      <c r="M153" s="27"/>
      <c r="N153" s="27"/>
      <c r="O153" s="27"/>
      <c r="P153" s="27"/>
      <c r="Q153" s="27"/>
      <c r="R153" s="27"/>
      <c r="S153" s="27"/>
      <c r="T153" s="27"/>
    </row>
    <row r="154" spans="1:20" s="29" customFormat="1" ht="16.25" customHeight="1" x14ac:dyDescent="0.2">
      <c r="A154" s="531"/>
      <c r="B154" s="33"/>
      <c r="C154" s="26" t="s">
        <v>582</v>
      </c>
      <c r="D154" s="27" t="s">
        <v>317</v>
      </c>
      <c r="E154" s="90">
        <v>6357</v>
      </c>
      <c r="F154" s="90">
        <f t="shared" si="36"/>
        <v>6357</v>
      </c>
      <c r="G154" s="90">
        <f t="shared" si="36"/>
        <v>6357</v>
      </c>
      <c r="H154" s="30"/>
      <c r="I154" s="114" t="s">
        <v>223</v>
      </c>
      <c r="J154" s="30"/>
      <c r="K154" s="80" t="str">
        <f t="shared" si="37"/>
        <v>ENMAK 2030 stsenaariumitega kaasneva õhukvaliteedi muutuse prognoos</v>
      </c>
      <c r="L154" s="27"/>
      <c r="M154" s="27"/>
      <c r="N154" s="27"/>
      <c r="O154" s="27"/>
      <c r="P154" s="27"/>
      <c r="Q154" s="27"/>
      <c r="R154" s="27"/>
      <c r="S154" s="27"/>
      <c r="T154" s="27"/>
    </row>
    <row r="155" spans="1:20" s="29" customFormat="1" ht="16.25" customHeight="1" x14ac:dyDescent="0.2">
      <c r="A155" s="531"/>
      <c r="B155" s="33"/>
      <c r="C155" s="26" t="s">
        <v>577</v>
      </c>
      <c r="D155" s="27" t="s">
        <v>317</v>
      </c>
      <c r="E155" s="90">
        <v>1921</v>
      </c>
      <c r="F155" s="90">
        <f t="shared" si="36"/>
        <v>1921</v>
      </c>
      <c r="G155" s="90">
        <f t="shared" si="36"/>
        <v>1921</v>
      </c>
      <c r="H155" s="30"/>
      <c r="I155" s="114" t="s">
        <v>223</v>
      </c>
      <c r="J155" s="30"/>
      <c r="K155" s="80" t="str">
        <f t="shared" si="37"/>
        <v>ENMAK 2030 stsenaariumitega kaasneva õhukvaliteedi muutuse prognoos</v>
      </c>
      <c r="L155" s="27"/>
      <c r="M155" s="27"/>
      <c r="N155" s="27"/>
      <c r="O155" s="27"/>
      <c r="P155" s="27"/>
      <c r="Q155" s="27"/>
      <c r="R155" s="27"/>
      <c r="S155" s="27"/>
      <c r="T155" s="27"/>
    </row>
    <row r="156" spans="1:20" s="29" customFormat="1" ht="16.25" customHeight="1" x14ac:dyDescent="0.2">
      <c r="A156" s="531"/>
      <c r="B156" s="33"/>
      <c r="C156" s="26" t="s">
        <v>609</v>
      </c>
      <c r="D156" s="27" t="s">
        <v>549</v>
      </c>
      <c r="E156" s="305">
        <v>0.77800000000000002</v>
      </c>
      <c r="F156" s="305">
        <f t="shared" si="36"/>
        <v>0.77800000000000002</v>
      </c>
      <c r="G156" s="305">
        <f t="shared" si="36"/>
        <v>0.77800000000000002</v>
      </c>
      <c r="H156" s="30"/>
      <c r="I156" s="114" t="s">
        <v>223</v>
      </c>
      <c r="J156" s="30"/>
      <c r="K156" s="80" t="str">
        <f t="shared" si="37"/>
        <v>ENMAK 2030 stsenaariumitega kaasneva õhukvaliteedi muutuse prognoos</v>
      </c>
      <c r="L156" s="27"/>
      <c r="M156" s="27"/>
      <c r="N156" s="27"/>
      <c r="O156" s="27"/>
      <c r="P156" s="27"/>
      <c r="Q156" s="27"/>
      <c r="R156" s="27"/>
      <c r="S156" s="27"/>
      <c r="T156" s="27"/>
    </row>
    <row r="157" spans="1:20" s="29" customFormat="1" ht="16.25" customHeight="1" x14ac:dyDescent="0.2">
      <c r="A157" s="531"/>
      <c r="B157" s="33"/>
      <c r="C157" s="26" t="s">
        <v>596</v>
      </c>
      <c r="D157" s="27" t="s">
        <v>317</v>
      </c>
      <c r="E157" s="90">
        <v>228</v>
      </c>
      <c r="F157" s="90">
        <f t="shared" si="36"/>
        <v>228</v>
      </c>
      <c r="G157" s="90">
        <f t="shared" si="36"/>
        <v>228</v>
      </c>
      <c r="H157" s="30"/>
      <c r="I157" s="114" t="s">
        <v>223</v>
      </c>
      <c r="J157" s="30"/>
      <c r="K157" s="80" t="str">
        <f t="shared" si="37"/>
        <v>ENMAK 2030 stsenaariumitega kaasneva õhukvaliteedi muutuse prognoos</v>
      </c>
      <c r="L157" s="27"/>
      <c r="M157" s="27"/>
      <c r="N157" s="27"/>
      <c r="O157" s="27"/>
      <c r="P157" s="27"/>
      <c r="Q157" s="27"/>
      <c r="R157" s="27"/>
      <c r="S157" s="27"/>
      <c r="T157" s="27"/>
    </row>
    <row r="158" spans="1:20" ht="6" customHeight="1" x14ac:dyDescent="0.2">
      <c r="F158">
        <v>0</v>
      </c>
    </row>
    <row r="159" spans="1:20" ht="14.5" customHeight="1" x14ac:dyDescent="0.2">
      <c r="A159" s="530" t="s">
        <v>404</v>
      </c>
      <c r="C159" s="28" t="s">
        <v>373</v>
      </c>
      <c r="D159" s="29" t="s">
        <v>344</v>
      </c>
      <c r="E159" s="127">
        <v>2553</v>
      </c>
      <c r="F159" s="127">
        <v>2332</v>
      </c>
      <c r="G159" s="127">
        <v>2252</v>
      </c>
      <c r="I159" s="112" t="s">
        <v>223</v>
      </c>
      <c r="K159" s="79" t="str">
        <f>HYPERLINK("http://www.energiatalgud.ee/img_auth.php/3/39/ENMAK_2030._Stsenaariumitega_kaasneva_%C3%B5hukvaliteedi_muutuste_prognoos_2012-2050.pdf","ENMAK 2030 stsenaariumitega kaasneva õhukvaliteedi muutuse prognoos")</f>
        <v>ENMAK 2030 stsenaariumitega kaasneva õhukvaliteedi muutuse prognoos</v>
      </c>
      <c r="L159" s="29"/>
      <c r="M159" s="29"/>
      <c r="N159" s="29"/>
      <c r="O159" s="29"/>
      <c r="P159" s="29"/>
      <c r="Q159" s="29"/>
      <c r="R159" s="29"/>
      <c r="S159" s="27"/>
      <c r="T159" s="27"/>
    </row>
    <row r="160" spans="1:20" x14ac:dyDescent="0.2">
      <c r="A160" s="530"/>
      <c r="C160" s="28" t="s">
        <v>349</v>
      </c>
      <c r="D160" s="29" t="s">
        <v>317</v>
      </c>
      <c r="E160" s="127">
        <v>7195</v>
      </c>
      <c r="F160" s="127">
        <v>6823</v>
      </c>
      <c r="G160" s="127">
        <v>6647</v>
      </c>
      <c r="I160" s="112" t="s">
        <v>223</v>
      </c>
      <c r="K160" s="79" t="str">
        <f t="shared" ref="K160:K165" si="38">HYPERLINK("http://www.energiatalgud.ee/img_auth.php/3/39/ENMAK_2030._Stsenaariumitega_kaasneva_%C3%B5hukvaliteedi_muutuste_prognoos_2012-2050.pdf","ENMAK 2030 stsenaariumitega kaasneva õhukvaliteedi muutuse prognoos")</f>
        <v>ENMAK 2030 stsenaariumitega kaasneva õhukvaliteedi muutuse prognoos</v>
      </c>
      <c r="L160" s="29"/>
      <c r="M160" s="29"/>
      <c r="N160" s="29"/>
      <c r="O160" s="29"/>
      <c r="P160" s="29"/>
      <c r="Q160" s="29"/>
      <c r="R160" s="29"/>
      <c r="S160" s="27"/>
      <c r="T160" s="27"/>
    </row>
    <row r="161" spans="1:20" x14ac:dyDescent="0.2">
      <c r="A161" s="530"/>
      <c r="C161" s="28" t="s">
        <v>350</v>
      </c>
      <c r="D161" s="29" t="s">
        <v>317</v>
      </c>
      <c r="E161" s="127">
        <v>4409</v>
      </c>
      <c r="F161" s="127">
        <v>4027</v>
      </c>
      <c r="G161" s="127">
        <v>3991</v>
      </c>
      <c r="I161" s="112" t="s">
        <v>223</v>
      </c>
      <c r="K161" s="79" t="str">
        <f t="shared" si="38"/>
        <v>ENMAK 2030 stsenaariumitega kaasneva õhukvaliteedi muutuse prognoos</v>
      </c>
      <c r="L161" s="29"/>
      <c r="M161" s="29"/>
      <c r="N161" s="29"/>
      <c r="O161" s="29"/>
      <c r="P161" s="29"/>
      <c r="Q161" s="29"/>
      <c r="R161" s="29"/>
      <c r="S161" s="27"/>
      <c r="T161" s="27"/>
    </row>
    <row r="162" spans="1:20" x14ac:dyDescent="0.2">
      <c r="A162" s="530"/>
      <c r="C162" s="28" t="s">
        <v>374</v>
      </c>
      <c r="D162" s="29" t="s">
        <v>317</v>
      </c>
      <c r="E162" s="127">
        <v>6468</v>
      </c>
      <c r="F162" s="127">
        <v>6251</v>
      </c>
      <c r="G162" s="127">
        <v>6078</v>
      </c>
      <c r="I162" s="112" t="s">
        <v>223</v>
      </c>
      <c r="K162" s="79" t="str">
        <f t="shared" si="38"/>
        <v>ENMAK 2030 stsenaariumitega kaasneva õhukvaliteedi muutuse prognoos</v>
      </c>
      <c r="L162" s="29"/>
      <c r="M162" s="29"/>
      <c r="N162" s="29"/>
      <c r="O162" s="29"/>
      <c r="P162" s="29"/>
      <c r="Q162" s="29"/>
      <c r="R162" s="29"/>
      <c r="S162" s="27"/>
      <c r="T162" s="27"/>
    </row>
    <row r="163" spans="1:20" s="25" customFormat="1" x14ac:dyDescent="0.2">
      <c r="A163" s="530"/>
      <c r="B163" s="33"/>
      <c r="C163" s="28" t="s">
        <v>376</v>
      </c>
      <c r="D163" s="29" t="s">
        <v>317</v>
      </c>
      <c r="E163" s="127">
        <v>2004</v>
      </c>
      <c r="F163" s="127">
        <v>1984</v>
      </c>
      <c r="G163" s="127">
        <v>1934</v>
      </c>
      <c r="H163" s="30"/>
      <c r="I163" s="112" t="s">
        <v>223</v>
      </c>
      <c r="J163" s="30"/>
      <c r="K163" s="79" t="str">
        <f t="shared" si="38"/>
        <v>ENMAK 2030 stsenaariumitega kaasneva õhukvaliteedi muutuse prognoos</v>
      </c>
      <c r="L163" s="29"/>
      <c r="M163" s="29"/>
      <c r="N163" s="29"/>
      <c r="O163" s="29"/>
      <c r="P163" s="29"/>
      <c r="Q163" s="29"/>
      <c r="R163" s="29"/>
      <c r="S163" s="27"/>
      <c r="T163" s="27"/>
    </row>
    <row r="164" spans="1:20" s="25" customFormat="1" x14ac:dyDescent="0.2">
      <c r="A164" s="530"/>
      <c r="B164" s="33"/>
      <c r="C164" s="28" t="s">
        <v>550</v>
      </c>
      <c r="D164" s="29" t="s">
        <v>549</v>
      </c>
      <c r="E164" s="111">
        <v>0.79200000000000004</v>
      </c>
      <c r="F164" s="111">
        <v>0.78900000000000003</v>
      </c>
      <c r="G164" s="111">
        <v>0.76900000000000002</v>
      </c>
      <c r="H164" s="30"/>
      <c r="I164" s="112" t="s">
        <v>223</v>
      </c>
      <c r="J164" s="30"/>
      <c r="K164" s="79" t="str">
        <f t="shared" si="38"/>
        <v>ENMAK 2030 stsenaariumitega kaasneva õhukvaliteedi muutuse prognoos</v>
      </c>
      <c r="L164" s="29"/>
      <c r="M164" s="29"/>
      <c r="N164" s="29"/>
      <c r="O164" s="29"/>
      <c r="P164" s="29"/>
      <c r="Q164" s="29"/>
      <c r="R164" s="29"/>
      <c r="S164" s="27"/>
      <c r="T164" s="27"/>
    </row>
    <row r="165" spans="1:20" x14ac:dyDescent="0.2">
      <c r="A165" s="530"/>
      <c r="C165" s="28" t="s">
        <v>380</v>
      </c>
      <c r="D165" s="29" t="s">
        <v>317</v>
      </c>
      <c r="E165" s="127">
        <v>228</v>
      </c>
      <c r="F165" s="127">
        <v>229</v>
      </c>
      <c r="G165" s="127">
        <v>222</v>
      </c>
      <c r="I165" s="112" t="s">
        <v>223</v>
      </c>
      <c r="K165" s="79" t="str">
        <f t="shared" si="38"/>
        <v>ENMAK 2030 stsenaariumitega kaasneva õhukvaliteedi muutuse prognoos</v>
      </c>
      <c r="L165" s="29"/>
      <c r="M165" s="29"/>
      <c r="N165" s="29"/>
      <c r="O165" s="29"/>
      <c r="P165" s="29"/>
      <c r="Q165" s="29"/>
      <c r="R165" s="29"/>
      <c r="S165" s="27"/>
      <c r="T165" s="27"/>
    </row>
    <row r="166" spans="1:20" ht="4.75" customHeight="1" x14ac:dyDescent="0.2">
      <c r="F166" s="25"/>
      <c r="I166" s="115"/>
      <c r="K166" s="25"/>
    </row>
    <row r="167" spans="1:20" s="25" customFormat="1" x14ac:dyDescent="0.2">
      <c r="A167" s="525" t="s">
        <v>403</v>
      </c>
      <c r="B167" s="33"/>
      <c r="C167" s="26" t="s">
        <v>371</v>
      </c>
      <c r="D167" s="27" t="s">
        <v>344</v>
      </c>
      <c r="E167" s="308">
        <v>2402</v>
      </c>
      <c r="F167" s="308">
        <v>1990</v>
      </c>
      <c r="G167" s="308">
        <v>1646</v>
      </c>
      <c r="H167" s="30"/>
      <c r="I167" s="114" t="s">
        <v>223</v>
      </c>
      <c r="J167" s="30"/>
      <c r="K167" s="80" t="str">
        <f>HYPERLINK("http://www.energiatalgud.ee/img_auth.php/3/39/ENMAK_2030._Stsenaariumitega_kaasneva_%C3%B5hukvaliteedi_muutuste_prognoos_2012-2050.pdf","ENMAK 2030 stsenaariumitega kaasneva õhukvaliteedi muutuse prognoos")</f>
        <v>ENMAK 2030 stsenaariumitega kaasneva õhukvaliteedi muutuse prognoos</v>
      </c>
      <c r="L167" s="27"/>
      <c r="M167" s="27"/>
      <c r="N167" s="27"/>
      <c r="O167" s="27"/>
      <c r="P167" s="27"/>
      <c r="Q167" s="27"/>
      <c r="R167" s="27"/>
      <c r="S167" s="29"/>
      <c r="T167" s="29"/>
    </row>
    <row r="168" spans="1:20" s="25" customFormat="1" x14ac:dyDescent="0.2">
      <c r="A168" s="525"/>
      <c r="B168" s="33"/>
      <c r="C168" s="26" t="s">
        <v>369</v>
      </c>
      <c r="D168" s="27" t="s">
        <v>317</v>
      </c>
      <c r="E168" s="308">
        <v>7580</v>
      </c>
      <c r="F168" s="308">
        <v>6661</v>
      </c>
      <c r="G168" s="308">
        <v>5959</v>
      </c>
      <c r="H168" s="30"/>
      <c r="I168" s="114" t="s">
        <v>223</v>
      </c>
      <c r="J168" s="30"/>
      <c r="K168" s="80" t="str">
        <f t="shared" ref="K168:K173" si="39">HYPERLINK("http://www.energiatalgud.ee/img_auth.php/3/39/ENMAK_2030._Stsenaariumitega_kaasneva_%C3%B5hukvaliteedi_muutuste_prognoos_2012-2050.pdf","ENMAK 2030 stsenaariumitega kaasneva õhukvaliteedi muutuse prognoos")</f>
        <v>ENMAK 2030 stsenaariumitega kaasneva õhukvaliteedi muutuse prognoos</v>
      </c>
      <c r="L168" s="27"/>
      <c r="M168" s="27"/>
      <c r="N168" s="27"/>
      <c r="O168" s="27"/>
      <c r="P168" s="27"/>
      <c r="Q168" s="27"/>
      <c r="R168" s="27"/>
      <c r="S168" s="29"/>
      <c r="T168" s="29"/>
    </row>
    <row r="169" spans="1:20" s="25" customFormat="1" x14ac:dyDescent="0.2">
      <c r="A169" s="525"/>
      <c r="B169" s="33"/>
      <c r="C169" s="26" t="s">
        <v>370</v>
      </c>
      <c r="D169" s="27" t="s">
        <v>317</v>
      </c>
      <c r="E169" s="308">
        <v>4695</v>
      </c>
      <c r="F169" s="308">
        <v>3763</v>
      </c>
      <c r="G169" s="308">
        <v>3113</v>
      </c>
      <c r="H169" s="30"/>
      <c r="I169" s="114" t="s">
        <v>223</v>
      </c>
      <c r="J169" s="30"/>
      <c r="K169" s="80" t="str">
        <f t="shared" si="39"/>
        <v>ENMAK 2030 stsenaariumitega kaasneva õhukvaliteedi muutuse prognoos</v>
      </c>
      <c r="L169" s="27"/>
      <c r="M169" s="27"/>
      <c r="N169" s="27"/>
      <c r="O169" s="27"/>
      <c r="P169" s="27"/>
      <c r="Q169" s="27"/>
      <c r="R169" s="27"/>
      <c r="S169" s="29"/>
      <c r="T169" s="29"/>
    </row>
    <row r="170" spans="1:20" s="25" customFormat="1" x14ac:dyDescent="0.2">
      <c r="A170" s="525"/>
      <c r="B170" s="33"/>
      <c r="C170" s="26" t="s">
        <v>372</v>
      </c>
      <c r="D170" s="27" t="s">
        <v>317</v>
      </c>
      <c r="E170" s="308">
        <v>7099</v>
      </c>
      <c r="F170" s="308">
        <v>6340</v>
      </c>
      <c r="G170" s="308">
        <v>6154</v>
      </c>
      <c r="H170" s="30"/>
      <c r="I170" s="114" t="s">
        <v>223</v>
      </c>
      <c r="J170" s="30"/>
      <c r="K170" s="80" t="str">
        <f t="shared" si="39"/>
        <v>ENMAK 2030 stsenaariumitega kaasneva õhukvaliteedi muutuse prognoos</v>
      </c>
      <c r="L170" s="27"/>
      <c r="M170" s="27"/>
      <c r="N170" s="27"/>
      <c r="O170" s="27"/>
      <c r="P170" s="27"/>
      <c r="Q170" s="27"/>
      <c r="R170" s="27"/>
      <c r="S170" s="29"/>
      <c r="T170" s="29"/>
    </row>
    <row r="171" spans="1:20" s="25" customFormat="1" x14ac:dyDescent="0.2">
      <c r="A171" s="525"/>
      <c r="B171" s="33"/>
      <c r="C171" s="26" t="s">
        <v>375</v>
      </c>
      <c r="D171" s="27" t="s">
        <v>317</v>
      </c>
      <c r="E171" s="308">
        <v>2290</v>
      </c>
      <c r="F171" s="308">
        <v>2115</v>
      </c>
      <c r="G171" s="308">
        <v>2020</v>
      </c>
      <c r="H171" s="30"/>
      <c r="I171" s="114" t="s">
        <v>223</v>
      </c>
      <c r="J171" s="30"/>
      <c r="K171" s="80" t="str">
        <f t="shared" si="39"/>
        <v>ENMAK 2030 stsenaariumitega kaasneva õhukvaliteedi muutuse prognoos</v>
      </c>
      <c r="L171" s="27"/>
      <c r="M171" s="27"/>
      <c r="N171" s="27"/>
      <c r="O171" s="27"/>
      <c r="P171" s="27"/>
      <c r="Q171" s="27"/>
      <c r="R171" s="27"/>
      <c r="S171" s="29"/>
      <c r="T171" s="29"/>
    </row>
    <row r="172" spans="1:20" s="25" customFormat="1" x14ac:dyDescent="0.2">
      <c r="A172" s="525"/>
      <c r="B172" s="33"/>
      <c r="C172" s="26" t="s">
        <v>610</v>
      </c>
      <c r="D172" s="27" t="s">
        <v>549</v>
      </c>
      <c r="E172" s="305">
        <v>0.82899999999999996</v>
      </c>
      <c r="F172" s="305">
        <v>0.76300000000000001</v>
      </c>
      <c r="G172" s="305">
        <v>0.72299999999999998</v>
      </c>
      <c r="H172" s="30"/>
      <c r="I172" s="114" t="s">
        <v>223</v>
      </c>
      <c r="J172" s="30"/>
      <c r="K172" s="80" t="str">
        <f t="shared" si="39"/>
        <v>ENMAK 2030 stsenaariumitega kaasneva õhukvaliteedi muutuse prognoos</v>
      </c>
      <c r="L172" s="27"/>
      <c r="M172" s="27"/>
      <c r="N172" s="27"/>
      <c r="O172" s="27"/>
      <c r="P172" s="27"/>
      <c r="Q172" s="27"/>
      <c r="R172" s="27"/>
      <c r="S172" s="29"/>
      <c r="T172" s="29"/>
    </row>
    <row r="173" spans="1:20" s="25" customFormat="1" x14ac:dyDescent="0.2">
      <c r="A173" s="525"/>
      <c r="B173" s="33"/>
      <c r="C173" s="26" t="s">
        <v>382</v>
      </c>
      <c r="D173" s="27" t="s">
        <v>317</v>
      </c>
      <c r="E173" s="90">
        <v>229</v>
      </c>
      <c r="F173" s="90">
        <v>211</v>
      </c>
      <c r="G173" s="90">
        <v>199</v>
      </c>
      <c r="H173" s="30"/>
      <c r="I173" s="114" t="s">
        <v>223</v>
      </c>
      <c r="J173" s="30"/>
      <c r="K173" s="80" t="str">
        <f t="shared" si="39"/>
        <v>ENMAK 2030 stsenaariumitega kaasneva õhukvaliteedi muutuse prognoos</v>
      </c>
      <c r="L173" s="27"/>
      <c r="M173" s="27"/>
      <c r="N173" s="27"/>
      <c r="O173" s="27"/>
      <c r="P173" s="27"/>
      <c r="Q173" s="27"/>
      <c r="R173" s="27"/>
      <c r="S173" s="29"/>
      <c r="T173" s="29"/>
    </row>
    <row r="174" spans="1:20" s="30" customFormat="1" ht="6" customHeight="1" x14ac:dyDescent="0.2">
      <c r="A174" s="38"/>
      <c r="B174" s="33"/>
      <c r="C174" s="31"/>
      <c r="E174" s="306"/>
      <c r="F174" s="306"/>
      <c r="G174" s="306"/>
      <c r="I174" s="307"/>
    </row>
    <row r="175" spans="1:20" s="25" customFormat="1" x14ac:dyDescent="0.2">
      <c r="A175" s="529" t="s">
        <v>403</v>
      </c>
      <c r="B175" s="33"/>
      <c r="C175" s="28" t="s">
        <v>555</v>
      </c>
      <c r="D175" s="29" t="s">
        <v>344</v>
      </c>
      <c r="E175" s="106">
        <v>2133</v>
      </c>
      <c r="F175" s="106">
        <v>1117</v>
      </c>
      <c r="G175" s="106">
        <v>860</v>
      </c>
      <c r="H175" s="30"/>
      <c r="I175" s="112" t="s">
        <v>223</v>
      </c>
      <c r="J175" s="30"/>
      <c r="K175" s="79" t="str">
        <f>HYPERLINK("http://www.energiatalgud.ee/img_auth.php/3/39/ENMAK_2030._Stsenaariumitega_kaasneva_%C3%B5hukvaliteedi_muutuste_prognoos_2012-2050.pdf","ENMAK 2030 stsenaariumitega kaasneva õhukvaliteedi muutuse prognoos")</f>
        <v>ENMAK 2030 stsenaariumitega kaasneva õhukvaliteedi muutuse prognoos</v>
      </c>
      <c r="L175" s="29"/>
      <c r="M175" s="29"/>
      <c r="N175" s="29"/>
      <c r="O175" s="29"/>
      <c r="P175" s="29"/>
      <c r="Q175" s="29"/>
      <c r="R175" s="29"/>
      <c r="S175" s="29"/>
      <c r="T175" s="29"/>
    </row>
    <row r="176" spans="1:20" s="25" customFormat="1" x14ac:dyDescent="0.2">
      <c r="A176" s="529"/>
      <c r="B176" s="33"/>
      <c r="C176" s="28" t="s">
        <v>369</v>
      </c>
      <c r="D176" s="29" t="s">
        <v>317</v>
      </c>
      <c r="E176" s="106">
        <v>7292</v>
      </c>
      <c r="F176" s="106">
        <v>5118</v>
      </c>
      <c r="G176" s="106">
        <v>4095</v>
      </c>
      <c r="H176" s="30"/>
      <c r="I176" s="112" t="s">
        <v>223</v>
      </c>
      <c r="J176" s="30"/>
      <c r="K176" s="79" t="str">
        <f t="shared" ref="K176:K181" si="40">HYPERLINK("http://www.energiatalgud.ee/img_auth.php/3/39/ENMAK_2030._Stsenaariumitega_kaasneva_%C3%B5hukvaliteedi_muutuste_prognoos_2012-2050.pdf","ENMAK 2030 stsenaariumitega kaasneva õhukvaliteedi muutuse prognoos")</f>
        <v>ENMAK 2030 stsenaariumitega kaasneva õhukvaliteedi muutuse prognoos</v>
      </c>
      <c r="L176" s="29"/>
      <c r="M176" s="29"/>
      <c r="N176" s="29"/>
      <c r="O176" s="29"/>
      <c r="P176" s="29"/>
      <c r="Q176" s="29"/>
      <c r="R176" s="29"/>
      <c r="S176" s="29"/>
      <c r="T176" s="29"/>
    </row>
    <row r="177" spans="1:20" s="25" customFormat="1" x14ac:dyDescent="0.2">
      <c r="A177" s="529"/>
      <c r="B177" s="33"/>
      <c r="C177" s="28" t="s">
        <v>370</v>
      </c>
      <c r="D177" s="29" t="s">
        <v>317</v>
      </c>
      <c r="E177" s="106">
        <v>3802</v>
      </c>
      <c r="F177" s="106">
        <v>2271</v>
      </c>
      <c r="G177" s="106">
        <v>2089</v>
      </c>
      <c r="H177" s="30"/>
      <c r="I177" s="112" t="s">
        <v>223</v>
      </c>
      <c r="J177" s="30"/>
      <c r="K177" s="79" t="str">
        <f t="shared" si="40"/>
        <v>ENMAK 2030 stsenaariumitega kaasneva õhukvaliteedi muutuse prognoos</v>
      </c>
      <c r="L177" s="29"/>
      <c r="M177" s="29"/>
      <c r="N177" s="29"/>
      <c r="O177" s="29"/>
      <c r="P177" s="29"/>
      <c r="Q177" s="29"/>
      <c r="R177" s="29"/>
      <c r="S177" s="29"/>
      <c r="T177" s="29"/>
    </row>
    <row r="178" spans="1:20" s="25" customFormat="1" x14ac:dyDescent="0.2">
      <c r="A178" s="529"/>
      <c r="B178" s="33"/>
      <c r="C178" s="28" t="s">
        <v>372</v>
      </c>
      <c r="D178" s="29" t="s">
        <v>317</v>
      </c>
      <c r="E178" s="106">
        <v>6973</v>
      </c>
      <c r="F178" s="106">
        <v>4143</v>
      </c>
      <c r="G178" s="106">
        <v>3617</v>
      </c>
      <c r="H178" s="30"/>
      <c r="I178" s="112" t="s">
        <v>223</v>
      </c>
      <c r="J178" s="30"/>
      <c r="K178" s="79" t="str">
        <f t="shared" si="40"/>
        <v>ENMAK 2030 stsenaariumitega kaasneva õhukvaliteedi muutuse prognoos</v>
      </c>
      <c r="L178" s="29"/>
      <c r="M178" s="29"/>
      <c r="N178" s="29"/>
      <c r="O178" s="29"/>
      <c r="P178" s="29"/>
      <c r="Q178" s="29"/>
      <c r="R178" s="29"/>
      <c r="S178" s="29"/>
      <c r="T178" s="29"/>
    </row>
    <row r="179" spans="1:20" s="25" customFormat="1" x14ac:dyDescent="0.2">
      <c r="A179" s="529"/>
      <c r="B179" s="33"/>
      <c r="C179" s="28" t="s">
        <v>375</v>
      </c>
      <c r="D179" s="29" t="s">
        <v>317</v>
      </c>
      <c r="E179" s="106">
        <v>2411</v>
      </c>
      <c r="F179" s="106">
        <v>1909</v>
      </c>
      <c r="G179" s="106">
        <v>1581</v>
      </c>
      <c r="H179" s="30"/>
      <c r="I179" s="112" t="s">
        <v>223</v>
      </c>
      <c r="J179" s="30"/>
      <c r="K179" s="79" t="str">
        <f t="shared" si="40"/>
        <v>ENMAK 2030 stsenaariumitega kaasneva õhukvaliteedi muutuse prognoos</v>
      </c>
      <c r="L179" s="29"/>
      <c r="M179" s="29"/>
      <c r="N179" s="29"/>
      <c r="O179" s="29"/>
      <c r="P179" s="29"/>
      <c r="Q179" s="29"/>
      <c r="R179" s="29"/>
      <c r="S179" s="29"/>
      <c r="T179" s="29"/>
    </row>
    <row r="180" spans="1:20" s="25" customFormat="1" x14ac:dyDescent="0.2">
      <c r="A180" s="529"/>
      <c r="B180" s="33"/>
      <c r="C180" s="28" t="s">
        <v>550</v>
      </c>
      <c r="D180" s="29" t="s">
        <v>549</v>
      </c>
      <c r="E180" s="111">
        <v>0.85499999999999998</v>
      </c>
      <c r="F180" s="111">
        <v>0.65700000000000003</v>
      </c>
      <c r="G180" s="111">
        <v>0.54</v>
      </c>
      <c r="H180" s="30"/>
      <c r="I180" s="112" t="s">
        <v>223</v>
      </c>
      <c r="J180" s="30"/>
      <c r="K180" s="79" t="str">
        <f t="shared" si="40"/>
        <v>ENMAK 2030 stsenaariumitega kaasneva õhukvaliteedi muutuse prognoos</v>
      </c>
      <c r="L180" s="29"/>
      <c r="M180" s="29"/>
      <c r="N180" s="29"/>
      <c r="O180" s="29"/>
      <c r="P180" s="29"/>
      <c r="Q180" s="29"/>
      <c r="R180" s="29"/>
      <c r="S180" s="29"/>
      <c r="T180" s="29"/>
    </row>
    <row r="181" spans="1:20" s="25" customFormat="1" x14ac:dyDescent="0.2">
      <c r="A181" s="529"/>
      <c r="B181" s="33"/>
      <c r="C181" s="28" t="s">
        <v>380</v>
      </c>
      <c r="D181" s="29" t="s">
        <v>317</v>
      </c>
      <c r="E181" s="127">
        <v>236</v>
      </c>
      <c r="F181" s="127">
        <v>186</v>
      </c>
      <c r="G181" s="127">
        <v>155</v>
      </c>
      <c r="H181" s="30"/>
      <c r="I181" s="112" t="s">
        <v>223</v>
      </c>
      <c r="J181" s="30"/>
      <c r="K181" s="79" t="str">
        <f t="shared" si="40"/>
        <v>ENMAK 2030 stsenaariumitega kaasneva õhukvaliteedi muutuse prognoos</v>
      </c>
      <c r="L181" s="29"/>
      <c r="M181" s="29"/>
      <c r="N181" s="29"/>
      <c r="O181" s="29"/>
      <c r="P181" s="29"/>
      <c r="Q181" s="29"/>
      <c r="R181" s="29"/>
      <c r="S181" s="29"/>
      <c r="T181" s="29"/>
    </row>
    <row r="182" spans="1:20" s="25" customFormat="1" x14ac:dyDescent="0.2">
      <c r="A182" s="32"/>
      <c r="B182" s="33"/>
      <c r="H182" s="30"/>
      <c r="J182" s="30"/>
    </row>
    <row r="183" spans="1:20" s="25" customFormat="1" x14ac:dyDescent="0.2">
      <c r="A183" s="525" t="s">
        <v>567</v>
      </c>
      <c r="B183" s="33"/>
      <c r="C183" s="26" t="s">
        <v>566</v>
      </c>
      <c r="D183" s="27" t="s">
        <v>14</v>
      </c>
      <c r="E183" s="308">
        <v>3618</v>
      </c>
      <c r="F183" s="308">
        <f>$E183</f>
        <v>3618</v>
      </c>
      <c r="G183" s="308">
        <f>$E183</f>
        <v>3618</v>
      </c>
      <c r="H183" s="30"/>
      <c r="I183" s="114" t="s">
        <v>223</v>
      </c>
      <c r="J183" s="30"/>
      <c r="K183" s="80" t="str">
        <f>HYPERLINK("http://www.energiatalgud.ee/img_auth.php/1/16/ENMAK_2030._Valdkondade_stsenaariumitega_kaasneva_keskkonnam%C3%B5ju_modelleerimine.pdf","ENMAK 2030 stsenaariumitega kaasneva keskkonnamõju modelleerimine")</f>
        <v>ENMAK 2030 stsenaariumitega kaasneva keskkonnamõju modelleerimine</v>
      </c>
      <c r="L183" s="27"/>
      <c r="M183" s="27"/>
      <c r="N183" s="27"/>
      <c r="O183" s="27"/>
      <c r="P183" s="27"/>
      <c r="Q183" s="27"/>
      <c r="R183" s="27"/>
      <c r="S183" s="29"/>
      <c r="T183" s="29"/>
    </row>
    <row r="184" spans="1:20" s="25" customFormat="1" x14ac:dyDescent="0.2">
      <c r="A184" s="525"/>
      <c r="B184" s="33"/>
      <c r="C184" s="26" t="s">
        <v>568</v>
      </c>
      <c r="D184" s="27" t="s">
        <v>546</v>
      </c>
      <c r="E184" s="308">
        <v>21</v>
      </c>
      <c r="F184" s="308">
        <f t="shared" ref="F184:G187" si="41">$E184</f>
        <v>21</v>
      </c>
      <c r="G184" s="308">
        <f t="shared" si="41"/>
        <v>21</v>
      </c>
      <c r="H184" s="30"/>
      <c r="I184" s="114" t="s">
        <v>223</v>
      </c>
      <c r="J184" s="30"/>
      <c r="K184" s="80" t="str">
        <f t="shared" ref="K184:K187" si="42">HYPERLINK("http://www.energiatalgud.ee/img_auth.php/1/16/ENMAK_2030._Valdkondade_stsenaariumitega_kaasneva_keskkonnam%C3%B5ju_modelleerimine.pdf","ENMAK 2030 stsenaariumitega kaasneva keskkonnamõju modelleerimine")</f>
        <v>ENMAK 2030 stsenaariumitega kaasneva keskkonnamõju modelleerimine</v>
      </c>
      <c r="L184" s="27"/>
      <c r="M184" s="27"/>
      <c r="N184" s="27"/>
      <c r="O184" s="27"/>
      <c r="P184" s="27"/>
      <c r="Q184" s="27"/>
      <c r="R184" s="27"/>
      <c r="S184" s="29"/>
      <c r="T184" s="29"/>
    </row>
    <row r="185" spans="1:20" s="25" customFormat="1" x14ac:dyDescent="0.2">
      <c r="A185" s="525"/>
      <c r="B185" s="33"/>
      <c r="C185" s="26" t="s">
        <v>569</v>
      </c>
      <c r="D185" s="27" t="s">
        <v>547</v>
      </c>
      <c r="E185" s="308">
        <v>3682</v>
      </c>
      <c r="F185" s="308">
        <f t="shared" si="41"/>
        <v>3682</v>
      </c>
      <c r="G185" s="308">
        <f t="shared" si="41"/>
        <v>3682</v>
      </c>
      <c r="H185" s="30"/>
      <c r="I185" s="114" t="s">
        <v>223</v>
      </c>
      <c r="J185" s="30"/>
      <c r="K185" s="80" t="str">
        <f t="shared" si="42"/>
        <v>ENMAK 2030 stsenaariumitega kaasneva keskkonnamõju modelleerimine</v>
      </c>
      <c r="L185" s="27"/>
      <c r="M185" s="27"/>
      <c r="N185" s="27"/>
      <c r="O185" s="27"/>
      <c r="P185" s="27"/>
      <c r="Q185" s="27"/>
      <c r="R185" s="27"/>
      <c r="S185" s="29"/>
      <c r="T185" s="29"/>
    </row>
    <row r="186" spans="1:20" s="25" customFormat="1" x14ac:dyDescent="0.2">
      <c r="A186" s="525"/>
      <c r="B186" s="33"/>
      <c r="C186" s="26" t="s">
        <v>570</v>
      </c>
      <c r="D186" s="27" t="s">
        <v>548</v>
      </c>
      <c r="E186" s="308">
        <v>58881</v>
      </c>
      <c r="F186" s="308">
        <f t="shared" si="41"/>
        <v>58881</v>
      </c>
      <c r="G186" s="308">
        <f t="shared" si="41"/>
        <v>58881</v>
      </c>
      <c r="H186" s="30"/>
      <c r="I186" s="114" t="s">
        <v>223</v>
      </c>
      <c r="J186" s="30"/>
      <c r="K186" s="80" t="str">
        <f t="shared" si="42"/>
        <v>ENMAK 2030 stsenaariumitega kaasneva keskkonnamõju modelleerimine</v>
      </c>
      <c r="L186" s="27"/>
      <c r="M186" s="27"/>
      <c r="N186" s="27"/>
      <c r="O186" s="27"/>
      <c r="P186" s="27"/>
      <c r="Q186" s="27"/>
      <c r="R186" s="27"/>
      <c r="S186" s="29"/>
      <c r="T186" s="29"/>
    </row>
    <row r="187" spans="1:20" s="25" customFormat="1" x14ac:dyDescent="0.2">
      <c r="A187" s="525"/>
      <c r="B187" s="33"/>
      <c r="C187" s="26" t="s">
        <v>571</v>
      </c>
      <c r="D187" s="27" t="s">
        <v>346</v>
      </c>
      <c r="E187" s="308">
        <v>1461967</v>
      </c>
      <c r="F187" s="308">
        <f t="shared" si="41"/>
        <v>1461967</v>
      </c>
      <c r="G187" s="308">
        <f t="shared" si="41"/>
        <v>1461967</v>
      </c>
      <c r="H187" s="30"/>
      <c r="I187" s="114" t="s">
        <v>223</v>
      </c>
      <c r="J187" s="30"/>
      <c r="K187" s="80" t="str">
        <f t="shared" si="42"/>
        <v>ENMAK 2030 stsenaariumitega kaasneva keskkonnamõju modelleerimine</v>
      </c>
      <c r="L187" s="27"/>
      <c r="M187" s="27"/>
      <c r="N187" s="27"/>
      <c r="O187" s="27"/>
      <c r="P187" s="27"/>
      <c r="Q187" s="27"/>
      <c r="R187" s="27"/>
      <c r="S187" s="29"/>
      <c r="T187" s="29"/>
    </row>
    <row r="188" spans="1:20" s="25" customFormat="1" x14ac:dyDescent="0.2">
      <c r="A188" s="32"/>
      <c r="B188" s="33"/>
      <c r="H188" s="30"/>
      <c r="J188" s="30"/>
    </row>
    <row r="189" spans="1:20" s="25" customFormat="1" x14ac:dyDescent="0.2">
      <c r="A189" s="529" t="s">
        <v>406</v>
      </c>
      <c r="B189" s="33"/>
      <c r="C189" s="28" t="s">
        <v>312</v>
      </c>
      <c r="D189" s="29" t="s">
        <v>14</v>
      </c>
      <c r="E189" s="106">
        <v>4438</v>
      </c>
      <c r="F189" s="106">
        <v>3878</v>
      </c>
      <c r="G189" s="106">
        <v>3749</v>
      </c>
      <c r="H189" s="30"/>
      <c r="I189" s="112" t="s">
        <v>223</v>
      </c>
      <c r="J189" s="29"/>
      <c r="K189" s="79" t="str">
        <f>HYPERLINK("http://www.energiatalgud.ee/img_auth.php/1/16/ENMAK_2030._Valdkondade_stsenaariumitega_kaasneva_keskkonnam%C3%B5ju_modelleerimine.pdf","ENMAK 2030 stsenaariumitega kaasneva keskkonnamõju modelleerimine")</f>
        <v>ENMAK 2030 stsenaariumitega kaasneva keskkonnamõju modelleerimine</v>
      </c>
      <c r="L189" s="29"/>
      <c r="M189" s="29"/>
      <c r="N189" s="29"/>
      <c r="O189" s="29"/>
      <c r="P189" s="29"/>
      <c r="Q189" s="29"/>
      <c r="R189" s="29"/>
      <c r="S189" s="29"/>
      <c r="T189" s="29"/>
    </row>
    <row r="190" spans="1:20" s="25" customFormat="1" x14ac:dyDescent="0.2">
      <c r="A190" s="529"/>
      <c r="B190" s="33"/>
      <c r="C190" s="28" t="s">
        <v>313</v>
      </c>
      <c r="D190" s="29" t="s">
        <v>546</v>
      </c>
      <c r="E190" s="106">
        <v>37</v>
      </c>
      <c r="F190" s="106">
        <v>32</v>
      </c>
      <c r="G190" s="106">
        <v>33</v>
      </c>
      <c r="H190" s="30"/>
      <c r="I190" s="112" t="s">
        <v>223</v>
      </c>
      <c r="J190" s="29"/>
      <c r="K190" s="79" t="str">
        <f t="shared" ref="K190:K193" si="43">HYPERLINK("http://www.energiatalgud.ee/img_auth.php/1/16/ENMAK_2030._Valdkondade_stsenaariumitega_kaasneva_keskkonnam%C3%B5ju_modelleerimine.pdf","ENMAK 2030 stsenaariumitega kaasneva keskkonnamõju modelleerimine")</f>
        <v>ENMAK 2030 stsenaariumitega kaasneva keskkonnamõju modelleerimine</v>
      </c>
      <c r="L190" s="29"/>
      <c r="M190" s="29"/>
      <c r="N190" s="29"/>
      <c r="O190" s="29"/>
      <c r="P190" s="29"/>
      <c r="Q190" s="29"/>
      <c r="R190" s="29"/>
      <c r="S190" s="29"/>
      <c r="T190" s="29"/>
    </row>
    <row r="191" spans="1:20" s="25" customFormat="1" x14ac:dyDescent="0.2">
      <c r="A191" s="529"/>
      <c r="B191" s="33"/>
      <c r="C191" s="28" t="s">
        <v>314</v>
      </c>
      <c r="D191" s="29" t="s">
        <v>547</v>
      </c>
      <c r="E191" s="106">
        <v>3461</v>
      </c>
      <c r="F191" s="106">
        <v>2610</v>
      </c>
      <c r="G191" s="106">
        <v>2370</v>
      </c>
      <c r="H191" s="30"/>
      <c r="I191" s="112" t="s">
        <v>223</v>
      </c>
      <c r="J191" s="29"/>
      <c r="K191" s="79" t="str">
        <f t="shared" si="43"/>
        <v>ENMAK 2030 stsenaariumitega kaasneva keskkonnamõju modelleerimine</v>
      </c>
      <c r="L191" s="29"/>
      <c r="M191" s="29"/>
      <c r="N191" s="29"/>
      <c r="O191" s="29"/>
      <c r="P191" s="29"/>
      <c r="Q191" s="29"/>
      <c r="R191" s="29"/>
      <c r="S191" s="29"/>
      <c r="T191" s="29"/>
    </row>
    <row r="192" spans="1:20" s="25" customFormat="1" x14ac:dyDescent="0.2">
      <c r="A192" s="529"/>
      <c r="B192" s="33"/>
      <c r="C192" s="28" t="s">
        <v>315</v>
      </c>
      <c r="D192" s="29" t="s">
        <v>548</v>
      </c>
      <c r="E192" s="106">
        <v>53634</v>
      </c>
      <c r="F192" s="106">
        <v>40533</v>
      </c>
      <c r="G192" s="106">
        <v>36148</v>
      </c>
      <c r="H192" s="30"/>
      <c r="I192" s="112" t="s">
        <v>223</v>
      </c>
      <c r="J192" s="29"/>
      <c r="K192" s="79" t="str">
        <f t="shared" si="43"/>
        <v>ENMAK 2030 stsenaariumitega kaasneva keskkonnamõju modelleerimine</v>
      </c>
      <c r="L192" s="29"/>
      <c r="M192" s="29"/>
      <c r="N192" s="29"/>
      <c r="O192" s="29"/>
      <c r="P192" s="29"/>
      <c r="Q192" s="29"/>
      <c r="R192" s="29"/>
      <c r="S192" s="29"/>
      <c r="T192" s="29"/>
    </row>
    <row r="193" spans="1:20" s="25" customFormat="1" x14ac:dyDescent="0.2">
      <c r="A193" s="529"/>
      <c r="B193" s="33"/>
      <c r="C193" s="28" t="s">
        <v>345</v>
      </c>
      <c r="D193" s="29" t="s">
        <v>346</v>
      </c>
      <c r="E193" s="106">
        <v>1659756</v>
      </c>
      <c r="F193" s="106">
        <v>1369932</v>
      </c>
      <c r="G193" s="106">
        <v>1304034</v>
      </c>
      <c r="H193" s="30"/>
      <c r="I193" s="112" t="s">
        <v>223</v>
      </c>
      <c r="J193" s="29"/>
      <c r="K193" s="79" t="str">
        <f t="shared" si="43"/>
        <v>ENMAK 2030 stsenaariumitega kaasneva keskkonnamõju modelleerimine</v>
      </c>
      <c r="L193" s="29"/>
      <c r="M193" s="29"/>
      <c r="N193" s="29"/>
      <c r="O193" s="29"/>
      <c r="P193" s="29"/>
      <c r="Q193" s="29"/>
      <c r="R193" s="29"/>
      <c r="S193" s="29"/>
      <c r="T193" s="29"/>
    </row>
    <row r="195" spans="1:20" s="25" customFormat="1" ht="16.75" customHeight="1" x14ac:dyDescent="0.2">
      <c r="A195" s="525" t="s">
        <v>625</v>
      </c>
      <c r="B195" s="33"/>
      <c r="C195" s="26" t="s">
        <v>624</v>
      </c>
      <c r="D195" s="334" t="s">
        <v>626</v>
      </c>
      <c r="E195" s="308">
        <v>321.2</v>
      </c>
      <c r="F195" s="308">
        <f>$E195</f>
        <v>321.2</v>
      </c>
      <c r="G195" s="308">
        <f>$E195</f>
        <v>321.2</v>
      </c>
      <c r="H195" s="30"/>
      <c r="I195" s="80" t="str">
        <f>HYPERLINK("http://www.energiatalgud.ee/img_auth.php/0/02/Orru%2C_H._ENMAK_2030._%C3%95husaaste_tervisem%C3%B5ju.pdf","ENMAK 2030. Õhusaaste tervisemõju")</f>
        <v>ENMAK 2030. Õhusaaste tervisemõju</v>
      </c>
      <c r="J195" s="80"/>
      <c r="K195" s="80" t="str">
        <f>HYPERLINK("https://onedrive.live.com/redir?resid=31206ECE3E1FC115!180&amp;authkey=!AHEPLMml5vHKJn0&amp;ithint=file%2cxlsx","Orru, H. ENMAK 2030 õhusaaste tervisemõju. Arvutusfail")</f>
        <v>Orru, H. ENMAK 2030 õhusaaste tervisemõju. Arvutusfail</v>
      </c>
    </row>
    <row r="196" spans="1:20" ht="16.75" customHeight="1" x14ac:dyDescent="0.2">
      <c r="A196" s="525"/>
      <c r="C196" s="26" t="s">
        <v>519</v>
      </c>
      <c r="D196" s="334" t="s">
        <v>626</v>
      </c>
      <c r="E196" s="308">
        <v>284.39999999999998</v>
      </c>
      <c r="F196" s="308">
        <v>263.3</v>
      </c>
      <c r="G196" s="308">
        <v>253.9</v>
      </c>
      <c r="I196" s="80" t="str">
        <f>HYPERLINK("http://www.energiatalgud.ee/img_auth.php/0/02/Orru%2C_H._ENMAK_2030._%C3%95husaaste_tervisem%C3%B5ju.pdf","ENMAK 2030. Õhusaaste tervisemõju")</f>
        <v>ENMAK 2030. Õhusaaste tervisemõju</v>
      </c>
      <c r="J196" s="80"/>
      <c r="K196" s="80" t="str">
        <f>HYPERLINK("https://onedrive.live.com/redir?resid=31206ECE3E1FC115!180&amp;authkey=!AHEPLMml5vHKJn0&amp;ithint=file%2cxlsx","Orru, H. ENMAK 2030 õhusaaste tervisemõju. Arvutusfail")</f>
        <v>Orru, H. ENMAK 2030 õhusaaste tervisemõju. Arvutusfail</v>
      </c>
      <c r="L196" s="27"/>
      <c r="M196" s="27"/>
      <c r="N196" s="27"/>
      <c r="O196" s="27"/>
      <c r="P196" s="27"/>
      <c r="Q196" s="27"/>
      <c r="R196" s="27"/>
      <c r="S196" s="26"/>
      <c r="T196" s="90"/>
    </row>
    <row r="201" spans="1:20" x14ac:dyDescent="0.2">
      <c r="E201" s="371"/>
    </row>
    <row r="202" spans="1:20" x14ac:dyDescent="0.2">
      <c r="E202" s="371"/>
    </row>
  </sheetData>
  <sheetProtection password="C627" sheet="1" objects="1" scenarios="1"/>
  <mergeCells count="11">
    <mergeCell ref="A195:A196"/>
    <mergeCell ref="I1:K1"/>
    <mergeCell ref="A189:A193"/>
    <mergeCell ref="A159:A165"/>
    <mergeCell ref="A167:A173"/>
    <mergeCell ref="A142:A149"/>
    <mergeCell ref="A106:A124"/>
    <mergeCell ref="A6:A30"/>
    <mergeCell ref="A151:A157"/>
    <mergeCell ref="A175:A181"/>
    <mergeCell ref="A183:A187"/>
  </mergeCells>
  <pageMargins left="0.7" right="0.7" top="0.75" bottom="0.75" header="0.3" footer="0.3"/>
  <pageSetup paperSize="9" orientation="portrait"/>
  <legacy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T118"/>
  <sheetViews>
    <sheetView topLeftCell="A45" zoomScale="115" zoomScaleNormal="115" zoomScalePageLayoutView="115" workbookViewId="0">
      <selection activeCell="C74" sqref="C74:C75"/>
    </sheetView>
  </sheetViews>
  <sheetFormatPr baseColWidth="10" defaultColWidth="8.796875" defaultRowHeight="15" x14ac:dyDescent="0.2"/>
  <cols>
    <col min="1" max="1" width="8.796875" style="7"/>
    <col min="2" max="2" width="1.3984375" style="33" customWidth="1"/>
    <col min="3" max="3" width="43.796875" bestFit="1" customWidth="1"/>
    <col min="4" max="4" width="8.19921875" customWidth="1"/>
    <col min="5" max="5" width="15.796875" customWidth="1"/>
    <col min="6" max="6" width="15.59765625" customWidth="1"/>
    <col min="7" max="7" width="16" customWidth="1"/>
    <col min="8" max="8" width="1.3984375" style="30" customWidth="1"/>
    <col min="9" max="9" width="32.3984375" customWidth="1"/>
    <col min="10" max="10" width="0.796875" style="30" customWidth="1"/>
    <col min="11" max="11" width="32.19921875" customWidth="1"/>
  </cols>
  <sheetData>
    <row r="1" spans="1:11" s="5" customFormat="1" x14ac:dyDescent="0.2">
      <c r="A1" s="8"/>
      <c r="B1" s="33"/>
      <c r="E1" s="96" t="s">
        <v>10</v>
      </c>
      <c r="F1" s="96" t="s">
        <v>11</v>
      </c>
      <c r="G1" s="96" t="s">
        <v>12</v>
      </c>
      <c r="H1" s="33"/>
      <c r="I1" s="526" t="s">
        <v>398</v>
      </c>
      <c r="J1" s="527"/>
      <c r="K1" s="528"/>
    </row>
    <row r="2" spans="1:11" s="5" customFormat="1" x14ac:dyDescent="0.2">
      <c r="A2" s="8"/>
      <c r="B2" s="33"/>
      <c r="E2" s="96" t="s">
        <v>0</v>
      </c>
      <c r="F2" s="96" t="s">
        <v>1</v>
      </c>
      <c r="G2" s="96" t="s">
        <v>2</v>
      </c>
      <c r="H2" s="33"/>
      <c r="I2" s="97" t="s">
        <v>399</v>
      </c>
      <c r="J2" s="97"/>
      <c r="K2" s="95" t="s">
        <v>405</v>
      </c>
    </row>
    <row r="3" spans="1:11" s="5" customFormat="1" ht="3.5" customHeight="1" x14ac:dyDescent="0.2">
      <c r="A3" s="8"/>
      <c r="B3" s="33"/>
      <c r="H3" s="30"/>
      <c r="J3" s="30"/>
    </row>
    <row r="4" spans="1:11" s="4" customFormat="1" ht="14.5" customHeight="1" x14ac:dyDescent="0.2">
      <c r="A4" s="530" t="s">
        <v>32</v>
      </c>
      <c r="B4" s="33"/>
      <c r="C4" s="3" t="s">
        <v>40</v>
      </c>
      <c r="D4" s="4" t="s">
        <v>27</v>
      </c>
      <c r="E4" s="14">
        <f>SUM(E8,E12)</f>
        <v>11.289444444444445</v>
      </c>
      <c r="F4" s="14">
        <f>SUM(F8,F12)</f>
        <v>9.8566666666666674</v>
      </c>
      <c r="G4" s="14">
        <f>SUM(G8,G12)</f>
        <v>8.68530937302436</v>
      </c>
      <c r="H4" s="30"/>
      <c r="I4" s="79" t="str">
        <f>HYPERLINK("http://www.energiatalgud.ee/index.php?title=Transpordi_ENMAK_stsenaariumid","Transpordistsenaariumid")</f>
        <v>Transpordistsenaariumid</v>
      </c>
      <c r="J4" s="30"/>
      <c r="K4" s="94" t="str">
        <f>HYPERLINK("https://onedrive.live.com/redir?resid=31206ECE3E1FC115!134&amp;authkey=!AMlTw8-fMP_ewZw&amp;ithint=file%2cxlsx","Transpordistsenaariumite tulemused")</f>
        <v>Transpordistsenaariumite tulemused</v>
      </c>
    </row>
    <row r="5" spans="1:11" s="4" customFormat="1" x14ac:dyDescent="0.2">
      <c r="A5" s="530"/>
      <c r="B5" s="33"/>
      <c r="C5" s="3" t="s">
        <v>39</v>
      </c>
      <c r="D5" s="4" t="s">
        <v>27</v>
      </c>
      <c r="E5" s="14">
        <f t="shared" ref="E5:G6" si="0">SUM(E9,E13)</f>
        <v>13.295833333333334</v>
      </c>
      <c r="F5" s="14">
        <f t="shared" si="0"/>
        <v>11.138055555555555</v>
      </c>
      <c r="G5" s="14">
        <f t="shared" si="0"/>
        <v>8.1258333333333344</v>
      </c>
      <c r="H5" s="30"/>
      <c r="I5" s="79" t="str">
        <f>HYPERLINK("http://www.energiatalgud.ee/index.php?title=Transpordi_ENMAK_stsenaariumid","Transpordistsenaariumid")</f>
        <v>Transpordistsenaariumid</v>
      </c>
      <c r="J5" s="30"/>
      <c r="K5" s="94" t="str">
        <f>HYPERLINK("https://onedrive.live.com/redir?resid=31206ECE3E1FC115!134&amp;authkey=!AMlTw8-fMP_ewZw&amp;ithint=file%2cxlsx","Transpordistsenaariumite tulemused")</f>
        <v>Transpordistsenaariumite tulemused</v>
      </c>
    </row>
    <row r="6" spans="1:11" s="4" customFormat="1" x14ac:dyDescent="0.2">
      <c r="A6" s="530"/>
      <c r="B6" s="33"/>
      <c r="C6" s="3" t="s">
        <v>3</v>
      </c>
      <c r="D6" s="4" t="s">
        <v>27</v>
      </c>
      <c r="E6" s="14">
        <f t="shared" si="0"/>
        <v>10.8575</v>
      </c>
      <c r="F6" s="14">
        <f t="shared" si="0"/>
        <v>9.5386111111111109</v>
      </c>
      <c r="G6" s="14">
        <f t="shared" si="0"/>
        <v>4.2441666666666666</v>
      </c>
      <c r="H6" s="30"/>
      <c r="I6" s="79" t="str">
        <f>HYPERLINK("http://www.energiatalgud.ee/index.php?title=Transpordi_ENMAK_stsenaariumid","Transpordistsenaariumid")</f>
        <v>Transpordistsenaariumid</v>
      </c>
      <c r="J6" s="30"/>
      <c r="K6" s="94" t="str">
        <f>HYPERLINK("https://onedrive.live.com/redir?resid=31206ECE3E1FC115!134&amp;authkey=!AMlTw8-fMP_ewZw&amp;ithint=file%2cxlsx","Transpordistsenaariumite tulemused")</f>
        <v>Transpordistsenaariumite tulemused</v>
      </c>
    </row>
    <row r="7" spans="1:11" s="5" customFormat="1" ht="5" customHeight="1" x14ac:dyDescent="0.2">
      <c r="A7" s="530"/>
      <c r="B7" s="33"/>
      <c r="C7" s="6"/>
      <c r="H7" s="30"/>
      <c r="J7" s="30"/>
    </row>
    <row r="8" spans="1:11" s="4" customFormat="1" x14ac:dyDescent="0.2">
      <c r="A8" s="530"/>
      <c r="B8" s="33"/>
      <c r="C8" s="3" t="s">
        <v>4</v>
      </c>
      <c r="D8" s="4" t="s">
        <v>27</v>
      </c>
      <c r="E8" s="14">
        <v>5.7777777777777775E-2</v>
      </c>
      <c r="F8" s="14">
        <v>5.3055555555555557E-2</v>
      </c>
      <c r="G8" s="14">
        <v>6.5309373024360004E-2</v>
      </c>
      <c r="H8" s="30"/>
      <c r="I8" s="79" t="str">
        <f>HYPERLINK("http://www.energiatalgud.ee/index.php?title=Transpordi_ENMAK_stsenaariumid","Transpordistsenaariumid")</f>
        <v>Transpordistsenaariumid</v>
      </c>
      <c r="J8" s="30"/>
      <c r="K8" s="94" t="str">
        <f>HYPERLINK("https://onedrive.live.com/redir?resid=31206ECE3E1FC115!134&amp;authkey=!AMlTw8-fMP_ewZw&amp;ithint=file%2cxlsx","Transpordistsenaariumite tulemused")</f>
        <v>Transpordistsenaariumite tulemused</v>
      </c>
    </row>
    <row r="9" spans="1:11" s="4" customFormat="1" x14ac:dyDescent="0.2">
      <c r="A9" s="530"/>
      <c r="B9" s="33"/>
      <c r="C9" s="3" t="s">
        <v>5</v>
      </c>
      <c r="D9" s="4" t="s">
        <v>27</v>
      </c>
      <c r="E9" s="14">
        <v>0.10777777777777778</v>
      </c>
      <c r="F9" s="14">
        <v>0.13388888888888889</v>
      </c>
      <c r="G9" s="14">
        <f>1078/3.6/1000</f>
        <v>0.29944444444444446</v>
      </c>
      <c r="H9" s="30"/>
      <c r="I9" s="79" t="str">
        <f>HYPERLINK("http://www.energiatalgud.ee/index.php?title=Transpordi_ENMAK_stsenaariumid","Transpordistsenaariumid")</f>
        <v>Transpordistsenaariumid</v>
      </c>
      <c r="J9" s="30"/>
      <c r="K9" s="94" t="str">
        <f>HYPERLINK("https://onedrive.live.com/redir?resid=31206ECE3E1FC115!134&amp;authkey=!AMlTw8-fMP_ewZw&amp;ithint=file%2cxlsx","Transpordistsenaariumite tulemused")</f>
        <v>Transpordistsenaariumite tulemused</v>
      </c>
    </row>
    <row r="10" spans="1:11" s="4" customFormat="1" x14ac:dyDescent="0.2">
      <c r="A10" s="530"/>
      <c r="B10" s="33"/>
      <c r="C10" s="3" t="s">
        <v>6</v>
      </c>
      <c r="D10" s="4" t="s">
        <v>27</v>
      </c>
      <c r="E10" s="14">
        <v>0.26027777777777777</v>
      </c>
      <c r="F10" s="14">
        <v>0.33750000000000002</v>
      </c>
      <c r="G10" s="40">
        <f>2136/3.6/1000</f>
        <v>0.59333333333333338</v>
      </c>
      <c r="H10" s="30"/>
      <c r="I10" s="79" t="str">
        <f>HYPERLINK("http://www.energiatalgud.ee/index.php?title=Transpordi_ENMAK_stsenaariumid","Transpordistsenaariumid")</f>
        <v>Transpordistsenaariumid</v>
      </c>
      <c r="J10" s="30"/>
      <c r="K10" s="94" t="str">
        <f>HYPERLINK("https://onedrive.live.com/redir?resid=31206ECE3E1FC115!134&amp;authkey=!AMlTw8-fMP_ewZw&amp;ithint=file%2cxlsx","Transpordistsenaariumite tulemused")</f>
        <v>Transpordistsenaariumite tulemused</v>
      </c>
    </row>
    <row r="11" spans="1:11" s="5" customFormat="1" ht="4.25" customHeight="1" x14ac:dyDescent="0.2">
      <c r="A11" s="530"/>
      <c r="B11" s="33"/>
      <c r="C11" s="6"/>
      <c r="E11" s="15"/>
      <c r="F11" s="15"/>
      <c r="G11" s="15"/>
      <c r="H11" s="30"/>
      <c r="J11" s="30"/>
    </row>
    <row r="12" spans="1:11" s="4" customFormat="1" x14ac:dyDescent="0.2">
      <c r="A12" s="530"/>
      <c r="B12" s="33"/>
      <c r="C12" s="3" t="s">
        <v>63</v>
      </c>
      <c r="D12" s="4" t="s">
        <v>27</v>
      </c>
      <c r="E12" s="14">
        <v>11.231666666666667</v>
      </c>
      <c r="F12" s="14">
        <v>9.8036111111111115</v>
      </c>
      <c r="G12" s="14">
        <v>8.6199999999999992</v>
      </c>
      <c r="H12" s="30"/>
      <c r="I12" s="79" t="str">
        <f>HYPERLINK("http://www.energiatalgud.ee/index.php?title=Transpordi_ENMAK_stsenaariumid","Transpordistsenaariumid")</f>
        <v>Transpordistsenaariumid</v>
      </c>
      <c r="J12" s="30"/>
      <c r="K12" s="94" t="str">
        <f>HYPERLINK("https://onedrive.live.com/redir?resid=31206ECE3E1FC115!134&amp;authkey=!AMlTw8-fMP_ewZw&amp;ithint=file%2cxlsx","Transpordistsenaariumite tulemused")</f>
        <v>Transpordistsenaariumite tulemused</v>
      </c>
    </row>
    <row r="13" spans="1:11" s="4" customFormat="1" x14ac:dyDescent="0.2">
      <c r="A13" s="530"/>
      <c r="B13" s="33"/>
      <c r="C13" s="3" t="s">
        <v>64</v>
      </c>
      <c r="D13" s="4" t="s">
        <v>27</v>
      </c>
      <c r="E13" s="14">
        <v>13.188055555555556</v>
      </c>
      <c r="F13" s="14">
        <v>11.004166666666666</v>
      </c>
      <c r="G13" s="14">
        <v>7.8263888888888893</v>
      </c>
      <c r="H13" s="30"/>
      <c r="I13" s="79" t="str">
        <f>HYPERLINK("http://www.energiatalgud.ee/index.php?title=Transpordi_ENMAK_stsenaariumid","Transpordistsenaariumid")</f>
        <v>Transpordistsenaariumid</v>
      </c>
      <c r="J13" s="30"/>
      <c r="K13" s="94" t="str">
        <f>HYPERLINK("https://onedrive.live.com/redir?resid=31206ECE3E1FC115!134&amp;authkey=!AMlTw8-fMP_ewZw&amp;ithint=file%2cxlsx","Transpordistsenaariumite tulemused")</f>
        <v>Transpordistsenaariumite tulemused</v>
      </c>
    </row>
    <row r="14" spans="1:11" s="4" customFormat="1" x14ac:dyDescent="0.2">
      <c r="A14" s="530"/>
      <c r="B14" s="33"/>
      <c r="C14" s="3" t="s">
        <v>65</v>
      </c>
      <c r="D14" s="4" t="s">
        <v>27</v>
      </c>
      <c r="E14" s="14">
        <v>10.597222222222221</v>
      </c>
      <c r="F14" s="14">
        <v>9.2011111111111106</v>
      </c>
      <c r="G14" s="14">
        <v>3.6508333333333334</v>
      </c>
      <c r="H14" s="30"/>
      <c r="I14" s="79" t="str">
        <f>HYPERLINK("http://www.energiatalgud.ee/index.php?title=Transpordi_ENMAK_stsenaariumid","Transpordistsenaariumid")</f>
        <v>Transpordistsenaariumid</v>
      </c>
      <c r="J14" s="30"/>
      <c r="K14" s="94" t="str">
        <f>HYPERLINK("https://onedrive.live.com/redir?resid=31206ECE3E1FC115!134&amp;authkey=!AMlTw8-fMP_ewZw&amp;ithint=file%2cxlsx","Transpordistsenaariumite tulemused")</f>
        <v>Transpordistsenaariumite tulemused</v>
      </c>
    </row>
    <row r="15" spans="1:11" s="29" customFormat="1" x14ac:dyDescent="0.2">
      <c r="A15" s="530"/>
      <c r="B15" s="33"/>
      <c r="C15" s="28"/>
      <c r="E15" s="40"/>
      <c r="F15" s="40"/>
      <c r="G15" s="40"/>
      <c r="H15" s="30"/>
      <c r="I15" s="79"/>
      <c r="J15" s="30"/>
      <c r="K15" s="94"/>
    </row>
    <row r="16" spans="1:11" s="29" customFormat="1" x14ac:dyDescent="0.2">
      <c r="A16" s="530"/>
      <c r="B16" s="33"/>
      <c r="C16" s="28" t="s">
        <v>739</v>
      </c>
      <c r="D16" s="29" t="s">
        <v>27</v>
      </c>
      <c r="E16" s="40">
        <f>15231.2840893993/3.6/1000</f>
        <v>4.2309122470553611</v>
      </c>
      <c r="F16" s="40">
        <f>12358.0018230784/3.6/1000</f>
        <v>3.4327782841884447</v>
      </c>
      <c r="G16" s="40">
        <f>10958.1296183424/3.6/1000</f>
        <v>3.0439248939839998</v>
      </c>
      <c r="H16" s="30"/>
      <c r="I16" s="79" t="str">
        <f t="shared" ref="I16:I21" si="1">HYPERLINK("http://www.energiatalgud.ee/index.php?title=Transpordi_ENMAK_stsenaariumid","Transpordistsenaariumid")</f>
        <v>Transpordistsenaariumid</v>
      </c>
      <c r="J16" s="30"/>
      <c r="K16" s="94" t="str">
        <f t="shared" ref="K16:K21" si="2">HYPERLINK("https://onedrive.live.com/redir?resid=31206ECE3E1FC115!134&amp;authkey=!AMlTw8-fMP_ewZw&amp;ithint=file%2cxlsx","Transpordistsenaariumite tulemused")</f>
        <v>Transpordistsenaariumite tulemused</v>
      </c>
    </row>
    <row r="17" spans="1:11" s="29" customFormat="1" x14ac:dyDescent="0.2">
      <c r="A17" s="530"/>
      <c r="B17" s="33"/>
      <c r="C17" s="28" t="s">
        <v>740</v>
      </c>
      <c r="D17" s="29" t="s">
        <v>27</v>
      </c>
      <c r="E17" s="40">
        <f>21318.0424535572/3.6/1000</f>
        <v>5.921678459321444</v>
      </c>
      <c r="F17" s="40">
        <f>18994.147466274/3.6/1000</f>
        <v>5.2761520739649992</v>
      </c>
      <c r="G17" s="40">
        <f>15832.7856657861/3.6/1000</f>
        <v>4.3979960182739157</v>
      </c>
      <c r="H17" s="30"/>
      <c r="I17" s="79" t="str">
        <f t="shared" si="1"/>
        <v>Transpordistsenaariumid</v>
      </c>
      <c r="J17" s="30"/>
      <c r="K17" s="94" t="str">
        <f t="shared" si="2"/>
        <v>Transpordistsenaariumite tulemused</v>
      </c>
    </row>
    <row r="18" spans="1:11" s="29" customFormat="1" x14ac:dyDescent="0.2">
      <c r="A18" s="530"/>
      <c r="B18" s="33"/>
      <c r="C18" s="28" t="s">
        <v>741</v>
      </c>
      <c r="D18" s="29" t="s">
        <v>27</v>
      </c>
      <c r="E18" s="40">
        <f>399.209710383289/3.6/1000</f>
        <v>0.11089158621758029</v>
      </c>
      <c r="F18" s="40">
        <f>678.423092161233/3.6/1000</f>
        <v>0.18845085893367583</v>
      </c>
      <c r="G18" s="40">
        <f>1035.22993161976/3.6/1000</f>
        <v>0.28756386989437777</v>
      </c>
      <c r="H18" s="30"/>
      <c r="I18" s="79" t="str">
        <f t="shared" si="1"/>
        <v>Transpordistsenaariumid</v>
      </c>
      <c r="J18" s="30"/>
      <c r="K18" s="94" t="str">
        <f t="shared" si="2"/>
        <v>Transpordistsenaariumite tulemused</v>
      </c>
    </row>
    <row r="19" spans="1:11" s="29" customFormat="1" x14ac:dyDescent="0.2">
      <c r="A19" s="530"/>
      <c r="B19" s="33"/>
      <c r="C19" s="28" t="s">
        <v>742</v>
      </c>
      <c r="D19" s="29" t="s">
        <v>27</v>
      </c>
      <c r="E19" s="40">
        <f>1153.88515828783/3.6/1000</f>
        <v>0.32052365507995279</v>
      </c>
      <c r="F19" s="40">
        <f>1176.9525545789/3.6/1000</f>
        <v>0.32693126516080556</v>
      </c>
      <c r="G19" s="40">
        <f>1095.81296183424/3.6/1000</f>
        <v>0.30439248939840002</v>
      </c>
      <c r="H19" s="30"/>
      <c r="I19" s="79" t="str">
        <f t="shared" si="1"/>
        <v>Transpordistsenaariumid</v>
      </c>
      <c r="J19" s="30"/>
      <c r="K19" s="94" t="str">
        <f t="shared" si="2"/>
        <v>Transpordistsenaariumite tulemused</v>
      </c>
    </row>
    <row r="20" spans="1:11" s="29" customFormat="1" x14ac:dyDescent="0.2">
      <c r="A20" s="530"/>
      <c r="B20" s="33"/>
      <c r="C20" s="28" t="s">
        <v>743</v>
      </c>
      <c r="D20" s="29" t="s">
        <v>27</v>
      </c>
      <c r="E20" s="40">
        <f>2331.94299038057/3.6/1000</f>
        <v>0.64776194177238056</v>
      </c>
      <c r="F20" s="40">
        <f>816.88772013015/3.6/1000</f>
        <v>0.22691325559170833</v>
      </c>
      <c r="G20" s="40">
        <f>169.770792937141/3.6/1000</f>
        <v>4.7158553593650281E-2</v>
      </c>
      <c r="H20" s="30"/>
      <c r="I20" s="79" t="str">
        <f t="shared" si="1"/>
        <v>Transpordistsenaariumid</v>
      </c>
      <c r="J20" s="30"/>
      <c r="K20" s="94" t="str">
        <f t="shared" si="2"/>
        <v>Transpordistsenaariumite tulemused</v>
      </c>
    </row>
    <row r="21" spans="1:11" s="29" customFormat="1" x14ac:dyDescent="0.2">
      <c r="A21" s="530"/>
      <c r="B21" s="33"/>
      <c r="C21" s="28" t="s">
        <v>744</v>
      </c>
      <c r="D21" s="29" t="s">
        <v>27</v>
      </c>
      <c r="E21" s="40">
        <v>0</v>
      </c>
      <c r="F21" s="40">
        <f>1268.42202937427/3.6/1000</f>
        <v>0.35233945260396393</v>
      </c>
      <c r="G21" s="40">
        <f>1939.95585553023/3.6/1000</f>
        <v>0.53887662653617496</v>
      </c>
      <c r="H21" s="30"/>
      <c r="I21" s="79" t="str">
        <f t="shared" si="1"/>
        <v>Transpordistsenaariumid</v>
      </c>
      <c r="J21" s="30"/>
      <c r="K21" s="94" t="str">
        <f t="shared" si="2"/>
        <v>Transpordistsenaariumite tulemused</v>
      </c>
    </row>
    <row r="22" spans="1:11" s="5" customFormat="1" ht="3.5" customHeight="1" x14ac:dyDescent="0.2">
      <c r="A22" s="530"/>
      <c r="B22" s="33"/>
      <c r="C22" s="6"/>
      <c r="E22" s="15"/>
      <c r="F22" s="15"/>
      <c r="G22" s="15"/>
      <c r="H22" s="30"/>
      <c r="J22" s="30"/>
    </row>
    <row r="23" spans="1:11" s="4" customFormat="1" x14ac:dyDescent="0.2">
      <c r="A23" s="530"/>
      <c r="B23" s="33"/>
      <c r="C23" s="3" t="s">
        <v>104</v>
      </c>
      <c r="D23" s="4" t="s">
        <v>27</v>
      </c>
      <c r="E23" s="14">
        <v>4.0479965292790245</v>
      </c>
      <c r="F23" s="14">
        <v>3.0065588552485663</v>
      </c>
      <c r="G23" s="14">
        <v>1.3656162530971774</v>
      </c>
      <c r="H23" s="30"/>
      <c r="I23" s="79" t="str">
        <f t="shared" ref="I23:I28" si="3">HYPERLINK("http://www.energiatalgud.ee/index.php?title=Transpordi_ENMAK_stsenaariumid","Transpordistsenaariumid")</f>
        <v>Transpordistsenaariumid</v>
      </c>
      <c r="J23" s="30"/>
      <c r="K23" s="94" t="str">
        <f t="shared" ref="K23:K28" si="4">HYPERLINK("https://onedrive.live.com/redir?resid=31206ECE3E1FC115!134&amp;authkey=!AMlTw8-fMP_ewZw&amp;ithint=file%2cxlsx","Transpordistsenaariumite tulemused")</f>
        <v>Transpordistsenaariumite tulemused</v>
      </c>
    </row>
    <row r="24" spans="1:11" s="4" customFormat="1" x14ac:dyDescent="0.2">
      <c r="A24" s="530"/>
      <c r="B24" s="33"/>
      <c r="C24" s="3" t="s">
        <v>105</v>
      </c>
      <c r="D24" s="4" t="s">
        <v>27</v>
      </c>
      <c r="E24" s="14">
        <v>7.532551025099556</v>
      </c>
      <c r="F24" s="14">
        <v>5.4787687160599488</v>
      </c>
      <c r="G24" s="14">
        <v>3.5579450813055762</v>
      </c>
      <c r="H24" s="30"/>
      <c r="I24" s="79" t="str">
        <f t="shared" si="3"/>
        <v>Transpordistsenaariumid</v>
      </c>
      <c r="J24" s="30"/>
      <c r="K24" s="94" t="str">
        <f t="shared" si="4"/>
        <v>Transpordistsenaariumite tulemused</v>
      </c>
    </row>
    <row r="25" spans="1:11" s="4" customFormat="1" x14ac:dyDescent="0.2">
      <c r="A25" s="530"/>
      <c r="B25" s="33"/>
      <c r="C25" s="3" t="s">
        <v>106</v>
      </c>
      <c r="D25" s="4" t="s">
        <v>27</v>
      </c>
      <c r="E25" s="14">
        <v>0.42438166814748612</v>
      </c>
      <c r="F25" s="14">
        <v>0.79311831964595514</v>
      </c>
      <c r="G25" s="14">
        <v>0.78096832203119493</v>
      </c>
      <c r="H25" s="30"/>
      <c r="I25" s="79" t="str">
        <f t="shared" si="3"/>
        <v>Transpordistsenaariumid</v>
      </c>
      <c r="J25" s="30"/>
      <c r="K25" s="94" t="str">
        <f t="shared" si="4"/>
        <v>Transpordistsenaariumite tulemused</v>
      </c>
    </row>
    <row r="26" spans="1:11" s="4" customFormat="1" x14ac:dyDescent="0.2">
      <c r="A26" s="530"/>
      <c r="B26" s="33"/>
      <c r="C26" s="3" t="s">
        <v>107</v>
      </c>
      <c r="D26" s="4" t="s">
        <v>27</v>
      </c>
      <c r="E26" s="14">
        <v>0.33733304410658543</v>
      </c>
      <c r="F26" s="14">
        <v>0.30065588552485661</v>
      </c>
      <c r="G26" s="14">
        <v>0.45520541769905926</v>
      </c>
      <c r="H26" s="30"/>
      <c r="I26" s="79" t="str">
        <f t="shared" si="3"/>
        <v>Transpordistsenaariumid</v>
      </c>
      <c r="J26" s="30"/>
      <c r="K26" s="94" t="str">
        <f t="shared" si="4"/>
        <v>Transpordistsenaariumite tulemused</v>
      </c>
    </row>
    <row r="27" spans="1:11" s="4" customFormat="1" x14ac:dyDescent="0.2">
      <c r="A27" s="530"/>
      <c r="B27" s="33"/>
      <c r="C27" s="3" t="s">
        <v>108</v>
      </c>
      <c r="D27" s="4" t="s">
        <v>27</v>
      </c>
      <c r="E27" s="14">
        <v>0.84578944063092387</v>
      </c>
      <c r="F27" s="14">
        <v>3.3792272273011424E-2</v>
      </c>
      <c r="G27" s="14">
        <v>0</v>
      </c>
      <c r="H27" s="30"/>
      <c r="I27" s="79" t="str">
        <f t="shared" si="3"/>
        <v>Transpordistsenaariumid</v>
      </c>
      <c r="J27" s="30"/>
      <c r="K27" s="94" t="str">
        <f t="shared" si="4"/>
        <v>Transpordistsenaariumite tulemused</v>
      </c>
    </row>
    <row r="28" spans="1:11" s="4" customFormat="1" x14ac:dyDescent="0.2">
      <c r="A28" s="530"/>
      <c r="B28" s="33"/>
      <c r="C28" s="3" t="s">
        <v>109</v>
      </c>
      <c r="D28" s="4" t="s">
        <v>27</v>
      </c>
      <c r="E28" s="14">
        <v>0</v>
      </c>
      <c r="F28" s="14">
        <v>1.3912840012364687</v>
      </c>
      <c r="G28" s="14">
        <v>1.6667789905575772</v>
      </c>
      <c r="H28" s="30"/>
      <c r="I28" s="79" t="str">
        <f t="shared" si="3"/>
        <v>Transpordistsenaariumid</v>
      </c>
      <c r="J28" s="30"/>
      <c r="K28" s="94" t="str">
        <f t="shared" si="4"/>
        <v>Transpordistsenaariumite tulemused</v>
      </c>
    </row>
    <row r="29" spans="1:11" s="30" customFormat="1" ht="4.25" customHeight="1" x14ac:dyDescent="0.2">
      <c r="A29" s="45"/>
      <c r="B29" s="33"/>
      <c r="C29" s="31"/>
      <c r="E29" s="15"/>
      <c r="F29" s="15"/>
      <c r="G29" s="15"/>
    </row>
    <row r="30" spans="1:11" s="29" customFormat="1" x14ac:dyDescent="0.2">
      <c r="A30" s="367"/>
      <c r="B30" s="33"/>
      <c r="C30" s="28" t="s">
        <v>745</v>
      </c>
      <c r="D30" s="29" t="s">
        <v>27</v>
      </c>
      <c r="E30" s="40">
        <f>SUM(E19:E21)</f>
        <v>0.9682855968523334</v>
      </c>
      <c r="F30" s="40">
        <f t="shared" ref="F30:G30" si="5">SUM(F19:F21)</f>
        <v>0.90618397335647782</v>
      </c>
      <c r="G30" s="40">
        <f t="shared" si="5"/>
        <v>0.89042766952822527</v>
      </c>
      <c r="H30" s="15"/>
      <c r="J30" s="30"/>
    </row>
    <row r="31" spans="1:11" s="29" customFormat="1" x14ac:dyDescent="0.2">
      <c r="A31" s="45"/>
      <c r="B31" s="33"/>
      <c r="C31" s="28" t="s">
        <v>195</v>
      </c>
      <c r="D31" s="29" t="s">
        <v>27</v>
      </c>
      <c r="E31" s="40">
        <f>SUM(E23,E24,E25)</f>
        <v>12.004929222526066</v>
      </c>
      <c r="F31" s="40">
        <f>SUM(F23,F24,F25)</f>
        <v>9.2784458909544707</v>
      </c>
      <c r="G31" s="40">
        <f>SUM(G23,G24,G25)</f>
        <v>5.7045296564339489</v>
      </c>
      <c r="H31" s="15"/>
      <c r="I31" s="29" t="s">
        <v>223</v>
      </c>
      <c r="J31" s="30"/>
    </row>
    <row r="32" spans="1:11" s="29" customFormat="1" x14ac:dyDescent="0.2">
      <c r="A32" s="45"/>
      <c r="B32" s="33"/>
      <c r="C32" s="28" t="s">
        <v>185</v>
      </c>
      <c r="D32" s="29" t="s">
        <v>27</v>
      </c>
      <c r="E32" s="40">
        <f>SUM(E26:E28)</f>
        <v>1.1831224847375093</v>
      </c>
      <c r="F32" s="40">
        <f>SUM(F26:F28)</f>
        <v>1.7257321590343366</v>
      </c>
      <c r="G32" s="40">
        <f>SUM(G26:G28)</f>
        <v>2.1219844082566364</v>
      </c>
      <c r="H32" s="15"/>
      <c r="I32" s="29" t="s">
        <v>223</v>
      </c>
      <c r="J32" s="30"/>
    </row>
    <row r="33" spans="1:12" s="29" customFormat="1" x14ac:dyDescent="0.2">
      <c r="A33" s="45"/>
      <c r="B33" s="33"/>
      <c r="C33" s="28"/>
      <c r="E33" s="40"/>
      <c r="F33" s="40"/>
      <c r="G33" s="40"/>
      <c r="H33" s="30"/>
      <c r="J33" s="30"/>
    </row>
    <row r="34" spans="1:12" s="29" customFormat="1" x14ac:dyDescent="0.2">
      <c r="A34" s="45"/>
      <c r="B34" s="33"/>
      <c r="C34" s="28" t="s">
        <v>605</v>
      </c>
      <c r="D34" s="29" t="s">
        <v>27</v>
      </c>
      <c r="E34" s="40">
        <f>SUM(E13)</f>
        <v>13.188055555555556</v>
      </c>
      <c r="F34" s="40">
        <f>SUM(F13)</f>
        <v>11.004166666666666</v>
      </c>
      <c r="G34" s="40">
        <f>SUM(G13)</f>
        <v>7.8263888888888893</v>
      </c>
      <c r="H34" s="30"/>
      <c r="J34" s="30"/>
    </row>
    <row r="35" spans="1:12" s="5" customFormat="1" ht="5" customHeight="1" x14ac:dyDescent="0.2">
      <c r="A35" s="8"/>
      <c r="B35" s="33"/>
      <c r="C35" s="6"/>
      <c r="H35" s="30"/>
      <c r="J35" s="30"/>
    </row>
    <row r="36" spans="1:12" s="43" customFormat="1" x14ac:dyDescent="0.2">
      <c r="A36" s="531" t="s">
        <v>23</v>
      </c>
      <c r="B36" s="37"/>
      <c r="C36" s="42" t="s">
        <v>121</v>
      </c>
      <c r="D36" s="43" t="s">
        <v>13</v>
      </c>
      <c r="E36" s="103">
        <f>SUM(E41,E37)</f>
        <v>-46683.315942515401</v>
      </c>
      <c r="F36" s="103">
        <f>SUM(F41,F37)</f>
        <v>-44053.595720593497</v>
      </c>
      <c r="G36" s="103">
        <f>SUM(G41,G37)</f>
        <v>-40515.321945321994</v>
      </c>
      <c r="H36" s="33"/>
      <c r="I36" s="43" t="s">
        <v>223</v>
      </c>
      <c r="J36" s="33"/>
    </row>
    <row r="37" spans="1:12" s="18" customFormat="1" ht="14.5" customHeight="1" x14ac:dyDescent="0.2">
      <c r="A37" s="531"/>
      <c r="B37" s="37"/>
      <c r="C37" s="17" t="s">
        <v>395</v>
      </c>
      <c r="D37" s="18" t="s">
        <v>13</v>
      </c>
      <c r="E37" s="103">
        <f>SUM(E38:E40)</f>
        <v>-39327.415942515399</v>
      </c>
      <c r="F37" s="103">
        <f t="shared" ref="F37:G37" si="6">SUM(F38:F40)</f>
        <v>-36269.3957205935</v>
      </c>
      <c r="G37" s="103">
        <f t="shared" si="6"/>
        <v>-32292.821945321997</v>
      </c>
      <c r="H37" s="33"/>
      <c r="I37" s="43" t="s">
        <v>223</v>
      </c>
      <c r="J37" s="33"/>
      <c r="K37" s="43"/>
      <c r="L37" s="43"/>
    </row>
    <row r="38" spans="1:12" s="2" customFormat="1" x14ac:dyDescent="0.2">
      <c r="A38" s="531"/>
      <c r="B38" s="37"/>
      <c r="C38" s="10" t="s">
        <v>69</v>
      </c>
      <c r="D38" s="2" t="s">
        <v>13</v>
      </c>
      <c r="E38" s="102">
        <f>-23715315.9425154/1000</f>
        <v>-23715.315942515401</v>
      </c>
      <c r="F38" s="102">
        <f>-20743495.7205935/1000</f>
        <v>-20743.495720593502</v>
      </c>
      <c r="G38" s="102">
        <f>-17490021.945322/1000</f>
        <v>-17490.021945321998</v>
      </c>
      <c r="H38" s="30"/>
      <c r="I38" s="80" t="str">
        <f>HYPERLINK("http://www.energiatalgud.ee/index.php?title=Transpordi_ENMAK_stsenaariumid","Transpordistsenaariumid")</f>
        <v>Transpordistsenaariumid</v>
      </c>
      <c r="J38" s="30"/>
      <c r="K38" s="101" t="str">
        <f>HYPERLINK("https://onedrive.live.com/redir?resid=31206ECE3E1FC115!134&amp;authkey=!AMlTw8-fMP_ewZw&amp;ithint=file%2cxlsx","Transpordistsenaariumite tulemused")</f>
        <v>Transpordistsenaariumite tulemused</v>
      </c>
      <c r="L38" s="43"/>
    </row>
    <row r="39" spans="1:12" s="2" customFormat="1" x14ac:dyDescent="0.2">
      <c r="A39" s="531"/>
      <c r="B39" s="37"/>
      <c r="C39" s="10" t="s">
        <v>101</v>
      </c>
      <c r="D39" s="2" t="s">
        <v>13</v>
      </c>
      <c r="E39" s="102">
        <v>-10547.2</v>
      </c>
      <c r="F39" s="102">
        <v>-10495.4</v>
      </c>
      <c r="G39" s="102">
        <v>-10297.5</v>
      </c>
      <c r="H39" s="108"/>
      <c r="I39" s="80" t="str">
        <f>HYPERLINK("http://www.energiatalgud.ee/index.php?title=Transpordi_ENMAK_stsenaariumid","Transpordistsenaariumid")</f>
        <v>Transpordistsenaariumid</v>
      </c>
      <c r="J39" s="30"/>
      <c r="K39" s="101" t="str">
        <f>HYPERLINK("https://onedrive.live.com/redir?resid=31206ECE3E1FC115!134&amp;authkey=!AMlTw8-fMP_ewZw&amp;ithint=file%2cxlsx","Transpordistsenaariumite tulemused")</f>
        <v>Transpordistsenaariumite tulemused</v>
      </c>
      <c r="L39" s="43"/>
    </row>
    <row r="40" spans="1:12" s="2" customFormat="1" x14ac:dyDescent="0.2">
      <c r="A40" s="531"/>
      <c r="B40" s="37"/>
      <c r="C40" s="10" t="s">
        <v>102</v>
      </c>
      <c r="D40" s="2" t="s">
        <v>13</v>
      </c>
      <c r="E40" s="102">
        <v>-5064.8999999999996</v>
      </c>
      <c r="F40" s="102">
        <v>-5030.5</v>
      </c>
      <c r="G40" s="102">
        <v>-4505.3</v>
      </c>
      <c r="H40" s="108"/>
      <c r="I40" s="80" t="str">
        <f>HYPERLINK("http://www.energiatalgud.ee/index.php?title=Transpordi_ENMAK_stsenaariumid","Transpordistsenaariumid")</f>
        <v>Transpordistsenaariumid</v>
      </c>
      <c r="J40" s="30"/>
      <c r="K40" s="101" t="str">
        <f>HYPERLINK("https://onedrive.live.com/redir?resid=31206ECE3E1FC115!134&amp;authkey=!AMlTw8-fMP_ewZw&amp;ithint=file%2cxlsx","Transpordistsenaariumite tulemused")</f>
        <v>Transpordistsenaariumite tulemused</v>
      </c>
      <c r="L40" s="43"/>
    </row>
    <row r="41" spans="1:12" s="18" customFormat="1" x14ac:dyDescent="0.2">
      <c r="A41" s="531"/>
      <c r="B41" s="37"/>
      <c r="C41" s="19" t="s">
        <v>442</v>
      </c>
      <c r="D41" s="18" t="s">
        <v>13</v>
      </c>
      <c r="E41" s="43">
        <f>SUM(E42:E45)</f>
        <v>-7355.9</v>
      </c>
      <c r="F41" s="43">
        <f t="shared" ref="F41:G41" si="7">SUM(F42:F45)</f>
        <v>-7784.2</v>
      </c>
      <c r="G41" s="43">
        <f t="shared" si="7"/>
        <v>-8222.5</v>
      </c>
      <c r="H41" s="109"/>
      <c r="I41" s="43" t="s">
        <v>223</v>
      </c>
      <c r="J41" s="33"/>
      <c r="K41" s="43"/>
      <c r="L41" s="43"/>
    </row>
    <row r="42" spans="1:12" s="2" customFormat="1" x14ac:dyDescent="0.2">
      <c r="A42" s="531"/>
      <c r="B42" s="37"/>
      <c r="C42" s="10" t="s">
        <v>66</v>
      </c>
      <c r="D42" s="2" t="s">
        <v>13</v>
      </c>
      <c r="E42" s="102">
        <v>-1837.5</v>
      </c>
      <c r="F42" s="102">
        <v>-1712.4</v>
      </c>
      <c r="G42" s="102">
        <v>-1520.1</v>
      </c>
      <c r="H42" s="108"/>
      <c r="I42" s="80" t="str">
        <f>HYPERLINK("http://www.energiatalgud.ee/index.php?title=Transpordi_ENMAK_stsenaariumid","Transpordistsenaariumid")</f>
        <v>Transpordistsenaariumid</v>
      </c>
      <c r="J42" s="30"/>
      <c r="K42" s="101" t="str">
        <f>HYPERLINK("https://onedrive.live.com/redir?resid=31206ECE3E1FC115!134&amp;authkey=!AMlTw8-fMP_ewZw&amp;ithint=file%2cxlsx","Transpordistsenaariumite tulemused")</f>
        <v>Transpordistsenaariumite tulemused</v>
      </c>
      <c r="L42" s="43"/>
    </row>
    <row r="43" spans="1:12" s="2" customFormat="1" x14ac:dyDescent="0.2">
      <c r="A43" s="531"/>
      <c r="B43" s="37"/>
      <c r="C43" s="10" t="s">
        <v>67</v>
      </c>
      <c r="D43" s="2" t="s">
        <v>13</v>
      </c>
      <c r="E43" s="102">
        <v>-4114</v>
      </c>
      <c r="F43" s="102">
        <v>-4062</v>
      </c>
      <c r="G43" s="102">
        <v>-4128.3999999999996</v>
      </c>
      <c r="H43" s="108"/>
      <c r="I43" s="80" t="str">
        <f>HYPERLINK("http://www.energiatalgud.ee/index.php?title=Transpordi_ENMAK_stsenaariumid","Transpordistsenaariumid")</f>
        <v>Transpordistsenaariumid</v>
      </c>
      <c r="J43" s="30"/>
      <c r="K43" s="101" t="str">
        <f>HYPERLINK("https://onedrive.live.com/redir?resid=31206ECE3E1FC115!134&amp;authkey=!AMlTw8-fMP_ewZw&amp;ithint=file%2cxlsx","Transpordistsenaariumite tulemused")</f>
        <v>Transpordistsenaariumite tulemused</v>
      </c>
      <c r="L43" s="43"/>
    </row>
    <row r="44" spans="1:12" s="2" customFormat="1" x14ac:dyDescent="0.2">
      <c r="A44" s="531"/>
      <c r="B44" s="37"/>
      <c r="C44" s="10" t="s">
        <v>68</v>
      </c>
      <c r="D44" s="2" t="s">
        <v>13</v>
      </c>
      <c r="E44" s="102">
        <v>-1404.4</v>
      </c>
      <c r="F44" s="102">
        <v>-1470.6</v>
      </c>
      <c r="G44" s="102">
        <v>-1565.9</v>
      </c>
      <c r="H44" s="108"/>
      <c r="I44" s="80" t="str">
        <f>HYPERLINK("http://www.energiatalgud.ee/index.php?title=Transpordi_ENMAK_stsenaariumid","Transpordistsenaariumid")</f>
        <v>Transpordistsenaariumid</v>
      </c>
      <c r="J44" s="30"/>
      <c r="K44" s="101" t="str">
        <f>HYPERLINK("https://onedrive.live.com/redir?resid=31206ECE3E1FC115!134&amp;authkey=!AMlTw8-fMP_ewZw&amp;ithint=file%2cxlsx","Transpordistsenaariumite tulemused")</f>
        <v>Transpordistsenaariumite tulemused</v>
      </c>
      <c r="L44" s="43"/>
    </row>
    <row r="45" spans="1:12" s="2" customFormat="1" x14ac:dyDescent="0.2">
      <c r="A45" s="531"/>
      <c r="B45" s="37"/>
      <c r="C45" s="10" t="s">
        <v>208</v>
      </c>
      <c r="D45" s="2" t="s">
        <v>13</v>
      </c>
      <c r="E45" s="91">
        <v>0</v>
      </c>
      <c r="F45" s="102">
        <v>-539.20000000000005</v>
      </c>
      <c r="G45" s="102">
        <v>-1008.1</v>
      </c>
      <c r="H45" s="108"/>
      <c r="I45" s="80" t="str">
        <f>HYPERLINK("http://www.energiatalgud.ee/index.php?title=Transpordi_ENMAK_stsenaariumid","Transpordistsenaariumid")</f>
        <v>Transpordistsenaariumid</v>
      </c>
      <c r="J45" s="30"/>
      <c r="K45" s="101" t="str">
        <f>HYPERLINK("https://onedrive.live.com/redir?resid=31206ECE3E1FC115!134&amp;authkey=!AMlTw8-fMP_ewZw&amp;ithint=file%2cxlsx","Transpordistsenaariumite tulemused")</f>
        <v>Transpordistsenaariumite tulemused</v>
      </c>
      <c r="L45" s="43"/>
    </row>
    <row r="46" spans="1:12" s="27" customFormat="1" x14ac:dyDescent="0.2">
      <c r="A46" s="531"/>
      <c r="B46" s="37"/>
      <c r="C46" s="44" t="s">
        <v>541</v>
      </c>
      <c r="D46" s="43" t="s">
        <v>13</v>
      </c>
      <c r="E46" s="91">
        <v>0</v>
      </c>
      <c r="F46" s="102">
        <v>989</v>
      </c>
      <c r="G46" s="102">
        <v>1709</v>
      </c>
      <c r="H46" s="108"/>
      <c r="I46" s="80" t="str">
        <f>HYPERLINK("http://www.energiatalgud.ee/index.php?title=Transpordi_ENMAK_stsenaariumid","Transpordistsenaariumid")</f>
        <v>Transpordistsenaariumid</v>
      </c>
      <c r="J46" s="30"/>
      <c r="K46" s="101" t="str">
        <f>HYPERLINK("https://onedrive.live.com/redir?resid=31206ECE3E1FC115!134&amp;authkey=!AMlTw8-fMP_ewZw&amp;ithint=file%2cxlsx","Transpordistsenaariumite tulemused")</f>
        <v>Transpordistsenaariumite tulemused</v>
      </c>
      <c r="L46" s="43"/>
    </row>
    <row r="47" spans="1:12" s="27" customFormat="1" x14ac:dyDescent="0.2">
      <c r="A47" s="531"/>
      <c r="B47" s="37"/>
      <c r="C47" s="44" t="s">
        <v>747</v>
      </c>
      <c r="D47" s="43" t="s">
        <v>13</v>
      </c>
      <c r="E47" s="91">
        <v>0</v>
      </c>
      <c r="F47" s="102">
        <v>-401.3</v>
      </c>
      <c r="G47" s="102">
        <v>-648.6</v>
      </c>
      <c r="H47" s="108"/>
      <c r="I47" s="80"/>
      <c r="J47" s="30"/>
      <c r="K47" s="101"/>
      <c r="L47" s="43"/>
    </row>
    <row r="48" spans="1:12" s="27" customFormat="1" x14ac:dyDescent="0.2">
      <c r="A48" s="531"/>
      <c r="B48" s="37"/>
      <c r="C48" s="44"/>
      <c r="D48" s="43"/>
      <c r="E48" s="43"/>
      <c r="F48" s="43"/>
      <c r="G48" s="43"/>
      <c r="H48" s="108"/>
      <c r="J48" s="30"/>
    </row>
    <row r="49" spans="1:11" s="5" customFormat="1" ht="4.25" customHeight="1" x14ac:dyDescent="0.2">
      <c r="A49" s="531"/>
      <c r="B49" s="37"/>
      <c r="C49" s="6"/>
      <c r="H49" s="30"/>
      <c r="J49" s="30"/>
    </row>
    <row r="50" spans="1:11" s="18" customFormat="1" ht="16.25" customHeight="1" x14ac:dyDescent="0.2">
      <c r="A50" s="531"/>
      <c r="B50" s="37"/>
      <c r="C50" s="17" t="s">
        <v>528</v>
      </c>
      <c r="D50" s="18" t="s">
        <v>13</v>
      </c>
      <c r="E50" s="103">
        <f t="shared" ref="E50:F50" si="8">SUM(E51:E52)</f>
        <v>8016.9000000000005</v>
      </c>
      <c r="F50" s="103">
        <f t="shared" si="8"/>
        <v>8528.7999999999993</v>
      </c>
      <c r="G50" s="103">
        <f>SUM(G51:G52)</f>
        <v>8896</v>
      </c>
      <c r="H50" s="33"/>
      <c r="I50" s="18" t="s">
        <v>223</v>
      </c>
      <c r="J50" s="33"/>
    </row>
    <row r="51" spans="1:11" s="2" customFormat="1" ht="16.25" customHeight="1" x14ac:dyDescent="0.2">
      <c r="A51" s="531"/>
      <c r="B51" s="37"/>
      <c r="C51" s="10" t="s">
        <v>70</v>
      </c>
      <c r="D51" s="2" t="s">
        <v>13</v>
      </c>
      <c r="E51" s="102">
        <v>7941.3</v>
      </c>
      <c r="F51" s="102">
        <v>6487.2</v>
      </c>
      <c r="G51" s="102">
        <v>5164.7</v>
      </c>
      <c r="H51" s="30"/>
      <c r="I51" s="80" t="str">
        <f>HYPERLINK("http://www.energiatalgud.ee/index.php?title=Transpordi_ENMAK_stsenaariumid","Transpordistsenaariumid")</f>
        <v>Transpordistsenaariumid</v>
      </c>
      <c r="J51" s="30"/>
      <c r="K51" s="101" t="str">
        <f>HYPERLINK("https://onedrive.live.com/redir?resid=31206ECE3E1FC115!134&amp;authkey=!AMlTw8-fMP_ewZw&amp;ithint=file%2cxlsx","Transpordistsenaariumite tulemused")</f>
        <v>Transpordistsenaariumite tulemused</v>
      </c>
    </row>
    <row r="52" spans="1:11" s="2" customFormat="1" ht="16.25" customHeight="1" x14ac:dyDescent="0.2">
      <c r="A52" s="531"/>
      <c r="B52" s="37"/>
      <c r="C52" s="34" t="s">
        <v>402</v>
      </c>
      <c r="D52" s="27" t="s">
        <v>13</v>
      </c>
      <c r="E52" s="102">
        <v>75.599999999999994</v>
      </c>
      <c r="F52" s="102">
        <v>2041.6</v>
      </c>
      <c r="G52" s="102">
        <v>3731.3</v>
      </c>
      <c r="H52" s="30"/>
      <c r="I52" s="80" t="str">
        <f>HYPERLINK("http://www.energiatalgud.ee/index.php?title=Transpordi_ENMAK_stsenaariumid","Transpordistsenaariumid")</f>
        <v>Transpordistsenaariumid</v>
      </c>
      <c r="J52" s="30"/>
      <c r="K52" s="101" t="str">
        <f>HYPERLINK("https://onedrive.live.com/redir?resid=31206ECE3E1FC115!134&amp;authkey=!AMlTw8-fMP_ewZw&amp;ithint=file%2cxlsx","Transpordistsenaariumite tulemused")</f>
        <v>Transpordistsenaariumite tulemused</v>
      </c>
    </row>
    <row r="53" spans="1:11" s="2" customFormat="1" ht="16.25" customHeight="1" x14ac:dyDescent="0.2">
      <c r="A53" s="531"/>
      <c r="B53" s="37"/>
      <c r="C53" s="34"/>
      <c r="E53" s="91"/>
      <c r="F53" s="91"/>
      <c r="G53" s="91"/>
      <c r="H53" s="30"/>
      <c r="I53" s="82"/>
      <c r="J53" s="30"/>
    </row>
    <row r="54" spans="1:11" s="2" customFormat="1" ht="16.25" customHeight="1" x14ac:dyDescent="0.2">
      <c r="A54" s="531"/>
      <c r="B54" s="37"/>
      <c r="C54" s="34"/>
      <c r="E54" s="102"/>
      <c r="F54" s="102"/>
      <c r="G54" s="102"/>
      <c r="H54" s="30"/>
      <c r="I54" s="80"/>
      <c r="J54" s="30"/>
      <c r="K54" s="101"/>
    </row>
    <row r="55" spans="1:11" s="5" customFormat="1" ht="6.5" customHeight="1" x14ac:dyDescent="0.2">
      <c r="A55" s="531"/>
      <c r="B55" s="37"/>
      <c r="C55" s="22"/>
      <c r="E55" s="24"/>
      <c r="F55" s="24"/>
      <c r="G55" s="24"/>
      <c r="H55" s="30"/>
      <c r="J55" s="30"/>
    </row>
    <row r="56" spans="1:11" s="2" customFormat="1" ht="16.25" customHeight="1" x14ac:dyDescent="0.2">
      <c r="A56" s="531"/>
      <c r="B56" s="37"/>
      <c r="C56" s="1"/>
      <c r="E56" s="9"/>
      <c r="F56" s="9"/>
      <c r="G56" s="9"/>
      <c r="H56" s="30"/>
      <c r="J56" s="30"/>
    </row>
    <row r="57" spans="1:11" s="2" customFormat="1" x14ac:dyDescent="0.2">
      <c r="A57" s="531"/>
      <c r="B57" s="37"/>
      <c r="C57" s="1" t="s">
        <v>211</v>
      </c>
      <c r="D57" s="2" t="s">
        <v>13</v>
      </c>
      <c r="E57" s="90">
        <v>-1192.2</v>
      </c>
      <c r="F57" s="90">
        <v>439.6</v>
      </c>
      <c r="G57" s="90">
        <v>1192.2</v>
      </c>
      <c r="H57" s="30"/>
      <c r="I57" s="80" t="str">
        <f>HYPERLINK("http://www.energiatalgud.ee/index.php?title=Transpordi_ENMAK_stsenaariumid","Transpordistsenaariumid")</f>
        <v>Transpordistsenaariumid</v>
      </c>
      <c r="J57" s="30"/>
      <c r="K57" s="101" t="str">
        <f>HYPERLINK("https://onedrive.live.com/redir?resid=31206ECE3E1FC115!134&amp;authkey=!AMlTw8-fMP_ewZw&amp;ithint=file%2cxlsx","Transpordistsenaariumite tulemused")</f>
        <v>Transpordistsenaariumite tulemused</v>
      </c>
    </row>
    <row r="58" spans="1:11" s="2" customFormat="1" x14ac:dyDescent="0.2">
      <c r="A58" s="531"/>
      <c r="B58" s="37"/>
      <c r="C58" s="1"/>
      <c r="E58" s="92"/>
      <c r="F58" s="92"/>
      <c r="G58" s="92"/>
      <c r="H58" s="30"/>
      <c r="J58" s="30"/>
    </row>
    <row r="59" spans="1:11" s="2" customFormat="1" x14ac:dyDescent="0.2">
      <c r="A59" s="531"/>
      <c r="B59" s="37"/>
      <c r="C59" s="26" t="s">
        <v>212</v>
      </c>
      <c r="D59" s="2" t="s">
        <v>13</v>
      </c>
      <c r="E59" s="90">
        <v>-1610.9</v>
      </c>
      <c r="F59" s="90">
        <v>-372.7</v>
      </c>
      <c r="G59" s="90">
        <v>-343.6</v>
      </c>
      <c r="H59" s="30"/>
      <c r="I59" s="80" t="str">
        <f>HYPERLINK("http://www.energiatalgud.ee/index.php?title=Transpordi_ENMAK_stsenaariumid","Transpordistsenaariumid")</f>
        <v>Transpordistsenaariumid</v>
      </c>
      <c r="J59" s="30"/>
      <c r="K59" s="101" t="str">
        <f>HYPERLINK("https://onedrive.live.com/redir?resid=31206ECE3E1FC115!134&amp;authkey=!AMlTw8-fMP_ewZw&amp;ithint=file%2cxlsx","Transpordistsenaariumite tulemused")</f>
        <v>Transpordistsenaariumite tulemused</v>
      </c>
    </row>
    <row r="60" spans="1:11" s="27" customFormat="1" x14ac:dyDescent="0.2">
      <c r="A60" s="531"/>
      <c r="B60" s="37"/>
      <c r="C60" s="26" t="s">
        <v>429</v>
      </c>
      <c r="D60" s="27" t="s">
        <v>365</v>
      </c>
      <c r="E60" s="90">
        <f>E87</f>
        <v>2653.9070000000002</v>
      </c>
      <c r="F60" s="90">
        <f t="shared" ref="F60:G60" si="9">F87</f>
        <v>2295.346</v>
      </c>
      <c r="G60" s="90">
        <f t="shared" si="9"/>
        <v>1986.9190000000001</v>
      </c>
      <c r="H60" s="30"/>
      <c r="I60" s="114" t="s">
        <v>223</v>
      </c>
      <c r="J60" s="30"/>
      <c r="K60" s="80" t="str">
        <f>HYPERLINK("https://onedrive.live.com/redir?resid=31206ECE3E1FC115!133&amp;authkey=!AAvExvafbCtl8Uo&amp;ithint=file%2c.xlsx","Transpordistsenaariumite õhuheited")</f>
        <v>Transpordistsenaariumite õhuheited</v>
      </c>
    </row>
    <row r="61" spans="1:11" s="2" customFormat="1" x14ac:dyDescent="0.2">
      <c r="A61" s="531"/>
      <c r="B61" s="37"/>
      <c r="C61" s="1" t="s">
        <v>366</v>
      </c>
      <c r="D61" s="2" t="s">
        <v>365</v>
      </c>
      <c r="E61" s="90">
        <f>E99</f>
        <v>2490.6368215830603</v>
      </c>
      <c r="F61" s="90">
        <f>F99</f>
        <v>1892.3823271229701</v>
      </c>
      <c r="G61" s="90">
        <f t="shared" ref="G61" si="10">G99</f>
        <v>530.88499063732002</v>
      </c>
      <c r="H61" s="30"/>
      <c r="I61" s="114" t="s">
        <v>223</v>
      </c>
      <c r="J61" s="30"/>
      <c r="K61" s="80" t="str">
        <f>HYPERLINK("https://onedrive.live.com/redir?resid=31206ECE3E1FC115!133&amp;authkey=!AAvExvafbCtl8Uo&amp;ithint=file%2c.xlsx","Transpordistsenaariumite õhuheited")</f>
        <v>Transpordistsenaariumite õhuheited</v>
      </c>
    </row>
    <row r="62" spans="1:11" s="5" customFormat="1" ht="7.25" customHeight="1" x14ac:dyDescent="0.2">
      <c r="A62" s="8"/>
      <c r="B62" s="33"/>
      <c r="H62" s="30"/>
      <c r="J62" s="30"/>
    </row>
    <row r="63" spans="1:11" s="29" customFormat="1" ht="16.25" hidden="1" customHeight="1" x14ac:dyDescent="0.2">
      <c r="A63" s="245"/>
      <c r="B63" s="38"/>
      <c r="C63" s="28" t="s">
        <v>467</v>
      </c>
      <c r="D63" s="29" t="s">
        <v>446</v>
      </c>
      <c r="E63" s="136">
        <v>-1404.4072802160915</v>
      </c>
      <c r="F63" s="136">
        <f>$E63+F65</f>
        <v>-1470.5664689838234</v>
      </c>
      <c r="G63" s="136">
        <f>$E63+G65</f>
        <v>-1565.9052334601483</v>
      </c>
      <c r="H63" s="30"/>
      <c r="I63" s="79" t="str">
        <f t="shared" ref="I63:I75" si="11">HYPERLINK("http://www.energiatalgud.ee/index.php?title=ENMAK:Stsenaariumid#Stsenaariumite_majandusm.C3.B5ju","Stsenaariumite majandusmõju hinnang")</f>
        <v>Stsenaariumite majandusmõju hinnang</v>
      </c>
      <c r="J63" s="30"/>
      <c r="K63" s="79" t="str">
        <f t="shared" ref="K63:K75" si="12">HYPERLINK("http://www.energiatalgud.ee/img_auth.php/a/a9/ENMAK_2030%2B_stsenaariumite_majandusm%C3%B5ju_anal%C3%BC%C3%BCs._Arvutusmudel.xlsx","Majandusmõjude hinnang. Arvutusmudel")</f>
        <v>Majandusmõjude hinnang. Arvutusmudel</v>
      </c>
    </row>
    <row r="64" spans="1:11" s="29" customFormat="1" ht="16.25" customHeight="1" x14ac:dyDescent="0.2">
      <c r="A64" s="245"/>
      <c r="B64" s="38"/>
      <c r="C64" s="28" t="s">
        <v>441</v>
      </c>
      <c r="D64" s="29" t="s">
        <v>446</v>
      </c>
      <c r="E64" s="136">
        <v>466.71580924663931</v>
      </c>
      <c r="F64" s="136">
        <f>$E64+F66</f>
        <v>1321.95427143692</v>
      </c>
      <c r="G64" s="136">
        <f>$E64+G66</f>
        <v>2294.1167767300462</v>
      </c>
      <c r="H64" s="30"/>
      <c r="I64" s="79" t="str">
        <f t="shared" si="11"/>
        <v>Stsenaariumite majandusmõju hinnang</v>
      </c>
      <c r="J64" s="30"/>
      <c r="K64" s="79" t="str">
        <f t="shared" si="12"/>
        <v>Majandusmõjude hinnang. Arvutusmudel</v>
      </c>
    </row>
    <row r="65" spans="1:11" s="29" customFormat="1" ht="16.25" customHeight="1" x14ac:dyDescent="0.2">
      <c r="A65" s="245"/>
      <c r="B65" s="38"/>
      <c r="C65" s="28" t="s">
        <v>443</v>
      </c>
      <c r="D65" s="29" t="s">
        <v>446</v>
      </c>
      <c r="E65" s="136">
        <v>0</v>
      </c>
      <c r="F65" s="136">
        <v>-66.159188767731791</v>
      </c>
      <c r="G65" s="136">
        <v>-161.49795324405687</v>
      </c>
      <c r="H65" s="30"/>
      <c r="I65" s="79" t="str">
        <f t="shared" si="11"/>
        <v>Stsenaariumite majandusmõju hinnang</v>
      </c>
      <c r="J65" s="30"/>
      <c r="K65" s="79" t="str">
        <f t="shared" si="12"/>
        <v>Majandusmõjude hinnang. Arvutusmudel</v>
      </c>
    </row>
    <row r="66" spans="1:11" s="29" customFormat="1" ht="16.25" customHeight="1" x14ac:dyDescent="0.2">
      <c r="A66" s="245"/>
      <c r="B66" s="38"/>
      <c r="C66" s="28" t="s">
        <v>444</v>
      </c>
      <c r="D66" s="29" t="s">
        <v>446</v>
      </c>
      <c r="E66" s="136">
        <v>0</v>
      </c>
      <c r="F66" s="136">
        <v>855.23846219028064</v>
      </c>
      <c r="G66" s="136">
        <v>1827.4009674834069</v>
      </c>
      <c r="H66" s="30"/>
      <c r="I66" s="79" t="str">
        <f t="shared" si="11"/>
        <v>Stsenaariumite majandusmõju hinnang</v>
      </c>
      <c r="J66" s="30"/>
      <c r="K66" s="79" t="str">
        <f t="shared" si="12"/>
        <v>Majandusmõjude hinnang. Arvutusmudel</v>
      </c>
    </row>
    <row r="67" spans="1:11" s="29" customFormat="1" ht="16.25" hidden="1" customHeight="1" x14ac:dyDescent="0.2">
      <c r="A67" s="123"/>
      <c r="B67" s="38"/>
      <c r="C67" s="28" t="s">
        <v>434</v>
      </c>
      <c r="D67" s="29" t="s">
        <v>435</v>
      </c>
      <c r="E67" s="136">
        <v>-641.21231690744014</v>
      </c>
      <c r="F67" s="136">
        <f>$E67+F68</f>
        <v>-523.7286983094109</v>
      </c>
      <c r="G67" s="136">
        <f>$E67+G68</f>
        <v>-314.0323473232985</v>
      </c>
      <c r="H67" s="30"/>
      <c r="I67" s="79" t="str">
        <f t="shared" si="11"/>
        <v>Stsenaariumite majandusmõju hinnang</v>
      </c>
      <c r="J67" s="30"/>
      <c r="K67" s="79" t="str">
        <f t="shared" si="12"/>
        <v>Majandusmõjude hinnang. Arvutusmudel</v>
      </c>
    </row>
    <row r="68" spans="1:11" s="29" customFormat="1" ht="16.25" customHeight="1" x14ac:dyDescent="0.2">
      <c r="A68" s="245"/>
      <c r="B68" s="38"/>
      <c r="C68" s="28" t="s">
        <v>445</v>
      </c>
      <c r="D68" s="29" t="s">
        <v>435</v>
      </c>
      <c r="E68" s="136">
        <v>0</v>
      </c>
      <c r="F68" s="136">
        <v>117.48361859802921</v>
      </c>
      <c r="G68" s="136">
        <v>327.17996958414165</v>
      </c>
      <c r="H68" s="30"/>
      <c r="I68" s="79" t="str">
        <f t="shared" si="11"/>
        <v>Stsenaariumite majandusmõju hinnang</v>
      </c>
      <c r="J68" s="30"/>
      <c r="K68" s="79" t="str">
        <f t="shared" si="12"/>
        <v>Majandusmõjude hinnang. Arvutusmudel</v>
      </c>
    </row>
    <row r="69" spans="1:11" s="29" customFormat="1" ht="16.25" hidden="1" customHeight="1" x14ac:dyDescent="0.2">
      <c r="A69" s="268"/>
      <c r="B69" s="38"/>
      <c r="C69" s="28" t="s">
        <v>526</v>
      </c>
      <c r="D69" s="29" t="s">
        <v>446</v>
      </c>
      <c r="E69" s="136">
        <v>-9484.9457490812329</v>
      </c>
      <c r="F69" s="136">
        <f>$E$70+F70</f>
        <v>1378.0315487704861</v>
      </c>
      <c r="G69" s="136">
        <f>$E$70+G70</f>
        <v>3194.3046962488925</v>
      </c>
      <c r="H69" s="30"/>
      <c r="I69" s="79" t="str">
        <f t="shared" si="11"/>
        <v>Stsenaariumite majandusmõju hinnang</v>
      </c>
      <c r="J69" s="30"/>
      <c r="K69" s="79" t="str">
        <f t="shared" si="12"/>
        <v>Majandusmõjude hinnang. Arvutusmudel</v>
      </c>
    </row>
    <row r="70" spans="1:11" s="29" customFormat="1" ht="16.25" customHeight="1" x14ac:dyDescent="0.2">
      <c r="A70" s="268"/>
      <c r="B70" s="38"/>
      <c r="C70" s="28" t="s">
        <v>527</v>
      </c>
      <c r="D70" s="29" t="s">
        <v>446</v>
      </c>
      <c r="E70" s="136">
        <v>0</v>
      </c>
      <c r="F70" s="136">
        <v>1378.0315487704861</v>
      </c>
      <c r="G70" s="136">
        <v>3194.3046962488925</v>
      </c>
      <c r="H70" s="30"/>
      <c r="I70" s="79" t="str">
        <f t="shared" si="11"/>
        <v>Stsenaariumite majandusmõju hinnang</v>
      </c>
      <c r="J70" s="30"/>
      <c r="K70" s="79" t="str">
        <f t="shared" si="12"/>
        <v>Majandusmõjude hinnang. Arvutusmudel</v>
      </c>
    </row>
    <row r="71" spans="1:11" s="29" customFormat="1" ht="16.25" customHeight="1" x14ac:dyDescent="0.2">
      <c r="A71" s="300"/>
      <c r="B71" s="38"/>
      <c r="C71" s="28" t="s">
        <v>556</v>
      </c>
      <c r="D71" s="29" t="s">
        <v>557</v>
      </c>
      <c r="E71" s="136">
        <v>0</v>
      </c>
      <c r="F71" s="136">
        <v>1019.5311958951504</v>
      </c>
      <c r="G71" s="136">
        <v>3036.1858657478847</v>
      </c>
      <c r="H71" s="30"/>
      <c r="I71" s="79" t="str">
        <f t="shared" si="11"/>
        <v>Stsenaariumite majandusmõju hinnang</v>
      </c>
      <c r="J71" s="30"/>
      <c r="K71" s="79" t="str">
        <f t="shared" si="12"/>
        <v>Majandusmõjude hinnang. Arvutusmudel</v>
      </c>
    </row>
    <row r="72" spans="1:11" s="4" customFormat="1" ht="16.25" customHeight="1" x14ac:dyDescent="0.2">
      <c r="A72" s="529" t="s">
        <v>22</v>
      </c>
      <c r="B72" s="38"/>
      <c r="C72" s="28" t="s">
        <v>331</v>
      </c>
      <c r="D72" s="4" t="s">
        <v>21</v>
      </c>
      <c r="E72" s="13">
        <v>0</v>
      </c>
      <c r="F72" s="104">
        <v>3.1146592327198908E-3</v>
      </c>
      <c r="G72" s="104">
        <v>7.4006219706018745E-3</v>
      </c>
      <c r="H72" s="30"/>
      <c r="I72" s="79" t="str">
        <f t="shared" si="11"/>
        <v>Stsenaariumite majandusmõju hinnang</v>
      </c>
      <c r="J72" s="30"/>
      <c r="K72" s="79" t="str">
        <f t="shared" si="12"/>
        <v>Majandusmõjude hinnang. Arvutusmudel</v>
      </c>
    </row>
    <row r="73" spans="1:11" s="4" customFormat="1" ht="16.25" customHeight="1" x14ac:dyDescent="0.2">
      <c r="A73" s="529"/>
      <c r="B73" s="38"/>
      <c r="C73" s="3" t="s">
        <v>15</v>
      </c>
      <c r="D73" s="4" t="s">
        <v>21</v>
      </c>
      <c r="E73" s="13">
        <v>0</v>
      </c>
      <c r="F73" s="104">
        <v>5.3737890583823618E-3</v>
      </c>
      <c r="G73" s="104">
        <v>1.0745679399080365E-2</v>
      </c>
      <c r="H73" s="30"/>
      <c r="I73" s="79" t="str">
        <f t="shared" si="11"/>
        <v>Stsenaariumite majandusmõju hinnang</v>
      </c>
      <c r="J73" s="30"/>
      <c r="K73" s="79" t="str">
        <f t="shared" si="12"/>
        <v>Majandusmõjude hinnang. Arvutusmudel</v>
      </c>
    </row>
    <row r="74" spans="1:11" s="4" customFormat="1" ht="16.25" customHeight="1" x14ac:dyDescent="0.2">
      <c r="A74" s="529"/>
      <c r="B74" s="38"/>
      <c r="C74" s="28" t="s">
        <v>17</v>
      </c>
      <c r="D74" s="4" t="s">
        <v>21</v>
      </c>
      <c r="E74" s="13">
        <v>0</v>
      </c>
      <c r="F74" s="104">
        <v>1.3604848753858059E-3</v>
      </c>
      <c r="G74" s="104">
        <v>3.3644796386416032E-3</v>
      </c>
      <c r="H74" s="30"/>
      <c r="I74" s="79" t="str">
        <f t="shared" si="11"/>
        <v>Stsenaariumite majandusmõju hinnang</v>
      </c>
      <c r="J74" s="30"/>
      <c r="K74" s="79" t="str">
        <f t="shared" si="12"/>
        <v>Majandusmõjude hinnang. Arvutusmudel</v>
      </c>
    </row>
    <row r="75" spans="1:11" s="4" customFormat="1" ht="16.25" customHeight="1" x14ac:dyDescent="0.2">
      <c r="A75" s="529"/>
      <c r="B75" s="38"/>
      <c r="C75" s="28" t="s">
        <v>16</v>
      </c>
      <c r="D75" s="4" t="s">
        <v>21</v>
      </c>
      <c r="E75" s="13">
        <v>0</v>
      </c>
      <c r="F75" s="104">
        <v>1.7652371272793566E-3</v>
      </c>
      <c r="G75" s="104">
        <v>4.0946651833518866E-3</v>
      </c>
      <c r="H75" s="30"/>
      <c r="I75" s="79" t="str">
        <f t="shared" si="11"/>
        <v>Stsenaariumite majandusmõju hinnang</v>
      </c>
      <c r="J75" s="30"/>
      <c r="K75" s="79" t="str">
        <f t="shared" si="12"/>
        <v>Majandusmõjude hinnang. Arvutusmudel</v>
      </c>
    </row>
    <row r="76" spans="1:11" s="4" customFormat="1" x14ac:dyDescent="0.2">
      <c r="A76" s="529"/>
      <c r="B76" s="38"/>
      <c r="E76" s="39"/>
      <c r="F76" s="105"/>
      <c r="G76" s="105"/>
      <c r="H76" s="30"/>
      <c r="J76" s="30"/>
    </row>
    <row r="77" spans="1:11" s="4" customFormat="1" x14ac:dyDescent="0.2">
      <c r="A77" s="529"/>
      <c r="B77" s="38"/>
      <c r="C77" s="3" t="s">
        <v>18</v>
      </c>
      <c r="D77" s="4" t="s">
        <v>21</v>
      </c>
      <c r="E77" s="13">
        <v>0</v>
      </c>
      <c r="F77" s="104">
        <v>-1.5799259147920276E-2</v>
      </c>
      <c r="G77" s="104">
        <v>-3.1286753025420624E-2</v>
      </c>
      <c r="H77" s="30"/>
      <c r="I77" s="79" t="str">
        <f>HYPERLINK("http://www.energiatalgud.ee/index.php?title=ENMAK:Stsenaariumid#Stsenaariumite_majandusm.C3.B5ju","Stsenaariumite majandusmõju hinnang")</f>
        <v>Stsenaariumite majandusmõju hinnang</v>
      </c>
      <c r="J77" s="30"/>
      <c r="K77" s="79" t="str">
        <f>HYPERLINK("http://www.energiatalgud.ee/img_auth.php/a/a9/ENMAK_2030%2B_stsenaariumite_majandusm%C3%B5ju_anal%C3%BC%C3%BCs._Arvutusmudel.xlsx","Majandusmõjude hinnang. Arvutusmudel")</f>
        <v>Majandusmõjude hinnang. Arvutusmudel</v>
      </c>
    </row>
    <row r="78" spans="1:11" s="4" customFormat="1" x14ac:dyDescent="0.2">
      <c r="A78" s="529"/>
      <c r="B78" s="38"/>
      <c r="C78" s="3" t="s">
        <v>19</v>
      </c>
      <c r="D78" s="4" t="s">
        <v>21</v>
      </c>
      <c r="E78" s="13">
        <v>0</v>
      </c>
      <c r="F78" s="104">
        <v>-2.0789962137892092E-2</v>
      </c>
      <c r="G78" s="104">
        <v>-4.0800981783396348E-2</v>
      </c>
      <c r="H78" s="30"/>
      <c r="I78" s="79" t="str">
        <f>HYPERLINK("http://www.energiatalgud.ee/index.php?title=ENMAK:Stsenaariumid#Stsenaariumite_majandusm.C3.B5ju","Stsenaariumite majandusmõju hinnang")</f>
        <v>Stsenaariumite majandusmõju hinnang</v>
      </c>
      <c r="J78" s="30"/>
      <c r="K78" s="79" t="str">
        <f>HYPERLINK("http://www.energiatalgud.ee/img_auth.php/a/a9/ENMAK_2030%2B_stsenaariumite_majandusm%C3%B5ju_anal%C3%BC%C3%BCs._Arvutusmudel.xlsx","Majandusmõjude hinnang. Arvutusmudel")</f>
        <v>Majandusmõjude hinnang. Arvutusmudel</v>
      </c>
    </row>
    <row r="79" spans="1:11" s="4" customFormat="1" x14ac:dyDescent="0.2">
      <c r="A79" s="529"/>
      <c r="B79" s="38"/>
      <c r="C79" s="3" t="s">
        <v>20</v>
      </c>
      <c r="D79" s="4" t="s">
        <v>21</v>
      </c>
      <c r="E79" s="13">
        <v>0</v>
      </c>
      <c r="F79" s="104">
        <v>-2.4056044240144722E-2</v>
      </c>
      <c r="G79" s="104">
        <v>-4.9878868907418432E-2</v>
      </c>
      <c r="H79" s="30"/>
      <c r="I79" s="79" t="str">
        <f>HYPERLINK("http://www.energiatalgud.ee/index.php?title=ENMAK:Stsenaariumid#Stsenaariumite_majandusm.C3.B5ju","Stsenaariumite majandusmõju hinnang")</f>
        <v>Stsenaariumite majandusmõju hinnang</v>
      </c>
      <c r="J79" s="30"/>
      <c r="K79" s="79" t="str">
        <f>HYPERLINK("http://www.energiatalgud.ee/img_auth.php/a/a9/ENMAK_2030%2B_stsenaariumite_majandusm%C3%B5ju_anal%C3%BC%C3%BCs._Arvutusmudel.xlsx","Majandusmõjude hinnang. Arvutusmudel")</f>
        <v>Majandusmõjude hinnang. Arvutusmudel</v>
      </c>
    </row>
    <row r="80" spans="1:11" s="25" customFormat="1" x14ac:dyDescent="0.2">
      <c r="A80" s="32"/>
      <c r="B80" s="33"/>
      <c r="H80" s="30"/>
      <c r="J80" s="30"/>
    </row>
    <row r="81" spans="1:20" s="27" customFormat="1" ht="14.5" customHeight="1" x14ac:dyDescent="0.2">
      <c r="A81" s="531" t="s">
        <v>572</v>
      </c>
      <c r="B81" s="33"/>
      <c r="C81" s="26" t="s">
        <v>573</v>
      </c>
      <c r="D81" s="90" t="s">
        <v>344</v>
      </c>
      <c r="E81" s="90">
        <f>2248000/1000</f>
        <v>2248</v>
      </c>
      <c r="F81" s="90">
        <f>$E81</f>
        <v>2248</v>
      </c>
      <c r="G81" s="90">
        <f>$E81</f>
        <v>2248</v>
      </c>
      <c r="H81" s="30"/>
      <c r="I81" s="114" t="s">
        <v>223</v>
      </c>
      <c r="J81" s="30"/>
      <c r="K81" s="80" t="str">
        <f>HYPERLINK("https://onedrive.live.com/redir?resid=31206ECE3E1FC115!133&amp;authkey=!AAvExvafbCtl8Uo&amp;ithint=file%2c.xlsx","Transpordistsenaariumite õhuheited")</f>
        <v>Transpordistsenaariumite õhuheited</v>
      </c>
    </row>
    <row r="82" spans="1:20" s="27" customFormat="1" x14ac:dyDescent="0.2">
      <c r="A82" s="531"/>
      <c r="B82" s="33"/>
      <c r="C82" s="26" t="s">
        <v>574</v>
      </c>
      <c r="D82" s="90" t="s">
        <v>317</v>
      </c>
      <c r="E82" s="90">
        <v>11547</v>
      </c>
      <c r="F82" s="90">
        <f t="shared" ref="F82:G85" si="13">$E82</f>
        <v>11547</v>
      </c>
      <c r="G82" s="90">
        <f t="shared" si="13"/>
        <v>11547</v>
      </c>
      <c r="H82" s="30"/>
      <c r="I82" s="114" t="s">
        <v>223</v>
      </c>
      <c r="J82" s="30"/>
      <c r="K82" s="80" t="str">
        <f t="shared" ref="K82:K85" si="14">HYPERLINK("https://onedrive.live.com/redir?resid=31206ECE3E1FC115!133&amp;authkey=!AAvExvafbCtl8Uo&amp;ithint=file%2c.xlsx","Transpordistsenaariumite õhuheited")</f>
        <v>Transpordistsenaariumite õhuheited</v>
      </c>
    </row>
    <row r="83" spans="1:20" s="27" customFormat="1" x14ac:dyDescent="0.2">
      <c r="A83" s="531"/>
      <c r="B83" s="33"/>
      <c r="C83" s="26" t="s">
        <v>575</v>
      </c>
      <c r="D83" s="90" t="s">
        <v>317</v>
      </c>
      <c r="E83" s="90">
        <v>76</v>
      </c>
      <c r="F83" s="90">
        <f t="shared" si="13"/>
        <v>76</v>
      </c>
      <c r="G83" s="90">
        <f t="shared" si="13"/>
        <v>76</v>
      </c>
      <c r="H83" s="30"/>
      <c r="I83" s="114" t="s">
        <v>223</v>
      </c>
      <c r="J83" s="30"/>
      <c r="K83" s="80" t="str">
        <f t="shared" si="14"/>
        <v>Transpordistsenaariumite õhuheited</v>
      </c>
    </row>
    <row r="84" spans="1:20" s="27" customFormat="1" x14ac:dyDescent="0.2">
      <c r="A84" s="531"/>
      <c r="B84" s="33"/>
      <c r="C84" s="26" t="s">
        <v>576</v>
      </c>
      <c r="D84" s="90" t="s">
        <v>317</v>
      </c>
      <c r="E84" s="90">
        <v>499</v>
      </c>
      <c r="F84" s="90">
        <f t="shared" si="13"/>
        <v>499</v>
      </c>
      <c r="G84" s="90">
        <f t="shared" si="13"/>
        <v>499</v>
      </c>
      <c r="H84" s="30"/>
      <c r="I84" s="114" t="s">
        <v>223</v>
      </c>
      <c r="J84" s="30"/>
      <c r="K84" s="80" t="str">
        <f t="shared" si="14"/>
        <v>Transpordistsenaariumite õhuheited</v>
      </c>
    </row>
    <row r="85" spans="1:20" s="27" customFormat="1" x14ac:dyDescent="0.2">
      <c r="A85" s="531"/>
      <c r="B85" s="33"/>
      <c r="C85" s="26" t="s">
        <v>577</v>
      </c>
      <c r="D85" s="90" t="s">
        <v>317</v>
      </c>
      <c r="E85" s="90">
        <v>2578</v>
      </c>
      <c r="F85" s="90">
        <f t="shared" si="13"/>
        <v>2578</v>
      </c>
      <c r="G85" s="90">
        <f t="shared" si="13"/>
        <v>2578</v>
      </c>
      <c r="H85" s="30"/>
      <c r="I85" s="114" t="s">
        <v>223</v>
      </c>
      <c r="J85" s="30"/>
      <c r="K85" s="80" t="str">
        <f t="shared" si="14"/>
        <v>Transpordistsenaariumite õhuheited</v>
      </c>
    </row>
    <row r="87" spans="1:20" s="27" customFormat="1" ht="14.5" customHeight="1" x14ac:dyDescent="0.2">
      <c r="A87" s="530" t="s">
        <v>404</v>
      </c>
      <c r="B87" s="33"/>
      <c r="C87" s="28" t="s">
        <v>373</v>
      </c>
      <c r="D87" s="127" t="s">
        <v>344</v>
      </c>
      <c r="E87" s="127">
        <f>2653907/1000</f>
        <v>2653.9070000000002</v>
      </c>
      <c r="F87" s="127">
        <f>2295346/1000</f>
        <v>2295.346</v>
      </c>
      <c r="G87" s="127">
        <f>1986919/1000</f>
        <v>1986.9190000000001</v>
      </c>
      <c r="H87" s="30"/>
      <c r="I87" s="112" t="s">
        <v>223</v>
      </c>
      <c r="J87" s="29"/>
      <c r="K87" s="79" t="str">
        <f>HYPERLINK("https://onedrive.live.com/redir?resid=31206ECE3E1FC115!133&amp;authkey=!AAvExvafbCtl8Uo&amp;ithint=file%2c.xlsx","Transpordistsenaariumite õhuheited")</f>
        <v>Transpordistsenaariumite õhuheited</v>
      </c>
      <c r="L87" s="29"/>
      <c r="M87" s="29"/>
      <c r="N87" s="29"/>
      <c r="O87" s="29"/>
      <c r="P87" s="29"/>
      <c r="Q87" s="29"/>
      <c r="R87" s="29"/>
      <c r="S87" s="29"/>
      <c r="T87" s="29"/>
    </row>
    <row r="88" spans="1:20" s="27" customFormat="1" x14ac:dyDescent="0.2">
      <c r="A88" s="530"/>
      <c r="B88" s="33"/>
      <c r="C88" s="28" t="s">
        <v>349</v>
      </c>
      <c r="D88" s="127" t="s">
        <v>317</v>
      </c>
      <c r="E88" s="127">
        <v>10936.649773285453</v>
      </c>
      <c r="F88" s="127">
        <v>9654.5752107972803</v>
      </c>
      <c r="G88" s="127">
        <v>9382.3623373569935</v>
      </c>
      <c r="H88" s="30"/>
      <c r="I88" s="112" t="s">
        <v>223</v>
      </c>
      <c r="J88" s="29"/>
      <c r="K88" s="79" t="str">
        <f t="shared" ref="K88:K91" si="15">HYPERLINK("https://onedrive.live.com/redir?resid=31206ECE3E1FC115!133&amp;authkey=!AAvExvafbCtl8Uo&amp;ithint=file%2c.xlsx","Transpordistsenaariumite õhuheited")</f>
        <v>Transpordistsenaariumite õhuheited</v>
      </c>
      <c r="L88" s="29"/>
      <c r="M88" s="29"/>
      <c r="N88" s="29"/>
      <c r="O88" s="29"/>
      <c r="P88" s="29"/>
      <c r="Q88" s="29"/>
      <c r="R88" s="29"/>
      <c r="S88" s="29"/>
      <c r="T88" s="29"/>
    </row>
    <row r="89" spans="1:20" s="27" customFormat="1" x14ac:dyDescent="0.2">
      <c r="A89" s="530"/>
      <c r="B89" s="33"/>
      <c r="C89" s="28" t="s">
        <v>350</v>
      </c>
      <c r="D89" s="127" t="s">
        <v>317</v>
      </c>
      <c r="E89" s="127">
        <v>14.948584295613685</v>
      </c>
      <c r="F89" s="127">
        <v>12.994830349824268</v>
      </c>
      <c r="G89" s="127">
        <v>12.392120693660845</v>
      </c>
      <c r="H89" s="30"/>
      <c r="I89" s="112" t="s">
        <v>223</v>
      </c>
      <c r="J89" s="29"/>
      <c r="K89" s="79" t="str">
        <f t="shared" si="15"/>
        <v>Transpordistsenaariumite õhuheited</v>
      </c>
      <c r="L89" s="29"/>
      <c r="M89" s="29"/>
      <c r="N89" s="29"/>
      <c r="O89" s="29"/>
      <c r="P89" s="29"/>
      <c r="Q89" s="29"/>
      <c r="R89" s="29"/>
      <c r="S89" s="29"/>
      <c r="T89" s="29"/>
    </row>
    <row r="90" spans="1:20" s="27" customFormat="1" x14ac:dyDescent="0.2">
      <c r="A90" s="530"/>
      <c r="B90" s="33"/>
      <c r="C90" s="28" t="s">
        <v>374</v>
      </c>
      <c r="D90" s="127" t="s">
        <v>317</v>
      </c>
      <c r="E90" s="127">
        <v>294.75335627480422</v>
      </c>
      <c r="F90" s="127">
        <v>265.08727845757471</v>
      </c>
      <c r="G90" s="127">
        <v>255.75183739968878</v>
      </c>
      <c r="H90" s="30"/>
      <c r="I90" s="112" t="s">
        <v>223</v>
      </c>
      <c r="J90" s="29"/>
      <c r="K90" s="79" t="str">
        <f t="shared" si="15"/>
        <v>Transpordistsenaariumite õhuheited</v>
      </c>
      <c r="L90" s="29"/>
      <c r="M90" s="29"/>
      <c r="N90" s="29"/>
      <c r="O90" s="29"/>
      <c r="P90" s="29"/>
      <c r="Q90" s="29"/>
      <c r="R90" s="29"/>
      <c r="S90" s="29"/>
      <c r="T90" s="29"/>
    </row>
    <row r="91" spans="1:20" s="27" customFormat="1" x14ac:dyDescent="0.2">
      <c r="A91" s="530"/>
      <c r="B91" s="33"/>
      <c r="C91" s="28" t="s">
        <v>376</v>
      </c>
      <c r="D91" s="127" t="s">
        <v>317</v>
      </c>
      <c r="E91" s="127">
        <v>1943.1524051216152</v>
      </c>
      <c r="F91" s="127">
        <v>1821.3344900598324</v>
      </c>
      <c r="G91" s="127">
        <v>1795.6495098622383</v>
      </c>
      <c r="H91" s="30"/>
      <c r="I91" s="112" t="s">
        <v>223</v>
      </c>
      <c r="J91" s="29"/>
      <c r="K91" s="79" t="str">
        <f t="shared" si="15"/>
        <v>Transpordistsenaariumite õhuheited</v>
      </c>
      <c r="L91" s="29"/>
      <c r="M91" s="29"/>
      <c r="N91" s="29"/>
      <c r="O91" s="29"/>
      <c r="P91" s="29"/>
      <c r="Q91" s="29"/>
      <c r="R91" s="29"/>
      <c r="S91" s="29"/>
      <c r="T91" s="29"/>
    </row>
    <row r="92" spans="1:20" s="25" customFormat="1" x14ac:dyDescent="0.2">
      <c r="A92" s="32"/>
      <c r="B92" s="33"/>
      <c r="H92" s="30"/>
      <c r="I92" s="115"/>
      <c r="J92" s="30"/>
    </row>
    <row r="93" spans="1:20" s="29" customFormat="1" ht="14.5" customHeight="1" x14ac:dyDescent="0.2">
      <c r="A93" s="525" t="s">
        <v>403</v>
      </c>
      <c r="B93" s="33"/>
      <c r="C93" s="26" t="s">
        <v>371</v>
      </c>
      <c r="D93" s="27" t="s">
        <v>344</v>
      </c>
      <c r="E93" s="308">
        <f>3087233.27039346/1000</f>
        <v>3087.2332703934599</v>
      </c>
      <c r="F93" s="308">
        <f>2359289.55972379/1000</f>
        <v>2359.2895597237898</v>
      </c>
      <c r="G93" s="308">
        <f>1433630.31159868/1000</f>
        <v>1433.63031159868</v>
      </c>
      <c r="H93" s="30"/>
      <c r="I93" s="114" t="s">
        <v>223</v>
      </c>
      <c r="J93" s="27"/>
      <c r="K93" s="80" t="str">
        <f>HYPERLINK("https://onedrive.live.com/redir?resid=31206ECE3E1FC115!133&amp;authkey=!AAvExvafbCtl8Uo&amp;ithint=file%2c.xlsx","Transpordistsenaariumite õhuheited")</f>
        <v>Transpordistsenaariumite õhuheited</v>
      </c>
      <c r="L93" s="27"/>
      <c r="M93" s="27"/>
      <c r="N93" s="27"/>
      <c r="O93" s="27"/>
      <c r="P93" s="27"/>
      <c r="Q93" s="27"/>
      <c r="R93" s="27"/>
      <c r="S93" s="27"/>
      <c r="T93" s="27"/>
    </row>
    <row r="94" spans="1:20" s="29" customFormat="1" x14ac:dyDescent="0.2">
      <c r="A94" s="525"/>
      <c r="B94" s="33"/>
      <c r="C94" s="26" t="s">
        <v>369</v>
      </c>
      <c r="D94" s="27" t="s">
        <v>317</v>
      </c>
      <c r="E94" s="308">
        <v>5438</v>
      </c>
      <c r="F94" s="308">
        <v>4328</v>
      </c>
      <c r="G94" s="308">
        <v>3311</v>
      </c>
      <c r="H94" s="30"/>
      <c r="I94" s="114" t="s">
        <v>223</v>
      </c>
      <c r="J94" s="27"/>
      <c r="K94" s="80" t="str">
        <f t="shared" ref="K94:K97" si="16">HYPERLINK("https://onedrive.live.com/redir?resid=31206ECE3E1FC115!133&amp;authkey=!AAvExvafbCtl8Uo&amp;ithint=file%2c.xlsx","Transpordistsenaariumite õhuheited")</f>
        <v>Transpordistsenaariumite õhuheited</v>
      </c>
      <c r="L94" s="27"/>
      <c r="M94" s="27"/>
      <c r="N94" s="27"/>
      <c r="O94" s="27"/>
      <c r="P94" s="27"/>
      <c r="Q94" s="27"/>
      <c r="R94" s="27"/>
      <c r="S94" s="27"/>
      <c r="T94" s="27"/>
    </row>
    <row r="95" spans="1:20" s="29" customFormat="1" x14ac:dyDescent="0.2">
      <c r="A95" s="525"/>
      <c r="B95" s="33"/>
      <c r="C95" s="26" t="s">
        <v>370</v>
      </c>
      <c r="D95" s="27" t="s">
        <v>317</v>
      </c>
      <c r="E95" s="308">
        <v>15.543134371308904</v>
      </c>
      <c r="F95" s="308">
        <v>12.743209992719569</v>
      </c>
      <c r="G95" s="308">
        <v>9.4965484335065788</v>
      </c>
      <c r="H95" s="30"/>
      <c r="I95" s="114" t="s">
        <v>223</v>
      </c>
      <c r="J95" s="27"/>
      <c r="K95" s="80" t="str">
        <f t="shared" si="16"/>
        <v>Transpordistsenaariumite õhuheited</v>
      </c>
      <c r="L95" s="27"/>
      <c r="M95" s="27"/>
      <c r="N95" s="27"/>
      <c r="O95" s="27"/>
      <c r="P95" s="27"/>
      <c r="Q95" s="27"/>
      <c r="R95" s="27"/>
      <c r="S95" s="27"/>
      <c r="T95" s="27"/>
    </row>
    <row r="96" spans="1:20" s="29" customFormat="1" x14ac:dyDescent="0.2">
      <c r="A96" s="525"/>
      <c r="B96" s="33"/>
      <c r="C96" s="26" t="s">
        <v>372</v>
      </c>
      <c r="D96" s="27" t="s">
        <v>317</v>
      </c>
      <c r="E96" s="308">
        <v>109</v>
      </c>
      <c r="F96" s="308">
        <v>86</v>
      </c>
      <c r="G96" s="308">
        <v>60</v>
      </c>
      <c r="H96" s="30"/>
      <c r="I96" s="114" t="s">
        <v>223</v>
      </c>
      <c r="J96" s="27"/>
      <c r="K96" s="80" t="str">
        <f t="shared" si="16"/>
        <v>Transpordistsenaariumite õhuheited</v>
      </c>
      <c r="L96" s="27"/>
      <c r="M96" s="27"/>
      <c r="N96" s="27"/>
      <c r="O96" s="27"/>
      <c r="P96" s="27"/>
      <c r="Q96" s="27"/>
      <c r="R96" s="27"/>
      <c r="S96" s="27"/>
      <c r="T96" s="27"/>
    </row>
    <row r="97" spans="1:20" s="29" customFormat="1" x14ac:dyDescent="0.2">
      <c r="A97" s="525"/>
      <c r="B97" s="33"/>
      <c r="C97" s="26" t="s">
        <v>375</v>
      </c>
      <c r="D97" s="27" t="s">
        <v>317</v>
      </c>
      <c r="E97" s="308">
        <v>697</v>
      </c>
      <c r="F97" s="308">
        <v>839</v>
      </c>
      <c r="G97" s="308">
        <v>722</v>
      </c>
      <c r="H97" s="30"/>
      <c r="I97" s="114" t="s">
        <v>223</v>
      </c>
      <c r="J97" s="27"/>
      <c r="K97" s="80" t="str">
        <f t="shared" si="16"/>
        <v>Transpordistsenaariumite õhuheited</v>
      </c>
      <c r="L97" s="27"/>
      <c r="M97" s="27"/>
      <c r="N97" s="27"/>
      <c r="O97" s="27"/>
      <c r="P97" s="27"/>
      <c r="Q97" s="27"/>
      <c r="R97" s="27"/>
      <c r="S97" s="27"/>
      <c r="T97" s="27"/>
    </row>
    <row r="98" spans="1:20" s="25" customFormat="1" x14ac:dyDescent="0.2">
      <c r="A98" s="32"/>
      <c r="B98" s="33"/>
      <c r="H98" s="30"/>
      <c r="I98" s="115"/>
      <c r="J98" s="30"/>
    </row>
    <row r="99" spans="1:20" s="29" customFormat="1" ht="14.5" customHeight="1" x14ac:dyDescent="0.2">
      <c r="A99" s="529" t="s">
        <v>561</v>
      </c>
      <c r="B99" s="33"/>
      <c r="C99" s="28" t="s">
        <v>555</v>
      </c>
      <c r="D99" s="29" t="s">
        <v>344</v>
      </c>
      <c r="E99" s="106">
        <f>2490636.82158306/1000</f>
        <v>2490.6368215830603</v>
      </c>
      <c r="F99" s="106">
        <f>1892382.32712297/1000</f>
        <v>1892.3823271229701</v>
      </c>
      <c r="G99" s="106">
        <f>530884.99063732/1000</f>
        <v>530.88499063732002</v>
      </c>
      <c r="H99" s="30"/>
      <c r="I99" s="112" t="s">
        <v>223</v>
      </c>
      <c r="J99" s="30"/>
      <c r="K99" s="79" t="str">
        <f>HYPERLINK("https://onedrive.live.com/redir?resid=31206ECE3E1FC115!133&amp;authkey=!AAvExvafbCtl8Uo&amp;ithint=file%2c.xlsx","Transpordistsenaariumite õhuheited")</f>
        <v>Transpordistsenaariumite õhuheited</v>
      </c>
    </row>
    <row r="100" spans="1:20" s="29" customFormat="1" x14ac:dyDescent="0.2">
      <c r="A100" s="529"/>
      <c r="B100" s="33"/>
      <c r="C100" s="28" t="s">
        <v>562</v>
      </c>
      <c r="D100" s="29" t="s">
        <v>317</v>
      </c>
      <c r="E100" s="106">
        <v>4112</v>
      </c>
      <c r="F100" s="106">
        <v>3069</v>
      </c>
      <c r="G100" s="106">
        <v>1574</v>
      </c>
      <c r="H100" s="30"/>
      <c r="I100" s="112" t="s">
        <v>223</v>
      </c>
      <c r="J100" s="30"/>
      <c r="K100" s="79" t="str">
        <f t="shared" ref="K100:K103" si="17">HYPERLINK("https://onedrive.live.com/redir?resid=31206ECE3E1FC115!133&amp;authkey=!AAvExvafbCtl8Uo&amp;ithint=file%2c.xlsx","Transpordistsenaariumite õhuheited")</f>
        <v>Transpordistsenaariumite õhuheited</v>
      </c>
    </row>
    <row r="101" spans="1:20" s="29" customFormat="1" x14ac:dyDescent="0.2">
      <c r="A101" s="529"/>
      <c r="B101" s="33"/>
      <c r="C101" s="28" t="s">
        <v>563</v>
      </c>
      <c r="D101" s="29" t="s">
        <v>317</v>
      </c>
      <c r="E101" s="106">
        <v>13</v>
      </c>
      <c r="F101" s="106">
        <v>9</v>
      </c>
      <c r="G101" s="106">
        <v>6</v>
      </c>
      <c r="H101" s="30"/>
      <c r="I101" s="112" t="s">
        <v>223</v>
      </c>
      <c r="J101" s="30"/>
      <c r="K101" s="79" t="str">
        <f t="shared" si="17"/>
        <v>Transpordistsenaariumite õhuheited</v>
      </c>
    </row>
    <row r="102" spans="1:20" s="29" customFormat="1" x14ac:dyDescent="0.2">
      <c r="A102" s="529"/>
      <c r="B102" s="33"/>
      <c r="C102" s="28" t="s">
        <v>564</v>
      </c>
      <c r="D102" s="29" t="s">
        <v>317</v>
      </c>
      <c r="E102" s="106">
        <v>91</v>
      </c>
      <c r="F102" s="106">
        <v>72</v>
      </c>
      <c r="G102" s="106">
        <v>31</v>
      </c>
      <c r="H102" s="30"/>
      <c r="I102" s="112" t="s">
        <v>223</v>
      </c>
      <c r="J102" s="30"/>
      <c r="K102" s="79" t="str">
        <f t="shared" si="17"/>
        <v>Transpordistsenaariumite õhuheited</v>
      </c>
    </row>
    <row r="103" spans="1:20" s="29" customFormat="1" x14ac:dyDescent="0.2">
      <c r="A103" s="529"/>
      <c r="B103" s="33"/>
      <c r="C103" s="28" t="s">
        <v>565</v>
      </c>
      <c r="D103" s="29" t="s">
        <v>317</v>
      </c>
      <c r="E103" s="106">
        <v>522.77784440297353</v>
      </c>
      <c r="F103" s="106">
        <v>652</v>
      </c>
      <c r="G103" s="106">
        <v>396</v>
      </c>
      <c r="H103" s="30"/>
      <c r="I103" s="112" t="s">
        <v>223</v>
      </c>
      <c r="J103" s="30"/>
      <c r="K103" s="79" t="str">
        <f t="shared" si="17"/>
        <v>Transpordistsenaariumite õhuheited</v>
      </c>
    </row>
    <row r="105" spans="1:20" s="27" customFormat="1" x14ac:dyDescent="0.2">
      <c r="A105" s="531" t="s">
        <v>567</v>
      </c>
      <c r="B105" s="33"/>
      <c r="C105" s="26" t="s">
        <v>566</v>
      </c>
      <c r="D105" s="27" t="s">
        <v>14</v>
      </c>
      <c r="E105" s="308">
        <v>3387</v>
      </c>
      <c r="F105" s="308">
        <f>$E105</f>
        <v>3387</v>
      </c>
      <c r="G105" s="308">
        <f>$E105</f>
        <v>3387</v>
      </c>
      <c r="H105" s="30"/>
      <c r="I105" s="27" t="s">
        <v>223</v>
      </c>
      <c r="J105" s="30"/>
      <c r="K105" s="80" t="str">
        <f>HYPERLINK("http://www.energiatalgud.ee/img_auth.php/1/16/ENMAK_2030._Valdkondade_stsenaariumitega_kaasneva_keskkonnam%C3%B5ju_modelleerimine.pdf","ENMAK 2030 stsenaariumitega kaasneva keskkonnamõju modelleerimine")</f>
        <v>ENMAK 2030 stsenaariumitega kaasneva keskkonnamõju modelleerimine</v>
      </c>
    </row>
    <row r="106" spans="1:20" s="27" customFormat="1" x14ac:dyDescent="0.2">
      <c r="A106" s="531"/>
      <c r="B106" s="33"/>
      <c r="C106" s="26" t="s">
        <v>568</v>
      </c>
      <c r="D106" s="27" t="s">
        <v>546</v>
      </c>
      <c r="E106" s="308">
        <v>10</v>
      </c>
      <c r="F106" s="308">
        <f t="shared" ref="F106:G109" si="18">$E106</f>
        <v>10</v>
      </c>
      <c r="G106" s="308">
        <f t="shared" si="18"/>
        <v>10</v>
      </c>
      <c r="H106" s="30"/>
      <c r="I106" s="27" t="s">
        <v>223</v>
      </c>
      <c r="J106" s="30"/>
      <c r="K106" s="80" t="str">
        <f t="shared" ref="K106:K109" si="19">HYPERLINK("http://www.energiatalgud.ee/img_auth.php/1/16/ENMAK_2030._Valdkondade_stsenaariumitega_kaasneva_keskkonnam%C3%B5ju_modelleerimine.pdf","ENMAK 2030 stsenaariumitega kaasneva keskkonnamõju modelleerimine")</f>
        <v>ENMAK 2030 stsenaariumitega kaasneva keskkonnamõju modelleerimine</v>
      </c>
    </row>
    <row r="107" spans="1:20" s="27" customFormat="1" x14ac:dyDescent="0.2">
      <c r="A107" s="531"/>
      <c r="B107" s="33"/>
      <c r="C107" s="26" t="s">
        <v>569</v>
      </c>
      <c r="D107" s="27" t="s">
        <v>547</v>
      </c>
      <c r="E107" s="308">
        <v>4756</v>
      </c>
      <c r="F107" s="308">
        <f t="shared" si="18"/>
        <v>4756</v>
      </c>
      <c r="G107" s="308">
        <f t="shared" si="18"/>
        <v>4756</v>
      </c>
      <c r="H107" s="30"/>
      <c r="I107" s="27" t="s">
        <v>223</v>
      </c>
      <c r="J107" s="30"/>
      <c r="K107" s="80" t="str">
        <f t="shared" si="19"/>
        <v>ENMAK 2030 stsenaariumitega kaasneva keskkonnamõju modelleerimine</v>
      </c>
    </row>
    <row r="108" spans="1:20" s="27" customFormat="1" x14ac:dyDescent="0.2">
      <c r="A108" s="531"/>
      <c r="B108" s="33"/>
      <c r="C108" s="26" t="s">
        <v>570</v>
      </c>
      <c r="D108" s="27" t="s">
        <v>548</v>
      </c>
      <c r="E108" s="308">
        <v>69820</v>
      </c>
      <c r="F108" s="308">
        <f t="shared" si="18"/>
        <v>69820</v>
      </c>
      <c r="G108" s="308">
        <f t="shared" si="18"/>
        <v>69820</v>
      </c>
      <c r="H108" s="30"/>
      <c r="I108" s="27" t="s">
        <v>223</v>
      </c>
      <c r="J108" s="30"/>
      <c r="K108" s="80" t="str">
        <f t="shared" si="19"/>
        <v>ENMAK 2030 stsenaariumitega kaasneva keskkonnamõju modelleerimine</v>
      </c>
    </row>
    <row r="109" spans="1:20" s="27" customFormat="1" x14ac:dyDescent="0.2">
      <c r="A109" s="531"/>
      <c r="B109" s="33"/>
      <c r="C109" s="26" t="s">
        <v>571</v>
      </c>
      <c r="D109" s="27" t="s">
        <v>346</v>
      </c>
      <c r="E109" s="308">
        <v>1507957</v>
      </c>
      <c r="F109" s="308">
        <f t="shared" si="18"/>
        <v>1507957</v>
      </c>
      <c r="G109" s="308">
        <f t="shared" si="18"/>
        <v>1507957</v>
      </c>
      <c r="H109" s="30"/>
      <c r="I109" s="27" t="s">
        <v>223</v>
      </c>
      <c r="J109" s="30"/>
      <c r="K109" s="80" t="str">
        <f t="shared" si="19"/>
        <v>ENMAK 2030 stsenaariumitega kaasneva keskkonnamõju modelleerimine</v>
      </c>
    </row>
    <row r="110" spans="1:20" s="25" customFormat="1" x14ac:dyDescent="0.2">
      <c r="A110" s="32"/>
      <c r="B110" s="33"/>
      <c r="H110" s="30"/>
      <c r="J110" s="30"/>
    </row>
    <row r="111" spans="1:20" s="27" customFormat="1" x14ac:dyDescent="0.2">
      <c r="A111" s="530" t="s">
        <v>406</v>
      </c>
      <c r="B111" s="33"/>
      <c r="C111" s="28" t="s">
        <v>312</v>
      </c>
      <c r="D111" s="29" t="s">
        <v>14</v>
      </c>
      <c r="E111" s="127">
        <v>5110</v>
      </c>
      <c r="F111" s="127">
        <v>4601</v>
      </c>
      <c r="G111" s="127">
        <v>4068</v>
      </c>
      <c r="H111" s="30"/>
      <c r="I111" s="29" t="s">
        <v>223</v>
      </c>
      <c r="J111" s="29"/>
      <c r="K111" s="79" t="str">
        <f>HYPERLINK("http://www.energiatalgud.ee/img_auth.php/1/16/ENMAK_2030._Valdkondade_stsenaariumitega_kaasneva_keskkonnam%C3%B5ju_modelleerimine.pdf","ENMAK 2030 stsenaariumitega kaasneva keskkonnamõju modelleerimine")</f>
        <v>ENMAK 2030 stsenaariumitega kaasneva keskkonnamõju modelleerimine</v>
      </c>
      <c r="L111" s="29"/>
      <c r="M111" s="29"/>
      <c r="N111" s="29"/>
      <c r="O111" s="29"/>
      <c r="P111" s="29"/>
      <c r="Q111" s="29"/>
      <c r="R111" s="29"/>
      <c r="S111" s="29"/>
      <c r="T111" s="29"/>
    </row>
    <row r="112" spans="1:20" s="27" customFormat="1" x14ac:dyDescent="0.2">
      <c r="A112" s="530"/>
      <c r="B112" s="33"/>
      <c r="C112" s="28" t="s">
        <v>313</v>
      </c>
      <c r="D112" s="29" t="s">
        <v>546</v>
      </c>
      <c r="E112" s="127">
        <v>22</v>
      </c>
      <c r="F112" s="127">
        <v>16</v>
      </c>
      <c r="G112" s="127">
        <v>14</v>
      </c>
      <c r="H112" s="30"/>
      <c r="I112" s="29" t="s">
        <v>223</v>
      </c>
      <c r="J112" s="29"/>
      <c r="K112" s="79" t="str">
        <f t="shared" ref="K112:K115" si="20">HYPERLINK("http://www.energiatalgud.ee/img_auth.php/1/16/ENMAK_2030._Valdkondade_stsenaariumitega_kaasneva_keskkonnam%C3%B5ju_modelleerimine.pdf","ENMAK 2030 stsenaariumitega kaasneva keskkonnamõju modelleerimine")</f>
        <v>ENMAK 2030 stsenaariumitega kaasneva keskkonnamõju modelleerimine</v>
      </c>
      <c r="L112" s="29"/>
      <c r="M112" s="29"/>
      <c r="N112" s="29"/>
      <c r="O112" s="29"/>
      <c r="P112" s="29"/>
      <c r="Q112" s="29"/>
      <c r="R112" s="29"/>
      <c r="S112" s="29"/>
      <c r="T112" s="29"/>
    </row>
    <row r="113" spans="1:20" s="27" customFormat="1" x14ac:dyDescent="0.2">
      <c r="A113" s="530"/>
      <c r="B113" s="33"/>
      <c r="C113" s="28" t="s">
        <v>314</v>
      </c>
      <c r="D113" s="29" t="s">
        <v>547</v>
      </c>
      <c r="E113" s="127">
        <v>7149</v>
      </c>
      <c r="F113" s="127">
        <v>6647</v>
      </c>
      <c r="G113" s="127">
        <v>5500</v>
      </c>
      <c r="H113" s="30"/>
      <c r="I113" s="29" t="s">
        <v>223</v>
      </c>
      <c r="J113" s="29"/>
      <c r="K113" s="79" t="str">
        <f t="shared" si="20"/>
        <v>ENMAK 2030 stsenaariumitega kaasneva keskkonnamõju modelleerimine</v>
      </c>
      <c r="L113" s="29"/>
      <c r="M113" s="29"/>
      <c r="N113" s="29"/>
      <c r="O113" s="29"/>
      <c r="P113" s="29"/>
      <c r="Q113" s="29"/>
      <c r="R113" s="29"/>
      <c r="S113" s="29"/>
      <c r="T113" s="29"/>
    </row>
    <row r="114" spans="1:20" s="27" customFormat="1" x14ac:dyDescent="0.2">
      <c r="A114" s="530"/>
      <c r="B114" s="33"/>
      <c r="C114" s="28" t="s">
        <v>315</v>
      </c>
      <c r="D114" s="29" t="s">
        <v>548</v>
      </c>
      <c r="E114" s="127">
        <v>102389</v>
      </c>
      <c r="F114" s="127">
        <v>93101</v>
      </c>
      <c r="G114" s="127">
        <v>77802</v>
      </c>
      <c r="H114" s="30"/>
      <c r="I114" s="29" t="s">
        <v>223</v>
      </c>
      <c r="J114" s="29"/>
      <c r="K114" s="79" t="str">
        <f t="shared" si="20"/>
        <v>ENMAK 2030 stsenaariumitega kaasneva keskkonnamõju modelleerimine</v>
      </c>
      <c r="L114" s="29"/>
      <c r="M114" s="29"/>
      <c r="N114" s="29"/>
      <c r="O114" s="29"/>
      <c r="P114" s="29"/>
      <c r="Q114" s="29"/>
      <c r="R114" s="29"/>
      <c r="S114" s="29"/>
      <c r="T114" s="29"/>
    </row>
    <row r="115" spans="1:20" s="27" customFormat="1" x14ac:dyDescent="0.2">
      <c r="A115" s="530"/>
      <c r="B115" s="33"/>
      <c r="C115" s="28" t="s">
        <v>345</v>
      </c>
      <c r="D115" s="29" t="s">
        <v>346</v>
      </c>
      <c r="E115" s="127">
        <v>2315521</v>
      </c>
      <c r="F115" s="127">
        <v>2077688</v>
      </c>
      <c r="G115" s="127">
        <v>1763470</v>
      </c>
      <c r="H115" s="30"/>
      <c r="I115" s="29" t="s">
        <v>223</v>
      </c>
      <c r="J115" s="29"/>
      <c r="K115" s="79" t="str">
        <f t="shared" si="20"/>
        <v>ENMAK 2030 stsenaariumitega kaasneva keskkonnamõju modelleerimine</v>
      </c>
      <c r="L115" s="29"/>
      <c r="M115" s="29"/>
      <c r="N115" s="29"/>
      <c r="O115" s="29"/>
      <c r="P115" s="29"/>
      <c r="Q115" s="29"/>
      <c r="R115" s="29"/>
      <c r="S115" s="29"/>
      <c r="T115" s="29"/>
    </row>
    <row r="117" spans="1:20" s="25" customFormat="1" x14ac:dyDescent="0.2">
      <c r="A117" s="525" t="s">
        <v>625</v>
      </c>
      <c r="B117" s="33"/>
      <c r="C117" s="26" t="s">
        <v>624</v>
      </c>
      <c r="D117" s="334" t="s">
        <v>626</v>
      </c>
      <c r="E117" s="308">
        <v>201.8</v>
      </c>
      <c r="F117" s="308">
        <f>$E117</f>
        <v>201.8</v>
      </c>
      <c r="G117" s="308">
        <f>$E117</f>
        <v>201.8</v>
      </c>
      <c r="H117" s="30"/>
      <c r="I117" s="80" t="str">
        <f>HYPERLINK("http://www.energiatalgud.ee/img_auth.php/0/02/Orru%2C_H._ENMAK_2030._%C3%95husaaste_tervisem%C3%B5ju.pdf","ENMAK 2030. Õhusaaste tervisemõju")</f>
        <v>ENMAK 2030. Õhusaaste tervisemõju</v>
      </c>
      <c r="J117" s="80"/>
      <c r="K117" s="80" t="str">
        <f>HYPERLINK("https://onedrive.live.com/redir?resid=31206ECE3E1FC115!180&amp;authkey=!AHEPLMml5vHKJn0&amp;ithint=file%2cxlsx","Orru, H. ENMAK 2030 õhusaaste tervisemõju. Arvutusfail")</f>
        <v>Orru, H. ENMAK 2030 õhusaaste tervisemõju. Arvutusfail</v>
      </c>
    </row>
    <row r="118" spans="1:20" x14ac:dyDescent="0.2">
      <c r="A118" s="525"/>
      <c r="C118" s="26" t="s">
        <v>519</v>
      </c>
      <c r="D118" s="334" t="s">
        <v>626</v>
      </c>
      <c r="E118" s="308">
        <v>54.3</v>
      </c>
      <c r="F118" s="337">
        <f>AVERAGE(E118,G118)</f>
        <v>42.25</v>
      </c>
      <c r="G118" s="308">
        <v>30.2</v>
      </c>
      <c r="I118" s="80" t="str">
        <f>HYPERLINK("http://www.energiatalgud.ee/img_auth.php/0/02/Orru%2C_H._ENMAK_2030._%C3%95husaaste_tervisem%C3%B5ju.pdf","ENMAK 2030. Õhusaaste tervisemõju")</f>
        <v>ENMAK 2030. Õhusaaste tervisemõju</v>
      </c>
      <c r="J118" s="80"/>
      <c r="K118" s="80" t="str">
        <f>HYPERLINK("https://onedrive.live.com/redir?resid=31206ECE3E1FC115!180&amp;authkey=!AHEPLMml5vHKJn0&amp;ithint=file%2cxlsx","Orru, H. ENMAK 2030 õhusaaste tervisemõju. Arvutusfail")</f>
        <v>Orru, H. ENMAK 2030 õhusaaste tervisemõju. Arvutusfail</v>
      </c>
    </row>
  </sheetData>
  <sheetProtection password="C627" sheet="1" objects="1" scenarios="1"/>
  <mergeCells count="11">
    <mergeCell ref="A117:A118"/>
    <mergeCell ref="I1:K1"/>
    <mergeCell ref="A111:A115"/>
    <mergeCell ref="A4:A28"/>
    <mergeCell ref="A72:A79"/>
    <mergeCell ref="A36:A61"/>
    <mergeCell ref="A87:A91"/>
    <mergeCell ref="A99:A103"/>
    <mergeCell ref="A81:A85"/>
    <mergeCell ref="A93:A97"/>
    <mergeCell ref="A105:A109"/>
  </mergeCells>
  <conditionalFormatting sqref="F77:G79">
    <cfRule type="cellIs" dxfId="0" priority="1" operator="greaterThan">
      <formula>0</formula>
    </cfRule>
  </conditionalFormatting>
  <pageMargins left="0.7" right="0.7" top="0.75" bottom="0.75" header="0.3" footer="0.3"/>
  <legacy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R145"/>
  <sheetViews>
    <sheetView topLeftCell="D69" zoomScale="115" zoomScaleNormal="115" zoomScalePageLayoutView="115" workbookViewId="0">
      <selection activeCell="I93" sqref="I93"/>
    </sheetView>
  </sheetViews>
  <sheetFormatPr baseColWidth="10" defaultColWidth="8.796875" defaultRowHeight="15" x14ac:dyDescent="0.2"/>
  <cols>
    <col min="1" max="1" width="8.796875" style="7"/>
    <col min="2" max="2" width="1.3984375" style="33" customWidth="1"/>
    <col min="3" max="3" width="38" customWidth="1"/>
    <col min="4" max="4" width="6.19921875" bestFit="1" customWidth="1"/>
    <col min="5" max="9" width="17.796875" customWidth="1"/>
    <col min="10" max="10" width="1.3984375" style="30" customWidth="1"/>
    <col min="11" max="11" width="32.3984375" customWidth="1"/>
    <col min="12" max="12" width="0.796875" style="247" customWidth="1"/>
    <col min="13" max="13" width="32.19921875" customWidth="1"/>
  </cols>
  <sheetData>
    <row r="1" spans="1:13" s="5" customFormat="1" x14ac:dyDescent="0.2">
      <c r="A1" s="8"/>
      <c r="B1" s="33"/>
      <c r="C1" s="15"/>
      <c r="E1" s="100" t="s">
        <v>74</v>
      </c>
      <c r="F1" s="100" t="s">
        <v>75</v>
      </c>
      <c r="G1" s="100" t="s">
        <v>76</v>
      </c>
      <c r="H1" s="100" t="s">
        <v>77</v>
      </c>
      <c r="I1" s="100" t="s">
        <v>78</v>
      </c>
      <c r="J1" s="30"/>
      <c r="K1" s="526" t="s">
        <v>398</v>
      </c>
      <c r="L1" s="527"/>
      <c r="M1" s="528"/>
    </row>
    <row r="2" spans="1:13" s="5" customFormat="1" x14ac:dyDescent="0.2">
      <c r="A2" s="8"/>
      <c r="B2" s="33"/>
      <c r="E2" s="100" t="s">
        <v>0</v>
      </c>
      <c r="F2" s="100" t="s">
        <v>1</v>
      </c>
      <c r="G2" s="100" t="s">
        <v>2</v>
      </c>
      <c r="H2" s="100" t="s">
        <v>79</v>
      </c>
      <c r="I2" s="100" t="s">
        <v>80</v>
      </c>
      <c r="J2" s="30"/>
      <c r="K2" s="97" t="s">
        <v>399</v>
      </c>
      <c r="L2" s="246"/>
      <c r="M2" s="95" t="s">
        <v>400</v>
      </c>
    </row>
    <row r="3" spans="1:13" s="5" customFormat="1" x14ac:dyDescent="0.2">
      <c r="A3" s="8"/>
      <c r="B3" s="33"/>
      <c r="J3" s="30"/>
      <c r="L3" s="247"/>
    </row>
    <row r="4" spans="1:13" s="29" customFormat="1" x14ac:dyDescent="0.2">
      <c r="A4" s="530"/>
      <c r="B4" s="33"/>
      <c r="C4" s="28" t="s">
        <v>721</v>
      </c>
      <c r="D4" s="29" t="s">
        <v>27</v>
      </c>
      <c r="E4" s="40">
        <v>1.4519999999999979E-2</v>
      </c>
      <c r="F4" s="40">
        <v>1.4519999999999979E-2</v>
      </c>
      <c r="G4" s="40">
        <v>1.4519999999999979E-2</v>
      </c>
      <c r="H4" s="40">
        <v>1.4519999999999979E-2</v>
      </c>
      <c r="I4" s="40">
        <v>1.4519999999999979E-2</v>
      </c>
      <c r="J4" s="30"/>
      <c r="K4" s="79" t="str">
        <f>HYPERLINK("http://www.energiatalgud.ee/index.php?title=Elektritootmise_ja_-v%C3%B5rkude_ENMAK_stsenaariumid","Elektritootmisstsenaariumid")</f>
        <v>Elektritootmisstsenaariumid</v>
      </c>
      <c r="L4" s="247"/>
      <c r="M4" s="79" t="str">
        <f>HYPERLINK("https://onedrive.live.com/redir?resid=31206ECE3E1FC115!131&amp;authkey=!AON5kv7mHgv98A8&amp;ithint=file%2cxlsx","Elektritoomistsenaariumite tulemuste võrdlus")</f>
        <v>Elektritoomistsenaariumite tulemuste võrdlus</v>
      </c>
    </row>
    <row r="5" spans="1:13" s="29" customFormat="1" x14ac:dyDescent="0.2">
      <c r="A5" s="530"/>
      <c r="B5" s="33"/>
      <c r="C5" s="28" t="s">
        <v>722</v>
      </c>
      <c r="D5" s="29" t="s">
        <v>27</v>
      </c>
      <c r="E5" s="40">
        <v>8.2175798525959784E-2</v>
      </c>
      <c r="F5" s="40">
        <v>8.2175798525959784E-2</v>
      </c>
      <c r="G5" s="40">
        <v>8.2175798525959784E-2</v>
      </c>
      <c r="H5" s="40">
        <v>8.2175798525959784E-2</v>
      </c>
      <c r="I5" s="40">
        <v>8.2175798525959784E-2</v>
      </c>
      <c r="J5" s="30"/>
      <c r="K5" s="79" t="str">
        <f t="shared" ref="K5:K25" si="0">HYPERLINK("http://www.energiatalgud.ee/index.php?title=Elektritootmise_ja_-v%C3%B5rkude_ENMAK_stsenaariumid","Elektritootmisstsenaariumid")</f>
        <v>Elektritootmisstsenaariumid</v>
      </c>
      <c r="L5" s="247"/>
      <c r="M5" s="79" t="str">
        <f t="shared" ref="M5:M15" si="1">HYPERLINK("https://onedrive.live.com/redir?resid=31206ECE3E1FC115!131&amp;authkey=!AON5kv7mHgv98A8&amp;ithint=file%2cxlsx","Elektritoomistsenaariumite tulemuste võrdlus")</f>
        <v>Elektritoomistsenaariumite tulemuste võrdlus</v>
      </c>
    </row>
    <row r="6" spans="1:13" s="29" customFormat="1" x14ac:dyDescent="0.2">
      <c r="A6" s="530"/>
      <c r="B6" s="33"/>
      <c r="C6" s="28" t="s">
        <v>723</v>
      </c>
      <c r="D6" s="29" t="s">
        <v>27</v>
      </c>
      <c r="E6" s="40">
        <v>1.9001066589617706E-2</v>
      </c>
      <c r="F6" s="40">
        <v>1.9001066589617713E-2</v>
      </c>
      <c r="G6" s="40">
        <v>1.8995070161046276E-2</v>
      </c>
      <c r="H6" s="40">
        <v>1.8778991201233254E-2</v>
      </c>
      <c r="I6" s="40">
        <v>1.8769261416733372E-2</v>
      </c>
      <c r="J6" s="30"/>
      <c r="K6" s="79" t="str">
        <f t="shared" si="0"/>
        <v>Elektritootmisstsenaariumid</v>
      </c>
      <c r="L6" s="247"/>
      <c r="M6" s="79" t="str">
        <f t="shared" si="1"/>
        <v>Elektritoomistsenaariumite tulemuste võrdlus</v>
      </c>
    </row>
    <row r="7" spans="1:13" s="29" customFormat="1" x14ac:dyDescent="0.2">
      <c r="A7" s="530"/>
      <c r="B7" s="33"/>
      <c r="C7" s="28" t="s">
        <v>697</v>
      </c>
      <c r="D7" s="29" t="s">
        <v>27</v>
      </c>
      <c r="E7" s="40">
        <v>4.3629440881923855</v>
      </c>
      <c r="F7" s="40">
        <v>4.3629440881923855</v>
      </c>
      <c r="G7" s="40">
        <v>4.3629440881923855</v>
      </c>
      <c r="H7" s="40">
        <v>0</v>
      </c>
      <c r="I7" s="40">
        <v>0</v>
      </c>
      <c r="J7" s="30"/>
      <c r="K7" s="79" t="str">
        <f t="shared" si="0"/>
        <v>Elektritootmisstsenaariumid</v>
      </c>
      <c r="L7" s="247"/>
      <c r="M7" s="79" t="str">
        <f t="shared" si="1"/>
        <v>Elektritoomistsenaariumite tulemuste võrdlus</v>
      </c>
    </row>
    <row r="8" spans="1:13" s="29" customFormat="1" x14ac:dyDescent="0.2">
      <c r="A8" s="530"/>
      <c r="B8" s="33"/>
      <c r="C8" s="28" t="s">
        <v>724</v>
      </c>
      <c r="D8" s="29" t="s">
        <v>27</v>
      </c>
      <c r="E8" s="40">
        <v>0.28808607692307686</v>
      </c>
      <c r="F8" s="40">
        <v>0.28808607692307686</v>
      </c>
      <c r="G8" s="40">
        <v>0.28808607692307686</v>
      </c>
      <c r="H8" s="40">
        <v>0</v>
      </c>
      <c r="I8" s="40">
        <v>0.28808607692307686</v>
      </c>
      <c r="J8" s="30"/>
      <c r="K8" s="79" t="str">
        <f t="shared" si="0"/>
        <v>Elektritootmisstsenaariumid</v>
      </c>
      <c r="L8" s="247"/>
      <c r="M8" s="79" t="str">
        <f t="shared" si="1"/>
        <v>Elektritoomistsenaariumite tulemuste võrdlus</v>
      </c>
    </row>
    <row r="9" spans="1:13" s="29" customFormat="1" x14ac:dyDescent="0.2">
      <c r="A9" s="530"/>
      <c r="B9" s="33"/>
      <c r="C9" s="28" t="s">
        <v>725</v>
      </c>
      <c r="D9" s="29" t="s">
        <v>27</v>
      </c>
      <c r="E9" s="40">
        <v>0.22528468367262336</v>
      </c>
      <c r="F9" s="40">
        <v>0.22528468367262336</v>
      </c>
      <c r="G9" s="40">
        <v>0.22528468367262341</v>
      </c>
      <c r="H9" s="40">
        <v>0.22528468367262339</v>
      </c>
      <c r="I9" s="40">
        <v>0.22528468367262347</v>
      </c>
      <c r="J9" s="30"/>
      <c r="K9" s="79" t="str">
        <f t="shared" si="0"/>
        <v>Elektritootmisstsenaariumid</v>
      </c>
      <c r="L9" s="247"/>
      <c r="M9" s="79" t="str">
        <f t="shared" si="1"/>
        <v>Elektritoomistsenaariumite tulemuste võrdlus</v>
      </c>
    </row>
    <row r="10" spans="1:13" s="29" customFormat="1" x14ac:dyDescent="0.2">
      <c r="A10" s="530"/>
      <c r="B10" s="33"/>
      <c r="C10" s="28" t="s">
        <v>692</v>
      </c>
      <c r="D10" s="29" t="s">
        <v>27</v>
      </c>
      <c r="E10" s="40">
        <v>0.31851887861663186</v>
      </c>
      <c r="F10" s="40">
        <v>0.31851887861663186</v>
      </c>
      <c r="G10" s="40">
        <v>0.31710488515310281</v>
      </c>
      <c r="H10" s="40">
        <v>0</v>
      </c>
      <c r="I10" s="40">
        <v>0.33667928875348957</v>
      </c>
      <c r="J10" s="30"/>
      <c r="K10" s="79" t="str">
        <f t="shared" si="0"/>
        <v>Elektritootmisstsenaariumid</v>
      </c>
      <c r="L10" s="247"/>
      <c r="M10" s="79" t="str">
        <f t="shared" si="1"/>
        <v>Elektritoomistsenaariumite tulemuste võrdlus</v>
      </c>
    </row>
    <row r="11" spans="1:13" s="29" customFormat="1" x14ac:dyDescent="0.2">
      <c r="A11" s="530"/>
      <c r="B11" s="33"/>
      <c r="C11" s="28" t="s">
        <v>695</v>
      </c>
      <c r="D11" s="29" t="s">
        <v>27</v>
      </c>
      <c r="E11" s="40">
        <v>0.51057732659981026</v>
      </c>
      <c r="F11" s="40">
        <v>0.51057732659981026</v>
      </c>
      <c r="G11" s="40">
        <v>0.51057732659981026</v>
      </c>
      <c r="H11" s="40">
        <v>0</v>
      </c>
      <c r="I11" s="40">
        <v>2.9651350586937122</v>
      </c>
      <c r="J11" s="30"/>
      <c r="K11" s="79" t="str">
        <f t="shared" si="0"/>
        <v>Elektritootmisstsenaariumid</v>
      </c>
      <c r="L11" s="247"/>
      <c r="M11" s="79" t="str">
        <f t="shared" si="1"/>
        <v>Elektritoomistsenaariumite tulemuste võrdlus</v>
      </c>
    </row>
    <row r="12" spans="1:13" s="29" customFormat="1" x14ac:dyDescent="0.2">
      <c r="A12" s="530"/>
      <c r="B12" s="33"/>
      <c r="C12" s="28" t="s">
        <v>693</v>
      </c>
      <c r="D12" s="29" t="s">
        <v>27</v>
      </c>
      <c r="E12" s="40">
        <v>0.53270162069532345</v>
      </c>
      <c r="F12" s="40">
        <v>0.53270162069532145</v>
      </c>
      <c r="G12" s="40">
        <v>0.5330382637785348</v>
      </c>
      <c r="H12" s="40">
        <v>0</v>
      </c>
      <c r="I12" s="40">
        <v>7.5999881063958039</v>
      </c>
      <c r="J12" s="30"/>
      <c r="K12" s="79" t="str">
        <f t="shared" si="0"/>
        <v>Elektritootmisstsenaariumid</v>
      </c>
      <c r="L12" s="247"/>
      <c r="M12" s="79" t="str">
        <f t="shared" si="1"/>
        <v>Elektritoomistsenaariumite tulemuste võrdlus</v>
      </c>
    </row>
    <row r="13" spans="1:13" s="29" customFormat="1" x14ac:dyDescent="0.2">
      <c r="A13" s="530"/>
      <c r="B13" s="33"/>
      <c r="C13" s="28" t="s">
        <v>726</v>
      </c>
      <c r="D13" s="29" t="s">
        <v>27</v>
      </c>
      <c r="E13" s="40">
        <v>2.9999999999999968E-2</v>
      </c>
      <c r="F13" s="40">
        <v>2.9999999999999968E-2</v>
      </c>
      <c r="G13" s="40">
        <v>2.9999999999999968E-2</v>
      </c>
      <c r="H13" s="40">
        <v>2.9999999999999968E-2</v>
      </c>
      <c r="I13" s="40">
        <v>2.9999999999999968E-2</v>
      </c>
      <c r="J13" s="30"/>
      <c r="K13" s="79" t="str">
        <f t="shared" si="0"/>
        <v>Elektritootmisstsenaariumid</v>
      </c>
      <c r="L13" s="247"/>
      <c r="M13" s="79" t="str">
        <f t="shared" si="1"/>
        <v>Elektritoomistsenaariumite tulemuste võrdlus</v>
      </c>
    </row>
    <row r="14" spans="1:13" s="29" customFormat="1" x14ac:dyDescent="0.2">
      <c r="A14" s="530"/>
      <c r="B14" s="33"/>
      <c r="C14" s="28" t="s">
        <v>727</v>
      </c>
      <c r="D14" s="29" t="s">
        <v>27</v>
      </c>
      <c r="E14" s="40">
        <v>0.80477019999999877</v>
      </c>
      <c r="F14" s="40">
        <v>0.80477019999999877</v>
      </c>
      <c r="G14" s="40">
        <v>0.80477019999999877</v>
      </c>
      <c r="H14" s="40">
        <v>0.80477019999999877</v>
      </c>
      <c r="I14" s="40">
        <v>0.80477019999999877</v>
      </c>
      <c r="J14" s="30"/>
      <c r="K14" s="79" t="str">
        <f t="shared" si="0"/>
        <v>Elektritootmisstsenaariumid</v>
      </c>
      <c r="L14" s="247"/>
      <c r="M14" s="79" t="str">
        <f t="shared" si="1"/>
        <v>Elektritoomistsenaariumite tulemuste võrdlus</v>
      </c>
    </row>
    <row r="15" spans="1:13" s="29" customFormat="1" x14ac:dyDescent="0.2">
      <c r="A15" s="530"/>
      <c r="B15" s="33"/>
      <c r="C15" s="28" t="s">
        <v>691</v>
      </c>
      <c r="D15" s="29" t="s">
        <v>27</v>
      </c>
      <c r="E15" s="40">
        <v>1.2109553070403516</v>
      </c>
      <c r="F15" s="40">
        <v>1.2109553070403516</v>
      </c>
      <c r="G15" s="40">
        <v>1.2170680113672994</v>
      </c>
      <c r="H15" s="40">
        <v>5.3078830853420893</v>
      </c>
      <c r="I15" s="40">
        <v>0.75750894528031254</v>
      </c>
      <c r="J15" s="30"/>
      <c r="K15" s="79" t="str">
        <f t="shared" si="0"/>
        <v>Elektritootmisstsenaariumid</v>
      </c>
      <c r="L15" s="247"/>
      <c r="M15" s="79" t="str">
        <f t="shared" si="1"/>
        <v>Elektritoomistsenaariumite tulemuste võrdlus</v>
      </c>
    </row>
    <row r="16" spans="1:13" s="30" customFormat="1" ht="4.25" customHeight="1" x14ac:dyDescent="0.2">
      <c r="A16" s="530"/>
      <c r="B16" s="33"/>
      <c r="C16" s="31"/>
      <c r="L16" s="247"/>
    </row>
    <row r="17" spans="1:13" s="29" customFormat="1" x14ac:dyDescent="0.2">
      <c r="A17" s="530"/>
      <c r="B17" s="33"/>
      <c r="C17" s="28" t="s">
        <v>728</v>
      </c>
      <c r="D17" s="29" t="s">
        <v>27</v>
      </c>
      <c r="E17" s="40">
        <v>0.28406448873171303</v>
      </c>
      <c r="F17" s="40">
        <v>0.28406448873171303</v>
      </c>
      <c r="G17" s="40">
        <v>0.28406448873171303</v>
      </c>
      <c r="H17" s="40">
        <v>0.28406448873171303</v>
      </c>
      <c r="I17" s="40">
        <v>0.28406448873171303</v>
      </c>
      <c r="J17" s="30"/>
      <c r="K17" s="79" t="str">
        <f t="shared" si="0"/>
        <v>Elektritootmisstsenaariumid</v>
      </c>
      <c r="L17" s="247"/>
      <c r="M17" s="79" t="str">
        <f>HYPERLINK("https://onedrive.live.com/redir?resid=31206ECE3E1FC115!131&amp;authkey=!AON5kv7mHgv98A8&amp;ithint=file%2cxlsx","Elektritoomistsenaariumite tulemuste võrdlus")</f>
        <v>Elektritoomistsenaariumite tulemuste võrdlus</v>
      </c>
    </row>
    <row r="18" spans="1:13" s="29" customFormat="1" x14ac:dyDescent="0.2">
      <c r="A18" s="530"/>
      <c r="B18" s="33"/>
      <c r="C18" s="28" t="s">
        <v>729</v>
      </c>
      <c r="D18" s="29" t="s">
        <v>27</v>
      </c>
      <c r="E18" s="40">
        <v>5.0063782736333766E-2</v>
      </c>
      <c r="F18" s="40">
        <v>5.0063782736333766E-2</v>
      </c>
      <c r="G18" s="40">
        <v>5.004798341813349E-2</v>
      </c>
      <c r="H18" s="40">
        <v>4.9478661162093249E-2</v>
      </c>
      <c r="I18" s="40">
        <v>4.9453025242394935E-2</v>
      </c>
      <c r="J18" s="30"/>
      <c r="K18" s="79" t="str">
        <f t="shared" si="0"/>
        <v>Elektritootmisstsenaariumid</v>
      </c>
      <c r="L18" s="247"/>
      <c r="M18" s="79" t="str">
        <f t="shared" ref="M18:M25" si="2">HYPERLINK("https://onedrive.live.com/redir?resid=31206ECE3E1FC115!131&amp;authkey=!AON5kv7mHgv98A8&amp;ithint=file%2cxlsx","Elektritoomistsenaariumite tulemuste võrdlus")</f>
        <v>Elektritoomistsenaariumite tulemuste võrdlus</v>
      </c>
    </row>
    <row r="19" spans="1:13" s="29" customFormat="1" x14ac:dyDescent="0.2">
      <c r="A19" s="530"/>
      <c r="B19" s="33"/>
      <c r="C19" s="28" t="s">
        <v>710</v>
      </c>
      <c r="D19" s="29" t="s">
        <v>27</v>
      </c>
      <c r="E19" s="40">
        <v>12.464607519724579</v>
      </c>
      <c r="F19" s="40">
        <v>12.464607519724579</v>
      </c>
      <c r="G19" s="40">
        <v>12.464607519724579</v>
      </c>
      <c r="H19" s="40">
        <v>0</v>
      </c>
      <c r="I19" s="40">
        <v>0</v>
      </c>
      <c r="J19" s="30"/>
      <c r="K19" s="79" t="str">
        <f t="shared" si="0"/>
        <v>Elektritootmisstsenaariumid</v>
      </c>
      <c r="L19" s="247"/>
      <c r="M19" s="79" t="str">
        <f t="shared" si="2"/>
        <v>Elektritoomistsenaariumite tulemuste võrdlus</v>
      </c>
    </row>
    <row r="20" spans="1:13" s="29" customFormat="1" x14ac:dyDescent="0.2">
      <c r="A20" s="530"/>
      <c r="B20" s="33"/>
      <c r="C20" s="28" t="s">
        <v>730</v>
      </c>
      <c r="D20" s="29" t="s">
        <v>27</v>
      </c>
      <c r="E20" s="40">
        <v>0.50988686181075549</v>
      </c>
      <c r="F20" s="40">
        <v>0.50988686181075549</v>
      </c>
      <c r="G20" s="40">
        <v>0.50988686181075549</v>
      </c>
      <c r="H20" s="40">
        <v>0</v>
      </c>
      <c r="I20" s="40">
        <v>0.50988686181075549</v>
      </c>
      <c r="J20" s="30"/>
      <c r="K20" s="79" t="str">
        <f t="shared" si="0"/>
        <v>Elektritootmisstsenaariumid</v>
      </c>
      <c r="L20" s="247"/>
      <c r="M20" s="79" t="str">
        <f t="shared" si="2"/>
        <v>Elektritoomistsenaariumite tulemuste võrdlus</v>
      </c>
    </row>
    <row r="21" spans="1:13" s="29" customFormat="1" x14ac:dyDescent="0.2">
      <c r="A21" s="530"/>
      <c r="B21" s="33"/>
      <c r="C21" s="28" t="s">
        <v>731</v>
      </c>
      <c r="D21" s="29" t="s">
        <v>27</v>
      </c>
      <c r="E21" s="40">
        <v>0.79471999999999954</v>
      </c>
      <c r="F21" s="40">
        <v>0.79471999999999954</v>
      </c>
      <c r="G21" s="40">
        <v>0.79471999999999976</v>
      </c>
      <c r="H21" s="40">
        <v>0.79471999999999898</v>
      </c>
      <c r="I21" s="40">
        <v>0.79471999999999976</v>
      </c>
      <c r="J21" s="30"/>
      <c r="K21" s="79" t="str">
        <f t="shared" si="0"/>
        <v>Elektritootmisstsenaariumid</v>
      </c>
      <c r="L21" s="247"/>
      <c r="M21" s="79" t="str">
        <f t="shared" si="2"/>
        <v>Elektritoomistsenaariumite tulemuste võrdlus</v>
      </c>
    </row>
    <row r="22" spans="1:13" s="29" customFormat="1" x14ac:dyDescent="0.2">
      <c r="A22" s="530"/>
      <c r="B22" s="33"/>
      <c r="C22" s="28" t="s">
        <v>702</v>
      </c>
      <c r="D22" s="29" t="s">
        <v>27</v>
      </c>
      <c r="E22" s="40">
        <v>0.96157259025459363</v>
      </c>
      <c r="F22" s="40">
        <v>0.96157259025459363</v>
      </c>
      <c r="G22" s="40">
        <v>0.95796447949767827</v>
      </c>
      <c r="H22" s="40">
        <v>0</v>
      </c>
      <c r="I22" s="40">
        <v>1.0258655220997657</v>
      </c>
      <c r="J22" s="30"/>
      <c r="K22" s="79" t="str">
        <f t="shared" si="0"/>
        <v>Elektritootmisstsenaariumid</v>
      </c>
      <c r="L22" s="247"/>
      <c r="M22" s="79" t="str">
        <f t="shared" si="2"/>
        <v>Elektritoomistsenaariumite tulemuste võrdlus</v>
      </c>
    </row>
    <row r="23" spans="1:13" s="29" customFormat="1" x14ac:dyDescent="0.2">
      <c r="A23" s="530"/>
      <c r="B23" s="33"/>
      <c r="C23" s="28" t="s">
        <v>706</v>
      </c>
      <c r="D23" s="29" t="s">
        <v>27</v>
      </c>
      <c r="E23" s="40">
        <v>1.884093664118851</v>
      </c>
      <c r="F23" s="40">
        <v>1.884093664118851</v>
      </c>
      <c r="G23" s="40">
        <v>1.884093664118851</v>
      </c>
      <c r="H23" s="40">
        <v>0</v>
      </c>
      <c r="I23" s="40">
        <v>7.2435984350241496</v>
      </c>
      <c r="J23" s="30"/>
      <c r="K23" s="79" t="str">
        <f t="shared" si="0"/>
        <v>Elektritootmisstsenaariumid</v>
      </c>
      <c r="L23" s="247"/>
      <c r="M23" s="79" t="str">
        <f t="shared" si="2"/>
        <v>Elektritoomistsenaariumite tulemuste võrdlus</v>
      </c>
    </row>
    <row r="24" spans="1:13" s="29" customFormat="1" x14ac:dyDescent="0.2">
      <c r="A24" s="530"/>
      <c r="B24" s="33"/>
      <c r="C24" s="28" t="s">
        <v>703</v>
      </c>
      <c r="D24" s="29" t="s">
        <v>27</v>
      </c>
      <c r="E24" s="40">
        <v>1.8382544083910985</v>
      </c>
      <c r="F24" s="40">
        <v>1.8382544083910917</v>
      </c>
      <c r="G24" s="40">
        <v>1.839415246609069</v>
      </c>
      <c r="H24" s="40">
        <v>0</v>
      </c>
      <c r="I24" s="40">
        <v>23.566666666666606</v>
      </c>
      <c r="J24" s="30"/>
      <c r="K24" s="79" t="str">
        <f t="shared" si="0"/>
        <v>Elektritootmisstsenaariumid</v>
      </c>
      <c r="L24" s="247"/>
      <c r="M24" s="79" t="str">
        <f t="shared" si="2"/>
        <v>Elektritoomistsenaariumite tulemuste võrdlus</v>
      </c>
    </row>
    <row r="25" spans="1:13" s="29" customFormat="1" x14ac:dyDescent="0.2">
      <c r="A25" s="530"/>
      <c r="B25" s="33"/>
      <c r="C25" s="28" t="s">
        <v>708</v>
      </c>
      <c r="D25" s="29" t="s">
        <v>27</v>
      </c>
      <c r="E25" s="40">
        <v>3.5936227374372152</v>
      </c>
      <c r="F25" s="40">
        <v>3.5936227374372147</v>
      </c>
      <c r="G25" s="40">
        <v>3.6178154055356511</v>
      </c>
      <c r="H25" s="40">
        <v>14.801354906116497</v>
      </c>
      <c r="I25" s="40">
        <v>2.6356046702992111</v>
      </c>
      <c r="J25" s="30"/>
      <c r="K25" s="79" t="str">
        <f t="shared" si="0"/>
        <v>Elektritootmisstsenaariumid</v>
      </c>
      <c r="L25" s="247"/>
      <c r="M25" s="79" t="str">
        <f t="shared" si="2"/>
        <v>Elektritoomistsenaariumite tulemuste võrdlus</v>
      </c>
    </row>
    <row r="26" spans="1:13" s="29" customFormat="1" ht="7.25" customHeight="1" x14ac:dyDescent="0.2">
      <c r="A26" s="361"/>
      <c r="B26" s="33"/>
      <c r="C26" s="28"/>
      <c r="E26" s="40"/>
      <c r="F26" s="40"/>
      <c r="G26" s="40"/>
      <c r="H26" s="40"/>
      <c r="I26" s="40"/>
      <c r="J26" s="30"/>
      <c r="K26" s="79"/>
      <c r="L26" s="247"/>
      <c r="M26" s="79"/>
    </row>
    <row r="27" spans="1:13" s="4" customFormat="1" x14ac:dyDescent="0.2">
      <c r="A27" s="530"/>
      <c r="B27" s="33"/>
      <c r="C27" s="3" t="s">
        <v>81</v>
      </c>
      <c r="D27" s="4" t="s">
        <v>27</v>
      </c>
      <c r="E27" s="4">
        <v>0.04</v>
      </c>
      <c r="F27" s="4">
        <v>0.04</v>
      </c>
      <c r="G27" s="4">
        <v>0.04</v>
      </c>
      <c r="H27" s="4">
        <v>0.04</v>
      </c>
      <c r="I27" s="4">
        <v>0.04</v>
      </c>
      <c r="J27" s="30"/>
      <c r="K27" s="79" t="str">
        <f>HYPERLINK("http://www.energiatalgud.ee/index.php?title=Elektritootmise_ja_-v%C3%B5rkude_ENMAK_stsenaariumid","Elektritootmisstsenaariumid")</f>
        <v>Elektritootmisstsenaariumid</v>
      </c>
      <c r="L27" s="247"/>
      <c r="M27" s="79" t="str">
        <f>HYPERLINK("https://onedrive.live.com/redir?resid=31206ECE3E1FC115!131&amp;authkey=!AON5kv7mHgv98A8&amp;ithint=file%2cxlsx","Elektritoomistsenaariumite tulemuste võrdlus")</f>
        <v>Elektritoomistsenaariumite tulemuste võrdlus</v>
      </c>
    </row>
    <row r="28" spans="1:13" s="4" customFormat="1" x14ac:dyDescent="0.2">
      <c r="A28" s="530"/>
      <c r="B28" s="33"/>
      <c r="C28" s="3" t="s">
        <v>82</v>
      </c>
      <c r="D28" s="4" t="s">
        <v>27</v>
      </c>
      <c r="E28" s="14">
        <v>0.25</v>
      </c>
      <c r="F28" s="14">
        <v>0.25</v>
      </c>
      <c r="G28" s="14">
        <v>0.25</v>
      </c>
      <c r="H28" s="14">
        <v>0.25</v>
      </c>
      <c r="I28" s="14">
        <v>0.25</v>
      </c>
      <c r="J28" s="30"/>
      <c r="K28" s="79" t="str">
        <f t="shared" ref="K28:K48" si="3">HYPERLINK("http://www.energiatalgud.ee/index.php?title=Elektritootmise_ja_-v%C3%B5rkude_ENMAK_stsenaariumid","Elektritootmisstsenaariumid")</f>
        <v>Elektritootmisstsenaariumid</v>
      </c>
      <c r="L28" s="247"/>
      <c r="M28" s="79" t="str">
        <f t="shared" ref="M28:M38" si="4">HYPERLINK("https://onedrive.live.com/redir?resid=31206ECE3E1FC115!131&amp;authkey=!AON5kv7mHgv98A8&amp;ithint=file%2cxlsx","Elektritoomistsenaariumite tulemuste võrdlus")</f>
        <v>Elektritoomistsenaariumite tulemuste võrdlus</v>
      </c>
    </row>
    <row r="29" spans="1:13" s="4" customFormat="1" x14ac:dyDescent="0.2">
      <c r="A29" s="530"/>
      <c r="B29" s="33"/>
      <c r="C29" s="3" t="s">
        <v>83</v>
      </c>
      <c r="D29" s="4" t="s">
        <v>27</v>
      </c>
      <c r="E29" s="14">
        <v>0.02</v>
      </c>
      <c r="F29" s="14">
        <v>0.02</v>
      </c>
      <c r="G29" s="14">
        <v>0.02</v>
      </c>
      <c r="H29" s="14">
        <v>0.02</v>
      </c>
      <c r="I29" s="14">
        <v>0.02</v>
      </c>
      <c r="J29" s="30"/>
      <c r="K29" s="79" t="str">
        <f t="shared" si="3"/>
        <v>Elektritootmisstsenaariumid</v>
      </c>
      <c r="L29" s="247"/>
      <c r="M29" s="79" t="str">
        <f t="shared" si="4"/>
        <v>Elektritoomistsenaariumite tulemuste võrdlus</v>
      </c>
    </row>
    <row r="30" spans="1:13" s="4" customFormat="1" x14ac:dyDescent="0.2">
      <c r="A30" s="530"/>
      <c r="B30" s="33"/>
      <c r="C30" s="3" t="s">
        <v>84</v>
      </c>
      <c r="D30" s="4" t="s">
        <v>27</v>
      </c>
      <c r="E30" s="14">
        <v>3.33</v>
      </c>
      <c r="F30" s="14">
        <v>3.33</v>
      </c>
      <c r="G30" s="14">
        <v>3.31</v>
      </c>
      <c r="H30" s="14"/>
      <c r="I30" s="14">
        <v>1.82</v>
      </c>
      <c r="J30" s="30"/>
      <c r="K30" s="79" t="str">
        <f t="shared" si="3"/>
        <v>Elektritootmisstsenaariumid</v>
      </c>
      <c r="L30" s="247"/>
      <c r="M30" s="79" t="str">
        <f t="shared" si="4"/>
        <v>Elektritoomistsenaariumite tulemuste võrdlus</v>
      </c>
    </row>
    <row r="31" spans="1:13" s="4" customFormat="1" x14ac:dyDescent="0.2">
      <c r="A31" s="530"/>
      <c r="B31" s="33"/>
      <c r="C31" s="3" t="s">
        <v>85</v>
      </c>
      <c r="D31" s="4" t="s">
        <v>27</v>
      </c>
      <c r="E31" s="14">
        <v>0.28999999999999998</v>
      </c>
      <c r="F31" s="14">
        <v>0.28999999999999998</v>
      </c>
      <c r="G31" s="14">
        <v>0.28999999999999998</v>
      </c>
      <c r="H31" s="14"/>
      <c r="I31" s="14">
        <v>0.28999999999999998</v>
      </c>
      <c r="J31" s="30"/>
      <c r="K31" s="79" t="str">
        <f t="shared" si="3"/>
        <v>Elektritootmisstsenaariumid</v>
      </c>
      <c r="L31" s="247"/>
      <c r="M31" s="79" t="str">
        <f t="shared" si="4"/>
        <v>Elektritoomistsenaariumite tulemuste võrdlus</v>
      </c>
    </row>
    <row r="32" spans="1:13" s="4" customFormat="1" x14ac:dyDescent="0.2">
      <c r="A32" s="530"/>
      <c r="B32" s="33"/>
      <c r="C32" s="3" t="s">
        <v>86</v>
      </c>
      <c r="D32" s="4" t="s">
        <v>27</v>
      </c>
      <c r="E32" s="14">
        <v>0.22</v>
      </c>
      <c r="F32" s="14">
        <v>0.22</v>
      </c>
      <c r="G32" s="14">
        <v>0.22</v>
      </c>
      <c r="H32" s="14">
        <v>0.22</v>
      </c>
      <c r="I32" s="14">
        <v>0.22</v>
      </c>
      <c r="J32" s="30"/>
      <c r="K32" s="79" t="str">
        <f t="shared" si="3"/>
        <v>Elektritootmisstsenaariumid</v>
      </c>
      <c r="L32" s="247"/>
      <c r="M32" s="79" t="str">
        <f t="shared" si="4"/>
        <v>Elektritoomistsenaariumite tulemuste võrdlus</v>
      </c>
    </row>
    <row r="33" spans="1:14" s="4" customFormat="1" x14ac:dyDescent="0.2">
      <c r="A33" s="530"/>
      <c r="B33" s="33"/>
      <c r="C33" s="3" t="s">
        <v>87</v>
      </c>
      <c r="D33" s="4" t="s">
        <v>27</v>
      </c>
      <c r="E33" s="14">
        <v>0.12</v>
      </c>
      <c r="F33" s="14">
        <v>0.12</v>
      </c>
      <c r="G33" s="14">
        <v>0.09</v>
      </c>
      <c r="H33" s="14"/>
      <c r="I33" s="14">
        <v>0.12</v>
      </c>
      <c r="J33" s="30"/>
      <c r="K33" s="79" t="str">
        <f t="shared" si="3"/>
        <v>Elektritootmisstsenaariumid</v>
      </c>
      <c r="L33" s="247"/>
      <c r="M33" s="79" t="str">
        <f t="shared" si="4"/>
        <v>Elektritoomistsenaariumite tulemuste võrdlus</v>
      </c>
    </row>
    <row r="34" spans="1:14" s="4" customFormat="1" x14ac:dyDescent="0.2">
      <c r="A34" s="530"/>
      <c r="B34" s="33"/>
      <c r="C34" s="3" t="s">
        <v>88</v>
      </c>
      <c r="D34" s="4" t="s">
        <v>27</v>
      </c>
      <c r="E34" s="14">
        <v>0.51</v>
      </c>
      <c r="F34" s="14">
        <v>0.51</v>
      </c>
      <c r="G34" s="14">
        <v>0.51</v>
      </c>
      <c r="H34" s="14"/>
      <c r="I34" s="14">
        <v>5.15</v>
      </c>
      <c r="J34" s="30"/>
      <c r="K34" s="79" t="str">
        <f t="shared" si="3"/>
        <v>Elektritootmisstsenaariumid</v>
      </c>
      <c r="L34" s="247"/>
      <c r="M34" s="79" t="str">
        <f t="shared" si="4"/>
        <v>Elektritoomistsenaariumite tulemuste võrdlus</v>
      </c>
    </row>
    <row r="35" spans="1:14" s="4" customFormat="1" x14ac:dyDescent="0.2">
      <c r="A35" s="530"/>
      <c r="B35" s="33"/>
      <c r="C35" s="3" t="s">
        <v>89</v>
      </c>
      <c r="D35" s="4" t="s">
        <v>27</v>
      </c>
      <c r="E35" s="14">
        <v>0</v>
      </c>
      <c r="F35" s="14">
        <v>0</v>
      </c>
      <c r="G35" s="14">
        <v>0</v>
      </c>
      <c r="H35" s="14"/>
      <c r="I35" s="14">
        <v>0.03</v>
      </c>
      <c r="J35" s="30"/>
      <c r="K35" s="79" t="str">
        <f t="shared" si="3"/>
        <v>Elektritootmisstsenaariumid</v>
      </c>
      <c r="L35" s="247"/>
      <c r="M35" s="79" t="str">
        <f t="shared" si="4"/>
        <v>Elektritoomistsenaariumite tulemuste võrdlus</v>
      </c>
    </row>
    <row r="36" spans="1:14" s="4" customFormat="1" x14ac:dyDescent="0.2">
      <c r="A36" s="530"/>
      <c r="B36" s="33"/>
      <c r="C36" s="3" t="s">
        <v>90</v>
      </c>
      <c r="D36" s="4" t="s">
        <v>27</v>
      </c>
      <c r="E36" s="14">
        <v>0.03</v>
      </c>
      <c r="F36" s="14">
        <v>0.03</v>
      </c>
      <c r="G36" s="14">
        <v>0.03</v>
      </c>
      <c r="H36" s="14">
        <v>0.03</v>
      </c>
      <c r="I36" s="14">
        <v>0.03</v>
      </c>
      <c r="J36" s="30"/>
      <c r="K36" s="79" t="str">
        <f t="shared" si="3"/>
        <v>Elektritootmisstsenaariumid</v>
      </c>
      <c r="L36" s="247"/>
      <c r="M36" s="79" t="str">
        <f t="shared" si="4"/>
        <v>Elektritoomistsenaariumite tulemuste võrdlus</v>
      </c>
    </row>
    <row r="37" spans="1:14" s="4" customFormat="1" x14ac:dyDescent="0.2">
      <c r="A37" s="530"/>
      <c r="B37" s="33"/>
      <c r="C37" s="3" t="s">
        <v>91</v>
      </c>
      <c r="D37" s="4" t="s">
        <v>27</v>
      </c>
      <c r="E37" s="14">
        <v>0.54</v>
      </c>
      <c r="F37" s="14">
        <v>0.54</v>
      </c>
      <c r="G37" s="14">
        <v>2.68</v>
      </c>
      <c r="H37" s="14">
        <v>0.54</v>
      </c>
      <c r="I37" s="14">
        <v>0.54</v>
      </c>
      <c r="J37" s="30"/>
      <c r="K37" s="79" t="str">
        <f t="shared" si="3"/>
        <v>Elektritootmisstsenaariumid</v>
      </c>
      <c r="L37" s="247"/>
      <c r="M37" s="79" t="str">
        <f t="shared" si="4"/>
        <v>Elektritoomistsenaariumite tulemuste võrdlus</v>
      </c>
    </row>
    <row r="38" spans="1:14" s="4" customFormat="1" x14ac:dyDescent="0.2">
      <c r="A38" s="530"/>
      <c r="B38" s="33"/>
      <c r="C38" s="3" t="s">
        <v>92</v>
      </c>
      <c r="D38" s="4" t="s">
        <v>27</v>
      </c>
      <c r="E38" s="14">
        <v>1.83</v>
      </c>
      <c r="F38" s="14">
        <v>1.83</v>
      </c>
      <c r="G38" s="14">
        <v>1.86</v>
      </c>
      <c r="H38" s="14">
        <v>5.22</v>
      </c>
      <c r="I38" s="14">
        <v>1.86</v>
      </c>
      <c r="J38" s="30"/>
      <c r="K38" s="79" t="str">
        <f t="shared" si="3"/>
        <v>Elektritootmisstsenaariumid</v>
      </c>
      <c r="L38" s="247"/>
      <c r="M38" s="79" t="str">
        <f t="shared" si="4"/>
        <v>Elektritoomistsenaariumite tulemuste võrdlus</v>
      </c>
    </row>
    <row r="39" spans="1:14" s="5" customFormat="1" ht="4.25" customHeight="1" x14ac:dyDescent="0.2">
      <c r="A39" s="530"/>
      <c r="B39" s="33"/>
      <c r="C39" s="6"/>
      <c r="J39" s="30"/>
      <c r="L39" s="247"/>
    </row>
    <row r="40" spans="1:14" s="4" customFormat="1" x14ac:dyDescent="0.2">
      <c r="A40" s="530"/>
      <c r="B40" s="33"/>
      <c r="C40" s="3" t="s">
        <v>172</v>
      </c>
      <c r="D40" s="4" t="s">
        <v>27</v>
      </c>
      <c r="E40" s="14">
        <v>0.86</v>
      </c>
      <c r="F40" s="14">
        <v>0.86</v>
      </c>
      <c r="G40" s="14">
        <v>0.86</v>
      </c>
      <c r="H40" s="14">
        <v>0.86</v>
      </c>
      <c r="I40" s="14">
        <v>0.86</v>
      </c>
      <c r="J40" s="30"/>
      <c r="K40" s="79" t="str">
        <f t="shared" si="3"/>
        <v>Elektritootmisstsenaariumid</v>
      </c>
      <c r="L40" s="247"/>
      <c r="M40" s="79" t="str">
        <f>HYPERLINK("https://onedrive.live.com/redir?resid=31206ECE3E1FC115!131&amp;authkey=!AON5kv7mHgv98A8&amp;ithint=file%2cxlsx","Elektritoomistsenaariumite tulemuste võrdlus")</f>
        <v>Elektritoomistsenaariumite tulemuste võrdlus</v>
      </c>
    </row>
    <row r="41" spans="1:14" s="4" customFormat="1" x14ac:dyDescent="0.2">
      <c r="A41" s="530"/>
      <c r="B41" s="33"/>
      <c r="C41" s="3" t="s">
        <v>93</v>
      </c>
      <c r="D41" s="4" t="s">
        <v>27</v>
      </c>
      <c r="E41" s="14">
        <v>0.05</v>
      </c>
      <c r="F41" s="14">
        <v>0.05</v>
      </c>
      <c r="G41" s="14">
        <v>0.05</v>
      </c>
      <c r="H41" s="14">
        <v>0.05</v>
      </c>
      <c r="I41" s="14">
        <v>0.05</v>
      </c>
      <c r="J41" s="30"/>
      <c r="K41" s="79" t="str">
        <f t="shared" si="3"/>
        <v>Elektritootmisstsenaariumid</v>
      </c>
      <c r="L41" s="247"/>
      <c r="M41" s="79" t="str">
        <f t="shared" ref="M41:M48" si="5">HYPERLINK("https://onedrive.live.com/redir?resid=31206ECE3E1FC115!131&amp;authkey=!AON5kv7mHgv98A8&amp;ithint=file%2cxlsx","Elektritoomistsenaariumite tulemuste võrdlus")</f>
        <v>Elektritoomistsenaariumite tulemuste võrdlus</v>
      </c>
      <c r="N41" s="29"/>
    </row>
    <row r="42" spans="1:14" s="4" customFormat="1" x14ac:dyDescent="0.2">
      <c r="A42" s="530"/>
      <c r="B42" s="33"/>
      <c r="C42" s="3" t="s">
        <v>94</v>
      </c>
      <c r="D42" s="4" t="s">
        <v>27</v>
      </c>
      <c r="E42" s="14">
        <v>9.24</v>
      </c>
      <c r="F42" s="14">
        <v>9.25</v>
      </c>
      <c r="G42" s="14">
        <v>9.19</v>
      </c>
      <c r="H42" s="14">
        <v>0</v>
      </c>
      <c r="I42" s="14">
        <v>4.59</v>
      </c>
      <c r="J42" s="30"/>
      <c r="K42" s="79" t="str">
        <f t="shared" si="3"/>
        <v>Elektritootmisstsenaariumid</v>
      </c>
      <c r="L42" s="247"/>
      <c r="M42" s="79" t="str">
        <f t="shared" si="5"/>
        <v>Elektritoomistsenaariumite tulemuste võrdlus</v>
      </c>
      <c r="N42" s="29"/>
    </row>
    <row r="43" spans="1:14" s="4" customFormat="1" x14ac:dyDescent="0.2">
      <c r="A43" s="530"/>
      <c r="B43" s="33"/>
      <c r="C43" s="3" t="s">
        <v>95</v>
      </c>
      <c r="D43" s="4" t="s">
        <v>27</v>
      </c>
      <c r="E43" s="14">
        <v>0.51</v>
      </c>
      <c r="F43" s="14">
        <v>0.51</v>
      </c>
      <c r="G43" s="14">
        <v>0.51</v>
      </c>
      <c r="H43" s="14">
        <v>0</v>
      </c>
      <c r="I43" s="14">
        <v>0.51</v>
      </c>
      <c r="J43" s="30"/>
      <c r="K43" s="79" t="str">
        <f t="shared" si="3"/>
        <v>Elektritootmisstsenaariumid</v>
      </c>
      <c r="L43" s="247"/>
      <c r="M43" s="79" t="str">
        <f t="shared" si="5"/>
        <v>Elektritoomistsenaariumite tulemuste võrdlus</v>
      </c>
      <c r="N43" s="29"/>
    </row>
    <row r="44" spans="1:14" s="4" customFormat="1" x14ac:dyDescent="0.2">
      <c r="A44" s="530"/>
      <c r="B44" s="33"/>
      <c r="C44" s="3" t="s">
        <v>96</v>
      </c>
      <c r="D44" s="4" t="s">
        <v>27</v>
      </c>
      <c r="E44" s="14">
        <v>0.79</v>
      </c>
      <c r="F44" s="14">
        <v>0.79</v>
      </c>
      <c r="G44" s="14">
        <v>0.79</v>
      </c>
      <c r="H44" s="14">
        <v>0.79</v>
      </c>
      <c r="I44" s="14">
        <v>0.79</v>
      </c>
      <c r="J44" s="30"/>
      <c r="K44" s="79" t="str">
        <f t="shared" si="3"/>
        <v>Elektritootmisstsenaariumid</v>
      </c>
      <c r="L44" s="247"/>
      <c r="M44" s="79" t="str">
        <f t="shared" si="5"/>
        <v>Elektritoomistsenaariumite tulemuste võrdlus</v>
      </c>
      <c r="N44" s="29"/>
    </row>
    <row r="45" spans="1:14" s="4" customFormat="1" x14ac:dyDescent="0.2">
      <c r="A45" s="530"/>
      <c r="B45" s="33"/>
      <c r="C45" s="3" t="s">
        <v>97</v>
      </c>
      <c r="D45" s="4" t="s">
        <v>27</v>
      </c>
      <c r="E45" s="14">
        <v>0.28999999999999998</v>
      </c>
      <c r="F45" s="14">
        <v>0.28999999999999998</v>
      </c>
      <c r="G45" s="14">
        <v>0.22</v>
      </c>
      <c r="H45" s="14">
        <v>0</v>
      </c>
      <c r="I45" s="14">
        <v>0.28999999999999998</v>
      </c>
      <c r="J45" s="30"/>
      <c r="K45" s="79" t="str">
        <f t="shared" si="3"/>
        <v>Elektritootmisstsenaariumid</v>
      </c>
      <c r="L45" s="247"/>
      <c r="M45" s="79" t="str">
        <f t="shared" si="5"/>
        <v>Elektritoomistsenaariumite tulemuste võrdlus</v>
      </c>
      <c r="N45" s="29"/>
    </row>
    <row r="46" spans="1:14" s="4" customFormat="1" x14ac:dyDescent="0.2">
      <c r="A46" s="530"/>
      <c r="B46" s="33"/>
      <c r="C46" s="3" t="s">
        <v>98</v>
      </c>
      <c r="D46" s="4" t="s">
        <v>27</v>
      </c>
      <c r="E46" s="14">
        <v>1.88</v>
      </c>
      <c r="F46" s="14">
        <v>1.88</v>
      </c>
      <c r="G46" s="14">
        <v>1.88</v>
      </c>
      <c r="H46" s="14">
        <v>0</v>
      </c>
      <c r="I46" s="14">
        <v>12.18</v>
      </c>
      <c r="J46" s="30"/>
      <c r="K46" s="79" t="str">
        <f t="shared" si="3"/>
        <v>Elektritootmisstsenaariumid</v>
      </c>
      <c r="L46" s="247"/>
      <c r="M46" s="79" t="str">
        <f t="shared" si="5"/>
        <v>Elektritoomistsenaariumite tulemuste võrdlus</v>
      </c>
      <c r="N46" s="29"/>
    </row>
    <row r="47" spans="1:14" s="4" customFormat="1" x14ac:dyDescent="0.2">
      <c r="A47" s="530"/>
      <c r="B47" s="33"/>
      <c r="C47" s="3" t="s">
        <v>99</v>
      </c>
      <c r="D47" s="4" t="s">
        <v>27</v>
      </c>
      <c r="E47" s="14">
        <v>0</v>
      </c>
      <c r="F47" s="14">
        <v>0</v>
      </c>
      <c r="G47" s="14">
        <v>0</v>
      </c>
      <c r="H47" s="14">
        <v>0</v>
      </c>
      <c r="I47" s="14">
        <v>0.12</v>
      </c>
      <c r="J47" s="30"/>
      <c r="K47" s="79" t="str">
        <f t="shared" si="3"/>
        <v>Elektritootmisstsenaariumid</v>
      </c>
      <c r="L47" s="247"/>
      <c r="M47" s="79" t="str">
        <f t="shared" si="5"/>
        <v>Elektritoomistsenaariumite tulemuste võrdlus</v>
      </c>
      <c r="N47" s="29"/>
    </row>
    <row r="48" spans="1:14" s="4" customFormat="1" x14ac:dyDescent="0.2">
      <c r="A48" s="530"/>
      <c r="B48" s="33"/>
      <c r="C48" s="3" t="s">
        <v>100</v>
      </c>
      <c r="D48" s="4" t="s">
        <v>27</v>
      </c>
      <c r="E48" s="14">
        <v>4.96</v>
      </c>
      <c r="F48" s="14">
        <v>4.97</v>
      </c>
      <c r="G48" s="14">
        <v>5.05</v>
      </c>
      <c r="H48" s="14">
        <v>14.23</v>
      </c>
      <c r="I48" s="14">
        <v>5.19</v>
      </c>
      <c r="J48" s="30"/>
      <c r="K48" s="79" t="str">
        <f t="shared" si="3"/>
        <v>Elektritootmisstsenaariumid</v>
      </c>
      <c r="L48" s="247"/>
      <c r="M48" s="79" t="str">
        <f t="shared" si="5"/>
        <v>Elektritoomistsenaariumite tulemuste võrdlus</v>
      </c>
    </row>
    <row r="49" spans="1:13" s="30" customFormat="1" ht="4.25" customHeight="1" x14ac:dyDescent="0.2">
      <c r="A49" s="33"/>
      <c r="B49" s="33"/>
      <c r="C49" s="31"/>
      <c r="L49" s="247"/>
    </row>
    <row r="50" spans="1:13" s="29" customFormat="1" x14ac:dyDescent="0.2">
      <c r="A50" s="361"/>
      <c r="B50" s="33"/>
      <c r="C50" s="28" t="s">
        <v>736</v>
      </c>
      <c r="D50" s="29" t="s">
        <v>27</v>
      </c>
      <c r="E50" s="40">
        <f>SUM(E7,E8,E10,E11,E12)</f>
        <v>6.012827991027228</v>
      </c>
      <c r="F50" s="40">
        <f t="shared" ref="F50:I50" si="6">SUM(F7,F8,F10,F11,F12)</f>
        <v>6.0128279910272253</v>
      </c>
      <c r="G50" s="40">
        <f t="shared" si="6"/>
        <v>6.011750640646909</v>
      </c>
      <c r="H50" s="40">
        <f t="shared" si="6"/>
        <v>0</v>
      </c>
      <c r="I50" s="40">
        <f t="shared" si="6"/>
        <v>11.189888530766083</v>
      </c>
      <c r="J50" s="15"/>
      <c r="L50" s="247"/>
    </row>
    <row r="51" spans="1:13" s="29" customFormat="1" x14ac:dyDescent="0.2">
      <c r="A51" s="361"/>
      <c r="B51" s="33"/>
      <c r="C51" s="28" t="s">
        <v>737</v>
      </c>
      <c r="D51" s="29" t="s">
        <v>27</v>
      </c>
      <c r="E51" s="40">
        <f>SUM(E4:E6,E9,E13,E14,E15,E9,E13,E14)</f>
        <v>3.4467619395011728</v>
      </c>
      <c r="F51" s="40">
        <f t="shared" ref="F51:I51" si="7">SUM(F4:F6,F9,F13,F14,F15,F9,F13,F14)</f>
        <v>3.4467619395011728</v>
      </c>
      <c r="G51" s="40">
        <f t="shared" si="7"/>
        <v>3.4528686473995491</v>
      </c>
      <c r="H51" s="40">
        <f t="shared" si="7"/>
        <v>7.5434676424145266</v>
      </c>
      <c r="I51" s="40">
        <f t="shared" si="7"/>
        <v>2.9930837725682502</v>
      </c>
      <c r="J51" s="15"/>
      <c r="L51" s="247"/>
    </row>
    <row r="52" spans="1:13" s="29" customFormat="1" x14ac:dyDescent="0.2">
      <c r="A52" s="361"/>
      <c r="B52" s="33"/>
      <c r="C52" s="28" t="s">
        <v>732</v>
      </c>
      <c r="D52" s="29" t="s">
        <v>27</v>
      </c>
      <c r="E52" s="40">
        <f>SUM(E19:E20,E23,E24)</f>
        <v>16.696842454045285</v>
      </c>
      <c r="F52" s="40">
        <f t="shared" ref="F52:I52" si="8">SUM(F19:F20,F23,F24)</f>
        <v>16.696842454045278</v>
      </c>
      <c r="G52" s="40">
        <f t="shared" si="8"/>
        <v>16.698003292263255</v>
      </c>
      <c r="H52" s="40">
        <f t="shared" si="8"/>
        <v>0</v>
      </c>
      <c r="I52" s="40">
        <f t="shared" si="8"/>
        <v>31.320151963501509</v>
      </c>
      <c r="J52" s="15"/>
      <c r="L52" s="247"/>
    </row>
    <row r="53" spans="1:13" s="29" customFormat="1" x14ac:dyDescent="0.2">
      <c r="A53" s="361"/>
      <c r="B53" s="33"/>
      <c r="C53" s="28" t="s">
        <v>733</v>
      </c>
      <c r="D53" s="29" t="s">
        <v>27</v>
      </c>
      <c r="E53" s="40">
        <f>SUM(E14,E13,E4,E17,E18,E21)</f>
        <v>1.978138471468045</v>
      </c>
      <c r="F53" s="40">
        <f t="shared" ref="F53:I53" si="9">SUM(F14,F13,F4,F17,F18,F21)</f>
        <v>1.978138471468045</v>
      </c>
      <c r="G53" s="40">
        <f t="shared" si="9"/>
        <v>1.9781226721498451</v>
      </c>
      <c r="H53" s="40">
        <f>SUM(H14,H13,H4,H17,H18,H21)-G25+H25</f>
        <v>13.161092850474651</v>
      </c>
      <c r="I53" s="40">
        <f t="shared" si="9"/>
        <v>1.9775277139741063</v>
      </c>
      <c r="J53" s="15"/>
      <c r="L53" s="247"/>
    </row>
    <row r="54" spans="1:13" s="29" customFormat="1" x14ac:dyDescent="0.2">
      <c r="A54" s="361"/>
      <c r="B54" s="33"/>
      <c r="C54" s="28" t="s">
        <v>734</v>
      </c>
      <c r="D54" s="29" t="s">
        <v>27</v>
      </c>
      <c r="E54" s="40">
        <f>SUM(E4,E14,E13)</f>
        <v>0.84929019999999866</v>
      </c>
      <c r="F54" s="40">
        <f t="shared" ref="F54:I54" si="10">SUM(F4,F14,F13)</f>
        <v>0.84929019999999866</v>
      </c>
      <c r="G54" s="40">
        <f t="shared" si="10"/>
        <v>0.84929019999999866</v>
      </c>
      <c r="H54" s="40">
        <f t="shared" si="10"/>
        <v>0.84929019999999866</v>
      </c>
      <c r="I54" s="40">
        <f t="shared" si="10"/>
        <v>0.84929019999999866</v>
      </c>
      <c r="J54" s="15"/>
      <c r="L54" s="247"/>
    </row>
    <row r="55" spans="1:13" s="29" customFormat="1" x14ac:dyDescent="0.2">
      <c r="A55" s="361"/>
      <c r="B55" s="33"/>
      <c r="C55" s="28"/>
      <c r="E55" s="40"/>
      <c r="F55" s="40"/>
      <c r="G55" s="40"/>
      <c r="H55" s="40"/>
      <c r="I55" s="40"/>
      <c r="J55" s="15"/>
      <c r="L55" s="247"/>
    </row>
    <row r="56" spans="1:13" s="29" customFormat="1" x14ac:dyDescent="0.2">
      <c r="A56" s="361"/>
      <c r="B56" s="33"/>
      <c r="C56" s="28" t="s">
        <v>735</v>
      </c>
      <c r="D56" s="29" t="s">
        <v>27</v>
      </c>
      <c r="E56" s="40">
        <f>SUM(E30,E31,E35,E34,E33)</f>
        <v>4.25</v>
      </c>
      <c r="F56" s="40">
        <f t="shared" ref="F56:I56" si="11">SUM(F30,F31,F35,F34,F33)</f>
        <v>4.25</v>
      </c>
      <c r="G56" s="40">
        <f t="shared" si="11"/>
        <v>4.2</v>
      </c>
      <c r="H56" s="40">
        <f t="shared" si="11"/>
        <v>0</v>
      </c>
      <c r="I56" s="40">
        <f t="shared" si="11"/>
        <v>7.41</v>
      </c>
      <c r="J56" s="15"/>
      <c r="L56" s="247"/>
    </row>
    <row r="57" spans="1:13" s="29" customFormat="1" x14ac:dyDescent="0.2">
      <c r="A57" s="361"/>
      <c r="B57" s="33"/>
      <c r="C57" s="28" t="s">
        <v>738</v>
      </c>
      <c r="D57" s="29" t="s">
        <v>27</v>
      </c>
      <c r="E57" s="40">
        <f>SUM(E27:E29,E32,E36,E37,E38)</f>
        <v>2.93</v>
      </c>
      <c r="F57" s="40">
        <f t="shared" ref="F57:I57" si="12">SUM(F27:F29,F32,F36,F37,F38)</f>
        <v>2.93</v>
      </c>
      <c r="G57" s="40">
        <f t="shared" si="12"/>
        <v>5.1000000000000005</v>
      </c>
      <c r="H57" s="40">
        <f t="shared" si="12"/>
        <v>6.32</v>
      </c>
      <c r="I57" s="40">
        <f t="shared" si="12"/>
        <v>2.96</v>
      </c>
      <c r="J57" s="15"/>
      <c r="L57" s="247"/>
    </row>
    <row r="58" spans="1:13" s="29" customFormat="1" x14ac:dyDescent="0.2">
      <c r="A58" s="45"/>
      <c r="B58" s="33"/>
      <c r="C58" s="28" t="s">
        <v>175</v>
      </c>
      <c r="D58" s="29" t="s">
        <v>27</v>
      </c>
      <c r="E58" s="40">
        <f>SUM(E42,E43,E46,E47)</f>
        <v>11.629999999999999</v>
      </c>
      <c r="F58" s="40">
        <f t="shared" ref="F58:I58" si="13">SUM(F42,F43,F46,F47)</f>
        <v>11.64</v>
      </c>
      <c r="G58" s="40">
        <f t="shared" si="13"/>
        <v>11.579999999999998</v>
      </c>
      <c r="H58" s="40">
        <f t="shared" si="13"/>
        <v>0</v>
      </c>
      <c r="I58" s="40">
        <f t="shared" si="13"/>
        <v>17.400000000000002</v>
      </c>
      <c r="J58" s="15"/>
      <c r="K58" s="29" t="s">
        <v>223</v>
      </c>
      <c r="L58" s="247"/>
    </row>
    <row r="59" spans="1:13" s="29" customFormat="1" x14ac:dyDescent="0.2">
      <c r="A59" s="45"/>
      <c r="B59" s="33"/>
      <c r="C59" s="28" t="s">
        <v>176</v>
      </c>
      <c r="D59" s="29" t="s">
        <v>27</v>
      </c>
      <c r="E59" s="40">
        <f>SUM(E27,E36,E37)+SUM(E40,E41,E44)</f>
        <v>2.3100000000000005</v>
      </c>
      <c r="F59" s="40">
        <f t="shared" ref="F59:G59" si="14">SUM(F27,F36,F37)+SUM(F40,F41,F44)</f>
        <v>2.3100000000000005</v>
      </c>
      <c r="G59" s="40">
        <f t="shared" si="14"/>
        <v>4.45</v>
      </c>
      <c r="H59" s="40">
        <f>SUM(H27,H36,H37)+SUM(H40,H41,H44)+H48-G48</f>
        <v>11.489999999999998</v>
      </c>
      <c r="I59" s="40">
        <f>SUM(I27,I36,I37)+SUM(I40,I41,I44)</f>
        <v>2.3100000000000005</v>
      </c>
      <c r="J59" s="15"/>
      <c r="K59" s="29" t="s">
        <v>223</v>
      </c>
      <c r="L59" s="247"/>
    </row>
    <row r="60" spans="1:13" s="29" customFormat="1" x14ac:dyDescent="0.2">
      <c r="A60" s="45"/>
      <c r="B60" s="33"/>
      <c r="C60" s="28" t="s">
        <v>173</v>
      </c>
      <c r="D60" s="29" t="s">
        <v>27</v>
      </c>
      <c r="E60" s="40">
        <f>SUM(E42)</f>
        <v>9.24</v>
      </c>
      <c r="F60" s="40">
        <f>SUM(F42)</f>
        <v>9.25</v>
      </c>
      <c r="G60" s="40">
        <f>SUM(G42)</f>
        <v>9.19</v>
      </c>
      <c r="H60" s="40">
        <f>SUM(H42)</f>
        <v>0</v>
      </c>
      <c r="I60" s="40">
        <f>SUM(I42)</f>
        <v>4.59</v>
      </c>
      <c r="J60" s="15"/>
      <c r="K60" s="29" t="s">
        <v>223</v>
      </c>
      <c r="L60" s="247"/>
    </row>
    <row r="61" spans="1:13" s="29" customFormat="1" x14ac:dyDescent="0.2">
      <c r="A61" s="45"/>
      <c r="B61" s="33"/>
      <c r="C61" s="28" t="s">
        <v>203</v>
      </c>
      <c r="D61" s="29" t="s">
        <v>27</v>
      </c>
      <c r="E61" s="29">
        <v>2.78</v>
      </c>
      <c r="F61" s="29">
        <v>2.78</v>
      </c>
      <c r="G61" s="29">
        <v>0.66</v>
      </c>
      <c r="H61" s="29">
        <v>3.65</v>
      </c>
      <c r="I61" s="29">
        <v>-0.41</v>
      </c>
      <c r="J61" s="30"/>
      <c r="K61" s="79" t="str">
        <f t="shared" ref="K61" si="15">HYPERLINK("http://www.energiatalgud.ee/index.php?title=Elektritootmise_ja_-v%C3%B5rkude_ENMAK_stsenaariumid","Elektritootmisstsenaariumid")</f>
        <v>Elektritootmisstsenaariumid</v>
      </c>
      <c r="L61" s="247"/>
      <c r="M61" s="79" t="str">
        <f t="shared" ref="M61" si="16">HYPERLINK("https://onedrive.live.com/redir?resid=31206ECE3E1FC115!131&amp;authkey=!AON5kv7mHgv98A8&amp;ithint=file%2cxlsx","Elektritoomistsenaariumite tulemuste võrdlus")</f>
        <v>Elektritoomistsenaariumite tulemuste võrdlus</v>
      </c>
    </row>
    <row r="62" spans="1:13" s="29" customFormat="1" x14ac:dyDescent="0.2">
      <c r="A62" s="301"/>
      <c r="B62" s="33"/>
      <c r="C62" s="28" t="s">
        <v>602</v>
      </c>
      <c r="D62" s="29" t="s">
        <v>27</v>
      </c>
      <c r="E62" s="40">
        <f>SUM(E27,E36,E37)</f>
        <v>0.6100000000000001</v>
      </c>
      <c r="F62" s="40">
        <f>SUM(F27,F36,F37)</f>
        <v>0.6100000000000001</v>
      </c>
      <c r="G62" s="40">
        <f>SUM(G27,G36,G37)</f>
        <v>2.75</v>
      </c>
      <c r="H62" s="40">
        <f>SUM(H27,H36,H37)</f>
        <v>0.6100000000000001</v>
      </c>
      <c r="I62" s="40">
        <f>SUM(I27,I36,I37)</f>
        <v>0.6100000000000001</v>
      </c>
      <c r="J62" s="30"/>
      <c r="K62" s="29" t="s">
        <v>223</v>
      </c>
      <c r="L62" s="247"/>
      <c r="M62" s="79"/>
    </row>
    <row r="63" spans="1:13" s="29" customFormat="1" x14ac:dyDescent="0.2">
      <c r="A63" s="301"/>
      <c r="B63" s="33"/>
      <c r="C63" s="28" t="s">
        <v>580</v>
      </c>
      <c r="D63" s="29" t="s">
        <v>27</v>
      </c>
      <c r="E63" s="40">
        <f>SUM(E40)</f>
        <v>0.86</v>
      </c>
      <c r="F63" s="40">
        <f>SUM(F40)</f>
        <v>0.86</v>
      </c>
      <c r="G63" s="40">
        <f>SUM(G40)</f>
        <v>0.86</v>
      </c>
      <c r="H63" s="40">
        <f>SUM(H40)+H48-G48</f>
        <v>10.039999999999999</v>
      </c>
      <c r="I63" s="40">
        <f>SUM(I40)</f>
        <v>0.86</v>
      </c>
      <c r="J63" s="30"/>
      <c r="K63" s="29" t="s">
        <v>223</v>
      </c>
      <c r="L63" s="247"/>
      <c r="M63" s="79"/>
    </row>
    <row r="64" spans="1:13" s="29" customFormat="1" x14ac:dyDescent="0.2">
      <c r="A64" s="301"/>
      <c r="B64" s="33"/>
      <c r="C64" s="28" t="s">
        <v>581</v>
      </c>
      <c r="D64" s="29" t="s">
        <v>579</v>
      </c>
      <c r="E64" s="40">
        <f>SUM(E40)/2</f>
        <v>0.43</v>
      </c>
      <c r="F64" s="40">
        <f>SUM(F40)/2</f>
        <v>0.43</v>
      </c>
      <c r="G64" s="40">
        <f>SUM(G40)/2</f>
        <v>0.43</v>
      </c>
      <c r="H64" s="40">
        <f>(H40+H48-G48)/2</f>
        <v>5.0199999999999996</v>
      </c>
      <c r="I64" s="40">
        <f>SUM(I40)/2</f>
        <v>0.43</v>
      </c>
      <c r="J64" s="30"/>
      <c r="K64" s="29" t="s">
        <v>223</v>
      </c>
      <c r="L64" s="247"/>
      <c r="M64" s="79"/>
    </row>
    <row r="65" spans="1:16" s="29" customFormat="1" hidden="1" x14ac:dyDescent="0.2">
      <c r="A65" s="301"/>
      <c r="B65" s="33"/>
      <c r="C65" s="28" t="s">
        <v>518</v>
      </c>
      <c r="D65" s="29" t="s">
        <v>578</v>
      </c>
      <c r="J65" s="30"/>
      <c r="K65" s="29" t="s">
        <v>223</v>
      </c>
      <c r="L65" s="247"/>
      <c r="M65" s="79"/>
    </row>
    <row r="66" spans="1:16" s="29" customFormat="1" x14ac:dyDescent="0.2">
      <c r="A66" s="309"/>
      <c r="B66" s="33"/>
      <c r="C66" s="28"/>
      <c r="J66" s="30"/>
      <c r="L66" s="247"/>
      <c r="M66" s="79"/>
    </row>
    <row r="67" spans="1:16" s="29" customFormat="1" x14ac:dyDescent="0.2">
      <c r="A67" s="309"/>
      <c r="B67" s="33"/>
      <c r="C67" s="28" t="s">
        <v>604</v>
      </c>
      <c r="D67" s="29" t="s">
        <v>27</v>
      </c>
      <c r="E67" s="40">
        <f>SUM(E46,E47,E43)</f>
        <v>2.3899999999999997</v>
      </c>
      <c r="F67" s="40">
        <f>SUM(F46,F47,F43)</f>
        <v>2.3899999999999997</v>
      </c>
      <c r="G67" s="40">
        <f>SUM(G46,G47,G43)</f>
        <v>2.3899999999999997</v>
      </c>
      <c r="H67" s="40">
        <f>SUM(H46,H47,H43)</f>
        <v>0</v>
      </c>
      <c r="I67" s="40">
        <f>SUM(I46,I47,I43)</f>
        <v>12.809999999999999</v>
      </c>
      <c r="J67" s="30"/>
      <c r="L67" s="247"/>
      <c r="M67" s="79"/>
    </row>
    <row r="68" spans="1:16" s="29" customFormat="1" x14ac:dyDescent="0.2">
      <c r="A68" s="309"/>
      <c r="B68" s="33"/>
      <c r="C68" s="28" t="s">
        <v>605</v>
      </c>
      <c r="D68" s="29" t="s">
        <v>27</v>
      </c>
      <c r="E68" s="40">
        <f>SUM(E40:E47,E62)-E67-E45+E61</f>
        <v>14.329999999999997</v>
      </c>
      <c r="F68" s="40">
        <f>SUM(F40:F47,F62)-F67-F45+F61</f>
        <v>14.339999999999998</v>
      </c>
      <c r="G68" s="40">
        <f>SUM(G40:G47,G62)-G67-G45+G61</f>
        <v>14.299999999999999</v>
      </c>
      <c r="H68" s="40">
        <f>SUM(H41:H47,H62)-H67-H45+H61+H63</f>
        <v>15.139999999999999</v>
      </c>
      <c r="I68" s="40">
        <f>SUM(I40:I47,I62)-I67-I45</f>
        <v>6.9000000000000012</v>
      </c>
      <c r="J68" s="30"/>
      <c r="L68" s="247"/>
      <c r="M68" s="79"/>
    </row>
    <row r="69" spans="1:16" s="29" customFormat="1" x14ac:dyDescent="0.2">
      <c r="A69" s="72"/>
      <c r="B69" s="33"/>
      <c r="C69" s="28" t="s">
        <v>258</v>
      </c>
      <c r="D69" s="29" t="s">
        <v>21</v>
      </c>
      <c r="E69" s="73">
        <f>MIN(1,1-(E61/SUM(E27:E38,E61)))</f>
        <v>0.72088353413654627</v>
      </c>
      <c r="F69" s="73">
        <f>MIN(1,1-(F61/SUM(F27:F38,F61)))</f>
        <v>0.72088353413654627</v>
      </c>
      <c r="G69" s="73">
        <f>MIN(1,1-(G61/SUM(G27:G38,G61)))</f>
        <v>0.9337349397590361</v>
      </c>
      <c r="H69" s="73">
        <f>MIN(1,1-(H61/SUM(H27:H38,H61)))</f>
        <v>0.63390170511534605</v>
      </c>
      <c r="I69" s="73">
        <f>MIN(1,1-(I61/SUM(I27:I38,I61)))</f>
        <v>1</v>
      </c>
      <c r="J69" s="30"/>
      <c r="K69" s="29" t="s">
        <v>223</v>
      </c>
      <c r="L69" s="247"/>
    </row>
    <row r="70" spans="1:16" s="5" customFormat="1" ht="4.25" customHeight="1" x14ac:dyDescent="0.2">
      <c r="A70" s="8"/>
      <c r="B70" s="33"/>
      <c r="C70" s="6"/>
      <c r="J70" s="30"/>
      <c r="L70" s="247"/>
    </row>
    <row r="71" spans="1:16" s="18" customFormat="1" x14ac:dyDescent="0.2">
      <c r="A71" s="531" t="s">
        <v>23</v>
      </c>
      <c r="B71" s="37"/>
      <c r="C71" s="17" t="s">
        <v>121</v>
      </c>
      <c r="D71" s="18" t="s">
        <v>13</v>
      </c>
      <c r="E71" s="103">
        <f>SUM(E72:E73)</f>
        <v>-10023.25878756674</v>
      </c>
      <c r="F71" s="103">
        <f t="shared" ref="F71:I71" si="17">SUM(F72:F73)</f>
        <v>-10023.703603913709</v>
      </c>
      <c r="G71" s="103">
        <f t="shared" si="17"/>
        <v>-11090.029162552779</v>
      </c>
      <c r="H71" s="103">
        <f t="shared" si="17"/>
        <v>-10806.87242925753</v>
      </c>
      <c r="I71" s="103">
        <f t="shared" si="17"/>
        <v>-10176.208448876179</v>
      </c>
      <c r="J71" s="33"/>
      <c r="K71" s="18" t="s">
        <v>223</v>
      </c>
      <c r="L71" s="248"/>
      <c r="M71" s="43"/>
      <c r="N71" s="43"/>
      <c r="O71" s="43"/>
      <c r="P71" s="43"/>
    </row>
    <row r="72" spans="1:16" s="2" customFormat="1" x14ac:dyDescent="0.2">
      <c r="A72" s="531"/>
      <c r="B72" s="37"/>
      <c r="C72" s="10" t="s">
        <v>110</v>
      </c>
      <c r="D72" s="2" t="s">
        <v>13</v>
      </c>
      <c r="E72" s="102">
        <v>-2988.1875</v>
      </c>
      <c r="F72" s="102">
        <v>-2988.1875</v>
      </c>
      <c r="G72" s="102">
        <v>-3996.9375</v>
      </c>
      <c r="H72" s="102">
        <v>-4649.3249999999998</v>
      </c>
      <c r="I72" s="102">
        <v>-3167.2125000000001</v>
      </c>
      <c r="J72" s="30"/>
      <c r="K72" s="2" t="s">
        <v>223</v>
      </c>
      <c r="L72" s="248"/>
      <c r="M72" s="91" t="s">
        <v>407</v>
      </c>
      <c r="N72" s="43"/>
      <c r="O72" s="43"/>
      <c r="P72" s="43"/>
    </row>
    <row r="73" spans="1:16" s="2" customFormat="1" x14ac:dyDescent="0.2">
      <c r="A73" s="531"/>
      <c r="B73" s="37"/>
      <c r="C73" s="10" t="s">
        <v>111</v>
      </c>
      <c r="D73" s="2" t="s">
        <v>13</v>
      </c>
      <c r="E73" s="102">
        <v>-7035.0712875667396</v>
      </c>
      <c r="F73" s="102">
        <v>-7035.5161039137101</v>
      </c>
      <c r="G73" s="102">
        <v>-7093.0916625527798</v>
      </c>
      <c r="H73" s="102">
        <v>-6157.54742925753</v>
      </c>
      <c r="I73" s="102">
        <v>-7008.9959488761797</v>
      </c>
      <c r="J73" s="108"/>
      <c r="K73" s="2" t="s">
        <v>223</v>
      </c>
      <c r="L73" s="248"/>
      <c r="M73" s="91" t="s">
        <v>407</v>
      </c>
      <c r="N73" s="43"/>
      <c r="O73" s="43"/>
      <c r="P73" s="43"/>
    </row>
    <row r="74" spans="1:16" s="2" customFormat="1" x14ac:dyDescent="0.2">
      <c r="A74" s="531"/>
      <c r="B74" s="37"/>
      <c r="C74" s="19" t="s">
        <v>210</v>
      </c>
      <c r="D74" s="2" t="s">
        <v>13</v>
      </c>
      <c r="E74" s="116">
        <v>0</v>
      </c>
      <c r="F74" s="92">
        <v>0</v>
      </c>
      <c r="G74" s="116">
        <v>0</v>
      </c>
      <c r="H74" s="117">
        <v>0</v>
      </c>
      <c r="I74" s="92">
        <v>0</v>
      </c>
      <c r="J74" s="108"/>
      <c r="L74" s="248"/>
      <c r="M74" s="91"/>
      <c r="N74" s="43"/>
      <c r="O74" s="43"/>
      <c r="P74" s="43"/>
    </row>
    <row r="75" spans="1:16" s="5" customFormat="1" ht="5.5" customHeight="1" x14ac:dyDescent="0.2">
      <c r="A75" s="531"/>
      <c r="B75" s="37"/>
      <c r="C75" s="6"/>
      <c r="J75" s="30"/>
      <c r="L75" s="247"/>
    </row>
    <row r="76" spans="1:16" s="2" customFormat="1" ht="16.25" customHeight="1" x14ac:dyDescent="0.2">
      <c r="A76" s="531"/>
      <c r="B76" s="37"/>
      <c r="C76" s="1"/>
      <c r="E76" s="9"/>
      <c r="F76" s="9"/>
      <c r="G76" s="9"/>
      <c r="H76" s="9"/>
      <c r="I76" s="9"/>
      <c r="J76" s="30"/>
      <c r="L76" s="247"/>
    </row>
    <row r="77" spans="1:16" s="2" customFormat="1" x14ac:dyDescent="0.2">
      <c r="A77" s="531"/>
      <c r="B77" s="37"/>
      <c r="C77" s="1"/>
      <c r="E77" s="9"/>
      <c r="F77" s="9"/>
      <c r="G77" s="9"/>
      <c r="H77" s="9"/>
      <c r="I77" s="9"/>
      <c r="J77" s="30"/>
      <c r="L77" s="247"/>
    </row>
    <row r="78" spans="1:16" s="2" customFormat="1" x14ac:dyDescent="0.2">
      <c r="A78" s="531"/>
      <c r="B78" s="37"/>
      <c r="C78" s="1" t="s">
        <v>212</v>
      </c>
      <c r="D78" s="2" t="s">
        <v>13</v>
      </c>
      <c r="E78" s="92">
        <f>-1595</f>
        <v>-1595</v>
      </c>
      <c r="F78" s="92">
        <f>-1596</f>
        <v>-1596</v>
      </c>
      <c r="G78" s="92">
        <f>-1591</f>
        <v>-1591</v>
      </c>
      <c r="H78" s="92">
        <f>-308</f>
        <v>-308</v>
      </c>
      <c r="I78" s="92">
        <f>-2322</f>
        <v>-2322</v>
      </c>
      <c r="J78" s="30"/>
      <c r="K78" s="27"/>
      <c r="L78" s="247"/>
      <c r="M78" s="91" t="s">
        <v>407</v>
      </c>
    </row>
    <row r="79" spans="1:16" s="27" customFormat="1" x14ac:dyDescent="0.2">
      <c r="A79" s="531"/>
      <c r="B79" s="37"/>
      <c r="C79" s="26" t="s">
        <v>429</v>
      </c>
      <c r="D79" s="27" t="s">
        <v>365</v>
      </c>
      <c r="E79" s="90">
        <v>360</v>
      </c>
      <c r="F79" s="90">
        <v>360</v>
      </c>
      <c r="G79" s="90">
        <v>360</v>
      </c>
      <c r="H79" s="90">
        <v>407.46852356917958</v>
      </c>
      <c r="I79" s="90">
        <v>450</v>
      </c>
      <c r="J79" s="30"/>
      <c r="L79" s="247"/>
      <c r="M79" s="27" t="s">
        <v>316</v>
      </c>
    </row>
    <row r="80" spans="1:16" s="27" customFormat="1" x14ac:dyDescent="0.2">
      <c r="A80" s="531"/>
      <c r="B80" s="37"/>
      <c r="C80" s="35" t="s">
        <v>367</v>
      </c>
      <c r="D80" s="27" t="s">
        <v>365</v>
      </c>
      <c r="E80" s="90">
        <v>3729</v>
      </c>
      <c r="F80" s="90">
        <v>3761</v>
      </c>
      <c r="G80" s="90">
        <v>3728</v>
      </c>
      <c r="H80" s="90">
        <v>0</v>
      </c>
      <c r="I80" s="90">
        <v>4727</v>
      </c>
      <c r="J80" s="30"/>
      <c r="L80" s="247"/>
      <c r="M80" s="27" t="s">
        <v>316</v>
      </c>
    </row>
    <row r="81" spans="1:13" s="2" customFormat="1" x14ac:dyDescent="0.2">
      <c r="A81" s="531"/>
      <c r="B81" s="37"/>
      <c r="C81" s="26" t="s">
        <v>366</v>
      </c>
      <c r="D81" s="27" t="s">
        <v>365</v>
      </c>
      <c r="E81" s="90">
        <v>343</v>
      </c>
      <c r="F81" s="90">
        <v>343</v>
      </c>
      <c r="G81" s="90">
        <v>343</v>
      </c>
      <c r="H81" s="90">
        <v>399.76723900772163</v>
      </c>
      <c r="I81" s="90">
        <v>328.83441415287427</v>
      </c>
      <c r="J81" s="30"/>
      <c r="K81" s="80" t="str">
        <f t="shared" ref="K81" si="18">HYPERLINK("http://www.energiatalgud.ee/index.php?title=Elektritootmise_ja_-v%C3%B5rkude_ENMAK_stsenaariumid","Elektritootmisstsenaariumid")</f>
        <v>Elektritootmisstsenaariumid</v>
      </c>
      <c r="L81" s="247"/>
      <c r="M81" s="27" t="s">
        <v>316</v>
      </c>
    </row>
    <row r="82" spans="1:13" s="5" customFormat="1" ht="7.25" customHeight="1" x14ac:dyDescent="0.2">
      <c r="A82" s="8"/>
      <c r="B82" s="33"/>
      <c r="J82" s="30"/>
      <c r="L82" s="247"/>
    </row>
    <row r="83" spans="1:13" s="29" customFormat="1" ht="16.25" customHeight="1" x14ac:dyDescent="0.2">
      <c r="A83" s="245"/>
      <c r="B83" s="38"/>
      <c r="C83" s="28" t="s">
        <v>442</v>
      </c>
      <c r="D83" s="29" t="s">
        <v>446</v>
      </c>
      <c r="E83" s="136">
        <v>0</v>
      </c>
      <c r="F83" s="136">
        <v>0</v>
      </c>
      <c r="G83" s="136">
        <v>0</v>
      </c>
      <c r="H83" s="136">
        <v>0</v>
      </c>
      <c r="I83" s="136">
        <v>0</v>
      </c>
      <c r="J83" s="30"/>
      <c r="K83" s="79" t="str">
        <f t="shared" ref="K83:K86" si="19">HYPERLINK("http://www.energiatalgud.ee/index.php?title=ENMAK:Stsenaariumid#Stsenaariumite_majandusm.C3.B5ju","Stsenaariumite majandusmõju hinnang")</f>
        <v>Stsenaariumite majandusmõju hinnang</v>
      </c>
      <c r="L83" s="247"/>
      <c r="M83" s="79" t="str">
        <f t="shared" ref="M83:M86" si="20">HYPERLINK("http://www.energiatalgud.ee/img_auth.php/a/a9/ENMAK_2030%2B_stsenaariumite_majandusm%C3%B5ju_anal%C3%BC%C3%BCs._Arvutusmudel.xlsx","Majandusmõjude hinnang. Arvutusmudel")</f>
        <v>Majandusmõjude hinnang. Arvutusmudel</v>
      </c>
    </row>
    <row r="84" spans="1:13" s="29" customFormat="1" ht="16.25" customHeight="1" x14ac:dyDescent="0.2">
      <c r="A84" s="245"/>
      <c r="B84" s="38"/>
      <c r="C84" s="28" t="s">
        <v>441</v>
      </c>
      <c r="D84" s="29" t="s">
        <v>446</v>
      </c>
      <c r="E84" s="136">
        <v>2123.1456082434788</v>
      </c>
      <c r="F84" s="136">
        <f>$E84+F86</f>
        <v>2126.3040843182562</v>
      </c>
      <c r="G84" s="136">
        <f t="shared" ref="G84:I84" si="21">$E84+G86</f>
        <v>2491.4537800551052</v>
      </c>
      <c r="H84" s="136">
        <f t="shared" si="21"/>
        <v>2337.4249826583159</v>
      </c>
      <c r="I84" s="136">
        <f t="shared" si="21"/>
        <v>3822.8301153898597</v>
      </c>
      <c r="J84" s="30"/>
      <c r="K84" s="79" t="str">
        <f t="shared" si="19"/>
        <v>Stsenaariumite majandusmõju hinnang</v>
      </c>
      <c r="L84" s="247"/>
      <c r="M84" s="79" t="str">
        <f t="shared" si="20"/>
        <v>Majandusmõjude hinnang. Arvutusmudel</v>
      </c>
    </row>
    <row r="85" spans="1:13" s="29" customFormat="1" ht="16.25" customHeight="1" x14ac:dyDescent="0.2">
      <c r="A85" s="245"/>
      <c r="B85" s="38"/>
      <c r="C85" s="28" t="s">
        <v>443</v>
      </c>
      <c r="D85" s="29" t="s">
        <v>446</v>
      </c>
      <c r="E85" s="136">
        <v>0</v>
      </c>
      <c r="F85" s="136">
        <v>0</v>
      </c>
      <c r="G85" s="136">
        <v>0</v>
      </c>
      <c r="H85" s="136">
        <v>0</v>
      </c>
      <c r="I85" s="136">
        <v>0</v>
      </c>
      <c r="J85" s="30"/>
      <c r="K85" s="79" t="str">
        <f t="shared" si="19"/>
        <v>Stsenaariumite majandusmõju hinnang</v>
      </c>
      <c r="L85" s="247"/>
      <c r="M85" s="79" t="str">
        <f t="shared" si="20"/>
        <v>Majandusmõjude hinnang. Arvutusmudel</v>
      </c>
    </row>
    <row r="86" spans="1:13" s="29" customFormat="1" ht="16.25" customHeight="1" x14ac:dyDescent="0.2">
      <c r="A86" s="245"/>
      <c r="B86" s="38"/>
      <c r="C86" s="28" t="s">
        <v>444</v>
      </c>
      <c r="D86" s="29" t="s">
        <v>446</v>
      </c>
      <c r="E86" s="136">
        <v>0</v>
      </c>
      <c r="F86" s="136">
        <v>3.1584760747774325</v>
      </c>
      <c r="G86" s="136">
        <v>368.30817181162638</v>
      </c>
      <c r="H86" s="136">
        <v>214.27937441483704</v>
      </c>
      <c r="I86" s="136">
        <v>1699.6845071463808</v>
      </c>
      <c r="J86" s="30"/>
      <c r="K86" s="79" t="str">
        <f t="shared" si="19"/>
        <v>Stsenaariumite majandusmõju hinnang</v>
      </c>
      <c r="L86" s="247"/>
      <c r="M86" s="79" t="str">
        <f t="shared" si="20"/>
        <v>Majandusmõjude hinnang. Arvutusmudel</v>
      </c>
    </row>
    <row r="87" spans="1:13" s="29" customFormat="1" ht="16.25" hidden="1" customHeight="1" x14ac:dyDescent="0.2">
      <c r="A87" s="123"/>
      <c r="B87" s="38"/>
      <c r="C87" s="28" t="s">
        <v>434</v>
      </c>
      <c r="D87" s="29" t="s">
        <v>435</v>
      </c>
      <c r="E87" s="136">
        <v>532.6309746662796</v>
      </c>
      <c r="F87" s="136">
        <f>$E87+F88</f>
        <v>535.04910273985695</v>
      </c>
      <c r="G87" s="136">
        <f t="shared" ref="G87:I87" si="22">$E87+G88</f>
        <v>870.22656890065855</v>
      </c>
      <c r="H87" s="136">
        <f t="shared" si="22"/>
        <v>599.20467843540666</v>
      </c>
      <c r="I87" s="136">
        <f t="shared" si="22"/>
        <v>1016.9899465780616</v>
      </c>
      <c r="J87" s="30"/>
      <c r="K87" s="79" t="str">
        <f t="shared" ref="K87:K95" si="23">HYPERLINK("http://www.energiatalgud.ee/index.php?title=ENMAK:Stsenaariumid#Stsenaariumite_majandusm.C3.B5ju","Stsenaariumite majandusmõju hinnang")</f>
        <v>Stsenaariumite majandusmõju hinnang</v>
      </c>
      <c r="L87" s="247"/>
      <c r="M87" s="79" t="str">
        <f t="shared" ref="M87:M95" si="24">HYPERLINK("http://www.energiatalgud.ee/img_auth.php/a/a9/ENMAK_2030%2B_stsenaariumite_majandusm%C3%B5ju_anal%C3%BC%C3%BCs._Arvutusmudel.xlsx","Majandusmõjude hinnang. Arvutusmudel")</f>
        <v>Majandusmõjude hinnang. Arvutusmudel</v>
      </c>
    </row>
    <row r="88" spans="1:13" s="29" customFormat="1" ht="16.25" customHeight="1" x14ac:dyDescent="0.2">
      <c r="A88" s="245"/>
      <c r="B88" s="38"/>
      <c r="C88" s="28" t="s">
        <v>445</v>
      </c>
      <c r="D88" s="29" t="s">
        <v>435</v>
      </c>
      <c r="E88" s="136">
        <v>0</v>
      </c>
      <c r="F88" s="136">
        <v>2.4181280735773343</v>
      </c>
      <c r="G88" s="136">
        <v>337.59559423437895</v>
      </c>
      <c r="H88" s="136">
        <v>66.573703769127079</v>
      </c>
      <c r="I88" s="136">
        <v>484.35897191178191</v>
      </c>
      <c r="J88" s="30"/>
      <c r="K88" s="79" t="str">
        <f t="shared" si="23"/>
        <v>Stsenaariumite majandusmõju hinnang</v>
      </c>
      <c r="L88" s="247"/>
      <c r="M88" s="79" t="str">
        <f t="shared" si="24"/>
        <v>Majandusmõjude hinnang. Arvutusmudel</v>
      </c>
    </row>
    <row r="89" spans="1:13" s="29" customFormat="1" ht="16.25" hidden="1" customHeight="1" x14ac:dyDescent="0.2">
      <c r="A89" s="268"/>
      <c r="B89" s="38"/>
      <c r="C89" s="28" t="s">
        <v>526</v>
      </c>
      <c r="D89" s="29" t="s">
        <v>446</v>
      </c>
      <c r="E89" s="136">
        <v>8544.3190766505377</v>
      </c>
      <c r="F89" s="136">
        <f>$E$58+F90</f>
        <v>20.967909063743029</v>
      </c>
      <c r="G89" s="136">
        <f t="shared" ref="G89:I89" si="25">$E$58+G90</f>
        <v>1397.048798416256</v>
      </c>
      <c r="H89" s="136">
        <f t="shared" si="25"/>
        <v>478.4829929548556</v>
      </c>
      <c r="I89" s="136">
        <f t="shared" si="25"/>
        <v>7201.8985880556902</v>
      </c>
      <c r="J89" s="30"/>
      <c r="K89" s="79" t="str">
        <f t="shared" ref="K89:K91" si="26">HYPERLINK("http://www.energiatalgud.ee/index.php?title=ENMAK:Stsenaariumid#Stsenaariumite_majandusm.C3.B5ju","Stsenaariumite majandusmõju hinnang")</f>
        <v>Stsenaariumite majandusmõju hinnang</v>
      </c>
      <c r="L89" s="30"/>
      <c r="M89" s="79" t="str">
        <f t="shared" ref="M89:M91" si="27">HYPERLINK("http://www.energiatalgud.ee/img_auth.php/a/a9/ENMAK_2030%2B_stsenaariumite_majandusm%C3%B5ju_anal%C3%BC%C3%BCs._Arvutusmudel.xlsx","Majandusmõjude hinnang. Arvutusmudel")</f>
        <v>Majandusmõjude hinnang. Arvutusmudel</v>
      </c>
    </row>
    <row r="90" spans="1:13" s="29" customFormat="1" ht="16.25" customHeight="1" x14ac:dyDescent="0.2">
      <c r="A90" s="268"/>
      <c r="B90" s="38"/>
      <c r="C90" s="28" t="s">
        <v>527</v>
      </c>
      <c r="D90" s="29" t="s">
        <v>446</v>
      </c>
      <c r="E90" s="136">
        <v>0</v>
      </c>
      <c r="F90" s="136">
        <v>9.3379090637430302</v>
      </c>
      <c r="G90" s="136">
        <v>1385.4187984162559</v>
      </c>
      <c r="H90" s="136">
        <v>466.85299295485561</v>
      </c>
      <c r="I90" s="136">
        <v>7190.2685880556901</v>
      </c>
      <c r="J90" s="30"/>
      <c r="K90" s="79" t="str">
        <f t="shared" si="26"/>
        <v>Stsenaariumite majandusmõju hinnang</v>
      </c>
      <c r="L90" s="30"/>
      <c r="M90" s="79" t="str">
        <f t="shared" si="27"/>
        <v>Majandusmõjude hinnang. Arvutusmudel</v>
      </c>
    </row>
    <row r="91" spans="1:13" s="29" customFormat="1" ht="16.25" customHeight="1" x14ac:dyDescent="0.2">
      <c r="A91" s="300"/>
      <c r="B91" s="38"/>
      <c r="C91" s="28" t="s">
        <v>556</v>
      </c>
      <c r="D91" s="29" t="s">
        <v>557</v>
      </c>
      <c r="E91" s="136">
        <v>0</v>
      </c>
      <c r="F91" s="136">
        <v>1.7839398946615272</v>
      </c>
      <c r="G91" s="136">
        <v>3910.3225166429174</v>
      </c>
      <c r="H91" s="136">
        <v>945.07159981056736</v>
      </c>
      <c r="I91" s="136">
        <v>3719.0696590465859</v>
      </c>
      <c r="J91" s="30"/>
      <c r="K91" s="79" t="str">
        <f t="shared" si="26"/>
        <v>Stsenaariumite majandusmõju hinnang</v>
      </c>
      <c r="L91" s="30"/>
      <c r="M91" s="79" t="str">
        <f t="shared" si="27"/>
        <v>Majandusmõjude hinnang. Arvutusmudel</v>
      </c>
    </row>
    <row r="92" spans="1:13" s="4" customFormat="1" ht="16.25" customHeight="1" x14ac:dyDescent="0.2">
      <c r="A92" s="529" t="s">
        <v>22</v>
      </c>
      <c r="B92" s="38"/>
      <c r="C92" s="28" t="s">
        <v>331</v>
      </c>
      <c r="D92" s="4" t="s">
        <v>21</v>
      </c>
      <c r="E92" s="20">
        <v>0</v>
      </c>
      <c r="F92" s="104">
        <v>3.8860775931841434E-5</v>
      </c>
      <c r="G92" s="104">
        <v>3.6495069909285799E-3</v>
      </c>
      <c r="H92" s="104">
        <v>1.1859705342121053E-3</v>
      </c>
      <c r="I92" s="104">
        <v>1.6170650792182481E-2</v>
      </c>
      <c r="J92" s="30"/>
      <c r="K92" s="79" t="str">
        <f t="shared" si="23"/>
        <v>Stsenaariumite majandusmõju hinnang</v>
      </c>
      <c r="L92" s="247"/>
      <c r="M92" s="79" t="str">
        <f t="shared" si="24"/>
        <v>Majandusmõjude hinnang. Arvutusmudel</v>
      </c>
    </row>
    <row r="93" spans="1:13" s="4" customFormat="1" ht="16.25" customHeight="1" x14ac:dyDescent="0.2">
      <c r="A93" s="529"/>
      <c r="B93" s="38"/>
      <c r="C93" s="3" t="s">
        <v>15</v>
      </c>
      <c r="D93" s="4" t="s">
        <v>21</v>
      </c>
      <c r="E93" s="20">
        <v>0</v>
      </c>
      <c r="F93" s="104">
        <v>-3.2752531965811009E-5</v>
      </c>
      <c r="G93" s="104">
        <v>-8.2196448755825007E-4</v>
      </c>
      <c r="H93" s="104">
        <v>-7.1819743169545603E-4</v>
      </c>
      <c r="I93" s="104">
        <v>7.6111560446694929E-3</v>
      </c>
      <c r="J93" s="30"/>
      <c r="K93" s="79" t="str">
        <f t="shared" si="23"/>
        <v>Stsenaariumite majandusmõju hinnang</v>
      </c>
      <c r="L93" s="247"/>
      <c r="M93" s="79" t="str">
        <f t="shared" si="24"/>
        <v>Majandusmõjude hinnang. Arvutusmudel</v>
      </c>
    </row>
    <row r="94" spans="1:13" s="4" customFormat="1" ht="16.25" customHeight="1" x14ac:dyDescent="0.2">
      <c r="A94" s="529"/>
      <c r="B94" s="38"/>
      <c r="C94" s="28" t="s">
        <v>17</v>
      </c>
      <c r="D94" s="4" t="s">
        <v>21</v>
      </c>
      <c r="E94" s="20">
        <v>0</v>
      </c>
      <c r="F94" s="104">
        <v>2.1865788303510723E-5</v>
      </c>
      <c r="G94" s="104">
        <v>2.0230003105967862E-3</v>
      </c>
      <c r="H94" s="104">
        <v>1.4751352411081222E-3</v>
      </c>
      <c r="I94" s="104">
        <v>6.9981466134073399E-3</v>
      </c>
      <c r="J94" s="30"/>
      <c r="K94" s="79" t="str">
        <f t="shared" si="23"/>
        <v>Stsenaariumite majandusmõju hinnang</v>
      </c>
      <c r="L94" s="247"/>
      <c r="M94" s="79" t="str">
        <f t="shared" si="24"/>
        <v>Majandusmõjude hinnang. Arvutusmudel</v>
      </c>
    </row>
    <row r="95" spans="1:13" s="4" customFormat="1" ht="16.25" customHeight="1" x14ac:dyDescent="0.2">
      <c r="A95" s="529"/>
      <c r="B95" s="38"/>
      <c r="C95" s="28" t="s">
        <v>16</v>
      </c>
      <c r="D95" s="4" t="s">
        <v>21</v>
      </c>
      <c r="E95" s="20">
        <v>0</v>
      </c>
      <c r="F95" s="104">
        <v>1.6997497137460904E-5</v>
      </c>
      <c r="G95" s="104">
        <v>1.6538819265236038E-3</v>
      </c>
      <c r="H95" s="104">
        <v>-2.8586282326564794E-4</v>
      </c>
      <c r="I95" s="104">
        <v>9.4527911091342731E-3</v>
      </c>
      <c r="J95" s="30"/>
      <c r="K95" s="79" t="str">
        <f t="shared" si="23"/>
        <v>Stsenaariumite majandusmõju hinnang</v>
      </c>
      <c r="L95" s="247"/>
      <c r="M95" s="79" t="str">
        <f t="shared" si="24"/>
        <v>Majandusmõjude hinnang. Arvutusmudel</v>
      </c>
    </row>
    <row r="96" spans="1:13" s="4" customFormat="1" ht="5" customHeight="1" x14ac:dyDescent="0.2">
      <c r="A96" s="529"/>
      <c r="B96" s="38"/>
      <c r="E96" s="39"/>
      <c r="F96" s="105"/>
      <c r="G96" s="105"/>
      <c r="H96" s="105"/>
      <c r="I96" s="105"/>
      <c r="J96" s="30"/>
      <c r="K96" s="29"/>
      <c r="L96" s="247"/>
      <c r="M96" s="29"/>
    </row>
    <row r="97" spans="1:17" s="4" customFormat="1" x14ac:dyDescent="0.2">
      <c r="A97" s="529"/>
      <c r="B97" s="38"/>
      <c r="C97" s="3" t="s">
        <v>18</v>
      </c>
      <c r="D97" s="4" t="s">
        <v>21</v>
      </c>
      <c r="E97" s="20">
        <v>0</v>
      </c>
      <c r="F97" s="104">
        <v>1.849685073702665E-5</v>
      </c>
      <c r="G97" s="104">
        <v>3.5150727338995226E-5</v>
      </c>
      <c r="H97" s="104">
        <v>-2.0444720242954191E-2</v>
      </c>
      <c r="I97" s="104">
        <v>9.81009517832457E-3</v>
      </c>
      <c r="J97" s="30"/>
      <c r="K97" s="79" t="str">
        <f>HYPERLINK("http://www.energiatalgud.ee/index.php?title=ENMAK:Stsenaariumid#Stsenaariumite_majandusm.C3.B5ju","Stsenaariumite majandusmõju hinnang")</f>
        <v>Stsenaariumite majandusmõju hinnang</v>
      </c>
      <c r="L97" s="247"/>
      <c r="M97" s="79" t="str">
        <f>HYPERLINK("http://www.energiatalgud.ee/img_auth.php/a/a9/ENMAK_2030%2B_stsenaariumite_majandusm%C3%B5ju_anal%C3%BC%C3%BCs._Arvutusmudel.xlsx","Majandusmõjude hinnang. Arvutusmudel")</f>
        <v>Majandusmõjude hinnang. Arvutusmudel</v>
      </c>
    </row>
    <row r="98" spans="1:17" s="4" customFormat="1" x14ac:dyDescent="0.2">
      <c r="A98" s="529"/>
      <c r="B98" s="38"/>
      <c r="C98" s="3" t="s">
        <v>19</v>
      </c>
      <c r="D98" s="4" t="s">
        <v>21</v>
      </c>
      <c r="E98" s="20">
        <v>0</v>
      </c>
      <c r="F98" s="104">
        <v>2.086028511696189E-5</v>
      </c>
      <c r="G98" s="104">
        <v>-3.1158306941380526E-4</v>
      </c>
      <c r="H98" s="104">
        <v>-0.14018616807588472</v>
      </c>
      <c r="I98" s="104">
        <v>8.820364857878267E-2</v>
      </c>
      <c r="J98" s="30"/>
      <c r="K98" s="79" t="str">
        <f>HYPERLINK("http://www.energiatalgud.ee/index.php?title=ENMAK:Stsenaariumid#Stsenaariumite_majandusm.C3.B5ju","Stsenaariumite majandusmõju hinnang")</f>
        <v>Stsenaariumite majandusmõju hinnang</v>
      </c>
      <c r="L98" s="247"/>
      <c r="M98" s="79" t="str">
        <f>HYPERLINK("http://www.energiatalgud.ee/img_auth.php/a/a9/ENMAK_2030%2B_stsenaariumite_majandusm%C3%B5ju_anal%C3%BC%C3%BCs._Arvutusmudel.xlsx","Majandusmõjude hinnang. Arvutusmudel")</f>
        <v>Majandusmõjude hinnang. Arvutusmudel</v>
      </c>
    </row>
    <row r="99" spans="1:17" s="4" customFormat="1" x14ac:dyDescent="0.2">
      <c r="A99" s="529"/>
      <c r="B99" s="38"/>
      <c r="C99" s="3" t="s">
        <v>20</v>
      </c>
      <c r="D99" s="4" t="s">
        <v>21</v>
      </c>
      <c r="E99" s="20">
        <v>0</v>
      </c>
      <c r="F99" s="104">
        <v>3.8062194737299741E-5</v>
      </c>
      <c r="G99" s="104">
        <v>3.1057256013390471E-4</v>
      </c>
      <c r="H99" s="104">
        <v>-4.8984251623603543E-2</v>
      </c>
      <c r="I99" s="104">
        <v>9.4910950897915763E-2</v>
      </c>
      <c r="J99" s="30"/>
      <c r="K99" s="79" t="str">
        <f>HYPERLINK("http://www.energiatalgud.ee/index.php?title=ENMAK:Stsenaariumid#Stsenaariumite_majandusm.C3.B5ju","Stsenaariumite majandusmõju hinnang")</f>
        <v>Stsenaariumite majandusmõju hinnang</v>
      </c>
      <c r="L99" s="247"/>
      <c r="M99" s="79" t="str">
        <f>HYPERLINK("http://www.energiatalgud.ee/img_auth.php/a/a9/ENMAK_2030%2B_stsenaariumite_majandusm%C3%B5ju_anal%C3%BC%C3%BCs._Arvutusmudel.xlsx","Majandusmõjude hinnang. Arvutusmudel")</f>
        <v>Majandusmõjude hinnang. Arvutusmudel</v>
      </c>
    </row>
    <row r="101" spans="1:17" s="25" customFormat="1" ht="14.5" customHeight="1" x14ac:dyDescent="0.2">
      <c r="A101" s="531" t="s">
        <v>572</v>
      </c>
      <c r="B101" s="33"/>
      <c r="C101" s="26" t="s">
        <v>573</v>
      </c>
      <c r="D101" s="90" t="s">
        <v>344</v>
      </c>
      <c r="E101" s="90">
        <v>12362</v>
      </c>
      <c r="F101" s="90">
        <f>$E101</f>
        <v>12362</v>
      </c>
      <c r="G101" s="90">
        <f t="shared" ref="G101:I104" si="28">$E101</f>
        <v>12362</v>
      </c>
      <c r="H101" s="90">
        <f t="shared" si="28"/>
        <v>12362</v>
      </c>
      <c r="I101" s="90">
        <f t="shared" si="28"/>
        <v>12362</v>
      </c>
      <c r="J101" s="30"/>
      <c r="K101" s="82" t="s">
        <v>223</v>
      </c>
      <c r="L101" s="247"/>
      <c r="M101" s="80" t="str">
        <f>HYPERLINK("http://www.energiatalgud.ee/img_auth.php/3/39/ENMAK_2030._Stsenaariumitega_kaasneva_%C3%B5hukvaliteedi_muutuste_prognoos_2012-2050.pdf","ENMAK 2030 stsenaariumitega kaasneva õhukvaliteedi muutuse prognoos")</f>
        <v>ENMAK 2030 stsenaariumitega kaasneva õhukvaliteedi muutuse prognoos</v>
      </c>
      <c r="N101" s="27"/>
      <c r="O101" s="82"/>
      <c r="P101" s="82"/>
      <c r="Q101" s="80"/>
    </row>
    <row r="102" spans="1:17" s="25" customFormat="1" ht="14.5" customHeight="1" x14ac:dyDescent="0.2">
      <c r="A102" s="531"/>
      <c r="B102" s="33"/>
      <c r="C102" s="26" t="s">
        <v>574</v>
      </c>
      <c r="D102" s="90" t="s">
        <v>317</v>
      </c>
      <c r="E102" s="90">
        <v>13393</v>
      </c>
      <c r="F102" s="90">
        <f t="shared" ref="F102:F104" si="29">$E102</f>
        <v>13393</v>
      </c>
      <c r="G102" s="90">
        <f t="shared" si="28"/>
        <v>13393</v>
      </c>
      <c r="H102" s="90">
        <f t="shared" si="28"/>
        <v>13393</v>
      </c>
      <c r="I102" s="90">
        <f t="shared" si="28"/>
        <v>13393</v>
      </c>
      <c r="J102" s="30"/>
      <c r="K102" s="82" t="s">
        <v>223</v>
      </c>
      <c r="L102" s="247"/>
      <c r="M102" s="80" t="str">
        <f t="shared" ref="M102:M104" si="30">HYPERLINK("http://www.energiatalgud.ee/img_auth.php/3/39/ENMAK_2030._Stsenaariumitega_kaasneva_%C3%B5hukvaliteedi_muutuste_prognoos_2012-2050.pdf","ENMAK 2030 stsenaariumitega kaasneva õhukvaliteedi muutuse prognoos")</f>
        <v>ENMAK 2030 stsenaariumitega kaasneva õhukvaliteedi muutuse prognoos</v>
      </c>
      <c r="N102" s="27"/>
      <c r="O102" s="82"/>
      <c r="P102" s="82"/>
      <c r="Q102" s="80"/>
    </row>
    <row r="103" spans="1:17" s="25" customFormat="1" ht="14.5" customHeight="1" x14ac:dyDescent="0.2">
      <c r="A103" s="531"/>
      <c r="B103" s="33"/>
      <c r="C103" s="26" t="s">
        <v>575</v>
      </c>
      <c r="D103" s="90" t="s">
        <v>317</v>
      </c>
      <c r="E103" s="90">
        <v>46040</v>
      </c>
      <c r="F103" s="90">
        <f t="shared" si="29"/>
        <v>46040</v>
      </c>
      <c r="G103" s="90">
        <f t="shared" si="28"/>
        <v>46040</v>
      </c>
      <c r="H103" s="90">
        <f t="shared" si="28"/>
        <v>46040</v>
      </c>
      <c r="I103" s="90">
        <f t="shared" si="28"/>
        <v>46040</v>
      </c>
      <c r="J103" s="30"/>
      <c r="K103" s="82" t="s">
        <v>223</v>
      </c>
      <c r="L103" s="247"/>
      <c r="M103" s="80" t="str">
        <f t="shared" si="30"/>
        <v>ENMAK 2030 stsenaariumitega kaasneva õhukvaliteedi muutuse prognoos</v>
      </c>
      <c r="N103" s="27"/>
      <c r="O103" s="82"/>
      <c r="P103" s="82"/>
      <c r="Q103" s="80"/>
    </row>
    <row r="104" spans="1:17" s="25" customFormat="1" ht="19.25" customHeight="1" x14ac:dyDescent="0.2">
      <c r="A104" s="531"/>
      <c r="B104" s="33"/>
      <c r="C104" s="26" t="s">
        <v>582</v>
      </c>
      <c r="D104" s="90" t="s">
        <v>317</v>
      </c>
      <c r="E104" s="90">
        <v>2176</v>
      </c>
      <c r="F104" s="90">
        <f t="shared" si="29"/>
        <v>2176</v>
      </c>
      <c r="G104" s="90">
        <f t="shared" si="28"/>
        <v>2176</v>
      </c>
      <c r="H104" s="90">
        <f t="shared" si="28"/>
        <v>2176</v>
      </c>
      <c r="I104" s="90">
        <f t="shared" si="28"/>
        <v>2176</v>
      </c>
      <c r="J104" s="30"/>
      <c r="K104" s="82" t="s">
        <v>223</v>
      </c>
      <c r="L104" s="247"/>
      <c r="M104" s="80" t="str">
        <f t="shared" si="30"/>
        <v>ENMAK 2030 stsenaariumitega kaasneva õhukvaliteedi muutuse prognoos</v>
      </c>
      <c r="N104" s="27"/>
      <c r="O104" s="82"/>
      <c r="P104" s="82"/>
      <c r="Q104" s="80"/>
    </row>
    <row r="105" spans="1:17" s="25" customFormat="1" x14ac:dyDescent="0.2">
      <c r="A105" s="32"/>
      <c r="B105" s="33"/>
      <c r="J105" s="30"/>
      <c r="L105" s="247"/>
    </row>
    <row r="106" spans="1:17" s="25" customFormat="1" ht="14.5" customHeight="1" x14ac:dyDescent="0.2">
      <c r="A106" s="530" t="s">
        <v>404</v>
      </c>
      <c r="B106" s="33"/>
      <c r="C106" s="28" t="s">
        <v>373</v>
      </c>
      <c r="D106" s="127" t="s">
        <v>344</v>
      </c>
      <c r="E106" s="127">
        <v>5980</v>
      </c>
      <c r="F106" s="127">
        <v>6010</v>
      </c>
      <c r="G106" s="127">
        <v>6009</v>
      </c>
      <c r="H106" s="127">
        <v>407</v>
      </c>
      <c r="I106" s="127">
        <v>10685</v>
      </c>
      <c r="J106" s="30"/>
      <c r="K106" s="107" t="s">
        <v>223</v>
      </c>
      <c r="L106" s="310"/>
      <c r="M106" s="79" t="str">
        <f>HYPERLINK("http://www.energiatalgud.ee/img_auth.php/3/39/ENMAK_2030._Stsenaariumitega_kaasneva_%C3%B5hukvaliteedi_muutuste_prognoos_2012-2050.pdf","ENMAK 2030 stsenaariumitega kaasneva õhukvaliteedi muutuse prognoos")</f>
        <v>ENMAK 2030 stsenaariumitega kaasneva õhukvaliteedi muutuse prognoos</v>
      </c>
      <c r="N106" s="29"/>
      <c r="O106" s="107"/>
      <c r="P106" s="107"/>
      <c r="Q106" s="79"/>
    </row>
    <row r="107" spans="1:17" s="25" customFormat="1" ht="14.5" customHeight="1" x14ac:dyDescent="0.2">
      <c r="A107" s="530"/>
      <c r="B107" s="33"/>
      <c r="C107" s="28" t="s">
        <v>349</v>
      </c>
      <c r="D107" s="127" t="s">
        <v>317</v>
      </c>
      <c r="E107" s="127">
        <v>6340</v>
      </c>
      <c r="F107" s="127">
        <v>6340</v>
      </c>
      <c r="G107" s="127">
        <v>6348</v>
      </c>
      <c r="H107" s="127">
        <v>5118</v>
      </c>
      <c r="I107" s="127">
        <v>11694</v>
      </c>
      <c r="J107" s="30"/>
      <c r="K107" s="107" t="s">
        <v>223</v>
      </c>
      <c r="L107" s="310"/>
      <c r="M107" s="79" t="str">
        <f t="shared" ref="M107:M109" si="31">HYPERLINK("http://www.energiatalgud.ee/img_auth.php/3/39/ENMAK_2030._Stsenaariumitega_kaasneva_%C3%B5hukvaliteedi_muutuste_prognoos_2012-2050.pdf","ENMAK 2030 stsenaariumitega kaasneva õhukvaliteedi muutuse prognoos")</f>
        <v>ENMAK 2030 stsenaariumitega kaasneva õhukvaliteedi muutuse prognoos</v>
      </c>
      <c r="N107" s="29"/>
      <c r="O107" s="107"/>
      <c r="P107" s="107"/>
      <c r="Q107" s="79"/>
    </row>
    <row r="108" spans="1:17" s="25" customFormat="1" ht="14.5" customHeight="1" x14ac:dyDescent="0.2">
      <c r="A108" s="530"/>
      <c r="B108" s="33"/>
      <c r="C108" s="28" t="s">
        <v>350</v>
      </c>
      <c r="D108" s="127" t="s">
        <v>317</v>
      </c>
      <c r="E108" s="127">
        <v>7152</v>
      </c>
      <c r="F108" s="127">
        <v>7152</v>
      </c>
      <c r="G108" s="127">
        <v>7152</v>
      </c>
      <c r="H108" s="127">
        <v>368</v>
      </c>
      <c r="I108" s="127">
        <v>26048.481894304274</v>
      </c>
      <c r="J108" s="30"/>
      <c r="K108" s="107" t="s">
        <v>223</v>
      </c>
      <c r="L108" s="310"/>
      <c r="M108" s="79" t="str">
        <f t="shared" si="31"/>
        <v>ENMAK 2030 stsenaariumitega kaasneva õhukvaliteedi muutuse prognoos</v>
      </c>
      <c r="N108" s="29"/>
      <c r="O108" s="107"/>
      <c r="P108" s="107"/>
      <c r="Q108" s="79"/>
    </row>
    <row r="109" spans="1:17" s="25" customFormat="1" ht="19.25" customHeight="1" x14ac:dyDescent="0.2">
      <c r="A109" s="530"/>
      <c r="B109" s="33"/>
      <c r="C109" s="28" t="s">
        <v>374</v>
      </c>
      <c r="D109" s="127" t="s">
        <v>317</v>
      </c>
      <c r="E109" s="127">
        <v>370</v>
      </c>
      <c r="F109" s="127">
        <v>381</v>
      </c>
      <c r="G109" s="127">
        <v>382</v>
      </c>
      <c r="H109" s="127">
        <v>365</v>
      </c>
      <c r="I109" s="127">
        <v>696</v>
      </c>
      <c r="J109" s="30"/>
      <c r="K109" s="107" t="s">
        <v>223</v>
      </c>
      <c r="L109" s="310"/>
      <c r="M109" s="79" t="str">
        <f t="shared" si="31"/>
        <v>ENMAK 2030 stsenaariumitega kaasneva õhukvaliteedi muutuse prognoos</v>
      </c>
      <c r="N109" s="29"/>
      <c r="O109" s="107"/>
      <c r="P109" s="107"/>
      <c r="Q109" s="79"/>
    </row>
    <row r="110" spans="1:17" s="25" customFormat="1" x14ac:dyDescent="0.2">
      <c r="A110" s="32"/>
      <c r="B110" s="33"/>
      <c r="J110" s="30"/>
      <c r="L110" s="247"/>
    </row>
    <row r="111" spans="1:17" s="25" customFormat="1" x14ac:dyDescent="0.2">
      <c r="A111" s="525" t="s">
        <v>403</v>
      </c>
      <c r="B111" s="33"/>
      <c r="C111" s="26" t="s">
        <v>371</v>
      </c>
      <c r="D111" s="27" t="s">
        <v>344</v>
      </c>
      <c r="E111" s="308">
        <v>4071</v>
      </c>
      <c r="F111" s="308">
        <v>4103.4807993214208</v>
      </c>
      <c r="G111" s="308">
        <v>4070.6523807003477</v>
      </c>
      <c r="H111" s="308">
        <v>399.76723900772163</v>
      </c>
      <c r="I111" s="308">
        <v>5063</v>
      </c>
      <c r="J111" s="30"/>
      <c r="K111" s="82" t="s">
        <v>223</v>
      </c>
      <c r="L111" s="311"/>
      <c r="M111" s="80" t="str">
        <f>HYPERLINK("http://www.energiatalgud.ee/img_auth.php/3/39/ENMAK_2030._Stsenaariumitega_kaasneva_%C3%B5hukvaliteedi_muutuste_prognoos_2012-2050.pdf","ENMAK 2030 stsenaariumitega kaasneva õhukvaliteedi muutuse prognoos")</f>
        <v>ENMAK 2030 stsenaariumitega kaasneva õhukvaliteedi muutuse prognoos</v>
      </c>
      <c r="N111" s="27"/>
      <c r="O111" s="82"/>
      <c r="P111" s="82"/>
      <c r="Q111" s="80"/>
    </row>
    <row r="112" spans="1:17" s="25" customFormat="1" ht="14.5" customHeight="1" x14ac:dyDescent="0.2">
      <c r="A112" s="525"/>
      <c r="B112" s="33"/>
      <c r="C112" s="26" t="s">
        <v>369</v>
      </c>
      <c r="D112" s="27" t="s">
        <v>317</v>
      </c>
      <c r="E112" s="308">
        <v>5498</v>
      </c>
      <c r="F112" s="308">
        <v>5500.5780115745347</v>
      </c>
      <c r="G112" s="308">
        <v>5503.8610994305845</v>
      </c>
      <c r="H112" s="308">
        <v>5067.7217932428175</v>
      </c>
      <c r="I112" s="308">
        <v>9966</v>
      </c>
      <c r="J112" s="30"/>
      <c r="K112" s="82" t="s">
        <v>223</v>
      </c>
      <c r="L112" s="311"/>
      <c r="M112" s="80" t="str">
        <f t="shared" ref="M112:M114" si="32">HYPERLINK("http://www.energiatalgud.ee/img_auth.php/3/39/ENMAK_2030._Stsenaariumitega_kaasneva_%C3%B5hukvaliteedi_muutuste_prognoos_2012-2050.pdf","ENMAK 2030 stsenaariumitega kaasneva õhukvaliteedi muutuse prognoos")</f>
        <v>ENMAK 2030 stsenaariumitega kaasneva õhukvaliteedi muutuse prognoos</v>
      </c>
      <c r="N112" s="27"/>
      <c r="O112" s="82"/>
      <c r="P112" s="82"/>
      <c r="Q112" s="80"/>
    </row>
    <row r="113" spans="1:44" s="25" customFormat="1" x14ac:dyDescent="0.2">
      <c r="A113" s="525"/>
      <c r="B113" s="33"/>
      <c r="C113" s="26" t="s">
        <v>370</v>
      </c>
      <c r="D113" s="27" t="s">
        <v>317</v>
      </c>
      <c r="E113" s="308">
        <v>5548</v>
      </c>
      <c r="F113" s="308">
        <v>5546.5814279072902</v>
      </c>
      <c r="G113" s="308">
        <v>5546.5814279072902</v>
      </c>
      <c r="H113" s="308">
        <v>333.20225277991483</v>
      </c>
      <c r="I113" s="308">
        <v>32165.173005800512</v>
      </c>
      <c r="J113" s="30"/>
      <c r="K113" s="82" t="s">
        <v>223</v>
      </c>
      <c r="L113" s="311"/>
      <c r="M113" s="80" t="str">
        <f t="shared" si="32"/>
        <v>ENMAK 2030 stsenaariumitega kaasneva õhukvaliteedi muutuse prognoos</v>
      </c>
      <c r="N113" s="27"/>
      <c r="O113" s="82"/>
      <c r="P113" s="82"/>
      <c r="Q113" s="80"/>
    </row>
    <row r="114" spans="1:44" s="25" customFormat="1" ht="17.5" customHeight="1" x14ac:dyDescent="0.2">
      <c r="A114" s="525"/>
      <c r="B114" s="33"/>
      <c r="C114" s="26" t="s">
        <v>372</v>
      </c>
      <c r="D114" s="27" t="s">
        <v>317</v>
      </c>
      <c r="E114" s="308">
        <v>302</v>
      </c>
      <c r="F114" s="308">
        <v>312.76057774890688</v>
      </c>
      <c r="G114" s="308">
        <v>315.3156794471023</v>
      </c>
      <c r="H114" s="308">
        <v>344.83135709009554</v>
      </c>
      <c r="I114" s="308">
        <v>260.98961560491642</v>
      </c>
      <c r="J114" s="30"/>
      <c r="K114" s="82" t="s">
        <v>223</v>
      </c>
      <c r="L114" s="311"/>
      <c r="M114" s="80" t="str">
        <f t="shared" si="32"/>
        <v>ENMAK 2030 stsenaariumitega kaasneva õhukvaliteedi muutuse prognoos</v>
      </c>
      <c r="N114" s="27"/>
      <c r="O114" s="82"/>
      <c r="P114" s="82"/>
      <c r="Q114" s="80"/>
    </row>
    <row r="115" spans="1:44" s="25" customFormat="1" x14ac:dyDescent="0.2">
      <c r="A115" s="32"/>
      <c r="B115" s="33"/>
      <c r="J115" s="30"/>
      <c r="L115" s="247"/>
    </row>
    <row r="116" spans="1:44" x14ac:dyDescent="0.2">
      <c r="A116" s="529" t="s">
        <v>561</v>
      </c>
      <c r="C116" s="28" t="s">
        <v>555</v>
      </c>
      <c r="D116" s="29" t="s">
        <v>344</v>
      </c>
      <c r="E116" s="106">
        <v>1334</v>
      </c>
      <c r="F116" s="106">
        <v>2049</v>
      </c>
      <c r="G116" s="106">
        <v>1357</v>
      </c>
      <c r="H116" s="106">
        <v>329</v>
      </c>
      <c r="I116" s="106">
        <v>3487</v>
      </c>
      <c r="K116" s="107" t="s">
        <v>223</v>
      </c>
      <c r="L116" s="310"/>
      <c r="M116" s="79" t="str">
        <f>HYPERLINK("http://www.energiatalgud.ee/img_auth.php/3/39/ENMAK_2030._Stsenaariumitega_kaasneva_%C3%B5hukvaliteedi_muutuste_prognoos_2012-2050.pdf","ENMAK 2030 stsenaariumitega kaasneva õhukvaliteedi muutuse prognoos")</f>
        <v>ENMAK 2030 stsenaariumitega kaasneva õhukvaliteedi muutuse prognoos</v>
      </c>
      <c r="N116" s="29"/>
      <c r="O116" s="107"/>
      <c r="P116" s="107"/>
      <c r="Q116" s="79"/>
    </row>
    <row r="117" spans="1:44" ht="14.5" customHeight="1" x14ac:dyDescent="0.2">
      <c r="A117" s="529"/>
      <c r="C117" s="28" t="s">
        <v>562</v>
      </c>
      <c r="D117" s="29" t="s">
        <v>317</v>
      </c>
      <c r="E117" s="106">
        <v>3331</v>
      </c>
      <c r="F117" s="106">
        <v>3792</v>
      </c>
      <c r="G117" s="106">
        <v>3649</v>
      </c>
      <c r="H117" s="106">
        <v>2945</v>
      </c>
      <c r="I117" s="106">
        <v>8881</v>
      </c>
      <c r="K117" s="107" t="s">
        <v>223</v>
      </c>
      <c r="L117" s="310"/>
      <c r="M117" s="79" t="str">
        <f t="shared" ref="M117:M119" si="33">HYPERLINK("http://www.energiatalgud.ee/img_auth.php/3/39/ENMAK_2030._Stsenaariumitega_kaasneva_%C3%B5hukvaliteedi_muutuste_prognoos_2012-2050.pdf","ENMAK 2030 stsenaariumitega kaasneva õhukvaliteedi muutuse prognoos")</f>
        <v>ENMAK 2030 stsenaariumitega kaasneva õhukvaliteedi muutuse prognoos</v>
      </c>
      <c r="N117" s="29"/>
      <c r="O117" s="107"/>
      <c r="P117" s="107"/>
      <c r="Q117" s="79"/>
    </row>
    <row r="118" spans="1:44" x14ac:dyDescent="0.2">
      <c r="A118" s="529"/>
      <c r="C118" s="28" t="s">
        <v>563</v>
      </c>
      <c r="D118" s="29" t="s">
        <v>317</v>
      </c>
      <c r="E118" s="106">
        <v>5253</v>
      </c>
      <c r="F118" s="106">
        <v>5048</v>
      </c>
      <c r="G118" s="106">
        <v>5048</v>
      </c>
      <c r="H118" s="106">
        <v>119</v>
      </c>
      <c r="I118" s="106">
        <v>32112.04988281674</v>
      </c>
      <c r="K118" s="107" t="s">
        <v>223</v>
      </c>
      <c r="L118" s="310"/>
      <c r="M118" s="79" t="str">
        <f t="shared" si="33"/>
        <v>ENMAK 2030 stsenaariumitega kaasneva õhukvaliteedi muutuse prognoos</v>
      </c>
      <c r="N118" s="29"/>
      <c r="O118" s="107"/>
      <c r="P118" s="107"/>
      <c r="Q118" s="79"/>
    </row>
    <row r="119" spans="1:44" ht="17.5" customHeight="1" x14ac:dyDescent="0.2">
      <c r="A119" s="529"/>
      <c r="C119" s="28" t="s">
        <v>564</v>
      </c>
      <c r="D119" s="29" t="s">
        <v>317</v>
      </c>
      <c r="E119" s="106">
        <v>145</v>
      </c>
      <c r="F119" s="106">
        <v>167</v>
      </c>
      <c r="G119" s="106">
        <v>184</v>
      </c>
      <c r="H119" s="106">
        <v>172</v>
      </c>
      <c r="I119" s="106">
        <v>157</v>
      </c>
      <c r="K119" s="107" t="s">
        <v>223</v>
      </c>
      <c r="L119" s="310"/>
      <c r="M119" s="79" t="str">
        <f t="shared" si="33"/>
        <v>ENMAK 2030 stsenaariumitega kaasneva õhukvaliteedi muutuse prognoos</v>
      </c>
      <c r="N119" s="29"/>
      <c r="O119" s="107"/>
      <c r="P119" s="107"/>
      <c r="Q119" s="79"/>
    </row>
    <row r="120" spans="1:44" x14ac:dyDescent="0.2">
      <c r="A120"/>
      <c r="B120" s="30"/>
      <c r="C120" s="25"/>
      <c r="H120" s="21"/>
    </row>
    <row r="121" spans="1:44" s="25" customFormat="1" x14ac:dyDescent="0.2">
      <c r="A121" s="531" t="s">
        <v>567</v>
      </c>
      <c r="B121" s="33"/>
      <c r="C121" s="26" t="s">
        <v>566</v>
      </c>
      <c r="D121" s="27" t="s">
        <v>14</v>
      </c>
      <c r="E121" s="90">
        <v>9623</v>
      </c>
      <c r="F121" s="90">
        <f>$E121</f>
        <v>9623</v>
      </c>
      <c r="G121" s="90">
        <f t="shared" ref="G121:I125" si="34">$E121</f>
        <v>9623</v>
      </c>
      <c r="H121" s="90">
        <f t="shared" si="34"/>
        <v>9623</v>
      </c>
      <c r="I121" s="90">
        <f t="shared" si="34"/>
        <v>9623</v>
      </c>
      <c r="J121" s="113"/>
      <c r="K121" s="27" t="s">
        <v>223</v>
      </c>
      <c r="L121" s="311"/>
      <c r="M121" s="80" t="str">
        <f>HYPERLINK("http://www.energiatalgud.ee/img_auth.php/1/16/ENMAK_2030._Valdkondade_stsenaariumitega_kaasneva_keskkonnam%C3%B5ju_modelleerimine.pdf","ENMAK 2030 stsenaariumitega kaasneva keskkonnamõju modelleerimine")</f>
        <v>ENMAK 2030 stsenaariumitega kaasneva keskkonnamõju modelleerimine</v>
      </c>
      <c r="N121" s="313"/>
      <c r="O121" s="313"/>
      <c r="P121" s="313"/>
      <c r="Q121" s="313"/>
      <c r="R121" s="21"/>
      <c r="S121" s="21"/>
      <c r="T121" s="21"/>
      <c r="U121" s="21"/>
      <c r="V121" s="21"/>
      <c r="W121" s="21"/>
      <c r="X121" s="21"/>
      <c r="Y121" s="21"/>
      <c r="Z121" s="21"/>
      <c r="AA121" s="21"/>
      <c r="AB121" s="21"/>
      <c r="AC121" s="21"/>
      <c r="AD121" s="21"/>
      <c r="AE121" s="21"/>
      <c r="AF121" s="21"/>
      <c r="AG121" s="21"/>
      <c r="AH121" s="21"/>
      <c r="AI121" s="21"/>
      <c r="AJ121" s="21"/>
      <c r="AK121" s="21"/>
      <c r="AL121" s="21"/>
      <c r="AM121" s="21"/>
      <c r="AN121" s="21"/>
      <c r="AO121" s="21"/>
      <c r="AP121" s="21"/>
      <c r="AQ121" s="21"/>
      <c r="AR121" s="21"/>
    </row>
    <row r="122" spans="1:44" s="25" customFormat="1" x14ac:dyDescent="0.2">
      <c r="A122" s="531"/>
      <c r="B122" s="33"/>
      <c r="C122" s="26" t="s">
        <v>568</v>
      </c>
      <c r="D122" s="27" t="s">
        <v>546</v>
      </c>
      <c r="E122" s="90">
        <v>22</v>
      </c>
      <c r="F122" s="90">
        <f t="shared" ref="F122:F125" si="35">$E122</f>
        <v>22</v>
      </c>
      <c r="G122" s="90">
        <f t="shared" si="34"/>
        <v>22</v>
      </c>
      <c r="H122" s="90">
        <f t="shared" si="34"/>
        <v>22</v>
      </c>
      <c r="I122" s="90">
        <f t="shared" si="34"/>
        <v>22</v>
      </c>
      <c r="J122" s="113"/>
      <c r="K122" s="27" t="s">
        <v>223</v>
      </c>
      <c r="L122" s="311"/>
      <c r="M122" s="80" t="str">
        <f t="shared" ref="M122:M125" si="36">HYPERLINK("http://www.energiatalgud.ee/img_auth.php/1/16/ENMAK_2030._Valdkondade_stsenaariumitega_kaasneva_keskkonnam%C3%B5ju_modelleerimine.pdf","ENMAK 2030 stsenaariumitega kaasneva keskkonnamõju modelleerimine")</f>
        <v>ENMAK 2030 stsenaariumitega kaasneva keskkonnamõju modelleerimine</v>
      </c>
      <c r="N122" s="313"/>
      <c r="O122" s="313"/>
      <c r="P122" s="313"/>
      <c r="Q122" s="313"/>
      <c r="R122" s="21"/>
      <c r="S122" s="21"/>
      <c r="T122" s="21"/>
      <c r="U122" s="21"/>
      <c r="V122" s="21"/>
      <c r="W122" s="21"/>
      <c r="X122" s="21"/>
      <c r="Y122" s="21"/>
      <c r="Z122" s="21"/>
      <c r="AA122" s="21"/>
      <c r="AB122" s="21"/>
      <c r="AC122" s="21"/>
      <c r="AD122" s="21"/>
      <c r="AE122" s="21"/>
      <c r="AF122" s="21"/>
      <c r="AG122" s="21"/>
      <c r="AH122" s="21"/>
      <c r="AI122" s="21"/>
      <c r="AJ122" s="21"/>
      <c r="AK122" s="21"/>
      <c r="AL122" s="21"/>
      <c r="AM122" s="21"/>
      <c r="AN122" s="21"/>
      <c r="AO122" s="21"/>
      <c r="AP122" s="21"/>
      <c r="AQ122" s="21"/>
      <c r="AR122" s="21"/>
    </row>
    <row r="123" spans="1:44" s="25" customFormat="1" x14ac:dyDescent="0.2">
      <c r="A123" s="531"/>
      <c r="B123" s="33"/>
      <c r="C123" s="26" t="s">
        <v>569</v>
      </c>
      <c r="D123" s="27" t="s">
        <v>547</v>
      </c>
      <c r="E123" s="90">
        <v>14602</v>
      </c>
      <c r="F123" s="90">
        <f t="shared" si="35"/>
        <v>14602</v>
      </c>
      <c r="G123" s="90">
        <f t="shared" si="34"/>
        <v>14602</v>
      </c>
      <c r="H123" s="90">
        <f t="shared" si="34"/>
        <v>14602</v>
      </c>
      <c r="I123" s="90">
        <f t="shared" si="34"/>
        <v>14602</v>
      </c>
      <c r="J123" s="113"/>
      <c r="K123" s="27" t="s">
        <v>223</v>
      </c>
      <c r="L123" s="311"/>
      <c r="M123" s="80" t="str">
        <f t="shared" si="36"/>
        <v>ENMAK 2030 stsenaariumitega kaasneva keskkonnamõju modelleerimine</v>
      </c>
      <c r="N123" s="313"/>
      <c r="O123" s="313"/>
      <c r="P123" s="313"/>
      <c r="Q123" s="313"/>
      <c r="R123" s="21"/>
      <c r="S123" s="21"/>
      <c r="T123" s="21"/>
      <c r="U123" s="21"/>
      <c r="V123" s="21"/>
      <c r="W123" s="21"/>
      <c r="X123" s="21"/>
      <c r="Y123" s="21"/>
      <c r="Z123" s="21"/>
      <c r="AA123" s="21"/>
      <c r="AB123" s="21"/>
      <c r="AC123" s="21"/>
      <c r="AD123" s="21"/>
      <c r="AE123" s="21"/>
      <c r="AF123" s="21"/>
      <c r="AG123" s="21"/>
      <c r="AH123" s="21"/>
      <c r="AI123" s="21"/>
      <c r="AJ123" s="21"/>
      <c r="AK123" s="21"/>
      <c r="AL123" s="21"/>
      <c r="AM123" s="21"/>
      <c r="AN123" s="21"/>
      <c r="AO123" s="21"/>
      <c r="AP123" s="21"/>
      <c r="AQ123" s="21"/>
      <c r="AR123" s="21"/>
    </row>
    <row r="124" spans="1:44" s="25" customFormat="1" x14ac:dyDescent="0.2">
      <c r="A124" s="531"/>
      <c r="B124" s="33"/>
      <c r="C124" s="26" t="s">
        <v>570</v>
      </c>
      <c r="D124" s="27" t="s">
        <v>548</v>
      </c>
      <c r="E124" s="90">
        <v>161326</v>
      </c>
      <c r="F124" s="90">
        <f t="shared" si="35"/>
        <v>161326</v>
      </c>
      <c r="G124" s="90">
        <f t="shared" si="34"/>
        <v>161326</v>
      </c>
      <c r="H124" s="90">
        <f t="shared" si="34"/>
        <v>161326</v>
      </c>
      <c r="I124" s="90">
        <f t="shared" si="34"/>
        <v>161326</v>
      </c>
      <c r="J124" s="113"/>
      <c r="K124" s="27" t="s">
        <v>223</v>
      </c>
      <c r="L124" s="311"/>
      <c r="M124" s="80" t="str">
        <f t="shared" si="36"/>
        <v>ENMAK 2030 stsenaariumitega kaasneva keskkonnamõju modelleerimine</v>
      </c>
      <c r="N124" s="313"/>
      <c r="O124" s="313"/>
      <c r="P124" s="313"/>
      <c r="Q124" s="313"/>
      <c r="R124" s="21"/>
      <c r="S124" s="21"/>
      <c r="T124" s="21"/>
      <c r="U124" s="21"/>
      <c r="V124" s="21"/>
      <c r="W124" s="21"/>
      <c r="X124" s="21"/>
      <c r="Y124" s="21"/>
      <c r="Z124" s="21"/>
      <c r="AA124" s="21"/>
      <c r="AB124" s="21"/>
      <c r="AC124" s="21"/>
      <c r="AD124" s="21"/>
      <c r="AE124" s="21"/>
      <c r="AF124" s="21"/>
      <c r="AG124" s="21"/>
      <c r="AH124" s="21"/>
      <c r="AI124" s="21"/>
      <c r="AJ124" s="21"/>
      <c r="AK124" s="21"/>
      <c r="AL124" s="21"/>
      <c r="AM124" s="21"/>
      <c r="AN124" s="21"/>
      <c r="AO124" s="21"/>
      <c r="AP124" s="21"/>
      <c r="AQ124" s="21"/>
      <c r="AR124" s="21"/>
    </row>
    <row r="125" spans="1:44" s="25" customFormat="1" x14ac:dyDescent="0.2">
      <c r="A125" s="531"/>
      <c r="B125" s="33"/>
      <c r="C125" s="26" t="s">
        <v>571</v>
      </c>
      <c r="D125" s="27" t="s">
        <v>346</v>
      </c>
      <c r="E125" s="90">
        <v>4088098</v>
      </c>
      <c r="F125" s="90">
        <f t="shared" si="35"/>
        <v>4088098</v>
      </c>
      <c r="G125" s="90">
        <f t="shared" si="34"/>
        <v>4088098</v>
      </c>
      <c r="H125" s="90">
        <f t="shared" si="34"/>
        <v>4088098</v>
      </c>
      <c r="I125" s="90">
        <f t="shared" si="34"/>
        <v>4088098</v>
      </c>
      <c r="J125" s="113"/>
      <c r="K125" s="27" t="s">
        <v>223</v>
      </c>
      <c r="L125" s="311"/>
      <c r="M125" s="80" t="str">
        <f t="shared" si="36"/>
        <v>ENMAK 2030 stsenaariumitega kaasneva keskkonnamõju modelleerimine</v>
      </c>
      <c r="N125" s="313"/>
      <c r="O125" s="313"/>
      <c r="P125" s="313"/>
      <c r="Q125" s="313"/>
      <c r="R125" s="21"/>
      <c r="S125" s="21"/>
      <c r="T125" s="21"/>
      <c r="U125" s="21"/>
      <c r="V125" s="21"/>
      <c r="W125" s="21"/>
      <c r="X125" s="21"/>
      <c r="Y125" s="21"/>
      <c r="Z125" s="21"/>
      <c r="AA125" s="21"/>
      <c r="AB125" s="21"/>
      <c r="AC125" s="21"/>
      <c r="AD125" s="21"/>
      <c r="AE125" s="21"/>
      <c r="AF125" s="21"/>
      <c r="AG125" s="21"/>
      <c r="AH125" s="21"/>
      <c r="AI125" s="21"/>
      <c r="AJ125" s="21"/>
      <c r="AK125" s="21"/>
      <c r="AL125" s="21"/>
      <c r="AM125" s="21"/>
      <c r="AN125" s="21"/>
      <c r="AO125" s="21"/>
      <c r="AP125" s="21"/>
      <c r="AQ125" s="21"/>
      <c r="AR125" s="21"/>
    </row>
    <row r="126" spans="1:44" s="25" customFormat="1" x14ac:dyDescent="0.2">
      <c r="B126" s="30"/>
      <c r="H126" s="21"/>
      <c r="J126" s="30"/>
      <c r="L126" s="247"/>
    </row>
    <row r="127" spans="1:44" x14ac:dyDescent="0.2">
      <c r="A127" s="530" t="s">
        <v>406</v>
      </c>
      <c r="C127" s="28" t="s">
        <v>312</v>
      </c>
      <c r="D127" s="29" t="s">
        <v>14</v>
      </c>
      <c r="E127" s="127">
        <v>1863</v>
      </c>
      <c r="F127" s="127">
        <v>1863</v>
      </c>
      <c r="G127" s="127">
        <v>1946</v>
      </c>
      <c r="H127" s="127">
        <v>1400</v>
      </c>
      <c r="I127" s="127">
        <v>2898</v>
      </c>
      <c r="J127" s="113"/>
      <c r="K127" s="29" t="s">
        <v>223</v>
      </c>
      <c r="L127" s="310"/>
      <c r="M127" s="79" t="str">
        <f>HYPERLINK("http://www.energiatalgud.ee/img_auth.php/1/16/ENMAK_2030._Valdkondade_stsenaariumitega_kaasneva_keskkonnam%C3%B5ju_modelleerimine.pdf","ENMAK 2030 stsenaariumitega kaasneva keskkonnamõju modelleerimine")</f>
        <v>ENMAK 2030 stsenaariumitega kaasneva keskkonnamõju modelleerimine</v>
      </c>
      <c r="N127" s="312"/>
      <c r="O127" s="312"/>
      <c r="P127" s="312"/>
      <c r="Q127" s="312"/>
      <c r="R127" s="21"/>
      <c r="S127" s="21"/>
      <c r="T127" s="21"/>
      <c r="U127" s="21"/>
      <c r="V127" s="21"/>
      <c r="W127" s="21"/>
      <c r="X127" s="21"/>
      <c r="Y127" s="21"/>
      <c r="Z127" s="21"/>
      <c r="AA127" s="21"/>
      <c r="AB127" s="21"/>
      <c r="AC127" s="21"/>
      <c r="AD127" s="21"/>
      <c r="AE127" s="21"/>
      <c r="AF127" s="21"/>
      <c r="AG127" s="21"/>
      <c r="AH127" s="21"/>
      <c r="AI127" s="21"/>
      <c r="AJ127" s="21"/>
      <c r="AK127" s="21"/>
      <c r="AL127" s="21"/>
      <c r="AM127" s="21"/>
      <c r="AN127" s="21"/>
      <c r="AO127" s="21"/>
      <c r="AP127" s="21"/>
      <c r="AQ127" s="21"/>
      <c r="AR127" s="21"/>
    </row>
    <row r="128" spans="1:44" x14ac:dyDescent="0.2">
      <c r="A128" s="530"/>
      <c r="C128" s="28" t="s">
        <v>313</v>
      </c>
      <c r="D128" s="29" t="s">
        <v>546</v>
      </c>
      <c r="E128" s="127">
        <v>20</v>
      </c>
      <c r="F128" s="127">
        <v>20</v>
      </c>
      <c r="G128" s="127">
        <v>21</v>
      </c>
      <c r="H128" s="127">
        <v>28</v>
      </c>
      <c r="I128" s="127">
        <v>44</v>
      </c>
      <c r="J128" s="113"/>
      <c r="K128" s="29" t="s">
        <v>223</v>
      </c>
      <c r="L128" s="310"/>
      <c r="M128" s="79" t="str">
        <f t="shared" ref="M128:M131" si="37">HYPERLINK("http://www.energiatalgud.ee/img_auth.php/1/16/ENMAK_2030._Valdkondade_stsenaariumitega_kaasneva_keskkonnam%C3%B5ju_modelleerimine.pdf","ENMAK 2030 stsenaariumitega kaasneva keskkonnamõju modelleerimine")</f>
        <v>ENMAK 2030 stsenaariumitega kaasneva keskkonnamõju modelleerimine</v>
      </c>
      <c r="N128" s="312"/>
      <c r="O128" s="312"/>
      <c r="P128" s="312"/>
      <c r="Q128" s="312"/>
      <c r="R128" s="21"/>
      <c r="S128" s="21"/>
      <c r="T128" s="21"/>
      <c r="U128" s="21"/>
      <c r="V128" s="21"/>
      <c r="W128" s="21"/>
      <c r="X128" s="21"/>
      <c r="Y128" s="21"/>
      <c r="Z128" s="21"/>
      <c r="AA128" s="21"/>
      <c r="AB128" s="21"/>
      <c r="AC128" s="21"/>
      <c r="AD128" s="21"/>
      <c r="AE128" s="21"/>
      <c r="AF128" s="21"/>
      <c r="AG128" s="21"/>
      <c r="AH128" s="21"/>
      <c r="AI128" s="21"/>
      <c r="AJ128" s="21"/>
      <c r="AK128" s="21"/>
      <c r="AL128" s="21"/>
      <c r="AM128" s="21"/>
      <c r="AN128" s="21"/>
      <c r="AO128" s="21"/>
      <c r="AP128" s="21"/>
      <c r="AQ128" s="21"/>
      <c r="AR128" s="21"/>
    </row>
    <row r="129" spans="1:44" x14ac:dyDescent="0.2">
      <c r="A129" s="530"/>
      <c r="C129" s="28" t="s">
        <v>314</v>
      </c>
      <c r="D129" s="29" t="s">
        <v>547</v>
      </c>
      <c r="E129" s="127">
        <v>4763</v>
      </c>
      <c r="F129" s="127">
        <v>4765</v>
      </c>
      <c r="G129" s="127">
        <v>4780</v>
      </c>
      <c r="H129" s="127">
        <v>660</v>
      </c>
      <c r="I129" s="127">
        <v>7321</v>
      </c>
      <c r="J129" s="113"/>
      <c r="K129" s="29" t="s">
        <v>223</v>
      </c>
      <c r="L129" s="310"/>
      <c r="M129" s="79" t="str">
        <f t="shared" si="37"/>
        <v>ENMAK 2030 stsenaariumitega kaasneva keskkonnamõju modelleerimine</v>
      </c>
      <c r="N129" s="312"/>
      <c r="O129" s="312"/>
      <c r="P129" s="312"/>
      <c r="Q129" s="312"/>
      <c r="R129" s="21"/>
      <c r="S129" s="21"/>
      <c r="T129" s="21"/>
      <c r="U129" s="21"/>
      <c r="V129" s="21"/>
      <c r="W129" s="21"/>
      <c r="X129" s="21"/>
      <c r="Y129" s="21"/>
      <c r="Z129" s="21"/>
      <c r="AA129" s="21"/>
      <c r="AB129" s="21"/>
      <c r="AC129" s="21"/>
      <c r="AD129" s="21"/>
      <c r="AE129" s="21"/>
      <c r="AF129" s="21"/>
      <c r="AG129" s="21"/>
      <c r="AH129" s="21"/>
      <c r="AI129" s="21"/>
      <c r="AJ129" s="21"/>
      <c r="AK129" s="21"/>
      <c r="AL129" s="21"/>
      <c r="AM129" s="21"/>
      <c r="AN129" s="21"/>
      <c r="AO129" s="21"/>
      <c r="AP129" s="21"/>
      <c r="AQ129" s="21"/>
      <c r="AR129" s="21"/>
    </row>
    <row r="130" spans="1:44" x14ac:dyDescent="0.2">
      <c r="A130" s="530"/>
      <c r="C130" s="28" t="s">
        <v>315</v>
      </c>
      <c r="D130" s="29" t="s">
        <v>548</v>
      </c>
      <c r="E130" s="127">
        <v>91247</v>
      </c>
      <c r="F130" s="127">
        <v>91274</v>
      </c>
      <c r="G130" s="127">
        <v>91295</v>
      </c>
      <c r="H130" s="127">
        <v>8356</v>
      </c>
      <c r="I130" s="127">
        <v>356691</v>
      </c>
      <c r="J130" s="113"/>
      <c r="K130" s="29" t="s">
        <v>223</v>
      </c>
      <c r="L130" s="310"/>
      <c r="M130" s="79" t="str">
        <f t="shared" si="37"/>
        <v>ENMAK 2030 stsenaariumitega kaasneva keskkonnamõju modelleerimine</v>
      </c>
      <c r="N130" s="312"/>
      <c r="O130" s="312"/>
      <c r="P130" s="312"/>
      <c r="Q130" s="312"/>
      <c r="R130" s="21"/>
      <c r="S130" s="21"/>
      <c r="T130" s="21"/>
      <c r="U130" s="21"/>
      <c r="V130" s="21"/>
      <c r="W130" s="21"/>
      <c r="X130" s="21"/>
      <c r="Y130" s="21"/>
      <c r="Z130" s="21"/>
      <c r="AA130" s="21"/>
      <c r="AB130" s="21"/>
      <c r="AC130" s="21"/>
      <c r="AD130" s="21"/>
      <c r="AE130" s="21"/>
      <c r="AF130" s="21"/>
      <c r="AG130" s="21"/>
      <c r="AH130" s="21"/>
      <c r="AI130" s="21"/>
      <c r="AJ130" s="21"/>
      <c r="AK130" s="21"/>
      <c r="AL130" s="21"/>
      <c r="AM130" s="21"/>
      <c r="AN130" s="21"/>
      <c r="AO130" s="21"/>
      <c r="AP130" s="21"/>
      <c r="AQ130" s="21"/>
      <c r="AR130" s="21"/>
    </row>
    <row r="131" spans="1:44" x14ac:dyDescent="0.2">
      <c r="A131" s="530"/>
      <c r="C131" s="28" t="s">
        <v>345</v>
      </c>
      <c r="D131" s="29" t="s">
        <v>346</v>
      </c>
      <c r="E131" s="127">
        <v>1524540</v>
      </c>
      <c r="F131" s="127">
        <v>1525109</v>
      </c>
      <c r="G131" s="127">
        <v>1546128</v>
      </c>
      <c r="H131" s="127">
        <v>576102</v>
      </c>
      <c r="I131" s="127">
        <v>3888934</v>
      </c>
      <c r="J131" s="113"/>
      <c r="K131" s="29" t="s">
        <v>223</v>
      </c>
      <c r="L131" s="310"/>
      <c r="M131" s="79" t="str">
        <f t="shared" si="37"/>
        <v>ENMAK 2030 stsenaariumitega kaasneva keskkonnamõju modelleerimine</v>
      </c>
      <c r="N131" s="312"/>
      <c r="O131" s="312"/>
      <c r="P131" s="312"/>
      <c r="Q131" s="312"/>
      <c r="R131" s="21"/>
      <c r="S131" s="21"/>
      <c r="T131" s="21"/>
      <c r="U131" s="21"/>
      <c r="V131" s="21"/>
      <c r="W131" s="21"/>
      <c r="X131" s="21"/>
      <c r="Y131" s="21"/>
      <c r="Z131" s="21"/>
      <c r="AA131" s="21"/>
      <c r="AB131" s="21"/>
      <c r="AC131" s="21"/>
      <c r="AD131" s="21"/>
      <c r="AE131" s="21"/>
      <c r="AF131" s="21"/>
      <c r="AG131" s="21"/>
      <c r="AH131" s="21"/>
      <c r="AI131" s="21"/>
      <c r="AJ131" s="21"/>
      <c r="AK131" s="21"/>
      <c r="AL131" s="21"/>
      <c r="AM131" s="21"/>
      <c r="AN131" s="21"/>
      <c r="AO131" s="21"/>
      <c r="AP131" s="21"/>
      <c r="AQ131" s="21"/>
      <c r="AR131" s="21"/>
    </row>
    <row r="132" spans="1:44" x14ac:dyDescent="0.2">
      <c r="A132"/>
      <c r="B132" s="30"/>
    </row>
    <row r="133" spans="1:44" s="25" customFormat="1" ht="16.75" customHeight="1" x14ac:dyDescent="0.2">
      <c r="A133" s="525" t="s">
        <v>625</v>
      </c>
      <c r="B133" s="33"/>
      <c r="C133" s="26" t="s">
        <v>624</v>
      </c>
      <c r="D133" s="334" t="s">
        <v>626</v>
      </c>
      <c r="E133" s="335">
        <v>20.2</v>
      </c>
      <c r="F133" s="335">
        <f>$E133</f>
        <v>20.2</v>
      </c>
      <c r="G133" s="335">
        <f>$E133</f>
        <v>20.2</v>
      </c>
      <c r="H133" s="335">
        <f t="shared" ref="H133:I133" si="38">$E133</f>
        <v>20.2</v>
      </c>
      <c r="I133" s="335">
        <f t="shared" si="38"/>
        <v>20.2</v>
      </c>
      <c r="K133" s="80" t="str">
        <f>HYPERLINK("http://www.energiatalgud.ee/img_auth.php/0/02/Orru%2C_H._ENMAK_2030._%C3%95husaaste_tervisem%C3%B5ju.pdf","ENMAK 2030. Õhusaaste tervisemõju")</f>
        <v>ENMAK 2030. Õhusaaste tervisemõju</v>
      </c>
      <c r="L133" s="80"/>
      <c r="M133" s="80" t="str">
        <f>HYPERLINK("https://onedrive.live.com/redir?resid=31206ECE3E1FC115!180&amp;authkey=!AHEPLMml5vHKJn0&amp;ithint=file%2cxlsx","Orru, H. ENMAK 2030 õhusaaste tervisemõju. Arvutusfail")</f>
        <v>Orru, H. ENMAK 2030 õhusaaste tervisemõju. Arvutusfail</v>
      </c>
    </row>
    <row r="134" spans="1:44" x14ac:dyDescent="0.2">
      <c r="A134" s="525"/>
      <c r="B134" s="30"/>
      <c r="C134" s="26" t="s">
        <v>519</v>
      </c>
      <c r="D134" s="334" t="s">
        <v>626</v>
      </c>
      <c r="E134" s="76">
        <f t="shared" ref="E134:F134" si="39">AVERAGE($H$134:$I$134)</f>
        <v>0.9</v>
      </c>
      <c r="F134" s="76">
        <f t="shared" si="39"/>
        <v>0.9</v>
      </c>
      <c r="G134" s="76">
        <f>AVERAGE($H$134:$I$134)</f>
        <v>0.9</v>
      </c>
      <c r="H134" s="335">
        <v>1</v>
      </c>
      <c r="I134" s="335">
        <v>0.8</v>
      </c>
      <c r="K134" s="80" t="str">
        <f>HYPERLINK("http://www.energiatalgud.ee/img_auth.php/0/02/Orru%2C_H._ENMAK_2030._%C3%95husaaste_tervisem%C3%B5ju.pdf","ENMAK 2030. Õhusaaste tervisemõju")</f>
        <v>ENMAK 2030. Õhusaaste tervisemõju</v>
      </c>
      <c r="L134" s="80"/>
      <c r="M134" s="80" t="str">
        <f>HYPERLINK("https://onedrive.live.com/redir?resid=31206ECE3E1FC115!180&amp;authkey=!AHEPLMml5vHKJn0&amp;ithint=file%2cxlsx","Orru, H. ENMAK 2030 õhusaaste tervisemõju. Arvutusfail")</f>
        <v>Orru, H. ENMAK 2030 õhusaaste tervisemõju. Arvutusfail</v>
      </c>
    </row>
    <row r="135" spans="1:44" x14ac:dyDescent="0.2">
      <c r="A135"/>
      <c r="B135" s="30"/>
    </row>
    <row r="136" spans="1:44" x14ac:dyDescent="0.2">
      <c r="A136"/>
      <c r="B136" s="30"/>
    </row>
    <row r="137" spans="1:44" x14ac:dyDescent="0.2">
      <c r="A137"/>
      <c r="B137" s="30"/>
    </row>
    <row r="138" spans="1:44" x14ac:dyDescent="0.2">
      <c r="A138"/>
      <c r="B138" s="30"/>
    </row>
    <row r="139" spans="1:44" x14ac:dyDescent="0.2">
      <c r="A139"/>
      <c r="B139" s="30"/>
    </row>
    <row r="140" spans="1:44" x14ac:dyDescent="0.2">
      <c r="A140"/>
      <c r="B140" s="30"/>
    </row>
    <row r="141" spans="1:44" x14ac:dyDescent="0.2">
      <c r="A141"/>
      <c r="B141" s="30"/>
    </row>
    <row r="142" spans="1:44" x14ac:dyDescent="0.2">
      <c r="A142"/>
      <c r="B142" s="30"/>
    </row>
    <row r="143" spans="1:44" x14ac:dyDescent="0.2">
      <c r="A143"/>
      <c r="B143" s="30"/>
    </row>
    <row r="144" spans="1:44" x14ac:dyDescent="0.2">
      <c r="A144"/>
      <c r="B144" s="30"/>
    </row>
    <row r="145" spans="1:2" x14ac:dyDescent="0.2">
      <c r="A145"/>
      <c r="B145" s="30"/>
    </row>
  </sheetData>
  <sheetProtection password="C627" sheet="1" objects="1" scenarios="1"/>
  <mergeCells count="12">
    <mergeCell ref="A133:A134"/>
    <mergeCell ref="K1:M1"/>
    <mergeCell ref="A106:A109"/>
    <mergeCell ref="A116:A119"/>
    <mergeCell ref="A127:A131"/>
    <mergeCell ref="A27:A48"/>
    <mergeCell ref="A71:A81"/>
    <mergeCell ref="A92:A99"/>
    <mergeCell ref="A111:A114"/>
    <mergeCell ref="A101:A104"/>
    <mergeCell ref="A121:A125"/>
    <mergeCell ref="A4:A25"/>
  </mergeCells>
  <pageMargins left="0.7" right="0.7" top="0.75" bottom="0.75" header="0.3" footer="0.3"/>
  <pageSetup paperSize="9" orientation="portrait"/>
  <legacy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C1:Q30"/>
  <sheetViews>
    <sheetView workbookViewId="0">
      <selection activeCell="K9" sqref="K9"/>
    </sheetView>
  </sheetViews>
  <sheetFormatPr baseColWidth="10" defaultColWidth="8.796875" defaultRowHeight="15" x14ac:dyDescent="0.2"/>
  <sheetData>
    <row r="1" spans="3:17" ht="16" thickBot="1" x14ac:dyDescent="0.25"/>
    <row r="2" spans="3:17" ht="25" thickBot="1" x14ac:dyDescent="0.25">
      <c r="C2" s="345" t="s">
        <v>641</v>
      </c>
      <c r="D2" s="346" t="s">
        <v>642</v>
      </c>
      <c r="E2" s="346" t="s">
        <v>643</v>
      </c>
      <c r="F2" s="346" t="s">
        <v>644</v>
      </c>
      <c r="G2" s="346" t="s">
        <v>645</v>
      </c>
      <c r="H2" s="346" t="s">
        <v>646</v>
      </c>
      <c r="I2" s="346" t="s">
        <v>647</v>
      </c>
    </row>
    <row r="3" spans="3:17" ht="16" thickBot="1" x14ac:dyDescent="0.25">
      <c r="C3" s="347" t="s">
        <v>648</v>
      </c>
      <c r="D3" s="348">
        <v>6.8</v>
      </c>
      <c r="E3" s="349">
        <f>SUM('VK-Hooned-Soojus'!$G$71,'VK-Transport'!$G$25)</f>
        <v>4.8809683220311948</v>
      </c>
      <c r="F3" s="349">
        <f>SUM('VK-Hooned-Soojus'!$G$71,'VK-Transport'!$G$25)</f>
        <v>4.8809683220311948</v>
      </c>
      <c r="G3" s="349">
        <f>SUM('VK-Hooned-Soojus'!$G$71,'VK-Transport'!$G$25)</f>
        <v>4.8809683220311948</v>
      </c>
      <c r="H3" s="349">
        <f>SUM('VK-Hooned-Soojus'!$G$71,'VK-Transport'!$G$25)</f>
        <v>4.8809683220311948</v>
      </c>
      <c r="I3" s="349">
        <f>SUM('VK-Hooned-Soojus'!$G$71,'VK-Transport'!$G$25)</f>
        <v>4.8809683220311948</v>
      </c>
      <c r="N3">
        <f>6*12*15</f>
        <v>1080</v>
      </c>
    </row>
    <row r="4" spans="3:17" ht="16" thickBot="1" x14ac:dyDescent="0.25">
      <c r="C4" s="347" t="s">
        <v>119</v>
      </c>
      <c r="D4" s="348">
        <v>38</v>
      </c>
      <c r="E4" s="350">
        <f>SUM(KOMBI!AR137,KOMBI!AS137)</f>
        <v>5.246511627906977</v>
      </c>
      <c r="F4" s="350">
        <f>SUM(KOMBI!AR140,KOMBI!AS140,KOMBI!AU140)</f>
        <v>0</v>
      </c>
      <c r="G4" s="350">
        <f>SUM(KOMBI!AR131,KOMBI!AS131)</f>
        <v>5.246511627906977</v>
      </c>
      <c r="H4" s="350">
        <f>SUM(KOMBI!AR134,KOMBI!AS134)</f>
        <v>5.246511627906977</v>
      </c>
      <c r="I4" s="350">
        <f>SUM(KOMBI!AR145,KOMBI!AS145)</f>
        <v>27.108622986547708</v>
      </c>
      <c r="K4" s="351">
        <f>'VK-Elekter'!G34+'VK-Elekter'!G31+'VK-Hooned-Soojus'!G63+G26</f>
        <v>6.6437209302325586</v>
      </c>
    </row>
    <row r="5" spans="3:17" ht="37" thickBot="1" x14ac:dyDescent="0.25">
      <c r="C5" s="347" t="s">
        <v>670</v>
      </c>
      <c r="D5" s="348">
        <v>1.2</v>
      </c>
      <c r="E5" s="348">
        <v>0</v>
      </c>
      <c r="F5" s="348">
        <v>0</v>
      </c>
      <c r="G5" s="348">
        <v>0</v>
      </c>
      <c r="H5" s="348">
        <v>0</v>
      </c>
      <c r="I5" s="348">
        <v>0</v>
      </c>
      <c r="K5">
        <f>K4/SUM(G4,G26)</f>
        <v>0.60782978723404246</v>
      </c>
    </row>
    <row r="6" spans="3:17" s="25" customFormat="1" ht="16" thickBot="1" x14ac:dyDescent="0.25">
      <c r="C6" s="347" t="s">
        <v>671</v>
      </c>
      <c r="D6" s="348">
        <v>0</v>
      </c>
      <c r="E6" s="349">
        <f>'VK-Elekter'!$G$43</f>
        <v>0.51</v>
      </c>
      <c r="F6" s="348">
        <v>0</v>
      </c>
      <c r="G6" s="349">
        <f>E6</f>
        <v>0.51</v>
      </c>
      <c r="H6" s="349">
        <f t="shared" ref="H6:I6" si="0">F6</f>
        <v>0</v>
      </c>
      <c r="I6" s="349">
        <f t="shared" si="0"/>
        <v>0.51</v>
      </c>
    </row>
    <row r="7" spans="3:17" s="25" customFormat="1" ht="25" thickBot="1" x14ac:dyDescent="0.25">
      <c r="C7" s="347" t="s">
        <v>672</v>
      </c>
      <c r="D7" s="348">
        <v>0.56000000000000005</v>
      </c>
      <c r="E7" s="349">
        <f>'VK-Elekter'!G46</f>
        <v>1.88</v>
      </c>
      <c r="F7" s="348">
        <v>0</v>
      </c>
      <c r="G7" s="349">
        <f>'VK-Elekter'!E46</f>
        <v>1.88</v>
      </c>
      <c r="H7" s="349">
        <f>'VK-Elekter'!F46</f>
        <v>1.88</v>
      </c>
      <c r="I7" s="349">
        <f>'VK-Elekter'!I46</f>
        <v>12.18</v>
      </c>
    </row>
    <row r="8" spans="3:17" ht="16" thickBot="1" x14ac:dyDescent="0.25">
      <c r="C8" s="347" t="s">
        <v>649</v>
      </c>
      <c r="D8" s="348">
        <v>0.49</v>
      </c>
      <c r="E8" s="348">
        <v>0.3</v>
      </c>
      <c r="F8" s="348">
        <v>0.3</v>
      </c>
      <c r="G8" s="348">
        <v>0.3</v>
      </c>
      <c r="H8" s="348">
        <v>0.3</v>
      </c>
      <c r="I8" s="348">
        <v>0.3</v>
      </c>
    </row>
    <row r="9" spans="3:17" ht="16" thickBot="1" x14ac:dyDescent="0.25">
      <c r="C9" s="347" t="s">
        <v>650</v>
      </c>
      <c r="D9" s="348">
        <v>11</v>
      </c>
      <c r="E9" s="349">
        <f>SUM('VK-Hooned-Soojus'!$G$98,'VK-Elekter'!G63)-E13</f>
        <v>11.3</v>
      </c>
      <c r="F9" s="349">
        <f>SUM('VK-Hooned-Soojus'!$G$98,'VK-Elekter'!H63)-F13</f>
        <v>20.48</v>
      </c>
      <c r="G9" s="349">
        <f>SUM('VK-Hooned-Soojus'!$G$98,'VK-Elekter'!E63)-G13</f>
        <v>11.3</v>
      </c>
      <c r="H9" s="349">
        <f>SUM('VK-Hooned-Soojus'!$G$98,'VK-Elekter'!F63)-H13</f>
        <v>11.3</v>
      </c>
      <c r="I9" s="349">
        <f>SUM('VK-Hooned-Soojus'!$G$98,'VK-Elekter'!I63)-I13</f>
        <v>11.3</v>
      </c>
      <c r="K9" s="351">
        <f>F9-12.3</f>
        <v>8.18</v>
      </c>
    </row>
    <row r="10" spans="3:17" ht="16" thickBot="1" x14ac:dyDescent="0.25">
      <c r="C10" s="347" t="s">
        <v>651</v>
      </c>
      <c r="D10" s="348">
        <v>0.4</v>
      </c>
      <c r="E10" s="348">
        <v>2.68</v>
      </c>
      <c r="F10" s="348">
        <v>0.54</v>
      </c>
      <c r="G10" s="348">
        <v>0.54</v>
      </c>
      <c r="H10" s="348">
        <v>0.54</v>
      </c>
      <c r="I10" s="348">
        <v>0.54</v>
      </c>
      <c r="N10" s="32" t="s">
        <v>661</v>
      </c>
      <c r="O10" s="32" t="s">
        <v>662</v>
      </c>
    </row>
    <row r="11" spans="3:17" ht="16" thickBot="1" x14ac:dyDescent="0.25">
      <c r="C11" s="347" t="s">
        <v>652</v>
      </c>
      <c r="D11" s="348">
        <v>0.1</v>
      </c>
      <c r="E11" s="349">
        <f>'VK-Elekter'!G42</f>
        <v>9.19</v>
      </c>
      <c r="F11" s="349">
        <f>'VK-Elekter'!H42</f>
        <v>0</v>
      </c>
      <c r="G11" s="349">
        <f>'VK-Elekter'!E42</f>
        <v>9.24</v>
      </c>
      <c r="H11" s="349">
        <f>'VK-Elekter'!F42</f>
        <v>9.25</v>
      </c>
      <c r="I11" s="349">
        <f>'VK-Elekter'!I42</f>
        <v>4.59</v>
      </c>
      <c r="L11" t="s">
        <v>660</v>
      </c>
      <c r="N11">
        <v>7.5694444444444446</v>
      </c>
      <c r="O11" t="s">
        <v>663</v>
      </c>
    </row>
    <row r="12" spans="3:17" ht="49" thickBot="1" x14ac:dyDescent="0.25">
      <c r="C12" s="347" t="s">
        <v>653</v>
      </c>
      <c r="D12" s="348">
        <v>0.1</v>
      </c>
      <c r="E12" s="348">
        <v>0.2</v>
      </c>
      <c r="F12" s="348">
        <v>0.2</v>
      </c>
      <c r="G12" s="348">
        <v>0.2</v>
      </c>
      <c r="H12" s="348">
        <v>0.2</v>
      </c>
      <c r="I12" s="348">
        <v>0.2</v>
      </c>
      <c r="L12">
        <f t="shared" ref="L12:Q12" si="1">D11/$N$11</f>
        <v>1.3211009174311927E-2</v>
      </c>
      <c r="M12" s="25">
        <f t="shared" si="1"/>
        <v>1.2140917431192659</v>
      </c>
      <c r="N12" s="25">
        <f t="shared" si="1"/>
        <v>0</v>
      </c>
      <c r="O12" s="25">
        <f t="shared" si="1"/>
        <v>1.220697247706422</v>
      </c>
      <c r="P12" s="25">
        <f t="shared" si="1"/>
        <v>1.2220183486238532</v>
      </c>
      <c r="Q12" s="25">
        <f t="shared" si="1"/>
        <v>0.60638532110091736</v>
      </c>
    </row>
    <row r="13" spans="3:17" ht="16" thickBot="1" x14ac:dyDescent="0.25">
      <c r="C13" s="347" t="s">
        <v>654</v>
      </c>
      <c r="D13" s="348">
        <v>0</v>
      </c>
      <c r="E13" s="348">
        <v>0.86</v>
      </c>
      <c r="F13" s="348">
        <v>0.86</v>
      </c>
      <c r="G13" s="348">
        <v>0.86</v>
      </c>
      <c r="H13" s="348">
        <v>0.86</v>
      </c>
      <c r="I13" s="348">
        <v>0.86</v>
      </c>
    </row>
    <row r="14" spans="3:17" ht="16" thickBot="1" x14ac:dyDescent="0.25">
      <c r="C14" s="347" t="s">
        <v>655</v>
      </c>
      <c r="D14" s="348">
        <v>0.13</v>
      </c>
      <c r="E14" s="349">
        <f>'VK-Elekter'!$I$41</f>
        <v>0.05</v>
      </c>
      <c r="F14" s="349">
        <f>'VK-Elekter'!$I$41</f>
        <v>0.05</v>
      </c>
      <c r="G14" s="349">
        <f>'VK-Elekter'!$I$41</f>
        <v>0.05</v>
      </c>
      <c r="H14" s="349">
        <f>'VK-Elekter'!$I$41</f>
        <v>0.05</v>
      </c>
      <c r="I14" s="349">
        <f>'VK-Elekter'!$I$41</f>
        <v>0.05</v>
      </c>
      <c r="K14" s="351"/>
      <c r="L14" s="351"/>
    </row>
    <row r="15" spans="3:17" ht="16" thickBot="1" x14ac:dyDescent="0.25">
      <c r="C15" s="347" t="s">
        <v>656</v>
      </c>
      <c r="D15" s="348">
        <v>0</v>
      </c>
      <c r="E15" s="348">
        <v>0.79</v>
      </c>
      <c r="F15" s="348">
        <v>0.79</v>
      </c>
      <c r="G15" s="348">
        <v>0.79</v>
      </c>
      <c r="H15" s="348">
        <v>0.79</v>
      </c>
      <c r="I15" s="348">
        <v>0.79</v>
      </c>
    </row>
    <row r="16" spans="3:17" ht="25" thickBot="1" x14ac:dyDescent="0.25">
      <c r="C16" s="347" t="s">
        <v>657</v>
      </c>
      <c r="D16" s="348">
        <v>0.04</v>
      </c>
      <c r="E16" s="348">
        <v>0.03</v>
      </c>
      <c r="F16" s="348">
        <v>0.03</v>
      </c>
      <c r="G16" s="348">
        <v>0.03</v>
      </c>
      <c r="H16" s="348">
        <v>0.03</v>
      </c>
      <c r="I16" s="348">
        <v>0.03</v>
      </c>
      <c r="L16" s="351"/>
    </row>
    <row r="17" spans="3:12" ht="16" thickBot="1" x14ac:dyDescent="0.25">
      <c r="C17" s="347" t="s">
        <v>658</v>
      </c>
      <c r="D17" s="348">
        <v>0</v>
      </c>
      <c r="E17" s="348">
        <v>0.04</v>
      </c>
      <c r="F17" s="348">
        <v>0.04</v>
      </c>
      <c r="G17" s="348">
        <v>0.04</v>
      </c>
      <c r="H17" s="348">
        <v>0.04</v>
      </c>
      <c r="I17" s="348">
        <v>0.04</v>
      </c>
      <c r="L17" s="351"/>
    </row>
    <row r="18" spans="3:12" s="25" customFormat="1" ht="16" thickBot="1" x14ac:dyDescent="0.25">
      <c r="C18" s="347" t="s">
        <v>664</v>
      </c>
      <c r="D18" s="350">
        <v>2.92</v>
      </c>
      <c r="E18" s="350">
        <f>'VK-Transport'!$G$23</f>
        <v>1.3656162530971774</v>
      </c>
      <c r="F18" s="350">
        <f>'VK-Transport'!$G$23</f>
        <v>1.3656162530971774</v>
      </c>
      <c r="G18" s="350">
        <f>'VK-Transport'!$G$23</f>
        <v>1.3656162530971774</v>
      </c>
      <c r="H18" s="350">
        <f>'VK-Transport'!$G$23</f>
        <v>1.3656162530971774</v>
      </c>
      <c r="I18" s="350">
        <f>'VK-Transport'!$G$23</f>
        <v>1.3656162530971774</v>
      </c>
      <c r="K18" s="351"/>
    </row>
    <row r="19" spans="3:12" s="25" customFormat="1" ht="25" thickBot="1" x14ac:dyDescent="0.25">
      <c r="C19" s="347" t="s">
        <v>665</v>
      </c>
      <c r="D19" s="350">
        <v>5.32</v>
      </c>
      <c r="E19" s="350">
        <f>'VK-Transport'!$G$24</f>
        <v>3.5579450813055762</v>
      </c>
      <c r="F19" s="350">
        <f>'VK-Transport'!$G$24</f>
        <v>3.5579450813055762</v>
      </c>
      <c r="G19" s="350">
        <f>'VK-Transport'!$G$24</f>
        <v>3.5579450813055762</v>
      </c>
      <c r="H19" s="350">
        <f>'VK-Transport'!$G$24</f>
        <v>3.5579450813055762</v>
      </c>
      <c r="I19" s="350">
        <f>'VK-Transport'!$G$24</f>
        <v>3.5579450813055762</v>
      </c>
    </row>
    <row r="20" spans="3:12" s="25" customFormat="1" ht="25" thickBot="1" x14ac:dyDescent="0.25">
      <c r="C20" s="347" t="s">
        <v>666</v>
      </c>
      <c r="D20" s="350">
        <v>0</v>
      </c>
      <c r="E20" s="350">
        <f>'VK-Transport'!$G$26</f>
        <v>0.45520541769905926</v>
      </c>
      <c r="F20" s="350">
        <f>'VK-Transport'!$G$26</f>
        <v>0.45520541769905926</v>
      </c>
      <c r="G20" s="350">
        <f>'VK-Transport'!$G$26</f>
        <v>0.45520541769905926</v>
      </c>
      <c r="H20" s="350">
        <f>'VK-Transport'!$G$26</f>
        <v>0.45520541769905926</v>
      </c>
      <c r="I20" s="350">
        <f>'VK-Transport'!$G$26</f>
        <v>0.45520541769905926</v>
      </c>
    </row>
    <row r="21" spans="3:12" s="25" customFormat="1" ht="25" thickBot="1" x14ac:dyDescent="0.25">
      <c r="C21" s="347" t="s">
        <v>667</v>
      </c>
      <c r="D21" s="350">
        <v>0</v>
      </c>
      <c r="E21" s="350">
        <f>'VK-Transport'!$G$28</f>
        <v>1.6667789905575772</v>
      </c>
      <c r="F21" s="350">
        <f>'VK-Transport'!$G$28</f>
        <v>1.6667789905575772</v>
      </c>
      <c r="G21" s="350">
        <f>'VK-Transport'!$G$28</f>
        <v>1.6667789905575772</v>
      </c>
      <c r="H21" s="350">
        <f>'VK-Transport'!$G$28</f>
        <v>1.6667789905575772</v>
      </c>
      <c r="I21" s="350">
        <f>'VK-Transport'!$G$28</f>
        <v>1.6667789905575772</v>
      </c>
    </row>
    <row r="22" spans="3:12" s="25" customFormat="1" ht="37" thickBot="1" x14ac:dyDescent="0.25">
      <c r="C22" s="352" t="s">
        <v>669</v>
      </c>
      <c r="D22" s="350">
        <v>0</v>
      </c>
      <c r="E22" s="350">
        <f>'VK-Elekter'!G61</f>
        <v>0.66</v>
      </c>
      <c r="F22" s="350">
        <f>'VK-Elekter'!H61</f>
        <v>3.65</v>
      </c>
      <c r="G22" s="350">
        <f>'VK-Elekter'!E61</f>
        <v>2.78</v>
      </c>
      <c r="H22" s="350">
        <f>'VK-Elekter'!F61</f>
        <v>2.78</v>
      </c>
      <c r="I22" s="350">
        <v>0</v>
      </c>
    </row>
    <row r="23" spans="3:12" ht="16" thickBot="1" x14ac:dyDescent="0.25">
      <c r="C23" s="347" t="s">
        <v>345</v>
      </c>
      <c r="D23" s="350">
        <f>SUM(D3:D21)-D6-D7</f>
        <v>66.5</v>
      </c>
      <c r="E23" s="350">
        <f>SUM(E3:E22)-E6-E7</f>
        <v>43.273025692597557</v>
      </c>
      <c r="F23" s="350">
        <f t="shared" ref="F23:I23" si="2">SUM(F3:F22)-F6-F7</f>
        <v>38.866514064690584</v>
      </c>
      <c r="G23" s="350">
        <f t="shared" si="2"/>
        <v>43.303025692597565</v>
      </c>
      <c r="H23" s="350">
        <f t="shared" si="2"/>
        <v>43.313025692597563</v>
      </c>
      <c r="I23" s="350">
        <f t="shared" si="2"/>
        <v>57.735137051238276</v>
      </c>
    </row>
    <row r="24" spans="3:12" x14ac:dyDescent="0.2">
      <c r="C24" s="352"/>
    </row>
    <row r="25" spans="3:12" x14ac:dyDescent="0.2">
      <c r="E25" s="257"/>
      <c r="F25" s="257"/>
      <c r="G25" s="257"/>
      <c r="H25" s="257"/>
      <c r="I25" s="257"/>
      <c r="K25" s="351"/>
    </row>
    <row r="26" spans="3:12" ht="36" x14ac:dyDescent="0.2">
      <c r="C26" s="353" t="s">
        <v>673</v>
      </c>
      <c r="E26" s="354">
        <f>KOMBI!AU137</f>
        <v>5.6837209302325586</v>
      </c>
      <c r="F26" s="354">
        <f>KOMBI!AU140</f>
        <v>0</v>
      </c>
      <c r="G26" s="354">
        <f>E26</f>
        <v>5.6837209302325586</v>
      </c>
      <c r="H26" s="354">
        <f>G26</f>
        <v>5.6837209302325586</v>
      </c>
      <c r="I26" s="354">
        <f>KOMBI!AU143</f>
        <v>29.428043680118964</v>
      </c>
      <c r="K26" s="351"/>
    </row>
    <row r="27" spans="3:12" x14ac:dyDescent="0.2">
      <c r="K27" s="351"/>
    </row>
    <row r="28" spans="3:12" x14ac:dyDescent="0.2">
      <c r="K28" s="351"/>
    </row>
    <row r="29" spans="3:12" x14ac:dyDescent="0.2">
      <c r="E29" s="351">
        <f>E26+E4</f>
        <v>10.930232558139537</v>
      </c>
    </row>
    <row r="30" spans="3:12" x14ac:dyDescent="0.2">
      <c r="E30">
        <f>E29/8.4*3.6</f>
        <v>4.6843853820598014</v>
      </c>
    </row>
  </sheetData>
  <pageMargins left="0.7" right="0.7" top="0.75" bottom="0.75" header="0.3" footer="0.3"/>
  <pageSetup paperSize="9" orientation="portrait"/>
  <legacy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K27"/>
  <sheetViews>
    <sheetView zoomScale="85" zoomScaleNormal="85" zoomScalePageLayoutView="85" workbookViewId="0">
      <selection activeCell="C22" sqref="C22:C23"/>
    </sheetView>
  </sheetViews>
  <sheetFormatPr baseColWidth="10" defaultColWidth="8.796875" defaultRowHeight="15" x14ac:dyDescent="0.2"/>
  <cols>
    <col min="2" max="2" width="1.59765625" style="30" customWidth="1"/>
    <col min="3" max="3" width="33" bestFit="1" customWidth="1"/>
    <col min="4" max="4" width="7.19921875" customWidth="1"/>
    <col min="5" max="5" width="15.796875" customWidth="1"/>
    <col min="6" max="6" width="15.59765625" customWidth="1"/>
    <col min="7" max="7" width="16" customWidth="1"/>
    <col min="8" max="8" width="1.3984375" style="30" customWidth="1"/>
    <col min="9" max="9" width="32.3984375" customWidth="1"/>
    <col min="10" max="10" width="0.796875" style="30" customWidth="1"/>
    <col min="11" max="11" width="32.19921875" customWidth="1"/>
  </cols>
  <sheetData>
    <row r="1" spans="1:11" x14ac:dyDescent="0.2">
      <c r="A1" s="30"/>
      <c r="C1" s="30"/>
      <c r="D1" s="30"/>
      <c r="E1" s="96" t="s">
        <v>10</v>
      </c>
      <c r="F1" s="96" t="s">
        <v>11</v>
      </c>
      <c r="G1" s="96" t="s">
        <v>12</v>
      </c>
      <c r="H1" s="33"/>
      <c r="I1" s="526" t="s">
        <v>398</v>
      </c>
      <c r="J1" s="527"/>
      <c r="K1" s="528"/>
    </row>
    <row r="2" spans="1:11" x14ac:dyDescent="0.2">
      <c r="A2" s="30"/>
      <c r="C2" s="30"/>
      <c r="D2" s="30"/>
      <c r="E2" s="96" t="s">
        <v>0</v>
      </c>
      <c r="F2" s="96" t="s">
        <v>1</v>
      </c>
      <c r="G2" s="96" t="s">
        <v>2</v>
      </c>
      <c r="H2" s="33"/>
      <c r="I2" s="97" t="s">
        <v>399</v>
      </c>
      <c r="J2" s="302"/>
      <c r="K2" s="98" t="s">
        <v>405</v>
      </c>
    </row>
    <row r="3" spans="1:11" s="30" customFormat="1" ht="3.5" customHeight="1" x14ac:dyDescent="0.2"/>
    <row r="4" spans="1:11" s="30" customFormat="1" ht="6" customHeight="1" x14ac:dyDescent="0.2"/>
    <row r="5" spans="1:11" x14ac:dyDescent="0.2">
      <c r="A5" s="29"/>
      <c r="C5" s="128" t="str">
        <f>HYPERLINK("http://www.energiatalgud.ee/index.php?title=M%C3%B5iste:SAIDI","SAIDI [minutit]")</f>
        <v>SAIDI [minutit]</v>
      </c>
      <c r="D5" s="29"/>
      <c r="E5" s="29">
        <v>130</v>
      </c>
      <c r="F5" s="29">
        <v>90</v>
      </c>
      <c r="G5" s="29">
        <v>30</v>
      </c>
      <c r="I5" s="81" t="str">
        <f>HYPERLINK("http://www.energiatalgud.ee/index.php?title=Elektritootmise_ja_-v%C3%B5rkude_ENMAK_stsenaariumid","Elektrivõrkude stsenaariumid")</f>
        <v>Elektrivõrkude stsenaariumid</v>
      </c>
      <c r="K5" s="81" t="str">
        <f t="shared" ref="K5:K8" si="0">HYPERLINK("https://onedrive.live.com/redir?resid=31206ECE3E1FC115!148&amp;authkey=!AH18zFvqLpSvqVM&amp;ithint=file%2cxlsx","Elektrivõrkude stsenaariumite tulemused")</f>
        <v>Elektrivõrkude stsenaariumite tulemused</v>
      </c>
    </row>
    <row r="6" spans="1:11" s="30" customFormat="1" ht="6" customHeight="1" x14ac:dyDescent="0.2"/>
    <row r="7" spans="1:11" s="27" customFormat="1" x14ac:dyDescent="0.2">
      <c r="C7" s="34" t="s">
        <v>409</v>
      </c>
      <c r="D7" s="34"/>
      <c r="E7" s="314">
        <f>E9+E8</f>
        <v>-959.05</v>
      </c>
      <c r="F7" s="314">
        <f t="shared" ref="F7:G7" si="1">F9+F8</f>
        <v>-1909.5</v>
      </c>
      <c r="G7" s="314">
        <f t="shared" si="1"/>
        <v>-4211.3</v>
      </c>
      <c r="I7" s="80" t="str">
        <f>HYPERLINK("http://www.energiatalgud.ee/index.php?title=Elektritootmise_ja_-v%C3%B5rkude_ENMAK_stsenaariumid","Elektrivõrkude stsenaariumid")</f>
        <v>Elektrivõrkude stsenaariumid</v>
      </c>
      <c r="J7" s="30"/>
      <c r="K7" s="80" t="str">
        <f t="shared" si="0"/>
        <v>Elektrivõrkude stsenaariumite tulemused</v>
      </c>
    </row>
    <row r="8" spans="1:11" s="27" customFormat="1" ht="14.5" customHeight="1" x14ac:dyDescent="0.2">
      <c r="C8" s="34" t="s">
        <v>229</v>
      </c>
      <c r="D8" s="34"/>
      <c r="E8" s="314">
        <v>286.95</v>
      </c>
      <c r="F8" s="314">
        <v>386.5</v>
      </c>
      <c r="G8" s="314">
        <v>482.7</v>
      </c>
      <c r="I8" s="80" t="str">
        <f>HYPERLINK("http://www.energiatalgud.ee/index.php?title=Elektritootmise_ja_-v%C3%B5rkude_ENMAK_stsenaariumid","Elektrivõrkude stsenaariumid")</f>
        <v>Elektrivõrkude stsenaariumid</v>
      </c>
      <c r="J8" s="30"/>
      <c r="K8" s="80" t="str">
        <f t="shared" si="0"/>
        <v>Elektrivõrkude stsenaariumite tulemused</v>
      </c>
    </row>
    <row r="9" spans="1:11" s="27" customFormat="1" x14ac:dyDescent="0.2">
      <c r="C9" s="34" t="s">
        <v>412</v>
      </c>
      <c r="D9" s="34"/>
      <c r="E9" s="314">
        <v>-1246</v>
      </c>
      <c r="F9" s="314">
        <v>-2296</v>
      </c>
      <c r="G9" s="314">
        <v>-4694</v>
      </c>
      <c r="I9" s="80" t="str">
        <f>HYPERLINK("http://www.energiatalgud.ee/index.php?title=Elektritootmise_ja_-v%C3%B5rkude_ENMAK_stsenaariumid","Elektrivõrkude stsenaariumid")</f>
        <v>Elektrivõrkude stsenaariumid</v>
      </c>
      <c r="J9" s="30"/>
      <c r="K9" s="80" t="str">
        <f>HYPERLINK("https://onedrive.live.com/redir?resid=31206ECE3E1FC115!148&amp;authkey=!AH18zFvqLpSvqVM&amp;ithint=file%2cxlsx","Elektrivõrkude stsenaariumite tulemused")</f>
        <v>Elektrivõrkude stsenaariumite tulemused</v>
      </c>
    </row>
    <row r="10" spans="1:11" s="30" customFormat="1" ht="7.75" customHeight="1" x14ac:dyDescent="0.2"/>
    <row r="11" spans="1:11" s="29" customFormat="1" ht="16.25" customHeight="1" x14ac:dyDescent="0.2">
      <c r="A11" s="245"/>
      <c r="B11" s="38"/>
      <c r="C11" s="260" t="s">
        <v>442</v>
      </c>
      <c r="D11" s="29" t="s">
        <v>446</v>
      </c>
      <c r="E11" s="136">
        <v>0</v>
      </c>
      <c r="F11" s="136">
        <v>0</v>
      </c>
      <c r="G11" s="136">
        <v>0</v>
      </c>
      <c r="H11" s="30"/>
      <c r="I11" s="79" t="str">
        <f t="shared" ref="I11:I15" si="2">HYPERLINK("http://www.energiatalgud.ee/index.php?title=ENMAK:Stsenaariumid#Stsenaariumite_majandusm.C3.B5ju","Stsenaariumite majandusmõju hinnang")</f>
        <v>Stsenaariumite majandusmõju hinnang</v>
      </c>
      <c r="J11" s="30"/>
      <c r="K11" s="79" t="str">
        <f t="shared" ref="K11:K15" si="3">HYPERLINK("http://www.energiatalgud.ee/img_auth.php/a/a9/ENMAK_2030%2B_stsenaariumite_majandusm%C3%B5ju_anal%C3%BC%C3%BCs._Arvutusmudel.xlsx","Majandusmõjude hinnang. Arvutusmudel")</f>
        <v>Majandusmõjude hinnang. Arvutusmudel</v>
      </c>
    </row>
    <row r="12" spans="1:11" s="29" customFormat="1" ht="16.25" customHeight="1" x14ac:dyDescent="0.2">
      <c r="A12" s="245"/>
      <c r="B12" s="38"/>
      <c r="C12" s="260" t="s">
        <v>441</v>
      </c>
      <c r="D12" s="29" t="s">
        <v>446</v>
      </c>
      <c r="E12" s="136">
        <v>-8.2845216663834762</v>
      </c>
      <c r="F12" s="136">
        <f>$E$12+F14</f>
        <v>208.48258679716903</v>
      </c>
      <c r="G12" s="136">
        <f>$E$12+G14</f>
        <v>478.90897189647359</v>
      </c>
      <c r="H12" s="30"/>
      <c r="I12" s="79" t="str">
        <f t="shared" si="2"/>
        <v>Stsenaariumite majandusmõju hinnang</v>
      </c>
      <c r="J12" s="30"/>
      <c r="K12" s="79" t="str">
        <f t="shared" si="3"/>
        <v>Majandusmõjude hinnang. Arvutusmudel</v>
      </c>
    </row>
    <row r="13" spans="1:11" s="29" customFormat="1" ht="16.25" customHeight="1" x14ac:dyDescent="0.2">
      <c r="A13" s="245"/>
      <c r="B13" s="38"/>
      <c r="C13" s="28" t="s">
        <v>443</v>
      </c>
      <c r="D13" s="29" t="s">
        <v>446</v>
      </c>
      <c r="E13" s="136">
        <v>0</v>
      </c>
      <c r="F13" s="136">
        <v>0</v>
      </c>
      <c r="G13" s="136">
        <v>0</v>
      </c>
      <c r="H13" s="30"/>
      <c r="I13" s="79" t="str">
        <f t="shared" si="2"/>
        <v>Stsenaariumite majandusmõju hinnang</v>
      </c>
      <c r="J13" s="30"/>
      <c r="K13" s="79" t="str">
        <f t="shared" si="3"/>
        <v>Majandusmõjude hinnang. Arvutusmudel</v>
      </c>
    </row>
    <row r="14" spans="1:11" s="29" customFormat="1" ht="16.25" customHeight="1" x14ac:dyDescent="0.2">
      <c r="A14" s="245"/>
      <c r="B14" s="38"/>
      <c r="C14" s="28" t="s">
        <v>444</v>
      </c>
      <c r="D14" s="29" t="s">
        <v>446</v>
      </c>
      <c r="E14" s="136">
        <v>0</v>
      </c>
      <c r="F14" s="136">
        <v>216.76710846355252</v>
      </c>
      <c r="G14" s="136">
        <v>487.19349356285704</v>
      </c>
      <c r="H14" s="30"/>
      <c r="I14" s="79" t="str">
        <f t="shared" si="2"/>
        <v>Stsenaariumite majandusmõju hinnang</v>
      </c>
      <c r="J14" s="30"/>
      <c r="K14" s="79" t="str">
        <f t="shared" si="3"/>
        <v>Majandusmõjude hinnang. Arvutusmudel</v>
      </c>
    </row>
    <row r="15" spans="1:11" s="29" customFormat="1" ht="16.25" hidden="1" customHeight="1" x14ac:dyDescent="0.2">
      <c r="A15" s="245"/>
      <c r="B15" s="38"/>
      <c r="C15" s="28" t="s">
        <v>434</v>
      </c>
      <c r="D15" s="29" t="s">
        <v>435</v>
      </c>
      <c r="E15" s="136">
        <v>-24.484949279976927</v>
      </c>
      <c r="F15" s="136">
        <f>E15+F16</f>
        <v>-2.1238499828531303</v>
      </c>
      <c r="G15" s="136">
        <f>F15+G16</f>
        <v>49.773483907548311</v>
      </c>
      <c r="H15" s="30"/>
      <c r="I15" s="79" t="str">
        <f t="shared" si="2"/>
        <v>Stsenaariumite majandusmõju hinnang</v>
      </c>
      <c r="J15" s="30"/>
      <c r="K15" s="79" t="str">
        <f t="shared" si="3"/>
        <v>Majandusmõjude hinnang. Arvutusmudel</v>
      </c>
    </row>
    <row r="16" spans="1:11" s="29" customFormat="1" ht="16.25" customHeight="1" x14ac:dyDescent="0.2">
      <c r="A16" s="123"/>
      <c r="B16" s="38"/>
      <c r="C16" s="28" t="s">
        <v>445</v>
      </c>
      <c r="D16" s="29" t="s">
        <v>435</v>
      </c>
      <c r="E16" s="136">
        <v>0</v>
      </c>
      <c r="F16" s="136">
        <v>22.361099297123797</v>
      </c>
      <c r="G16" s="136">
        <v>51.897333890401441</v>
      </c>
      <c r="H16" s="30"/>
      <c r="I16" s="79" t="str">
        <f>HYPERLINK("http://www.energiatalgud.ee/index.php?title=ENMAK:Stsenaariumid#Stsenaariumite_majandusm.C3.B5ju","Stsenaariumite majandusmõju hinnang")</f>
        <v>Stsenaariumite majandusmõju hinnang</v>
      </c>
      <c r="J16" s="30"/>
      <c r="K16" s="79" t="str">
        <f>HYPERLINK("http://www.energiatalgud.ee/img_auth.php/a/a9/ENMAK_2030%2B_stsenaariumite_majandusm%C3%B5ju_anal%C3%BC%C3%BCs._Arvutusmudel.xlsx","Majandusmõjude hinnang. Arvutusmudel")</f>
        <v>Majandusmõjude hinnang. Arvutusmudel</v>
      </c>
    </row>
    <row r="17" spans="1:11" s="29" customFormat="1" ht="16.25" hidden="1" customHeight="1" x14ac:dyDescent="0.2">
      <c r="A17" s="268"/>
      <c r="B17" s="38"/>
      <c r="C17" s="28" t="s">
        <v>526</v>
      </c>
      <c r="D17" s="29" t="s">
        <v>446</v>
      </c>
      <c r="E17" s="136">
        <v>-169.19275262151723</v>
      </c>
      <c r="F17" s="136">
        <f>$E$17+F18</f>
        <v>419.86887148179937</v>
      </c>
      <c r="G17" s="136">
        <f>$E$17+G18</f>
        <v>1153.2721698440394</v>
      </c>
      <c r="H17" s="30"/>
      <c r="I17" s="79" t="str">
        <f t="shared" ref="I17:I19" si="4">HYPERLINK("http://www.energiatalgud.ee/index.php?title=ENMAK:Stsenaariumid#Stsenaariumite_majandusm.C3.B5ju","Stsenaariumite majandusmõju hinnang")</f>
        <v>Stsenaariumite majandusmõju hinnang</v>
      </c>
      <c r="J17" s="30"/>
      <c r="K17" s="79" t="str">
        <f t="shared" ref="K17:K19" si="5">HYPERLINK("http://www.energiatalgud.ee/img_auth.php/a/a9/ENMAK_2030%2B_stsenaariumite_majandusm%C3%B5ju_anal%C3%BC%C3%BCs._Arvutusmudel.xlsx","Majandusmõjude hinnang. Arvutusmudel")</f>
        <v>Majandusmõjude hinnang. Arvutusmudel</v>
      </c>
    </row>
    <row r="18" spans="1:11" s="29" customFormat="1" ht="16.25" customHeight="1" x14ac:dyDescent="0.2">
      <c r="A18" s="268"/>
      <c r="B18" s="38"/>
      <c r="C18" s="28" t="s">
        <v>527</v>
      </c>
      <c r="D18" s="29" t="s">
        <v>446</v>
      </c>
      <c r="E18" s="136">
        <v>0</v>
      </c>
      <c r="F18" s="136">
        <v>589.0616241033166</v>
      </c>
      <c r="G18" s="136">
        <v>1322.4649224655566</v>
      </c>
      <c r="H18" s="30"/>
      <c r="I18" s="79" t="str">
        <f t="shared" si="4"/>
        <v>Stsenaariumite majandusmõju hinnang</v>
      </c>
      <c r="J18" s="30"/>
      <c r="K18" s="79" t="str">
        <f t="shared" si="5"/>
        <v>Majandusmõjude hinnang. Arvutusmudel</v>
      </c>
    </row>
    <row r="19" spans="1:11" s="29" customFormat="1" ht="16.25" customHeight="1" x14ac:dyDescent="0.2">
      <c r="A19" s="300"/>
      <c r="B19" s="38"/>
      <c r="C19" s="28" t="s">
        <v>556</v>
      </c>
      <c r="D19" s="29" t="s">
        <v>557</v>
      </c>
      <c r="E19" s="136">
        <v>0</v>
      </c>
      <c r="F19" s="136">
        <v>559.41614957093236</v>
      </c>
      <c r="G19" s="136">
        <v>1281.4481704091554</v>
      </c>
      <c r="H19" s="30"/>
      <c r="I19" s="79" t="str">
        <f t="shared" si="4"/>
        <v>Stsenaariumite majandusmõju hinnang</v>
      </c>
      <c r="J19" s="30"/>
      <c r="K19" s="79" t="str">
        <f t="shared" si="5"/>
        <v>Majandusmõjude hinnang. Arvutusmudel</v>
      </c>
    </row>
    <row r="20" spans="1:11" s="4" customFormat="1" ht="16.25" customHeight="1" x14ac:dyDescent="0.2">
      <c r="A20" s="529" t="s">
        <v>22</v>
      </c>
      <c r="B20" s="38"/>
      <c r="C20" s="28" t="s">
        <v>331</v>
      </c>
      <c r="D20" s="4" t="s">
        <v>21</v>
      </c>
      <c r="E20" s="104">
        <v>0</v>
      </c>
      <c r="F20" s="104">
        <v>1.6770856403807112E-3</v>
      </c>
      <c r="G20" s="104">
        <v>3.7627918351755912E-3</v>
      </c>
      <c r="H20" s="30"/>
      <c r="I20" s="79" t="str">
        <f>HYPERLINK("http://www.energiatalgud.ee/index.php?title=ENMAK:Stsenaariumid#Stsenaariumite_majandusm.C3.B5ju","Stsenaariumite majandusmõju hinnang")</f>
        <v>Stsenaariumite majandusmõju hinnang</v>
      </c>
      <c r="J20" s="30"/>
      <c r="K20" s="79" t="str">
        <f>HYPERLINK("http://www.energiatalgud.ee/img_auth.php/a/a9/ENMAK_2030%2B_stsenaariumite_majandusm%C3%B5ju_anal%C3%BC%C3%BCs._Arvutusmudel.xlsx","Majandusmõjude hinnang. Arvutusmudel")</f>
        <v>Majandusmõjude hinnang. Arvutusmudel</v>
      </c>
    </row>
    <row r="21" spans="1:11" s="4" customFormat="1" ht="16.25" customHeight="1" x14ac:dyDescent="0.2">
      <c r="A21" s="529"/>
      <c r="B21" s="38"/>
      <c r="C21" s="3" t="s">
        <v>15</v>
      </c>
      <c r="D21" s="4" t="s">
        <v>21</v>
      </c>
      <c r="E21" s="104">
        <v>0</v>
      </c>
      <c r="F21" s="104">
        <v>-2.4452661868141681E-3</v>
      </c>
      <c r="G21" s="104">
        <v>-5.5508545942094933E-3</v>
      </c>
      <c r="H21" s="30"/>
      <c r="I21" s="79" t="str">
        <f>HYPERLINK("http://www.energiatalgud.ee/index.php?title=ENMAK:Stsenaariumid#Stsenaariumite_majandusm.C3.B5ju","Stsenaariumite majandusmõju hinnang")</f>
        <v>Stsenaariumite majandusmõju hinnang</v>
      </c>
      <c r="J21" s="30"/>
      <c r="K21" s="79" t="str">
        <f>HYPERLINK("http://www.energiatalgud.ee/img_auth.php/a/a9/ENMAK_2030%2B_stsenaariumite_majandusm%C3%B5ju_anal%C3%BC%C3%BCs._Arvutusmudel.xlsx","Majandusmõjude hinnang. Arvutusmudel")</f>
        <v>Majandusmõjude hinnang. Arvutusmudel</v>
      </c>
    </row>
    <row r="22" spans="1:11" s="4" customFormat="1" ht="16.25" customHeight="1" x14ac:dyDescent="0.2">
      <c r="A22" s="529"/>
      <c r="B22" s="38"/>
      <c r="C22" s="28" t="s">
        <v>17</v>
      </c>
      <c r="D22" s="4" t="s">
        <v>21</v>
      </c>
      <c r="E22" s="104">
        <v>0</v>
      </c>
      <c r="F22" s="104">
        <v>1.6149395238003619E-3</v>
      </c>
      <c r="G22" s="104">
        <v>3.6360963794824699E-3</v>
      </c>
      <c r="H22" s="30"/>
      <c r="I22" s="79" t="str">
        <f>HYPERLINK("http://www.energiatalgud.ee/index.php?title=ENMAK:Stsenaariumid#Stsenaariumite_majandusm.C3.B5ju","Stsenaariumite majandusmõju hinnang")</f>
        <v>Stsenaariumite majandusmõju hinnang</v>
      </c>
      <c r="J22" s="30"/>
      <c r="K22" s="79" t="str">
        <f>HYPERLINK("http://www.energiatalgud.ee/img_auth.php/a/a9/ENMAK_2030%2B_stsenaariumite_majandusm%C3%B5ju_anal%C3%BC%C3%BCs._Arvutusmudel.xlsx","Majandusmõjude hinnang. Arvutusmudel")</f>
        <v>Majandusmõjude hinnang. Arvutusmudel</v>
      </c>
    </row>
    <row r="23" spans="1:11" s="4" customFormat="1" ht="16.25" customHeight="1" x14ac:dyDescent="0.2">
      <c r="A23" s="529"/>
      <c r="B23" s="38"/>
      <c r="C23" s="28" t="s">
        <v>16</v>
      </c>
      <c r="D23" s="4" t="s">
        <v>21</v>
      </c>
      <c r="E23" s="104">
        <v>0</v>
      </c>
      <c r="F23" s="104">
        <v>6.5298233985294774E-5</v>
      </c>
      <c r="G23" s="104">
        <v>1.4257812241408319E-4</v>
      </c>
      <c r="H23" s="30"/>
      <c r="I23" s="79" t="str">
        <f>HYPERLINK("http://www.energiatalgud.ee/index.php?title=ENMAK:Stsenaariumid#Stsenaariumite_majandusm.C3.B5ju","Stsenaariumite majandusmõju hinnang")</f>
        <v>Stsenaariumite majandusmõju hinnang</v>
      </c>
      <c r="J23" s="30"/>
      <c r="K23" s="79" t="str">
        <f>HYPERLINK("http://www.energiatalgud.ee/img_auth.php/a/a9/ENMAK_2030%2B_stsenaariumite_majandusm%C3%B5ju_anal%C3%BC%C3%BCs._Arvutusmudel.xlsx","Majandusmõjude hinnang. Arvutusmudel")</f>
        <v>Majandusmõjude hinnang. Arvutusmudel</v>
      </c>
    </row>
    <row r="24" spans="1:11" s="4" customFormat="1" ht="5" customHeight="1" x14ac:dyDescent="0.2">
      <c r="A24" s="529"/>
      <c r="B24" s="38"/>
      <c r="E24" s="105"/>
      <c r="F24" s="105"/>
      <c r="G24" s="105"/>
      <c r="H24" s="30"/>
      <c r="I24" s="29"/>
      <c r="J24" s="30"/>
      <c r="K24" s="29"/>
    </row>
    <row r="25" spans="1:11" s="4" customFormat="1" x14ac:dyDescent="0.2">
      <c r="A25" s="529"/>
      <c r="B25" s="38"/>
      <c r="C25" s="3" t="s">
        <v>18</v>
      </c>
      <c r="D25" s="4" t="s">
        <v>21</v>
      </c>
      <c r="E25" s="104">
        <v>0</v>
      </c>
      <c r="F25" s="104">
        <v>0</v>
      </c>
      <c r="G25" s="104">
        <v>0</v>
      </c>
      <c r="H25" s="30"/>
      <c r="I25" s="79" t="str">
        <f>HYPERLINK("http://www.energiatalgud.ee/index.php?title=ENMAK:Stsenaariumid#Stsenaariumite_majandusm.C3.B5ju","Stsenaariumite majandusmõju hinnang")</f>
        <v>Stsenaariumite majandusmõju hinnang</v>
      </c>
      <c r="J25" s="30"/>
      <c r="K25" s="79" t="str">
        <f>HYPERLINK("http://www.energiatalgud.ee/img_auth.php/a/a9/ENMAK_2030%2B_stsenaariumite_majandusm%C3%B5ju_anal%C3%BC%C3%BCs._Arvutusmudel.xlsx","Majandusmõjude hinnang. Arvutusmudel")</f>
        <v>Majandusmõjude hinnang. Arvutusmudel</v>
      </c>
    </row>
    <row r="26" spans="1:11" s="4" customFormat="1" x14ac:dyDescent="0.2">
      <c r="A26" s="529"/>
      <c r="B26" s="38"/>
      <c r="C26" s="3" t="s">
        <v>19</v>
      </c>
      <c r="D26" s="4" t="s">
        <v>21</v>
      </c>
      <c r="E26" s="104">
        <v>0</v>
      </c>
      <c r="F26" s="104">
        <v>0</v>
      </c>
      <c r="G26" s="104">
        <v>0</v>
      </c>
      <c r="H26" s="30"/>
      <c r="I26" s="79" t="str">
        <f>HYPERLINK("http://www.energiatalgud.ee/index.php?title=ENMAK:Stsenaariumid#Stsenaariumite_majandusm.C3.B5ju","Stsenaariumite majandusmõju hinnang")</f>
        <v>Stsenaariumite majandusmõju hinnang</v>
      </c>
      <c r="J26" s="30"/>
      <c r="K26" s="79" t="str">
        <f>HYPERLINK("http://www.energiatalgud.ee/img_auth.php/a/a9/ENMAK_2030%2B_stsenaariumite_majandusm%C3%B5ju_anal%C3%BC%C3%BCs._Arvutusmudel.xlsx","Majandusmõjude hinnang. Arvutusmudel")</f>
        <v>Majandusmõjude hinnang. Arvutusmudel</v>
      </c>
    </row>
    <row r="27" spans="1:11" s="4" customFormat="1" x14ac:dyDescent="0.2">
      <c r="A27" s="529"/>
      <c r="B27" s="38"/>
      <c r="C27" s="3" t="s">
        <v>20</v>
      </c>
      <c r="D27" s="4" t="s">
        <v>21</v>
      </c>
      <c r="E27" s="104">
        <v>0</v>
      </c>
      <c r="F27" s="104">
        <v>0</v>
      </c>
      <c r="G27" s="104">
        <v>0</v>
      </c>
      <c r="H27" s="30"/>
      <c r="I27" s="79" t="str">
        <f>HYPERLINK("http://www.energiatalgud.ee/index.php?title=ENMAK:Stsenaariumid#Stsenaariumite_majandusm.C3.B5ju","Stsenaariumite majandusmõju hinnang")</f>
        <v>Stsenaariumite majandusmõju hinnang</v>
      </c>
      <c r="J27" s="30"/>
      <c r="K27" s="79" t="str">
        <f>HYPERLINK("http://www.energiatalgud.ee/img_auth.php/a/a9/ENMAK_2030%2B_stsenaariumite_majandusm%C3%B5ju_anal%C3%BC%C3%BCs._Arvutusmudel.xlsx","Majandusmõjude hinnang. Arvutusmudel")</f>
        <v>Majandusmõjude hinnang. Arvutusmudel</v>
      </c>
    </row>
  </sheetData>
  <sheetProtection password="C627" sheet="1" objects="1" scenarios="1"/>
  <mergeCells count="2">
    <mergeCell ref="A20:A27"/>
    <mergeCell ref="I1:K1"/>
  </mergeCells>
  <pageMargins left="0.7" right="0.7" top="0.75" bottom="0.75" header="0.3" footer="0.3"/>
  <pageSetup paperSize="9" orientation="portrait" horizontalDpi="300" verticalDpi="300"/>
  <legacy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74"/>
  <sheetViews>
    <sheetView topLeftCell="A22" zoomScale="80" zoomScaleNormal="80" zoomScalePageLayoutView="80" workbookViewId="0">
      <selection activeCell="G43" sqref="G43"/>
    </sheetView>
  </sheetViews>
  <sheetFormatPr baseColWidth="10" defaultColWidth="8.796875" defaultRowHeight="15" x14ac:dyDescent="0.2"/>
  <cols>
    <col min="2" max="2" width="1.59765625" style="30" customWidth="1"/>
    <col min="3" max="3" width="43.3984375" bestFit="1" customWidth="1"/>
    <col min="5" max="5" width="15.796875" customWidth="1"/>
    <col min="6" max="6" width="15.59765625" customWidth="1"/>
    <col min="7" max="7" width="16" customWidth="1"/>
    <col min="8" max="8" width="1.19921875" style="30" customWidth="1"/>
    <col min="9" max="9" width="32.3984375" customWidth="1"/>
    <col min="10" max="10" width="0.796875" style="30" customWidth="1"/>
    <col min="11" max="11" width="42.796875" customWidth="1"/>
    <col min="12" max="12" width="0.3984375" style="247" customWidth="1"/>
    <col min="13" max="13" width="41.19921875" customWidth="1"/>
  </cols>
  <sheetData>
    <row r="1" spans="1:13" s="30" customFormat="1" x14ac:dyDescent="0.2">
      <c r="A1" s="33"/>
      <c r="B1" s="33"/>
      <c r="E1" s="96" t="s">
        <v>10</v>
      </c>
      <c r="F1" s="96" t="s">
        <v>11</v>
      </c>
      <c r="G1" s="96" t="s">
        <v>12</v>
      </c>
      <c r="H1" s="33"/>
      <c r="I1" s="526" t="s">
        <v>398</v>
      </c>
      <c r="J1" s="527"/>
      <c r="K1" s="527"/>
      <c r="L1" s="527"/>
      <c r="M1" s="527"/>
    </row>
    <row r="2" spans="1:13" s="30" customFormat="1" x14ac:dyDescent="0.2">
      <c r="A2" s="33"/>
      <c r="B2" s="33"/>
      <c r="E2" s="96" t="s">
        <v>0</v>
      </c>
      <c r="F2" s="96" t="s">
        <v>1</v>
      </c>
      <c r="G2" s="96" t="s">
        <v>2</v>
      </c>
      <c r="H2" s="33"/>
      <c r="I2" s="97" t="s">
        <v>399</v>
      </c>
      <c r="J2" s="97"/>
      <c r="K2" s="526" t="s">
        <v>405</v>
      </c>
      <c r="L2" s="527"/>
      <c r="M2" s="527"/>
    </row>
    <row r="3" spans="1:13" s="30" customFormat="1" x14ac:dyDescent="0.2">
      <c r="A3" s="33"/>
      <c r="B3" s="33"/>
      <c r="L3" s="247"/>
    </row>
    <row r="4" spans="1:13" s="29" customFormat="1" x14ac:dyDescent="0.2">
      <c r="A4" s="530" t="s">
        <v>140</v>
      </c>
      <c r="B4" s="33"/>
      <c r="C4" s="28" t="s">
        <v>141</v>
      </c>
      <c r="D4" s="29" t="s">
        <v>27</v>
      </c>
      <c r="E4" s="40">
        <v>0</v>
      </c>
      <c r="F4" s="40">
        <v>0.75</v>
      </c>
      <c r="G4" s="40">
        <v>1.65</v>
      </c>
      <c r="H4" s="30"/>
      <c r="I4" s="79" t="str">
        <f>HYPERLINK("http://www.energiatalgud.ee/index.php?title=K%C3%BCtuste_ENMAK_stsenaariumid","Kütuste stsenaariumid")</f>
        <v>Kütuste stsenaariumid</v>
      </c>
      <c r="J4" s="30"/>
      <c r="K4" s="79" t="str">
        <f>HYPERLINK("https://onedrive.live.com/redir?resid=31206ECE3E1FC115!139&amp;authkey=!AEJb9_q4PQQJAyc&amp;ithint=file%2cxlsx","Kohalike biokütuste stsenaariumite tulemused")</f>
        <v>Kohalike biokütuste stsenaariumite tulemused</v>
      </c>
      <c r="L4" s="247"/>
    </row>
    <row r="5" spans="1:13" s="29" customFormat="1" x14ac:dyDescent="0.2">
      <c r="A5" s="530"/>
      <c r="B5" s="33"/>
      <c r="C5" s="28" t="s">
        <v>142</v>
      </c>
      <c r="D5" s="29" t="s">
        <v>27</v>
      </c>
      <c r="E5" s="40">
        <v>0</v>
      </c>
      <c r="F5" s="40">
        <v>1.391</v>
      </c>
      <c r="G5" s="40">
        <v>2.63</v>
      </c>
      <c r="H5" s="30"/>
      <c r="I5" s="79" t="str">
        <f>HYPERLINK("http://www.energiatalgud.ee/index.php?title=K%C3%BCtuste_ENMAK_stsenaariumid","Kütuste stsenaariumid")</f>
        <v>Kütuste stsenaariumid</v>
      </c>
      <c r="J5" s="30"/>
      <c r="K5" s="79" t="str">
        <f>HYPERLINK("https://onedrive.live.com/redir?resid=31206ECE3E1FC115!139&amp;authkey=!AEJb9_q4PQQJAyc&amp;ithint=file%2cxlsx","Kohalike biokütuste stsenaariumite tulemused")</f>
        <v>Kohalike biokütuste stsenaariumite tulemused</v>
      </c>
      <c r="L5" s="247"/>
    </row>
    <row r="6" spans="1:13" s="29" customFormat="1" x14ac:dyDescent="0.2">
      <c r="A6" s="530"/>
      <c r="B6" s="33"/>
      <c r="C6" s="28"/>
      <c r="E6" s="40"/>
      <c r="F6" s="40"/>
      <c r="G6" s="40"/>
      <c r="H6" s="30"/>
      <c r="J6" s="30"/>
      <c r="L6" s="247"/>
    </row>
    <row r="7" spans="1:13" s="29" customFormat="1" x14ac:dyDescent="0.2">
      <c r="A7" s="530"/>
      <c r="B7" s="33"/>
      <c r="C7" s="28" t="s">
        <v>186</v>
      </c>
      <c r="D7" s="29" t="s">
        <v>27</v>
      </c>
      <c r="E7" s="40">
        <f>SUM(E4:E5)</f>
        <v>0</v>
      </c>
      <c r="F7" s="40">
        <f>SUM(F4:F5)</f>
        <v>2.141</v>
      </c>
      <c r="G7" s="40">
        <f>SUM(G4:G5)</f>
        <v>4.2799999999999994</v>
      </c>
      <c r="H7" s="30"/>
      <c r="I7" s="29" t="s">
        <v>223</v>
      </c>
      <c r="J7" s="30"/>
      <c r="K7" s="29" t="s">
        <v>223</v>
      </c>
      <c r="L7" s="247"/>
    </row>
    <row r="8" spans="1:13" s="30" customFormat="1" ht="4.25" customHeight="1" x14ac:dyDescent="0.2">
      <c r="A8" s="33"/>
      <c r="B8" s="33"/>
      <c r="C8" s="31"/>
      <c r="L8" s="247"/>
    </row>
    <row r="9" spans="1:13" s="27" customFormat="1" x14ac:dyDescent="0.2">
      <c r="A9" s="531"/>
      <c r="B9" s="37"/>
      <c r="C9" s="44" t="s">
        <v>442</v>
      </c>
      <c r="D9" s="27" t="s">
        <v>13</v>
      </c>
      <c r="E9" s="259">
        <f>IF(Tulemused!$BF$8=data!$J52,E12,E13)+E11+E10</f>
        <v>0</v>
      </c>
      <c r="F9" s="259">
        <f>IF(Tulemused!$BF$8=data!$J52,F12,F13)+F11+F10</f>
        <v>-437.22869609954267</v>
      </c>
      <c r="G9" s="259">
        <f>IF(Tulemused!$BF$8=data!$J52,G12,G13)+G11+G10</f>
        <v>-600.04558644406939</v>
      </c>
      <c r="H9" s="30"/>
      <c r="I9" s="80" t="str">
        <f>HYPERLINK("http://www.energiatalgud.ee/index.php?title=K%C3%BCtuste_ENMAK_stsenaariumid","Kütuste stsenaariumid")</f>
        <v>Kütuste stsenaariumid</v>
      </c>
      <c r="J9" s="30"/>
      <c r="K9" s="80" t="str">
        <f>HYPERLINK("https://onedrive.live.com/redir?resid=31206ECE3E1FC115!139&amp;authkey=!AEJb9_q4PQQJAyc&amp;ithint=file%2cxlsx","Kohalike biokütuste stsenaariumite tulemused")</f>
        <v>Kohalike biokütuste stsenaariumite tulemused</v>
      </c>
      <c r="L9" s="247"/>
    </row>
    <row r="10" spans="1:13" s="27" customFormat="1" x14ac:dyDescent="0.2">
      <c r="A10" s="531"/>
      <c r="B10" s="37"/>
      <c r="C10" s="34" t="s">
        <v>133</v>
      </c>
      <c r="D10" s="27" t="s">
        <v>13</v>
      </c>
      <c r="E10" s="259">
        <v>0</v>
      </c>
      <c r="F10" s="259">
        <v>-34.5321000309117</v>
      </c>
      <c r="G10" s="259">
        <v>-41.419474763939398</v>
      </c>
      <c r="H10" s="22"/>
      <c r="I10" s="80" t="str">
        <f t="shared" ref="I10:I13" si="0">HYPERLINK("http://www.energiatalgud.ee/index.php?title=K%C3%BCtuste_ENMAK_stsenaariumid","Kütuste stsenaariumid")</f>
        <v>Kütuste stsenaariumid</v>
      </c>
      <c r="J10" s="30"/>
      <c r="K10" s="80" t="str">
        <f t="shared" ref="K10:K13" si="1">HYPERLINK("https://onedrive.live.com/redir?resid=31206ECE3E1FC115!139&amp;authkey=!AEJb9_q4PQQJAyc&amp;ithint=file%2cxlsx","Kohalike biokütuste stsenaariumite tulemused")</f>
        <v>Kohalike biokütuste stsenaariumite tulemused</v>
      </c>
      <c r="L10" s="247"/>
    </row>
    <row r="11" spans="1:13" s="27" customFormat="1" x14ac:dyDescent="0.2">
      <c r="A11" s="531"/>
      <c r="B11" s="37"/>
      <c r="C11" s="34" t="s">
        <v>132</v>
      </c>
      <c r="D11" s="27" t="s">
        <v>13</v>
      </c>
      <c r="E11" s="259">
        <v>0</v>
      </c>
      <c r="F11" s="259">
        <f>-42</f>
        <v>-42</v>
      </c>
      <c r="G11" s="259">
        <f>-92</f>
        <v>-92</v>
      </c>
      <c r="H11" s="22"/>
      <c r="I11" s="80" t="str">
        <f t="shared" si="0"/>
        <v>Kütuste stsenaariumid</v>
      </c>
      <c r="J11" s="30"/>
      <c r="K11" s="80" t="str">
        <f t="shared" si="1"/>
        <v>Kohalike biokütuste stsenaariumite tulemused</v>
      </c>
      <c r="L11" s="247"/>
      <c r="M11" s="124"/>
    </row>
    <row r="12" spans="1:13" s="27" customFormat="1" x14ac:dyDescent="0.2">
      <c r="A12" s="531"/>
      <c r="B12" s="37"/>
      <c r="C12" s="34" t="s">
        <v>134</v>
      </c>
      <c r="D12" s="27" t="s">
        <v>13</v>
      </c>
      <c r="E12" s="259">
        <v>0</v>
      </c>
      <c r="F12" s="259">
        <v>-17.408586288689499</v>
      </c>
      <c r="G12" s="259">
        <v>-26.6251201296989</v>
      </c>
      <c r="H12" s="22"/>
      <c r="I12" s="80" t="str">
        <f t="shared" si="0"/>
        <v>Kütuste stsenaariumid</v>
      </c>
      <c r="J12" s="30"/>
      <c r="K12" s="80" t="str">
        <f t="shared" si="1"/>
        <v>Kohalike biokütuste stsenaariumite tulemused</v>
      </c>
      <c r="L12" s="247"/>
    </row>
    <row r="13" spans="1:13" s="27" customFormat="1" x14ac:dyDescent="0.2">
      <c r="A13" s="531"/>
      <c r="B13" s="37"/>
      <c r="C13" s="34" t="s">
        <v>135</v>
      </c>
      <c r="D13" s="27" t="s">
        <v>13</v>
      </c>
      <c r="E13" s="259">
        <v>0</v>
      </c>
      <c r="F13" s="259">
        <v>-360.69659606863098</v>
      </c>
      <c r="G13" s="259">
        <v>-466.62611168013001</v>
      </c>
      <c r="H13" s="22"/>
      <c r="I13" s="80" t="str">
        <f t="shared" si="0"/>
        <v>Kütuste stsenaariumid</v>
      </c>
      <c r="J13" s="30"/>
      <c r="K13" s="80" t="str">
        <f t="shared" si="1"/>
        <v>Kohalike biokütuste stsenaariumite tulemused</v>
      </c>
      <c r="L13" s="247"/>
    </row>
    <row r="14" spans="1:13" s="30" customFormat="1" ht="5.5" customHeight="1" x14ac:dyDescent="0.2">
      <c r="A14" s="531"/>
      <c r="B14" s="37"/>
      <c r="C14" s="31"/>
      <c r="L14" s="247"/>
    </row>
    <row r="15" spans="1:13" s="27" customFormat="1" ht="16.25" hidden="1" customHeight="1" x14ac:dyDescent="0.2">
      <c r="A15" s="531"/>
      <c r="B15" s="37"/>
      <c r="C15" s="80"/>
      <c r="D15" s="80"/>
      <c r="E15" s="80"/>
      <c r="F15" s="80"/>
      <c r="G15" s="80"/>
      <c r="H15" s="30"/>
      <c r="I15" s="80"/>
      <c r="J15" s="30"/>
      <c r="L15" s="247"/>
    </row>
    <row r="16" spans="1:13" s="27" customFormat="1" ht="16.25" hidden="1" customHeight="1" x14ac:dyDescent="0.2">
      <c r="A16" s="531"/>
      <c r="B16" s="37"/>
      <c r="C16" s="80"/>
      <c r="D16" s="80"/>
      <c r="E16" s="80"/>
      <c r="F16" s="80"/>
      <c r="G16" s="80"/>
      <c r="H16" s="30"/>
      <c r="I16" s="80"/>
      <c r="J16" s="30"/>
      <c r="K16" s="80"/>
      <c r="L16" s="247"/>
    </row>
    <row r="17" spans="1:13" s="27" customFormat="1" ht="16.25" hidden="1" customHeight="1" x14ac:dyDescent="0.2">
      <c r="A17" s="531"/>
      <c r="B17" s="37"/>
      <c r="C17" s="80"/>
      <c r="D17" s="80"/>
      <c r="E17" s="80"/>
      <c r="F17" s="80"/>
      <c r="G17" s="80"/>
      <c r="H17" s="30"/>
      <c r="I17" s="80"/>
      <c r="J17" s="30"/>
      <c r="K17" s="80"/>
      <c r="L17" s="247"/>
    </row>
    <row r="18" spans="1:13" s="27" customFormat="1" hidden="1" x14ac:dyDescent="0.2">
      <c r="A18" s="531"/>
      <c r="B18" s="37"/>
      <c r="C18" s="80"/>
      <c r="D18" s="80"/>
      <c r="E18" s="80"/>
      <c r="F18" s="80"/>
      <c r="G18" s="80"/>
      <c r="H18" s="30"/>
      <c r="J18" s="30"/>
      <c r="L18" s="247"/>
    </row>
    <row r="19" spans="1:13" s="27" customFormat="1" hidden="1" x14ac:dyDescent="0.2">
      <c r="A19" s="531"/>
      <c r="B19" s="37"/>
      <c r="C19" s="80"/>
      <c r="D19" s="80"/>
      <c r="E19" s="80"/>
      <c r="F19" s="80"/>
      <c r="G19" s="80"/>
      <c r="H19" s="30"/>
      <c r="J19" s="30"/>
      <c r="L19" s="247"/>
    </row>
    <row r="20" spans="1:13" s="27" customFormat="1" x14ac:dyDescent="0.2">
      <c r="A20" s="531"/>
      <c r="B20" s="37"/>
      <c r="C20" s="42" t="s">
        <v>429</v>
      </c>
      <c r="D20" s="43" t="s">
        <v>365</v>
      </c>
      <c r="E20" s="134">
        <f>SUM(E21:E22)</f>
        <v>0</v>
      </c>
      <c r="F20" s="118">
        <f>SUM(F21:F22)</f>
        <v>212</v>
      </c>
      <c r="G20" s="118">
        <f>SUM(G21:G22)</f>
        <v>289</v>
      </c>
      <c r="H20" s="30"/>
      <c r="I20" s="114" t="s">
        <v>223</v>
      </c>
      <c r="J20" s="125"/>
      <c r="K20" s="114" t="s">
        <v>223</v>
      </c>
      <c r="L20" s="247"/>
    </row>
    <row r="21" spans="1:13" s="27" customFormat="1" x14ac:dyDescent="0.2">
      <c r="A21" s="531"/>
      <c r="B21" s="37"/>
      <c r="C21" s="26" t="s">
        <v>430</v>
      </c>
      <c r="D21" s="27" t="s">
        <v>432</v>
      </c>
      <c r="E21" s="92">
        <f t="shared" ref="E21:E22" si="2">SUM(E22:E23)</f>
        <v>0</v>
      </c>
      <c r="F21" s="90">
        <v>189</v>
      </c>
      <c r="G21" s="90">
        <v>189</v>
      </c>
      <c r="H21" s="30"/>
      <c r="I21" s="80" t="str">
        <f t="shared" ref="I21:I22" si="3">HYPERLINK("http://www.energiatalgud.ee/index.php?title=K%C3%BCtuste_ENMAK_stsenaariumid","Kütuste stsenaariumid")</f>
        <v>Kütuste stsenaariumid</v>
      </c>
      <c r="J21" s="30"/>
      <c r="K21" s="80" t="str">
        <f t="shared" ref="K21:K22" si="4">HYPERLINK("https://onedrive.live.com/redir?resid=31206ECE3E1FC115!139&amp;authkey=!AEJb9_q4PQQJAyc&amp;ithint=file%2cxlsx","Kohalike biokütuste stsenaariumite tulemused")</f>
        <v>Kohalike biokütuste stsenaariumite tulemused</v>
      </c>
      <c r="L21" s="247"/>
    </row>
    <row r="22" spans="1:13" s="27" customFormat="1" x14ac:dyDescent="0.2">
      <c r="A22" s="531"/>
      <c r="B22" s="37"/>
      <c r="C22" s="26" t="s">
        <v>431</v>
      </c>
      <c r="D22" s="27" t="s">
        <v>432</v>
      </c>
      <c r="E22" s="92">
        <f t="shared" si="2"/>
        <v>0</v>
      </c>
      <c r="F22" s="90">
        <v>23</v>
      </c>
      <c r="G22" s="90">
        <v>100</v>
      </c>
      <c r="H22" s="30"/>
      <c r="I22" s="80" t="str">
        <f t="shared" si="3"/>
        <v>Kütuste stsenaariumid</v>
      </c>
      <c r="J22" s="30"/>
      <c r="K22" s="80" t="str">
        <f t="shared" si="4"/>
        <v>Kohalike biokütuste stsenaariumite tulemused</v>
      </c>
      <c r="L22" s="247"/>
    </row>
    <row r="23" spans="1:13" s="27" customFormat="1" x14ac:dyDescent="0.2">
      <c r="A23" s="531"/>
      <c r="B23" s="37"/>
      <c r="C23" s="42" t="s">
        <v>366</v>
      </c>
      <c r="D23" s="43" t="s">
        <v>365</v>
      </c>
      <c r="E23" s="134">
        <f>SUM(E24:E25)</f>
        <v>0</v>
      </c>
      <c r="F23" s="118">
        <f>SUM(F24:F25)</f>
        <v>377.5</v>
      </c>
      <c r="G23" s="118">
        <f>SUM(G24:G25)</f>
        <v>586.20000000000005</v>
      </c>
      <c r="H23" s="30"/>
      <c r="I23" s="114" t="s">
        <v>223</v>
      </c>
      <c r="J23" s="125"/>
      <c r="K23" s="114" t="s">
        <v>223</v>
      </c>
      <c r="L23" s="247"/>
    </row>
    <row r="24" spans="1:13" s="27" customFormat="1" x14ac:dyDescent="0.2">
      <c r="A24" s="36"/>
      <c r="B24" s="37"/>
      <c r="C24" s="26" t="s">
        <v>143</v>
      </c>
      <c r="D24" s="27" t="s">
        <v>433</v>
      </c>
      <c r="E24" s="92">
        <v>0</v>
      </c>
      <c r="F24" s="90">
        <v>189</v>
      </c>
      <c r="G24" s="90">
        <v>415.8</v>
      </c>
      <c r="H24" s="30"/>
      <c r="I24" s="80" t="str">
        <f t="shared" ref="I24:I27" si="5">HYPERLINK("http://www.energiatalgud.ee/index.php?title=K%C3%BCtuste_ENMAK_stsenaariumid","Kütuste stsenaariumid")</f>
        <v>Kütuste stsenaariumid</v>
      </c>
      <c r="J24" s="30"/>
      <c r="K24" s="80" t="str">
        <f t="shared" ref="K24:K27" si="6">HYPERLINK("https://onedrive.live.com/redir?resid=31206ECE3E1FC115!139&amp;authkey=!AEJb9_q4PQQJAyc&amp;ithint=file%2cxlsx","Kohalike biokütuste stsenaariumite tulemused")</f>
        <v>Kohalike biokütuste stsenaariumite tulemused</v>
      </c>
      <c r="L24" s="247"/>
    </row>
    <row r="25" spans="1:13" s="27" customFormat="1" x14ac:dyDescent="0.2">
      <c r="A25" s="36"/>
      <c r="B25" s="37"/>
      <c r="C25" s="26" t="s">
        <v>144</v>
      </c>
      <c r="D25" s="27" t="s">
        <v>408</v>
      </c>
      <c r="E25" s="92">
        <v>0</v>
      </c>
      <c r="F25" s="90">
        <v>188.5</v>
      </c>
      <c r="G25" s="90">
        <v>170.4</v>
      </c>
      <c r="H25" s="30"/>
      <c r="I25" s="80" t="str">
        <f t="shared" si="5"/>
        <v>Kütuste stsenaariumid</v>
      </c>
      <c r="J25" s="30"/>
      <c r="K25" s="80" t="str">
        <f t="shared" si="6"/>
        <v>Kohalike biokütuste stsenaariumite tulemused</v>
      </c>
      <c r="L25" s="247"/>
    </row>
    <row r="26" spans="1:13" s="27" customFormat="1" x14ac:dyDescent="0.2">
      <c r="A26" s="342"/>
      <c r="B26" s="37"/>
      <c r="C26" s="26"/>
      <c r="E26" s="92"/>
      <c r="F26" s="90"/>
      <c r="G26" s="90"/>
      <c r="H26" s="30"/>
      <c r="I26" s="80"/>
      <c r="J26" s="30"/>
      <c r="K26" s="80"/>
      <c r="L26" s="247"/>
    </row>
    <row r="27" spans="1:13" s="27" customFormat="1" x14ac:dyDescent="0.2">
      <c r="A27" s="342"/>
      <c r="B27" s="37"/>
      <c r="C27" s="26" t="s">
        <v>668</v>
      </c>
      <c r="D27" s="27" t="s">
        <v>27</v>
      </c>
      <c r="E27" s="92">
        <v>0</v>
      </c>
      <c r="F27" s="344">
        <f>2599.4/3.6/1000</f>
        <v>0.72205555555555556</v>
      </c>
      <c r="G27" s="344">
        <f>5170.3/3.6/1000</f>
        <v>1.4361944444444446</v>
      </c>
      <c r="H27" s="30"/>
      <c r="I27" s="80" t="str">
        <f t="shared" si="5"/>
        <v>Kütuste stsenaariumid</v>
      </c>
      <c r="J27" s="30"/>
      <c r="K27" s="80" t="str">
        <f t="shared" si="6"/>
        <v>Kohalike biokütuste stsenaariumite tulemused</v>
      </c>
      <c r="L27" s="247"/>
    </row>
    <row r="28" spans="1:13" s="27" customFormat="1" x14ac:dyDescent="0.2">
      <c r="A28" s="77"/>
      <c r="B28" s="37"/>
      <c r="C28" s="26"/>
      <c r="E28" s="41"/>
      <c r="F28" s="41"/>
      <c r="G28" s="41"/>
      <c r="H28" s="30"/>
      <c r="J28" s="30"/>
      <c r="L28" s="247"/>
    </row>
    <row r="29" spans="1:13" s="27" customFormat="1" hidden="1" x14ac:dyDescent="0.2">
      <c r="A29" s="77"/>
      <c r="B29" s="37"/>
      <c r="C29" s="26" t="s">
        <v>308</v>
      </c>
      <c r="D29" s="27" t="s">
        <v>13</v>
      </c>
      <c r="E29" s="92">
        <v>0</v>
      </c>
      <c r="F29" s="90">
        <f>456.9+499</f>
        <v>955.9</v>
      </c>
      <c r="G29" s="90">
        <f>946.3+1070</f>
        <v>2016.3</v>
      </c>
      <c r="H29" s="30"/>
      <c r="I29" s="80" t="str">
        <f t="shared" ref="I29:I31" si="7">HYPERLINK("http://www.energiatalgud.ee/index.php?title=K%C3%BCtuste_ENMAK_stsenaariumid","Kütuste stsenaariumid")</f>
        <v>Kütuste stsenaariumid</v>
      </c>
      <c r="J29" s="30"/>
      <c r="K29" s="80" t="str">
        <f>HYPERLINK("http://www.energiatalgud.ee/img_auth.php/a/a9/ENMAK_2030%2B_stsenaariumite_majandusm%C3%B5ju_anal%C3%BC%C3%BCs._Arvutusmudel.xlsx","Majandusmõjude hinnang. Arvutusmudel")</f>
        <v>Majandusmõjude hinnang. Arvutusmudel</v>
      </c>
      <c r="L29" s="247"/>
      <c r="M29" s="80" t="str">
        <f t="shared" ref="M29:M31" si="8">HYPERLINK("https://onedrive.live.com/redir?resid=31206ECE3E1FC115!139&amp;authkey=!AEJb9_q4PQQJAyc&amp;ithint=file%2cxlsx","Kohalike biokütuste stsenaariumite tulemused")</f>
        <v>Kohalike biokütuste stsenaariumite tulemused</v>
      </c>
    </row>
    <row r="30" spans="1:13" s="27" customFormat="1" hidden="1" x14ac:dyDescent="0.2">
      <c r="A30" s="77"/>
      <c r="B30" s="37"/>
      <c r="C30" s="26" t="s">
        <v>305</v>
      </c>
      <c r="D30" s="27" t="s">
        <v>13</v>
      </c>
      <c r="E30" s="41"/>
      <c r="F30" s="85"/>
      <c r="G30" s="85"/>
      <c r="H30" s="30"/>
      <c r="I30" s="80" t="str">
        <f t="shared" si="7"/>
        <v>Kütuste stsenaariumid</v>
      </c>
      <c r="J30" s="30"/>
      <c r="K30" s="80" t="str">
        <f>HYPERLINK("http://www.energiatalgud.ee/img_auth.php/a/a9/ENMAK_2030%2B_stsenaariumite_majandusm%C3%B5ju_anal%C3%BC%C3%BCs._Arvutusmudel.xlsx","Majandusmõjude hinnang. Arvutusmudel")</f>
        <v>Majandusmõjude hinnang. Arvutusmudel</v>
      </c>
      <c r="L30" s="247"/>
      <c r="M30" s="80" t="str">
        <f t="shared" si="8"/>
        <v>Kohalike biokütuste stsenaariumite tulemused</v>
      </c>
    </row>
    <row r="31" spans="1:13" s="27" customFormat="1" hidden="1" x14ac:dyDescent="0.2">
      <c r="A31" s="77"/>
      <c r="B31" s="37"/>
      <c r="C31" s="26" t="s">
        <v>306</v>
      </c>
      <c r="D31" s="27" t="s">
        <v>13</v>
      </c>
      <c r="E31" s="41"/>
      <c r="F31" s="76"/>
      <c r="G31" s="76"/>
      <c r="H31" s="30"/>
      <c r="I31" s="80" t="str">
        <f t="shared" si="7"/>
        <v>Kütuste stsenaariumid</v>
      </c>
      <c r="J31" s="30"/>
      <c r="K31" s="80" t="str">
        <f>HYPERLINK("http://www.energiatalgud.ee/img_auth.php/a/a9/ENMAK_2030%2B_stsenaariumite_majandusm%C3%B5ju_anal%C3%BC%C3%BCs._Arvutusmudel.xlsx","Majandusmõjude hinnang. Arvutusmudel")</f>
        <v>Majandusmõjude hinnang. Arvutusmudel</v>
      </c>
      <c r="L31" s="247"/>
      <c r="M31" s="80" t="str">
        <f t="shared" si="8"/>
        <v>Kohalike biokütuste stsenaariumite tulemused</v>
      </c>
    </row>
    <row r="32" spans="1:13" s="30" customFormat="1" ht="7.25" customHeight="1" x14ac:dyDescent="0.2">
      <c r="A32" s="33"/>
      <c r="B32" s="33"/>
      <c r="L32" s="247"/>
    </row>
    <row r="33" spans="1:12" s="29" customFormat="1" ht="16.25" hidden="1" customHeight="1" x14ac:dyDescent="0.2">
      <c r="A33" s="245"/>
      <c r="B33" s="38"/>
      <c r="C33" s="28"/>
      <c r="E33" s="135"/>
      <c r="F33" s="136"/>
      <c r="G33" s="136"/>
      <c r="H33" s="30"/>
      <c r="I33" s="79" t="str">
        <f t="shared" ref="I33:I39" si="9">HYPERLINK("http://www.energiatalgud.ee/index.php?title=ENMAK:Stsenaariumid#Stsenaariumite_majandusm.C3.B5ju","Stsenaariumite majandusmõju hinnang")</f>
        <v>Stsenaariumite majandusmõju hinnang</v>
      </c>
      <c r="J33" s="30"/>
      <c r="K33" s="79" t="str">
        <f t="shared" ref="K33:K39" si="10">HYPERLINK("http://www.energiatalgud.ee/img_auth.php/a/a9/ENMAK_2030%2B_stsenaariumite_majandusm%C3%B5ju_anal%C3%BC%C3%BCs._Arvutusmudel.xlsx","Majandusmõjude hinnang. Arvutusmudel")</f>
        <v>Majandusmõjude hinnang. Arvutusmudel</v>
      </c>
      <c r="L33" s="247"/>
    </row>
    <row r="34" spans="1:12" s="29" customFormat="1" ht="16.25" hidden="1" customHeight="1" x14ac:dyDescent="0.2">
      <c r="A34" s="245"/>
      <c r="B34" s="38"/>
      <c r="C34" s="28" t="s">
        <v>467</v>
      </c>
      <c r="D34" s="29" t="s">
        <v>446</v>
      </c>
      <c r="E34" s="135">
        <v>0</v>
      </c>
      <c r="F34" s="136">
        <f>F36</f>
        <v>-243.73151809011364</v>
      </c>
      <c r="G34" s="136">
        <f>G36</f>
        <v>-549.45301918545658</v>
      </c>
      <c r="H34" s="30"/>
      <c r="I34" s="79" t="str">
        <f t="shared" si="9"/>
        <v>Stsenaariumite majandusmõju hinnang</v>
      </c>
      <c r="J34" s="30"/>
      <c r="K34" s="79" t="str">
        <f t="shared" si="10"/>
        <v>Majandusmõjude hinnang. Arvutusmudel</v>
      </c>
      <c r="L34" s="247"/>
    </row>
    <row r="35" spans="1:12" s="29" customFormat="1" ht="16.25" customHeight="1" x14ac:dyDescent="0.2">
      <c r="A35" s="300"/>
      <c r="B35" s="38"/>
      <c r="C35" s="260" t="s">
        <v>441</v>
      </c>
      <c r="D35" s="29" t="s">
        <v>446</v>
      </c>
      <c r="E35" s="135">
        <v>0</v>
      </c>
      <c r="F35" s="136">
        <f>F37</f>
        <v>710.37667054667509</v>
      </c>
      <c r="G35" s="136">
        <f>G37</f>
        <v>1280.968801387377</v>
      </c>
      <c r="H35" s="30"/>
      <c r="I35" s="79" t="str">
        <f t="shared" si="9"/>
        <v>Stsenaariumite majandusmõju hinnang</v>
      </c>
      <c r="J35" s="30"/>
      <c r="K35" s="79" t="str">
        <f t="shared" si="10"/>
        <v>Majandusmõjude hinnang. Arvutusmudel</v>
      </c>
      <c r="L35" s="247"/>
    </row>
    <row r="36" spans="1:12" s="29" customFormat="1" ht="16.25" customHeight="1" x14ac:dyDescent="0.2">
      <c r="A36" s="300"/>
      <c r="B36" s="38"/>
      <c r="C36" s="28" t="s">
        <v>443</v>
      </c>
      <c r="D36" s="29" t="s">
        <v>446</v>
      </c>
      <c r="E36" s="135">
        <v>0</v>
      </c>
      <c r="F36" s="136">
        <v>-243.73151809011364</v>
      </c>
      <c r="G36" s="136">
        <v>-549.45301918545658</v>
      </c>
      <c r="H36" s="30"/>
      <c r="I36" s="79" t="str">
        <f t="shared" si="9"/>
        <v>Stsenaariumite majandusmõju hinnang</v>
      </c>
      <c r="J36" s="30"/>
      <c r="K36" s="79" t="str">
        <f t="shared" si="10"/>
        <v>Majandusmõjude hinnang. Arvutusmudel</v>
      </c>
      <c r="L36" s="247"/>
    </row>
    <row r="37" spans="1:12" s="29" customFormat="1" ht="16.25" customHeight="1" x14ac:dyDescent="0.2">
      <c r="A37" s="300"/>
      <c r="B37" s="38"/>
      <c r="C37" s="28" t="s">
        <v>444</v>
      </c>
      <c r="D37" s="29" t="s">
        <v>446</v>
      </c>
      <c r="E37" s="135">
        <v>0</v>
      </c>
      <c r="F37" s="136">
        <v>710.37667054667509</v>
      </c>
      <c r="G37" s="136">
        <v>1280.968801387377</v>
      </c>
      <c r="H37" s="30"/>
      <c r="I37" s="79" t="str">
        <f t="shared" si="9"/>
        <v>Stsenaariumite majandusmõju hinnang</v>
      </c>
      <c r="J37" s="30"/>
      <c r="K37" s="79" t="str">
        <f t="shared" si="10"/>
        <v>Majandusmõjude hinnang. Arvutusmudel</v>
      </c>
      <c r="L37" s="247"/>
    </row>
    <row r="38" spans="1:12" s="29" customFormat="1" ht="16.25" customHeight="1" x14ac:dyDescent="0.2">
      <c r="A38" s="300"/>
      <c r="B38" s="38"/>
      <c r="C38" s="28" t="s">
        <v>434</v>
      </c>
      <c r="D38" s="29" t="s">
        <v>435</v>
      </c>
      <c r="E38" s="135">
        <v>0</v>
      </c>
      <c r="F38" s="136">
        <f>F39</f>
        <v>262.51137830854617</v>
      </c>
      <c r="G38" s="136">
        <f>G39</f>
        <v>471.60335064918502</v>
      </c>
      <c r="H38" s="30"/>
      <c r="I38" s="79" t="str">
        <f t="shared" si="9"/>
        <v>Stsenaariumite majandusmõju hinnang</v>
      </c>
      <c r="J38" s="30"/>
      <c r="K38" s="79" t="str">
        <f t="shared" si="10"/>
        <v>Majandusmõjude hinnang. Arvutusmudel</v>
      </c>
      <c r="L38" s="247"/>
    </row>
    <row r="39" spans="1:12" s="29" customFormat="1" ht="16.25" customHeight="1" x14ac:dyDescent="0.2">
      <c r="A39" s="300"/>
      <c r="B39" s="38"/>
      <c r="C39" s="28" t="s">
        <v>445</v>
      </c>
      <c r="D39" s="29" t="s">
        <v>435</v>
      </c>
      <c r="E39" s="135">
        <v>0</v>
      </c>
      <c r="F39" s="136">
        <v>262.51137830854617</v>
      </c>
      <c r="G39" s="136">
        <v>471.60335064918502</v>
      </c>
      <c r="H39" s="30"/>
      <c r="I39" s="79" t="str">
        <f t="shared" si="9"/>
        <v>Stsenaariumite majandusmõju hinnang</v>
      </c>
      <c r="J39" s="30"/>
      <c r="K39" s="79" t="str">
        <f t="shared" si="10"/>
        <v>Majandusmõjude hinnang. Arvutusmudel</v>
      </c>
      <c r="L39" s="247"/>
    </row>
    <row r="40" spans="1:12" s="29" customFormat="1" ht="16.25" customHeight="1" x14ac:dyDescent="0.2">
      <c r="A40" s="300"/>
      <c r="B40" s="38"/>
      <c r="C40" s="28" t="s">
        <v>526</v>
      </c>
      <c r="D40" s="29" t="s">
        <v>446</v>
      </c>
      <c r="E40" s="136"/>
      <c r="F40" s="136">
        <f>$E$93+F41</f>
        <v>2567.6805163082117</v>
      </c>
      <c r="G40" s="136">
        <f>$E$93+G41</f>
        <v>4433.4531725878805</v>
      </c>
      <c r="H40" s="30"/>
      <c r="I40" s="79" t="str">
        <f t="shared" ref="I40:I42" si="11">HYPERLINK("http://www.energiatalgud.ee/index.php?title=ENMAK:Stsenaariumid#Stsenaariumite_majandusm.C3.B5ju","Stsenaariumite majandusmõju hinnang")</f>
        <v>Stsenaariumite majandusmõju hinnang</v>
      </c>
      <c r="J40" s="30"/>
      <c r="K40" s="79" t="str">
        <f t="shared" ref="K40:K42" si="12">HYPERLINK("http://www.energiatalgud.ee/img_auth.php/a/a9/ENMAK_2030%2B_stsenaariumite_majandusm%C3%B5ju_anal%C3%BC%C3%BCs._Arvutusmudel.xlsx","Majandusmõjude hinnang. Arvutusmudel")</f>
        <v>Majandusmõjude hinnang. Arvutusmudel</v>
      </c>
      <c r="L40" s="247"/>
    </row>
    <row r="41" spans="1:12" s="29" customFormat="1" ht="16.25" customHeight="1" x14ac:dyDescent="0.2">
      <c r="A41" s="300"/>
      <c r="B41" s="38"/>
      <c r="C41" s="28" t="s">
        <v>527</v>
      </c>
      <c r="D41" s="29" t="s">
        <v>446</v>
      </c>
      <c r="E41" s="136">
        <v>0</v>
      </c>
      <c r="F41" s="136">
        <v>2567.6805163082117</v>
      </c>
      <c r="G41" s="136">
        <v>4433.4531725878805</v>
      </c>
      <c r="H41" s="30"/>
      <c r="I41" s="79" t="str">
        <f t="shared" si="11"/>
        <v>Stsenaariumite majandusmõju hinnang</v>
      </c>
      <c r="J41" s="30"/>
      <c r="K41" s="79" t="str">
        <f t="shared" si="12"/>
        <v>Majandusmõjude hinnang. Arvutusmudel</v>
      </c>
      <c r="L41" s="247"/>
    </row>
    <row r="42" spans="1:12" s="29" customFormat="1" ht="16.25" customHeight="1" x14ac:dyDescent="0.2">
      <c r="A42" s="300"/>
      <c r="B42" s="38"/>
      <c r="C42" s="28" t="s">
        <v>556</v>
      </c>
      <c r="D42" s="29" t="s">
        <v>557</v>
      </c>
      <c r="E42" s="136">
        <v>0</v>
      </c>
      <c r="F42" s="136">
        <v>3113.4892458208697</v>
      </c>
      <c r="G42" s="136">
        <v>6185.079187019719</v>
      </c>
      <c r="H42" s="30"/>
      <c r="I42" s="79" t="str">
        <f t="shared" si="11"/>
        <v>Stsenaariumite majandusmõju hinnang</v>
      </c>
      <c r="J42" s="30"/>
      <c r="K42" s="79" t="str">
        <f t="shared" si="12"/>
        <v>Majandusmõjude hinnang. Arvutusmudel</v>
      </c>
      <c r="L42" s="247"/>
    </row>
    <row r="43" spans="1:12" s="29" customFormat="1" ht="16.25" customHeight="1" x14ac:dyDescent="0.2">
      <c r="A43" s="529" t="s">
        <v>22</v>
      </c>
      <c r="B43" s="38"/>
      <c r="C43" s="28" t="s">
        <v>331</v>
      </c>
      <c r="D43" s="29" t="s">
        <v>21</v>
      </c>
      <c r="E43" s="13">
        <v>0</v>
      </c>
      <c r="F43" s="104">
        <v>6.2823930864223266E-3</v>
      </c>
      <c r="G43" s="104">
        <v>1.0933448464668847E-2</v>
      </c>
      <c r="H43" s="30"/>
      <c r="I43" s="79" t="str">
        <f>HYPERLINK("http://www.energiatalgud.ee/index.php?title=ENMAK:Stsenaariumid#Stsenaariumite_majandusm.C3.B5ju","Stsenaariumite majandusmõju hinnang")</f>
        <v>Stsenaariumite majandusmõju hinnang</v>
      </c>
      <c r="J43" s="30"/>
      <c r="K43" s="79" t="str">
        <f>HYPERLINK("http://www.energiatalgud.ee/img_auth.php/a/a9/ENMAK_2030%2B_stsenaariumite_majandusm%C3%B5ju_anal%C3%BC%C3%BCs._Arvutusmudel.xlsx","Majandusmõjude hinnang. Arvutusmudel")</f>
        <v>Majandusmõjude hinnang. Arvutusmudel</v>
      </c>
      <c r="L43" s="247"/>
    </row>
    <row r="44" spans="1:12" s="29" customFormat="1" ht="16.25" customHeight="1" x14ac:dyDescent="0.2">
      <c r="A44" s="529"/>
      <c r="B44" s="38"/>
      <c r="C44" s="28" t="s">
        <v>15</v>
      </c>
      <c r="D44" s="29" t="s">
        <v>21</v>
      </c>
      <c r="E44" s="13">
        <v>0</v>
      </c>
      <c r="F44" s="104">
        <v>-2.6930528494156134E-3</v>
      </c>
      <c r="G44" s="104">
        <v>-2.680287122374227E-3</v>
      </c>
      <c r="H44" s="30"/>
      <c r="I44" s="79" t="str">
        <f>HYPERLINK("http://www.energiatalgud.ee/index.php?title=ENMAK:Stsenaariumid#Stsenaariumite_majandusm.C3.B5ju","Stsenaariumite majandusmõju hinnang")</f>
        <v>Stsenaariumite majandusmõju hinnang</v>
      </c>
      <c r="J44" s="30"/>
      <c r="K44" s="79" t="str">
        <f>HYPERLINK("http://www.energiatalgud.ee/img_auth.php/a/a9/ENMAK_2030%2B_stsenaariumite_majandusm%C3%B5ju_anal%C3%BC%C3%BCs._Arvutusmudel.xlsx","Majandusmõjude hinnang. Arvutusmudel")</f>
        <v>Majandusmõjude hinnang. Arvutusmudel</v>
      </c>
      <c r="L44" s="247"/>
    </row>
    <row r="45" spans="1:12" s="29" customFormat="1" ht="16.25" customHeight="1" x14ac:dyDescent="0.2">
      <c r="A45" s="529"/>
      <c r="B45" s="38"/>
      <c r="C45" s="28" t="s">
        <v>17</v>
      </c>
      <c r="D45" s="29" t="s">
        <v>21</v>
      </c>
      <c r="E45" s="13">
        <v>0</v>
      </c>
      <c r="F45" s="104">
        <v>3.8248865438768281E-3</v>
      </c>
      <c r="G45" s="104">
        <v>7.2187499920416832E-3</v>
      </c>
      <c r="H45" s="30"/>
      <c r="I45" s="79" t="str">
        <f>HYPERLINK("http://www.energiatalgud.ee/index.php?title=ENMAK:Stsenaariumid#Stsenaariumite_majandusm.C3.B5ju","Stsenaariumite majandusmõju hinnang")</f>
        <v>Stsenaariumite majandusmõju hinnang</v>
      </c>
      <c r="J45" s="30"/>
      <c r="K45" s="79" t="str">
        <f>HYPERLINK("http://www.energiatalgud.ee/img_auth.php/a/a9/ENMAK_2030%2B_stsenaariumite_majandusm%C3%B5ju_anal%C3%BC%C3%BCs._Arvutusmudel.xlsx","Majandusmõjude hinnang. Arvutusmudel")</f>
        <v>Majandusmõjude hinnang. Arvutusmudel</v>
      </c>
      <c r="L45" s="247"/>
    </row>
    <row r="46" spans="1:12" s="29" customFormat="1" ht="16.25" customHeight="1" x14ac:dyDescent="0.2">
      <c r="A46" s="529"/>
      <c r="B46" s="38"/>
      <c r="C46" s="28" t="s">
        <v>16</v>
      </c>
      <c r="D46" s="29" t="s">
        <v>21</v>
      </c>
      <c r="E46" s="13">
        <v>0</v>
      </c>
      <c r="F46" s="104">
        <v>2.4928698613578271E-3</v>
      </c>
      <c r="G46" s="104">
        <v>3.8236596974045578E-3</v>
      </c>
      <c r="H46" s="30"/>
      <c r="I46" s="79" t="str">
        <f>HYPERLINK("http://www.energiatalgud.ee/index.php?title=ENMAK:Stsenaariumid#Stsenaariumite_majandusm.C3.B5ju","Stsenaariumite majandusmõju hinnang")</f>
        <v>Stsenaariumite majandusmõju hinnang</v>
      </c>
      <c r="J46" s="30"/>
      <c r="K46" s="79" t="str">
        <f>HYPERLINK("http://www.energiatalgud.ee/img_auth.php/a/a9/ENMAK_2030%2B_stsenaariumite_majandusm%C3%B5ju_anal%C3%BC%C3%BCs._Arvutusmudel.xlsx","Majandusmõjude hinnang. Arvutusmudel")</f>
        <v>Majandusmõjude hinnang. Arvutusmudel</v>
      </c>
      <c r="L46" s="247"/>
    </row>
    <row r="47" spans="1:12" s="29" customFormat="1" ht="5" customHeight="1" x14ac:dyDescent="0.2">
      <c r="A47" s="529"/>
      <c r="B47" s="38"/>
      <c r="E47" s="39"/>
      <c r="F47" s="105"/>
      <c r="G47" s="105"/>
      <c r="H47" s="30"/>
      <c r="J47" s="30"/>
      <c r="L47" s="247"/>
    </row>
    <row r="48" spans="1:12" s="29" customFormat="1" x14ac:dyDescent="0.2">
      <c r="A48" s="529"/>
      <c r="B48" s="38"/>
      <c r="C48" s="28" t="s">
        <v>18</v>
      </c>
      <c r="D48" s="29" t="s">
        <v>21</v>
      </c>
      <c r="E48" s="13">
        <v>0</v>
      </c>
      <c r="F48" s="104">
        <v>4.2337990112647217E-3</v>
      </c>
      <c r="G48" s="104">
        <v>8.2132861417106191E-3</v>
      </c>
      <c r="H48" s="30"/>
      <c r="I48" s="79" t="str">
        <f>HYPERLINK("http://www.energiatalgud.ee/index.php?title=ENMAK:Stsenaariumid#Stsenaariumite_majandusm.C3.B5ju","Stsenaariumite majandusmõju hinnang")</f>
        <v>Stsenaariumite majandusmõju hinnang</v>
      </c>
      <c r="J48" s="30"/>
      <c r="K48" s="79" t="str">
        <f>HYPERLINK("http://www.energiatalgud.ee/img_auth.php/a/a9/ENMAK_2030%2B_stsenaariumite_majandusm%C3%B5ju_anal%C3%BC%C3%BCs._Arvutusmudel.xlsx","Majandusmõjude hinnang. Arvutusmudel")</f>
        <v>Majandusmõjude hinnang. Arvutusmudel</v>
      </c>
      <c r="L48" s="247"/>
    </row>
    <row r="49" spans="1:12" s="29" customFormat="1" x14ac:dyDescent="0.2">
      <c r="A49" s="529"/>
      <c r="B49" s="38"/>
      <c r="C49" s="28" t="s">
        <v>19</v>
      </c>
      <c r="D49" s="29" t="s">
        <v>21</v>
      </c>
      <c r="E49" s="13">
        <v>0</v>
      </c>
      <c r="F49" s="104">
        <v>1.3336122196355611E-3</v>
      </c>
      <c r="G49" s="104">
        <v>2.5927721359240083E-3</v>
      </c>
      <c r="H49" s="30"/>
      <c r="I49" s="79" t="str">
        <f>HYPERLINK("http://www.energiatalgud.ee/index.php?title=ENMAK:Stsenaariumid#Stsenaariumite_majandusm.C3.B5ju","Stsenaariumite majandusmõju hinnang")</f>
        <v>Stsenaariumite majandusmõju hinnang</v>
      </c>
      <c r="J49" s="30"/>
      <c r="K49" s="79" t="str">
        <f>HYPERLINK("http://www.energiatalgud.ee/img_auth.php/a/a9/ENMAK_2030%2B_stsenaariumite_majandusm%C3%B5ju_anal%C3%BC%C3%BCs._Arvutusmudel.xlsx","Majandusmõjude hinnang. Arvutusmudel")</f>
        <v>Majandusmõjude hinnang. Arvutusmudel</v>
      </c>
      <c r="L49" s="247"/>
    </row>
    <row r="50" spans="1:12" s="29" customFormat="1" ht="21" customHeight="1" x14ac:dyDescent="0.2">
      <c r="A50" s="529"/>
      <c r="B50" s="38"/>
      <c r="C50" s="28" t="s">
        <v>20</v>
      </c>
      <c r="D50" s="29" t="s">
        <v>21</v>
      </c>
      <c r="E50" s="13">
        <v>0</v>
      </c>
      <c r="F50" s="104">
        <v>1.0989627993939581E-3</v>
      </c>
      <c r="G50" s="104">
        <v>2.5596817726202137E-3</v>
      </c>
      <c r="H50" s="30"/>
      <c r="I50" s="79" t="str">
        <f>HYPERLINK("http://www.energiatalgud.ee/index.php?title=ENMAK:Stsenaariumid#Stsenaariumite_majandusm.C3.B5ju","Stsenaariumite majandusmõju hinnang")</f>
        <v>Stsenaariumite majandusmõju hinnang</v>
      </c>
      <c r="J50" s="30"/>
      <c r="K50" s="79" t="str">
        <f>HYPERLINK("http://www.energiatalgud.ee/img_auth.php/a/a9/ENMAK_2030%2B_stsenaariumite_majandusm%C3%B5ju_anal%C3%BC%C3%BCs._Arvutusmudel.xlsx","Majandusmõjude hinnang. Arvutusmudel")</f>
        <v>Majandusmõjude hinnang. Arvutusmudel</v>
      </c>
      <c r="L50" s="247"/>
    </row>
    <row r="51" spans="1:12" s="30" customFormat="1" ht="6.5" customHeight="1" x14ac:dyDescent="0.2">
      <c r="L51" s="247"/>
    </row>
    <row r="52" spans="1:12" s="27" customFormat="1" ht="14.5" customHeight="1" x14ac:dyDescent="0.2">
      <c r="A52" s="531" t="s">
        <v>410</v>
      </c>
      <c r="B52" s="30"/>
      <c r="C52" s="26" t="s">
        <v>584</v>
      </c>
      <c r="D52" s="27" t="s">
        <v>14</v>
      </c>
      <c r="E52" s="90">
        <v>0</v>
      </c>
      <c r="F52" s="90">
        <v>0</v>
      </c>
      <c r="G52" s="90">
        <v>74</v>
      </c>
      <c r="H52" s="30"/>
      <c r="I52" s="27" t="s">
        <v>223</v>
      </c>
      <c r="J52" s="30"/>
      <c r="K52" s="80" t="str">
        <f>HYPERLINK("http://www.energiatalgud.ee/img_auth.php/1/16/ENMAK_2030._Valdkondade_stsenaariumitega_kaasneva_keskkonnam%C3%B5ju_modelleerimine.pdf","ENMAK 2030 stsenaariumitega kaasneva keskkonnamõju modelleerimine")</f>
        <v>ENMAK 2030 stsenaariumitega kaasneva keskkonnamõju modelleerimine</v>
      </c>
      <c r="L52" s="247"/>
    </row>
    <row r="53" spans="1:12" s="27" customFormat="1" x14ac:dyDescent="0.2">
      <c r="A53" s="531"/>
      <c r="B53" s="30"/>
      <c r="C53" s="26" t="s">
        <v>585</v>
      </c>
      <c r="D53" s="27" t="s">
        <v>546</v>
      </c>
      <c r="E53" s="90">
        <v>0</v>
      </c>
      <c r="F53" s="90">
        <v>0</v>
      </c>
      <c r="G53" s="90">
        <v>1</v>
      </c>
      <c r="H53" s="30"/>
      <c r="I53" s="27" t="s">
        <v>223</v>
      </c>
      <c r="J53" s="30"/>
      <c r="K53" s="80" t="str">
        <f t="shared" ref="K53:K56" si="13">HYPERLINK("http://www.energiatalgud.ee/img_auth.php/1/16/ENMAK_2030._Valdkondade_stsenaariumitega_kaasneva_keskkonnam%C3%B5ju_modelleerimine.pdf","ENMAK 2030 stsenaariumitega kaasneva keskkonnamõju modelleerimine")</f>
        <v>ENMAK 2030 stsenaariumitega kaasneva keskkonnamõju modelleerimine</v>
      </c>
      <c r="L53" s="247"/>
    </row>
    <row r="54" spans="1:12" s="27" customFormat="1" x14ac:dyDescent="0.2">
      <c r="A54" s="531"/>
      <c r="B54" s="30"/>
      <c r="C54" s="26" t="s">
        <v>586</v>
      </c>
      <c r="D54" s="27" t="s">
        <v>547</v>
      </c>
      <c r="E54" s="90">
        <v>0</v>
      </c>
      <c r="F54" s="90">
        <v>0</v>
      </c>
      <c r="G54" s="90">
        <v>104</v>
      </c>
      <c r="H54" s="30"/>
      <c r="I54" s="27" t="s">
        <v>223</v>
      </c>
      <c r="J54" s="30"/>
      <c r="K54" s="80" t="str">
        <f t="shared" si="13"/>
        <v>ENMAK 2030 stsenaariumitega kaasneva keskkonnamõju modelleerimine</v>
      </c>
      <c r="L54" s="247"/>
    </row>
    <row r="55" spans="1:12" s="27" customFormat="1" x14ac:dyDescent="0.2">
      <c r="A55" s="531"/>
      <c r="B55" s="30"/>
      <c r="C55" s="26" t="s">
        <v>587</v>
      </c>
      <c r="D55" s="27" t="s">
        <v>548</v>
      </c>
      <c r="E55" s="90">
        <v>0</v>
      </c>
      <c r="F55" s="90">
        <v>0</v>
      </c>
      <c r="G55" s="90">
        <v>1246</v>
      </c>
      <c r="H55" s="30"/>
      <c r="I55" s="27" t="s">
        <v>223</v>
      </c>
      <c r="J55" s="30"/>
      <c r="K55" s="80" t="str">
        <f t="shared" si="13"/>
        <v>ENMAK 2030 stsenaariumitega kaasneva keskkonnamõju modelleerimine</v>
      </c>
      <c r="L55" s="247"/>
    </row>
    <row r="56" spans="1:12" s="27" customFormat="1" x14ac:dyDescent="0.2">
      <c r="A56" s="531"/>
      <c r="B56" s="30"/>
      <c r="C56" s="26" t="s">
        <v>588</v>
      </c>
      <c r="D56" s="27" t="s">
        <v>346</v>
      </c>
      <c r="E56" s="90">
        <v>0</v>
      </c>
      <c r="F56" s="90">
        <v>0</v>
      </c>
      <c r="G56" s="90">
        <v>38340</v>
      </c>
      <c r="H56" s="30"/>
      <c r="I56" s="27" t="s">
        <v>223</v>
      </c>
      <c r="J56" s="30"/>
      <c r="K56" s="80" t="str">
        <f t="shared" si="13"/>
        <v>ENMAK 2030 stsenaariumitega kaasneva keskkonnamõju modelleerimine</v>
      </c>
      <c r="L56" s="247"/>
    </row>
    <row r="57" spans="1:12" s="30" customFormat="1" ht="7.25" customHeight="1" x14ac:dyDescent="0.2">
      <c r="E57" s="126"/>
      <c r="F57" s="126"/>
      <c r="G57" s="126"/>
      <c r="L57" s="247"/>
    </row>
    <row r="58" spans="1:12" s="29" customFormat="1" x14ac:dyDescent="0.2">
      <c r="A58" s="530" t="s">
        <v>411</v>
      </c>
      <c r="B58" s="30"/>
      <c r="C58" s="28" t="s">
        <v>589</v>
      </c>
      <c r="D58" s="29" t="s">
        <v>14</v>
      </c>
      <c r="E58" s="127">
        <v>0</v>
      </c>
      <c r="F58" s="127">
        <v>91</v>
      </c>
      <c r="G58" s="127">
        <v>241</v>
      </c>
      <c r="H58" s="30"/>
      <c r="I58" s="29" t="s">
        <v>223</v>
      </c>
      <c r="J58" s="30"/>
      <c r="K58" s="79" t="str">
        <f>HYPERLINK("http://www.energiatalgud.ee/img_auth.php/1/16/ENMAK_2030._Valdkondade_stsenaariumitega_kaasneva_keskkonnam%C3%B5ju_modelleerimine.pdf","ENMAK 2030 stsenaariumitega kaasneva keskkonnamõju modelleerimine")</f>
        <v>ENMAK 2030 stsenaariumitega kaasneva keskkonnamõju modelleerimine</v>
      </c>
      <c r="L58" s="247"/>
    </row>
    <row r="59" spans="1:12" s="29" customFormat="1" x14ac:dyDescent="0.2">
      <c r="A59" s="530"/>
      <c r="B59" s="30"/>
      <c r="C59" s="28" t="s">
        <v>590</v>
      </c>
      <c r="D59" s="29" t="s">
        <v>546</v>
      </c>
      <c r="E59" s="127">
        <v>0</v>
      </c>
      <c r="F59" s="127">
        <v>0.4</v>
      </c>
      <c r="G59" s="127">
        <v>1</v>
      </c>
      <c r="H59" s="30"/>
      <c r="I59" s="29" t="s">
        <v>223</v>
      </c>
      <c r="J59" s="30"/>
      <c r="K59" s="79" t="str">
        <f t="shared" ref="K59:K62" si="14">HYPERLINK("http://www.energiatalgud.ee/img_auth.php/1/16/ENMAK_2030._Valdkondade_stsenaariumitega_kaasneva_keskkonnam%C3%B5ju_modelleerimine.pdf","ENMAK 2030 stsenaariumitega kaasneva keskkonnamõju modelleerimine")</f>
        <v>ENMAK 2030 stsenaariumitega kaasneva keskkonnamõju modelleerimine</v>
      </c>
      <c r="L59" s="247"/>
    </row>
    <row r="60" spans="1:12" s="29" customFormat="1" x14ac:dyDescent="0.2">
      <c r="A60" s="530"/>
      <c r="B60" s="30"/>
      <c r="C60" s="28" t="s">
        <v>591</v>
      </c>
      <c r="D60" s="29" t="s">
        <v>547</v>
      </c>
      <c r="E60" s="127">
        <v>0</v>
      </c>
      <c r="F60" s="127">
        <v>89</v>
      </c>
      <c r="G60" s="127">
        <v>237</v>
      </c>
      <c r="H60" s="30"/>
      <c r="I60" s="29" t="s">
        <v>223</v>
      </c>
      <c r="J60" s="30"/>
      <c r="K60" s="79" t="str">
        <f t="shared" si="14"/>
        <v>ENMAK 2030 stsenaariumitega kaasneva keskkonnamõju modelleerimine</v>
      </c>
      <c r="L60" s="247"/>
    </row>
    <row r="61" spans="1:12" s="29" customFormat="1" x14ac:dyDescent="0.2">
      <c r="A61" s="530"/>
      <c r="B61" s="30"/>
      <c r="C61" s="28" t="s">
        <v>592</v>
      </c>
      <c r="D61" s="29" t="s">
        <v>548</v>
      </c>
      <c r="E61" s="127">
        <v>0</v>
      </c>
      <c r="F61" s="127">
        <v>1225</v>
      </c>
      <c r="G61" s="127">
        <v>3248</v>
      </c>
      <c r="H61" s="30"/>
      <c r="I61" s="29" t="s">
        <v>223</v>
      </c>
      <c r="J61" s="30"/>
      <c r="K61" s="79" t="str">
        <f t="shared" si="14"/>
        <v>ENMAK 2030 stsenaariumitega kaasneva keskkonnamõju modelleerimine</v>
      </c>
      <c r="L61" s="247"/>
    </row>
    <row r="62" spans="1:12" s="29" customFormat="1" x14ac:dyDescent="0.2">
      <c r="A62" s="530"/>
      <c r="B62" s="30"/>
      <c r="C62" s="28" t="s">
        <v>593</v>
      </c>
      <c r="D62" s="29" t="s">
        <v>346</v>
      </c>
      <c r="E62" s="127">
        <v>0</v>
      </c>
      <c r="F62" s="127">
        <v>33292</v>
      </c>
      <c r="G62" s="127">
        <v>88297</v>
      </c>
      <c r="H62" s="30"/>
      <c r="I62" s="29" t="s">
        <v>223</v>
      </c>
      <c r="J62" s="30"/>
      <c r="K62" s="79" t="str">
        <f t="shared" si="14"/>
        <v>ENMAK 2030 stsenaariumitega kaasneva keskkonnamõju modelleerimine</v>
      </c>
      <c r="L62" s="247"/>
    </row>
    <row r="63" spans="1:12" s="125" customFormat="1" ht="4.25" customHeight="1" x14ac:dyDescent="0.2">
      <c r="E63" s="315"/>
      <c r="F63" s="315"/>
      <c r="G63" s="315"/>
      <c r="L63" s="247"/>
    </row>
    <row r="64" spans="1:12" s="27" customFormat="1" x14ac:dyDescent="0.2">
      <c r="A64" s="531" t="s">
        <v>583</v>
      </c>
      <c r="B64" s="30"/>
      <c r="C64" s="26" t="s">
        <v>312</v>
      </c>
      <c r="D64" s="27" t="s">
        <v>14</v>
      </c>
      <c r="E64" s="90">
        <f t="shared" ref="E64:G68" si="15">SUM(E52,E58)</f>
        <v>0</v>
      </c>
      <c r="F64" s="90">
        <f t="shared" si="15"/>
        <v>91</v>
      </c>
      <c r="G64" s="90">
        <f t="shared" si="15"/>
        <v>315</v>
      </c>
      <c r="H64" s="30"/>
      <c r="I64" s="27" t="s">
        <v>223</v>
      </c>
      <c r="J64" s="30"/>
      <c r="K64" s="80" t="str">
        <f>HYPERLINK("http://www.energiatalgud.ee/img_auth.php/1/16/ENMAK_2030._Valdkondade_stsenaariumitega_kaasneva_keskkonnam%C3%B5ju_modelleerimine.pdf","ENMAK 2030 stsenaariumitega kaasneva keskkonnamõju modelleerimine")</f>
        <v>ENMAK 2030 stsenaariumitega kaasneva keskkonnamõju modelleerimine</v>
      </c>
      <c r="L64" s="247"/>
    </row>
    <row r="65" spans="1:12" s="27" customFormat="1" x14ac:dyDescent="0.2">
      <c r="A65" s="531"/>
      <c r="B65" s="30"/>
      <c r="C65" s="26" t="s">
        <v>313</v>
      </c>
      <c r="D65" s="27" t="s">
        <v>546</v>
      </c>
      <c r="E65" s="90">
        <f t="shared" si="15"/>
        <v>0</v>
      </c>
      <c r="F65" s="90">
        <f t="shared" si="15"/>
        <v>0.4</v>
      </c>
      <c r="G65" s="90">
        <f t="shared" si="15"/>
        <v>2</v>
      </c>
      <c r="H65" s="30"/>
      <c r="I65" s="27" t="s">
        <v>223</v>
      </c>
      <c r="J65" s="30"/>
      <c r="K65" s="80" t="str">
        <f t="shared" ref="K65:K68" si="16">HYPERLINK("http://www.energiatalgud.ee/img_auth.php/1/16/ENMAK_2030._Valdkondade_stsenaariumitega_kaasneva_keskkonnam%C3%B5ju_modelleerimine.pdf","ENMAK 2030 stsenaariumitega kaasneva keskkonnamõju modelleerimine")</f>
        <v>ENMAK 2030 stsenaariumitega kaasneva keskkonnamõju modelleerimine</v>
      </c>
      <c r="L65" s="247"/>
    </row>
    <row r="66" spans="1:12" s="27" customFormat="1" x14ac:dyDescent="0.2">
      <c r="A66" s="531"/>
      <c r="B66" s="30"/>
      <c r="C66" s="26" t="s">
        <v>314</v>
      </c>
      <c r="D66" s="27" t="s">
        <v>547</v>
      </c>
      <c r="E66" s="90">
        <f t="shared" si="15"/>
        <v>0</v>
      </c>
      <c r="F66" s="90">
        <f t="shared" si="15"/>
        <v>89</v>
      </c>
      <c r="G66" s="90">
        <f t="shared" si="15"/>
        <v>341</v>
      </c>
      <c r="H66" s="30"/>
      <c r="I66" s="27" t="s">
        <v>223</v>
      </c>
      <c r="J66" s="30"/>
      <c r="K66" s="80" t="str">
        <f t="shared" si="16"/>
        <v>ENMAK 2030 stsenaariumitega kaasneva keskkonnamõju modelleerimine</v>
      </c>
      <c r="L66" s="247"/>
    </row>
    <row r="67" spans="1:12" s="27" customFormat="1" x14ac:dyDescent="0.2">
      <c r="A67" s="531"/>
      <c r="B67" s="30"/>
      <c r="C67" s="26" t="s">
        <v>315</v>
      </c>
      <c r="D67" s="27" t="s">
        <v>548</v>
      </c>
      <c r="E67" s="90">
        <f t="shared" si="15"/>
        <v>0</v>
      </c>
      <c r="F67" s="90">
        <f t="shared" si="15"/>
        <v>1225</v>
      </c>
      <c r="G67" s="90">
        <f t="shared" si="15"/>
        <v>4494</v>
      </c>
      <c r="H67" s="30"/>
      <c r="I67" s="27" t="s">
        <v>223</v>
      </c>
      <c r="J67" s="30"/>
      <c r="K67" s="80" t="str">
        <f t="shared" si="16"/>
        <v>ENMAK 2030 stsenaariumitega kaasneva keskkonnamõju modelleerimine</v>
      </c>
      <c r="L67" s="247"/>
    </row>
    <row r="68" spans="1:12" s="27" customFormat="1" x14ac:dyDescent="0.2">
      <c r="A68" s="531"/>
      <c r="B68" s="30"/>
      <c r="C68" s="26" t="s">
        <v>345</v>
      </c>
      <c r="D68" s="27" t="s">
        <v>346</v>
      </c>
      <c r="E68" s="90">
        <f t="shared" si="15"/>
        <v>0</v>
      </c>
      <c r="F68" s="90">
        <f t="shared" si="15"/>
        <v>33292</v>
      </c>
      <c r="G68" s="90">
        <f t="shared" si="15"/>
        <v>126637</v>
      </c>
      <c r="H68" s="30"/>
      <c r="I68" s="27" t="s">
        <v>223</v>
      </c>
      <c r="J68" s="30"/>
      <c r="K68" s="80" t="str">
        <f t="shared" si="16"/>
        <v>ENMAK 2030 stsenaariumitega kaasneva keskkonnamõju modelleerimine</v>
      </c>
      <c r="L68" s="247"/>
    </row>
    <row r="70" spans="1:12" s="27" customFormat="1" x14ac:dyDescent="0.2">
      <c r="A70" s="531" t="s">
        <v>567</v>
      </c>
      <c r="B70" s="30"/>
      <c r="C70" s="26" t="s">
        <v>566</v>
      </c>
      <c r="D70" s="27" t="s">
        <v>14</v>
      </c>
      <c r="E70" s="90">
        <v>0</v>
      </c>
      <c r="F70" s="90">
        <v>0</v>
      </c>
      <c r="G70" s="90">
        <v>0</v>
      </c>
      <c r="H70" s="30"/>
      <c r="I70" s="27" t="s">
        <v>223</v>
      </c>
      <c r="J70" s="30"/>
      <c r="K70" s="80" t="str">
        <f>HYPERLINK("http://www.energiatalgud.ee/img_auth.php/1/16/ENMAK_2030._Valdkondade_stsenaariumitega_kaasneva_keskkonnam%C3%B5ju_modelleerimine.pdf","ENMAK 2030 stsenaariumitega kaasneva keskkonnamõju modelleerimine")</f>
        <v>ENMAK 2030 stsenaariumitega kaasneva keskkonnamõju modelleerimine</v>
      </c>
      <c r="L70" s="247"/>
    </row>
    <row r="71" spans="1:12" s="27" customFormat="1" x14ac:dyDescent="0.2">
      <c r="A71" s="531"/>
      <c r="B71" s="30"/>
      <c r="C71" s="26" t="s">
        <v>568</v>
      </c>
      <c r="D71" s="27" t="s">
        <v>546</v>
      </c>
      <c r="E71" s="90">
        <v>0</v>
      </c>
      <c r="F71" s="90">
        <v>0</v>
      </c>
      <c r="G71" s="90">
        <v>0</v>
      </c>
      <c r="H71" s="30"/>
      <c r="I71" s="27" t="s">
        <v>223</v>
      </c>
      <c r="J71" s="30"/>
      <c r="K71" s="80" t="str">
        <f t="shared" ref="K71:K74" si="17">HYPERLINK("http://www.energiatalgud.ee/img_auth.php/1/16/ENMAK_2030._Valdkondade_stsenaariumitega_kaasneva_keskkonnam%C3%B5ju_modelleerimine.pdf","ENMAK 2030 stsenaariumitega kaasneva keskkonnamõju modelleerimine")</f>
        <v>ENMAK 2030 stsenaariumitega kaasneva keskkonnamõju modelleerimine</v>
      </c>
      <c r="L71" s="247"/>
    </row>
    <row r="72" spans="1:12" s="27" customFormat="1" x14ac:dyDescent="0.2">
      <c r="A72" s="531"/>
      <c r="B72" s="30"/>
      <c r="C72" s="26" t="s">
        <v>569</v>
      </c>
      <c r="D72" s="27" t="s">
        <v>547</v>
      </c>
      <c r="E72" s="90">
        <v>0</v>
      </c>
      <c r="F72" s="90">
        <v>0</v>
      </c>
      <c r="G72" s="90">
        <v>0</v>
      </c>
      <c r="H72" s="30"/>
      <c r="I72" s="27" t="s">
        <v>223</v>
      </c>
      <c r="J72" s="30"/>
      <c r="K72" s="80" t="str">
        <f t="shared" si="17"/>
        <v>ENMAK 2030 stsenaariumitega kaasneva keskkonnamõju modelleerimine</v>
      </c>
      <c r="L72" s="247"/>
    </row>
    <row r="73" spans="1:12" s="27" customFormat="1" x14ac:dyDescent="0.2">
      <c r="A73" s="531"/>
      <c r="B73" s="30"/>
      <c r="C73" s="26" t="s">
        <v>570</v>
      </c>
      <c r="D73" s="27" t="s">
        <v>548</v>
      </c>
      <c r="E73" s="90">
        <v>0</v>
      </c>
      <c r="F73" s="90">
        <v>0</v>
      </c>
      <c r="G73" s="90">
        <v>0</v>
      </c>
      <c r="H73" s="30"/>
      <c r="I73" s="27" t="s">
        <v>223</v>
      </c>
      <c r="J73" s="30"/>
      <c r="K73" s="80" t="str">
        <f t="shared" si="17"/>
        <v>ENMAK 2030 stsenaariumitega kaasneva keskkonnamõju modelleerimine</v>
      </c>
      <c r="L73" s="247"/>
    </row>
    <row r="74" spans="1:12" s="27" customFormat="1" x14ac:dyDescent="0.2">
      <c r="A74" s="531"/>
      <c r="B74" s="30"/>
      <c r="C74" s="26" t="s">
        <v>571</v>
      </c>
      <c r="D74" s="27" t="s">
        <v>346</v>
      </c>
      <c r="E74" s="90">
        <v>0</v>
      </c>
      <c r="F74" s="90">
        <v>0</v>
      </c>
      <c r="G74" s="90">
        <v>0</v>
      </c>
      <c r="H74" s="30"/>
      <c r="I74" s="27" t="s">
        <v>223</v>
      </c>
      <c r="J74" s="30"/>
      <c r="K74" s="80" t="str">
        <f t="shared" si="17"/>
        <v>ENMAK 2030 stsenaariumitega kaasneva keskkonnamõju modelleerimine</v>
      </c>
      <c r="L74" s="247"/>
    </row>
  </sheetData>
  <sheetProtection password="C627" sheet="1" objects="1" scenarios="1"/>
  <mergeCells count="9">
    <mergeCell ref="A70:A74"/>
    <mergeCell ref="K2:M2"/>
    <mergeCell ref="I1:M1"/>
    <mergeCell ref="A52:A56"/>
    <mergeCell ref="A58:A62"/>
    <mergeCell ref="A64:A68"/>
    <mergeCell ref="A43:A50"/>
    <mergeCell ref="A4:A7"/>
    <mergeCell ref="A9:A23"/>
  </mergeCells>
  <pageMargins left="0.7" right="0.7" top="0.75" bottom="0.75" header="0.3" footer="0.3"/>
  <pageSetup paperSize="9" orientation="portrait"/>
  <legacy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80"/>
  <sheetViews>
    <sheetView zoomScale="85" zoomScaleNormal="85" zoomScalePageLayoutView="85" workbookViewId="0">
      <selection activeCell="C40" sqref="C40:C41"/>
    </sheetView>
  </sheetViews>
  <sheetFormatPr baseColWidth="10" defaultColWidth="8.796875" defaultRowHeight="15" x14ac:dyDescent="0.2"/>
  <cols>
    <col min="2" max="2" width="1.19921875" style="30" customWidth="1"/>
    <col min="3" max="3" width="38.19921875" customWidth="1"/>
    <col min="5" max="5" width="15.796875" customWidth="1"/>
    <col min="6" max="6" width="15.59765625" customWidth="1"/>
    <col min="7" max="7" width="16" customWidth="1"/>
    <col min="8" max="8" width="1.3984375" style="30" customWidth="1"/>
    <col min="9" max="9" width="32.3984375" customWidth="1"/>
    <col min="10" max="10" width="0.796875" style="30" customWidth="1"/>
    <col min="11" max="11" width="32.19921875" customWidth="1"/>
  </cols>
  <sheetData>
    <row r="1" spans="1:27" x14ac:dyDescent="0.2">
      <c r="A1" s="30"/>
      <c r="C1" s="30"/>
      <c r="D1" s="30"/>
      <c r="E1" s="96" t="s">
        <v>10</v>
      </c>
      <c r="F1" s="96" t="s">
        <v>11</v>
      </c>
      <c r="G1" s="96" t="s">
        <v>12</v>
      </c>
      <c r="H1" s="33"/>
      <c r="I1" s="526" t="s">
        <v>398</v>
      </c>
      <c r="J1" s="527"/>
      <c r="K1" s="528"/>
    </row>
    <row r="2" spans="1:27" x14ac:dyDescent="0.2">
      <c r="A2" s="30"/>
      <c r="C2" s="30"/>
      <c r="D2" s="30"/>
      <c r="E2" s="96" t="s">
        <v>0</v>
      </c>
      <c r="F2" s="96" t="s">
        <v>1</v>
      </c>
      <c r="G2" s="96" t="s">
        <v>2</v>
      </c>
      <c r="H2" s="33"/>
      <c r="I2" s="532" t="s">
        <v>399</v>
      </c>
      <c r="J2" s="121"/>
      <c r="K2" s="533" t="s">
        <v>405</v>
      </c>
    </row>
    <row r="3" spans="1:27" x14ac:dyDescent="0.2">
      <c r="A3" s="30"/>
      <c r="C3" s="30"/>
      <c r="D3" s="30"/>
      <c r="E3" s="130" t="s">
        <v>413</v>
      </c>
      <c r="F3" s="129" t="s">
        <v>414</v>
      </c>
      <c r="G3" s="129" t="s">
        <v>415</v>
      </c>
      <c r="I3" s="532"/>
      <c r="K3" s="533"/>
    </row>
    <row r="4" spans="1:27" s="30" customFormat="1" ht="6" customHeight="1" x14ac:dyDescent="0.2"/>
    <row r="5" spans="1:27" s="25" customFormat="1" x14ac:dyDescent="0.2">
      <c r="A5" s="529" t="s">
        <v>508</v>
      </c>
      <c r="B5" s="30"/>
      <c r="C5" s="258"/>
      <c r="D5" s="29"/>
      <c r="E5" s="40"/>
      <c r="F5" s="40"/>
      <c r="G5" s="40"/>
      <c r="H5" s="30"/>
      <c r="I5" s="99"/>
      <c r="J5" s="30"/>
      <c r="K5" s="99"/>
      <c r="L5" s="28"/>
      <c r="M5" s="29"/>
      <c r="N5" s="40"/>
      <c r="O5" s="40"/>
      <c r="P5" s="40"/>
      <c r="Q5" s="29"/>
      <c r="R5" s="99"/>
      <c r="S5" s="30"/>
      <c r="T5" s="99"/>
      <c r="U5" s="28"/>
      <c r="V5" s="29"/>
      <c r="W5" s="40"/>
      <c r="X5" s="40"/>
      <c r="Y5" s="40"/>
      <c r="Z5" s="30"/>
      <c r="AA5" s="99"/>
    </row>
    <row r="6" spans="1:27" s="25" customFormat="1" x14ac:dyDescent="0.2">
      <c r="A6" s="529"/>
      <c r="B6" s="30"/>
      <c r="C6" s="258"/>
      <c r="D6" s="29"/>
      <c r="E6" s="40"/>
      <c r="F6" s="40"/>
      <c r="G6" s="40"/>
      <c r="H6" s="30"/>
      <c r="I6" s="79"/>
      <c r="J6" s="30"/>
      <c r="K6" s="94"/>
      <c r="L6" s="11"/>
      <c r="M6" s="29"/>
      <c r="N6" s="40"/>
      <c r="O6" s="40"/>
      <c r="P6" s="40"/>
      <c r="Q6" s="29"/>
      <c r="R6" s="79"/>
      <c r="S6" s="30"/>
      <c r="T6" s="94"/>
      <c r="U6" s="11"/>
      <c r="V6" s="29"/>
      <c r="W6" s="40"/>
      <c r="X6" s="40"/>
      <c r="Y6" s="40"/>
      <c r="Z6" s="30"/>
      <c r="AA6" s="79"/>
    </row>
    <row r="7" spans="1:27" s="25" customFormat="1" x14ac:dyDescent="0.2">
      <c r="A7" s="529"/>
      <c r="B7" s="30"/>
      <c r="C7" s="258" t="s">
        <v>637</v>
      </c>
      <c r="D7" s="29" t="s">
        <v>507</v>
      </c>
      <c r="E7" s="40">
        <v>17.2</v>
      </c>
      <c r="F7" s="40">
        <v>24.23</v>
      </c>
      <c r="G7" s="40">
        <v>28.26</v>
      </c>
      <c r="H7" s="30"/>
      <c r="I7" s="99" t="str">
        <f t="shared" ref="I7:I11" si="0">HYPERLINK("http://www.energiatalgud.ee/index.php?title=K%C3%BCtuste_ENMAK_stsenaariumid","Kütuste stsenaariumid")</f>
        <v>Kütuste stsenaariumid</v>
      </c>
      <c r="J7" s="30"/>
      <c r="K7" s="99" t="str">
        <f t="shared" ref="K7:K11" si="1">HYPERLINK("https://onedrive.live.com/redir?page=view&amp;resid=31206ECE3E1FC115!174&amp;authkey=!AOxTcdBV12jcXms","Põlevkivi kasutusstsenaariumite tulemused")</f>
        <v>Põlevkivi kasutusstsenaariumite tulemused</v>
      </c>
      <c r="L7" s="28"/>
      <c r="M7" s="29"/>
      <c r="N7" s="40"/>
      <c r="O7" s="40"/>
      <c r="P7" s="40"/>
      <c r="Q7" s="29"/>
      <c r="R7" s="99"/>
      <c r="S7" s="30"/>
      <c r="T7" s="99"/>
      <c r="U7" s="28"/>
      <c r="V7" s="29"/>
      <c r="W7" s="40"/>
      <c r="X7" s="40"/>
      <c r="Y7" s="40"/>
      <c r="Z7" s="30"/>
      <c r="AA7" s="99"/>
    </row>
    <row r="8" spans="1:27" s="25" customFormat="1" x14ac:dyDescent="0.2">
      <c r="A8" s="529"/>
      <c r="B8" s="30"/>
      <c r="C8" s="28" t="s">
        <v>605</v>
      </c>
      <c r="D8" s="29" t="s">
        <v>27</v>
      </c>
      <c r="E8" s="40">
        <f>E7*8.4/3.6</f>
        <v>40.133333333333333</v>
      </c>
      <c r="F8" s="40">
        <f t="shared" ref="F8:G8" si="2">F7*8.4/3.6</f>
        <v>56.536666666666669</v>
      </c>
      <c r="G8" s="40">
        <f t="shared" si="2"/>
        <v>65.94</v>
      </c>
      <c r="H8" s="30"/>
      <c r="I8" s="99"/>
      <c r="J8" s="30"/>
      <c r="K8" s="99"/>
      <c r="L8" s="28"/>
      <c r="M8" s="29"/>
      <c r="N8" s="40"/>
      <c r="O8" s="40"/>
      <c r="P8" s="40"/>
      <c r="Q8" s="29"/>
      <c r="R8" s="99"/>
      <c r="S8" s="30"/>
      <c r="T8" s="99"/>
      <c r="U8" s="28"/>
      <c r="V8" s="29"/>
      <c r="W8" s="40"/>
      <c r="X8" s="40"/>
      <c r="Y8" s="40"/>
      <c r="Z8" s="30"/>
      <c r="AA8" s="99"/>
    </row>
    <row r="9" spans="1:27" s="25" customFormat="1" x14ac:dyDescent="0.2">
      <c r="A9" s="529"/>
      <c r="B9" s="30"/>
      <c r="C9" s="258" t="s">
        <v>506</v>
      </c>
      <c r="D9" s="29" t="s">
        <v>27</v>
      </c>
      <c r="E9" s="40">
        <f>E7*112456.411855975/1000000*10.8</f>
        <v>20.889903066365918</v>
      </c>
      <c r="F9" s="40">
        <f t="shared" ref="F9:G9" si="3">F7*112456.411855975/1000000*10.8</f>
        <v>29.428043680118964</v>
      </c>
      <c r="G9" s="40">
        <f t="shared" si="3"/>
        <v>34.322596549738421</v>
      </c>
      <c r="H9" s="30"/>
      <c r="I9" s="79" t="str">
        <f t="shared" si="0"/>
        <v>Kütuste stsenaariumid</v>
      </c>
      <c r="J9" s="30"/>
      <c r="K9" s="94" t="str">
        <f t="shared" si="1"/>
        <v>Põlevkivi kasutusstsenaariumite tulemused</v>
      </c>
      <c r="L9" s="11"/>
      <c r="M9" s="29"/>
      <c r="N9" s="40"/>
      <c r="O9" s="40"/>
      <c r="P9" s="40"/>
      <c r="Q9" s="29"/>
      <c r="R9" s="79"/>
      <c r="S9" s="30"/>
      <c r="T9" s="94"/>
      <c r="U9" s="11"/>
      <c r="V9" s="29"/>
      <c r="W9" s="40"/>
      <c r="X9" s="40"/>
      <c r="Y9" s="40"/>
      <c r="Z9" s="30"/>
      <c r="AA9" s="79"/>
    </row>
    <row r="10" spans="1:27" x14ac:dyDescent="0.2">
      <c r="A10" s="529"/>
      <c r="C10" s="258" t="s">
        <v>638</v>
      </c>
      <c r="D10" s="29" t="s">
        <v>507</v>
      </c>
      <c r="E10" s="40">
        <f>E7</f>
        <v>17.2</v>
      </c>
      <c r="F10" s="40">
        <f t="shared" ref="F10:G10" si="4">F7</f>
        <v>24.23</v>
      </c>
      <c r="G10" s="40">
        <f t="shared" si="4"/>
        <v>28.26</v>
      </c>
      <c r="I10" s="99" t="str">
        <f t="shared" si="0"/>
        <v>Kütuste stsenaariumid</v>
      </c>
      <c r="K10" s="99" t="str">
        <f t="shared" si="1"/>
        <v>Põlevkivi kasutusstsenaariumite tulemused</v>
      </c>
      <c r="L10" s="28"/>
      <c r="M10" s="29"/>
      <c r="N10" s="40"/>
      <c r="O10" s="40"/>
      <c r="P10" s="40"/>
      <c r="Q10" s="29"/>
      <c r="R10" s="99"/>
      <c r="S10" s="30"/>
      <c r="T10" s="99"/>
      <c r="U10" s="28"/>
      <c r="V10" s="29"/>
      <c r="W10" s="40"/>
      <c r="X10" s="40"/>
      <c r="Y10" s="40"/>
      <c r="Z10" s="30"/>
      <c r="AA10" s="99"/>
    </row>
    <row r="11" spans="1:27" s="25" customFormat="1" x14ac:dyDescent="0.2">
      <c r="A11" s="529"/>
      <c r="B11" s="30"/>
      <c r="C11" s="258" t="s">
        <v>639</v>
      </c>
      <c r="D11" s="29" t="s">
        <v>507</v>
      </c>
      <c r="E11" s="40">
        <f>E10/1.2</f>
        <v>14.333333333333334</v>
      </c>
      <c r="F11" s="40">
        <f>F10/1.2</f>
        <v>20.191666666666666</v>
      </c>
      <c r="G11" s="40">
        <f>G10/1.2</f>
        <v>23.55</v>
      </c>
      <c r="H11" s="30"/>
      <c r="I11" s="79" t="str">
        <f t="shared" si="0"/>
        <v>Kütuste stsenaariumid</v>
      </c>
      <c r="J11" s="30"/>
      <c r="K11" s="94" t="str">
        <f t="shared" si="1"/>
        <v>Põlevkivi kasutusstsenaariumite tulemused</v>
      </c>
      <c r="L11" s="11"/>
      <c r="M11" s="29"/>
      <c r="N11" s="40"/>
      <c r="O11" s="40"/>
      <c r="P11" s="40"/>
      <c r="Q11" s="29"/>
      <c r="R11" s="79"/>
      <c r="S11" s="30"/>
      <c r="T11" s="94"/>
      <c r="U11" s="11"/>
      <c r="V11" s="29"/>
      <c r="W11" s="40"/>
      <c r="X11" s="40"/>
      <c r="Y11" s="40"/>
      <c r="Z11" s="30"/>
      <c r="AA11" s="79"/>
    </row>
    <row r="12" spans="1:27" s="25" customFormat="1" x14ac:dyDescent="0.2">
      <c r="A12" s="340"/>
      <c r="B12" s="30"/>
      <c r="C12" s="258"/>
      <c r="D12" s="29"/>
      <c r="E12" s="40"/>
      <c r="F12" s="40"/>
      <c r="G12" s="40"/>
      <c r="H12" s="30"/>
      <c r="I12" s="79"/>
      <c r="J12" s="30"/>
      <c r="K12" s="94"/>
      <c r="L12" s="11"/>
      <c r="M12" s="29"/>
      <c r="N12" s="40"/>
      <c r="O12" s="40"/>
      <c r="P12" s="40"/>
      <c r="Q12" s="29"/>
      <c r="R12" s="79"/>
      <c r="S12" s="30"/>
      <c r="T12" s="94"/>
      <c r="U12" s="11"/>
      <c r="V12" s="29"/>
      <c r="W12" s="40"/>
      <c r="X12" s="40"/>
      <c r="Y12" s="40"/>
      <c r="Z12" s="30"/>
      <c r="AA12" s="79"/>
    </row>
    <row r="13" spans="1:27" s="25" customFormat="1" x14ac:dyDescent="0.2">
      <c r="A13" s="340"/>
      <c r="B13" s="30"/>
      <c r="C13" s="258"/>
      <c r="D13" s="29"/>
      <c r="E13" s="40"/>
      <c r="F13" s="40"/>
      <c r="G13" s="40"/>
      <c r="H13" s="30"/>
      <c r="I13" s="79"/>
      <c r="J13" s="30"/>
      <c r="K13" s="94"/>
      <c r="L13" s="11"/>
      <c r="M13" s="29"/>
      <c r="N13" s="40"/>
      <c r="O13" s="40"/>
      <c r="P13" s="40"/>
      <c r="Q13" s="29"/>
      <c r="R13" s="79"/>
      <c r="S13" s="30"/>
      <c r="T13" s="94"/>
      <c r="U13" s="11"/>
      <c r="V13" s="29"/>
      <c r="W13" s="40"/>
      <c r="X13" s="40"/>
      <c r="Y13" s="40"/>
      <c r="Z13" s="30"/>
      <c r="AA13" s="79"/>
    </row>
    <row r="14" spans="1:27" s="25" customFormat="1" x14ac:dyDescent="0.2">
      <c r="A14" s="340"/>
      <c r="B14" s="30"/>
      <c r="C14" s="28"/>
      <c r="D14" s="29"/>
      <c r="E14" s="40"/>
      <c r="F14" s="40"/>
      <c r="G14" s="40"/>
      <c r="H14" s="30"/>
      <c r="I14" s="79"/>
      <c r="J14" s="30"/>
      <c r="K14" s="94"/>
      <c r="L14" s="11"/>
      <c r="M14" s="29"/>
      <c r="N14" s="40"/>
      <c r="O14" s="40"/>
      <c r="P14" s="40"/>
      <c r="Q14" s="29"/>
      <c r="R14" s="79"/>
      <c r="S14" s="30"/>
      <c r="T14" s="94"/>
      <c r="U14" s="11"/>
      <c r="V14" s="29"/>
      <c r="W14" s="40"/>
      <c r="X14" s="40"/>
      <c r="Y14" s="40"/>
      <c r="Z14" s="30"/>
      <c r="AA14" s="79"/>
    </row>
    <row r="15" spans="1:27" s="25" customFormat="1" x14ac:dyDescent="0.2">
      <c r="A15" s="340"/>
      <c r="B15" s="30"/>
      <c r="C15" s="28"/>
      <c r="D15" s="29"/>
      <c r="E15" s="40"/>
      <c r="F15" s="40"/>
      <c r="G15" s="40"/>
      <c r="H15" s="30"/>
      <c r="I15" s="79"/>
      <c r="J15" s="30"/>
      <c r="K15" s="94"/>
      <c r="L15" s="11"/>
      <c r="M15" s="29"/>
      <c r="N15" s="40"/>
      <c r="O15" s="40"/>
      <c r="P15" s="40"/>
      <c r="Q15" s="29"/>
      <c r="R15" s="79"/>
      <c r="S15" s="30"/>
      <c r="T15" s="94"/>
      <c r="U15" s="11"/>
      <c r="V15" s="29"/>
      <c r="W15" s="40"/>
      <c r="X15" s="40"/>
      <c r="Y15" s="40"/>
      <c r="Z15" s="30"/>
      <c r="AA15" s="79"/>
    </row>
    <row r="16" spans="1:27" s="25" customFormat="1" x14ac:dyDescent="0.2">
      <c r="A16" s="340"/>
      <c r="B16" s="30"/>
      <c r="C16" s="258"/>
      <c r="D16" s="29"/>
      <c r="E16" s="40"/>
      <c r="F16" s="40"/>
      <c r="G16" s="40"/>
      <c r="H16" s="30"/>
      <c r="I16" s="79"/>
      <c r="J16" s="30"/>
      <c r="K16" s="94"/>
      <c r="L16" s="11"/>
      <c r="M16" s="29"/>
      <c r="N16" s="40"/>
      <c r="O16" s="40"/>
      <c r="P16" s="40"/>
      <c r="Q16" s="29"/>
      <c r="R16" s="79"/>
      <c r="S16" s="30"/>
      <c r="T16" s="94"/>
      <c r="U16" s="11"/>
      <c r="V16" s="29"/>
      <c r="W16" s="40"/>
      <c r="X16" s="40"/>
      <c r="Y16" s="40"/>
      <c r="Z16" s="30"/>
      <c r="AA16" s="79"/>
    </row>
    <row r="17" spans="1:27" s="25" customFormat="1" x14ac:dyDescent="0.2">
      <c r="A17" s="340"/>
      <c r="B17" s="30"/>
      <c r="C17" s="258"/>
      <c r="D17" s="29"/>
      <c r="E17" s="40"/>
      <c r="F17" s="40"/>
      <c r="G17" s="40"/>
      <c r="H17" s="30"/>
      <c r="I17" s="79"/>
      <c r="J17" s="30"/>
      <c r="K17" s="94"/>
      <c r="L17" s="11"/>
      <c r="M17" s="29"/>
      <c r="N17" s="40"/>
      <c r="O17" s="40"/>
      <c r="P17" s="40"/>
      <c r="Q17" s="29"/>
      <c r="R17" s="79"/>
      <c r="S17" s="30"/>
      <c r="T17" s="94"/>
      <c r="U17" s="11"/>
      <c r="V17" s="29"/>
      <c r="W17" s="40"/>
      <c r="X17" s="40"/>
      <c r="Y17" s="40"/>
      <c r="Z17" s="30"/>
      <c r="AA17" s="79"/>
    </row>
    <row r="18" spans="1:27" s="25" customFormat="1" x14ac:dyDescent="0.2">
      <c r="A18" s="340"/>
      <c r="B18" s="30"/>
      <c r="C18" s="258"/>
      <c r="D18" s="29"/>
      <c r="E18" s="40"/>
      <c r="F18" s="40"/>
      <c r="G18" s="40"/>
      <c r="H18" s="30"/>
      <c r="I18" s="79"/>
      <c r="J18" s="30"/>
      <c r="K18" s="94"/>
      <c r="L18" s="11"/>
      <c r="M18" s="29"/>
      <c r="N18" s="40"/>
      <c r="O18" s="40"/>
      <c r="P18" s="40"/>
      <c r="Q18" s="29"/>
      <c r="R18" s="79"/>
      <c r="S18" s="30"/>
      <c r="T18" s="94"/>
      <c r="U18" s="11"/>
      <c r="V18" s="29"/>
      <c r="W18" s="40"/>
      <c r="X18" s="40"/>
      <c r="Y18" s="40"/>
      <c r="Z18" s="30"/>
      <c r="AA18" s="79"/>
    </row>
    <row r="19" spans="1:27" x14ac:dyDescent="0.2">
      <c r="I19" s="25"/>
    </row>
    <row r="20" spans="1:27" s="43" customFormat="1" hidden="1" x14ac:dyDescent="0.2">
      <c r="A20" s="25"/>
      <c r="B20" s="37"/>
      <c r="C20" s="42" t="s">
        <v>121</v>
      </c>
      <c r="D20" s="25"/>
      <c r="E20" s="25"/>
      <c r="F20" s="25"/>
      <c r="G20" s="25"/>
      <c r="H20" s="30"/>
      <c r="I20" s="25"/>
      <c r="J20" s="33"/>
    </row>
    <row r="21" spans="1:27" hidden="1" x14ac:dyDescent="0.2">
      <c r="C21" s="25" t="s">
        <v>422</v>
      </c>
      <c r="D21" s="25"/>
      <c r="E21" s="257"/>
      <c r="F21" s="257"/>
      <c r="G21" s="257"/>
      <c r="I21" s="25"/>
    </row>
    <row r="22" spans="1:27" hidden="1" x14ac:dyDescent="0.2">
      <c r="C22" t="s">
        <v>256</v>
      </c>
      <c r="D22" s="25"/>
      <c r="E22" s="25"/>
      <c r="F22" s="25"/>
      <c r="G22" s="25"/>
      <c r="I22" s="25"/>
    </row>
    <row r="23" spans="1:27" hidden="1" x14ac:dyDescent="0.2">
      <c r="I23" s="25"/>
      <c r="K23" s="25"/>
      <c r="L23" s="25"/>
    </row>
    <row r="24" spans="1:27" hidden="1" x14ac:dyDescent="0.2">
      <c r="I24" s="25"/>
      <c r="K24" s="25"/>
      <c r="L24" s="25"/>
    </row>
    <row r="25" spans="1:27" x14ac:dyDescent="0.2">
      <c r="A25" s="27"/>
      <c r="C25" s="35" t="s">
        <v>368</v>
      </c>
      <c r="D25" s="27" t="s">
        <v>365</v>
      </c>
      <c r="E25" s="27">
        <f>E55</f>
        <v>1697</v>
      </c>
      <c r="F25" s="27">
        <f>F55</f>
        <v>1697</v>
      </c>
      <c r="G25" s="27">
        <f>G55</f>
        <v>1828</v>
      </c>
      <c r="I25" s="27"/>
      <c r="K25" s="80" t="str">
        <f>HYPERLINK("http://www.energiatalgud.ee/img_auth.php/3/39/ENMAK_2030._Stsenaariumitega_kaasneva_%C3%B5hukvaliteedi_muutuste_prognoos_2012-2050.pdf","ENMAK 2030 stsenaariumitega kaasneva õhukvaliteedi muutuse prognoos")</f>
        <v>ENMAK 2030 stsenaariumitega kaasneva õhukvaliteedi muutuse prognoos</v>
      </c>
      <c r="L25" s="25"/>
    </row>
    <row r="26" spans="1:27" x14ac:dyDescent="0.2">
      <c r="A26" s="27"/>
      <c r="C26" s="35" t="s">
        <v>367</v>
      </c>
      <c r="D26" s="27" t="s">
        <v>365</v>
      </c>
      <c r="E26" s="27">
        <f>E71</f>
        <v>1697</v>
      </c>
      <c r="F26" s="27">
        <f>F71</f>
        <v>2346</v>
      </c>
      <c r="G26" s="27">
        <f>G71</f>
        <v>3450</v>
      </c>
      <c r="I26" s="27"/>
      <c r="K26" s="80" t="str">
        <f t="shared" ref="K26" si="5">HYPERLINK("http://www.energiatalgud.ee/img_auth.php/3/39/ENMAK_2030._Stsenaariumitega_kaasneva_%C3%B5hukvaliteedi_muutuste_prognoos_2012-2050.pdf","ENMAK 2030 stsenaariumitega kaasneva õhukvaliteedi muutuse prognoos")</f>
        <v>ENMAK 2030 stsenaariumitega kaasneva õhukvaliteedi muutuse prognoos</v>
      </c>
    </row>
    <row r="28" spans="1:27" s="30" customFormat="1" ht="7.75" customHeight="1" x14ac:dyDescent="0.2"/>
    <row r="29" spans="1:27" s="29" customFormat="1" ht="16.25" hidden="1" customHeight="1" x14ac:dyDescent="0.2">
      <c r="A29" s="529" t="s">
        <v>22</v>
      </c>
      <c r="B29" s="38"/>
      <c r="C29" s="260" t="s">
        <v>442</v>
      </c>
      <c r="D29" s="29" t="s">
        <v>446</v>
      </c>
      <c r="E29" s="136">
        <v>0</v>
      </c>
      <c r="F29" s="136">
        <v>0</v>
      </c>
      <c r="G29" s="136">
        <v>0</v>
      </c>
      <c r="H29" s="30"/>
      <c r="I29" s="79" t="str">
        <f t="shared" ref="I29:I32" si="6">HYPERLINK("http://www.energiatalgud.ee/index.php?title=ENMAK:Stsenaariumid#Stsenaariumite_majandusm.C3.B5ju","Stsenaariumite majandusmõju hinnang")</f>
        <v>Stsenaariumite majandusmõju hinnang</v>
      </c>
      <c r="J29" s="30"/>
      <c r="K29" s="79" t="str">
        <f t="shared" ref="K29:K32" si="7">HYPERLINK("http://www.energiatalgud.ee/img_auth.php/a/a9/ENMAK_2030%2B_stsenaariumite_majandusm%C3%B5ju_anal%C3%BC%C3%BCs._Arvutusmudel.xlsx","Majandusmõjude hinnang. Arvutusmudel")</f>
        <v>Majandusmõjude hinnang. Arvutusmudel</v>
      </c>
    </row>
    <row r="30" spans="1:27" s="29" customFormat="1" ht="16.25" hidden="1" customHeight="1" x14ac:dyDescent="0.2">
      <c r="A30" s="529"/>
      <c r="B30" s="38"/>
      <c r="C30" s="260" t="s">
        <v>441</v>
      </c>
      <c r="D30" s="29" t="s">
        <v>446</v>
      </c>
      <c r="E30" s="136">
        <f>F30+E32</f>
        <v>6598.2026286745004</v>
      </c>
      <c r="F30" s="136">
        <v>7999.8532894889495</v>
      </c>
      <c r="G30" s="136">
        <f>F30+G32</f>
        <v>8670.9871440978477</v>
      </c>
      <c r="H30" s="30"/>
      <c r="I30" s="79" t="str">
        <f t="shared" si="6"/>
        <v>Stsenaariumite majandusmõju hinnang</v>
      </c>
      <c r="J30" s="30"/>
      <c r="K30" s="79" t="str">
        <f t="shared" si="7"/>
        <v>Majandusmõjude hinnang. Arvutusmudel</v>
      </c>
    </row>
    <row r="31" spans="1:27" s="29" customFormat="1" ht="16.25" customHeight="1" x14ac:dyDescent="0.2">
      <c r="A31" s="529"/>
      <c r="B31" s="38"/>
      <c r="C31" s="28" t="s">
        <v>443</v>
      </c>
      <c r="D31" s="29" t="s">
        <v>446</v>
      </c>
      <c r="E31" s="136">
        <v>0</v>
      </c>
      <c r="F31" s="136">
        <v>0</v>
      </c>
      <c r="G31" s="136">
        <v>0</v>
      </c>
      <c r="H31" s="30"/>
      <c r="I31" s="79" t="str">
        <f t="shared" si="6"/>
        <v>Stsenaariumite majandusmõju hinnang</v>
      </c>
      <c r="J31" s="30"/>
      <c r="K31" s="79" t="str">
        <f t="shared" si="7"/>
        <v>Majandusmõjude hinnang. Arvutusmudel</v>
      </c>
    </row>
    <row r="32" spans="1:27" s="29" customFormat="1" ht="16.25" customHeight="1" x14ac:dyDescent="0.2">
      <c r="A32" s="529"/>
      <c r="B32" s="38"/>
      <c r="C32" s="28" t="s">
        <v>444</v>
      </c>
      <c r="D32" s="29" t="s">
        <v>446</v>
      </c>
      <c r="E32" s="136">
        <v>-1401.6506608144493</v>
      </c>
      <c r="F32" s="136">
        <v>0</v>
      </c>
      <c r="G32" s="136">
        <v>671.13385460889822</v>
      </c>
      <c r="H32" s="30"/>
      <c r="I32" s="79" t="str">
        <f t="shared" si="6"/>
        <v>Stsenaariumite majandusmõju hinnang</v>
      </c>
      <c r="J32" s="30"/>
      <c r="K32" s="79" t="str">
        <f t="shared" si="7"/>
        <v>Majandusmõjude hinnang. Arvutusmudel</v>
      </c>
    </row>
    <row r="33" spans="1:11" s="29" customFormat="1" ht="16.25" hidden="1" customHeight="1" x14ac:dyDescent="0.2">
      <c r="A33" s="529"/>
      <c r="B33" s="38"/>
      <c r="C33" s="28" t="s">
        <v>434</v>
      </c>
      <c r="D33" s="29" t="s">
        <v>435</v>
      </c>
      <c r="E33" s="136">
        <f>F33+E34</f>
        <v>1724.4082408939394</v>
      </c>
      <c r="F33" s="136">
        <v>2514.0392868258336</v>
      </c>
      <c r="G33" s="136">
        <f>F33+G34</f>
        <v>3254.5742600061508</v>
      </c>
      <c r="H33" s="30"/>
      <c r="I33" s="79" t="str">
        <f t="shared" ref="I33:I41" si="8">HYPERLINK("http://www.energiatalgud.ee/index.php?title=ENMAK:Stsenaariumid#Stsenaariumite_majandusm.C3.B5ju","Stsenaariumite majandusmõju hinnang")</f>
        <v>Stsenaariumite majandusmõju hinnang</v>
      </c>
      <c r="J33" s="30"/>
      <c r="K33" s="79" t="str">
        <f t="shared" ref="K33:K41" si="9">HYPERLINK("http://www.energiatalgud.ee/img_auth.php/a/a9/ENMAK_2030%2B_stsenaariumite_majandusm%C3%B5ju_anal%C3%BC%C3%BCs._Arvutusmudel.xlsx","Majandusmõjude hinnang. Arvutusmudel")</f>
        <v>Majandusmõjude hinnang. Arvutusmudel</v>
      </c>
    </row>
    <row r="34" spans="1:11" s="29" customFormat="1" ht="16.25" customHeight="1" x14ac:dyDescent="0.2">
      <c r="A34" s="529"/>
      <c r="B34" s="38"/>
      <c r="C34" s="28" t="s">
        <v>445</v>
      </c>
      <c r="D34" s="29" t="s">
        <v>435</v>
      </c>
      <c r="E34" s="136">
        <v>-789.63104593189428</v>
      </c>
      <c r="F34" s="136">
        <v>0</v>
      </c>
      <c r="G34" s="136">
        <v>740.53497318031714</v>
      </c>
      <c r="H34" s="30"/>
      <c r="I34" s="79" t="str">
        <f t="shared" si="8"/>
        <v>Stsenaariumite majandusmõju hinnang</v>
      </c>
      <c r="J34" s="30"/>
      <c r="K34" s="79" t="str">
        <f t="shared" si="9"/>
        <v>Majandusmõjude hinnang. Arvutusmudel</v>
      </c>
    </row>
    <row r="35" spans="1:11" s="29" customFormat="1" ht="16.25" hidden="1" customHeight="1" x14ac:dyDescent="0.2">
      <c r="A35" s="529"/>
      <c r="B35" s="38"/>
      <c r="C35" s="28" t="s">
        <v>526</v>
      </c>
      <c r="D35" s="29" t="s">
        <v>446</v>
      </c>
      <c r="E35" s="136">
        <f>$F$35+E36</f>
        <v>22882.752381184102</v>
      </c>
      <c r="F35" s="136">
        <v>27607.96812831665</v>
      </c>
      <c r="G35" s="136">
        <f>$F$35+G36</f>
        <v>29829.573047857601</v>
      </c>
      <c r="H35" s="30"/>
      <c r="I35" s="79" t="str">
        <f t="shared" si="8"/>
        <v>Stsenaariumite majandusmõju hinnang</v>
      </c>
      <c r="J35" s="30"/>
      <c r="K35" s="79" t="str">
        <f t="shared" si="9"/>
        <v>Majandusmõjude hinnang. Arvutusmudel</v>
      </c>
    </row>
    <row r="36" spans="1:11" s="29" customFormat="1" ht="16.25" customHeight="1" x14ac:dyDescent="0.2">
      <c r="A36" s="529"/>
      <c r="B36" s="38"/>
      <c r="C36" s="28" t="s">
        <v>527</v>
      </c>
      <c r="D36" s="29" t="s">
        <v>446</v>
      </c>
      <c r="E36" s="136">
        <v>-4725.2157471325463</v>
      </c>
      <c r="F36" s="136">
        <v>0</v>
      </c>
      <c r="G36" s="136">
        <v>2221.6049195409514</v>
      </c>
      <c r="H36" s="30"/>
      <c r="I36" s="79" t="str">
        <f t="shared" si="8"/>
        <v>Stsenaariumite majandusmõju hinnang</v>
      </c>
      <c r="J36" s="30"/>
      <c r="K36" s="79" t="str">
        <f t="shared" si="9"/>
        <v>Majandusmõjude hinnang. Arvutusmudel</v>
      </c>
    </row>
    <row r="37" spans="1:11" s="29" customFormat="1" ht="16.25" customHeight="1" x14ac:dyDescent="0.2">
      <c r="A37" s="529"/>
      <c r="B37" s="38"/>
      <c r="C37" s="28" t="s">
        <v>556</v>
      </c>
      <c r="D37" s="29" t="s">
        <v>557</v>
      </c>
      <c r="E37" s="136">
        <v>-8925.4343025036105</v>
      </c>
      <c r="F37" s="136">
        <v>0</v>
      </c>
      <c r="G37" s="136">
        <v>8859.809546809829</v>
      </c>
      <c r="H37" s="30"/>
      <c r="I37" s="79" t="str">
        <f t="shared" si="8"/>
        <v>Stsenaariumite majandusmõju hinnang</v>
      </c>
      <c r="J37" s="30"/>
      <c r="K37" s="79" t="str">
        <f t="shared" si="9"/>
        <v>Majandusmõjude hinnang. Arvutusmudel</v>
      </c>
    </row>
    <row r="38" spans="1:11" s="4" customFormat="1" ht="16.25" customHeight="1" x14ac:dyDescent="0.2">
      <c r="A38" s="529"/>
      <c r="B38" s="38"/>
      <c r="C38" s="28" t="s">
        <v>331</v>
      </c>
      <c r="D38" s="4" t="s">
        <v>21</v>
      </c>
      <c r="E38" s="104">
        <v>-1.2003894658898692E-2</v>
      </c>
      <c r="F38" s="104">
        <v>0</v>
      </c>
      <c r="G38" s="104">
        <v>6.3005461733413775E-3</v>
      </c>
      <c r="H38" s="30"/>
      <c r="I38" s="79" t="str">
        <f t="shared" si="8"/>
        <v>Stsenaariumite majandusmõju hinnang</v>
      </c>
      <c r="J38" s="30"/>
      <c r="K38" s="79" t="str">
        <f t="shared" si="9"/>
        <v>Majandusmõjude hinnang. Arvutusmudel</v>
      </c>
    </row>
    <row r="39" spans="1:11" s="4" customFormat="1" ht="16.25" customHeight="1" x14ac:dyDescent="0.2">
      <c r="A39" s="529"/>
      <c r="B39" s="38"/>
      <c r="C39" s="3" t="s">
        <v>15</v>
      </c>
      <c r="D39" s="4" t="s">
        <v>21</v>
      </c>
      <c r="E39" s="104">
        <v>-2.8826605518066806E-3</v>
      </c>
      <c r="F39" s="104">
        <v>0</v>
      </c>
      <c r="G39" s="104">
        <v>9.6270236772469354E-4</v>
      </c>
      <c r="H39" s="30"/>
      <c r="I39" s="79" t="str">
        <f t="shared" si="8"/>
        <v>Stsenaariumite majandusmõju hinnang</v>
      </c>
      <c r="J39" s="30"/>
      <c r="K39" s="79" t="str">
        <f t="shared" si="9"/>
        <v>Majandusmõjude hinnang. Arvutusmudel</v>
      </c>
    </row>
    <row r="40" spans="1:11" s="4" customFormat="1" ht="16.25" customHeight="1" x14ac:dyDescent="0.2">
      <c r="A40" s="529"/>
      <c r="B40" s="38"/>
      <c r="C40" s="28" t="s">
        <v>17</v>
      </c>
      <c r="D40" s="4" t="s">
        <v>21</v>
      </c>
      <c r="E40" s="104">
        <v>-6.3401547076100025E-3</v>
      </c>
      <c r="F40" s="104">
        <v>0</v>
      </c>
      <c r="G40" s="104">
        <v>3.6450913016797138E-3</v>
      </c>
      <c r="H40" s="30"/>
      <c r="I40" s="79" t="str">
        <f t="shared" si="8"/>
        <v>Stsenaariumite majandusmõju hinnang</v>
      </c>
      <c r="J40" s="30"/>
      <c r="K40" s="79" t="str">
        <f t="shared" si="9"/>
        <v>Majandusmõjude hinnang. Arvutusmudel</v>
      </c>
    </row>
    <row r="41" spans="1:11" s="4" customFormat="1" ht="16.25" customHeight="1" x14ac:dyDescent="0.2">
      <c r="A41" s="529"/>
      <c r="B41" s="38"/>
      <c r="C41" s="28" t="s">
        <v>16</v>
      </c>
      <c r="D41" s="4" t="s">
        <v>21</v>
      </c>
      <c r="E41" s="104">
        <v>-5.47417801719563E-3</v>
      </c>
      <c r="F41" s="104">
        <v>0</v>
      </c>
      <c r="G41" s="104">
        <v>2.7778456499127357E-3</v>
      </c>
      <c r="H41" s="30"/>
      <c r="I41" s="79" t="str">
        <f t="shared" si="8"/>
        <v>Stsenaariumite majandusmõju hinnang</v>
      </c>
      <c r="J41" s="30"/>
      <c r="K41" s="79" t="str">
        <f t="shared" si="9"/>
        <v>Majandusmõjude hinnang. Arvutusmudel</v>
      </c>
    </row>
    <row r="42" spans="1:11" s="4" customFormat="1" ht="5" customHeight="1" x14ac:dyDescent="0.2">
      <c r="A42" s="529"/>
      <c r="B42" s="38"/>
      <c r="E42" s="105"/>
      <c r="F42" s="105"/>
      <c r="G42" s="105"/>
      <c r="H42" s="30"/>
      <c r="I42" s="29"/>
      <c r="J42" s="30"/>
      <c r="K42" s="29"/>
    </row>
    <row r="43" spans="1:11" s="4" customFormat="1" x14ac:dyDescent="0.2">
      <c r="A43" s="529"/>
      <c r="B43" s="38"/>
      <c r="C43" s="3" t="s">
        <v>18</v>
      </c>
      <c r="D43" s="4" t="s">
        <v>21</v>
      </c>
      <c r="E43" s="104">
        <v>-6.3211579980068489E-2</v>
      </c>
      <c r="F43" s="104">
        <v>0</v>
      </c>
      <c r="G43" s="104">
        <v>3.1269994952321897E-2</v>
      </c>
      <c r="H43" s="30"/>
      <c r="I43" s="79" t="str">
        <f>HYPERLINK("http://www.energiatalgud.ee/index.php?title=ENMAK:Stsenaariumid#Stsenaariumite_majandusm.C3.B5ju","Stsenaariumite majandusmõju hinnang")</f>
        <v>Stsenaariumite majandusmõju hinnang</v>
      </c>
      <c r="J43" s="30"/>
      <c r="K43" s="79" t="str">
        <f>HYPERLINK("http://www.energiatalgud.ee/img_auth.php/a/a9/ENMAK_2030%2B_stsenaariumite_majandusm%C3%B5ju_anal%C3%BC%C3%BCs._Arvutusmudel.xlsx","Majandusmõjude hinnang. Arvutusmudel")</f>
        <v>Majandusmõjude hinnang. Arvutusmudel</v>
      </c>
    </row>
    <row r="44" spans="1:11" s="4" customFormat="1" x14ac:dyDescent="0.2">
      <c r="A44" s="529"/>
      <c r="B44" s="38"/>
      <c r="C44" s="3" t="s">
        <v>19</v>
      </c>
      <c r="D44" s="4" t="s">
        <v>21</v>
      </c>
      <c r="E44" s="104">
        <v>-7.5592465637041084E-2</v>
      </c>
      <c r="F44" s="104">
        <v>0</v>
      </c>
      <c r="G44" s="104">
        <v>3.7353855707644483E-2</v>
      </c>
      <c r="H44" s="30"/>
      <c r="I44" s="79" t="str">
        <f>HYPERLINK("http://www.energiatalgud.ee/index.php?title=ENMAK:Stsenaariumid#Stsenaariumite_majandusm.C3.B5ju","Stsenaariumite majandusmõju hinnang")</f>
        <v>Stsenaariumite majandusmõju hinnang</v>
      </c>
      <c r="J44" s="30"/>
      <c r="K44" s="79" t="str">
        <f>HYPERLINK("http://www.energiatalgud.ee/img_auth.php/a/a9/ENMAK_2030%2B_stsenaariumite_majandusm%C3%B5ju_anal%C3%BC%C3%BCs._Arvutusmudel.xlsx","Majandusmõjude hinnang. Arvutusmudel")</f>
        <v>Majandusmõjude hinnang. Arvutusmudel</v>
      </c>
    </row>
    <row r="45" spans="1:11" s="4" customFormat="1" x14ac:dyDescent="0.2">
      <c r="A45" s="529"/>
      <c r="B45" s="38"/>
      <c r="C45" s="3" t="s">
        <v>20</v>
      </c>
      <c r="D45" s="4" t="s">
        <v>21</v>
      </c>
      <c r="E45" s="104">
        <v>-1.4677437545734348E-2</v>
      </c>
      <c r="F45" s="104">
        <v>0</v>
      </c>
      <c r="G45" s="104">
        <v>7.6053165272937807E-3</v>
      </c>
      <c r="H45" s="30"/>
      <c r="I45" s="79" t="str">
        <f>HYPERLINK("http://www.energiatalgud.ee/index.php?title=ENMAK:Stsenaariumid#Stsenaariumite_majandusm.C3.B5ju","Stsenaariumite majandusmõju hinnang")</f>
        <v>Stsenaariumite majandusmõju hinnang</v>
      </c>
      <c r="J45" s="30"/>
      <c r="K45" s="79" t="str">
        <f>HYPERLINK("http://www.energiatalgud.ee/img_auth.php/a/a9/ENMAK_2030%2B_stsenaariumite_majandusm%C3%B5ju_anal%C3%BC%C3%BCs._Arvutusmudel.xlsx","Majandusmõjude hinnang. Arvutusmudel")</f>
        <v>Majandusmõjude hinnang. Arvutusmudel</v>
      </c>
    </row>
    <row r="46" spans="1:11" s="30" customFormat="1" ht="6" customHeight="1" x14ac:dyDescent="0.2"/>
    <row r="47" spans="1:11" s="27" customFormat="1" ht="14.5" customHeight="1" x14ac:dyDescent="0.2">
      <c r="A47" s="531" t="s">
        <v>572</v>
      </c>
      <c r="B47" s="30"/>
      <c r="C47" s="26" t="s">
        <v>573</v>
      </c>
      <c r="D47" s="26" t="s">
        <v>344</v>
      </c>
      <c r="E47" s="26">
        <v>397</v>
      </c>
      <c r="F47" s="26">
        <f>$E47</f>
        <v>397</v>
      </c>
      <c r="G47" s="26">
        <f>$E47</f>
        <v>397</v>
      </c>
      <c r="H47" s="30"/>
      <c r="I47" s="27" t="s">
        <v>223</v>
      </c>
      <c r="J47" s="30"/>
      <c r="K47" s="80" t="str">
        <f>HYPERLINK("http://www.energiatalgud.ee/img_auth.php/3/39/ENMAK_2030._Stsenaariumitega_kaasneva_%C3%B5hukvaliteedi_muutuste_prognoos_2012-2050.pdf","ENMAK 2030 stsenaariumitega kaasneva õhukvaliteedi muutuse prognoos")</f>
        <v>ENMAK 2030 stsenaariumitega kaasneva õhukvaliteedi muutuse prognoos</v>
      </c>
    </row>
    <row r="48" spans="1:11" s="27" customFormat="1" x14ac:dyDescent="0.2">
      <c r="A48" s="531"/>
      <c r="B48" s="30"/>
      <c r="C48" s="26" t="s">
        <v>574</v>
      </c>
      <c r="D48" s="26" t="s">
        <v>317</v>
      </c>
      <c r="E48" s="26">
        <v>349</v>
      </c>
      <c r="F48" s="26">
        <f t="shared" ref="F48:G53" si="10">$E48</f>
        <v>349</v>
      </c>
      <c r="G48" s="26">
        <f t="shared" si="10"/>
        <v>349</v>
      </c>
      <c r="H48" s="30"/>
      <c r="I48" s="27" t="s">
        <v>223</v>
      </c>
      <c r="J48" s="30"/>
      <c r="K48" s="80" t="str">
        <f t="shared" ref="K48:K53" si="11">HYPERLINK("http://www.energiatalgud.ee/img_auth.php/3/39/ENMAK_2030._Stsenaariumitega_kaasneva_%C3%B5hukvaliteedi_muutuste_prognoos_2012-2050.pdf","ENMAK 2030 stsenaariumitega kaasneva õhukvaliteedi muutuse prognoos")</f>
        <v>ENMAK 2030 stsenaariumitega kaasneva õhukvaliteedi muutuse prognoos</v>
      </c>
    </row>
    <row r="49" spans="1:18" s="27" customFormat="1" x14ac:dyDescent="0.2">
      <c r="A49" s="531"/>
      <c r="B49" s="30"/>
      <c r="C49" s="26" t="s">
        <v>594</v>
      </c>
      <c r="D49" s="26" t="s">
        <v>317</v>
      </c>
      <c r="E49" s="26">
        <v>299</v>
      </c>
      <c r="F49" s="26">
        <f t="shared" si="10"/>
        <v>299</v>
      </c>
      <c r="G49" s="26">
        <f t="shared" si="10"/>
        <v>299</v>
      </c>
      <c r="H49" s="30"/>
      <c r="I49" s="27" t="s">
        <v>223</v>
      </c>
      <c r="J49" s="30"/>
      <c r="K49" s="80" t="str">
        <f t="shared" si="11"/>
        <v>ENMAK 2030 stsenaariumitega kaasneva õhukvaliteedi muutuse prognoos</v>
      </c>
    </row>
    <row r="50" spans="1:18" s="27" customFormat="1" x14ac:dyDescent="0.2">
      <c r="A50" s="531"/>
      <c r="B50" s="30"/>
      <c r="C50" s="26" t="s">
        <v>582</v>
      </c>
      <c r="D50" s="26" t="s">
        <v>317</v>
      </c>
      <c r="E50" s="26">
        <v>505</v>
      </c>
      <c r="F50" s="26">
        <f t="shared" si="10"/>
        <v>505</v>
      </c>
      <c r="G50" s="26">
        <f t="shared" si="10"/>
        <v>505</v>
      </c>
      <c r="H50" s="30"/>
      <c r="I50" s="27" t="s">
        <v>223</v>
      </c>
      <c r="J50" s="30"/>
      <c r="K50" s="80" t="str">
        <f t="shared" si="11"/>
        <v>ENMAK 2030 stsenaariumitega kaasneva õhukvaliteedi muutuse prognoos</v>
      </c>
    </row>
    <row r="51" spans="1:18" s="27" customFormat="1" x14ac:dyDescent="0.2">
      <c r="A51" s="531"/>
      <c r="B51" s="30"/>
      <c r="C51" s="26" t="s">
        <v>577</v>
      </c>
      <c r="D51" s="26" t="s">
        <v>317</v>
      </c>
      <c r="E51" s="26">
        <v>11</v>
      </c>
      <c r="F51" s="26">
        <f t="shared" si="10"/>
        <v>11</v>
      </c>
      <c r="G51" s="26">
        <f t="shared" si="10"/>
        <v>11</v>
      </c>
      <c r="H51" s="30"/>
      <c r="I51" s="27" t="s">
        <v>223</v>
      </c>
      <c r="J51" s="30"/>
      <c r="K51" s="80" t="str">
        <f t="shared" si="11"/>
        <v>ENMAK 2030 stsenaariumitega kaasneva õhukvaliteedi muutuse prognoos</v>
      </c>
    </row>
    <row r="52" spans="1:18" s="27" customFormat="1" x14ac:dyDescent="0.2">
      <c r="A52" s="531"/>
      <c r="B52" s="30"/>
      <c r="C52" s="26" t="s">
        <v>595</v>
      </c>
      <c r="D52" s="26" t="s">
        <v>317</v>
      </c>
      <c r="E52" s="26">
        <v>6</v>
      </c>
      <c r="F52" s="26">
        <f t="shared" si="10"/>
        <v>6</v>
      </c>
      <c r="G52" s="26">
        <f t="shared" si="10"/>
        <v>6</v>
      </c>
      <c r="H52" s="30"/>
      <c r="I52" s="27" t="s">
        <v>223</v>
      </c>
      <c r="J52" s="30"/>
      <c r="K52" s="80" t="str">
        <f t="shared" si="11"/>
        <v>ENMAK 2030 stsenaariumitega kaasneva õhukvaliteedi muutuse prognoos</v>
      </c>
    </row>
    <row r="53" spans="1:18" s="27" customFormat="1" x14ac:dyDescent="0.2">
      <c r="A53" s="531"/>
      <c r="B53" s="30"/>
      <c r="C53" s="26" t="s">
        <v>596</v>
      </c>
      <c r="D53" s="26" t="s">
        <v>317</v>
      </c>
      <c r="E53" s="26">
        <v>6</v>
      </c>
      <c r="F53" s="26">
        <f t="shared" si="10"/>
        <v>6</v>
      </c>
      <c r="G53" s="26">
        <f t="shared" si="10"/>
        <v>6</v>
      </c>
      <c r="H53" s="30"/>
      <c r="I53" s="27" t="s">
        <v>223</v>
      </c>
      <c r="J53" s="30"/>
      <c r="K53" s="80" t="str">
        <f t="shared" si="11"/>
        <v>ENMAK 2030 stsenaariumitega kaasneva õhukvaliteedi muutuse prognoos</v>
      </c>
    </row>
    <row r="54" spans="1:18" s="30" customFormat="1" ht="6" customHeight="1" x14ac:dyDescent="0.2"/>
    <row r="55" spans="1:18" s="27" customFormat="1" ht="14.5" customHeight="1" x14ac:dyDescent="0.2">
      <c r="A55" s="530" t="s">
        <v>404</v>
      </c>
      <c r="B55" s="30"/>
      <c r="C55" s="28" t="s">
        <v>373</v>
      </c>
      <c r="D55" s="28" t="s">
        <v>344</v>
      </c>
      <c r="E55" s="28">
        <v>1697</v>
      </c>
      <c r="F55" s="28">
        <v>1697</v>
      </c>
      <c r="G55" s="28">
        <v>1828</v>
      </c>
      <c r="H55" s="30"/>
      <c r="I55" s="29" t="s">
        <v>223</v>
      </c>
      <c r="J55" s="29"/>
      <c r="K55" s="79" t="str">
        <f>HYPERLINK("http://www.energiatalgud.ee/img_auth.php/3/39/ENMAK_2030._Stsenaariumitega_kaasneva_%C3%B5hukvaliteedi_muutuste_prognoos_2012-2050.pdf","ENMAK 2030 stsenaariumitega kaasneva õhukvaliteedi muutuse prognoos")</f>
        <v>ENMAK 2030 stsenaariumitega kaasneva õhukvaliteedi muutuse prognoos</v>
      </c>
      <c r="L55" s="29"/>
      <c r="M55" s="29"/>
      <c r="N55" s="29"/>
      <c r="O55" s="29"/>
      <c r="P55" s="29"/>
      <c r="Q55" s="29"/>
      <c r="R55" s="29"/>
    </row>
    <row r="56" spans="1:18" s="27" customFormat="1" x14ac:dyDescent="0.2">
      <c r="A56" s="530"/>
      <c r="B56" s="30"/>
      <c r="C56" s="28" t="s">
        <v>349</v>
      </c>
      <c r="D56" s="28" t="s">
        <v>317</v>
      </c>
      <c r="E56" s="28">
        <v>1192</v>
      </c>
      <c r="F56" s="28">
        <v>1192</v>
      </c>
      <c r="G56" s="28">
        <v>1224</v>
      </c>
      <c r="H56" s="30"/>
      <c r="I56" s="29" t="s">
        <v>223</v>
      </c>
      <c r="J56" s="29"/>
      <c r="K56" s="79" t="str">
        <f t="shared" ref="K56:K61" si="12">HYPERLINK("http://www.energiatalgud.ee/img_auth.php/3/39/ENMAK_2030._Stsenaariumitega_kaasneva_%C3%B5hukvaliteedi_muutuste_prognoos_2012-2050.pdf","ENMAK 2030 stsenaariumitega kaasneva õhukvaliteedi muutuse prognoos")</f>
        <v>ENMAK 2030 stsenaariumitega kaasneva õhukvaliteedi muutuse prognoos</v>
      </c>
      <c r="L56" s="29"/>
      <c r="M56" s="29"/>
      <c r="N56" s="29"/>
      <c r="O56" s="29"/>
      <c r="P56" s="29"/>
      <c r="Q56" s="29"/>
      <c r="R56" s="29"/>
    </row>
    <row r="57" spans="1:18" s="27" customFormat="1" x14ac:dyDescent="0.2">
      <c r="A57" s="530"/>
      <c r="B57" s="30"/>
      <c r="C57" s="28" t="s">
        <v>350</v>
      </c>
      <c r="D57" s="28" t="s">
        <v>317</v>
      </c>
      <c r="E57" s="28">
        <v>2250</v>
      </c>
      <c r="F57" s="28">
        <v>2250</v>
      </c>
      <c r="G57" s="28">
        <v>2740</v>
      </c>
      <c r="H57" s="30"/>
      <c r="I57" s="29" t="s">
        <v>223</v>
      </c>
      <c r="J57" s="29"/>
      <c r="K57" s="79" t="str">
        <f t="shared" si="12"/>
        <v>ENMAK 2030 stsenaariumitega kaasneva õhukvaliteedi muutuse prognoos</v>
      </c>
      <c r="L57" s="29"/>
      <c r="M57" s="29"/>
      <c r="N57" s="29"/>
      <c r="O57" s="29"/>
      <c r="P57" s="29"/>
      <c r="Q57" s="29"/>
      <c r="R57" s="29"/>
    </row>
    <row r="58" spans="1:18" s="27" customFormat="1" x14ac:dyDescent="0.2">
      <c r="A58" s="530"/>
      <c r="B58" s="30"/>
      <c r="C58" s="28" t="s">
        <v>374</v>
      </c>
      <c r="D58" s="28" t="s">
        <v>317</v>
      </c>
      <c r="E58" s="28">
        <v>978</v>
      </c>
      <c r="F58" s="28">
        <v>978</v>
      </c>
      <c r="G58" s="28">
        <v>1100</v>
      </c>
      <c r="H58" s="30"/>
      <c r="I58" s="29" t="s">
        <v>223</v>
      </c>
      <c r="J58" s="29"/>
      <c r="K58" s="79" t="str">
        <f t="shared" si="12"/>
        <v>ENMAK 2030 stsenaariumitega kaasneva õhukvaliteedi muutuse prognoos</v>
      </c>
      <c r="L58" s="29"/>
      <c r="M58" s="29"/>
      <c r="N58" s="29"/>
      <c r="O58" s="29"/>
      <c r="P58" s="29"/>
      <c r="Q58" s="29"/>
      <c r="R58" s="29"/>
    </row>
    <row r="59" spans="1:18" s="27" customFormat="1" x14ac:dyDescent="0.2">
      <c r="A59" s="530"/>
      <c r="B59" s="30"/>
      <c r="C59" s="28" t="s">
        <v>376</v>
      </c>
      <c r="D59" s="28" t="s">
        <v>317</v>
      </c>
      <c r="E59" s="28">
        <v>39</v>
      </c>
      <c r="F59" s="28">
        <v>39</v>
      </c>
      <c r="G59" s="28">
        <v>42</v>
      </c>
      <c r="H59" s="30"/>
      <c r="I59" s="29" t="s">
        <v>223</v>
      </c>
      <c r="J59" s="29"/>
      <c r="K59" s="79" t="str">
        <f t="shared" si="12"/>
        <v>ENMAK 2030 stsenaariumitega kaasneva õhukvaliteedi muutuse prognoos</v>
      </c>
      <c r="L59" s="29"/>
      <c r="M59" s="29"/>
      <c r="N59" s="29"/>
      <c r="O59" s="29"/>
      <c r="P59" s="29"/>
      <c r="Q59" s="29"/>
      <c r="R59" s="29"/>
    </row>
    <row r="60" spans="1:18" s="27" customFormat="1" x14ac:dyDescent="0.2">
      <c r="A60" s="530"/>
      <c r="B60" s="30"/>
      <c r="C60" s="28" t="s">
        <v>379</v>
      </c>
      <c r="D60" s="28" t="s">
        <v>317</v>
      </c>
      <c r="E60" s="28">
        <v>9</v>
      </c>
      <c r="F60" s="28">
        <v>9</v>
      </c>
      <c r="G60" s="28">
        <v>9</v>
      </c>
      <c r="H60" s="30"/>
      <c r="I60" s="29" t="s">
        <v>223</v>
      </c>
      <c r="J60" s="29"/>
      <c r="K60" s="79" t="str">
        <f t="shared" si="12"/>
        <v>ENMAK 2030 stsenaariumitega kaasneva õhukvaliteedi muutuse prognoos</v>
      </c>
      <c r="L60" s="29"/>
      <c r="M60" s="29"/>
      <c r="N60" s="29"/>
      <c r="O60" s="29"/>
      <c r="P60" s="29"/>
      <c r="Q60" s="29"/>
      <c r="R60" s="29"/>
    </row>
    <row r="61" spans="1:18" s="27" customFormat="1" x14ac:dyDescent="0.2">
      <c r="A61" s="530"/>
      <c r="B61" s="30"/>
      <c r="C61" s="28" t="s">
        <v>380</v>
      </c>
      <c r="D61" s="28" t="s">
        <v>317</v>
      </c>
      <c r="E61" s="28">
        <v>16</v>
      </c>
      <c r="F61" s="28">
        <v>16</v>
      </c>
      <c r="G61" s="28">
        <v>18</v>
      </c>
      <c r="H61" s="30"/>
      <c r="I61" s="29" t="s">
        <v>223</v>
      </c>
      <c r="J61" s="29"/>
      <c r="K61" s="79" t="str">
        <f t="shared" si="12"/>
        <v>ENMAK 2030 stsenaariumitega kaasneva õhukvaliteedi muutuse prognoos</v>
      </c>
      <c r="L61" s="29"/>
      <c r="M61" s="29"/>
      <c r="N61" s="29"/>
      <c r="O61" s="29"/>
      <c r="P61" s="29"/>
      <c r="Q61" s="29"/>
      <c r="R61" s="29"/>
    </row>
    <row r="62" spans="1:18" s="30" customFormat="1" ht="7.25" customHeight="1" x14ac:dyDescent="0.2">
      <c r="E62" s="131"/>
      <c r="F62" s="132"/>
      <c r="G62" s="131"/>
    </row>
    <row r="63" spans="1:18" s="29" customFormat="1" ht="14.5" customHeight="1" x14ac:dyDescent="0.2">
      <c r="A63" s="525" t="s">
        <v>403</v>
      </c>
      <c r="B63" s="30"/>
      <c r="C63" s="316" t="s">
        <v>371</v>
      </c>
      <c r="D63" s="316" t="s">
        <v>344</v>
      </c>
      <c r="E63" s="26">
        <v>1697</v>
      </c>
      <c r="F63" s="26">
        <v>2346</v>
      </c>
      <c r="G63" s="26">
        <v>3450</v>
      </c>
      <c r="H63" s="30"/>
      <c r="I63" s="27" t="s">
        <v>223</v>
      </c>
      <c r="J63" s="27"/>
      <c r="K63" s="80" t="str">
        <f>HYPERLINK("http://www.energiatalgud.ee/img_auth.php/3/39/ENMAK_2030._Stsenaariumitega_kaasneva_%C3%B5hukvaliteedi_muutuste_prognoos_2012-2050.pdf","ENMAK 2030 stsenaariumitega kaasneva õhukvaliteedi muutuse prognoos")</f>
        <v>ENMAK 2030 stsenaariumitega kaasneva õhukvaliteedi muutuse prognoos</v>
      </c>
      <c r="L63" s="27"/>
      <c r="M63" s="27"/>
      <c r="N63" s="27"/>
      <c r="O63" s="27"/>
      <c r="P63" s="27"/>
      <c r="Q63" s="27"/>
      <c r="R63" s="27"/>
    </row>
    <row r="64" spans="1:18" s="29" customFormat="1" x14ac:dyDescent="0.2">
      <c r="A64" s="525"/>
      <c r="B64" s="30"/>
      <c r="C64" s="316" t="s">
        <v>369</v>
      </c>
      <c r="D64" s="316" t="s">
        <v>317</v>
      </c>
      <c r="E64" s="26">
        <v>1192</v>
      </c>
      <c r="F64" s="26">
        <v>1692</v>
      </c>
      <c r="G64" s="26">
        <v>2475</v>
      </c>
      <c r="H64" s="30"/>
      <c r="I64" s="27" t="s">
        <v>223</v>
      </c>
      <c r="J64" s="27"/>
      <c r="K64" s="80" t="str">
        <f t="shared" ref="K64:K69" si="13">HYPERLINK("http://www.energiatalgud.ee/img_auth.php/3/39/ENMAK_2030._Stsenaariumitega_kaasneva_%C3%B5hukvaliteedi_muutuste_prognoos_2012-2050.pdf","ENMAK 2030 stsenaariumitega kaasneva õhukvaliteedi muutuse prognoos")</f>
        <v>ENMAK 2030 stsenaariumitega kaasneva õhukvaliteedi muutuse prognoos</v>
      </c>
      <c r="L64" s="27"/>
      <c r="M64" s="27"/>
      <c r="N64" s="27"/>
      <c r="O64" s="27"/>
      <c r="P64" s="27"/>
      <c r="Q64" s="27"/>
      <c r="R64" s="27"/>
    </row>
    <row r="65" spans="1:18" s="29" customFormat="1" x14ac:dyDescent="0.2">
      <c r="A65" s="525"/>
      <c r="B65" s="30"/>
      <c r="C65" s="316" t="s">
        <v>370</v>
      </c>
      <c r="D65" s="316" t="s">
        <v>317</v>
      </c>
      <c r="E65" s="26">
        <v>2250</v>
      </c>
      <c r="F65" s="26">
        <v>2550</v>
      </c>
      <c r="G65" s="26">
        <v>3491</v>
      </c>
      <c r="H65" s="30"/>
      <c r="I65" s="27" t="s">
        <v>223</v>
      </c>
      <c r="J65" s="27"/>
      <c r="K65" s="80" t="str">
        <f t="shared" si="13"/>
        <v>ENMAK 2030 stsenaariumitega kaasneva õhukvaliteedi muutuse prognoos</v>
      </c>
      <c r="L65" s="27"/>
      <c r="M65" s="27"/>
      <c r="N65" s="27"/>
      <c r="O65" s="27"/>
      <c r="P65" s="27"/>
      <c r="Q65" s="27"/>
      <c r="R65" s="27"/>
    </row>
    <row r="66" spans="1:18" s="29" customFormat="1" x14ac:dyDescent="0.2">
      <c r="A66" s="525"/>
      <c r="B66" s="30"/>
      <c r="C66" s="316" t="s">
        <v>372</v>
      </c>
      <c r="D66" s="316" t="s">
        <v>317</v>
      </c>
      <c r="E66" s="26">
        <v>978</v>
      </c>
      <c r="F66" s="26">
        <v>1045</v>
      </c>
      <c r="G66" s="26">
        <v>1267</v>
      </c>
      <c r="H66" s="30"/>
      <c r="I66" s="27" t="s">
        <v>223</v>
      </c>
      <c r="J66" s="27"/>
      <c r="K66" s="80" t="str">
        <f t="shared" si="13"/>
        <v>ENMAK 2030 stsenaariumitega kaasneva õhukvaliteedi muutuse prognoos</v>
      </c>
      <c r="L66" s="27"/>
      <c r="M66" s="27"/>
      <c r="N66" s="27"/>
      <c r="O66" s="27"/>
      <c r="P66" s="27"/>
      <c r="Q66" s="27"/>
      <c r="R66" s="27"/>
    </row>
    <row r="67" spans="1:18" s="29" customFormat="1" x14ac:dyDescent="0.2">
      <c r="A67" s="525"/>
      <c r="B67" s="30"/>
      <c r="C67" s="316" t="s">
        <v>375</v>
      </c>
      <c r="D67" s="316" t="s">
        <v>317</v>
      </c>
      <c r="E67" s="26">
        <v>39</v>
      </c>
      <c r="F67" s="26">
        <v>39</v>
      </c>
      <c r="G67" s="26">
        <v>42</v>
      </c>
      <c r="H67" s="30"/>
      <c r="I67" s="27" t="s">
        <v>223</v>
      </c>
      <c r="J67" s="27"/>
      <c r="K67" s="80" t="str">
        <f t="shared" si="13"/>
        <v>ENMAK 2030 stsenaariumitega kaasneva õhukvaliteedi muutuse prognoos</v>
      </c>
      <c r="L67" s="27"/>
      <c r="M67" s="27"/>
      <c r="N67" s="27"/>
      <c r="O67" s="27"/>
      <c r="P67" s="27"/>
      <c r="Q67" s="27"/>
      <c r="R67" s="27"/>
    </row>
    <row r="68" spans="1:18" s="29" customFormat="1" x14ac:dyDescent="0.2">
      <c r="A68" s="525"/>
      <c r="B68" s="30"/>
      <c r="C68" s="316" t="s">
        <v>381</v>
      </c>
      <c r="D68" s="316" t="s">
        <v>317</v>
      </c>
      <c r="E68" s="26">
        <v>9</v>
      </c>
      <c r="F68" s="26">
        <v>9</v>
      </c>
      <c r="G68" s="26">
        <v>9</v>
      </c>
      <c r="H68" s="30"/>
      <c r="I68" s="27" t="s">
        <v>223</v>
      </c>
      <c r="J68" s="27"/>
      <c r="K68" s="80" t="str">
        <f t="shared" si="13"/>
        <v>ENMAK 2030 stsenaariumitega kaasneva õhukvaliteedi muutuse prognoos</v>
      </c>
      <c r="L68" s="27"/>
      <c r="M68" s="27"/>
      <c r="N68" s="27"/>
      <c r="O68" s="27"/>
      <c r="P68" s="27"/>
      <c r="Q68" s="27"/>
      <c r="R68" s="27"/>
    </row>
    <row r="69" spans="1:18" s="29" customFormat="1" x14ac:dyDescent="0.2">
      <c r="A69" s="525"/>
      <c r="B69" s="30"/>
      <c r="C69" s="316" t="s">
        <v>382</v>
      </c>
      <c r="D69" s="316" t="s">
        <v>317</v>
      </c>
      <c r="E69" s="26">
        <v>16</v>
      </c>
      <c r="F69" s="26">
        <v>21</v>
      </c>
      <c r="G69" s="26">
        <v>30</v>
      </c>
      <c r="H69" s="30"/>
      <c r="I69" s="27" t="s">
        <v>223</v>
      </c>
      <c r="J69" s="27"/>
      <c r="K69" s="80" t="str">
        <f t="shared" si="13"/>
        <v>ENMAK 2030 stsenaariumitega kaasneva õhukvaliteedi muutuse prognoos</v>
      </c>
      <c r="L69" s="27"/>
      <c r="M69" s="27"/>
      <c r="N69" s="27"/>
      <c r="O69" s="27"/>
      <c r="P69" s="27"/>
      <c r="Q69" s="27"/>
      <c r="R69" s="27"/>
    </row>
    <row r="70" spans="1:18" s="30" customFormat="1" ht="7.25" customHeight="1" x14ac:dyDescent="0.2">
      <c r="E70" s="131"/>
      <c r="F70" s="132"/>
      <c r="G70" s="131"/>
    </row>
    <row r="71" spans="1:18" s="29" customFormat="1" ht="14.5" customHeight="1" x14ac:dyDescent="0.2">
      <c r="A71" s="529" t="s">
        <v>561</v>
      </c>
      <c r="B71" s="30"/>
      <c r="C71" s="133" t="s">
        <v>555</v>
      </c>
      <c r="D71" s="133" t="s">
        <v>344</v>
      </c>
      <c r="E71" s="28">
        <v>1697</v>
      </c>
      <c r="F71" s="28">
        <v>2346</v>
      </c>
      <c r="G71" s="28">
        <v>3450</v>
      </c>
      <c r="H71" s="30"/>
      <c r="I71" s="29" t="s">
        <v>223</v>
      </c>
      <c r="J71" s="30"/>
      <c r="K71" s="79" t="str">
        <f>HYPERLINK("http://www.energiatalgud.ee/img_auth.php/3/39/ENMAK_2030._Stsenaariumitega_kaasneva_%C3%B5hukvaliteedi_muutuste_prognoos_2012-2050.pdf","ENMAK 2030 stsenaariumitega kaasneva õhukvaliteedi muutuse prognoos")</f>
        <v>ENMAK 2030 stsenaariumitega kaasneva õhukvaliteedi muutuse prognoos</v>
      </c>
    </row>
    <row r="72" spans="1:18" s="29" customFormat="1" x14ac:dyDescent="0.2">
      <c r="A72" s="529"/>
      <c r="B72" s="30"/>
      <c r="C72" s="133" t="s">
        <v>562</v>
      </c>
      <c r="D72" s="133" t="s">
        <v>317</v>
      </c>
      <c r="E72" s="28">
        <v>1192</v>
      </c>
      <c r="F72" s="28">
        <v>1692</v>
      </c>
      <c r="G72" s="28">
        <v>2475</v>
      </c>
      <c r="H72" s="30"/>
      <c r="I72" s="29" t="s">
        <v>223</v>
      </c>
      <c r="J72" s="30"/>
      <c r="K72" s="79" t="str">
        <f t="shared" ref="K72:K77" si="14">HYPERLINK("http://www.energiatalgud.ee/img_auth.php/3/39/ENMAK_2030._Stsenaariumitega_kaasneva_%C3%B5hukvaliteedi_muutuste_prognoos_2012-2050.pdf","ENMAK 2030 stsenaariumitega kaasneva õhukvaliteedi muutuse prognoos")</f>
        <v>ENMAK 2030 stsenaariumitega kaasneva õhukvaliteedi muutuse prognoos</v>
      </c>
    </row>
    <row r="73" spans="1:18" s="29" customFormat="1" x14ac:dyDescent="0.2">
      <c r="A73" s="529"/>
      <c r="B73" s="30"/>
      <c r="C73" s="133" t="s">
        <v>563</v>
      </c>
      <c r="D73" s="133" t="s">
        <v>317</v>
      </c>
      <c r="E73" s="28">
        <v>2250</v>
      </c>
      <c r="F73" s="28">
        <v>2550</v>
      </c>
      <c r="G73" s="28">
        <v>3491</v>
      </c>
      <c r="H73" s="30"/>
      <c r="I73" s="29" t="s">
        <v>223</v>
      </c>
      <c r="J73" s="30"/>
      <c r="K73" s="79" t="str">
        <f t="shared" si="14"/>
        <v>ENMAK 2030 stsenaariumitega kaasneva õhukvaliteedi muutuse prognoos</v>
      </c>
    </row>
    <row r="74" spans="1:18" s="29" customFormat="1" x14ac:dyDescent="0.2">
      <c r="A74" s="529"/>
      <c r="B74" s="30"/>
      <c r="C74" s="133" t="s">
        <v>564</v>
      </c>
      <c r="D74" s="133" t="s">
        <v>317</v>
      </c>
      <c r="E74" s="28">
        <v>978</v>
      </c>
      <c r="F74" s="28">
        <v>1045</v>
      </c>
      <c r="G74" s="28">
        <v>1267</v>
      </c>
      <c r="H74" s="30"/>
      <c r="I74" s="29" t="s">
        <v>223</v>
      </c>
      <c r="J74" s="30"/>
      <c r="K74" s="79" t="str">
        <f t="shared" si="14"/>
        <v>ENMAK 2030 stsenaariumitega kaasneva õhukvaliteedi muutuse prognoos</v>
      </c>
    </row>
    <row r="75" spans="1:18" s="29" customFormat="1" x14ac:dyDescent="0.2">
      <c r="A75" s="529"/>
      <c r="B75" s="30"/>
      <c r="C75" s="133" t="s">
        <v>565</v>
      </c>
      <c r="D75" s="133" t="s">
        <v>317</v>
      </c>
      <c r="E75" s="28">
        <v>39</v>
      </c>
      <c r="F75" s="28">
        <v>39</v>
      </c>
      <c r="G75" s="28">
        <v>42</v>
      </c>
      <c r="H75" s="30"/>
      <c r="I75" s="29" t="s">
        <v>223</v>
      </c>
      <c r="J75" s="30"/>
      <c r="K75" s="79" t="str">
        <f t="shared" si="14"/>
        <v>ENMAK 2030 stsenaariumitega kaasneva õhukvaliteedi muutuse prognoos</v>
      </c>
    </row>
    <row r="76" spans="1:18" s="29" customFormat="1" x14ac:dyDescent="0.2">
      <c r="A76" s="529"/>
      <c r="B76" s="30"/>
      <c r="C76" s="133" t="s">
        <v>597</v>
      </c>
      <c r="D76" s="133" t="s">
        <v>317</v>
      </c>
      <c r="E76" s="28">
        <v>9</v>
      </c>
      <c r="F76" s="28">
        <v>9</v>
      </c>
      <c r="G76" s="28">
        <v>9</v>
      </c>
      <c r="H76" s="30"/>
      <c r="I76" s="29" t="s">
        <v>223</v>
      </c>
      <c r="J76" s="30"/>
      <c r="K76" s="79" t="str">
        <f t="shared" si="14"/>
        <v>ENMAK 2030 stsenaariumitega kaasneva õhukvaliteedi muutuse prognoos</v>
      </c>
    </row>
    <row r="77" spans="1:18" s="29" customFormat="1" x14ac:dyDescent="0.2">
      <c r="A77" s="529"/>
      <c r="B77" s="30"/>
      <c r="C77" s="133" t="s">
        <v>598</v>
      </c>
      <c r="D77" s="133" t="s">
        <v>317</v>
      </c>
      <c r="E77" s="28">
        <v>16</v>
      </c>
      <c r="F77" s="28">
        <v>9</v>
      </c>
      <c r="G77" s="28">
        <v>30</v>
      </c>
      <c r="H77" s="30"/>
      <c r="I77" s="29" t="s">
        <v>223</v>
      </c>
      <c r="J77" s="30"/>
      <c r="K77" s="79" t="str">
        <f t="shared" si="14"/>
        <v>ENMAK 2030 stsenaariumitega kaasneva õhukvaliteedi muutuse prognoos</v>
      </c>
    </row>
    <row r="79" spans="1:18" s="25" customFormat="1" ht="16.75" customHeight="1" x14ac:dyDescent="0.2">
      <c r="A79" s="525" t="s">
        <v>625</v>
      </c>
      <c r="B79" s="33"/>
      <c r="C79" s="26" t="s">
        <v>624</v>
      </c>
      <c r="D79" s="334" t="s">
        <v>626</v>
      </c>
      <c r="E79" s="335">
        <v>4.5</v>
      </c>
      <c r="F79" s="335">
        <f>$E79</f>
        <v>4.5</v>
      </c>
      <c r="G79" s="335">
        <f>$E79</f>
        <v>4.5</v>
      </c>
      <c r="H79" s="30"/>
      <c r="I79" s="80" t="str">
        <f>HYPERLINK("http://www.energiatalgud.ee/img_auth.php/0/02/Orru%2C_H._ENMAK_2030._%C3%95husaaste_tervisem%C3%B5ju.pdf","ENMAK 2030. Õhusaaste tervisemõju")</f>
        <v>ENMAK 2030. Õhusaaste tervisemõju</v>
      </c>
      <c r="J79" s="80"/>
      <c r="K79" s="80" t="str">
        <f>HYPERLINK("https://onedrive.live.com/redir?resid=31206ECE3E1FC115!180&amp;authkey=!AHEPLMml5vHKJn0&amp;ithint=file%2cxlsx","Orru, H. ENMAK 2030 õhusaaste tervisemõju. Arvutusfail")</f>
        <v>Orru, H. ENMAK 2030 õhusaaste tervisemõju. Arvutusfail</v>
      </c>
    </row>
    <row r="80" spans="1:18" x14ac:dyDescent="0.2">
      <c r="A80" s="525"/>
      <c r="C80" s="26" t="s">
        <v>519</v>
      </c>
      <c r="D80" s="334" t="s">
        <v>626</v>
      </c>
      <c r="E80" s="335">
        <v>13.8</v>
      </c>
      <c r="F80" s="336">
        <f>AVERAGE(E80,G80)</f>
        <v>12.25</v>
      </c>
      <c r="G80" s="335">
        <v>10.7</v>
      </c>
      <c r="I80" s="81" t="str">
        <f>HYPERLINK("http://www.energiatalgud.ee/img_auth.php/0/02/Orru%2C_H._ENMAK_2030._%C3%95husaaste_tervisem%C3%B5ju.pdf","ENMAK 2030. Õhusaaste tervisemõju")</f>
        <v>ENMAK 2030. Õhusaaste tervisemõju</v>
      </c>
      <c r="K80" s="80" t="str">
        <f>HYPERLINK("https://onedrive.live.com/redir?resid=31206ECE3E1FC115!180&amp;authkey=!AHEPLMml5vHKJn0&amp;ithint=file%2cxlsx","Orru, H. ENMAK 2030 õhusaaste tervisemõju. Arvutusfail")</f>
        <v>Orru, H. ENMAK 2030 õhusaaste tervisemõju. Arvutusfail</v>
      </c>
    </row>
  </sheetData>
  <sheetProtection password="C627" sheet="1" objects="1" scenarios="1"/>
  <mergeCells count="10">
    <mergeCell ref="A79:A80"/>
    <mergeCell ref="A71:A77"/>
    <mergeCell ref="A55:A61"/>
    <mergeCell ref="I1:K1"/>
    <mergeCell ref="I2:I3"/>
    <mergeCell ref="K2:K3"/>
    <mergeCell ref="A5:A11"/>
    <mergeCell ref="A29:A45"/>
    <mergeCell ref="A47:A53"/>
    <mergeCell ref="A63:A69"/>
  </mergeCells>
  <hyperlinks>
    <hyperlink ref="C49" r:id="rId1"/>
  </hyperlinks>
  <pageMargins left="0.7" right="0.7" top="0.75" bottom="0.75" header="0.3" footer="0.3"/>
  <pageSetup paperSize="9" orientation="portrait"/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topLeftCell="C13" workbookViewId="0">
      <selection activeCell="H37" sqref="H37"/>
    </sheetView>
  </sheetViews>
  <sheetFormatPr baseColWidth="10" defaultColWidth="8.796875" defaultRowHeight="15" x14ac:dyDescent="0.2"/>
  <cols>
    <col min="1" max="1" width="8.796875" style="87"/>
    <col min="2" max="2" width="25.19921875" style="87" bestFit="1" customWidth="1"/>
    <col min="3" max="3" width="22.796875" style="87" bestFit="1" customWidth="1"/>
    <col min="4" max="4" width="23.19921875" style="87" bestFit="1" customWidth="1"/>
    <col min="5" max="5" width="18.3984375" style="87" customWidth="1"/>
    <col min="6" max="6" width="17.3984375" style="87" customWidth="1"/>
    <col min="7" max="7" width="35.19921875" style="87" customWidth="1"/>
    <col min="8" max="8" width="24.3984375" style="87" bestFit="1" customWidth="1"/>
    <col min="9" max="9" width="8.796875" style="87"/>
    <col min="10" max="10" width="9.796875" style="87" customWidth="1"/>
    <col min="11" max="11" width="32.3984375" style="87" bestFit="1" customWidth="1"/>
    <col min="12" max="12" width="40.59765625" style="87" customWidth="1"/>
    <col min="13" max="13" width="39.59765625" style="87" customWidth="1"/>
    <col min="14" max="14" width="40.59765625" style="87" customWidth="1"/>
    <col min="15" max="16384" width="8.796875" style="87"/>
  </cols>
  <sheetData>
    <row r="1" spans="1:13" x14ac:dyDescent="0.2">
      <c r="A1" s="534" t="s">
        <v>25</v>
      </c>
      <c r="B1" s="534" t="s">
        <v>241</v>
      </c>
      <c r="C1" s="534" t="s">
        <v>16</v>
      </c>
      <c r="D1" s="534" t="s">
        <v>17</v>
      </c>
      <c r="E1" s="534" t="s">
        <v>242</v>
      </c>
      <c r="F1" s="534" t="s">
        <v>243</v>
      </c>
      <c r="G1" s="534" t="s">
        <v>244</v>
      </c>
    </row>
    <row r="2" spans="1:13" x14ac:dyDescent="0.2">
      <c r="A2" s="534"/>
      <c r="B2" s="534"/>
      <c r="C2" s="534"/>
      <c r="D2" s="534"/>
      <c r="E2" s="534"/>
      <c r="F2" s="534"/>
      <c r="G2" s="534"/>
      <c r="J2" s="239" t="s">
        <v>123</v>
      </c>
    </row>
    <row r="3" spans="1:13" x14ac:dyDescent="0.2">
      <c r="A3" s="534"/>
      <c r="B3" s="534"/>
      <c r="C3" s="534"/>
      <c r="D3" s="534"/>
      <c r="E3" s="534"/>
      <c r="F3" s="534"/>
      <c r="G3" s="534"/>
    </row>
    <row r="4" spans="1:13" x14ac:dyDescent="0.2">
      <c r="A4" s="534"/>
      <c r="B4" s="534"/>
      <c r="C4" s="534"/>
      <c r="D4" s="534"/>
      <c r="E4" s="534"/>
      <c r="F4" s="534"/>
      <c r="G4" s="534"/>
      <c r="J4" s="87" t="s">
        <v>37</v>
      </c>
      <c r="K4" s="87" t="s">
        <v>119</v>
      </c>
      <c r="L4" s="87" t="s">
        <v>124</v>
      </c>
      <c r="M4" s="87" t="s">
        <v>126</v>
      </c>
    </row>
    <row r="5" spans="1:13" x14ac:dyDescent="0.2">
      <c r="A5" s="240"/>
      <c r="B5" s="240"/>
      <c r="C5" s="240"/>
      <c r="D5" s="240"/>
      <c r="E5" s="240"/>
      <c r="F5" s="240"/>
      <c r="G5" s="240"/>
      <c r="I5" s="241" t="s">
        <v>59</v>
      </c>
      <c r="J5" s="87">
        <f ca="1">Tulem!T6</f>
        <v>3728</v>
      </c>
      <c r="K5" s="87">
        <f ca="1">Tulem!V6</f>
        <v>2346</v>
      </c>
      <c r="L5" s="87">
        <f ca="1">Tulem!U6</f>
        <v>1177</v>
      </c>
      <c r="M5" s="87">
        <v>0</v>
      </c>
    </row>
    <row r="6" spans="1:13" x14ac:dyDescent="0.2">
      <c r="A6" s="242">
        <f ca="1">Tulem!J6</f>
        <v>2.6637965611334694E-2</v>
      </c>
      <c r="B6" s="242">
        <f ca="1">Tulem!K6</f>
        <v>3.1058650804800022E-3</v>
      </c>
      <c r="C6" s="242">
        <f ca="1">Tulem!L6</f>
        <v>6.4007113804134541E-3</v>
      </c>
      <c r="D6" s="242">
        <f ca="1">Tulem!M6</f>
        <v>2.0466863800668721E-2</v>
      </c>
      <c r="E6" s="242">
        <f ca="1">Tulem!N6</f>
        <v>-4.4598439328278769E-2</v>
      </c>
      <c r="F6" s="242">
        <f ca="1">Tulem!O6</f>
        <v>-5.7198034850571254E-2</v>
      </c>
      <c r="G6" s="242">
        <f ca="1">Tulem!P6</f>
        <v>-8.0262296294678515E-2</v>
      </c>
      <c r="I6" s="243" t="s">
        <v>60</v>
      </c>
      <c r="J6" s="87">
        <f ca="1">Tulem!T7</f>
        <v>3728</v>
      </c>
      <c r="K6" s="87">
        <f ca="1">Tulem!V7</f>
        <v>2346</v>
      </c>
      <c r="L6" s="87">
        <f ca="1">Tulem!U7</f>
        <v>1177</v>
      </c>
      <c r="M6" s="87">
        <v>0</v>
      </c>
    </row>
    <row r="7" spans="1:13" x14ac:dyDescent="0.2">
      <c r="A7" s="242"/>
      <c r="B7" s="242"/>
      <c r="C7" s="242"/>
      <c r="D7" s="242"/>
      <c r="E7" s="242"/>
      <c r="F7" s="244"/>
      <c r="G7" s="244"/>
      <c r="I7" s="243" t="s">
        <v>61</v>
      </c>
      <c r="J7" s="87">
        <f ca="1">Tulem!T8</f>
        <v>0</v>
      </c>
      <c r="K7" s="87">
        <f ca="1">Tulem!V8</f>
        <v>2346</v>
      </c>
      <c r="L7" s="87">
        <f ca="1">Tulem!U8</f>
        <v>1177</v>
      </c>
      <c r="M7" s="87">
        <v>0</v>
      </c>
    </row>
    <row r="8" spans="1:13" x14ac:dyDescent="0.2">
      <c r="A8" s="242">
        <f ca="1">Tulem!J7</f>
        <v>2.1986910233088176E-2</v>
      </c>
      <c r="B8" s="242">
        <f ca="1">Tulem!K7</f>
        <v>3.0930993534386154E-3</v>
      </c>
      <c r="C8" s="242">
        <f ca="1">Tulem!L7</f>
        <v>5.0699215443667234E-3</v>
      </c>
      <c r="D8" s="242">
        <f ca="1">Tulem!M7</f>
        <v>1.7073000352503868E-2</v>
      </c>
      <c r="E8" s="242">
        <f ca="1">Tulem!N7</f>
        <v>-4.857792645872467E-2</v>
      </c>
      <c r="F8" s="242">
        <f ca="1">Tulem!O7</f>
        <v>-5.8457194766859698E-2</v>
      </c>
      <c r="G8" s="242">
        <f ca="1">Tulem!P7</f>
        <v>-8.1723015267904764E-2</v>
      </c>
    </row>
    <row r="9" spans="1:13" x14ac:dyDescent="0.2">
      <c r="A9" s="242">
        <f ca="1">Tulem!J8</f>
        <v>2.4174429154618222E-2</v>
      </c>
      <c r="B9" s="242">
        <f ca="1">Tulem!K8</f>
        <v>3.2096321363427969E-3</v>
      </c>
      <c r="C9" s="242">
        <f ca="1">Tulem!L8</f>
        <v>4.4609666306242024E-3</v>
      </c>
      <c r="D9" s="242">
        <f ca="1">Tulem!M8</f>
        <v>1.9918998731180058E-2</v>
      </c>
      <c r="E9" s="242">
        <f ca="1">Tulem!N8</f>
        <v>-6.5078310298571945E-2</v>
      </c>
      <c r="F9" s="242">
        <f ca="1">Tulem!O8</f>
        <v>-0.19707261985704216</v>
      </c>
      <c r="G9" s="242">
        <f ca="1">Tulem!P8</f>
        <v>-0.12955712047841597</v>
      </c>
      <c r="J9" s="239" t="s">
        <v>125</v>
      </c>
    </row>
    <row r="10" spans="1:13" x14ac:dyDescent="0.2">
      <c r="A10" s="242">
        <f ca="1">Tulem!J9</f>
        <v>1.5704517146665847E-2</v>
      </c>
      <c r="B10" s="242">
        <f ca="1">Tulem!K9</f>
        <v>5.7861522028542292E-3</v>
      </c>
      <c r="C10" s="242">
        <f ca="1">Tulem!L9</f>
        <v>2.5770516830088963E-3</v>
      </c>
      <c r="D10" s="242">
        <f ca="1">Tulem!M9</f>
        <v>1.3248113808627037E-2</v>
      </c>
      <c r="E10" s="242">
        <f ca="1">Tulem!N9</f>
        <v>-5.2811725469989391E-2</v>
      </c>
      <c r="F10" s="242">
        <f ca="1">Tulem!O9</f>
        <v>-5.9790806986495262E-2</v>
      </c>
      <c r="G10" s="242">
        <f ca="1">Tulem!P9</f>
        <v>-8.2821978067298727E-2</v>
      </c>
      <c r="J10" s="87" t="s">
        <v>35</v>
      </c>
      <c r="K10" s="87" t="s">
        <v>124</v>
      </c>
      <c r="L10" s="87" t="s">
        <v>38</v>
      </c>
      <c r="M10" s="87" t="s">
        <v>126</v>
      </c>
    </row>
    <row r="11" spans="1:13" x14ac:dyDescent="0.2">
      <c r="A11" s="242">
        <f ca="1">Tulem!J10</f>
        <v>1.9523373776371703E-2</v>
      </c>
      <c r="B11" s="242">
        <f ca="1">Tulem!K10</f>
        <v>3.1968664093014101E-3</v>
      </c>
      <c r="C11" s="242">
        <f ca="1">Tulem!L10</f>
        <v>3.1301767945774717E-3</v>
      </c>
      <c r="D11" s="242">
        <f ca="1">Tulem!M10</f>
        <v>1.6525135283015201E-2</v>
      </c>
      <c r="E11" s="242">
        <f ca="1">Tulem!N10</f>
        <v>-6.9057797429017853E-2</v>
      </c>
      <c r="F11" s="242">
        <f ca="1">Tulem!O10</f>
        <v>-0.19833177977333061</v>
      </c>
      <c r="G11" s="242">
        <f ca="1">Tulem!P10</f>
        <v>-0.13101783945164222</v>
      </c>
      <c r="I11" s="241" t="s">
        <v>59</v>
      </c>
      <c r="J11" s="87">
        <f ca="1">Tulem!X6</f>
        <v>530.88499063732002</v>
      </c>
      <c r="K11" s="87">
        <f ca="1">Tulem!Y6</f>
        <v>507</v>
      </c>
      <c r="L11" s="87">
        <f ca="1">Tulem!Z6</f>
        <v>586.20000000000005</v>
      </c>
      <c r="M11" s="87">
        <v>0</v>
      </c>
    </row>
    <row r="12" spans="1:13" x14ac:dyDescent="0.2">
      <c r="A12" s="242">
        <f ca="1">Tulem!J11</f>
        <v>2.2988458620406115E-2</v>
      </c>
      <c r="B12" s="242">
        <f ca="1">Tulem!K11</f>
        <v>3.9278295680382526E-3</v>
      </c>
      <c r="C12" s="242">
        <f ca="1">Tulem!L11</f>
        <v>4.7468294538898503E-3</v>
      </c>
      <c r="D12" s="242">
        <f ca="1">Tulem!M11</f>
        <v>1.8443863490071936E-2</v>
      </c>
      <c r="E12" s="242">
        <f ca="1">Tulem!N11</f>
        <v>-4.4633590055617761E-2</v>
      </c>
      <c r="F12" s="242">
        <f ca="1">Tulem!O11</f>
        <v>-5.6886451781157449E-2</v>
      </c>
      <c r="G12" s="242">
        <f ca="1">Tulem!P11</f>
        <v>-8.0572868854812421E-2</v>
      </c>
      <c r="I12" s="243" t="s">
        <v>60</v>
      </c>
      <c r="J12" s="87">
        <f ca="1">Tulem!X7</f>
        <v>530.88499063732002</v>
      </c>
      <c r="K12" s="87">
        <f ca="1">Tulem!Y7</f>
        <v>507</v>
      </c>
      <c r="L12" s="87">
        <f ca="1">Tulem!Z7</f>
        <v>377.5</v>
      </c>
      <c r="M12" s="87">
        <v>0</v>
      </c>
    </row>
    <row r="13" spans="1:13" x14ac:dyDescent="0.2">
      <c r="A13" s="242">
        <f ca="1">Tulem!J12</f>
        <v>2.3027319396337956E-2</v>
      </c>
      <c r="B13" s="242">
        <f ca="1">Tulem!K12</f>
        <v>3.8950770360724413E-3</v>
      </c>
      <c r="C13" s="242">
        <f ca="1">Tulem!L12</f>
        <v>4.7638269510273112E-3</v>
      </c>
      <c r="D13" s="242">
        <f ca="1">Tulem!M12</f>
        <v>1.8465729278375448E-2</v>
      </c>
      <c r="E13" s="242">
        <f ca="1">Tulem!N12</f>
        <v>-4.4615093204880732E-2</v>
      </c>
      <c r="F13" s="242">
        <f ca="1">Tulem!O12</f>
        <v>-5.6865591496040487E-2</v>
      </c>
      <c r="G13" s="242">
        <f ca="1">Tulem!P12</f>
        <v>-8.053480666007512E-2</v>
      </c>
      <c r="I13" s="243" t="s">
        <v>61</v>
      </c>
      <c r="J13" s="87">
        <f ca="1">Tulem!X8</f>
        <v>530.88499063732002</v>
      </c>
      <c r="K13" s="87">
        <f ca="1">Tulem!Y8</f>
        <v>507</v>
      </c>
      <c r="L13" s="87">
        <f ca="1">Tulem!Z8</f>
        <v>586.20000000000005</v>
      </c>
      <c r="M13" s="87">
        <v>0</v>
      </c>
    </row>
    <row r="14" spans="1:13" x14ac:dyDescent="0.2">
      <c r="A14" s="242">
        <f ca="1">Tulem!J13</f>
        <v>1.8337403242159597E-2</v>
      </c>
      <c r="B14" s="242">
        <f ca="1">Tulem!K13</f>
        <v>3.9150638409968658E-3</v>
      </c>
      <c r="C14" s="242">
        <f ca="1">Tulem!L13</f>
        <v>3.4160396178431196E-3</v>
      </c>
      <c r="D14" s="242">
        <f ca="1">Tulem!M13</f>
        <v>1.5050000041907079E-2</v>
      </c>
      <c r="E14" s="242">
        <f ca="1">Tulem!N13</f>
        <v>-4.8613077186063662E-2</v>
      </c>
      <c r="F14" s="242">
        <f ca="1">Tulem!O13</f>
        <v>-5.8145611697445893E-2</v>
      </c>
      <c r="G14" s="242">
        <f ca="1">Tulem!P13</f>
        <v>-8.203358782803867E-2</v>
      </c>
    </row>
    <row r="15" spans="1:13" x14ac:dyDescent="0.2">
      <c r="A15" s="242">
        <f ca="1">Tulem!J14</f>
        <v>1.8376264018091438E-2</v>
      </c>
      <c r="B15" s="242">
        <f ca="1">Tulem!K14</f>
        <v>3.8823113090310545E-3</v>
      </c>
      <c r="C15" s="242">
        <f ca="1">Tulem!L14</f>
        <v>3.4330371149805805E-3</v>
      </c>
      <c r="D15" s="242">
        <f ca="1">Tulem!M14</f>
        <v>1.507186583021059E-2</v>
      </c>
      <c r="E15" s="242">
        <f ca="1">Tulem!N14</f>
        <v>-4.8594580335326633E-2</v>
      </c>
      <c r="F15" s="242">
        <f ca="1">Tulem!O14</f>
        <v>-5.812475141232893E-2</v>
      </c>
      <c r="G15" s="242">
        <f ca="1">Tulem!P14</f>
        <v>-8.1995525633301369E-2</v>
      </c>
    </row>
    <row r="16" spans="1:13" x14ac:dyDescent="0.2">
      <c r="A16" s="242">
        <f ca="1">Tulem!J15</f>
        <v>1.3240980689949371E-2</v>
      </c>
      <c r="B16" s="242">
        <f ca="1">Tulem!K15</f>
        <v>5.8899192587170239E-3</v>
      </c>
      <c r="C16" s="242">
        <f ca="1">Tulem!L15</f>
        <v>6.373069332196446E-4</v>
      </c>
      <c r="D16" s="242">
        <f ca="1">Tulem!M15</f>
        <v>1.2700248739138373E-2</v>
      </c>
      <c r="E16" s="242">
        <f ca="1">Tulem!N15</f>
        <v>-7.3291596440282575E-2</v>
      </c>
      <c r="F16" s="242">
        <f ca="1">Tulem!O15</f>
        <v>-0.19966539199296618</v>
      </c>
      <c r="G16" s="242">
        <f ca="1">Tulem!P15</f>
        <v>-0.13211680225103617</v>
      </c>
    </row>
    <row r="17" spans="1:8" x14ac:dyDescent="0.2">
      <c r="A17" s="244">
        <v>0</v>
      </c>
      <c r="B17" s="244">
        <v>0</v>
      </c>
      <c r="C17" s="244">
        <v>0</v>
      </c>
      <c r="D17" s="244">
        <v>0</v>
      </c>
      <c r="E17" s="244">
        <v>0</v>
      </c>
      <c r="F17" s="244">
        <v>0</v>
      </c>
      <c r="G17" s="244">
        <v>0</v>
      </c>
    </row>
    <row r="18" spans="1:8" x14ac:dyDescent="0.2">
      <c r="A18" s="244">
        <f ca="1">-ROUND(ABS(MIN(A6:G16,-0.06)),2)</f>
        <v>-0.2</v>
      </c>
      <c r="B18" s="244">
        <f t="shared" ref="B18:G18" ca="1" si="0">A18</f>
        <v>-0.2</v>
      </c>
      <c r="C18" s="244">
        <f t="shared" ca="1" si="0"/>
        <v>-0.2</v>
      </c>
      <c r="D18" s="244">
        <f t="shared" ca="1" si="0"/>
        <v>-0.2</v>
      </c>
      <c r="E18" s="244">
        <f t="shared" ca="1" si="0"/>
        <v>-0.2</v>
      </c>
      <c r="F18" s="244">
        <f t="shared" ca="1" si="0"/>
        <v>-0.2</v>
      </c>
      <c r="G18" s="244">
        <f t="shared" ca="1" si="0"/>
        <v>-0.2</v>
      </c>
    </row>
    <row r="22" spans="1:8" x14ac:dyDescent="0.2">
      <c r="A22" s="87" t="s">
        <v>155</v>
      </c>
    </row>
    <row r="23" spans="1:8" x14ac:dyDescent="0.2">
      <c r="A23" s="87" t="s">
        <v>145</v>
      </c>
      <c r="B23" s="87">
        <v>55</v>
      </c>
    </row>
    <row r="24" spans="1:8" x14ac:dyDescent="0.2">
      <c r="A24" s="87" t="s">
        <v>146</v>
      </c>
      <c r="B24" s="87">
        <v>22</v>
      </c>
    </row>
    <row r="25" spans="1:8" x14ac:dyDescent="0.2">
      <c r="A25" s="87" t="s">
        <v>35</v>
      </c>
      <c r="B25" s="87">
        <v>2</v>
      </c>
    </row>
    <row r="26" spans="1:8" x14ac:dyDescent="0.2">
      <c r="A26" s="87" t="s">
        <v>124</v>
      </c>
      <c r="B26" s="87">
        <v>3</v>
      </c>
    </row>
    <row r="27" spans="1:8" x14ac:dyDescent="0.2">
      <c r="A27" s="87" t="s">
        <v>38</v>
      </c>
      <c r="B27" s="87">
        <v>1</v>
      </c>
    </row>
    <row r="28" spans="1:8" x14ac:dyDescent="0.2">
      <c r="A28" s="87" t="s">
        <v>119</v>
      </c>
      <c r="B28" s="87">
        <v>4</v>
      </c>
      <c r="E28" s="87" t="e">
        <f ca="1">VLOOKUP(1,Tulem!B:C,2,FALSE)+1</f>
        <v>#N/A</v>
      </c>
    </row>
    <row r="29" spans="1:8" x14ac:dyDescent="0.2">
      <c r="A29" s="87" t="s">
        <v>47</v>
      </c>
      <c r="B29" s="87">
        <v>6</v>
      </c>
      <c r="E29" s="184">
        <f>VLOOKUP(Tulemused!AQ56,data!B37:C46,2,FALSE)</f>
        <v>1</v>
      </c>
      <c r="F29" s="87">
        <v>2010</v>
      </c>
      <c r="G29" s="87">
        <v>2020</v>
      </c>
      <c r="H29" s="87">
        <v>2030</v>
      </c>
    </row>
    <row r="30" spans="1:8" x14ac:dyDescent="0.2">
      <c r="E30" s="87" t="s">
        <v>159</v>
      </c>
      <c r="F30" s="87">
        <f>11.93+4.81</f>
        <v>16.739999999999998</v>
      </c>
      <c r="G30" s="88">
        <f ca="1">HLOOKUP("Kodumajapidamised ja teenindussektor @ 2020 (TWh/a]",Tulem!$5:$140,E29+1,FALSE)</f>
        <v>15.25</v>
      </c>
      <c r="H30" s="88">
        <f ca="1">HLOOKUP("Kodumajapidamised ja teenindussektor @ 2030 (TWh/a]",Tulem!$5:$140,E29+1,FALSE)</f>
        <v>13.780000000000001</v>
      </c>
    </row>
    <row r="31" spans="1:8" x14ac:dyDescent="0.2">
      <c r="E31" s="87" t="s">
        <v>156</v>
      </c>
      <c r="F31" s="87">
        <v>7.52</v>
      </c>
      <c r="G31" s="87">
        <f ca="1">HLOOKUP("Tööstussektor @ 2020 (TWh/a]",Tulem!$5:$140,E29+1,FALSE)</f>
        <v>8.5</v>
      </c>
      <c r="H31" s="87">
        <f ca="1">HLOOKUP("Tööstussektor @ 2030 (TWh/a]",Tulem!$5:$140,E29+1,FALSE)</f>
        <v>9.7100000000000009</v>
      </c>
    </row>
    <row r="32" spans="1:8" x14ac:dyDescent="0.2">
      <c r="E32" s="87" t="s">
        <v>35</v>
      </c>
      <c r="F32" s="87">
        <v>9.14</v>
      </c>
      <c r="G32" s="87">
        <f ca="1">HLOOKUP("Transport @ 2020 (TWh/a]",Tulem!$5:$140,E29+1,FALSE)</f>
        <v>8.68530937302436</v>
      </c>
      <c r="H32" s="87">
        <f ca="1">HLOOKUP("Transport @ 2030 (TWh/a]",Tulem!$5:$140,E29+1,FALSE)</f>
        <v>8.1258333333333344</v>
      </c>
    </row>
    <row r="33" spans="2:10" x14ac:dyDescent="0.2">
      <c r="E33" s="87" t="s">
        <v>157</v>
      </c>
      <c r="F33" s="87">
        <f>SUM(F30:F32)</f>
        <v>33.4</v>
      </c>
      <c r="G33" s="87">
        <v>36.239444444444445</v>
      </c>
      <c r="H33" s="87">
        <v>40.185833333333335</v>
      </c>
    </row>
    <row r="34" spans="2:10" x14ac:dyDescent="0.2">
      <c r="E34" s="87" t="s">
        <v>158</v>
      </c>
      <c r="G34" s="87">
        <v>32.799999999999997</v>
      </c>
    </row>
    <row r="41" spans="2:10" x14ac:dyDescent="0.2">
      <c r="B41" s="184">
        <f>VLOOKUP(Tulemused!AQ56,data!B37:C46,2,FALSE)</f>
        <v>1</v>
      </c>
      <c r="C41" s="87" t="s">
        <v>191</v>
      </c>
      <c r="D41" s="87" t="s">
        <v>192</v>
      </c>
      <c r="E41" s="87" t="s">
        <v>189</v>
      </c>
      <c r="F41" s="87" t="s">
        <v>190</v>
      </c>
      <c r="G41" s="87" t="s">
        <v>193</v>
      </c>
      <c r="H41" s="87" t="s">
        <v>194</v>
      </c>
    </row>
    <row r="42" spans="2:10" x14ac:dyDescent="0.2">
      <c r="B42" s="87" t="s">
        <v>37</v>
      </c>
      <c r="C42" s="88"/>
      <c r="D42" s="88">
        <f ca="1">HLOOKUP("Imporditud kütustest elekter @ 2030 [TWh/a]",Tulem!$5:$140,B41+1,FALSE)+HLOOKUP("Imporditud elekter @ 2030 [TWh/a]",Tulem!$5:$140,B41+1,FALSE)</f>
        <v>9.85</v>
      </c>
      <c r="E42" s="88">
        <f ca="1">HLOOKUP("Taastumatutest allikatest elekter @ 2030 [TWh/a]",Tulem!$5:$140,B41+1,FALSE)</f>
        <v>11.579999999999998</v>
      </c>
      <c r="F42" s="88">
        <f ca="1">HLOOKUP("Taastuvatest allikatest elekter @ 2030 [TWh/a]",Tulem!$5:$140,B41+1,FALSE)</f>
        <v>4.45</v>
      </c>
      <c r="G42" s="88">
        <f ca="1">HLOOKUP("Taastumatutest allikatest elekter ekspordiks @ 2030 [TWh/a]",Tulem!$5:$140,B41+1,FALSE)</f>
        <v>0</v>
      </c>
      <c r="H42" s="88"/>
      <c r="I42" s="88"/>
      <c r="J42" s="88"/>
    </row>
    <row r="43" spans="2:10" x14ac:dyDescent="0.2">
      <c r="B43" s="87" t="s">
        <v>124</v>
      </c>
      <c r="C43" s="88"/>
      <c r="D43" s="88">
        <f ca="1">HLOOKUP("Imporditud kütustest soojus @ 2030 [TWh/a]",Tulem!$5:$140,B41+1,FALSE)</f>
        <v>4.0999999999999996</v>
      </c>
      <c r="E43" s="88">
        <f ca="1">HLOOKUP("Taastumatutest allikatest soojus @ 2030 [TWh/a]",Tulem!$5:$140,B41+1,FALSE)</f>
        <v>7.1</v>
      </c>
      <c r="F43" s="88">
        <f ca="1">HLOOKUP("Taastuvatest allikatest soojus @ 2030 [TWh/a]",Tulem!$5:$140,B41+1,FALSE)</f>
        <v>11.5</v>
      </c>
      <c r="G43" s="88"/>
      <c r="H43" s="88"/>
      <c r="I43" s="88"/>
      <c r="J43" s="88"/>
    </row>
    <row r="44" spans="2:10" x14ac:dyDescent="0.2">
      <c r="B44" s="87" t="s">
        <v>38</v>
      </c>
      <c r="C44" s="88">
        <f ca="1">HLOOKUP("Neto imporditavad taastuvad kütused @ 2030 [TWh/a]",Tulem!$5:$140,B41+1,FALSE)</f>
        <v>0</v>
      </c>
      <c r="D44" s="88">
        <f ca="1">HLOOKUP("Taastumatud imporditud mootorikütused @ 2030 [TWh/a]",Tulem!$5:$140,B41+1,FALSE)</f>
        <v>5.7045296564339489</v>
      </c>
      <c r="E44" s="88"/>
      <c r="F44" s="88">
        <f ca="1">HLOOKUP("Taastuvatest allikatest tarbitavad mootorikütused @ 2030 [TWh/a]",Tulem!$5:$140,B41+1,FALSE)</f>
        <v>2.1219844082566364</v>
      </c>
      <c r="G44" s="88">
        <f ca="1">-HLOOKUP("Taastumatutest allikatest mootorikütused ekspordiks @ 2030 [TWh/a]",Tulem!$5:$140,B41+1,FALSE)</f>
        <v>-5.6837209302325586</v>
      </c>
      <c r="H44" s="88">
        <f ca="1">-HLOOKUP("Neto eksporditavad taastuvad kütused @ 2030 [TWh/a]",Tulem!$5:$140,B41+1,FALSE)</f>
        <v>-2.158015591743363</v>
      </c>
      <c r="I44" s="88"/>
      <c r="J44" s="88"/>
    </row>
  </sheetData>
  <mergeCells count="7">
    <mergeCell ref="G1:G4"/>
    <mergeCell ref="A1:A4"/>
    <mergeCell ref="F1:F4"/>
    <mergeCell ref="E1:E4"/>
    <mergeCell ref="B1:B4"/>
    <mergeCell ref="C1:C4"/>
    <mergeCell ref="D1:D4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BG25"/>
  <sheetViews>
    <sheetView workbookViewId="0">
      <selection activeCell="BE13" sqref="BE13"/>
    </sheetView>
  </sheetViews>
  <sheetFormatPr baseColWidth="10" defaultColWidth="8.796875" defaultRowHeight="15" x14ac:dyDescent="0.2"/>
  <cols>
    <col min="2" max="54" width="2" customWidth="1"/>
  </cols>
  <sheetData>
    <row r="2" spans="3:54" x14ac:dyDescent="0.2">
      <c r="C2" s="424" t="s">
        <v>396</v>
      </c>
      <c r="D2" s="425"/>
      <c r="E2" s="425"/>
      <c r="F2" s="425"/>
      <c r="G2" s="425"/>
      <c r="H2" s="425"/>
      <c r="I2" s="425"/>
      <c r="J2" s="425"/>
      <c r="K2" s="425"/>
      <c r="L2" s="425"/>
      <c r="M2" s="425"/>
      <c r="N2" s="425"/>
      <c r="O2" s="425"/>
      <c r="P2" s="425"/>
      <c r="Q2" s="425"/>
      <c r="R2" s="425"/>
      <c r="S2" s="425"/>
      <c r="T2" s="425"/>
      <c r="U2" s="425"/>
      <c r="V2" s="425"/>
      <c r="W2" s="425"/>
      <c r="X2" s="425"/>
      <c r="Y2" s="425"/>
      <c r="Z2" s="425"/>
      <c r="AA2" s="425"/>
      <c r="AB2" s="425"/>
      <c r="AC2" s="425"/>
      <c r="AD2" s="425"/>
      <c r="AE2" s="425"/>
      <c r="AF2" s="425"/>
      <c r="AG2" s="425"/>
      <c r="AH2" s="425"/>
      <c r="AI2" s="425"/>
      <c r="AJ2" s="146"/>
      <c r="AK2" s="146"/>
      <c r="AL2" s="146"/>
      <c r="AM2" s="146"/>
      <c r="AN2" s="146"/>
      <c r="AO2" s="146"/>
      <c r="AP2" s="147"/>
      <c r="AQ2" s="147"/>
      <c r="AR2" s="147"/>
      <c r="AS2" s="147"/>
      <c r="AT2" s="147"/>
      <c r="AU2" s="147"/>
      <c r="AV2" s="147"/>
      <c r="AW2" s="147"/>
      <c r="AX2" s="147"/>
      <c r="AY2" s="147"/>
      <c r="AZ2" s="147"/>
      <c r="BA2" s="147"/>
      <c r="BB2" s="147"/>
    </row>
    <row r="3" spans="3:54" x14ac:dyDescent="0.2">
      <c r="C3" s="148"/>
      <c r="D3" s="149"/>
      <c r="E3" s="149"/>
      <c r="F3" s="149"/>
      <c r="G3" s="149"/>
      <c r="H3" s="149"/>
      <c r="I3" s="149"/>
      <c r="J3" s="149"/>
      <c r="K3" s="149"/>
      <c r="L3" s="149"/>
      <c r="M3" s="149"/>
      <c r="N3" s="149"/>
      <c r="O3" s="149"/>
      <c r="P3" s="149"/>
      <c r="Q3" s="149"/>
      <c r="R3" s="149"/>
      <c r="S3" s="149"/>
      <c r="T3" s="149"/>
      <c r="U3" s="149"/>
      <c r="V3" s="149"/>
      <c r="W3" s="149"/>
      <c r="X3" s="149"/>
      <c r="Y3" s="149"/>
      <c r="Z3" s="149"/>
      <c r="AA3" s="149"/>
      <c r="AB3" s="149"/>
      <c r="AC3" s="149"/>
      <c r="AD3" s="149"/>
      <c r="AE3" s="149"/>
      <c r="AF3" s="149"/>
      <c r="AG3" s="149"/>
      <c r="AH3" s="149"/>
      <c r="AI3" s="149"/>
      <c r="AJ3" s="150"/>
      <c r="AK3" s="150"/>
      <c r="AL3" s="150"/>
      <c r="AM3" s="150"/>
      <c r="AN3" s="150"/>
      <c r="AO3" s="150"/>
      <c r="AP3" s="151"/>
      <c r="AQ3" s="151"/>
      <c r="AR3" s="151"/>
      <c r="AS3" s="151"/>
      <c r="AT3" s="151"/>
      <c r="AU3" s="151"/>
      <c r="AV3" s="151"/>
      <c r="AW3" s="151"/>
      <c r="AX3" s="151"/>
      <c r="AY3" s="151"/>
      <c r="AZ3" s="151"/>
      <c r="BA3" s="151"/>
      <c r="BB3" s="151"/>
    </row>
    <row r="4" spans="3:54" x14ac:dyDescent="0.2">
      <c r="C4" s="407" t="s">
        <v>260</v>
      </c>
      <c r="D4" s="408"/>
      <c r="E4" s="408"/>
      <c r="F4" s="408"/>
      <c r="G4" s="408"/>
      <c r="H4" s="408"/>
      <c r="I4" s="408"/>
      <c r="J4" s="408"/>
      <c r="K4" s="408"/>
      <c r="L4" s="408"/>
      <c r="M4" s="408"/>
      <c r="N4" s="408"/>
      <c r="O4" s="408"/>
      <c r="P4" s="408"/>
      <c r="Q4" s="408"/>
      <c r="R4" s="408"/>
      <c r="S4" s="408"/>
      <c r="T4" s="408"/>
      <c r="U4" s="408"/>
      <c r="V4" s="408"/>
      <c r="W4" s="151"/>
      <c r="X4" s="405" t="s">
        <v>218</v>
      </c>
      <c r="Y4" s="406"/>
      <c r="Z4" s="151"/>
      <c r="AA4" s="152" t="s">
        <v>336</v>
      </c>
      <c r="AB4" s="151"/>
      <c r="AC4" s="151"/>
      <c r="AD4" s="151"/>
      <c r="AE4" s="151"/>
      <c r="AF4" s="151"/>
      <c r="AG4" s="151"/>
      <c r="AH4" s="151"/>
      <c r="AI4" s="151"/>
      <c r="AJ4" s="151"/>
      <c r="AK4" s="151"/>
      <c r="AL4" s="151"/>
      <c r="AM4" s="151"/>
      <c r="AN4" s="151"/>
      <c r="AO4" s="381" t="s">
        <v>157</v>
      </c>
      <c r="AP4" s="429"/>
      <c r="AQ4" s="429"/>
      <c r="AR4" s="429"/>
      <c r="AS4" s="429"/>
      <c r="AT4" s="429"/>
      <c r="AU4" s="429"/>
      <c r="AV4" s="429"/>
      <c r="AW4" s="429"/>
      <c r="AX4" s="429"/>
      <c r="AY4" s="429"/>
      <c r="AZ4" s="429"/>
      <c r="BA4" s="429"/>
      <c r="BB4" s="382"/>
    </row>
    <row r="5" spans="3:54" x14ac:dyDescent="0.2">
      <c r="C5" s="407" t="s">
        <v>249</v>
      </c>
      <c r="D5" s="408"/>
      <c r="E5" s="408"/>
      <c r="F5" s="408"/>
      <c r="G5" s="408"/>
      <c r="H5" s="408"/>
      <c r="I5" s="408"/>
      <c r="J5" s="408"/>
      <c r="K5" s="408"/>
      <c r="L5" s="408"/>
      <c r="M5" s="408"/>
      <c r="N5" s="408"/>
      <c r="O5" s="408"/>
      <c r="P5" s="408"/>
      <c r="Q5" s="408"/>
      <c r="R5" s="408"/>
      <c r="S5" s="408"/>
      <c r="T5" s="408"/>
      <c r="U5" s="408"/>
      <c r="V5" s="408"/>
      <c r="W5" s="151"/>
      <c r="X5" s="405" t="s">
        <v>218</v>
      </c>
      <c r="Y5" s="406"/>
      <c r="Z5" s="151"/>
      <c r="AA5" s="144" t="s">
        <v>387</v>
      </c>
      <c r="AB5" s="153"/>
      <c r="AC5" s="153"/>
      <c r="AD5" s="153"/>
      <c r="AE5" s="153"/>
      <c r="AF5" s="153"/>
      <c r="AG5" s="153"/>
      <c r="AH5" s="153"/>
      <c r="AI5" s="153"/>
      <c r="AJ5" s="153"/>
      <c r="AK5" s="153"/>
      <c r="AL5" s="153"/>
      <c r="AM5" s="153"/>
      <c r="AN5" s="153"/>
      <c r="AO5" s="412" t="s">
        <v>139</v>
      </c>
      <c r="AP5" s="413"/>
      <c r="AQ5" s="413"/>
      <c r="AR5" s="413"/>
      <c r="AS5" s="413"/>
      <c r="AT5" s="413"/>
      <c r="AU5" s="413"/>
      <c r="AV5" s="413"/>
      <c r="AW5" s="413"/>
      <c r="AX5" s="413"/>
      <c r="AY5" s="413"/>
      <c r="AZ5" s="413"/>
      <c r="BA5" s="413"/>
      <c r="BB5" s="414"/>
    </row>
    <row r="6" spans="3:54" x14ac:dyDescent="0.2">
      <c r="C6" s="407" t="s">
        <v>247</v>
      </c>
      <c r="D6" s="408"/>
      <c r="E6" s="408"/>
      <c r="F6" s="408"/>
      <c r="G6" s="408"/>
      <c r="H6" s="408"/>
      <c r="I6" s="408"/>
      <c r="J6" s="408"/>
      <c r="K6" s="408"/>
      <c r="L6" s="408"/>
      <c r="M6" s="408"/>
      <c r="N6" s="408"/>
      <c r="O6" s="408"/>
      <c r="P6" s="408"/>
      <c r="Q6" s="408"/>
      <c r="R6" s="408"/>
      <c r="S6" s="408"/>
      <c r="T6" s="408"/>
      <c r="U6" s="408"/>
      <c r="V6" s="408"/>
      <c r="W6" s="151"/>
      <c r="X6" s="405" t="s">
        <v>218</v>
      </c>
      <c r="Y6" s="406"/>
      <c r="Z6" s="143"/>
      <c r="AA6" s="25"/>
      <c r="AB6" s="25"/>
      <c r="AC6" s="25"/>
      <c r="AD6" s="25"/>
      <c r="AE6" s="25"/>
      <c r="AF6" s="25"/>
      <c r="AG6" s="25"/>
      <c r="AH6" s="25"/>
      <c r="AI6" s="25"/>
      <c r="AJ6" s="25"/>
      <c r="AK6" s="25"/>
      <c r="AL6" s="25"/>
      <c r="AM6" s="25"/>
      <c r="AN6" s="25"/>
      <c r="AO6" s="25"/>
      <c r="AP6" s="25"/>
      <c r="AQ6" s="25"/>
      <c r="AR6" s="25"/>
      <c r="AS6" s="25"/>
      <c r="AT6" s="25"/>
      <c r="AU6" s="25"/>
      <c r="AV6" s="25"/>
      <c r="AW6" s="25"/>
      <c r="AX6" s="25"/>
      <c r="AY6" s="25"/>
      <c r="AZ6" s="25"/>
      <c r="BA6" s="25"/>
      <c r="BB6" s="25"/>
    </row>
    <row r="7" spans="3:54" x14ac:dyDescent="0.2">
      <c r="C7" s="407" t="s">
        <v>469</v>
      </c>
      <c r="D7" s="408"/>
      <c r="E7" s="408"/>
      <c r="F7" s="408"/>
      <c r="G7" s="408"/>
      <c r="H7" s="408"/>
      <c r="I7" s="408"/>
      <c r="J7" s="408"/>
      <c r="K7" s="408"/>
      <c r="L7" s="408"/>
      <c r="M7" s="408"/>
      <c r="N7" s="408"/>
      <c r="O7" s="408"/>
      <c r="P7" s="408"/>
      <c r="Q7" s="408"/>
      <c r="R7" s="408"/>
      <c r="S7" s="408"/>
      <c r="T7" s="408"/>
      <c r="U7" s="408"/>
      <c r="V7" s="408"/>
      <c r="W7" s="151"/>
      <c r="X7" s="405" t="s">
        <v>218</v>
      </c>
      <c r="Y7" s="406"/>
      <c r="Z7" s="143"/>
      <c r="AA7" s="25"/>
      <c r="AB7" s="25"/>
      <c r="AC7" s="25"/>
      <c r="AD7" s="25"/>
      <c r="AE7" s="25"/>
      <c r="AF7" s="25"/>
      <c r="AG7" s="25"/>
      <c r="AH7" s="25"/>
      <c r="AI7" s="25"/>
      <c r="AJ7" s="25"/>
      <c r="AK7" s="25"/>
      <c r="AL7" s="25"/>
      <c r="AM7" s="25"/>
      <c r="AN7" s="25"/>
      <c r="AO7" s="25"/>
      <c r="AP7" s="25"/>
      <c r="AQ7" s="25"/>
      <c r="AR7" s="25"/>
      <c r="AS7" s="25"/>
      <c r="AT7" s="25"/>
      <c r="AU7" s="25"/>
      <c r="AV7" s="25"/>
      <c r="AW7" s="25"/>
      <c r="AX7" s="25"/>
      <c r="AY7" s="25"/>
      <c r="AZ7" s="25"/>
      <c r="BA7" s="25"/>
      <c r="BB7" s="25"/>
    </row>
    <row r="8" spans="3:54" x14ac:dyDescent="0.2">
      <c r="C8" s="426" t="s">
        <v>259</v>
      </c>
      <c r="D8" s="427"/>
      <c r="E8" s="427"/>
      <c r="F8" s="427"/>
      <c r="G8" s="427"/>
      <c r="H8" s="427"/>
      <c r="I8" s="427"/>
      <c r="J8" s="427"/>
      <c r="K8" s="427"/>
      <c r="L8" s="427"/>
      <c r="M8" s="427"/>
      <c r="N8" s="427"/>
      <c r="O8" s="427"/>
      <c r="P8" s="427"/>
      <c r="Q8" s="427"/>
      <c r="R8" s="427"/>
      <c r="S8" s="427"/>
      <c r="T8" s="427"/>
      <c r="U8" s="427"/>
      <c r="V8" s="427"/>
      <c r="W8" s="151"/>
      <c r="X8" s="405" t="s">
        <v>218</v>
      </c>
      <c r="Y8" s="406"/>
      <c r="Z8" s="143"/>
      <c r="AA8" s="25"/>
      <c r="AB8" s="25"/>
      <c r="AC8" s="25"/>
      <c r="AD8" s="25"/>
      <c r="AE8" s="25"/>
      <c r="AF8" s="25"/>
      <c r="AG8" s="25"/>
      <c r="AH8" s="25"/>
      <c r="AI8" s="25"/>
      <c r="AJ8" s="25"/>
      <c r="AK8" s="25"/>
      <c r="AL8" s="25"/>
      <c r="AM8" s="25"/>
      <c r="AN8" s="25"/>
      <c r="AO8" s="137"/>
      <c r="AP8" s="137"/>
      <c r="AQ8" s="137"/>
      <c r="AR8" s="137"/>
      <c r="AS8" s="137"/>
      <c r="AT8" s="137"/>
      <c r="AU8" s="137"/>
      <c r="AV8" s="137"/>
      <c r="AW8" s="137"/>
      <c r="AX8" s="137"/>
      <c r="AY8" s="137"/>
      <c r="AZ8" s="137"/>
      <c r="BA8" s="137"/>
      <c r="BB8" s="137"/>
    </row>
    <row r="9" spans="3:54" x14ac:dyDescent="0.2">
      <c r="C9" s="407"/>
      <c r="D9" s="408"/>
      <c r="E9" s="408"/>
      <c r="F9" s="408"/>
      <c r="G9" s="408"/>
      <c r="H9" s="408"/>
      <c r="I9" s="408"/>
      <c r="J9" s="408"/>
      <c r="K9" s="408"/>
      <c r="L9" s="408"/>
      <c r="M9" s="408"/>
      <c r="N9" s="408"/>
      <c r="O9" s="408"/>
      <c r="P9" s="408"/>
      <c r="Q9" s="408"/>
      <c r="R9" s="408"/>
      <c r="S9" s="408"/>
      <c r="T9" s="408"/>
      <c r="U9" s="408"/>
      <c r="V9" s="408"/>
      <c r="W9" s="151"/>
      <c r="X9" s="410"/>
      <c r="Y9" s="410"/>
      <c r="Z9" s="143"/>
      <c r="AA9" s="137"/>
      <c r="AB9" s="137"/>
      <c r="AC9" s="137"/>
      <c r="AD9" s="137"/>
      <c r="AE9" s="137"/>
      <c r="AF9" s="137"/>
      <c r="AG9" s="137"/>
      <c r="AH9" s="137"/>
      <c r="AI9" s="137"/>
      <c r="AJ9" s="137"/>
      <c r="AK9" s="137"/>
      <c r="AL9" s="137"/>
      <c r="AM9" s="137"/>
      <c r="AN9" s="137"/>
      <c r="AO9" s="137"/>
      <c r="AP9" s="137"/>
      <c r="AQ9" s="137"/>
      <c r="AR9" s="137"/>
      <c r="AS9" s="137"/>
      <c r="AT9" s="25"/>
      <c r="AU9" s="25"/>
      <c r="AV9" s="25"/>
      <c r="AW9" s="25"/>
      <c r="AX9" s="25"/>
      <c r="AY9" s="137"/>
      <c r="AZ9" s="137"/>
      <c r="BA9" s="137"/>
      <c r="BB9" s="137"/>
    </row>
    <row r="10" spans="3:54" x14ac:dyDescent="0.2">
      <c r="C10" s="407"/>
      <c r="D10" s="408"/>
      <c r="E10" s="408"/>
      <c r="F10" s="408"/>
      <c r="G10" s="408"/>
      <c r="H10" s="408"/>
      <c r="I10" s="408"/>
      <c r="J10" s="408"/>
      <c r="K10" s="408"/>
      <c r="L10" s="408"/>
      <c r="M10" s="408"/>
      <c r="N10" s="408"/>
      <c r="O10" s="408"/>
      <c r="P10" s="408"/>
      <c r="Q10" s="408"/>
      <c r="R10" s="408"/>
      <c r="S10" s="408"/>
      <c r="T10" s="408"/>
      <c r="U10" s="408"/>
      <c r="V10" s="408"/>
      <c r="W10" s="151"/>
      <c r="X10" s="428"/>
      <c r="Y10" s="428"/>
      <c r="Z10" s="143"/>
      <c r="AA10" s="137"/>
      <c r="AB10" s="137"/>
      <c r="AC10" s="137"/>
      <c r="AD10" s="137"/>
      <c r="AE10" s="137"/>
      <c r="AF10" s="137"/>
      <c r="AG10" s="137"/>
      <c r="AH10" s="137"/>
      <c r="AI10" s="137"/>
      <c r="AJ10" s="137"/>
      <c r="AK10" s="137"/>
      <c r="AL10" s="137"/>
      <c r="AM10" s="137"/>
      <c r="AN10" s="137"/>
      <c r="AO10" s="137"/>
      <c r="AP10" s="137"/>
      <c r="AQ10" s="137"/>
      <c r="AR10" s="137"/>
      <c r="AS10" s="137"/>
      <c r="AT10" s="25"/>
      <c r="AU10" s="25"/>
      <c r="AV10" s="25"/>
      <c r="AW10" s="25"/>
      <c r="AX10" s="25"/>
      <c r="AY10" s="137"/>
      <c r="AZ10" s="137"/>
      <c r="BA10" s="137"/>
      <c r="BB10" s="137"/>
    </row>
    <row r="11" spans="3:54" x14ac:dyDescent="0.2">
      <c r="C11" s="407" t="s">
        <v>468</v>
      </c>
      <c r="D11" s="408"/>
      <c r="E11" s="408"/>
      <c r="F11" s="408"/>
      <c r="G11" s="408"/>
      <c r="H11" s="408"/>
      <c r="I11" s="408"/>
      <c r="J11" s="408"/>
      <c r="K11" s="408"/>
      <c r="L11" s="408"/>
      <c r="M11" s="408"/>
      <c r="N11" s="408"/>
      <c r="O11" s="408"/>
      <c r="P11" s="408"/>
      <c r="Q11" s="408"/>
      <c r="R11" s="408"/>
      <c r="S11" s="408"/>
      <c r="T11" s="408"/>
      <c r="U11" s="408"/>
      <c r="V11" s="408"/>
      <c r="W11" s="151"/>
      <c r="X11" s="405" t="s">
        <v>218</v>
      </c>
      <c r="Y11" s="406"/>
      <c r="Z11" s="143"/>
      <c r="AA11" s="137"/>
      <c r="AB11" s="137"/>
      <c r="AC11" s="137"/>
      <c r="AD11" s="137"/>
      <c r="AE11" s="137"/>
      <c r="AF11" s="137"/>
      <c r="AG11" s="137"/>
      <c r="AH11" s="137"/>
      <c r="AI11" s="137"/>
      <c r="AJ11" s="137"/>
      <c r="AK11" s="137"/>
      <c r="AL11" s="137"/>
      <c r="AM11" s="137"/>
      <c r="AN11" s="137"/>
      <c r="AO11" s="137"/>
      <c r="AP11" s="137"/>
      <c r="AQ11" s="137"/>
      <c r="AR11" s="137"/>
      <c r="AS11" s="137"/>
      <c r="AT11" s="25"/>
      <c r="AU11" s="25"/>
      <c r="AV11" s="25"/>
      <c r="AW11" s="25"/>
      <c r="AX11" s="25"/>
      <c r="AY11" s="137"/>
      <c r="AZ11" s="137"/>
      <c r="BA11" s="137"/>
      <c r="BB11" s="137"/>
    </row>
    <row r="12" spans="3:54" x14ac:dyDescent="0.2">
      <c r="C12" s="407" t="s">
        <v>253</v>
      </c>
      <c r="D12" s="408"/>
      <c r="E12" s="408"/>
      <c r="F12" s="408"/>
      <c r="G12" s="408"/>
      <c r="H12" s="408"/>
      <c r="I12" s="408"/>
      <c r="J12" s="408"/>
      <c r="K12" s="408"/>
      <c r="L12" s="408"/>
      <c r="M12" s="408"/>
      <c r="N12" s="408"/>
      <c r="O12" s="408"/>
      <c r="P12" s="408"/>
      <c r="Q12" s="408"/>
      <c r="R12" s="408"/>
      <c r="S12" s="408"/>
      <c r="T12" s="408"/>
      <c r="U12" s="408"/>
      <c r="V12" s="408"/>
      <c r="W12" s="151"/>
      <c r="X12" s="405" t="s">
        <v>218</v>
      </c>
      <c r="Y12" s="406"/>
      <c r="Z12" s="143"/>
      <c r="AA12" s="137"/>
      <c r="AB12" s="137"/>
      <c r="AC12" s="137"/>
      <c r="AD12" s="137"/>
      <c r="AE12" s="137"/>
      <c r="AF12" s="137"/>
      <c r="AG12" s="137"/>
      <c r="AH12" s="137"/>
      <c r="AI12" s="137"/>
      <c r="AJ12" s="137"/>
      <c r="AK12" s="137"/>
      <c r="AL12" s="137"/>
      <c r="AM12" s="137"/>
      <c r="AN12" s="137"/>
      <c r="AO12" s="137"/>
      <c r="AP12" s="137"/>
      <c r="AQ12" s="137"/>
      <c r="AR12" s="137"/>
      <c r="AS12" s="137"/>
      <c r="AT12" s="25"/>
      <c r="AU12" s="25"/>
      <c r="AV12" s="25"/>
      <c r="AW12" s="25"/>
      <c r="AX12" s="25"/>
      <c r="AY12" s="137"/>
      <c r="AZ12" s="137"/>
      <c r="BA12" s="137"/>
      <c r="BB12" s="137"/>
    </row>
    <row r="13" spans="3:54" x14ac:dyDescent="0.2">
      <c r="C13" s="407" t="s">
        <v>307</v>
      </c>
      <c r="D13" s="408"/>
      <c r="E13" s="408"/>
      <c r="F13" s="408"/>
      <c r="G13" s="408"/>
      <c r="H13" s="408"/>
      <c r="I13" s="408"/>
      <c r="J13" s="408"/>
      <c r="K13" s="408"/>
      <c r="L13" s="408"/>
      <c r="M13" s="408"/>
      <c r="N13" s="408"/>
      <c r="O13" s="408"/>
      <c r="P13" s="408"/>
      <c r="Q13" s="408"/>
      <c r="R13" s="408"/>
      <c r="S13" s="408"/>
      <c r="T13" s="408"/>
      <c r="U13" s="408"/>
      <c r="V13" s="408"/>
      <c r="W13" s="151"/>
      <c r="X13" s="405" t="s">
        <v>218</v>
      </c>
      <c r="Y13" s="406"/>
      <c r="Z13" s="143"/>
      <c r="AA13" s="137"/>
      <c r="AB13" s="137"/>
      <c r="AC13" s="137"/>
      <c r="AD13" s="137"/>
      <c r="AE13" s="137"/>
      <c r="AF13" s="137"/>
      <c r="AG13" s="137"/>
      <c r="AH13" s="137"/>
      <c r="AI13" s="137"/>
      <c r="AJ13" s="137"/>
      <c r="AK13" s="137"/>
      <c r="AL13" s="137"/>
      <c r="AM13" s="137"/>
      <c r="AN13" s="137"/>
      <c r="AO13" s="137"/>
      <c r="AP13" s="137"/>
      <c r="AQ13" s="137"/>
      <c r="AR13" s="137"/>
      <c r="AS13" s="137"/>
      <c r="AT13" s="25"/>
      <c r="AU13" s="25"/>
      <c r="AV13" s="25"/>
      <c r="AW13" s="25"/>
      <c r="AX13" s="25"/>
      <c r="AY13" s="137"/>
      <c r="AZ13" s="137"/>
      <c r="BA13" s="137"/>
      <c r="BB13" s="137"/>
    </row>
    <row r="14" spans="3:54" x14ac:dyDescent="0.2">
      <c r="C14" s="407" t="s">
        <v>266</v>
      </c>
      <c r="D14" s="408"/>
      <c r="E14" s="408"/>
      <c r="F14" s="408"/>
      <c r="G14" s="408"/>
      <c r="H14" s="408"/>
      <c r="I14" s="408"/>
      <c r="J14" s="408"/>
      <c r="K14" s="408"/>
      <c r="L14" s="408"/>
      <c r="M14" s="408"/>
      <c r="N14" s="408"/>
      <c r="O14" s="408"/>
      <c r="P14" s="408"/>
      <c r="Q14" s="408"/>
      <c r="R14" s="408"/>
      <c r="S14" s="408"/>
      <c r="T14" s="408"/>
      <c r="U14" s="408"/>
      <c r="V14" s="408"/>
      <c r="W14" s="151"/>
      <c r="X14" s="405" t="s">
        <v>218</v>
      </c>
      <c r="Y14" s="406"/>
      <c r="Z14" s="143"/>
      <c r="AA14" s="137"/>
      <c r="AB14" s="137"/>
      <c r="AC14" s="137"/>
      <c r="AD14" s="137"/>
      <c r="AE14" s="137"/>
      <c r="AF14" s="137"/>
      <c r="AG14" s="137"/>
      <c r="AH14" s="137"/>
      <c r="AI14" s="137"/>
      <c r="AJ14" s="137"/>
      <c r="AK14" s="137"/>
      <c r="AL14" s="137"/>
      <c r="AM14" s="137"/>
      <c r="AN14" s="137"/>
      <c r="AO14" s="137"/>
      <c r="AP14" s="137"/>
      <c r="AQ14" s="137"/>
      <c r="AR14" s="137"/>
      <c r="AS14" s="137"/>
      <c r="AT14" s="25"/>
      <c r="AU14" s="25"/>
      <c r="AV14" s="25"/>
      <c r="AW14" s="25"/>
      <c r="AX14" s="25"/>
      <c r="AY14" s="137"/>
      <c r="AZ14" s="137"/>
      <c r="BA14" s="137"/>
      <c r="BB14" s="137"/>
    </row>
    <row r="15" spans="3:54" ht="14.5" customHeight="1" x14ac:dyDescent="0.2">
      <c r="C15" s="407" t="s">
        <v>335</v>
      </c>
      <c r="D15" s="408"/>
      <c r="E15" s="408"/>
      <c r="F15" s="408"/>
      <c r="G15" s="408"/>
      <c r="H15" s="408"/>
      <c r="I15" s="408"/>
      <c r="J15" s="408"/>
      <c r="K15" s="408"/>
      <c r="L15" s="408"/>
      <c r="M15" s="408"/>
      <c r="N15" s="408"/>
      <c r="O15" s="408"/>
      <c r="P15" s="408"/>
      <c r="Q15" s="408"/>
      <c r="R15" s="408"/>
      <c r="S15" s="408"/>
      <c r="T15" s="408"/>
      <c r="U15" s="408"/>
      <c r="V15" s="408"/>
      <c r="W15" s="151"/>
      <c r="X15" s="405" t="s">
        <v>218</v>
      </c>
      <c r="Y15" s="406"/>
      <c r="Z15" s="143"/>
      <c r="AA15" s="137"/>
      <c r="AB15" s="137"/>
      <c r="AC15" s="137"/>
      <c r="AD15" s="137"/>
      <c r="AE15" s="137"/>
      <c r="AF15" s="137"/>
      <c r="AG15" s="137"/>
      <c r="AH15" s="137"/>
      <c r="AI15" s="137"/>
      <c r="AJ15" s="137"/>
      <c r="AK15" s="137"/>
      <c r="AL15" s="137"/>
      <c r="AM15" s="137"/>
      <c r="AN15" s="137"/>
      <c r="AO15" s="137"/>
      <c r="AP15" s="137"/>
      <c r="AQ15" s="137"/>
      <c r="AR15" s="137"/>
      <c r="AS15" s="137"/>
      <c r="AT15" s="137"/>
      <c r="AU15" s="137"/>
      <c r="AV15" s="137"/>
      <c r="AW15" s="137"/>
      <c r="AX15" s="137"/>
      <c r="AY15" s="137"/>
      <c r="AZ15" s="137"/>
      <c r="BA15" s="137"/>
      <c r="BB15" s="137"/>
    </row>
    <row r="16" spans="3:54" ht="14.5" customHeight="1" x14ac:dyDescent="0.2">
      <c r="C16" s="407" t="s">
        <v>254</v>
      </c>
      <c r="D16" s="408"/>
      <c r="E16" s="408"/>
      <c r="F16" s="408"/>
      <c r="G16" s="408"/>
      <c r="H16" s="408"/>
      <c r="I16" s="408"/>
      <c r="J16" s="408"/>
      <c r="K16" s="408"/>
      <c r="L16" s="408"/>
      <c r="M16" s="408"/>
      <c r="N16" s="408"/>
      <c r="O16" s="408"/>
      <c r="P16" s="408"/>
      <c r="Q16" s="408"/>
      <c r="R16" s="408"/>
      <c r="S16" s="408"/>
      <c r="T16" s="408"/>
      <c r="U16" s="408"/>
      <c r="V16" s="408"/>
      <c r="W16" s="154"/>
      <c r="X16" s="405" t="s">
        <v>218</v>
      </c>
      <c r="Y16" s="406"/>
      <c r="Z16" s="143"/>
      <c r="AA16" s="137"/>
      <c r="AB16" s="137"/>
      <c r="AC16" s="137"/>
      <c r="AD16" s="137"/>
      <c r="AE16" s="137"/>
      <c r="AF16" s="137"/>
      <c r="AG16" s="137"/>
      <c r="AH16" s="137"/>
      <c r="AI16" s="137"/>
      <c r="AJ16" s="137"/>
      <c r="AK16" s="137"/>
      <c r="AL16" s="137"/>
      <c r="AM16" s="137"/>
      <c r="AN16" s="137"/>
      <c r="AO16" s="137"/>
      <c r="AP16" s="137"/>
      <c r="AQ16" s="137"/>
      <c r="AR16" s="137"/>
      <c r="AS16" s="137"/>
      <c r="AT16" s="137"/>
      <c r="AU16" s="137"/>
      <c r="AV16" s="137"/>
      <c r="AW16" s="137"/>
      <c r="AX16" s="137"/>
      <c r="AY16" s="137"/>
      <c r="AZ16" s="137"/>
      <c r="BA16" s="137"/>
      <c r="BB16" s="137"/>
    </row>
    <row r="17" spans="2:59" x14ac:dyDescent="0.2">
      <c r="C17" s="409"/>
      <c r="D17" s="410"/>
      <c r="E17" s="410"/>
      <c r="F17" s="410"/>
      <c r="G17" s="410"/>
      <c r="H17" s="410"/>
      <c r="I17" s="410"/>
      <c r="J17" s="410"/>
      <c r="K17" s="410"/>
      <c r="L17" s="410"/>
      <c r="M17" s="410"/>
      <c r="N17" s="410"/>
      <c r="O17" s="410"/>
      <c r="P17" s="410"/>
      <c r="Q17" s="410"/>
      <c r="R17" s="410"/>
      <c r="S17" s="410"/>
      <c r="T17" s="410"/>
      <c r="U17" s="410"/>
      <c r="V17" s="410"/>
      <c r="W17" s="153"/>
      <c r="X17" s="410"/>
      <c r="Y17" s="410"/>
      <c r="Z17" s="145"/>
      <c r="AA17" s="137"/>
      <c r="AB17" s="137"/>
      <c r="AC17" s="137"/>
      <c r="AD17" s="137"/>
      <c r="AE17" s="137"/>
      <c r="AF17" s="137"/>
      <c r="AG17" s="137"/>
      <c r="AH17" s="137"/>
      <c r="AI17" s="399" t="s">
        <v>439</v>
      </c>
      <c r="AJ17" s="400"/>
      <c r="AK17" s="400"/>
      <c r="AL17" s="400"/>
      <c r="AM17" s="400"/>
      <c r="AN17" s="400"/>
      <c r="AO17" s="400"/>
      <c r="AP17" s="401"/>
      <c r="AQ17" s="411" t="s">
        <v>440</v>
      </c>
      <c r="AR17" s="399" t="s">
        <v>438</v>
      </c>
      <c r="AS17" s="400"/>
      <c r="AT17" s="400"/>
      <c r="AU17" s="400"/>
      <c r="AV17" s="400"/>
      <c r="AW17" s="400"/>
      <c r="AX17" s="400"/>
      <c r="AY17" s="401"/>
      <c r="AZ17" s="137"/>
      <c r="BA17" s="137"/>
      <c r="BB17" s="137"/>
    </row>
    <row r="18" spans="2:59" ht="14.5" customHeight="1" x14ac:dyDescent="0.2">
      <c r="B18" s="25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5"/>
      <c r="P18" s="25"/>
      <c r="Q18" s="25"/>
      <c r="R18" s="25"/>
      <c r="S18" s="25"/>
      <c r="T18" s="25"/>
      <c r="U18" s="25"/>
      <c r="V18" s="25"/>
      <c r="W18" s="25"/>
      <c r="X18" s="25"/>
      <c r="Y18" s="25"/>
      <c r="Z18" s="25"/>
      <c r="AA18" s="25"/>
      <c r="AB18" s="25"/>
      <c r="AC18" s="25"/>
      <c r="AD18" s="25"/>
      <c r="AE18" s="25"/>
      <c r="AF18" s="25"/>
      <c r="AG18" s="25"/>
      <c r="AH18" s="25"/>
      <c r="AI18" s="402"/>
      <c r="AJ18" s="403"/>
      <c r="AK18" s="403"/>
      <c r="AL18" s="403"/>
      <c r="AM18" s="403"/>
      <c r="AN18" s="403"/>
      <c r="AO18" s="403"/>
      <c r="AP18" s="404"/>
      <c r="AQ18" s="411"/>
      <c r="AR18" s="402"/>
      <c r="AS18" s="403"/>
      <c r="AT18" s="403"/>
      <c r="AU18" s="403"/>
      <c r="AV18" s="403"/>
      <c r="AW18" s="403"/>
      <c r="AX18" s="403"/>
      <c r="AY18" s="404"/>
      <c r="AZ18" s="25"/>
      <c r="BA18" s="25"/>
      <c r="BB18" s="25"/>
      <c r="BD18" s="81"/>
    </row>
    <row r="19" spans="2:59" ht="14.5" customHeight="1" x14ac:dyDescent="0.3">
      <c r="B19" s="137"/>
      <c r="C19" s="137"/>
      <c r="D19" s="137"/>
      <c r="E19" s="137"/>
      <c r="F19" s="137"/>
      <c r="G19" s="137"/>
      <c r="H19" s="137"/>
      <c r="I19" s="137"/>
      <c r="J19" s="137"/>
      <c r="K19" s="137"/>
      <c r="L19" s="137"/>
      <c r="M19" s="137"/>
      <c r="N19" s="137"/>
      <c r="O19" s="137"/>
      <c r="P19" s="137"/>
      <c r="Q19" s="137"/>
      <c r="R19" s="137"/>
      <c r="S19" s="137"/>
      <c r="T19" s="137"/>
      <c r="U19" s="137"/>
      <c r="V19" s="137"/>
      <c r="W19" s="137"/>
      <c r="X19" s="137"/>
      <c r="Y19" s="137"/>
      <c r="Z19" s="137"/>
      <c r="AA19" s="137"/>
      <c r="AB19" s="137"/>
      <c r="AC19" s="137"/>
      <c r="AD19" s="137"/>
      <c r="AE19" s="137"/>
      <c r="AF19" s="137"/>
      <c r="AG19" s="137"/>
      <c r="AH19" s="137"/>
      <c r="AI19" s="162"/>
      <c r="AJ19" s="162"/>
      <c r="AK19" s="162"/>
      <c r="AL19" s="162"/>
      <c r="AM19" s="162"/>
      <c r="AN19" s="162"/>
      <c r="AO19" s="161"/>
      <c r="AP19" s="161"/>
      <c r="AQ19" s="161"/>
      <c r="AR19" s="161"/>
      <c r="AS19" s="161"/>
      <c r="AT19" s="161"/>
      <c r="AU19" s="161"/>
      <c r="AV19" s="161"/>
      <c r="AW19" s="161"/>
      <c r="AX19" s="161"/>
      <c r="AY19" s="162"/>
      <c r="AZ19" s="137"/>
      <c r="BA19" s="137"/>
      <c r="BB19" s="137"/>
    </row>
    <row r="20" spans="2:59" ht="24" x14ac:dyDescent="0.3">
      <c r="B20" s="137"/>
      <c r="C20" s="137"/>
      <c r="D20" s="137"/>
      <c r="E20" s="137"/>
      <c r="F20" s="137"/>
      <c r="G20" s="137"/>
      <c r="H20" s="137"/>
      <c r="I20" s="137"/>
      <c r="J20" s="137"/>
      <c r="K20" s="137"/>
      <c r="L20" s="137"/>
      <c r="M20" s="137"/>
      <c r="N20" s="137"/>
      <c r="O20" s="137"/>
      <c r="P20" s="137"/>
      <c r="Q20" s="137"/>
      <c r="R20" s="137"/>
      <c r="S20" s="137"/>
      <c r="T20" s="137"/>
      <c r="U20" s="137"/>
      <c r="V20" s="137"/>
      <c r="W20" s="137"/>
      <c r="X20" s="137"/>
      <c r="Y20" s="137"/>
      <c r="Z20" s="137"/>
      <c r="AA20" s="137"/>
      <c r="AB20" s="137"/>
      <c r="AC20" s="137"/>
      <c r="AD20" s="137"/>
      <c r="AE20" s="137"/>
      <c r="AF20" s="137"/>
      <c r="AG20" s="137"/>
      <c r="AH20" s="137"/>
      <c r="AI20" s="161"/>
      <c r="AJ20" s="161"/>
      <c r="AK20" s="161"/>
      <c r="AL20" s="161"/>
      <c r="AM20" s="418" t="s">
        <v>437</v>
      </c>
      <c r="AN20" s="419"/>
      <c r="AO20" s="419"/>
      <c r="AP20" s="419"/>
      <c r="AQ20" s="419"/>
      <c r="AR20" s="419"/>
      <c r="AS20" s="419"/>
      <c r="AT20" s="419"/>
      <c r="AU20" s="420"/>
      <c r="AV20" s="161"/>
      <c r="AW20" s="161"/>
      <c r="AX20" s="161"/>
      <c r="AY20" s="161"/>
      <c r="AZ20" s="137"/>
      <c r="BA20" s="137"/>
      <c r="BB20" s="137"/>
    </row>
    <row r="21" spans="2:59" ht="14.5" customHeight="1" x14ac:dyDescent="0.3">
      <c r="B21" s="137"/>
      <c r="C21" s="137"/>
      <c r="D21" s="137"/>
      <c r="E21" s="137"/>
      <c r="F21" s="137"/>
      <c r="G21" s="137"/>
      <c r="H21" s="137"/>
      <c r="I21" s="137"/>
      <c r="J21" s="137"/>
      <c r="K21" s="137"/>
      <c r="L21" s="137"/>
      <c r="M21" s="137"/>
      <c r="N21" s="137"/>
      <c r="O21" s="137"/>
      <c r="P21" s="137"/>
      <c r="Q21" s="137"/>
      <c r="R21" s="137"/>
      <c r="S21" s="137"/>
      <c r="T21" s="137"/>
      <c r="U21" s="137"/>
      <c r="V21" s="137"/>
      <c r="W21" s="137"/>
      <c r="X21" s="137"/>
      <c r="Y21" s="137"/>
      <c r="Z21" s="137"/>
      <c r="AA21" s="137"/>
      <c r="AB21" s="137"/>
      <c r="AC21" s="137"/>
      <c r="AD21" s="137"/>
      <c r="AE21" s="137"/>
      <c r="AF21" s="137"/>
      <c r="AG21" s="137"/>
      <c r="AH21" s="137"/>
      <c r="AI21" s="162"/>
      <c r="AJ21" s="162"/>
      <c r="AK21" s="162"/>
      <c r="AL21" s="162"/>
      <c r="AM21" s="421"/>
      <c r="AN21" s="422"/>
      <c r="AO21" s="422"/>
      <c r="AP21" s="422"/>
      <c r="AQ21" s="422"/>
      <c r="AR21" s="422"/>
      <c r="AS21" s="422"/>
      <c r="AT21" s="422"/>
      <c r="AU21" s="423"/>
      <c r="AV21" s="162"/>
      <c r="AW21" s="162"/>
      <c r="AX21" s="162"/>
      <c r="AY21" s="162"/>
      <c r="AZ21" s="137"/>
      <c r="BA21" s="137"/>
      <c r="BB21" s="137"/>
      <c r="BC21" s="416"/>
      <c r="BD21" s="416"/>
      <c r="BF21" s="416"/>
      <c r="BG21" s="417"/>
    </row>
    <row r="22" spans="2:59" ht="14.5" customHeight="1" x14ac:dyDescent="0.2"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5"/>
      <c r="P22" s="25"/>
      <c r="Q22" s="25"/>
      <c r="R22" s="25"/>
      <c r="S22" s="25"/>
      <c r="T22" s="25"/>
      <c r="U22" s="25"/>
      <c r="V22" s="25"/>
      <c r="W22" s="25"/>
      <c r="X22" s="25"/>
      <c r="Y22" s="25"/>
      <c r="Z22" s="25"/>
      <c r="AA22" s="25"/>
      <c r="AB22" s="25"/>
      <c r="AC22" s="25"/>
      <c r="AD22" s="25"/>
      <c r="AE22" s="25"/>
      <c r="AF22" s="25"/>
      <c r="AG22" s="25"/>
      <c r="AH22" s="25"/>
      <c r="AI22" s="25"/>
      <c r="AJ22" s="25"/>
      <c r="AK22" s="25"/>
      <c r="AL22" s="25"/>
      <c r="AM22" s="25"/>
      <c r="AN22" s="25"/>
      <c r="AO22" s="25"/>
      <c r="AP22" s="25"/>
      <c r="AQ22" s="25"/>
      <c r="AR22" s="25"/>
      <c r="AS22" s="25"/>
      <c r="AT22" s="25"/>
      <c r="AU22" s="25"/>
      <c r="AV22" s="25"/>
      <c r="AW22" s="25"/>
      <c r="AX22" s="25"/>
      <c r="AY22" s="25"/>
      <c r="AZ22" s="25"/>
      <c r="BA22" s="25"/>
      <c r="BB22" s="25"/>
      <c r="BC22" s="416"/>
      <c r="BD22" s="416"/>
      <c r="BF22" s="417"/>
      <c r="BG22" s="417"/>
    </row>
    <row r="23" spans="2:59" x14ac:dyDescent="0.2"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5"/>
      <c r="P23" s="25"/>
      <c r="Q23" s="25"/>
      <c r="R23" s="25"/>
      <c r="S23" s="25"/>
      <c r="T23" s="25"/>
      <c r="U23" s="25"/>
      <c r="V23" s="25"/>
      <c r="W23" s="25"/>
      <c r="X23" s="25"/>
      <c r="Y23" s="25"/>
      <c r="Z23" s="25"/>
      <c r="AA23" s="25"/>
      <c r="AB23" s="25"/>
      <c r="AC23" s="25"/>
      <c r="AD23" s="25"/>
      <c r="AE23" s="25"/>
      <c r="AF23" s="25"/>
      <c r="AG23" s="25"/>
      <c r="AH23" s="25"/>
      <c r="AI23" s="25"/>
      <c r="AJ23" s="25"/>
      <c r="AK23" s="25"/>
      <c r="AL23" s="25"/>
      <c r="AM23" s="25"/>
      <c r="AN23" s="25"/>
      <c r="AO23" s="25"/>
      <c r="AP23" s="25"/>
      <c r="AQ23" s="25"/>
      <c r="AR23" s="25"/>
      <c r="AS23" s="25"/>
      <c r="AT23" s="25"/>
      <c r="AU23" s="25"/>
      <c r="AV23" s="25"/>
      <c r="AW23" s="25"/>
      <c r="AX23" s="25"/>
      <c r="AY23" s="25"/>
      <c r="AZ23" s="25"/>
      <c r="BA23" s="25"/>
      <c r="BB23" s="25"/>
    </row>
    <row r="24" spans="2:59" x14ac:dyDescent="0.2"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5"/>
      <c r="P24" s="25"/>
      <c r="Q24" s="25"/>
      <c r="R24" s="25"/>
      <c r="S24" s="25"/>
      <c r="T24" s="25"/>
      <c r="U24" s="25"/>
      <c r="V24" s="25"/>
      <c r="W24" s="25"/>
      <c r="X24" s="25"/>
      <c r="Y24" s="25"/>
      <c r="Z24" s="25"/>
      <c r="AA24" s="25"/>
      <c r="AB24" s="25"/>
      <c r="AC24" s="25"/>
      <c r="AD24" s="25"/>
      <c r="AE24" s="25"/>
      <c r="AF24" s="25"/>
      <c r="AG24" s="25"/>
      <c r="AH24" s="25"/>
      <c r="AI24" s="25"/>
      <c r="AJ24" s="25"/>
      <c r="AK24" s="25"/>
      <c r="AL24" s="25"/>
      <c r="AM24" s="25"/>
      <c r="AN24" s="25"/>
      <c r="AO24" s="25"/>
      <c r="AP24" s="25"/>
      <c r="AQ24" s="25"/>
      <c r="AR24" s="25"/>
      <c r="AS24" s="25"/>
      <c r="AT24" s="25"/>
      <c r="AU24" s="25"/>
      <c r="AV24" s="25"/>
      <c r="AW24" s="25"/>
      <c r="AX24" s="25"/>
      <c r="AY24" s="25"/>
      <c r="AZ24" s="25"/>
      <c r="BA24" s="25"/>
      <c r="BB24" s="25"/>
      <c r="BD24" s="415"/>
      <c r="BE24" s="415"/>
      <c r="BF24" s="415"/>
    </row>
    <row r="25" spans="2:59" x14ac:dyDescent="0.2">
      <c r="BD25" s="415"/>
      <c r="BE25" s="415"/>
      <c r="BF25" s="415"/>
    </row>
  </sheetData>
  <sheetProtection sheet="1" objects="1" scenarios="1"/>
  <mergeCells count="38">
    <mergeCell ref="BD24:BF25"/>
    <mergeCell ref="BF21:BG22"/>
    <mergeCell ref="BC21:BD22"/>
    <mergeCell ref="AM20:AU21"/>
    <mergeCell ref="C2:AI2"/>
    <mergeCell ref="C4:V4"/>
    <mergeCell ref="X4:Y4"/>
    <mergeCell ref="C7:V7"/>
    <mergeCell ref="C10:V10"/>
    <mergeCell ref="X7:Y7"/>
    <mergeCell ref="C8:V8"/>
    <mergeCell ref="X8:Y8"/>
    <mergeCell ref="C9:V9"/>
    <mergeCell ref="X9:Y9"/>
    <mergeCell ref="X10:Y10"/>
    <mergeCell ref="AO4:BB4"/>
    <mergeCell ref="C5:V5"/>
    <mergeCell ref="X5:Y5"/>
    <mergeCell ref="AO5:BB5"/>
    <mergeCell ref="C6:V6"/>
    <mergeCell ref="X6:Y6"/>
    <mergeCell ref="C11:V11"/>
    <mergeCell ref="X11:Y11"/>
    <mergeCell ref="X12:Y12"/>
    <mergeCell ref="C13:V13"/>
    <mergeCell ref="X13:Y13"/>
    <mergeCell ref="C12:V12"/>
    <mergeCell ref="AR17:AY18"/>
    <mergeCell ref="X14:Y14"/>
    <mergeCell ref="C15:V15"/>
    <mergeCell ref="X15:Y15"/>
    <mergeCell ref="C14:V14"/>
    <mergeCell ref="X16:Y16"/>
    <mergeCell ref="C17:V17"/>
    <mergeCell ref="X17:Y17"/>
    <mergeCell ref="C16:V16"/>
    <mergeCell ref="AI17:AP18"/>
    <mergeCell ref="AQ17:AQ18"/>
  </mergeCells>
  <dataValidations count="3">
    <dataValidation type="list" allowBlank="1" showInputMessage="1" showErrorMessage="1" sqref="X4:Y8 X11:Y16">
      <formula1>binaar</formula1>
    </dataValidation>
    <dataValidation type="list" allowBlank="1" showInputMessage="1" showErrorMessage="1" sqref="AO5:BB5">
      <formula1>INDIRECT($BX$6)</formula1>
    </dataValidation>
    <dataValidation type="list" allowBlank="1" showInputMessage="1" showErrorMessage="1" sqref="AO4">
      <formula1>Võrk</formula1>
    </dataValidation>
  </dataValidations>
  <hyperlinks>
    <hyperlink ref="AR17:AY18" location="Piirangud!B4" display="→"/>
    <hyperlink ref="AI17:AP18" location="Maj.Mõju!I5" display="←"/>
    <hyperlink ref="AM20:AU21" location="Tulemused!F23" display="Tulemused"/>
  </hyperlinks>
  <pageMargins left="0.7" right="0.7" top="0.75" bottom="0.75" header="0.3" footer="0.3"/>
  <pageSetup paperSize="9" orientation="portrait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AD8F40C9-6376-47EB-A719-3F77BEA0EFA0}">
            <xm:f>Tulemused!$AO$8="Ei"</xm:f>
            <x14:dxf>
              <font>
                <color theme="0" tint="-0.34998626667073579"/>
              </font>
            </x14:dxf>
          </x14:cfRule>
          <xm:sqref>AA5:BB5</xm:sqref>
        </x14:conditionalFormatting>
        <x14:conditionalFormatting xmlns:xm="http://schemas.microsoft.com/office/excel/2006/main">
          <x14:cfRule type="expression" priority="1" id="{68D39ED0-B5F4-499E-B9D0-9544657B6D54}">
            <xm:f>AND(Tulemused!#REF!=data!$C$19,ISTEXT(Tulemused!$AJ8))</xm:f>
            <x14:dxf>
              <fill>
                <patternFill>
                  <bgColor rgb="FFFF0000"/>
                </patternFill>
              </fill>
            </x14:dxf>
          </x14:cfRule>
          <xm:sqref>AO4</xm:sqref>
        </x14:conditionalFormatting>
        <x14:conditionalFormatting xmlns:xm="http://schemas.microsoft.com/office/excel/2006/main">
          <x14:cfRule type="expression" priority="2" id="{9F962E6B-EBEB-460F-8E0C-C8A758E33975}">
            <xm:f>AND(Tulemused!#REF!=data!$D$19,ISNUMBER(Tulemused!$AJ8))</xm:f>
            <x14:dxf>
              <fill>
                <patternFill>
                  <bgColor rgb="FFFF0000"/>
                </patternFill>
              </fill>
            </x14:dxf>
          </x14:cfRule>
          <xm:sqref>AO4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4:AY26"/>
  <sheetViews>
    <sheetView workbookViewId="0">
      <selection activeCell="AI17" sqref="AI17:AP18"/>
    </sheetView>
  </sheetViews>
  <sheetFormatPr baseColWidth="10" defaultColWidth="8.796875" defaultRowHeight="15" x14ac:dyDescent="0.2"/>
  <cols>
    <col min="2" max="28" width="2" customWidth="1"/>
    <col min="29" max="29" width="2.3984375" customWidth="1"/>
    <col min="30" max="31" width="2" customWidth="1"/>
    <col min="32" max="34" width="2.19921875" customWidth="1"/>
    <col min="35" max="52" width="2" customWidth="1"/>
  </cols>
  <sheetData>
    <row r="4" spans="2:51" x14ac:dyDescent="0.2">
      <c r="B4" s="430" t="s">
        <v>347</v>
      </c>
      <c r="C4" s="431"/>
      <c r="D4" s="431"/>
      <c r="E4" s="431"/>
      <c r="F4" s="431"/>
      <c r="G4" s="431"/>
      <c r="H4" s="431"/>
      <c r="I4" s="431"/>
      <c r="J4" s="431"/>
      <c r="K4" s="431"/>
      <c r="L4" s="431"/>
      <c r="M4" s="431"/>
      <c r="N4" s="431"/>
      <c r="O4" s="431"/>
      <c r="P4" s="431"/>
      <c r="Q4" s="431"/>
      <c r="R4" s="431"/>
      <c r="S4" s="431"/>
      <c r="T4" s="431"/>
      <c r="U4" s="431"/>
      <c r="V4" s="431"/>
      <c r="W4" s="431"/>
      <c r="X4" s="431"/>
      <c r="Y4" s="431"/>
      <c r="Z4" s="431"/>
      <c r="AA4" s="431"/>
      <c r="AB4" s="431"/>
      <c r="AC4" s="431"/>
      <c r="AD4" s="147"/>
      <c r="AE4" s="147"/>
      <c r="AF4" s="155"/>
    </row>
    <row r="5" spans="2:51" x14ac:dyDescent="0.2">
      <c r="B5" s="140" t="s">
        <v>348</v>
      </c>
      <c r="C5" s="151"/>
      <c r="D5" s="151"/>
      <c r="E5" s="151"/>
      <c r="F5" s="151"/>
      <c r="G5" s="151"/>
      <c r="H5" s="151"/>
      <c r="I5" s="151"/>
      <c r="J5" s="151"/>
      <c r="K5" s="151"/>
      <c r="L5" s="151"/>
      <c r="M5" s="151"/>
      <c r="N5" s="151"/>
      <c r="O5" s="151"/>
      <c r="P5" s="381" t="s">
        <v>289</v>
      </c>
      <c r="Q5" s="429"/>
      <c r="R5" s="429"/>
      <c r="S5" s="429"/>
      <c r="T5" s="429"/>
      <c r="U5" s="429"/>
      <c r="V5" s="429"/>
      <c r="W5" s="429"/>
      <c r="X5" s="429"/>
      <c r="Y5" s="429"/>
      <c r="Z5" s="429"/>
      <c r="AA5" s="429"/>
      <c r="AB5" s="429"/>
      <c r="AC5" s="382"/>
      <c r="AD5" s="151"/>
      <c r="AE5" s="151"/>
      <c r="AF5" s="143"/>
    </row>
    <row r="6" spans="2:51" x14ac:dyDescent="0.2">
      <c r="B6" s="440" t="s">
        <v>53</v>
      </c>
      <c r="C6" s="383"/>
      <c r="D6" s="383"/>
      <c r="E6" s="383"/>
      <c r="F6" s="383"/>
      <c r="G6" s="383"/>
      <c r="H6" s="383"/>
      <c r="I6" s="383"/>
      <c r="J6" s="383"/>
      <c r="K6" s="383"/>
      <c r="L6" s="383"/>
      <c r="M6" s="383"/>
      <c r="N6" s="383"/>
      <c r="O6" s="383"/>
      <c r="P6" s="383"/>
      <c r="Q6" s="383"/>
      <c r="R6" s="383"/>
      <c r="S6" s="383"/>
      <c r="T6" s="383"/>
      <c r="U6" s="151"/>
      <c r="V6" s="156">
        <f>VLOOKUP(X6,data!$M$7:$O$12,3,FALSE)</f>
        <v>6</v>
      </c>
      <c r="W6" s="151"/>
      <c r="X6" s="432" t="s">
        <v>223</v>
      </c>
      <c r="Y6" s="432"/>
      <c r="Z6" s="432"/>
      <c r="AA6" s="432"/>
      <c r="AB6" s="432"/>
      <c r="AC6" s="433"/>
      <c r="AD6" s="151"/>
      <c r="AE6" s="447">
        <f ca="1">COUNTIF(KOMBI!$GF$11:$GF$145,"")</f>
        <v>120</v>
      </c>
      <c r="AF6" s="448"/>
      <c r="AH6" s="446" t="s">
        <v>397</v>
      </c>
      <c r="AI6" s="446"/>
      <c r="AJ6" s="446"/>
      <c r="AK6" s="446"/>
      <c r="AL6" s="446"/>
      <c r="AM6" s="446"/>
      <c r="AN6" s="446"/>
      <c r="AO6" s="446"/>
      <c r="AP6" s="446"/>
      <c r="AQ6" s="446"/>
      <c r="AR6" s="446"/>
      <c r="AS6" s="446"/>
      <c r="AT6" s="446"/>
      <c r="AU6" s="446"/>
      <c r="AV6" s="446"/>
      <c r="AW6" s="446"/>
      <c r="AX6" s="446"/>
      <c r="AY6" s="446"/>
    </row>
    <row r="7" spans="2:51" x14ac:dyDescent="0.2">
      <c r="B7" s="440" t="s">
        <v>447</v>
      </c>
      <c r="C7" s="383"/>
      <c r="D7" s="383"/>
      <c r="E7" s="383"/>
      <c r="F7" s="383"/>
      <c r="G7" s="383"/>
      <c r="H7" s="383"/>
      <c r="I7" s="383"/>
      <c r="J7" s="383"/>
      <c r="K7" s="383"/>
      <c r="L7" s="383"/>
      <c r="M7" s="383"/>
      <c r="N7" s="383"/>
      <c r="O7" s="383"/>
      <c r="P7" s="383"/>
      <c r="Q7" s="383"/>
      <c r="R7" s="383"/>
      <c r="S7" s="383"/>
      <c r="T7" s="383"/>
      <c r="U7" s="151"/>
      <c r="V7" s="151"/>
      <c r="W7" s="151"/>
      <c r="X7" s="434" t="s">
        <v>223</v>
      </c>
      <c r="Y7" s="434"/>
      <c r="Z7" s="434"/>
      <c r="AA7" s="434"/>
      <c r="AB7" s="434"/>
      <c r="AC7" s="435"/>
      <c r="AD7" s="151"/>
      <c r="AE7" s="441"/>
      <c r="AF7" s="442"/>
    </row>
    <row r="8" spans="2:51" x14ac:dyDescent="0.2">
      <c r="B8" s="440" t="s">
        <v>424</v>
      </c>
      <c r="C8" s="383"/>
      <c r="D8" s="383"/>
      <c r="E8" s="383"/>
      <c r="F8" s="383"/>
      <c r="G8" s="383"/>
      <c r="H8" s="383"/>
      <c r="I8" s="383"/>
      <c r="J8" s="383"/>
      <c r="K8" s="383"/>
      <c r="L8" s="383"/>
      <c r="M8" s="383"/>
      <c r="N8" s="383"/>
      <c r="O8" s="383"/>
      <c r="P8" s="383"/>
      <c r="Q8" s="383"/>
      <c r="R8" s="383"/>
      <c r="S8" s="383"/>
      <c r="T8" s="383"/>
      <c r="U8" s="151"/>
      <c r="V8" s="151"/>
      <c r="W8" s="151"/>
      <c r="X8" s="436"/>
      <c r="Y8" s="436"/>
      <c r="Z8" s="436"/>
      <c r="AA8" s="436"/>
      <c r="AB8" s="436"/>
      <c r="AC8" s="437"/>
      <c r="AD8" s="151"/>
      <c r="AE8" s="441"/>
      <c r="AF8" s="442"/>
    </row>
    <row r="9" spans="2:51" x14ac:dyDescent="0.2">
      <c r="B9" s="440" t="s">
        <v>220</v>
      </c>
      <c r="C9" s="383"/>
      <c r="D9" s="383"/>
      <c r="E9" s="383"/>
      <c r="F9" s="383"/>
      <c r="G9" s="383"/>
      <c r="H9" s="383"/>
      <c r="I9" s="383"/>
      <c r="J9" s="383"/>
      <c r="K9" s="383"/>
      <c r="L9" s="383"/>
      <c r="M9" s="383"/>
      <c r="N9" s="383"/>
      <c r="O9" s="383"/>
      <c r="P9" s="383"/>
      <c r="Q9" s="383"/>
      <c r="R9" s="383"/>
      <c r="S9" s="383"/>
      <c r="T9" s="383"/>
      <c r="U9" s="151"/>
      <c r="V9" s="151"/>
      <c r="W9" s="151"/>
      <c r="X9" s="438" t="s">
        <v>393</v>
      </c>
      <c r="Y9" s="438"/>
      <c r="Z9" s="438"/>
      <c r="AA9" s="438"/>
      <c r="AB9" s="438"/>
      <c r="AC9" s="439"/>
      <c r="AD9" s="151"/>
      <c r="AE9" s="441"/>
      <c r="AF9" s="442"/>
    </row>
    <row r="10" spans="2:51" x14ac:dyDescent="0.2">
      <c r="B10" s="440"/>
      <c r="C10" s="383"/>
      <c r="D10" s="383"/>
      <c r="E10" s="383"/>
      <c r="F10" s="383"/>
      <c r="G10" s="383"/>
      <c r="H10" s="383"/>
      <c r="I10" s="383"/>
      <c r="J10" s="383"/>
      <c r="K10" s="383"/>
      <c r="L10" s="383"/>
      <c r="M10" s="383"/>
      <c r="N10" s="383"/>
      <c r="O10" s="383"/>
      <c r="P10" s="383"/>
      <c r="Q10" s="383"/>
      <c r="R10" s="383"/>
      <c r="S10" s="383"/>
      <c r="T10" s="383"/>
      <c r="U10" s="151"/>
      <c r="V10" s="151"/>
      <c r="W10" s="151"/>
      <c r="X10" s="444"/>
      <c r="Y10" s="444"/>
      <c r="Z10" s="444"/>
      <c r="AA10" s="444"/>
      <c r="AB10" s="444"/>
      <c r="AC10" s="445"/>
      <c r="AD10" s="151"/>
      <c r="AE10" s="441"/>
      <c r="AF10" s="442"/>
    </row>
    <row r="11" spans="2:51" x14ac:dyDescent="0.2">
      <c r="B11" s="440" t="s">
        <v>448</v>
      </c>
      <c r="C11" s="383"/>
      <c r="D11" s="383"/>
      <c r="E11" s="383"/>
      <c r="F11" s="383"/>
      <c r="G11" s="383"/>
      <c r="H11" s="383"/>
      <c r="I11" s="383"/>
      <c r="J11" s="383"/>
      <c r="K11" s="383"/>
      <c r="L11" s="383"/>
      <c r="M11" s="383"/>
      <c r="N11" s="383"/>
      <c r="O11" s="383"/>
      <c r="P11" s="383"/>
      <c r="Q11" s="383"/>
      <c r="R11" s="383"/>
      <c r="S11" s="383"/>
      <c r="T11" s="383"/>
      <c r="U11" s="151"/>
      <c r="V11" s="151"/>
      <c r="W11" s="151"/>
      <c r="X11" s="434" t="s">
        <v>223</v>
      </c>
      <c r="Y11" s="434"/>
      <c r="Z11" s="434"/>
      <c r="AA11" s="434"/>
      <c r="AB11" s="434"/>
      <c r="AC11" s="435"/>
      <c r="AD11" s="151"/>
      <c r="AE11" s="441"/>
      <c r="AF11" s="442"/>
    </row>
    <row r="12" spans="2:51" x14ac:dyDescent="0.2">
      <c r="B12" s="440" t="s">
        <v>449</v>
      </c>
      <c r="C12" s="383"/>
      <c r="D12" s="383"/>
      <c r="E12" s="383"/>
      <c r="F12" s="383"/>
      <c r="G12" s="383"/>
      <c r="H12" s="383"/>
      <c r="I12" s="383"/>
      <c r="J12" s="383"/>
      <c r="K12" s="383"/>
      <c r="L12" s="383"/>
      <c r="M12" s="383"/>
      <c r="N12" s="383"/>
      <c r="O12" s="383"/>
      <c r="P12" s="383"/>
      <c r="Q12" s="383"/>
      <c r="R12" s="383"/>
      <c r="S12" s="383"/>
      <c r="T12" s="383"/>
      <c r="U12" s="151"/>
      <c r="V12" s="151"/>
      <c r="W12" s="151"/>
      <c r="X12" s="434" t="s">
        <v>223</v>
      </c>
      <c r="Y12" s="434"/>
      <c r="Z12" s="434"/>
      <c r="AA12" s="434"/>
      <c r="AB12" s="434"/>
      <c r="AC12" s="435"/>
      <c r="AD12" s="151"/>
      <c r="AE12" s="441"/>
      <c r="AF12" s="442"/>
    </row>
    <row r="13" spans="2:51" x14ac:dyDescent="0.2">
      <c r="B13" s="440" t="s">
        <v>450</v>
      </c>
      <c r="C13" s="383"/>
      <c r="D13" s="383"/>
      <c r="E13" s="383"/>
      <c r="F13" s="383"/>
      <c r="G13" s="383"/>
      <c r="H13" s="383"/>
      <c r="I13" s="383"/>
      <c r="J13" s="383"/>
      <c r="K13" s="383"/>
      <c r="L13" s="383"/>
      <c r="M13" s="383"/>
      <c r="N13" s="383"/>
      <c r="O13" s="383"/>
      <c r="P13" s="383"/>
      <c r="Q13" s="383"/>
      <c r="R13" s="383"/>
      <c r="S13" s="383"/>
      <c r="T13" s="383"/>
      <c r="U13" s="151"/>
      <c r="V13" s="151"/>
      <c r="W13" s="151"/>
      <c r="X13" s="434" t="s">
        <v>223</v>
      </c>
      <c r="Y13" s="434"/>
      <c r="Z13" s="434"/>
      <c r="AA13" s="434"/>
      <c r="AB13" s="434"/>
      <c r="AC13" s="435"/>
      <c r="AD13" s="151"/>
      <c r="AE13" s="441"/>
      <c r="AF13" s="442"/>
    </row>
    <row r="14" spans="2:51" x14ac:dyDescent="0.2">
      <c r="B14" s="443" t="s">
        <v>451</v>
      </c>
      <c r="C14" s="374"/>
      <c r="D14" s="374"/>
      <c r="E14" s="374"/>
      <c r="F14" s="374"/>
      <c r="G14" s="374"/>
      <c r="H14" s="374"/>
      <c r="I14" s="374"/>
      <c r="J14" s="374"/>
      <c r="K14" s="374"/>
      <c r="L14" s="374"/>
      <c r="M14" s="374"/>
      <c r="N14" s="374"/>
      <c r="O14" s="374"/>
      <c r="P14" s="374"/>
      <c r="Q14" s="374"/>
      <c r="R14" s="374"/>
      <c r="S14" s="374"/>
      <c r="T14" s="374"/>
      <c r="U14" s="153"/>
      <c r="V14" s="153"/>
      <c r="W14" s="153"/>
      <c r="X14" s="434" t="s">
        <v>223</v>
      </c>
      <c r="Y14" s="434"/>
      <c r="Z14" s="434"/>
      <c r="AA14" s="434"/>
      <c r="AB14" s="434"/>
      <c r="AC14" s="435"/>
      <c r="AD14" s="153"/>
      <c r="AE14" s="153"/>
      <c r="AF14" s="145"/>
    </row>
    <row r="16" spans="2:51" x14ac:dyDescent="0.2">
      <c r="AH16" s="81"/>
    </row>
    <row r="17" spans="19:51" x14ac:dyDescent="0.2">
      <c r="S17" s="137"/>
      <c r="T17" s="137"/>
      <c r="U17" s="137"/>
      <c r="V17" s="137"/>
      <c r="W17" s="137"/>
      <c r="X17" s="137"/>
      <c r="Y17" s="137"/>
      <c r="Z17" s="137"/>
      <c r="AA17" s="137"/>
      <c r="AB17" s="137"/>
      <c r="AC17" s="137"/>
      <c r="AD17" s="137"/>
      <c r="AE17" s="137"/>
      <c r="AF17" s="137"/>
      <c r="AG17" s="137"/>
      <c r="AH17" s="137"/>
      <c r="AI17" s="399" t="s">
        <v>439</v>
      </c>
      <c r="AJ17" s="400"/>
      <c r="AK17" s="400"/>
      <c r="AL17" s="400"/>
      <c r="AM17" s="400"/>
      <c r="AN17" s="400"/>
      <c r="AO17" s="400"/>
      <c r="AP17" s="401"/>
      <c r="AQ17" s="411" t="s">
        <v>440</v>
      </c>
      <c r="AR17" s="399" t="s">
        <v>438</v>
      </c>
      <c r="AS17" s="400"/>
      <c r="AT17" s="400"/>
      <c r="AU17" s="400"/>
      <c r="AV17" s="400"/>
      <c r="AW17" s="400"/>
      <c r="AX17" s="400"/>
      <c r="AY17" s="401"/>
    </row>
    <row r="18" spans="19:51" ht="14.5" customHeight="1" x14ac:dyDescent="0.2">
      <c r="S18" s="137"/>
      <c r="T18" s="137"/>
      <c r="U18" s="137"/>
      <c r="V18" s="137"/>
      <c r="W18" s="137"/>
      <c r="X18" s="137"/>
      <c r="Y18" s="137"/>
      <c r="Z18" s="137"/>
      <c r="AA18" s="137"/>
      <c r="AB18" s="137"/>
      <c r="AC18" s="137"/>
      <c r="AD18" s="137"/>
      <c r="AE18" s="137"/>
      <c r="AF18" s="137"/>
      <c r="AG18" s="137"/>
      <c r="AH18" s="137"/>
      <c r="AI18" s="402"/>
      <c r="AJ18" s="403"/>
      <c r="AK18" s="403"/>
      <c r="AL18" s="403"/>
      <c r="AM18" s="403"/>
      <c r="AN18" s="403"/>
      <c r="AO18" s="403"/>
      <c r="AP18" s="404"/>
      <c r="AQ18" s="411"/>
      <c r="AR18" s="402"/>
      <c r="AS18" s="403"/>
      <c r="AT18" s="403"/>
      <c r="AU18" s="403"/>
      <c r="AV18" s="403"/>
      <c r="AW18" s="403"/>
      <c r="AX18" s="403"/>
      <c r="AY18" s="404"/>
    </row>
    <row r="19" spans="19:51" ht="14.5" customHeight="1" x14ac:dyDescent="0.3">
      <c r="S19" s="137"/>
      <c r="T19" s="137"/>
      <c r="U19" s="137"/>
      <c r="V19" s="137"/>
      <c r="W19" s="137"/>
      <c r="X19" s="137"/>
      <c r="Y19" s="137"/>
      <c r="Z19" s="137"/>
      <c r="AA19" s="137"/>
      <c r="AB19" s="137"/>
      <c r="AC19" s="137"/>
      <c r="AD19" s="137"/>
      <c r="AE19" s="137"/>
      <c r="AF19" s="137"/>
      <c r="AG19" s="137"/>
      <c r="AH19" s="137"/>
      <c r="AI19" s="162"/>
      <c r="AJ19" s="162"/>
      <c r="AK19" s="162"/>
      <c r="AL19" s="162"/>
      <c r="AM19" s="162"/>
      <c r="AN19" s="162"/>
      <c r="AO19" s="161"/>
      <c r="AP19" s="161"/>
      <c r="AQ19" s="161"/>
      <c r="AR19" s="161"/>
      <c r="AS19" s="161"/>
      <c r="AT19" s="161"/>
      <c r="AU19" s="161"/>
      <c r="AV19" s="161"/>
      <c r="AW19" s="161"/>
      <c r="AX19" s="161"/>
      <c r="AY19" s="162"/>
    </row>
    <row r="20" spans="19:51" ht="18.5" customHeight="1" x14ac:dyDescent="0.3">
      <c r="S20" s="137"/>
      <c r="T20" s="137"/>
      <c r="U20" s="137"/>
      <c r="V20" s="137"/>
      <c r="W20" s="137"/>
      <c r="X20" s="137"/>
      <c r="Y20" s="137"/>
      <c r="Z20" s="137"/>
      <c r="AA20" s="137"/>
      <c r="AB20" s="137"/>
      <c r="AC20" s="137"/>
      <c r="AD20" s="137"/>
      <c r="AE20" s="137"/>
      <c r="AF20" s="137"/>
      <c r="AG20" s="137"/>
      <c r="AH20" s="137"/>
      <c r="AI20" s="161"/>
      <c r="AJ20" s="161"/>
      <c r="AK20" s="161"/>
      <c r="AL20" s="161"/>
      <c r="AM20" s="418" t="s">
        <v>437</v>
      </c>
      <c r="AN20" s="419"/>
      <c r="AO20" s="419"/>
      <c r="AP20" s="419"/>
      <c r="AQ20" s="419"/>
      <c r="AR20" s="419"/>
      <c r="AS20" s="419"/>
      <c r="AT20" s="419"/>
      <c r="AU20" s="420"/>
      <c r="AV20" s="161"/>
      <c r="AW20" s="161"/>
      <c r="AX20" s="161"/>
      <c r="AY20" s="161"/>
    </row>
    <row r="21" spans="19:51" ht="18.5" customHeight="1" x14ac:dyDescent="0.3">
      <c r="S21" s="137"/>
      <c r="T21" s="137"/>
      <c r="U21" s="137"/>
      <c r="V21" s="137"/>
      <c r="W21" s="137"/>
      <c r="X21" s="137"/>
      <c r="Y21" s="137"/>
      <c r="Z21" s="137"/>
      <c r="AA21" s="137"/>
      <c r="AB21" s="137"/>
      <c r="AC21" s="137"/>
      <c r="AD21" s="137"/>
      <c r="AE21" s="137"/>
      <c r="AF21" s="137"/>
      <c r="AG21" s="137"/>
      <c r="AH21" s="137"/>
      <c r="AI21" s="162"/>
      <c r="AJ21" s="162"/>
      <c r="AK21" s="162"/>
      <c r="AL21" s="162"/>
      <c r="AM21" s="421"/>
      <c r="AN21" s="422"/>
      <c r="AO21" s="422"/>
      <c r="AP21" s="422"/>
      <c r="AQ21" s="422"/>
      <c r="AR21" s="422"/>
      <c r="AS21" s="422"/>
      <c r="AT21" s="422"/>
      <c r="AU21" s="423"/>
      <c r="AV21" s="162"/>
      <c r="AW21" s="162"/>
      <c r="AX21" s="162"/>
      <c r="AY21" s="162"/>
    </row>
    <row r="22" spans="19:51" x14ac:dyDescent="0.2">
      <c r="S22" s="137"/>
      <c r="T22" s="137"/>
      <c r="U22" s="137"/>
      <c r="V22" s="137"/>
      <c r="W22" s="137"/>
      <c r="X22" s="137"/>
      <c r="Y22" s="137"/>
      <c r="Z22" s="137"/>
      <c r="AA22" s="137"/>
      <c r="AB22" s="137"/>
      <c r="AC22" s="137"/>
      <c r="AD22" s="137"/>
      <c r="AE22" s="137"/>
      <c r="AF22" s="137"/>
      <c r="AG22" s="137"/>
      <c r="AH22" s="137"/>
      <c r="AI22" s="137"/>
      <c r="AJ22" s="137"/>
      <c r="AK22" s="137"/>
    </row>
    <row r="23" spans="19:51" x14ac:dyDescent="0.2">
      <c r="S23" s="137"/>
      <c r="T23" s="137"/>
      <c r="U23" s="137"/>
      <c r="V23" s="137"/>
      <c r="W23" s="137"/>
      <c r="X23" s="137"/>
      <c r="Y23" s="137"/>
      <c r="Z23" s="137"/>
      <c r="AA23" s="137"/>
      <c r="AB23" s="137"/>
      <c r="AC23" s="137"/>
      <c r="AD23" s="137"/>
      <c r="AE23" s="137"/>
      <c r="AF23" s="137"/>
      <c r="AG23" s="137"/>
      <c r="AH23" s="137"/>
      <c r="AI23" s="137"/>
      <c r="AJ23" s="137"/>
      <c r="AK23" s="137"/>
    </row>
    <row r="24" spans="19:51" x14ac:dyDescent="0.2">
      <c r="S24" s="137"/>
      <c r="T24" s="137"/>
      <c r="U24" s="137"/>
      <c r="V24" s="137"/>
      <c r="W24" s="137"/>
      <c r="X24" s="137"/>
      <c r="Y24" s="137"/>
      <c r="Z24" s="137"/>
      <c r="AA24" s="137"/>
      <c r="AB24" s="137"/>
      <c r="AC24" s="137"/>
      <c r="AD24" s="137"/>
      <c r="AE24" s="137"/>
      <c r="AF24" s="137"/>
      <c r="AG24" s="137"/>
      <c r="AH24" s="137"/>
      <c r="AI24" s="137"/>
      <c r="AJ24" s="137"/>
      <c r="AK24" s="137"/>
    </row>
    <row r="25" spans="19:51" x14ac:dyDescent="0.2">
      <c r="S25" s="137"/>
      <c r="T25" s="137"/>
      <c r="U25" s="137"/>
      <c r="V25" s="137"/>
      <c r="W25" s="137"/>
      <c r="X25" s="137"/>
      <c r="Y25" s="137"/>
      <c r="Z25" s="137"/>
      <c r="AA25" s="137"/>
      <c r="AB25" s="137"/>
      <c r="AC25" s="137"/>
      <c r="AD25" s="137"/>
      <c r="AE25" s="137"/>
      <c r="AF25" s="137"/>
      <c r="AG25" s="137"/>
      <c r="AH25" s="137"/>
      <c r="AI25" s="137"/>
      <c r="AJ25" s="137"/>
      <c r="AK25" s="137"/>
    </row>
    <row r="26" spans="19:51" x14ac:dyDescent="0.2">
      <c r="S26" s="137"/>
      <c r="T26" s="137"/>
      <c r="U26" s="137"/>
      <c r="V26" s="137"/>
      <c r="W26" s="137"/>
      <c r="X26" s="137"/>
      <c r="Y26" s="137"/>
      <c r="Z26" s="137"/>
      <c r="AA26" s="137"/>
      <c r="AB26" s="137"/>
      <c r="AC26" s="137"/>
      <c r="AD26" s="137"/>
      <c r="AE26" s="137"/>
      <c r="AF26" s="137"/>
      <c r="AG26" s="137"/>
      <c r="AH26" s="137"/>
      <c r="AI26" s="137"/>
      <c r="AJ26" s="137"/>
      <c r="AK26" s="137"/>
    </row>
  </sheetData>
  <sheetProtection sheet="1" objects="1" scenarios="1"/>
  <mergeCells count="33">
    <mergeCell ref="AE9:AF9"/>
    <mergeCell ref="B10:T10"/>
    <mergeCell ref="AE10:AF10"/>
    <mergeCell ref="X10:AC10"/>
    <mergeCell ref="AH6:AY6"/>
    <mergeCell ref="B6:T6"/>
    <mergeCell ref="AE6:AF6"/>
    <mergeCell ref="B7:T7"/>
    <mergeCell ref="AE7:AF7"/>
    <mergeCell ref="B8:T8"/>
    <mergeCell ref="AE8:AF8"/>
    <mergeCell ref="AI17:AP18"/>
    <mergeCell ref="AQ17:AQ18"/>
    <mergeCell ref="AR17:AY18"/>
    <mergeCell ref="AM20:AU21"/>
    <mergeCell ref="B11:T11"/>
    <mergeCell ref="AE11:AF11"/>
    <mergeCell ref="B14:T14"/>
    <mergeCell ref="B12:T12"/>
    <mergeCell ref="AE12:AF12"/>
    <mergeCell ref="B13:T13"/>
    <mergeCell ref="AE13:AF13"/>
    <mergeCell ref="X11:AC11"/>
    <mergeCell ref="X12:AC12"/>
    <mergeCell ref="X13:AC13"/>
    <mergeCell ref="X14:AC14"/>
    <mergeCell ref="B4:AC4"/>
    <mergeCell ref="X6:AC6"/>
    <mergeCell ref="X7:AC7"/>
    <mergeCell ref="X8:AC8"/>
    <mergeCell ref="X9:AC9"/>
    <mergeCell ref="B9:T9"/>
    <mergeCell ref="P5:AC5"/>
  </mergeCells>
  <dataValidations count="8">
    <dataValidation type="list" allowBlank="1" showInputMessage="1" showErrorMessage="1" sqref="X7">
      <formula1>CO2_nonETS</formula1>
    </dataValidation>
    <dataValidation type="list" allowBlank="1" showInputMessage="1" showErrorMessage="1" sqref="X13">
      <formula1>LOU_list</formula1>
    </dataValidation>
    <dataValidation type="list" allowBlank="1" showInputMessage="1" showErrorMessage="1" sqref="X14">
      <formula1>PM25_list</formula1>
    </dataValidation>
    <dataValidation type="list" allowBlank="1" showInputMessage="1" showErrorMessage="1" sqref="X12">
      <formula1>SO2_list</formula1>
    </dataValidation>
    <dataValidation type="list" allowBlank="1" showInputMessage="1" showErrorMessage="1" sqref="X11">
      <formula1>NOx_list</formula1>
    </dataValidation>
    <dataValidation type="list" allowBlank="1" showInputMessage="1" showErrorMessage="1" sqref="P5:AC5">
      <formula1>INDIRECT($BX$11)</formula1>
    </dataValidation>
    <dataValidation type="list" allowBlank="1" showInputMessage="1" showErrorMessage="1" sqref="X9">
      <formula1>importkütused</formula1>
    </dataValidation>
    <dataValidation type="list" allowBlank="1" showInputMessage="1" showErrorMessage="1" sqref="X6">
      <formula1>lõpptarbimine</formula1>
    </dataValidation>
  </dataValidations>
  <hyperlinks>
    <hyperlink ref="AR17:AY18" location="Tulemused!F23" display="→"/>
    <hyperlink ref="AI17:AP18" location="KuluTulu!C2" display="←"/>
    <hyperlink ref="AM20:AU21" location="Tulemused!F23" display="Tulemused"/>
  </hyperlinks>
  <pageMargins left="0.7" right="0.7" top="0.75" bottom="0.75" header="0.3" footer="0.3"/>
  <legacy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E61"/>
  <sheetViews>
    <sheetView topLeftCell="A49" workbookViewId="0">
      <selection activeCell="I57" sqref="I57"/>
    </sheetView>
  </sheetViews>
  <sheetFormatPr baseColWidth="10" defaultColWidth="8.796875" defaultRowHeight="15" x14ac:dyDescent="0.2"/>
  <cols>
    <col min="3" max="3" width="11.19921875" customWidth="1"/>
    <col min="4" max="4" width="13.3984375" customWidth="1"/>
    <col min="5" max="5" width="44.19921875" customWidth="1"/>
  </cols>
  <sheetData>
    <row r="3" spans="2:5" ht="26" x14ac:dyDescent="0.2">
      <c r="B3" s="356" t="s">
        <v>470</v>
      </c>
      <c r="C3" s="356" t="s">
        <v>471</v>
      </c>
      <c r="D3" s="356" t="s">
        <v>472</v>
      </c>
      <c r="E3" s="356" t="s">
        <v>473</v>
      </c>
    </row>
    <row r="4" spans="2:5" x14ac:dyDescent="0.2">
      <c r="B4" s="357" t="s">
        <v>474</v>
      </c>
      <c r="C4" s="358">
        <v>41816</v>
      </c>
      <c r="D4" s="357" t="s">
        <v>223</v>
      </c>
      <c r="E4" s="357" t="s">
        <v>223</v>
      </c>
    </row>
    <row r="5" spans="2:5" x14ac:dyDescent="0.2">
      <c r="B5" s="449" t="s">
        <v>475</v>
      </c>
      <c r="C5" s="450">
        <v>41823</v>
      </c>
      <c r="D5" s="449" t="s">
        <v>476</v>
      </c>
      <c r="E5" s="359" t="s">
        <v>488</v>
      </c>
    </row>
    <row r="6" spans="2:5" ht="26" x14ac:dyDescent="0.2">
      <c r="B6" s="449"/>
      <c r="C6" s="450"/>
      <c r="D6" s="449"/>
      <c r="E6" s="359" t="s">
        <v>489</v>
      </c>
    </row>
    <row r="7" spans="2:5" ht="26" x14ac:dyDescent="0.2">
      <c r="B7" s="449" t="s">
        <v>477</v>
      </c>
      <c r="C7" s="450">
        <v>41837</v>
      </c>
      <c r="D7" s="449" t="s">
        <v>223</v>
      </c>
      <c r="E7" s="359" t="s">
        <v>490</v>
      </c>
    </row>
    <row r="8" spans="2:5" x14ac:dyDescent="0.2">
      <c r="B8" s="449"/>
      <c r="C8" s="450"/>
      <c r="D8" s="449"/>
      <c r="E8" s="359" t="s">
        <v>491</v>
      </c>
    </row>
    <row r="9" spans="2:5" x14ac:dyDescent="0.2">
      <c r="B9" s="449"/>
      <c r="C9" s="450"/>
      <c r="D9" s="449"/>
      <c r="E9" s="359" t="s">
        <v>350</v>
      </c>
    </row>
    <row r="10" spans="2:5" x14ac:dyDescent="0.2">
      <c r="B10" s="449"/>
      <c r="C10" s="450"/>
      <c r="D10" s="449"/>
      <c r="E10" s="359" t="s">
        <v>349</v>
      </c>
    </row>
    <row r="11" spans="2:5" x14ac:dyDescent="0.2">
      <c r="B11" s="449"/>
      <c r="C11" s="450"/>
      <c r="D11" s="449"/>
      <c r="E11" s="359" t="s">
        <v>374</v>
      </c>
    </row>
    <row r="12" spans="2:5" x14ac:dyDescent="0.2">
      <c r="B12" s="449" t="s">
        <v>478</v>
      </c>
      <c r="C12" s="450">
        <v>41842</v>
      </c>
      <c r="D12" s="449" t="s">
        <v>476</v>
      </c>
      <c r="E12" s="359" t="s">
        <v>492</v>
      </c>
    </row>
    <row r="13" spans="2:5" ht="26" x14ac:dyDescent="0.2">
      <c r="B13" s="449"/>
      <c r="C13" s="450"/>
      <c r="D13" s="449"/>
      <c r="E13" s="359" t="s">
        <v>493</v>
      </c>
    </row>
    <row r="14" spans="2:5" ht="26" x14ac:dyDescent="0.2">
      <c r="B14" s="357" t="s">
        <v>479</v>
      </c>
      <c r="C14" s="358">
        <v>41848</v>
      </c>
      <c r="D14" s="357" t="s">
        <v>476</v>
      </c>
      <c r="E14" s="359" t="s">
        <v>494</v>
      </c>
    </row>
    <row r="15" spans="2:5" ht="26" x14ac:dyDescent="0.2">
      <c r="B15" s="357" t="s">
        <v>480</v>
      </c>
      <c r="C15" s="358">
        <v>42944</v>
      </c>
      <c r="D15" s="357" t="s">
        <v>476</v>
      </c>
      <c r="E15" s="359" t="s">
        <v>495</v>
      </c>
    </row>
    <row r="16" spans="2:5" x14ac:dyDescent="0.2">
      <c r="B16" s="449" t="s">
        <v>481</v>
      </c>
      <c r="C16" s="450">
        <v>41850</v>
      </c>
      <c r="D16" s="449" t="s">
        <v>223</v>
      </c>
      <c r="E16" s="359" t="s">
        <v>496</v>
      </c>
    </row>
    <row r="17" spans="2:5" ht="26" x14ac:dyDescent="0.2">
      <c r="B17" s="449"/>
      <c r="C17" s="450"/>
      <c r="D17" s="449"/>
      <c r="E17" s="359" t="s">
        <v>497</v>
      </c>
    </row>
    <row r="18" spans="2:5" ht="26" x14ac:dyDescent="0.2">
      <c r="B18" s="449"/>
      <c r="C18" s="450"/>
      <c r="D18" s="449"/>
      <c r="E18" s="359" t="s">
        <v>498</v>
      </c>
    </row>
    <row r="19" spans="2:5" x14ac:dyDescent="0.2">
      <c r="B19" s="449"/>
      <c r="C19" s="450"/>
      <c r="D19" s="449"/>
      <c r="E19" s="359" t="s">
        <v>499</v>
      </c>
    </row>
    <row r="20" spans="2:5" x14ac:dyDescent="0.2">
      <c r="B20" s="449"/>
      <c r="C20" s="450"/>
      <c r="D20" s="449"/>
      <c r="E20" s="359" t="s">
        <v>500</v>
      </c>
    </row>
    <row r="21" spans="2:5" x14ac:dyDescent="0.2">
      <c r="B21" s="449"/>
      <c r="C21" s="450"/>
      <c r="D21" s="449"/>
      <c r="E21" s="359" t="s">
        <v>482</v>
      </c>
    </row>
    <row r="22" spans="2:5" x14ac:dyDescent="0.2">
      <c r="B22" s="449"/>
      <c r="C22" s="450"/>
      <c r="D22" s="449"/>
      <c r="E22" s="359" t="s">
        <v>199</v>
      </c>
    </row>
    <row r="23" spans="2:5" x14ac:dyDescent="0.2">
      <c r="B23" s="449"/>
      <c r="C23" s="450"/>
      <c r="D23" s="449"/>
      <c r="E23" s="359" t="s">
        <v>452</v>
      </c>
    </row>
    <row r="24" spans="2:5" x14ac:dyDescent="0.2">
      <c r="B24" s="449"/>
      <c r="C24" s="450"/>
      <c r="D24" s="449"/>
      <c r="E24" s="359" t="s">
        <v>483</v>
      </c>
    </row>
    <row r="25" spans="2:5" x14ac:dyDescent="0.2">
      <c r="B25" s="449"/>
      <c r="C25" s="450"/>
      <c r="D25" s="449"/>
      <c r="E25" s="359" t="s">
        <v>313</v>
      </c>
    </row>
    <row r="26" spans="2:5" x14ac:dyDescent="0.2">
      <c r="B26" s="449"/>
      <c r="C26" s="450"/>
      <c r="D26" s="449"/>
      <c r="E26" s="359" t="s">
        <v>484</v>
      </c>
    </row>
    <row r="27" spans="2:5" x14ac:dyDescent="0.2">
      <c r="B27" s="449"/>
      <c r="C27" s="450"/>
      <c r="D27" s="449"/>
      <c r="E27" s="359" t="s">
        <v>485</v>
      </c>
    </row>
    <row r="28" spans="2:5" ht="26" x14ac:dyDescent="0.2">
      <c r="B28" s="357" t="s">
        <v>486</v>
      </c>
      <c r="C28" s="358">
        <v>41851</v>
      </c>
      <c r="D28" s="357" t="s">
        <v>476</v>
      </c>
      <c r="E28" s="359" t="s">
        <v>501</v>
      </c>
    </row>
    <row r="29" spans="2:5" ht="26" x14ac:dyDescent="0.2">
      <c r="B29" s="449" t="s">
        <v>487</v>
      </c>
      <c r="C29" s="450">
        <v>41852</v>
      </c>
      <c r="D29" s="449"/>
      <c r="E29" s="359" t="s">
        <v>502</v>
      </c>
    </row>
    <row r="30" spans="2:5" ht="26" x14ac:dyDescent="0.2">
      <c r="B30" s="449"/>
      <c r="C30" s="450"/>
      <c r="D30" s="449"/>
      <c r="E30" s="359" t="s">
        <v>503</v>
      </c>
    </row>
    <row r="31" spans="2:5" ht="39" x14ac:dyDescent="0.2">
      <c r="B31" s="449"/>
      <c r="C31" s="450"/>
      <c r="D31" s="449"/>
      <c r="E31" s="359" t="s">
        <v>504</v>
      </c>
    </row>
    <row r="32" spans="2:5" ht="26" x14ac:dyDescent="0.2">
      <c r="B32" s="449" t="s">
        <v>521</v>
      </c>
      <c r="C32" s="450">
        <v>41858</v>
      </c>
      <c r="D32" s="449"/>
      <c r="E32" s="359" t="s">
        <v>522</v>
      </c>
    </row>
    <row r="33" spans="2:5" ht="52" x14ac:dyDescent="0.2">
      <c r="B33" s="449"/>
      <c r="C33" s="450"/>
      <c r="D33" s="449"/>
      <c r="E33" s="359" t="s">
        <v>523</v>
      </c>
    </row>
    <row r="34" spans="2:5" s="25" customFormat="1" ht="26" x14ac:dyDescent="0.2">
      <c r="B34" s="449"/>
      <c r="C34" s="450"/>
      <c r="D34" s="449"/>
      <c r="E34" s="359" t="s">
        <v>525</v>
      </c>
    </row>
    <row r="35" spans="2:5" ht="52" x14ac:dyDescent="0.2">
      <c r="B35" s="449"/>
      <c r="C35" s="450"/>
      <c r="D35" s="449"/>
      <c r="E35" s="359" t="s">
        <v>524</v>
      </c>
    </row>
    <row r="36" spans="2:5" ht="26" x14ac:dyDescent="0.2">
      <c r="B36" s="449" t="s">
        <v>529</v>
      </c>
      <c r="C36" s="450">
        <v>41862</v>
      </c>
      <c r="D36" s="449"/>
      <c r="E36" s="359" t="s">
        <v>530</v>
      </c>
    </row>
    <row r="37" spans="2:5" x14ac:dyDescent="0.2">
      <c r="B37" s="449"/>
      <c r="C37" s="450"/>
      <c r="D37" s="449"/>
      <c r="E37" s="359" t="s">
        <v>534</v>
      </c>
    </row>
    <row r="38" spans="2:5" ht="26" x14ac:dyDescent="0.2">
      <c r="B38" s="449"/>
      <c r="C38" s="450"/>
      <c r="D38" s="449"/>
      <c r="E38" s="359" t="s">
        <v>536</v>
      </c>
    </row>
    <row r="39" spans="2:5" ht="26" x14ac:dyDescent="0.2">
      <c r="B39" s="449"/>
      <c r="C39" s="450"/>
      <c r="D39" s="449"/>
      <c r="E39" s="359" t="s">
        <v>535</v>
      </c>
    </row>
    <row r="40" spans="2:5" ht="26" x14ac:dyDescent="0.2">
      <c r="B40" s="449" t="s">
        <v>538</v>
      </c>
      <c r="C40" s="450">
        <v>41869</v>
      </c>
      <c r="D40" s="449"/>
      <c r="E40" s="359" t="s">
        <v>539</v>
      </c>
    </row>
    <row r="41" spans="2:5" x14ac:dyDescent="0.2">
      <c r="B41" s="449"/>
      <c r="C41" s="450"/>
      <c r="D41" s="449"/>
      <c r="E41" s="359" t="s">
        <v>540</v>
      </c>
    </row>
    <row r="42" spans="2:5" x14ac:dyDescent="0.2">
      <c r="B42" s="449"/>
      <c r="C42" s="450"/>
      <c r="D42" s="449"/>
      <c r="E42" s="359" t="s">
        <v>542</v>
      </c>
    </row>
    <row r="43" spans="2:5" x14ac:dyDescent="0.2">
      <c r="B43" s="449"/>
      <c r="C43" s="450"/>
      <c r="D43" s="449"/>
      <c r="E43" s="359" t="s">
        <v>558</v>
      </c>
    </row>
    <row r="44" spans="2:5" x14ac:dyDescent="0.2">
      <c r="B44" s="451" t="s">
        <v>538</v>
      </c>
      <c r="C44" s="452">
        <v>41911</v>
      </c>
      <c r="D44" s="451"/>
      <c r="E44" s="359" t="s">
        <v>559</v>
      </c>
    </row>
    <row r="45" spans="2:5" ht="39" x14ac:dyDescent="0.2">
      <c r="B45" s="451"/>
      <c r="C45" s="452"/>
      <c r="D45" s="451"/>
      <c r="E45" s="359" t="s">
        <v>560</v>
      </c>
    </row>
    <row r="46" spans="2:5" x14ac:dyDescent="0.2">
      <c r="B46" s="451"/>
      <c r="C46" s="452"/>
      <c r="D46" s="451"/>
      <c r="E46" s="359" t="s">
        <v>618</v>
      </c>
    </row>
    <row r="47" spans="2:5" ht="26" x14ac:dyDescent="0.2">
      <c r="B47" s="451"/>
      <c r="C47" s="452"/>
      <c r="D47" s="451"/>
      <c r="E47" s="359" t="s">
        <v>623</v>
      </c>
    </row>
    <row r="48" spans="2:5" ht="26" x14ac:dyDescent="0.2">
      <c r="B48" s="451"/>
      <c r="C48" s="452"/>
      <c r="D48" s="451"/>
      <c r="E48" s="359" t="s">
        <v>627</v>
      </c>
    </row>
    <row r="49" spans="2:5" ht="52" x14ac:dyDescent="0.2">
      <c r="B49" s="451"/>
      <c r="C49" s="452"/>
      <c r="D49" s="451"/>
      <c r="E49" s="359" t="s">
        <v>679</v>
      </c>
    </row>
    <row r="50" spans="2:5" ht="52" x14ac:dyDescent="0.2">
      <c r="B50" s="451"/>
      <c r="C50" s="452"/>
      <c r="D50" s="451"/>
      <c r="E50" s="359" t="s">
        <v>677</v>
      </c>
    </row>
    <row r="51" spans="2:5" ht="39.5" customHeight="1" x14ac:dyDescent="0.2">
      <c r="B51" s="451"/>
      <c r="C51" s="452"/>
      <c r="D51" s="451"/>
      <c r="E51" s="359" t="s">
        <v>678</v>
      </c>
    </row>
    <row r="52" spans="2:5" x14ac:dyDescent="0.2">
      <c r="B52" s="451"/>
      <c r="C52" s="452"/>
      <c r="D52" s="451"/>
      <c r="E52" s="359"/>
    </row>
    <row r="53" spans="2:5" x14ac:dyDescent="0.2">
      <c r="B53" s="451" t="s">
        <v>749</v>
      </c>
      <c r="C53" s="452"/>
      <c r="D53" s="451"/>
      <c r="E53" s="360" t="s">
        <v>683</v>
      </c>
    </row>
    <row r="54" spans="2:5" ht="26" x14ac:dyDescent="0.2">
      <c r="B54" s="451"/>
      <c r="C54" s="452"/>
      <c r="D54" s="451"/>
      <c r="E54" s="360" t="s">
        <v>682</v>
      </c>
    </row>
    <row r="55" spans="2:5" ht="26" x14ac:dyDescent="0.2">
      <c r="B55" s="451"/>
      <c r="C55" s="452"/>
      <c r="D55" s="451"/>
      <c r="E55" s="360" t="s">
        <v>684</v>
      </c>
    </row>
    <row r="56" spans="2:5" x14ac:dyDescent="0.2">
      <c r="B56" s="451"/>
      <c r="C56" s="452"/>
      <c r="D56" s="451"/>
      <c r="E56" s="360" t="s">
        <v>685</v>
      </c>
    </row>
    <row r="57" spans="2:5" ht="26" x14ac:dyDescent="0.2">
      <c r="B57" s="451"/>
      <c r="C57" s="452"/>
      <c r="D57" s="451"/>
      <c r="E57" s="360" t="s">
        <v>750</v>
      </c>
    </row>
    <row r="58" spans="2:5" ht="26" x14ac:dyDescent="0.2">
      <c r="B58" s="451"/>
      <c r="C58" s="452"/>
      <c r="D58" s="451"/>
      <c r="E58" s="360" t="s">
        <v>751</v>
      </c>
    </row>
    <row r="59" spans="2:5" x14ac:dyDescent="0.2">
      <c r="B59" s="451"/>
      <c r="C59" s="452"/>
      <c r="D59" s="451"/>
      <c r="E59" s="360"/>
    </row>
    <row r="60" spans="2:5" x14ac:dyDescent="0.2">
      <c r="B60" s="451"/>
      <c r="C60" s="452"/>
      <c r="D60" s="451"/>
      <c r="E60" s="360"/>
    </row>
    <row r="61" spans="2:5" x14ac:dyDescent="0.2">
      <c r="B61" s="451"/>
      <c r="C61" s="452"/>
      <c r="D61" s="451"/>
      <c r="E61" s="370"/>
    </row>
  </sheetData>
  <mergeCells count="30">
    <mergeCell ref="B36:B39"/>
    <mergeCell ref="C36:C39"/>
    <mergeCell ref="D36:D39"/>
    <mergeCell ref="D53:D61"/>
    <mergeCell ref="C53:C61"/>
    <mergeCell ref="B44:B52"/>
    <mergeCell ref="C44:C52"/>
    <mergeCell ref="D44:D52"/>
    <mergeCell ref="B53:B61"/>
    <mergeCell ref="B40:B43"/>
    <mergeCell ref="C40:C43"/>
    <mergeCell ref="D40:D43"/>
    <mergeCell ref="B5:B6"/>
    <mergeCell ref="C5:C6"/>
    <mergeCell ref="D5:D6"/>
    <mergeCell ref="B7:B11"/>
    <mergeCell ref="C7:C11"/>
    <mergeCell ref="D7:D11"/>
    <mergeCell ref="B12:B13"/>
    <mergeCell ref="C12:C13"/>
    <mergeCell ref="D12:D13"/>
    <mergeCell ref="B16:B27"/>
    <mergeCell ref="C16:C27"/>
    <mergeCell ref="D16:D27"/>
    <mergeCell ref="B32:B35"/>
    <mergeCell ref="C32:C35"/>
    <mergeCell ref="D32:D35"/>
    <mergeCell ref="B29:B31"/>
    <mergeCell ref="C29:C31"/>
    <mergeCell ref="D29:D3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L142"/>
  <sheetViews>
    <sheetView zoomScale="85" zoomScaleNormal="85" zoomScalePageLayoutView="85" workbookViewId="0">
      <pane ySplit="1" topLeftCell="A2" activePane="bottomLeft" state="frozen"/>
      <selection pane="bottomLeft" activeCell="G4" sqref="G4"/>
    </sheetView>
  </sheetViews>
  <sheetFormatPr baseColWidth="10" defaultColWidth="8.796875" defaultRowHeight="15" x14ac:dyDescent="0.2"/>
  <cols>
    <col min="4" max="34" width="5" customWidth="1"/>
    <col min="35" max="44" width="5" style="25" customWidth="1"/>
    <col min="45" max="45" width="11.3984375" customWidth="1"/>
    <col min="46" max="47" width="8.796875" style="25"/>
    <col min="48" max="48" width="10.3984375" style="25" customWidth="1"/>
    <col min="49" max="49" width="9.796875" style="25" customWidth="1"/>
    <col min="50" max="50" width="13" style="25" customWidth="1"/>
    <col min="51" max="52" width="8.796875" style="25"/>
    <col min="53" max="83" width="4.796875" customWidth="1"/>
    <col min="84" max="90" width="5.796875" customWidth="1"/>
  </cols>
  <sheetData>
    <row r="1" spans="2:90" ht="200.5" customHeight="1" x14ac:dyDescent="0.2">
      <c r="D1" s="299" t="str">
        <f t="array" ref="D1">INDEX(data!$C$67:$D$107,MATCH(PJ!D$3,data!$D$67:$D$107,0),1)</f>
        <v>MAJANDUSE KONKURENTSIVÕIME KOONDINDEKS</v>
      </c>
      <c r="E1" s="299" t="str">
        <f t="array" ref="E1">INDEX(data!$C$67:$D$107,MATCH(PJ!E$3,data!$D$67:$D$107,0),1)</f>
        <v>SKP muutus turuhindades 2015-2030 VS BAAS, mln €/a</v>
      </c>
      <c r="F1" s="299" t="str">
        <f t="array" ref="F1">INDEX(data!$C$67:$D$107,MATCH(PJ!F$3,data!$D$67:$D$107,0),1)</f>
        <v>KULUD JA TULUD KOKKU [MEUR/a]</v>
      </c>
      <c r="G1" s="299" t="str">
        <f t="array" ref="G1">INDEX(data!$C$67:$D$107,MATCH(PJ!G$3,data!$D$67:$D$107,0),1)</f>
        <v>sh RIIGI TEGEVUSTE MAKSUMUS VS BAAS [MEUR/a]</v>
      </c>
      <c r="H1" s="299" t="str">
        <f t="array" ref="H1">INDEX(data!$C$67:$D$107,MATCH(PJ!H$3,data!$D$67:$D$107,0),1)</f>
        <v>sh MAKSUTULU LAEKUMINE VS BAAS [MEUR/a]</v>
      </c>
      <c r="I1" s="299" t="str">
        <f t="array" ref="I1">INDEX(data!$C$67:$D$107,MATCH(PJ!I$3,data!$D$67:$D$107,0),1)</f>
        <v>sh RAHAS MÕÕDETAVAD VÄLISMÕJUD [MEUR/a]</v>
      </c>
      <c r="J1" s="299" t="str">
        <f t="array" ref="J1">INDEX(data!$C$67:$D$107,MATCH(PJ!J$3,data!$D$67:$D$107,0),1)</f>
        <v>IMPORDITAVATE KÜTUSTE OSAKAAL 2030</v>
      </c>
      <c r="K1" s="299" t="str">
        <f t="array" ref="K1">INDEX(data!$C$67:$D$107,MATCH(PJ!K$3,data!$D$67:$D$107,0),1)</f>
        <v>SAIDI [minutit]</v>
      </c>
      <c r="L1" s="299" t="str">
        <f t="array" ref="L1">INDEX(data!$C$67:$D$107,MATCH(PJ!L$3,data!$D$67:$D$107,0),1)</f>
        <v>Imporditud transpordikütuste osakaal</v>
      </c>
      <c r="M1" s="299" t="str">
        <f t="array" ref="M1">INDEX(data!$C$67:$D$107,MATCH(PJ!M$3,data!$D$67:$D$107,0),1)</f>
        <v>Imporditud elektritoodangu osakaal</v>
      </c>
      <c r="N1" s="299" t="str">
        <f t="array" ref="N1">INDEX(data!$C$67:$D$107,MATCH(PJ!N$3,data!$D$67:$D$107,0),1)</f>
        <v>TAASTUVENERGIA % @ 2030</v>
      </c>
      <c r="O1" s="299" t="str">
        <f t="array" ref="O1">INDEX(data!$C$67:$D$107,MATCH(PJ!O$3,data!$D$67:$D$107,0),1)</f>
        <v>SKP MUUTUS 2015...2030 VS BAAS</v>
      </c>
      <c r="P1" s="299" t="str">
        <f t="array" ref="P1">INDEX(data!$C$67:$D$107,MATCH(PJ!P$3,data!$D$67:$D$107,0),1)</f>
        <v>VÄLISKAUBANDUSE SALDO MUUTUS 2015...2030 VS BAAS</v>
      </c>
      <c r="Q1" s="299" t="str">
        <f t="array" ref="Q1">INDEX(data!$C$67:$D$107,MATCH(PJ!Q$3,data!$D$67:$D$107,0),1)</f>
        <v>TÖÖVILJAKUSE MUUTUS 2015...2030 VS BAAS</v>
      </c>
      <c r="R1" s="299" t="str">
        <f t="array" ref="R1">INDEX(data!$C$67:$D$107,MATCH(PJ!R$3,data!$D$67:$D$107,0),1)</f>
        <v>TÖÖHÕIVE MUUTUS 2015...2030 VS BAAS</v>
      </c>
      <c r="S1" s="299" t="str">
        <f t="array" ref="S1">INDEX(data!$C$67:$D$107,MATCH(PJ!S$3,data!$D$67:$D$107,0),1)</f>
        <v>PM2.5 @ 2030</v>
      </c>
      <c r="T1" s="299" t="str">
        <f t="array" ref="T1">INDEX(data!$C$67:$D$107,MATCH(PJ!T$3,data!$D$67:$D$107,0),1)</f>
        <v>Mõju inimese tervisele @ 2030 [kDALY]</v>
      </c>
      <c r="U1" s="299" t="str">
        <f t="array" ref="U1">INDEX(data!$C$67:$D$107,MATCH(PJ!U$3,data!$D$67:$D$107,0),1)</f>
        <v>PRIMAARENERGIA/SKP 2015...2030 VS BAAS</v>
      </c>
      <c r="V1" s="299" t="str">
        <f t="array" ref="V1">INDEX(data!$C$67:$D$107,MATCH(PJ!V$3,data!$D$67:$D$107,0),1)</f>
        <v>FOS. KÜTUSTED/SKP 2015...2030 VS BAAS</v>
      </c>
      <c r="W1" s="299" t="str">
        <f t="array" ref="W1">INDEX(data!$C$67:$D$107,MATCH(PJ!W$3,data!$D$67:$D$107,0),1)</f>
        <v>CO2 KOGUEMISSIOON/SKP 2015...2030 VS BAAS</v>
      </c>
      <c r="X1" s="299" t="str">
        <f t="array" ref="X1">INDEX(data!$C$67:$D$107,MATCH(PJ!X$3,data!$D$67:$D$107,0),1)</f>
        <v>KHG @ 2030 [Mton/a]</v>
      </c>
      <c r="Y1" s="299" t="str">
        <f t="array" ref="Y1">INDEX(data!$C$67:$D$107,MATCH(PJ!Y$3,data!$D$67:$D$107,0),1)</f>
        <v>CO2 ETS @ 2030 [Mton/a]</v>
      </c>
      <c r="Z1" s="299" t="str">
        <f t="array" ref="Z1">INDEX(data!$C$67:$D$107,MATCH(PJ!Z$3,data!$D$67:$D$107,0),1)</f>
        <v>CO2 non-ETS @ 2030 [Mton/a]</v>
      </c>
      <c r="AA1" s="299" t="str">
        <f t="array" ref="AA1">INDEX(data!$C$67:$D$107,MATCH(PJ!AA$3,data!$D$67:$D$107,0),1)</f>
        <v>NOx [kt] @ 2030</v>
      </c>
      <c r="AB1" s="299" t="str">
        <f t="array" ref="AB1">INDEX(data!$C$67:$D$107,MATCH(PJ!AB$3,data!$D$67:$D$107,0),1)</f>
        <v>SO2 [kt] @ 2030</v>
      </c>
      <c r="AC1" s="299" t="str">
        <f t="array" ref="AC1">INDEX(data!$C$67:$D$107,MATCH(PJ!AC$3,data!$D$67:$D$107,0),1)</f>
        <v>Ökosüsteemi kvaliteet [Species*y]</v>
      </c>
      <c r="AD1" s="299" t="str">
        <f t="array" ref="AD1">INDEX(data!$C$67:$D$107,MATCH(PJ!AD$3,data!$D$67:$D$107,0),1)</f>
        <v>Mõju globaalsele soojenemisele</v>
      </c>
      <c r="AE1" s="299" t="str">
        <f t="array" ref="AE1">INDEX(data!$C$67:$D$107,MATCH(PJ!AE$3,data!$D$67:$D$107,0),1)</f>
        <v>Ressursside ammendumine</v>
      </c>
      <c r="AF1" s="299" t="str">
        <f t="array" ref="AF1">INDEX(data!$C$67:$D$107,MATCH(PJ!AF$3,data!$D$67:$D$107,0),1)</f>
        <v>Keskkonnamõju kokku [Pt]</v>
      </c>
      <c r="AG1" s="299" t="str">
        <f t="array" ref="AG1">INDEX(data!$C$67:$D$107,MATCH(PJ!AG$3,data!$D$67:$D$107,0),1)</f>
        <v>PM2.5-st tingitud varajaste surmajuhtumite arv @ 2030</v>
      </c>
      <c r="AH1" s="299" t="str">
        <f t="array" ref="AH1">INDEX(data!$C$67:$D$107,MATCH(PJ!AH$3,data!$D$67:$D$107,0),1)</f>
        <v>LOÜ @ 2030 [1000 t]</v>
      </c>
      <c r="AI1" s="299" t="str">
        <f t="array" ref="AI1">INDEX(data!$C$67:$D$107,MATCH(PJ!AI$3,data!$D$67:$D$107,0),1)</f>
        <v>Primaarenergiaga varustatus @ 2030</v>
      </c>
      <c r="AJ1" s="299" t="str">
        <f t="array" ref="AJ1">INDEX(data!$C$67:$D$107,MATCH(PJ!AJ$3,data!$D$67:$D$107,0),1)</f>
        <v>Kütusevabade taastuvate allikate osakaal energia lõpptarbimisest @ 2030</v>
      </c>
      <c r="AK1" s="299" t="str">
        <f t="array" ref="AK1">INDEX(data!$C$67:$D$107,MATCH(PJ!AK$3,data!$D$67:$D$107,0),1)</f>
        <v>Taastuvate allikate osakaal energia lõpptarbimisest @ 2030</v>
      </c>
      <c r="AL1" s="299" t="str">
        <f t="array" ref="AL1">INDEX(data!$C$67:$D$107,MATCH(PJ!AL$3,data!$D$67:$D$107,0),1)</f>
        <v>Puitkütuste kogutarbimine @2030, mln tm/a</v>
      </c>
      <c r="AM1" s="299" t="str">
        <f t="array" ref="AM1">INDEX(data!$C$67:$D$107,MATCH(PJ!AM$3,data!$D$67:$D$107,0),1)</f>
        <v>KHG (CO2 eq) @ 2050</v>
      </c>
      <c r="AN1" s="299" t="str">
        <f t="array" ref="AN1">INDEX(data!$C$67:$D$107,MATCH(PJ!AN$3,data!$D$67:$D$107,0),1)</f>
        <v>PAH @ 2030 [1000 t]</v>
      </c>
      <c r="AO1" s="299" t="str">
        <f t="array" ref="AO1">INDEX(data!$C$67:$D$107,MATCH(PJ!AO$3,data!$D$67:$D$107,0),1)</f>
        <v>HCB @ 2030 [kg]</v>
      </c>
    </row>
    <row r="2" spans="2:90" s="25" customFormat="1" x14ac:dyDescent="0.2">
      <c r="B2" s="25">
        <v>2030</v>
      </c>
      <c r="D2" s="25">
        <f>VLOOKUP(PJ!D$3,data!$D$67:$E$107,2,FALSE)</f>
        <v>0</v>
      </c>
      <c r="E2" s="25">
        <f>VLOOKUP(PJ!E$3,data!$D$67:$E$107,2,FALSE)</f>
        <v>0</v>
      </c>
      <c r="F2" s="25">
        <f>VLOOKUP(PJ!F$3,data!$D$67:$E$107,2,FALSE)</f>
        <v>0</v>
      </c>
      <c r="G2" s="25">
        <f>VLOOKUP(PJ!G$3,data!$D$67:$E$107,2,FALSE)</f>
        <v>1</v>
      </c>
      <c r="H2" s="25">
        <f>VLOOKUP(PJ!H$3,data!$D$67:$E$107,2,FALSE)</f>
        <v>0</v>
      </c>
      <c r="I2" s="25">
        <f>VLOOKUP(PJ!I$3,data!$D$67:$E$107,2,FALSE)</f>
        <v>0</v>
      </c>
      <c r="J2" s="25">
        <f>VLOOKUP(PJ!J$3,data!$D$67:$E$107,2,FALSE)</f>
        <v>1</v>
      </c>
      <c r="K2" s="25">
        <f>VLOOKUP(PJ!K$3,data!$D$67:$E$107,2,FALSE)</f>
        <v>1</v>
      </c>
      <c r="L2" s="25">
        <f>VLOOKUP(PJ!L$3,data!$D$67:$E$107,2,FALSE)</f>
        <v>1</v>
      </c>
      <c r="M2" s="25">
        <f>VLOOKUP(PJ!M$3,data!$D$67:$E$107,2,FALSE)</f>
        <v>1</v>
      </c>
      <c r="N2" s="25">
        <f>VLOOKUP(PJ!N$3,data!$D$67:$E$107,2,FALSE)</f>
        <v>0</v>
      </c>
      <c r="O2" s="25">
        <f>VLOOKUP(PJ!O$3,data!$D$67:$E$107,2,FALSE)</f>
        <v>0</v>
      </c>
      <c r="P2" s="25">
        <f>VLOOKUP(PJ!P$3,data!$D$67:$E$107,2,FALSE)</f>
        <v>0</v>
      </c>
      <c r="Q2" s="25">
        <f>VLOOKUP(PJ!Q$3,data!$D$67:$E$107,2,FALSE)</f>
        <v>0</v>
      </c>
      <c r="R2" s="25">
        <f>VLOOKUP(PJ!R$3,data!$D$67:$E$107,2,FALSE)</f>
        <v>0</v>
      </c>
      <c r="S2" s="25">
        <f>VLOOKUP(PJ!S$3,data!$D$67:$E$107,2,FALSE)</f>
        <v>1</v>
      </c>
      <c r="T2" s="25">
        <f>VLOOKUP(PJ!T$3,data!$D$67:$E$107,2,FALSE)</f>
        <v>1</v>
      </c>
      <c r="U2" s="25">
        <f>VLOOKUP(PJ!U$3,data!$D$67:$E$107,2,FALSE)</f>
        <v>1</v>
      </c>
      <c r="V2" s="25">
        <f>VLOOKUP(PJ!V$3,data!$D$67:$E$107,2,FALSE)</f>
        <v>1</v>
      </c>
      <c r="W2" s="25">
        <f>VLOOKUP(PJ!W$3,data!$D$67:$E$107,2,FALSE)</f>
        <v>1</v>
      </c>
      <c r="X2" s="25">
        <f>VLOOKUP(PJ!X$3,data!$D$67:$E$107,2,FALSE)</f>
        <v>1</v>
      </c>
      <c r="Y2" s="25">
        <f>VLOOKUP(PJ!Y$3,data!$D$67:$E$107,2,FALSE)</f>
        <v>1</v>
      </c>
      <c r="Z2" s="25">
        <f>VLOOKUP(PJ!Z$3,data!$D$67:$E$107,2,FALSE)</f>
        <v>1</v>
      </c>
      <c r="AA2" s="25">
        <f>VLOOKUP(PJ!AA$3,data!$D$67:$E$107,2,FALSE)</f>
        <v>1</v>
      </c>
      <c r="AB2" s="25">
        <f>VLOOKUP(PJ!AB$3,data!$D$67:$E$107,2,FALSE)</f>
        <v>1</v>
      </c>
      <c r="AC2" s="25">
        <f>VLOOKUP(PJ!AC$3,data!$D$67:$E$107,2,FALSE)</f>
        <v>1</v>
      </c>
      <c r="AD2" s="25">
        <f>VLOOKUP(PJ!AD$3,data!$D$67:$E$107,2,FALSE)</f>
        <v>1</v>
      </c>
      <c r="AE2" s="25">
        <f>VLOOKUP(PJ!AE$3,data!$D$67:$E$107,2,FALSE)</f>
        <v>1</v>
      </c>
      <c r="AF2" s="25">
        <f>VLOOKUP(PJ!AF$3,data!$D$67:$E$107,2,FALSE)</f>
        <v>1</v>
      </c>
      <c r="AG2" s="25">
        <f>VLOOKUP(PJ!AG$3,data!$D$67:$E$107,2,FALSE)</f>
        <v>1</v>
      </c>
      <c r="AH2" s="25">
        <f>VLOOKUP(PJ!AH$3,data!$D$67:$E$107,2,FALSE)</f>
        <v>1</v>
      </c>
      <c r="AI2" s="25">
        <f>VLOOKUP(PJ!AI$3,data!$D$67:$E$107,2,FALSE)</f>
        <v>1</v>
      </c>
      <c r="AJ2" s="25">
        <f>VLOOKUP(PJ!AJ$3,data!$D$67:$E$107,2,FALSE)</f>
        <v>0</v>
      </c>
      <c r="AK2" s="25">
        <f>VLOOKUP(PJ!AK$3,data!$D$67:$E$107,2,FALSE)</f>
        <v>0</v>
      </c>
      <c r="AL2" s="25">
        <f>VLOOKUP(PJ!AL$3,data!$D$67:$E$107,2,FALSE)</f>
        <v>0</v>
      </c>
      <c r="AM2" s="25">
        <f>VLOOKUP(PJ!AM$3,data!$D$67:$E$107,2,FALSE)</f>
        <v>1</v>
      </c>
      <c r="AN2" s="25">
        <f>VLOOKUP(PJ!AN$3,data!$D$67:$E$107,2,FALSE)</f>
        <v>1</v>
      </c>
      <c r="AO2" s="25">
        <f>VLOOKUP(PJ!AO$3,data!$D$67:$E$107,2,FALSE)</f>
        <v>1</v>
      </c>
    </row>
    <row r="3" spans="2:90" ht="30" x14ac:dyDescent="0.2">
      <c r="D3" s="25">
        <v>26</v>
      </c>
      <c r="E3" s="25">
        <v>152</v>
      </c>
      <c r="F3" s="25">
        <v>157</v>
      </c>
      <c r="G3" s="25">
        <v>155</v>
      </c>
      <c r="H3" s="25">
        <v>156</v>
      </c>
      <c r="I3" s="25">
        <v>127</v>
      </c>
      <c r="J3" s="25">
        <v>47</v>
      </c>
      <c r="K3" s="25">
        <v>83</v>
      </c>
      <c r="L3" s="25">
        <v>85</v>
      </c>
      <c r="M3" s="25">
        <v>150</v>
      </c>
      <c r="N3" s="25">
        <v>48</v>
      </c>
      <c r="O3" s="25">
        <v>19</v>
      </c>
      <c r="P3" s="25">
        <v>20</v>
      </c>
      <c r="Q3" s="25">
        <v>21</v>
      </c>
      <c r="R3" s="25">
        <v>22</v>
      </c>
      <c r="S3" s="25">
        <v>81</v>
      </c>
      <c r="T3" s="25">
        <v>88</v>
      </c>
      <c r="U3" s="25">
        <v>23</v>
      </c>
      <c r="V3" s="25">
        <v>24</v>
      </c>
      <c r="W3" s="25">
        <v>25</v>
      </c>
      <c r="X3" s="25">
        <v>80</v>
      </c>
      <c r="Y3" s="25">
        <v>17</v>
      </c>
      <c r="Z3" s="25">
        <v>18</v>
      </c>
      <c r="AA3" s="25">
        <v>78</v>
      </c>
      <c r="AB3" s="25">
        <v>79</v>
      </c>
      <c r="AC3" s="25">
        <v>89</v>
      </c>
      <c r="AD3" s="25">
        <v>90</v>
      </c>
      <c r="AE3" s="25">
        <v>91</v>
      </c>
      <c r="AF3" s="25">
        <v>92</v>
      </c>
      <c r="AG3" s="25">
        <v>153</v>
      </c>
      <c r="AH3" s="25">
        <v>82</v>
      </c>
      <c r="AI3" s="87">
        <v>123</v>
      </c>
      <c r="AJ3" s="87">
        <v>124</v>
      </c>
      <c r="AK3" s="87">
        <v>125</v>
      </c>
      <c r="AL3" s="87">
        <v>131</v>
      </c>
      <c r="AM3" s="25">
        <v>120</v>
      </c>
      <c r="AN3" s="25">
        <v>129</v>
      </c>
      <c r="AO3" s="25">
        <v>130</v>
      </c>
      <c r="AS3" s="296" t="s">
        <v>544</v>
      </c>
      <c r="AT3" s="454" t="s">
        <v>545</v>
      </c>
      <c r="AU3" s="454"/>
      <c r="AV3" s="453" t="s">
        <v>543</v>
      </c>
      <c r="AW3" s="453"/>
      <c r="AX3" s="453"/>
      <c r="AY3" s="453"/>
      <c r="BA3" s="25">
        <v>26</v>
      </c>
      <c r="BB3" s="25">
        <v>152</v>
      </c>
      <c r="BC3" s="25">
        <v>157</v>
      </c>
      <c r="BD3" s="25">
        <v>155</v>
      </c>
      <c r="BE3" s="25">
        <v>156</v>
      </c>
      <c r="BF3" s="25">
        <v>127</v>
      </c>
      <c r="BG3" s="25">
        <v>47</v>
      </c>
      <c r="BH3" s="25">
        <v>83</v>
      </c>
      <c r="BI3" s="25">
        <v>85</v>
      </c>
      <c r="BJ3" s="25">
        <v>150</v>
      </c>
      <c r="BK3" s="25">
        <v>48</v>
      </c>
      <c r="BL3" s="25">
        <v>19</v>
      </c>
      <c r="BM3" s="25">
        <v>20</v>
      </c>
      <c r="BN3" s="25">
        <v>21</v>
      </c>
      <c r="BO3" s="25">
        <v>22</v>
      </c>
      <c r="BP3" s="25">
        <v>81</v>
      </c>
      <c r="BQ3" s="25">
        <v>88</v>
      </c>
      <c r="BR3" s="25">
        <v>23</v>
      </c>
      <c r="BS3" s="25">
        <v>24</v>
      </c>
      <c r="BT3" s="25">
        <v>25</v>
      </c>
      <c r="BU3" s="25">
        <v>80</v>
      </c>
      <c r="BV3" s="25">
        <v>17</v>
      </c>
      <c r="BW3" s="25">
        <v>18</v>
      </c>
      <c r="BX3" s="25">
        <v>78</v>
      </c>
      <c r="BY3" s="25">
        <v>79</v>
      </c>
      <c r="BZ3" s="25">
        <v>89</v>
      </c>
      <c r="CA3" s="25">
        <v>90</v>
      </c>
      <c r="CB3" s="25">
        <v>91</v>
      </c>
      <c r="CC3" s="25">
        <v>92</v>
      </c>
      <c r="CD3" s="25">
        <v>153</v>
      </c>
      <c r="CE3" s="25">
        <v>82</v>
      </c>
      <c r="CF3" s="87">
        <v>123</v>
      </c>
      <c r="CG3" s="87">
        <v>124</v>
      </c>
      <c r="CH3" s="87">
        <v>125</v>
      </c>
      <c r="CI3" s="87">
        <v>131</v>
      </c>
      <c r="CJ3" s="25">
        <v>120</v>
      </c>
      <c r="CK3" s="25">
        <v>129</v>
      </c>
      <c r="CL3" s="25">
        <v>130</v>
      </c>
    </row>
    <row r="4" spans="2:90" x14ac:dyDescent="0.2">
      <c r="C4" s="184">
        <v>1</v>
      </c>
      <c r="E4" s="25"/>
      <c r="F4" s="25"/>
      <c r="G4" s="25"/>
      <c r="H4" s="25"/>
      <c r="I4" s="25"/>
      <c r="J4" s="25"/>
      <c r="K4" s="25"/>
      <c r="L4" s="25"/>
      <c r="M4" s="25"/>
      <c r="N4" s="25"/>
      <c r="O4" s="25"/>
      <c r="P4" s="25"/>
      <c r="Q4" s="25"/>
      <c r="R4" s="25"/>
      <c r="S4" s="25"/>
      <c r="T4" s="25"/>
      <c r="U4" s="25"/>
      <c r="V4" s="25"/>
      <c r="W4" s="25"/>
      <c r="X4" s="25"/>
      <c r="Y4" s="25"/>
      <c r="Z4" s="25"/>
      <c r="AA4" s="25"/>
      <c r="AB4" s="25"/>
      <c r="AC4" s="25"/>
      <c r="AD4" s="25"/>
      <c r="AE4" s="25"/>
      <c r="AF4" s="25"/>
      <c r="AG4" s="25"/>
      <c r="AH4" s="25"/>
      <c r="AO4" s="25">
        <v>10000</v>
      </c>
      <c r="AS4" s="297">
        <f>SUM(D4:AO4)</f>
        <v>10000</v>
      </c>
      <c r="AT4" s="25">
        <f t="shared" ref="AT4:AT35" si="0">SMALL($AS$4:$AS$138,ROW(1:1))</f>
        <v>115</v>
      </c>
      <c r="AU4" s="25">
        <f t="shared" ref="AU4:AU35" si="1">INDEX($C$2:$AS$138,MATCH($AT4,$AS$2:$AS$138,0),1)</f>
        <v>124</v>
      </c>
      <c r="AV4" s="295" t="str">
        <f>VLOOKUP(VLOOKUP($AU4,KOMBI!$A:$H,3,FALSE),data!$I$27:$J$29,2,FALSE)</f>
        <v>Sekkuv/EÜ</v>
      </c>
      <c r="AW4" s="295" t="str">
        <f>VLOOKUP(VLOOKUP($AU4,KOMBI!$A:$H,2,FALSE),data!$I$21:$J$23,2,FALSE)</f>
        <v>Sekkuv</v>
      </c>
      <c r="AX4" s="295" t="str">
        <f>VLOOKUP(VLOOKUP($AU4,KOMBI!$A:$H,5,FALSE),data!$I$39:$J$41,2,FALSE)</f>
        <v>Mittesekkuv</v>
      </c>
      <c r="AY4" s="295" t="str">
        <f>VLOOKUP(VLOOKUP($AU4,KOMBI!$A:$H,4,FALSE),data!$I$32:$J$36,2,FALSE)</f>
        <v>LIB+</v>
      </c>
      <c r="BB4" s="25"/>
      <c r="BC4" s="25"/>
      <c r="BD4" s="25"/>
      <c r="BE4" s="25"/>
      <c r="BF4" s="25"/>
      <c r="BG4" s="25"/>
      <c r="BH4" s="25"/>
      <c r="BI4" s="25"/>
      <c r="BJ4" s="25"/>
      <c r="BK4" s="25"/>
      <c r="BL4" s="25"/>
      <c r="BM4" s="25"/>
      <c r="BN4" s="25"/>
      <c r="BO4" s="25"/>
      <c r="BP4" s="25"/>
      <c r="BQ4" s="25"/>
      <c r="BR4" s="25"/>
      <c r="BS4" s="25"/>
      <c r="BT4" s="25"/>
      <c r="BU4" s="25"/>
      <c r="BV4" s="25"/>
      <c r="BW4" s="25"/>
      <c r="BX4" s="25"/>
      <c r="BY4" s="25"/>
      <c r="BZ4" s="25"/>
      <c r="CA4" s="25"/>
      <c r="CB4" s="25"/>
      <c r="CC4" s="25"/>
      <c r="CD4" s="25"/>
      <c r="CE4" s="25"/>
      <c r="CF4" s="25"/>
      <c r="CG4" s="25"/>
      <c r="CH4" s="25"/>
      <c r="CI4" s="25"/>
      <c r="CJ4" s="25"/>
      <c r="CK4" s="25"/>
      <c r="CL4" s="25"/>
    </row>
    <row r="5" spans="2:90" x14ac:dyDescent="0.2">
      <c r="C5" s="184">
        <v>2</v>
      </c>
      <c r="D5" s="25"/>
      <c r="E5" s="25"/>
      <c r="F5" s="25"/>
      <c r="G5" s="25"/>
      <c r="H5" s="25"/>
      <c r="I5" s="25"/>
      <c r="J5" s="25"/>
      <c r="K5" s="25"/>
      <c r="L5" s="25"/>
      <c r="M5" s="25"/>
      <c r="N5" s="25"/>
      <c r="O5" s="25"/>
      <c r="P5" s="25"/>
      <c r="Q5" s="25"/>
      <c r="R5" s="25"/>
      <c r="S5" s="25"/>
      <c r="T5" s="25"/>
      <c r="U5" s="25"/>
      <c r="V5" s="25"/>
      <c r="W5" s="25"/>
      <c r="X5" s="25"/>
      <c r="Y5" s="25"/>
      <c r="Z5" s="25"/>
      <c r="AA5" s="25"/>
      <c r="AB5" s="25"/>
      <c r="AC5" s="25"/>
      <c r="AD5" s="25"/>
      <c r="AE5" s="25"/>
      <c r="AF5" s="25"/>
      <c r="AG5" s="25"/>
      <c r="AH5" s="25"/>
      <c r="AO5" s="25">
        <v>10000</v>
      </c>
      <c r="AS5" s="297">
        <f t="shared" ref="AS5:AS68" si="2">SUM(D5:AO5)</f>
        <v>10000</v>
      </c>
      <c r="AT5" s="25">
        <f t="shared" si="0"/>
        <v>126</v>
      </c>
      <c r="AU5" s="25">
        <f t="shared" si="1"/>
        <v>125</v>
      </c>
      <c r="AV5" s="295" t="str">
        <f>VLOOKUP(VLOOKUP($AU5,KOMBI!$A:$H,3,FALSE),data!$I$27:$J$29,2,FALSE)</f>
        <v>Sekkuv/EÜ</v>
      </c>
      <c r="AW5" s="295" t="str">
        <f>VLOOKUP(VLOOKUP($AU5,KOMBI!$A:$H,2,FALSE),data!$I$21:$J$23,2,FALSE)</f>
        <v>Sekkuv</v>
      </c>
      <c r="AX5" s="295" t="str">
        <f>VLOOKUP(VLOOKUP($AU5,KOMBI!$A:$H,5,FALSE),data!$I$39:$J$41,2,FALSE)</f>
        <v>Vähe-sekkuv</v>
      </c>
      <c r="AY5" s="295" t="str">
        <f>VLOOKUP(VLOOKUP($AU5,KOMBI!$A:$H,4,FALSE),data!$I$32:$J$36,2,FALSE)</f>
        <v>LIB+</v>
      </c>
      <c r="BA5" s="25"/>
      <c r="BB5" s="25"/>
      <c r="BC5" s="25"/>
      <c r="BD5" s="25"/>
      <c r="BE5" s="25"/>
      <c r="BF5" s="25"/>
      <c r="BG5" s="25"/>
      <c r="BH5" s="25"/>
      <c r="BI5" s="25"/>
      <c r="BJ5" s="25"/>
      <c r="BK5" s="25"/>
      <c r="BL5" s="25"/>
      <c r="BM5" s="25"/>
      <c r="BN5" s="25"/>
      <c r="BO5" s="25"/>
      <c r="BP5" s="25"/>
      <c r="BQ5" s="25"/>
      <c r="BR5" s="25"/>
      <c r="BS5" s="25"/>
      <c r="BT5" s="25"/>
      <c r="BU5" s="25"/>
      <c r="BV5" s="25"/>
      <c r="BW5" s="25"/>
      <c r="BX5" s="25"/>
      <c r="BY5" s="25"/>
      <c r="BZ5" s="25"/>
      <c r="CA5" s="25"/>
      <c r="CB5" s="25"/>
      <c r="CC5" s="25"/>
      <c r="CD5" s="25"/>
      <c r="CE5" s="25"/>
      <c r="CF5" s="25"/>
      <c r="CG5" s="25"/>
      <c r="CH5" s="25"/>
      <c r="CI5" s="25"/>
      <c r="CJ5" s="25"/>
      <c r="CK5" s="25"/>
      <c r="CL5" s="25"/>
    </row>
    <row r="6" spans="2:90" x14ac:dyDescent="0.2">
      <c r="C6" s="184">
        <v>3</v>
      </c>
      <c r="D6" s="25"/>
      <c r="E6" s="25"/>
      <c r="F6" s="25"/>
      <c r="G6" s="25"/>
      <c r="H6" s="25"/>
      <c r="I6" s="25"/>
      <c r="J6" s="25"/>
      <c r="K6" s="25"/>
      <c r="L6" s="25"/>
      <c r="M6" s="25"/>
      <c r="N6" s="25"/>
      <c r="O6" s="25"/>
      <c r="P6" s="25"/>
      <c r="Q6" s="25"/>
      <c r="R6" s="25"/>
      <c r="S6" s="25"/>
      <c r="T6" s="25"/>
      <c r="U6" s="25"/>
      <c r="V6" s="25"/>
      <c r="W6" s="25"/>
      <c r="X6" s="25"/>
      <c r="Y6" s="25"/>
      <c r="Z6" s="25"/>
      <c r="AA6" s="25"/>
      <c r="AB6" s="25"/>
      <c r="AC6" s="25"/>
      <c r="AD6" s="25"/>
      <c r="AE6" s="25"/>
      <c r="AF6" s="25"/>
      <c r="AG6" s="25"/>
      <c r="AH6" s="25"/>
      <c r="AO6" s="25">
        <v>10000</v>
      </c>
      <c r="AS6" s="297">
        <f t="shared" si="2"/>
        <v>10000</v>
      </c>
      <c r="AT6" s="25">
        <f t="shared" si="0"/>
        <v>130</v>
      </c>
      <c r="AU6" s="25">
        <f t="shared" si="1"/>
        <v>130</v>
      </c>
      <c r="AV6" s="295" t="str">
        <f>VLOOKUP(VLOOKUP($AU6,KOMBI!$A:$H,3,FALSE),data!$I$27:$J$29,2,FALSE)</f>
        <v>Sekkuv/EÜ</v>
      </c>
      <c r="AW6" s="295" t="str">
        <f>VLOOKUP(VLOOKUP($AU6,KOMBI!$A:$H,2,FALSE),data!$I$21:$J$23,2,FALSE)</f>
        <v>Sekkuv</v>
      </c>
      <c r="AX6" s="295" t="str">
        <f>VLOOKUP(VLOOKUP($AU6,KOMBI!$A:$H,5,FALSE),data!$I$39:$J$41,2,FALSE)</f>
        <v>Mittesekkuv</v>
      </c>
      <c r="AY6" s="295" t="str">
        <f>VLOOKUP(VLOOKUP($AU6,KOMBI!$A:$H,4,FALSE),data!$I$32:$J$36,2,FALSE)</f>
        <v>TE++</v>
      </c>
      <c r="BA6" s="25"/>
      <c r="BB6" s="25"/>
      <c r="BC6" s="25"/>
      <c r="BD6" s="25"/>
      <c r="BE6" s="25"/>
      <c r="BF6" s="25"/>
      <c r="BG6" s="25"/>
      <c r="BH6" s="25"/>
      <c r="BI6" s="25"/>
      <c r="BJ6" s="25"/>
      <c r="BK6" s="25"/>
      <c r="BL6" s="25"/>
      <c r="BM6" s="25"/>
      <c r="BN6" s="25"/>
      <c r="BO6" s="25"/>
      <c r="BP6" s="25"/>
      <c r="BQ6" s="25"/>
      <c r="BR6" s="25"/>
      <c r="BS6" s="25"/>
      <c r="BT6" s="25"/>
      <c r="BU6" s="25"/>
      <c r="BV6" s="25"/>
      <c r="BW6" s="25"/>
      <c r="BX6" s="25"/>
      <c r="BY6" s="25"/>
      <c r="BZ6" s="25"/>
      <c r="CA6" s="25"/>
      <c r="CB6" s="25"/>
      <c r="CC6" s="25"/>
      <c r="CD6" s="25"/>
      <c r="CE6" s="25"/>
      <c r="CF6" s="25"/>
      <c r="CG6" s="25"/>
      <c r="CH6" s="25"/>
      <c r="CI6" s="25"/>
      <c r="CJ6" s="25"/>
      <c r="CK6" s="25"/>
      <c r="CL6" s="25"/>
    </row>
    <row r="7" spans="2:90" x14ac:dyDescent="0.2">
      <c r="C7" s="184">
        <v>4</v>
      </c>
      <c r="D7" s="25"/>
      <c r="E7" s="25"/>
      <c r="F7" s="25"/>
      <c r="G7" s="25"/>
      <c r="H7" s="25"/>
      <c r="I7" s="25"/>
      <c r="J7" s="25"/>
      <c r="K7" s="25"/>
      <c r="L7" s="25"/>
      <c r="M7" s="25"/>
      <c r="N7" s="25"/>
      <c r="O7" s="25"/>
      <c r="P7" s="25"/>
      <c r="Q7" s="25"/>
      <c r="R7" s="25"/>
      <c r="S7" s="25"/>
      <c r="T7" s="25"/>
      <c r="U7" s="25"/>
      <c r="V7" s="25"/>
      <c r="W7" s="25"/>
      <c r="X7" s="25"/>
      <c r="Y7" s="25"/>
      <c r="Z7" s="25"/>
      <c r="AA7" s="25"/>
      <c r="AB7" s="25"/>
      <c r="AC7" s="25"/>
      <c r="AD7" s="25"/>
      <c r="AE7" s="25"/>
      <c r="AF7" s="25"/>
      <c r="AG7" s="25"/>
      <c r="AH7" s="25"/>
      <c r="AO7" s="25">
        <v>10000</v>
      </c>
      <c r="AS7" s="297">
        <f t="shared" si="2"/>
        <v>10000</v>
      </c>
      <c r="AT7" s="25">
        <f t="shared" si="0"/>
        <v>132</v>
      </c>
      <c r="AU7" s="25">
        <f t="shared" si="1"/>
        <v>131</v>
      </c>
      <c r="AV7" s="295" t="str">
        <f>VLOOKUP(VLOOKUP($AU7,KOMBI!$A:$H,3,FALSE),data!$I$27:$J$29,2,FALSE)</f>
        <v>Sekkuv/EÜ</v>
      </c>
      <c r="AW7" s="295" t="str">
        <f>VLOOKUP(VLOOKUP($AU7,KOMBI!$A:$H,2,FALSE),data!$I$21:$J$23,2,FALSE)</f>
        <v>Sekkuv</v>
      </c>
      <c r="AX7" s="295" t="str">
        <f>VLOOKUP(VLOOKUP($AU7,KOMBI!$A:$H,5,FALSE),data!$I$39:$J$41,2,FALSE)</f>
        <v>Vähe-sekkuv</v>
      </c>
      <c r="AY7" s="295" t="str">
        <f>VLOOKUP(VLOOKUP($AU7,KOMBI!$A:$H,4,FALSE),data!$I$32:$J$36,2,FALSE)</f>
        <v>TE++</v>
      </c>
      <c r="BA7" s="25"/>
      <c r="BB7" s="25"/>
      <c r="BC7" s="25"/>
      <c r="BD7" s="25"/>
      <c r="BE7" s="25"/>
      <c r="BF7" s="25"/>
      <c r="BG7" s="25"/>
      <c r="BH7" s="25"/>
      <c r="BI7" s="25"/>
      <c r="BJ7" s="25"/>
      <c r="BK7" s="25"/>
      <c r="BL7" s="25"/>
      <c r="BM7" s="25"/>
      <c r="BN7" s="25"/>
      <c r="BO7" s="25"/>
      <c r="BP7" s="25"/>
      <c r="BQ7" s="25"/>
      <c r="BR7" s="25"/>
      <c r="BS7" s="25"/>
      <c r="BT7" s="25"/>
      <c r="BU7" s="25"/>
      <c r="BV7" s="25"/>
      <c r="BW7" s="25"/>
      <c r="BX7" s="25"/>
      <c r="BY7" s="25"/>
      <c r="BZ7" s="25"/>
      <c r="CA7" s="25"/>
      <c r="CB7" s="25"/>
      <c r="CC7" s="25"/>
      <c r="CD7" s="25"/>
      <c r="CE7" s="25"/>
      <c r="CF7" s="25"/>
      <c r="CG7" s="25"/>
      <c r="CH7" s="25"/>
      <c r="CI7" s="25"/>
      <c r="CJ7" s="25"/>
      <c r="CK7" s="25"/>
      <c r="CL7" s="25"/>
    </row>
    <row r="8" spans="2:90" x14ac:dyDescent="0.2">
      <c r="C8" s="184">
        <v>5</v>
      </c>
      <c r="D8" s="25"/>
      <c r="E8" s="25"/>
      <c r="F8" s="25"/>
      <c r="G8" s="25"/>
      <c r="H8" s="25"/>
      <c r="I8" s="25"/>
      <c r="J8" s="25"/>
      <c r="K8" s="25"/>
      <c r="L8" s="25"/>
      <c r="M8" s="25"/>
      <c r="N8" s="25"/>
      <c r="O8" s="25"/>
      <c r="P8" s="25"/>
      <c r="Q8" s="25"/>
      <c r="R8" s="25"/>
      <c r="S8" s="25"/>
      <c r="T8" s="25"/>
      <c r="U8" s="25"/>
      <c r="V8" s="25"/>
      <c r="W8" s="25"/>
      <c r="X8" s="25"/>
      <c r="Y8" s="25"/>
      <c r="Z8" s="25"/>
      <c r="AA8" s="25"/>
      <c r="AB8" s="25"/>
      <c r="AC8" s="25"/>
      <c r="AD8" s="25"/>
      <c r="AE8" s="25"/>
      <c r="AF8" s="25"/>
      <c r="AG8" s="25"/>
      <c r="AH8" s="25"/>
      <c r="AO8" s="25">
        <v>10000</v>
      </c>
      <c r="AS8" s="297">
        <f t="shared" si="2"/>
        <v>10000</v>
      </c>
      <c r="AT8" s="25">
        <f t="shared" si="0"/>
        <v>144</v>
      </c>
      <c r="AU8" s="25">
        <f t="shared" si="1"/>
        <v>127</v>
      </c>
      <c r="AV8" s="295" t="str">
        <f>VLOOKUP(VLOOKUP($AU8,KOMBI!$A:$H,3,FALSE),data!$I$27:$J$29,2,FALSE)</f>
        <v>Sekkuv/EÜ</v>
      </c>
      <c r="AW8" s="295" t="str">
        <f>VLOOKUP(VLOOKUP($AU8,KOMBI!$A:$H,2,FALSE),data!$I$21:$J$23,2,FALSE)</f>
        <v>Sekkuv</v>
      </c>
      <c r="AX8" s="295" t="str">
        <f>VLOOKUP(VLOOKUP($AU8,KOMBI!$A:$H,5,FALSE),data!$I$39:$J$41,2,FALSE)</f>
        <v>Mittesekkuv</v>
      </c>
      <c r="AY8" s="295" t="str">
        <f>VLOOKUP(VLOOKUP($AU8,KOMBI!$A:$H,4,FALSE),data!$I$32:$J$36,2,FALSE)</f>
        <v>TE</v>
      </c>
      <c r="BA8" s="25"/>
      <c r="BB8" s="25"/>
      <c r="BC8" s="25"/>
      <c r="BD8" s="25"/>
      <c r="BE8" s="25"/>
      <c r="BF8" s="25"/>
      <c r="BG8" s="25"/>
      <c r="BH8" s="25"/>
      <c r="BI8" s="25"/>
      <c r="BJ8" s="25"/>
      <c r="BK8" s="25"/>
      <c r="BL8" s="25"/>
      <c r="BM8" s="25"/>
      <c r="BN8" s="25"/>
      <c r="BO8" s="25"/>
      <c r="BP8" s="25"/>
      <c r="BQ8" s="25"/>
      <c r="BR8" s="25"/>
      <c r="BS8" s="25"/>
      <c r="BT8" s="25"/>
      <c r="BU8" s="25"/>
      <c r="BV8" s="25"/>
      <c r="BW8" s="25"/>
      <c r="BX8" s="25"/>
      <c r="BY8" s="25"/>
      <c r="BZ8" s="25"/>
      <c r="CA8" s="25"/>
      <c r="CB8" s="25"/>
      <c r="CC8" s="25"/>
      <c r="CD8" s="25"/>
      <c r="CE8" s="25"/>
      <c r="CF8" s="25"/>
      <c r="CG8" s="25"/>
      <c r="CH8" s="25"/>
      <c r="CI8" s="25"/>
      <c r="CJ8" s="25"/>
      <c r="CK8" s="25"/>
      <c r="CL8" s="25"/>
    </row>
    <row r="9" spans="2:90" x14ac:dyDescent="0.2">
      <c r="C9" s="184">
        <v>6</v>
      </c>
      <c r="D9" s="25"/>
      <c r="E9" s="25"/>
      <c r="F9" s="25"/>
      <c r="G9" s="25"/>
      <c r="H9" s="25"/>
      <c r="I9" s="25"/>
      <c r="J9" s="25"/>
      <c r="K9" s="25"/>
      <c r="L9" s="25"/>
      <c r="M9" s="25"/>
      <c r="N9" s="25"/>
      <c r="O9" s="25"/>
      <c r="P9" s="25"/>
      <c r="Q9" s="25"/>
      <c r="R9" s="25"/>
      <c r="S9" s="25"/>
      <c r="T9" s="25"/>
      <c r="U9" s="25"/>
      <c r="V9" s="25"/>
      <c r="W9" s="25"/>
      <c r="X9" s="25"/>
      <c r="Y9" s="25"/>
      <c r="Z9" s="25"/>
      <c r="AA9" s="25"/>
      <c r="AB9" s="25"/>
      <c r="AC9" s="25"/>
      <c r="AD9" s="25"/>
      <c r="AE9" s="25"/>
      <c r="AF9" s="25"/>
      <c r="AG9" s="25"/>
      <c r="AH9" s="25"/>
      <c r="AO9" s="25">
        <v>10000</v>
      </c>
      <c r="AS9" s="297">
        <f t="shared" si="2"/>
        <v>10000</v>
      </c>
      <c r="AT9" s="25">
        <f t="shared" si="0"/>
        <v>144</v>
      </c>
      <c r="AU9" s="25">
        <f t="shared" si="1"/>
        <v>127</v>
      </c>
      <c r="AV9" s="295" t="str">
        <f>VLOOKUP(VLOOKUP($AU9,KOMBI!$A:$H,3,FALSE),data!$I$27:$J$29,2,FALSE)</f>
        <v>Sekkuv/EÜ</v>
      </c>
      <c r="AW9" s="295" t="str">
        <f>VLOOKUP(VLOOKUP($AU9,KOMBI!$A:$H,2,FALSE),data!$I$21:$J$23,2,FALSE)</f>
        <v>Sekkuv</v>
      </c>
      <c r="AX9" s="295" t="str">
        <f>VLOOKUP(VLOOKUP($AU9,KOMBI!$A:$H,5,FALSE),data!$I$39:$J$41,2,FALSE)</f>
        <v>Mittesekkuv</v>
      </c>
      <c r="AY9" s="295" t="str">
        <f>VLOOKUP(VLOOKUP($AU9,KOMBI!$A:$H,4,FALSE),data!$I$32:$J$36,2,FALSE)</f>
        <v>TE</v>
      </c>
      <c r="BA9" s="25"/>
      <c r="BB9" s="25"/>
      <c r="BC9" s="25"/>
      <c r="BD9" s="25"/>
      <c r="BE9" s="25"/>
      <c r="BF9" s="25"/>
      <c r="BG9" s="25"/>
      <c r="BH9" s="25"/>
      <c r="BI9" s="25"/>
      <c r="BJ9" s="25"/>
      <c r="BK9" s="25"/>
      <c r="BL9" s="25"/>
      <c r="BM9" s="25"/>
      <c r="BN9" s="25"/>
      <c r="BO9" s="25"/>
      <c r="BP9" s="25"/>
      <c r="BQ9" s="25"/>
      <c r="BR9" s="25"/>
      <c r="BS9" s="25"/>
      <c r="BT9" s="25"/>
      <c r="BU9" s="25"/>
      <c r="BV9" s="25"/>
      <c r="BW9" s="25"/>
      <c r="BX9" s="25"/>
      <c r="BY9" s="25"/>
      <c r="BZ9" s="25"/>
      <c r="CA9" s="25"/>
      <c r="CB9" s="25"/>
      <c r="CC9" s="25"/>
      <c r="CD9" s="25"/>
      <c r="CE9" s="25"/>
      <c r="CF9" s="25"/>
      <c r="CG9" s="25"/>
      <c r="CH9" s="25"/>
      <c r="CI9" s="25"/>
      <c r="CJ9" s="25"/>
      <c r="CK9" s="25"/>
      <c r="CL9" s="25"/>
    </row>
    <row r="10" spans="2:90" x14ac:dyDescent="0.2">
      <c r="C10" s="184">
        <v>7</v>
      </c>
      <c r="D10" s="25"/>
      <c r="E10" s="25"/>
      <c r="F10" s="25"/>
      <c r="G10" s="25"/>
      <c r="H10" s="25"/>
      <c r="I10" s="25"/>
      <c r="J10" s="25"/>
      <c r="K10" s="25"/>
      <c r="L10" s="25"/>
      <c r="M10" s="25"/>
      <c r="N10" s="25"/>
      <c r="O10" s="25"/>
      <c r="P10" s="25"/>
      <c r="Q10" s="25"/>
      <c r="R10" s="25"/>
      <c r="S10" s="25"/>
      <c r="T10" s="25"/>
      <c r="U10" s="25"/>
      <c r="V10" s="25"/>
      <c r="W10" s="25"/>
      <c r="X10" s="25"/>
      <c r="Y10" s="25"/>
      <c r="Z10" s="25"/>
      <c r="AA10" s="25"/>
      <c r="AB10" s="25"/>
      <c r="AC10" s="25"/>
      <c r="AD10" s="25"/>
      <c r="AE10" s="25"/>
      <c r="AF10" s="25"/>
      <c r="AG10" s="25"/>
      <c r="AH10" s="25"/>
      <c r="AO10" s="25">
        <v>10000</v>
      </c>
      <c r="AS10" s="297">
        <f t="shared" si="2"/>
        <v>10000</v>
      </c>
      <c r="AT10" s="25">
        <f t="shared" si="0"/>
        <v>145</v>
      </c>
      <c r="AU10" s="25">
        <f t="shared" si="1"/>
        <v>123</v>
      </c>
      <c r="AV10" s="295" t="str">
        <f>VLOOKUP(VLOOKUP($AU10,KOMBI!$A:$H,3,FALSE),data!$I$27:$J$29,2,FALSE)</f>
        <v>Sekkuv/EÜ</v>
      </c>
      <c r="AW10" s="295" t="str">
        <f>VLOOKUP(VLOOKUP($AU10,KOMBI!$A:$H,2,FALSE),data!$I$21:$J$23,2,FALSE)</f>
        <v>Sekkuv</v>
      </c>
      <c r="AX10" s="295" t="str">
        <f>VLOOKUP(VLOOKUP($AU10,KOMBI!$A:$H,5,FALSE),data!$I$39:$J$41,2,FALSE)</f>
        <v>Sekkuv</v>
      </c>
      <c r="AY10" s="295" t="str">
        <f>VLOOKUP(VLOOKUP($AU10,KOMBI!$A:$H,4,FALSE),data!$I$32:$J$36,2,FALSE)</f>
        <v>LIB</v>
      </c>
      <c r="BA10" s="25"/>
      <c r="BB10" s="25"/>
      <c r="BC10" s="25"/>
      <c r="BD10" s="25"/>
      <c r="BE10" s="25"/>
      <c r="BF10" s="25"/>
      <c r="BG10" s="25"/>
      <c r="BH10" s="25"/>
      <c r="BI10" s="25"/>
      <c r="BJ10" s="25"/>
      <c r="BK10" s="25"/>
      <c r="BL10" s="25"/>
      <c r="BM10" s="25"/>
      <c r="BN10" s="25"/>
      <c r="BO10" s="25"/>
      <c r="BP10" s="25"/>
      <c r="BQ10" s="25"/>
      <c r="BR10" s="25"/>
      <c r="BS10" s="25"/>
      <c r="BT10" s="25"/>
      <c r="BU10" s="25"/>
      <c r="BV10" s="25"/>
      <c r="BW10" s="25"/>
      <c r="BX10" s="25"/>
      <c r="BY10" s="25"/>
      <c r="BZ10" s="25"/>
      <c r="CA10" s="25"/>
      <c r="CB10" s="25"/>
      <c r="CC10" s="25"/>
      <c r="CD10" s="25"/>
      <c r="CE10" s="25"/>
      <c r="CF10" s="25"/>
      <c r="CG10" s="25"/>
      <c r="CH10" s="25"/>
      <c r="CI10" s="25"/>
      <c r="CJ10" s="25"/>
      <c r="CK10" s="25"/>
      <c r="CL10" s="25"/>
    </row>
    <row r="11" spans="2:90" x14ac:dyDescent="0.2">
      <c r="C11" s="184">
        <v>8</v>
      </c>
      <c r="D11" s="25"/>
      <c r="E11" s="25"/>
      <c r="F11" s="25"/>
      <c r="G11" s="25"/>
      <c r="H11" s="25"/>
      <c r="I11" s="25"/>
      <c r="J11" s="25"/>
      <c r="K11" s="25"/>
      <c r="L11" s="25"/>
      <c r="M11" s="25"/>
      <c r="N11" s="25"/>
      <c r="O11" s="25"/>
      <c r="P11" s="25"/>
      <c r="Q11" s="25"/>
      <c r="R11" s="25"/>
      <c r="S11" s="25"/>
      <c r="T11" s="25"/>
      <c r="U11" s="25"/>
      <c r="V11" s="25"/>
      <c r="W11" s="25"/>
      <c r="X11" s="25"/>
      <c r="Y11" s="25"/>
      <c r="Z11" s="25"/>
      <c r="AA11" s="25"/>
      <c r="AB11" s="25"/>
      <c r="AC11" s="25"/>
      <c r="AD11" s="25"/>
      <c r="AE11" s="25"/>
      <c r="AF11" s="25"/>
      <c r="AG11" s="25"/>
      <c r="AH11" s="25"/>
      <c r="AO11" s="25">
        <v>10000</v>
      </c>
      <c r="AS11" s="297">
        <f t="shared" si="2"/>
        <v>10000</v>
      </c>
      <c r="AT11" s="25">
        <f t="shared" si="0"/>
        <v>149</v>
      </c>
      <c r="AU11" s="25">
        <f t="shared" si="1"/>
        <v>126</v>
      </c>
      <c r="AV11" s="295" t="str">
        <f>VLOOKUP(VLOOKUP($AU11,KOMBI!$A:$H,3,FALSE),data!$I$27:$J$29,2,FALSE)</f>
        <v>Sekkuv/EÜ</v>
      </c>
      <c r="AW11" s="295" t="str">
        <f>VLOOKUP(VLOOKUP($AU11,KOMBI!$A:$H,2,FALSE),data!$I$21:$J$23,2,FALSE)</f>
        <v>Sekkuv</v>
      </c>
      <c r="AX11" s="295" t="str">
        <f>VLOOKUP(VLOOKUP($AU11,KOMBI!$A:$H,5,FALSE),data!$I$39:$J$41,2,FALSE)</f>
        <v>Sekkuv</v>
      </c>
      <c r="AY11" s="295" t="str">
        <f>VLOOKUP(VLOOKUP($AU11,KOMBI!$A:$H,4,FALSE),data!$I$32:$J$36,2,FALSE)</f>
        <v>LIB+</v>
      </c>
      <c r="BA11" s="25"/>
      <c r="BB11" s="25"/>
      <c r="BC11" s="25"/>
      <c r="BD11" s="25"/>
      <c r="BE11" s="25"/>
      <c r="BF11" s="25"/>
      <c r="BG11" s="25"/>
      <c r="BH11" s="25"/>
      <c r="BI11" s="25"/>
      <c r="BJ11" s="25"/>
      <c r="BK11" s="25"/>
      <c r="BL11" s="25"/>
      <c r="BM11" s="25"/>
      <c r="BN11" s="25"/>
      <c r="BO11" s="25"/>
      <c r="BP11" s="25"/>
      <c r="BQ11" s="25"/>
      <c r="BR11" s="25"/>
      <c r="BS11" s="25"/>
      <c r="BT11" s="25"/>
      <c r="BU11" s="25"/>
      <c r="BV11" s="25"/>
      <c r="BW11" s="25"/>
      <c r="BX11" s="25"/>
      <c r="BY11" s="25"/>
      <c r="BZ11" s="25"/>
      <c r="CA11" s="25"/>
      <c r="CB11" s="25"/>
      <c r="CC11" s="25"/>
      <c r="CD11" s="25"/>
      <c r="CE11" s="25"/>
      <c r="CF11" s="25"/>
      <c r="CG11" s="25"/>
      <c r="CH11" s="25"/>
      <c r="CI11" s="25"/>
      <c r="CJ11" s="25"/>
      <c r="CK11" s="25"/>
      <c r="CL11" s="25"/>
    </row>
    <row r="12" spans="2:90" x14ac:dyDescent="0.2">
      <c r="C12" s="184">
        <v>9</v>
      </c>
      <c r="D12" s="25"/>
      <c r="E12" s="25"/>
      <c r="F12" s="25"/>
      <c r="G12" s="25"/>
      <c r="H12" s="25"/>
      <c r="I12" s="25"/>
      <c r="J12" s="25"/>
      <c r="K12" s="25"/>
      <c r="L12" s="25"/>
      <c r="M12" s="25"/>
      <c r="N12" s="25"/>
      <c r="O12" s="25"/>
      <c r="P12" s="25"/>
      <c r="Q12" s="25"/>
      <c r="R12" s="25"/>
      <c r="S12" s="25"/>
      <c r="T12" s="25"/>
      <c r="U12" s="25"/>
      <c r="V12" s="25"/>
      <c r="W12" s="25"/>
      <c r="X12" s="25"/>
      <c r="Y12" s="25"/>
      <c r="Z12" s="25"/>
      <c r="AA12" s="25"/>
      <c r="AB12" s="25"/>
      <c r="AC12" s="25"/>
      <c r="AD12" s="25"/>
      <c r="AE12" s="25"/>
      <c r="AF12" s="25"/>
      <c r="AG12" s="25"/>
      <c r="AH12" s="25"/>
      <c r="AO12" s="25">
        <v>10000</v>
      </c>
      <c r="AS12" s="297">
        <f t="shared" si="2"/>
        <v>10000</v>
      </c>
      <c r="AT12" s="25">
        <f t="shared" si="0"/>
        <v>156</v>
      </c>
      <c r="AU12" s="25">
        <f t="shared" si="1"/>
        <v>128</v>
      </c>
      <c r="AV12" s="295" t="str">
        <f>VLOOKUP(VLOOKUP($AU12,KOMBI!$A:$H,3,FALSE),data!$I$27:$J$29,2,FALSE)</f>
        <v>Sekkuv/EÜ</v>
      </c>
      <c r="AW12" s="295" t="str">
        <f>VLOOKUP(VLOOKUP($AU12,KOMBI!$A:$H,2,FALSE),data!$I$21:$J$23,2,FALSE)</f>
        <v>Sekkuv</v>
      </c>
      <c r="AX12" s="295" t="str">
        <f>VLOOKUP(VLOOKUP($AU12,KOMBI!$A:$H,5,FALSE),data!$I$39:$J$41,2,FALSE)</f>
        <v>Vähe-sekkuv</v>
      </c>
      <c r="AY12" s="295" t="str">
        <f>VLOOKUP(VLOOKUP($AU12,KOMBI!$A:$H,4,FALSE),data!$I$32:$J$36,2,FALSE)</f>
        <v>TE</v>
      </c>
      <c r="BA12" s="25"/>
      <c r="BB12" s="25"/>
      <c r="BC12" s="25"/>
      <c r="BD12" s="25"/>
      <c r="BE12" s="25"/>
      <c r="BF12" s="25"/>
      <c r="BG12" s="25"/>
      <c r="BH12" s="25"/>
      <c r="BI12" s="25"/>
      <c r="BJ12" s="25"/>
      <c r="BK12" s="25"/>
      <c r="BL12" s="25"/>
      <c r="BM12" s="25"/>
      <c r="BN12" s="25"/>
      <c r="BO12" s="25"/>
      <c r="BP12" s="25"/>
      <c r="BQ12" s="25"/>
      <c r="BR12" s="25"/>
      <c r="BS12" s="25"/>
      <c r="BT12" s="25"/>
      <c r="BU12" s="25"/>
      <c r="BV12" s="25"/>
      <c r="BW12" s="25"/>
      <c r="BX12" s="25"/>
      <c r="BY12" s="25"/>
      <c r="BZ12" s="25"/>
      <c r="CA12" s="25"/>
      <c r="CB12" s="25"/>
      <c r="CC12" s="25"/>
      <c r="CD12" s="25"/>
      <c r="CE12" s="25"/>
      <c r="CF12" s="25"/>
      <c r="CG12" s="25"/>
      <c r="CH12" s="25"/>
      <c r="CI12" s="25"/>
      <c r="CJ12" s="25"/>
      <c r="CK12" s="25"/>
      <c r="CL12" s="25"/>
    </row>
    <row r="13" spans="2:90" x14ac:dyDescent="0.2">
      <c r="C13" s="184">
        <v>10</v>
      </c>
      <c r="D13" s="25"/>
      <c r="E13" s="25"/>
      <c r="F13" s="25"/>
      <c r="G13" s="25"/>
      <c r="H13" s="25"/>
      <c r="I13" s="25"/>
      <c r="J13" s="25"/>
      <c r="K13" s="25"/>
      <c r="L13" s="25"/>
      <c r="M13" s="25"/>
      <c r="N13" s="25"/>
      <c r="O13" s="25"/>
      <c r="P13" s="25"/>
      <c r="Q13" s="25"/>
      <c r="R13" s="25"/>
      <c r="S13" s="25"/>
      <c r="T13" s="25"/>
      <c r="U13" s="25"/>
      <c r="V13" s="25"/>
      <c r="W13" s="25"/>
      <c r="X13" s="25"/>
      <c r="Y13" s="25"/>
      <c r="Z13" s="25"/>
      <c r="AA13" s="25"/>
      <c r="AB13" s="25"/>
      <c r="AC13" s="25"/>
      <c r="AD13" s="25"/>
      <c r="AE13" s="25"/>
      <c r="AF13" s="25"/>
      <c r="AG13" s="25"/>
      <c r="AH13" s="25"/>
      <c r="AO13" s="25">
        <v>10000</v>
      </c>
      <c r="AS13" s="297">
        <f t="shared" si="2"/>
        <v>10000</v>
      </c>
      <c r="AT13" s="25">
        <f t="shared" si="0"/>
        <v>172</v>
      </c>
      <c r="AU13" s="25">
        <f t="shared" si="1"/>
        <v>122</v>
      </c>
      <c r="AV13" s="295" t="str">
        <f>VLOOKUP(VLOOKUP($AU13,KOMBI!$A:$H,3,FALSE),data!$I$27:$J$29,2,FALSE)</f>
        <v>Sekkuv/EÜ</v>
      </c>
      <c r="AW13" s="295" t="str">
        <f>VLOOKUP(VLOOKUP($AU13,KOMBI!$A:$H,2,FALSE),data!$I$21:$J$23,2,FALSE)</f>
        <v>Sekkuv</v>
      </c>
      <c r="AX13" s="295" t="str">
        <f>VLOOKUP(VLOOKUP($AU13,KOMBI!$A:$H,5,FALSE),data!$I$39:$J$41,2,FALSE)</f>
        <v>Vähe-sekkuv</v>
      </c>
      <c r="AY13" s="295" t="str">
        <f>VLOOKUP(VLOOKUP($AU13,KOMBI!$A:$H,4,FALSE),data!$I$32:$J$36,2,FALSE)</f>
        <v>LIB</v>
      </c>
      <c r="BA13" s="25"/>
      <c r="BB13" s="25"/>
      <c r="BC13" s="25"/>
      <c r="BD13" s="25"/>
      <c r="BE13" s="25"/>
      <c r="BF13" s="25"/>
      <c r="BG13" s="25"/>
      <c r="BH13" s="25"/>
      <c r="BI13" s="25"/>
      <c r="BJ13" s="25"/>
      <c r="BK13" s="25"/>
      <c r="BL13" s="25"/>
      <c r="BM13" s="25"/>
      <c r="BN13" s="25"/>
      <c r="BO13" s="25"/>
      <c r="BP13" s="25"/>
      <c r="BQ13" s="25"/>
      <c r="BR13" s="25"/>
      <c r="BS13" s="25"/>
      <c r="BT13" s="25"/>
      <c r="BU13" s="25"/>
      <c r="BV13" s="25"/>
      <c r="BW13" s="25"/>
      <c r="BX13" s="25"/>
      <c r="BY13" s="25"/>
      <c r="BZ13" s="25"/>
      <c r="CA13" s="25"/>
      <c r="CB13" s="25"/>
      <c r="CC13" s="25"/>
      <c r="CD13" s="25"/>
      <c r="CE13" s="25"/>
      <c r="CF13" s="25"/>
      <c r="CG13" s="25"/>
      <c r="CH13" s="25"/>
      <c r="CI13" s="25"/>
      <c r="CJ13" s="25"/>
      <c r="CK13" s="25"/>
      <c r="CL13" s="25"/>
    </row>
    <row r="14" spans="2:90" x14ac:dyDescent="0.2">
      <c r="C14" s="184">
        <v>11</v>
      </c>
      <c r="D14" s="25"/>
      <c r="E14" s="25"/>
      <c r="F14" s="25"/>
      <c r="G14" s="25"/>
      <c r="H14" s="25"/>
      <c r="I14" s="25"/>
      <c r="J14" s="25"/>
      <c r="K14" s="25"/>
      <c r="L14" s="25"/>
      <c r="M14" s="25"/>
      <c r="N14" s="25"/>
      <c r="O14" s="25"/>
      <c r="P14" s="25"/>
      <c r="Q14" s="25"/>
      <c r="R14" s="25"/>
      <c r="S14" s="25"/>
      <c r="T14" s="25"/>
      <c r="U14" s="25"/>
      <c r="V14" s="25"/>
      <c r="W14" s="25"/>
      <c r="X14" s="25"/>
      <c r="Y14" s="25"/>
      <c r="Z14" s="25"/>
      <c r="AA14" s="25"/>
      <c r="AB14" s="25"/>
      <c r="AC14" s="25"/>
      <c r="AD14" s="25"/>
      <c r="AE14" s="25"/>
      <c r="AF14" s="25"/>
      <c r="AG14" s="25"/>
      <c r="AH14" s="25"/>
      <c r="AO14" s="25">
        <v>10000</v>
      </c>
      <c r="AS14" s="297">
        <f t="shared" si="2"/>
        <v>10000</v>
      </c>
      <c r="AT14" s="25">
        <f t="shared" si="0"/>
        <v>176</v>
      </c>
      <c r="AU14" s="25">
        <f t="shared" si="1"/>
        <v>129</v>
      </c>
      <c r="AV14" s="295" t="str">
        <f>VLOOKUP(VLOOKUP($AU14,KOMBI!$A:$H,3,FALSE),data!$I$27:$J$29,2,FALSE)</f>
        <v>Sekkuv/EÜ</v>
      </c>
      <c r="AW14" s="295" t="str">
        <f>VLOOKUP(VLOOKUP($AU14,KOMBI!$A:$H,2,FALSE),data!$I$21:$J$23,2,FALSE)</f>
        <v>Sekkuv</v>
      </c>
      <c r="AX14" s="295" t="str">
        <f>VLOOKUP(VLOOKUP($AU14,KOMBI!$A:$H,5,FALSE),data!$I$39:$J$41,2,FALSE)</f>
        <v>Sekkuv</v>
      </c>
      <c r="AY14" s="295" t="str">
        <f>VLOOKUP(VLOOKUP($AU14,KOMBI!$A:$H,4,FALSE),data!$I$32:$J$36,2,FALSE)</f>
        <v>TE</v>
      </c>
      <c r="BA14" s="25"/>
      <c r="BB14" s="25"/>
      <c r="BC14" s="25"/>
      <c r="BD14" s="25"/>
      <c r="BE14" s="25"/>
      <c r="BF14" s="25"/>
      <c r="BG14" s="25"/>
      <c r="BH14" s="25"/>
      <c r="BI14" s="25"/>
      <c r="BJ14" s="25"/>
      <c r="BK14" s="25"/>
      <c r="BL14" s="25"/>
      <c r="BM14" s="25"/>
      <c r="BN14" s="25"/>
      <c r="BO14" s="25"/>
      <c r="BP14" s="25"/>
      <c r="BQ14" s="25"/>
      <c r="BR14" s="25"/>
      <c r="BS14" s="25"/>
      <c r="BT14" s="25"/>
      <c r="BU14" s="25"/>
      <c r="BV14" s="25"/>
      <c r="BW14" s="25"/>
      <c r="BX14" s="25"/>
      <c r="BY14" s="25"/>
      <c r="BZ14" s="25"/>
      <c r="CA14" s="25"/>
      <c r="CB14" s="25"/>
      <c r="CC14" s="25"/>
      <c r="CD14" s="25"/>
      <c r="CE14" s="25"/>
      <c r="CF14" s="25"/>
      <c r="CG14" s="25"/>
      <c r="CH14" s="25"/>
      <c r="CI14" s="25"/>
      <c r="CJ14" s="25"/>
      <c r="CK14" s="25"/>
      <c r="CL14" s="25"/>
    </row>
    <row r="15" spans="2:90" x14ac:dyDescent="0.2">
      <c r="C15" s="184">
        <v>12</v>
      </c>
      <c r="D15" s="25"/>
      <c r="E15" s="25"/>
      <c r="F15" s="25"/>
      <c r="G15" s="25"/>
      <c r="H15" s="25"/>
      <c r="I15" s="25"/>
      <c r="J15" s="25"/>
      <c r="K15" s="25"/>
      <c r="L15" s="25"/>
      <c r="M15" s="25"/>
      <c r="N15" s="25"/>
      <c r="O15" s="25"/>
      <c r="P15" s="25"/>
      <c r="Q15" s="25"/>
      <c r="R15" s="25"/>
      <c r="S15" s="25"/>
      <c r="T15" s="25"/>
      <c r="U15" s="25"/>
      <c r="V15" s="25"/>
      <c r="W15" s="25"/>
      <c r="X15" s="25"/>
      <c r="Y15" s="25"/>
      <c r="Z15" s="25"/>
      <c r="AA15" s="25"/>
      <c r="AB15" s="25"/>
      <c r="AC15" s="25"/>
      <c r="AD15" s="25"/>
      <c r="AE15" s="25"/>
      <c r="AF15" s="25"/>
      <c r="AG15" s="25"/>
      <c r="AH15" s="25"/>
      <c r="AO15" s="25">
        <v>10000</v>
      </c>
      <c r="AS15" s="297">
        <f t="shared" si="2"/>
        <v>10000</v>
      </c>
      <c r="AT15" s="25">
        <f t="shared" si="0"/>
        <v>184</v>
      </c>
      <c r="AU15" s="25">
        <f t="shared" si="1"/>
        <v>121</v>
      </c>
      <c r="AV15" s="295" t="str">
        <f>VLOOKUP(VLOOKUP($AU15,KOMBI!$A:$H,3,FALSE),data!$I$27:$J$29,2,FALSE)</f>
        <v>Sekkuv/EÜ</v>
      </c>
      <c r="AW15" s="295" t="str">
        <f>VLOOKUP(VLOOKUP($AU15,KOMBI!$A:$H,2,FALSE),data!$I$21:$J$23,2,FALSE)</f>
        <v>Sekkuv</v>
      </c>
      <c r="AX15" s="295" t="str">
        <f>VLOOKUP(VLOOKUP($AU15,KOMBI!$A:$H,5,FALSE),data!$I$39:$J$41,2,FALSE)</f>
        <v>Mittesekkuv</v>
      </c>
      <c r="AY15" s="295" t="str">
        <f>VLOOKUP(VLOOKUP($AU15,KOMBI!$A:$H,4,FALSE),data!$I$32:$J$36,2,FALSE)</f>
        <v>LIB</v>
      </c>
      <c r="BA15" s="25"/>
      <c r="BB15" s="25"/>
      <c r="BC15" s="25"/>
      <c r="BD15" s="25"/>
      <c r="BE15" s="25"/>
      <c r="BF15" s="25"/>
      <c r="BG15" s="25"/>
      <c r="BH15" s="25"/>
      <c r="BI15" s="25"/>
      <c r="BJ15" s="25"/>
      <c r="BK15" s="25"/>
      <c r="BL15" s="25"/>
      <c r="BM15" s="25"/>
      <c r="BN15" s="25"/>
      <c r="BO15" s="25"/>
      <c r="BP15" s="25"/>
      <c r="BQ15" s="25"/>
      <c r="BR15" s="25"/>
      <c r="BS15" s="25"/>
      <c r="BT15" s="25"/>
      <c r="BU15" s="25"/>
      <c r="BV15" s="25"/>
      <c r="BW15" s="25"/>
      <c r="BX15" s="25"/>
      <c r="BY15" s="25"/>
      <c r="BZ15" s="25"/>
      <c r="CA15" s="25"/>
      <c r="CB15" s="25"/>
      <c r="CC15" s="25"/>
      <c r="CD15" s="25"/>
      <c r="CE15" s="25"/>
      <c r="CF15" s="25"/>
      <c r="CG15" s="25"/>
      <c r="CH15" s="25"/>
      <c r="CI15" s="25"/>
      <c r="CJ15" s="25"/>
      <c r="CK15" s="25"/>
      <c r="CL15" s="25"/>
    </row>
    <row r="16" spans="2:90" x14ac:dyDescent="0.2">
      <c r="C16" s="184">
        <v>13</v>
      </c>
      <c r="D16" s="25"/>
      <c r="E16" s="25"/>
      <c r="F16" s="25"/>
      <c r="G16" s="25"/>
      <c r="H16" s="25"/>
      <c r="I16" s="25"/>
      <c r="J16" s="25"/>
      <c r="K16" s="25"/>
      <c r="L16" s="25"/>
      <c r="M16" s="25"/>
      <c r="N16" s="25"/>
      <c r="O16" s="25"/>
      <c r="P16" s="25"/>
      <c r="Q16" s="25"/>
      <c r="R16" s="25"/>
      <c r="S16" s="25"/>
      <c r="T16" s="25"/>
      <c r="U16" s="25"/>
      <c r="V16" s="25"/>
      <c r="W16" s="25"/>
      <c r="X16" s="25"/>
      <c r="Y16" s="25"/>
      <c r="Z16" s="25"/>
      <c r="AA16" s="25"/>
      <c r="AB16" s="25"/>
      <c r="AC16" s="25"/>
      <c r="AD16" s="25"/>
      <c r="AE16" s="25"/>
      <c r="AF16" s="25"/>
      <c r="AG16" s="25"/>
      <c r="AH16" s="25"/>
      <c r="AO16" s="25">
        <v>10000</v>
      </c>
      <c r="AS16" s="297">
        <f t="shared" si="2"/>
        <v>10000</v>
      </c>
      <c r="AT16" s="25">
        <f t="shared" si="0"/>
        <v>207</v>
      </c>
      <c r="AU16" s="25">
        <f t="shared" si="1"/>
        <v>133</v>
      </c>
      <c r="AV16" s="295" t="str">
        <f>VLOOKUP(VLOOKUP($AU16,KOMBI!$A:$H,3,FALSE),data!$I$27:$J$29,2,FALSE)</f>
        <v>Sekkuv/EÜ</v>
      </c>
      <c r="AW16" s="295" t="str">
        <f>VLOOKUP(VLOOKUP($AU16,KOMBI!$A:$H,2,FALSE),data!$I$21:$J$23,2,FALSE)</f>
        <v>Sekkuv</v>
      </c>
      <c r="AX16" s="295" t="str">
        <f>VLOOKUP(VLOOKUP($AU16,KOMBI!$A:$H,5,FALSE),data!$I$39:$J$41,2,FALSE)</f>
        <v>Mittesekkuv</v>
      </c>
      <c r="AY16" s="295" t="str">
        <f>VLOOKUP(VLOOKUP($AU16,KOMBI!$A:$H,4,FALSE),data!$I$32:$J$36,2,FALSE)</f>
        <v>PK &amp; UG</v>
      </c>
      <c r="BA16" s="25"/>
      <c r="BB16" s="25"/>
      <c r="BC16" s="25"/>
      <c r="BD16" s="25"/>
      <c r="BE16" s="25"/>
      <c r="BF16" s="25"/>
      <c r="BG16" s="25"/>
      <c r="BH16" s="25"/>
      <c r="BI16" s="25"/>
      <c r="BJ16" s="25"/>
      <c r="BK16" s="25"/>
      <c r="BL16" s="25"/>
      <c r="BM16" s="25"/>
      <c r="BN16" s="25"/>
      <c r="BO16" s="25"/>
      <c r="BP16" s="25"/>
      <c r="BQ16" s="25"/>
      <c r="BR16" s="25"/>
      <c r="BS16" s="25"/>
      <c r="BT16" s="25"/>
      <c r="BU16" s="25"/>
      <c r="BV16" s="25"/>
      <c r="BW16" s="25"/>
      <c r="BX16" s="25"/>
      <c r="BY16" s="25"/>
      <c r="BZ16" s="25"/>
      <c r="CA16" s="25"/>
      <c r="CB16" s="25"/>
      <c r="CC16" s="25"/>
      <c r="CD16" s="25"/>
      <c r="CE16" s="25"/>
      <c r="CF16" s="25"/>
      <c r="CG16" s="25"/>
      <c r="CH16" s="25"/>
      <c r="CI16" s="25"/>
      <c r="CJ16" s="25"/>
      <c r="CK16" s="25"/>
      <c r="CL16" s="25"/>
    </row>
    <row r="17" spans="3:90" x14ac:dyDescent="0.2">
      <c r="C17" s="184">
        <v>14</v>
      </c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5"/>
      <c r="P17" s="25"/>
      <c r="Q17" s="25"/>
      <c r="R17" s="25"/>
      <c r="S17" s="25"/>
      <c r="T17" s="25"/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25"/>
      <c r="AF17" s="25"/>
      <c r="AG17" s="25"/>
      <c r="AH17" s="25"/>
      <c r="AO17" s="25">
        <v>10000</v>
      </c>
      <c r="AS17" s="297">
        <f t="shared" si="2"/>
        <v>10000</v>
      </c>
      <c r="AT17" s="25">
        <f t="shared" si="0"/>
        <v>207</v>
      </c>
      <c r="AU17" s="25">
        <f t="shared" si="1"/>
        <v>133</v>
      </c>
      <c r="AV17" s="295" t="str">
        <f>VLOOKUP(VLOOKUP($AU17,KOMBI!$A:$H,3,FALSE),data!$I$27:$J$29,2,FALSE)</f>
        <v>Sekkuv/EÜ</v>
      </c>
      <c r="AW17" s="295" t="str">
        <f>VLOOKUP(VLOOKUP($AU17,KOMBI!$A:$H,2,FALSE),data!$I$21:$J$23,2,FALSE)</f>
        <v>Sekkuv</v>
      </c>
      <c r="AX17" s="295" t="str">
        <f>VLOOKUP(VLOOKUP($AU17,KOMBI!$A:$H,5,FALSE),data!$I$39:$J$41,2,FALSE)</f>
        <v>Mittesekkuv</v>
      </c>
      <c r="AY17" s="295" t="str">
        <f>VLOOKUP(VLOOKUP($AU17,KOMBI!$A:$H,4,FALSE),data!$I$32:$J$36,2,FALSE)</f>
        <v>PK &amp; UG</v>
      </c>
      <c r="BA17" s="25"/>
      <c r="BB17" s="25"/>
      <c r="BC17" s="25"/>
      <c r="BD17" s="25"/>
      <c r="BE17" s="25"/>
      <c r="BF17" s="25"/>
      <c r="BG17" s="25"/>
      <c r="BH17" s="25"/>
      <c r="BI17" s="25"/>
      <c r="BJ17" s="25"/>
      <c r="BK17" s="25"/>
      <c r="BL17" s="25"/>
      <c r="BM17" s="25"/>
      <c r="BN17" s="25"/>
      <c r="BO17" s="25"/>
      <c r="BP17" s="25"/>
      <c r="BQ17" s="25"/>
      <c r="BR17" s="25"/>
      <c r="BS17" s="25"/>
      <c r="BT17" s="25"/>
      <c r="BU17" s="25"/>
      <c r="BV17" s="25"/>
      <c r="BW17" s="25"/>
      <c r="BX17" s="25"/>
      <c r="BY17" s="25"/>
      <c r="BZ17" s="25"/>
      <c r="CA17" s="25"/>
      <c r="CB17" s="25"/>
      <c r="CC17" s="25"/>
      <c r="CD17" s="25"/>
      <c r="CE17" s="25"/>
      <c r="CF17" s="25"/>
      <c r="CG17" s="25"/>
      <c r="CH17" s="25"/>
      <c r="CI17" s="25"/>
      <c r="CJ17" s="25"/>
      <c r="CK17" s="25"/>
      <c r="CL17" s="25"/>
    </row>
    <row r="18" spans="3:90" x14ac:dyDescent="0.2">
      <c r="C18" s="184">
        <v>15</v>
      </c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5"/>
      <c r="P18" s="25"/>
      <c r="Q18" s="25"/>
      <c r="R18" s="25"/>
      <c r="S18" s="25"/>
      <c r="T18" s="25"/>
      <c r="U18" s="25"/>
      <c r="V18" s="25"/>
      <c r="W18" s="25"/>
      <c r="X18" s="25"/>
      <c r="Y18" s="25"/>
      <c r="Z18" s="25"/>
      <c r="AA18" s="25"/>
      <c r="AB18" s="25"/>
      <c r="AC18" s="25"/>
      <c r="AD18" s="25"/>
      <c r="AE18" s="25"/>
      <c r="AF18" s="25"/>
      <c r="AG18" s="25"/>
      <c r="AH18" s="25"/>
      <c r="AO18" s="25">
        <v>10000</v>
      </c>
      <c r="AS18" s="297">
        <f t="shared" si="2"/>
        <v>10000</v>
      </c>
      <c r="AT18" s="25">
        <f t="shared" si="0"/>
        <v>207</v>
      </c>
      <c r="AU18" s="25">
        <f t="shared" si="1"/>
        <v>133</v>
      </c>
      <c r="AV18" s="295" t="str">
        <f>VLOOKUP(VLOOKUP($AU18,KOMBI!$A:$H,3,FALSE),data!$I$27:$J$29,2,FALSE)</f>
        <v>Sekkuv/EÜ</v>
      </c>
      <c r="AW18" s="295" t="str">
        <f>VLOOKUP(VLOOKUP($AU18,KOMBI!$A:$H,2,FALSE),data!$I$21:$J$23,2,FALSE)</f>
        <v>Sekkuv</v>
      </c>
      <c r="AX18" s="295" t="str">
        <f>VLOOKUP(VLOOKUP($AU18,KOMBI!$A:$H,5,FALSE),data!$I$39:$J$41,2,FALSE)</f>
        <v>Mittesekkuv</v>
      </c>
      <c r="AY18" s="295" t="str">
        <f>VLOOKUP(VLOOKUP($AU18,KOMBI!$A:$H,4,FALSE),data!$I$32:$J$36,2,FALSE)</f>
        <v>PK &amp; UG</v>
      </c>
      <c r="BA18" s="25"/>
      <c r="BB18" s="25"/>
      <c r="BC18" s="25"/>
      <c r="BD18" s="25"/>
      <c r="BE18" s="25"/>
      <c r="BF18" s="25"/>
      <c r="BG18" s="25"/>
      <c r="BH18" s="25"/>
      <c r="BI18" s="25"/>
      <c r="BJ18" s="25"/>
      <c r="BK18" s="25"/>
      <c r="BL18" s="25"/>
      <c r="BM18" s="25"/>
      <c r="BN18" s="25"/>
      <c r="BO18" s="25"/>
      <c r="BP18" s="25"/>
      <c r="BQ18" s="25"/>
      <c r="BR18" s="25"/>
      <c r="BS18" s="25"/>
      <c r="BT18" s="25"/>
      <c r="BU18" s="25"/>
      <c r="BV18" s="25"/>
      <c r="BW18" s="25"/>
      <c r="BX18" s="25"/>
      <c r="BY18" s="25"/>
      <c r="BZ18" s="25"/>
      <c r="CA18" s="25"/>
      <c r="CB18" s="25"/>
      <c r="CC18" s="25"/>
      <c r="CD18" s="25"/>
      <c r="CE18" s="25"/>
      <c r="CF18" s="25"/>
      <c r="CG18" s="25"/>
      <c r="CH18" s="25"/>
      <c r="CI18" s="25"/>
      <c r="CJ18" s="25"/>
      <c r="CK18" s="25"/>
      <c r="CL18" s="25"/>
    </row>
    <row r="19" spans="3:90" x14ac:dyDescent="0.2">
      <c r="C19" s="184">
        <v>16</v>
      </c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5"/>
      <c r="P19" s="25"/>
      <c r="Q19" s="25"/>
      <c r="R19" s="25"/>
      <c r="S19" s="25"/>
      <c r="T19" s="25"/>
      <c r="U19" s="25"/>
      <c r="V19" s="25"/>
      <c r="W19" s="25"/>
      <c r="X19" s="25"/>
      <c r="Y19" s="25"/>
      <c r="Z19" s="25"/>
      <c r="AA19" s="25"/>
      <c r="AB19" s="25"/>
      <c r="AC19" s="25"/>
      <c r="AD19" s="25"/>
      <c r="AE19" s="25"/>
      <c r="AF19" s="25"/>
      <c r="AG19" s="25"/>
      <c r="AH19" s="25"/>
      <c r="AO19" s="25">
        <v>10000</v>
      </c>
      <c r="AS19" s="297">
        <f t="shared" si="2"/>
        <v>10000</v>
      </c>
      <c r="AT19" s="25">
        <f t="shared" si="0"/>
        <v>10000</v>
      </c>
      <c r="AU19" s="25">
        <f t="shared" si="1"/>
        <v>1</v>
      </c>
      <c r="AV19" s="295" t="str">
        <f>VLOOKUP(VLOOKUP($AU19,KOMBI!$A:$H,3,FALSE),data!$I$27:$J$29,2,FALSE)</f>
        <v>Mittesekkuv</v>
      </c>
      <c r="AW19" s="295" t="str">
        <f>VLOOKUP(VLOOKUP($AU19,KOMBI!$A:$H,2,FALSE),data!$I$21:$J$23,2,FALSE)</f>
        <v>Mittesekkuv</v>
      </c>
      <c r="AX19" s="295" t="str">
        <f>VLOOKUP(VLOOKUP($AU19,KOMBI!$A:$H,5,FALSE),data!$I$39:$J$41,2,FALSE)</f>
        <v>Mittesekkuv</v>
      </c>
      <c r="AY19" s="295" t="str">
        <f>VLOOKUP(VLOOKUP($AU19,KOMBI!$A:$H,4,FALSE),data!$I$32:$J$36,2,FALSE)</f>
        <v>LIB</v>
      </c>
      <c r="BA19" s="25"/>
      <c r="BB19" s="25"/>
      <c r="BC19" s="25"/>
      <c r="BD19" s="25"/>
      <c r="BE19" s="25"/>
      <c r="BF19" s="25"/>
      <c r="BG19" s="25"/>
      <c r="BH19" s="25"/>
      <c r="BI19" s="25"/>
      <c r="BJ19" s="25"/>
      <c r="BK19" s="25"/>
      <c r="BL19" s="25"/>
      <c r="BM19" s="25"/>
      <c r="BN19" s="25"/>
      <c r="BO19" s="25"/>
      <c r="BP19" s="25"/>
      <c r="BQ19" s="25"/>
      <c r="BR19" s="25"/>
      <c r="BS19" s="25"/>
      <c r="BT19" s="25"/>
      <c r="BU19" s="25"/>
      <c r="BV19" s="25"/>
      <c r="BW19" s="25"/>
      <c r="BX19" s="25"/>
      <c r="BY19" s="25"/>
      <c r="BZ19" s="25"/>
      <c r="CA19" s="25"/>
      <c r="CB19" s="25"/>
      <c r="CC19" s="25"/>
      <c r="CD19" s="25"/>
      <c r="CE19" s="25"/>
      <c r="CF19" s="25"/>
      <c r="CG19" s="25"/>
      <c r="CH19" s="25"/>
      <c r="CI19" s="25"/>
      <c r="CJ19" s="25"/>
      <c r="CK19" s="25"/>
      <c r="CL19" s="25"/>
    </row>
    <row r="20" spans="3:90" x14ac:dyDescent="0.2">
      <c r="C20" s="184">
        <v>17</v>
      </c>
      <c r="D20" s="25"/>
      <c r="E20" s="25"/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25"/>
      <c r="AG20" s="25"/>
      <c r="AH20" s="25"/>
      <c r="AO20" s="25">
        <v>10000</v>
      </c>
      <c r="AS20" s="297">
        <f t="shared" si="2"/>
        <v>10000</v>
      </c>
      <c r="AT20" s="25">
        <f t="shared" si="0"/>
        <v>10000</v>
      </c>
      <c r="AU20" s="25">
        <f t="shared" si="1"/>
        <v>1</v>
      </c>
      <c r="AV20" s="295" t="str">
        <f>VLOOKUP(VLOOKUP($AU20,KOMBI!$A:$H,3,FALSE),data!$I$27:$J$29,2,FALSE)</f>
        <v>Mittesekkuv</v>
      </c>
      <c r="AW20" s="295" t="str">
        <f>VLOOKUP(VLOOKUP($AU20,KOMBI!$A:$H,2,FALSE),data!$I$21:$J$23,2,FALSE)</f>
        <v>Mittesekkuv</v>
      </c>
      <c r="AX20" s="295" t="str">
        <f>VLOOKUP(VLOOKUP($AU20,KOMBI!$A:$H,5,FALSE),data!$I$39:$J$41,2,FALSE)</f>
        <v>Mittesekkuv</v>
      </c>
      <c r="AY20" s="295" t="str">
        <f>VLOOKUP(VLOOKUP($AU20,KOMBI!$A:$H,4,FALSE),data!$I$32:$J$36,2,FALSE)</f>
        <v>LIB</v>
      </c>
      <c r="BA20" s="25"/>
      <c r="BB20" s="25"/>
      <c r="BC20" s="25"/>
      <c r="BD20" s="25"/>
      <c r="BE20" s="25"/>
      <c r="BF20" s="25"/>
      <c r="BG20" s="25"/>
      <c r="BH20" s="25"/>
      <c r="BI20" s="25"/>
      <c r="BJ20" s="25"/>
      <c r="BK20" s="25"/>
      <c r="BL20" s="25"/>
      <c r="BM20" s="25"/>
      <c r="BN20" s="25"/>
      <c r="BO20" s="25"/>
      <c r="BP20" s="25"/>
      <c r="BQ20" s="25"/>
      <c r="BR20" s="25"/>
      <c r="BS20" s="25"/>
      <c r="BT20" s="25"/>
      <c r="BU20" s="25"/>
      <c r="BV20" s="25"/>
      <c r="BW20" s="25"/>
      <c r="BX20" s="25"/>
      <c r="BY20" s="25"/>
      <c r="BZ20" s="25"/>
      <c r="CA20" s="25"/>
      <c r="CB20" s="25"/>
      <c r="CC20" s="25"/>
      <c r="CD20" s="25"/>
      <c r="CE20" s="25"/>
      <c r="CF20" s="25"/>
      <c r="CG20" s="25"/>
      <c r="CH20" s="25"/>
      <c r="CI20" s="25"/>
      <c r="CJ20" s="25"/>
      <c r="CK20" s="25"/>
      <c r="CL20" s="25"/>
    </row>
    <row r="21" spans="3:90" x14ac:dyDescent="0.2">
      <c r="C21" s="184">
        <v>18</v>
      </c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5"/>
      <c r="P21" s="25"/>
      <c r="Q21" s="25"/>
      <c r="R21" s="25"/>
      <c r="S21" s="25"/>
      <c r="T21" s="25"/>
      <c r="U21" s="25"/>
      <c r="V21" s="25"/>
      <c r="W21" s="25"/>
      <c r="X21" s="25"/>
      <c r="Y21" s="25"/>
      <c r="Z21" s="25"/>
      <c r="AA21" s="25"/>
      <c r="AB21" s="25"/>
      <c r="AC21" s="25"/>
      <c r="AD21" s="25"/>
      <c r="AE21" s="25"/>
      <c r="AF21" s="25"/>
      <c r="AG21" s="25"/>
      <c r="AH21" s="25"/>
      <c r="AO21" s="25">
        <v>10000</v>
      </c>
      <c r="AS21" s="297">
        <f t="shared" si="2"/>
        <v>10000</v>
      </c>
      <c r="AT21" s="25">
        <f t="shared" si="0"/>
        <v>10000</v>
      </c>
      <c r="AU21" s="25">
        <f t="shared" si="1"/>
        <v>1</v>
      </c>
      <c r="AV21" s="295" t="str">
        <f>VLOOKUP(VLOOKUP($AU21,KOMBI!$A:$H,3,FALSE),data!$I$27:$J$29,2,FALSE)</f>
        <v>Mittesekkuv</v>
      </c>
      <c r="AW21" s="295" t="str">
        <f>VLOOKUP(VLOOKUP($AU21,KOMBI!$A:$H,2,FALSE),data!$I$21:$J$23,2,FALSE)</f>
        <v>Mittesekkuv</v>
      </c>
      <c r="AX21" s="295" t="str">
        <f>VLOOKUP(VLOOKUP($AU21,KOMBI!$A:$H,5,FALSE),data!$I$39:$J$41,2,FALSE)</f>
        <v>Mittesekkuv</v>
      </c>
      <c r="AY21" s="295" t="str">
        <f>VLOOKUP(VLOOKUP($AU21,KOMBI!$A:$H,4,FALSE),data!$I$32:$J$36,2,FALSE)</f>
        <v>LIB</v>
      </c>
      <c r="BA21" s="25"/>
      <c r="BB21" s="25"/>
      <c r="BC21" s="25"/>
      <c r="BD21" s="25"/>
      <c r="BE21" s="25"/>
      <c r="BF21" s="25"/>
      <c r="BG21" s="25"/>
      <c r="BH21" s="25"/>
      <c r="BI21" s="25"/>
      <c r="BJ21" s="25"/>
      <c r="BK21" s="25"/>
      <c r="BL21" s="25"/>
      <c r="BM21" s="25"/>
      <c r="BN21" s="25"/>
      <c r="BO21" s="25"/>
      <c r="BP21" s="25"/>
      <c r="BQ21" s="25"/>
      <c r="BR21" s="25"/>
      <c r="BS21" s="25"/>
      <c r="BT21" s="25"/>
      <c r="BU21" s="25"/>
      <c r="BV21" s="25"/>
      <c r="BW21" s="25"/>
      <c r="BX21" s="25"/>
      <c r="BY21" s="25"/>
      <c r="BZ21" s="25"/>
      <c r="CA21" s="25"/>
      <c r="CB21" s="25"/>
      <c r="CC21" s="25"/>
      <c r="CD21" s="25"/>
      <c r="CE21" s="25"/>
      <c r="CF21" s="25"/>
      <c r="CG21" s="25"/>
      <c r="CH21" s="25"/>
      <c r="CI21" s="25"/>
      <c r="CJ21" s="25"/>
      <c r="CK21" s="25"/>
      <c r="CL21" s="25"/>
    </row>
    <row r="22" spans="3:90" x14ac:dyDescent="0.2">
      <c r="C22" s="184">
        <v>19</v>
      </c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5"/>
      <c r="P22" s="25"/>
      <c r="Q22" s="25"/>
      <c r="R22" s="25"/>
      <c r="S22" s="25"/>
      <c r="T22" s="25"/>
      <c r="U22" s="25"/>
      <c r="V22" s="25"/>
      <c r="W22" s="25"/>
      <c r="X22" s="25"/>
      <c r="Y22" s="25"/>
      <c r="Z22" s="25"/>
      <c r="AA22" s="25"/>
      <c r="AB22" s="25"/>
      <c r="AC22" s="25"/>
      <c r="AD22" s="25"/>
      <c r="AE22" s="25"/>
      <c r="AF22" s="25"/>
      <c r="AG22" s="25"/>
      <c r="AH22" s="25"/>
      <c r="AO22" s="25">
        <v>10000</v>
      </c>
      <c r="AS22" s="297">
        <f t="shared" si="2"/>
        <v>10000</v>
      </c>
      <c r="AT22" s="25">
        <f t="shared" si="0"/>
        <v>10000</v>
      </c>
      <c r="AU22" s="25">
        <f t="shared" si="1"/>
        <v>1</v>
      </c>
      <c r="AV22" s="295" t="str">
        <f>VLOOKUP(VLOOKUP($AU22,KOMBI!$A:$H,3,FALSE),data!$I$27:$J$29,2,FALSE)</f>
        <v>Mittesekkuv</v>
      </c>
      <c r="AW22" s="295" t="str">
        <f>VLOOKUP(VLOOKUP($AU22,KOMBI!$A:$H,2,FALSE),data!$I$21:$J$23,2,FALSE)</f>
        <v>Mittesekkuv</v>
      </c>
      <c r="AX22" s="295" t="str">
        <f>VLOOKUP(VLOOKUP($AU22,KOMBI!$A:$H,5,FALSE),data!$I$39:$J$41,2,FALSE)</f>
        <v>Mittesekkuv</v>
      </c>
      <c r="AY22" s="295" t="str">
        <f>VLOOKUP(VLOOKUP($AU22,KOMBI!$A:$H,4,FALSE),data!$I$32:$J$36,2,FALSE)</f>
        <v>LIB</v>
      </c>
      <c r="BA22" s="25"/>
      <c r="BB22" s="25"/>
      <c r="BC22" s="25"/>
      <c r="BD22" s="25"/>
      <c r="BE22" s="25"/>
      <c r="BF22" s="25"/>
      <c r="BG22" s="25"/>
      <c r="BH22" s="25"/>
      <c r="BI22" s="25"/>
      <c r="BJ22" s="25"/>
      <c r="BK22" s="25"/>
      <c r="BL22" s="25"/>
      <c r="BM22" s="25"/>
      <c r="BN22" s="25"/>
      <c r="BO22" s="25"/>
      <c r="BP22" s="25"/>
      <c r="BQ22" s="25"/>
      <c r="BR22" s="25"/>
      <c r="BS22" s="25"/>
      <c r="BT22" s="25"/>
      <c r="BU22" s="25"/>
      <c r="BV22" s="25"/>
      <c r="BW22" s="25"/>
      <c r="BX22" s="25"/>
      <c r="BY22" s="25"/>
      <c r="BZ22" s="25"/>
      <c r="CA22" s="25"/>
      <c r="CB22" s="25"/>
      <c r="CC22" s="25"/>
      <c r="CD22" s="25"/>
      <c r="CE22" s="25"/>
      <c r="CF22" s="25"/>
      <c r="CG22" s="25"/>
      <c r="CH22" s="25"/>
      <c r="CI22" s="25"/>
      <c r="CJ22" s="25"/>
      <c r="CK22" s="25"/>
      <c r="CL22" s="25"/>
    </row>
    <row r="23" spans="3:90" x14ac:dyDescent="0.2">
      <c r="C23" s="184">
        <v>20</v>
      </c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5"/>
      <c r="P23" s="25"/>
      <c r="Q23" s="25"/>
      <c r="R23" s="25"/>
      <c r="S23" s="25"/>
      <c r="T23" s="25"/>
      <c r="U23" s="25"/>
      <c r="V23" s="25"/>
      <c r="W23" s="25"/>
      <c r="X23" s="25"/>
      <c r="Y23" s="25"/>
      <c r="Z23" s="25"/>
      <c r="AA23" s="25"/>
      <c r="AB23" s="25"/>
      <c r="AC23" s="25"/>
      <c r="AD23" s="25"/>
      <c r="AE23" s="25"/>
      <c r="AF23" s="25"/>
      <c r="AG23" s="25"/>
      <c r="AH23" s="25"/>
      <c r="AO23" s="25">
        <v>10000</v>
      </c>
      <c r="AS23" s="297">
        <f t="shared" si="2"/>
        <v>10000</v>
      </c>
      <c r="AT23" s="25">
        <f t="shared" si="0"/>
        <v>10000</v>
      </c>
      <c r="AU23" s="25">
        <f t="shared" si="1"/>
        <v>1</v>
      </c>
      <c r="AV23" s="295" t="str">
        <f>VLOOKUP(VLOOKUP($AU23,KOMBI!$A:$H,3,FALSE),data!$I$27:$J$29,2,FALSE)</f>
        <v>Mittesekkuv</v>
      </c>
      <c r="AW23" s="295" t="str">
        <f>VLOOKUP(VLOOKUP($AU23,KOMBI!$A:$H,2,FALSE),data!$I$21:$J$23,2,FALSE)</f>
        <v>Mittesekkuv</v>
      </c>
      <c r="AX23" s="295" t="str">
        <f>VLOOKUP(VLOOKUP($AU23,KOMBI!$A:$H,5,FALSE),data!$I$39:$J$41,2,FALSE)</f>
        <v>Mittesekkuv</v>
      </c>
      <c r="AY23" s="295" t="str">
        <f>VLOOKUP(VLOOKUP($AU23,KOMBI!$A:$H,4,FALSE),data!$I$32:$J$36,2,FALSE)</f>
        <v>LIB</v>
      </c>
      <c r="BA23" s="25"/>
      <c r="BB23" s="25"/>
      <c r="BC23" s="25"/>
      <c r="BD23" s="25"/>
      <c r="BE23" s="25"/>
      <c r="BF23" s="25"/>
      <c r="BG23" s="25"/>
      <c r="BH23" s="25"/>
      <c r="BI23" s="25"/>
      <c r="BJ23" s="25"/>
      <c r="BK23" s="25"/>
      <c r="BL23" s="25"/>
      <c r="BM23" s="25"/>
      <c r="BN23" s="25"/>
      <c r="BO23" s="25"/>
      <c r="BP23" s="25"/>
      <c r="BQ23" s="25"/>
      <c r="BR23" s="25"/>
      <c r="BS23" s="25"/>
      <c r="BT23" s="25"/>
      <c r="BU23" s="25"/>
      <c r="BV23" s="25"/>
      <c r="BW23" s="25"/>
      <c r="BX23" s="25"/>
      <c r="BY23" s="25"/>
      <c r="BZ23" s="25"/>
      <c r="CA23" s="25"/>
      <c r="CB23" s="25"/>
      <c r="CC23" s="25"/>
      <c r="CD23" s="25"/>
      <c r="CE23" s="25"/>
      <c r="CF23" s="25"/>
      <c r="CG23" s="25"/>
      <c r="CH23" s="25"/>
      <c r="CI23" s="25"/>
      <c r="CJ23" s="25"/>
      <c r="CK23" s="25"/>
      <c r="CL23" s="25"/>
    </row>
    <row r="24" spans="3:90" x14ac:dyDescent="0.2">
      <c r="C24" s="184">
        <v>21</v>
      </c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5"/>
      <c r="P24" s="25"/>
      <c r="Q24" s="25"/>
      <c r="R24" s="25"/>
      <c r="S24" s="25"/>
      <c r="T24" s="25"/>
      <c r="U24" s="25"/>
      <c r="V24" s="25"/>
      <c r="W24" s="25"/>
      <c r="X24" s="25"/>
      <c r="Y24" s="25"/>
      <c r="Z24" s="25"/>
      <c r="AA24" s="25"/>
      <c r="AB24" s="25"/>
      <c r="AC24" s="25"/>
      <c r="AD24" s="25"/>
      <c r="AE24" s="25"/>
      <c r="AF24" s="25"/>
      <c r="AG24" s="25"/>
      <c r="AH24" s="25"/>
      <c r="AO24" s="25">
        <v>10000</v>
      </c>
      <c r="AS24" s="297">
        <f t="shared" si="2"/>
        <v>10000</v>
      </c>
      <c r="AT24" s="25">
        <f t="shared" si="0"/>
        <v>10000</v>
      </c>
      <c r="AU24" s="25">
        <f t="shared" si="1"/>
        <v>1</v>
      </c>
      <c r="AV24" s="295" t="str">
        <f>VLOOKUP(VLOOKUP($AU24,KOMBI!$A:$H,3,FALSE),data!$I$27:$J$29,2,FALSE)</f>
        <v>Mittesekkuv</v>
      </c>
      <c r="AW24" s="295" t="str">
        <f>VLOOKUP(VLOOKUP($AU24,KOMBI!$A:$H,2,FALSE),data!$I$21:$J$23,2,FALSE)</f>
        <v>Mittesekkuv</v>
      </c>
      <c r="AX24" s="295" t="str">
        <f>VLOOKUP(VLOOKUP($AU24,KOMBI!$A:$H,5,FALSE),data!$I$39:$J$41,2,FALSE)</f>
        <v>Mittesekkuv</v>
      </c>
      <c r="AY24" s="295" t="str">
        <f>VLOOKUP(VLOOKUP($AU24,KOMBI!$A:$H,4,FALSE),data!$I$32:$J$36,2,FALSE)</f>
        <v>LIB</v>
      </c>
      <c r="BA24" s="25"/>
      <c r="BB24" s="25"/>
      <c r="BC24" s="25"/>
      <c r="BD24" s="25"/>
      <c r="BE24" s="25"/>
      <c r="BF24" s="25"/>
      <c r="BG24" s="25"/>
      <c r="BH24" s="25"/>
      <c r="BI24" s="25"/>
      <c r="BJ24" s="25"/>
      <c r="BK24" s="25"/>
      <c r="BL24" s="25"/>
      <c r="BM24" s="25"/>
      <c r="BN24" s="25"/>
      <c r="BO24" s="25"/>
      <c r="BP24" s="25"/>
      <c r="BQ24" s="25"/>
      <c r="BR24" s="25"/>
      <c r="BS24" s="25"/>
      <c r="BT24" s="25"/>
      <c r="BU24" s="25"/>
      <c r="BV24" s="25"/>
      <c r="BW24" s="25"/>
      <c r="BX24" s="25"/>
      <c r="BY24" s="25"/>
      <c r="BZ24" s="25"/>
      <c r="CA24" s="25"/>
      <c r="CB24" s="25"/>
      <c r="CC24" s="25"/>
      <c r="CD24" s="25"/>
      <c r="CE24" s="25"/>
      <c r="CF24" s="25"/>
      <c r="CG24" s="25"/>
      <c r="CH24" s="25"/>
      <c r="CI24" s="25"/>
      <c r="CJ24" s="25"/>
      <c r="CK24" s="25"/>
      <c r="CL24" s="25"/>
    </row>
    <row r="25" spans="3:90" x14ac:dyDescent="0.2">
      <c r="C25" s="184">
        <v>22</v>
      </c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5"/>
      <c r="P25" s="25"/>
      <c r="Q25" s="25"/>
      <c r="R25" s="25"/>
      <c r="S25" s="25"/>
      <c r="T25" s="25"/>
      <c r="U25" s="25"/>
      <c r="V25" s="25"/>
      <c r="W25" s="25"/>
      <c r="X25" s="25"/>
      <c r="Y25" s="25"/>
      <c r="Z25" s="25"/>
      <c r="AA25" s="25"/>
      <c r="AB25" s="25"/>
      <c r="AC25" s="25"/>
      <c r="AD25" s="25"/>
      <c r="AE25" s="25"/>
      <c r="AF25" s="25"/>
      <c r="AG25" s="25"/>
      <c r="AH25" s="25"/>
      <c r="AO25" s="25">
        <v>10000</v>
      </c>
      <c r="AS25" s="297">
        <f t="shared" si="2"/>
        <v>10000</v>
      </c>
      <c r="AT25" s="25">
        <f t="shared" si="0"/>
        <v>10000</v>
      </c>
      <c r="AU25" s="25">
        <f t="shared" si="1"/>
        <v>1</v>
      </c>
      <c r="AV25" s="295" t="str">
        <f>VLOOKUP(VLOOKUP($AU25,KOMBI!$A:$H,3,FALSE),data!$I$27:$J$29,2,FALSE)</f>
        <v>Mittesekkuv</v>
      </c>
      <c r="AW25" s="295" t="str">
        <f>VLOOKUP(VLOOKUP($AU25,KOMBI!$A:$H,2,FALSE),data!$I$21:$J$23,2,FALSE)</f>
        <v>Mittesekkuv</v>
      </c>
      <c r="AX25" s="295" t="str">
        <f>VLOOKUP(VLOOKUP($AU25,KOMBI!$A:$H,5,FALSE),data!$I$39:$J$41,2,FALSE)</f>
        <v>Mittesekkuv</v>
      </c>
      <c r="AY25" s="295" t="str">
        <f>VLOOKUP(VLOOKUP($AU25,KOMBI!$A:$H,4,FALSE),data!$I$32:$J$36,2,FALSE)</f>
        <v>LIB</v>
      </c>
      <c r="BA25" s="25"/>
      <c r="BB25" s="25"/>
      <c r="BC25" s="25"/>
      <c r="BD25" s="25"/>
      <c r="BE25" s="25"/>
      <c r="BF25" s="25"/>
      <c r="BG25" s="25"/>
      <c r="BH25" s="25"/>
      <c r="BI25" s="25"/>
      <c r="BJ25" s="25"/>
      <c r="BK25" s="25"/>
      <c r="BL25" s="25"/>
      <c r="BM25" s="25"/>
      <c r="BN25" s="25"/>
      <c r="BO25" s="25"/>
      <c r="BP25" s="25"/>
      <c r="BQ25" s="25"/>
      <c r="BR25" s="25"/>
      <c r="BS25" s="25"/>
      <c r="BT25" s="25"/>
      <c r="BU25" s="25"/>
      <c r="BV25" s="25"/>
      <c r="BW25" s="25"/>
      <c r="BX25" s="25"/>
      <c r="BY25" s="25"/>
      <c r="BZ25" s="25"/>
      <c r="CA25" s="25"/>
      <c r="CB25" s="25"/>
      <c r="CC25" s="25"/>
      <c r="CD25" s="25"/>
      <c r="CE25" s="25"/>
      <c r="CF25" s="25"/>
      <c r="CG25" s="25"/>
      <c r="CH25" s="25"/>
      <c r="CI25" s="25"/>
      <c r="CJ25" s="25"/>
      <c r="CK25" s="25"/>
      <c r="CL25" s="25"/>
    </row>
    <row r="26" spans="3:90" x14ac:dyDescent="0.2">
      <c r="C26" s="184">
        <v>23</v>
      </c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5"/>
      <c r="P26" s="25"/>
      <c r="Q26" s="25"/>
      <c r="R26" s="25"/>
      <c r="S26" s="25"/>
      <c r="T26" s="25"/>
      <c r="U26" s="25"/>
      <c r="V26" s="25"/>
      <c r="W26" s="25"/>
      <c r="X26" s="25"/>
      <c r="Y26" s="25"/>
      <c r="Z26" s="25"/>
      <c r="AA26" s="25"/>
      <c r="AB26" s="25"/>
      <c r="AC26" s="25"/>
      <c r="AD26" s="25"/>
      <c r="AE26" s="25"/>
      <c r="AF26" s="25"/>
      <c r="AG26" s="25"/>
      <c r="AH26" s="25"/>
      <c r="AO26" s="25">
        <v>10000</v>
      </c>
      <c r="AS26" s="297">
        <f t="shared" si="2"/>
        <v>10000</v>
      </c>
      <c r="AT26" s="25">
        <f t="shared" si="0"/>
        <v>10000</v>
      </c>
      <c r="AU26" s="25">
        <f t="shared" si="1"/>
        <v>1</v>
      </c>
      <c r="AV26" s="295" t="str">
        <f>VLOOKUP(VLOOKUP($AU26,KOMBI!$A:$H,3,FALSE),data!$I$27:$J$29,2,FALSE)</f>
        <v>Mittesekkuv</v>
      </c>
      <c r="AW26" s="295" t="str">
        <f>VLOOKUP(VLOOKUP($AU26,KOMBI!$A:$H,2,FALSE),data!$I$21:$J$23,2,FALSE)</f>
        <v>Mittesekkuv</v>
      </c>
      <c r="AX26" s="295" t="str">
        <f>VLOOKUP(VLOOKUP($AU26,KOMBI!$A:$H,5,FALSE),data!$I$39:$J$41,2,FALSE)</f>
        <v>Mittesekkuv</v>
      </c>
      <c r="AY26" s="295" t="str">
        <f>VLOOKUP(VLOOKUP($AU26,KOMBI!$A:$H,4,FALSE),data!$I$32:$J$36,2,FALSE)</f>
        <v>LIB</v>
      </c>
      <c r="BA26" s="25"/>
      <c r="BB26" s="25"/>
      <c r="BC26" s="25"/>
      <c r="BD26" s="25"/>
      <c r="BE26" s="25"/>
      <c r="BF26" s="25"/>
      <c r="BG26" s="25"/>
      <c r="BH26" s="25"/>
      <c r="BI26" s="25"/>
      <c r="BJ26" s="25"/>
      <c r="BK26" s="25"/>
      <c r="BL26" s="25"/>
      <c r="BM26" s="25"/>
      <c r="BN26" s="25"/>
      <c r="BO26" s="25"/>
      <c r="BP26" s="25"/>
      <c r="BQ26" s="25"/>
      <c r="BR26" s="25"/>
      <c r="BS26" s="25"/>
      <c r="BT26" s="25"/>
      <c r="BU26" s="25"/>
      <c r="BV26" s="25"/>
      <c r="BW26" s="25"/>
      <c r="BX26" s="25"/>
      <c r="BY26" s="25"/>
      <c r="BZ26" s="25"/>
      <c r="CA26" s="25"/>
      <c r="CB26" s="25"/>
      <c r="CC26" s="25"/>
      <c r="CD26" s="25"/>
      <c r="CE26" s="25"/>
      <c r="CF26" s="25"/>
      <c r="CG26" s="25"/>
      <c r="CH26" s="25"/>
      <c r="CI26" s="25"/>
      <c r="CJ26" s="25"/>
      <c r="CK26" s="25"/>
      <c r="CL26" s="25"/>
    </row>
    <row r="27" spans="3:90" x14ac:dyDescent="0.2">
      <c r="C27" s="184">
        <v>24</v>
      </c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5"/>
      <c r="P27" s="25"/>
      <c r="Q27" s="25"/>
      <c r="R27" s="25"/>
      <c r="S27" s="25"/>
      <c r="T27" s="25"/>
      <c r="U27" s="25"/>
      <c r="V27" s="25"/>
      <c r="W27" s="25"/>
      <c r="X27" s="25"/>
      <c r="Y27" s="25"/>
      <c r="Z27" s="25"/>
      <c r="AA27" s="25"/>
      <c r="AB27" s="25"/>
      <c r="AC27" s="25"/>
      <c r="AD27" s="25"/>
      <c r="AE27" s="25"/>
      <c r="AF27" s="25"/>
      <c r="AG27" s="25"/>
      <c r="AH27" s="25"/>
      <c r="AO27" s="25">
        <v>10000</v>
      </c>
      <c r="AS27" s="297">
        <f t="shared" si="2"/>
        <v>10000</v>
      </c>
      <c r="AT27" s="25">
        <f t="shared" si="0"/>
        <v>10000</v>
      </c>
      <c r="AU27" s="25">
        <f t="shared" si="1"/>
        <v>1</v>
      </c>
      <c r="AV27" s="295" t="str">
        <f>VLOOKUP(VLOOKUP($AU27,KOMBI!$A:$H,3,FALSE),data!$I$27:$J$29,2,FALSE)</f>
        <v>Mittesekkuv</v>
      </c>
      <c r="AW27" s="295" t="str">
        <f>VLOOKUP(VLOOKUP($AU27,KOMBI!$A:$H,2,FALSE),data!$I$21:$J$23,2,FALSE)</f>
        <v>Mittesekkuv</v>
      </c>
      <c r="AX27" s="295" t="str">
        <f>VLOOKUP(VLOOKUP($AU27,KOMBI!$A:$H,5,FALSE),data!$I$39:$J$41,2,FALSE)</f>
        <v>Mittesekkuv</v>
      </c>
      <c r="AY27" s="295" t="str">
        <f>VLOOKUP(VLOOKUP($AU27,KOMBI!$A:$H,4,FALSE),data!$I$32:$J$36,2,FALSE)</f>
        <v>LIB</v>
      </c>
      <c r="BA27" s="25"/>
      <c r="BB27" s="25"/>
      <c r="BC27" s="25"/>
      <c r="BD27" s="25"/>
      <c r="BE27" s="25"/>
      <c r="BF27" s="25"/>
      <c r="BG27" s="25"/>
      <c r="BH27" s="25"/>
      <c r="BI27" s="25"/>
      <c r="BJ27" s="25"/>
      <c r="BK27" s="25"/>
      <c r="BL27" s="25"/>
      <c r="BM27" s="25"/>
      <c r="BN27" s="25"/>
      <c r="BO27" s="25"/>
      <c r="BP27" s="25"/>
      <c r="BQ27" s="25"/>
      <c r="BR27" s="25"/>
      <c r="BS27" s="25"/>
      <c r="BT27" s="25"/>
      <c r="BU27" s="25"/>
      <c r="BV27" s="25"/>
      <c r="BW27" s="25"/>
      <c r="BX27" s="25"/>
      <c r="BY27" s="25"/>
      <c r="BZ27" s="25"/>
      <c r="CA27" s="25"/>
      <c r="CB27" s="25"/>
      <c r="CC27" s="25"/>
      <c r="CD27" s="25"/>
      <c r="CE27" s="25"/>
      <c r="CF27" s="25"/>
      <c r="CG27" s="25"/>
      <c r="CH27" s="25"/>
      <c r="CI27" s="25"/>
      <c r="CJ27" s="25"/>
      <c r="CK27" s="25"/>
      <c r="CL27" s="25"/>
    </row>
    <row r="28" spans="3:90" x14ac:dyDescent="0.2">
      <c r="C28" s="184">
        <v>25</v>
      </c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5"/>
      <c r="P28" s="25"/>
      <c r="Q28" s="25"/>
      <c r="R28" s="25"/>
      <c r="S28" s="25"/>
      <c r="T28" s="25"/>
      <c r="U28" s="25"/>
      <c r="V28" s="25"/>
      <c r="W28" s="25"/>
      <c r="X28" s="25"/>
      <c r="Y28" s="25"/>
      <c r="Z28" s="25"/>
      <c r="AA28" s="25"/>
      <c r="AB28" s="25"/>
      <c r="AC28" s="25"/>
      <c r="AD28" s="25"/>
      <c r="AE28" s="25"/>
      <c r="AF28" s="25"/>
      <c r="AG28" s="25"/>
      <c r="AH28" s="25"/>
      <c r="AO28" s="25">
        <v>10000</v>
      </c>
      <c r="AS28" s="297">
        <f t="shared" si="2"/>
        <v>10000</v>
      </c>
      <c r="AT28" s="25">
        <f t="shared" si="0"/>
        <v>10000</v>
      </c>
      <c r="AU28" s="25">
        <f t="shared" si="1"/>
        <v>1</v>
      </c>
      <c r="AV28" s="295" t="str">
        <f>VLOOKUP(VLOOKUP($AU28,KOMBI!$A:$H,3,FALSE),data!$I$27:$J$29,2,FALSE)</f>
        <v>Mittesekkuv</v>
      </c>
      <c r="AW28" s="295" t="str">
        <f>VLOOKUP(VLOOKUP($AU28,KOMBI!$A:$H,2,FALSE),data!$I$21:$J$23,2,FALSE)</f>
        <v>Mittesekkuv</v>
      </c>
      <c r="AX28" s="295" t="str">
        <f>VLOOKUP(VLOOKUP($AU28,KOMBI!$A:$H,5,FALSE),data!$I$39:$J$41,2,FALSE)</f>
        <v>Mittesekkuv</v>
      </c>
      <c r="AY28" s="295" t="str">
        <f>VLOOKUP(VLOOKUP($AU28,KOMBI!$A:$H,4,FALSE),data!$I$32:$J$36,2,FALSE)</f>
        <v>LIB</v>
      </c>
      <c r="BA28" s="25"/>
      <c r="BB28" s="25"/>
      <c r="BC28" s="25"/>
      <c r="BD28" s="25"/>
      <c r="BE28" s="25"/>
      <c r="BF28" s="25"/>
      <c r="BG28" s="25"/>
      <c r="BH28" s="25"/>
      <c r="BI28" s="25"/>
      <c r="BJ28" s="25"/>
      <c r="BK28" s="25"/>
      <c r="BL28" s="25"/>
      <c r="BM28" s="25"/>
      <c r="BN28" s="25"/>
      <c r="BO28" s="25"/>
      <c r="BP28" s="25"/>
      <c r="BQ28" s="25"/>
      <c r="BR28" s="25"/>
      <c r="BS28" s="25"/>
      <c r="BT28" s="25"/>
      <c r="BU28" s="25"/>
      <c r="BV28" s="25"/>
      <c r="BW28" s="25"/>
      <c r="BX28" s="25"/>
      <c r="BY28" s="25"/>
      <c r="BZ28" s="25"/>
      <c r="CA28" s="25"/>
      <c r="CB28" s="25"/>
      <c r="CC28" s="25"/>
      <c r="CD28" s="25"/>
      <c r="CE28" s="25"/>
      <c r="CF28" s="25"/>
      <c r="CG28" s="25"/>
      <c r="CH28" s="25"/>
      <c r="CI28" s="25"/>
      <c r="CJ28" s="25"/>
      <c r="CK28" s="25"/>
      <c r="CL28" s="25"/>
    </row>
    <row r="29" spans="3:90" x14ac:dyDescent="0.2">
      <c r="C29" s="184">
        <v>26</v>
      </c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5"/>
      <c r="P29" s="25"/>
      <c r="Q29" s="25"/>
      <c r="R29" s="25"/>
      <c r="S29" s="25"/>
      <c r="T29" s="25"/>
      <c r="U29" s="25"/>
      <c r="V29" s="25"/>
      <c r="W29" s="25"/>
      <c r="X29" s="25"/>
      <c r="Y29" s="25"/>
      <c r="Z29" s="25"/>
      <c r="AA29" s="25"/>
      <c r="AB29" s="25"/>
      <c r="AC29" s="25"/>
      <c r="AD29" s="25"/>
      <c r="AE29" s="25"/>
      <c r="AF29" s="25"/>
      <c r="AG29" s="25"/>
      <c r="AH29" s="25"/>
      <c r="AO29" s="25">
        <v>10000</v>
      </c>
      <c r="AS29" s="297">
        <f t="shared" si="2"/>
        <v>10000</v>
      </c>
      <c r="AT29" s="25">
        <f t="shared" si="0"/>
        <v>10000</v>
      </c>
      <c r="AU29" s="25">
        <f t="shared" si="1"/>
        <v>1</v>
      </c>
      <c r="AV29" s="295" t="str">
        <f>VLOOKUP(VLOOKUP($AU29,KOMBI!$A:$H,3,FALSE),data!$I$27:$J$29,2,FALSE)</f>
        <v>Mittesekkuv</v>
      </c>
      <c r="AW29" s="295" t="str">
        <f>VLOOKUP(VLOOKUP($AU29,KOMBI!$A:$H,2,FALSE),data!$I$21:$J$23,2,FALSE)</f>
        <v>Mittesekkuv</v>
      </c>
      <c r="AX29" s="295" t="str">
        <f>VLOOKUP(VLOOKUP($AU29,KOMBI!$A:$H,5,FALSE),data!$I$39:$J$41,2,FALSE)</f>
        <v>Mittesekkuv</v>
      </c>
      <c r="AY29" s="295" t="str">
        <f>VLOOKUP(VLOOKUP($AU29,KOMBI!$A:$H,4,FALSE),data!$I$32:$J$36,2,FALSE)</f>
        <v>LIB</v>
      </c>
      <c r="BA29" s="25"/>
      <c r="BB29" s="25"/>
      <c r="BC29" s="25"/>
      <c r="BD29" s="25"/>
      <c r="BE29" s="25"/>
      <c r="BF29" s="25"/>
      <c r="BG29" s="25"/>
      <c r="BH29" s="25"/>
      <c r="BI29" s="25"/>
      <c r="BJ29" s="25"/>
      <c r="BK29" s="25"/>
      <c r="BL29" s="25"/>
      <c r="BM29" s="25"/>
      <c r="BN29" s="25"/>
      <c r="BO29" s="25"/>
      <c r="BP29" s="25"/>
      <c r="BQ29" s="25"/>
      <c r="BR29" s="25"/>
      <c r="BS29" s="25"/>
      <c r="BT29" s="25"/>
      <c r="BU29" s="25"/>
      <c r="BV29" s="25"/>
      <c r="BW29" s="25"/>
      <c r="BX29" s="25"/>
      <c r="BY29" s="25"/>
      <c r="BZ29" s="25"/>
      <c r="CA29" s="25"/>
      <c r="CB29" s="25"/>
      <c r="CC29" s="25"/>
      <c r="CD29" s="25"/>
      <c r="CE29" s="25"/>
      <c r="CF29" s="25"/>
      <c r="CG29" s="25"/>
      <c r="CH29" s="25"/>
      <c r="CI29" s="25"/>
      <c r="CJ29" s="25"/>
      <c r="CK29" s="25"/>
      <c r="CL29" s="25"/>
    </row>
    <row r="30" spans="3:90" x14ac:dyDescent="0.2">
      <c r="C30" s="184">
        <v>27</v>
      </c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25"/>
      <c r="P30" s="25"/>
      <c r="Q30" s="25"/>
      <c r="R30" s="25"/>
      <c r="S30" s="25"/>
      <c r="T30" s="25"/>
      <c r="U30" s="25"/>
      <c r="V30" s="25"/>
      <c r="W30" s="25"/>
      <c r="X30" s="25"/>
      <c r="Y30" s="25"/>
      <c r="Z30" s="25"/>
      <c r="AA30" s="25"/>
      <c r="AB30" s="25"/>
      <c r="AC30" s="25"/>
      <c r="AD30" s="25"/>
      <c r="AE30" s="25"/>
      <c r="AF30" s="25"/>
      <c r="AG30" s="25"/>
      <c r="AH30" s="25"/>
      <c r="AO30" s="25">
        <v>10000</v>
      </c>
      <c r="AS30" s="297">
        <f t="shared" si="2"/>
        <v>10000</v>
      </c>
      <c r="AT30" s="25">
        <f t="shared" si="0"/>
        <v>10000</v>
      </c>
      <c r="AU30" s="25">
        <f t="shared" si="1"/>
        <v>1</v>
      </c>
      <c r="AV30" s="295" t="str">
        <f>VLOOKUP(VLOOKUP($AU30,KOMBI!$A:$H,3,FALSE),data!$I$27:$J$29,2,FALSE)</f>
        <v>Mittesekkuv</v>
      </c>
      <c r="AW30" s="295" t="str">
        <f>VLOOKUP(VLOOKUP($AU30,KOMBI!$A:$H,2,FALSE),data!$I$21:$J$23,2,FALSE)</f>
        <v>Mittesekkuv</v>
      </c>
      <c r="AX30" s="295" t="str">
        <f>VLOOKUP(VLOOKUP($AU30,KOMBI!$A:$H,5,FALSE),data!$I$39:$J$41,2,FALSE)</f>
        <v>Mittesekkuv</v>
      </c>
      <c r="AY30" s="295" t="str">
        <f>VLOOKUP(VLOOKUP($AU30,KOMBI!$A:$H,4,FALSE),data!$I$32:$J$36,2,FALSE)</f>
        <v>LIB</v>
      </c>
      <c r="BA30" s="25"/>
      <c r="BB30" s="25"/>
      <c r="BC30" s="25"/>
      <c r="BD30" s="25"/>
      <c r="BE30" s="25"/>
      <c r="BF30" s="25"/>
      <c r="BG30" s="25"/>
      <c r="BH30" s="25"/>
      <c r="BI30" s="25"/>
      <c r="BJ30" s="25"/>
      <c r="BK30" s="25"/>
      <c r="BL30" s="25"/>
      <c r="BM30" s="25"/>
      <c r="BN30" s="25"/>
      <c r="BO30" s="25"/>
      <c r="BP30" s="25"/>
      <c r="BQ30" s="25"/>
      <c r="BR30" s="25"/>
      <c r="BS30" s="25"/>
      <c r="BT30" s="25"/>
      <c r="BU30" s="25"/>
      <c r="BV30" s="25"/>
      <c r="BW30" s="25"/>
      <c r="BX30" s="25"/>
      <c r="BY30" s="25"/>
      <c r="BZ30" s="25"/>
      <c r="CA30" s="25"/>
      <c r="CB30" s="25"/>
      <c r="CC30" s="25"/>
      <c r="CD30" s="25"/>
      <c r="CE30" s="25"/>
      <c r="CF30" s="25"/>
      <c r="CG30" s="25"/>
      <c r="CH30" s="25"/>
      <c r="CI30" s="25"/>
      <c r="CJ30" s="25"/>
      <c r="CK30" s="25"/>
      <c r="CL30" s="25"/>
    </row>
    <row r="31" spans="3:90" x14ac:dyDescent="0.2">
      <c r="C31" s="184">
        <v>28</v>
      </c>
      <c r="D31" s="25"/>
      <c r="E31" s="25"/>
      <c r="F31" s="25"/>
      <c r="G31" s="25"/>
      <c r="H31" s="25"/>
      <c r="I31" s="25"/>
      <c r="J31" s="25"/>
      <c r="K31" s="25"/>
      <c r="L31" s="25"/>
      <c r="M31" s="25"/>
      <c r="N31" s="25"/>
      <c r="O31" s="25"/>
      <c r="P31" s="25"/>
      <c r="Q31" s="25"/>
      <c r="R31" s="25"/>
      <c r="S31" s="25"/>
      <c r="T31" s="25"/>
      <c r="U31" s="25"/>
      <c r="V31" s="25"/>
      <c r="W31" s="25"/>
      <c r="X31" s="25"/>
      <c r="Y31" s="25"/>
      <c r="Z31" s="25"/>
      <c r="AA31" s="25"/>
      <c r="AB31" s="25"/>
      <c r="AC31" s="25"/>
      <c r="AD31" s="25"/>
      <c r="AE31" s="25"/>
      <c r="AF31" s="25"/>
      <c r="AG31" s="25"/>
      <c r="AH31" s="25"/>
      <c r="AO31" s="25">
        <v>10000</v>
      </c>
      <c r="AS31" s="297">
        <f t="shared" si="2"/>
        <v>10000</v>
      </c>
      <c r="AT31" s="25">
        <f t="shared" si="0"/>
        <v>10000</v>
      </c>
      <c r="AU31" s="25">
        <f t="shared" si="1"/>
        <v>1</v>
      </c>
      <c r="AV31" s="295" t="str">
        <f>VLOOKUP(VLOOKUP($AU31,KOMBI!$A:$H,3,FALSE),data!$I$27:$J$29,2,FALSE)</f>
        <v>Mittesekkuv</v>
      </c>
      <c r="AW31" s="295" t="str">
        <f>VLOOKUP(VLOOKUP($AU31,KOMBI!$A:$H,2,FALSE),data!$I$21:$J$23,2,FALSE)</f>
        <v>Mittesekkuv</v>
      </c>
      <c r="AX31" s="295" t="str">
        <f>VLOOKUP(VLOOKUP($AU31,KOMBI!$A:$H,5,FALSE),data!$I$39:$J$41,2,FALSE)</f>
        <v>Mittesekkuv</v>
      </c>
      <c r="AY31" s="295" t="str">
        <f>VLOOKUP(VLOOKUP($AU31,KOMBI!$A:$H,4,FALSE),data!$I$32:$J$36,2,FALSE)</f>
        <v>LIB</v>
      </c>
      <c r="BA31" s="25"/>
      <c r="BB31" s="25"/>
      <c r="BC31" s="25"/>
      <c r="BD31" s="25"/>
      <c r="BE31" s="25"/>
      <c r="BF31" s="25"/>
      <c r="BG31" s="25"/>
      <c r="BH31" s="25"/>
      <c r="BI31" s="25"/>
      <c r="BJ31" s="25"/>
      <c r="BK31" s="25"/>
      <c r="BL31" s="25"/>
      <c r="BM31" s="25"/>
      <c r="BN31" s="25"/>
      <c r="BO31" s="25"/>
      <c r="BP31" s="25"/>
      <c r="BQ31" s="25"/>
      <c r="BR31" s="25"/>
      <c r="BS31" s="25"/>
      <c r="BT31" s="25"/>
      <c r="BU31" s="25"/>
      <c r="BV31" s="25"/>
      <c r="BW31" s="25"/>
      <c r="BX31" s="25"/>
      <c r="BY31" s="25"/>
      <c r="BZ31" s="25"/>
      <c r="CA31" s="25"/>
      <c r="CB31" s="25"/>
      <c r="CC31" s="25"/>
      <c r="CD31" s="25"/>
      <c r="CE31" s="25"/>
      <c r="CF31" s="25"/>
      <c r="CG31" s="25"/>
      <c r="CH31" s="25"/>
      <c r="CI31" s="25"/>
      <c r="CJ31" s="25"/>
      <c r="CK31" s="25"/>
      <c r="CL31" s="25"/>
    </row>
    <row r="32" spans="3:90" x14ac:dyDescent="0.2">
      <c r="C32" s="184">
        <v>29</v>
      </c>
      <c r="D32" s="25"/>
      <c r="E32" s="25"/>
      <c r="F32" s="25"/>
      <c r="G32" s="25"/>
      <c r="H32" s="25"/>
      <c r="I32" s="25"/>
      <c r="J32" s="25"/>
      <c r="K32" s="25"/>
      <c r="L32" s="25"/>
      <c r="M32" s="25"/>
      <c r="N32" s="25"/>
      <c r="O32" s="25"/>
      <c r="P32" s="25"/>
      <c r="Q32" s="25"/>
      <c r="R32" s="25"/>
      <c r="S32" s="25"/>
      <c r="T32" s="25"/>
      <c r="U32" s="25"/>
      <c r="V32" s="25"/>
      <c r="W32" s="25"/>
      <c r="X32" s="25"/>
      <c r="Y32" s="25"/>
      <c r="Z32" s="25"/>
      <c r="AA32" s="25"/>
      <c r="AB32" s="25"/>
      <c r="AC32" s="25"/>
      <c r="AD32" s="25"/>
      <c r="AE32" s="25"/>
      <c r="AF32" s="25"/>
      <c r="AG32" s="25"/>
      <c r="AH32" s="25"/>
      <c r="AO32" s="25">
        <v>10000</v>
      </c>
      <c r="AS32" s="297">
        <f t="shared" si="2"/>
        <v>10000</v>
      </c>
      <c r="AT32" s="25">
        <f t="shared" si="0"/>
        <v>10000</v>
      </c>
      <c r="AU32" s="25">
        <f t="shared" si="1"/>
        <v>1</v>
      </c>
      <c r="AV32" s="295" t="str">
        <f>VLOOKUP(VLOOKUP($AU32,KOMBI!$A:$H,3,FALSE),data!$I$27:$J$29,2,FALSE)</f>
        <v>Mittesekkuv</v>
      </c>
      <c r="AW32" s="295" t="str">
        <f>VLOOKUP(VLOOKUP($AU32,KOMBI!$A:$H,2,FALSE),data!$I$21:$J$23,2,FALSE)</f>
        <v>Mittesekkuv</v>
      </c>
      <c r="AX32" s="295" t="str">
        <f>VLOOKUP(VLOOKUP($AU32,KOMBI!$A:$H,5,FALSE),data!$I$39:$J$41,2,FALSE)</f>
        <v>Mittesekkuv</v>
      </c>
      <c r="AY32" s="295" t="str">
        <f>VLOOKUP(VLOOKUP($AU32,KOMBI!$A:$H,4,FALSE),data!$I$32:$J$36,2,FALSE)</f>
        <v>LIB</v>
      </c>
      <c r="BA32" s="25"/>
      <c r="BB32" s="25"/>
      <c r="BC32" s="25"/>
      <c r="BD32" s="25"/>
      <c r="BE32" s="25"/>
      <c r="BF32" s="25"/>
      <c r="BG32" s="25"/>
      <c r="BH32" s="25"/>
      <c r="BI32" s="25"/>
      <c r="BJ32" s="25"/>
      <c r="BK32" s="25"/>
      <c r="BL32" s="25"/>
      <c r="BM32" s="25"/>
      <c r="BN32" s="25"/>
      <c r="BO32" s="25"/>
      <c r="BP32" s="25"/>
      <c r="BQ32" s="25"/>
      <c r="BR32" s="25"/>
      <c r="BS32" s="25"/>
      <c r="BT32" s="25"/>
      <c r="BU32" s="25"/>
      <c r="BV32" s="25"/>
      <c r="BW32" s="25"/>
      <c r="BX32" s="25"/>
      <c r="BY32" s="25"/>
      <c r="BZ32" s="25"/>
      <c r="CA32" s="25"/>
      <c r="CB32" s="25"/>
      <c r="CC32" s="25"/>
      <c r="CD32" s="25"/>
      <c r="CE32" s="25"/>
      <c r="CF32" s="25"/>
      <c r="CG32" s="25"/>
      <c r="CH32" s="25"/>
      <c r="CI32" s="25"/>
      <c r="CJ32" s="25"/>
      <c r="CK32" s="25"/>
      <c r="CL32" s="25"/>
    </row>
    <row r="33" spans="3:90" x14ac:dyDescent="0.2">
      <c r="C33" s="184">
        <v>30</v>
      </c>
      <c r="D33" s="25"/>
      <c r="E33" s="25"/>
      <c r="F33" s="25"/>
      <c r="G33" s="25"/>
      <c r="H33" s="25"/>
      <c r="I33" s="25"/>
      <c r="J33" s="25"/>
      <c r="K33" s="25"/>
      <c r="L33" s="25"/>
      <c r="M33" s="25"/>
      <c r="N33" s="25"/>
      <c r="O33" s="25"/>
      <c r="P33" s="25"/>
      <c r="Q33" s="25"/>
      <c r="R33" s="25"/>
      <c r="S33" s="25"/>
      <c r="T33" s="25"/>
      <c r="U33" s="25"/>
      <c r="V33" s="25"/>
      <c r="W33" s="25"/>
      <c r="X33" s="25"/>
      <c r="Y33" s="25"/>
      <c r="Z33" s="25"/>
      <c r="AA33" s="25"/>
      <c r="AB33" s="25"/>
      <c r="AC33" s="25"/>
      <c r="AD33" s="25"/>
      <c r="AE33" s="25"/>
      <c r="AF33" s="25"/>
      <c r="AG33" s="25"/>
      <c r="AH33" s="25"/>
      <c r="AO33" s="25">
        <v>10000</v>
      </c>
      <c r="AS33" s="297">
        <f t="shared" si="2"/>
        <v>10000</v>
      </c>
      <c r="AT33" s="25">
        <f t="shared" si="0"/>
        <v>10000</v>
      </c>
      <c r="AU33" s="25">
        <f t="shared" si="1"/>
        <v>1</v>
      </c>
      <c r="AV33" s="295" t="str">
        <f>VLOOKUP(VLOOKUP($AU33,KOMBI!$A:$H,3,FALSE),data!$I$27:$J$29,2,FALSE)</f>
        <v>Mittesekkuv</v>
      </c>
      <c r="AW33" s="295" t="str">
        <f>VLOOKUP(VLOOKUP($AU33,KOMBI!$A:$H,2,FALSE),data!$I$21:$J$23,2,FALSE)</f>
        <v>Mittesekkuv</v>
      </c>
      <c r="AX33" s="295" t="str">
        <f>VLOOKUP(VLOOKUP($AU33,KOMBI!$A:$H,5,FALSE),data!$I$39:$J$41,2,FALSE)</f>
        <v>Mittesekkuv</v>
      </c>
      <c r="AY33" s="295" t="str">
        <f>VLOOKUP(VLOOKUP($AU33,KOMBI!$A:$H,4,FALSE),data!$I$32:$J$36,2,FALSE)</f>
        <v>LIB</v>
      </c>
      <c r="BA33" s="25"/>
      <c r="BB33" s="25"/>
      <c r="BC33" s="25"/>
      <c r="BD33" s="25"/>
      <c r="BE33" s="25"/>
      <c r="BF33" s="25"/>
      <c r="BG33" s="25"/>
      <c r="BH33" s="25"/>
      <c r="BI33" s="25"/>
      <c r="BJ33" s="25"/>
      <c r="BK33" s="25"/>
      <c r="BL33" s="25"/>
      <c r="BM33" s="25"/>
      <c r="BN33" s="25"/>
      <c r="BO33" s="25"/>
      <c r="BP33" s="25"/>
      <c r="BQ33" s="25"/>
      <c r="BR33" s="25"/>
      <c r="BS33" s="25"/>
      <c r="BT33" s="25"/>
      <c r="BU33" s="25"/>
      <c r="BV33" s="25"/>
      <c r="BW33" s="25"/>
      <c r="BX33" s="25"/>
      <c r="BY33" s="25"/>
      <c r="BZ33" s="25"/>
      <c r="CA33" s="25"/>
      <c r="CB33" s="25"/>
      <c r="CC33" s="25"/>
      <c r="CD33" s="25"/>
      <c r="CE33" s="25"/>
      <c r="CF33" s="25"/>
      <c r="CG33" s="25"/>
      <c r="CH33" s="25"/>
      <c r="CI33" s="25"/>
      <c r="CJ33" s="25"/>
      <c r="CK33" s="25"/>
      <c r="CL33" s="25"/>
    </row>
    <row r="34" spans="3:90" x14ac:dyDescent="0.2">
      <c r="C34" s="184">
        <v>31</v>
      </c>
      <c r="D34" s="25"/>
      <c r="E34" s="25"/>
      <c r="F34" s="25"/>
      <c r="G34" s="25"/>
      <c r="H34" s="25"/>
      <c r="I34" s="25"/>
      <c r="J34" s="25"/>
      <c r="K34" s="25"/>
      <c r="L34" s="25"/>
      <c r="M34" s="25"/>
      <c r="N34" s="25"/>
      <c r="O34" s="25"/>
      <c r="P34" s="25"/>
      <c r="Q34" s="25"/>
      <c r="R34" s="25"/>
      <c r="S34" s="25"/>
      <c r="T34" s="25"/>
      <c r="U34" s="25"/>
      <c r="V34" s="25"/>
      <c r="W34" s="25"/>
      <c r="X34" s="25"/>
      <c r="Y34" s="25"/>
      <c r="Z34" s="25"/>
      <c r="AA34" s="25"/>
      <c r="AB34" s="25"/>
      <c r="AC34" s="25"/>
      <c r="AD34" s="25"/>
      <c r="AE34" s="25"/>
      <c r="AF34" s="25"/>
      <c r="AG34" s="25"/>
      <c r="AH34" s="25"/>
      <c r="AO34" s="25">
        <v>10000</v>
      </c>
      <c r="AS34" s="297">
        <f t="shared" si="2"/>
        <v>10000</v>
      </c>
      <c r="AT34" s="25">
        <f t="shared" si="0"/>
        <v>10000</v>
      </c>
      <c r="AU34" s="25">
        <f t="shared" si="1"/>
        <v>1</v>
      </c>
      <c r="AV34" s="295" t="str">
        <f>VLOOKUP(VLOOKUP($AU34,KOMBI!$A:$H,3,FALSE),data!$I$27:$J$29,2,FALSE)</f>
        <v>Mittesekkuv</v>
      </c>
      <c r="AW34" s="295" t="str">
        <f>VLOOKUP(VLOOKUP($AU34,KOMBI!$A:$H,2,FALSE),data!$I$21:$J$23,2,FALSE)</f>
        <v>Mittesekkuv</v>
      </c>
      <c r="AX34" s="295" t="str">
        <f>VLOOKUP(VLOOKUP($AU34,KOMBI!$A:$H,5,FALSE),data!$I$39:$J$41,2,FALSE)</f>
        <v>Mittesekkuv</v>
      </c>
      <c r="AY34" s="295" t="str">
        <f>VLOOKUP(VLOOKUP($AU34,KOMBI!$A:$H,4,FALSE),data!$I$32:$J$36,2,FALSE)</f>
        <v>LIB</v>
      </c>
      <c r="BA34" s="25"/>
      <c r="BB34" s="25"/>
      <c r="BC34" s="25"/>
      <c r="BD34" s="25"/>
      <c r="BE34" s="25"/>
      <c r="BF34" s="25"/>
      <c r="BG34" s="25"/>
      <c r="BH34" s="25"/>
      <c r="BI34" s="25"/>
      <c r="BJ34" s="25"/>
      <c r="BK34" s="25"/>
      <c r="BL34" s="25"/>
      <c r="BM34" s="25"/>
      <c r="BN34" s="25"/>
      <c r="BO34" s="25"/>
      <c r="BP34" s="25"/>
      <c r="BQ34" s="25"/>
      <c r="BR34" s="25"/>
      <c r="BS34" s="25"/>
      <c r="BT34" s="25"/>
      <c r="BU34" s="25"/>
      <c r="BV34" s="25"/>
      <c r="BW34" s="25"/>
      <c r="BX34" s="25"/>
      <c r="BY34" s="25"/>
      <c r="BZ34" s="25"/>
      <c r="CA34" s="25"/>
      <c r="CB34" s="25"/>
      <c r="CC34" s="25"/>
      <c r="CD34" s="25"/>
      <c r="CE34" s="25"/>
      <c r="CF34" s="25"/>
      <c r="CG34" s="25"/>
      <c r="CH34" s="25"/>
      <c r="CI34" s="25"/>
      <c r="CJ34" s="25"/>
      <c r="CK34" s="25"/>
      <c r="CL34" s="25"/>
    </row>
    <row r="35" spans="3:90" x14ac:dyDescent="0.2">
      <c r="C35" s="184">
        <v>32</v>
      </c>
      <c r="D35" s="25"/>
      <c r="E35" s="25"/>
      <c r="F35" s="25"/>
      <c r="G35" s="25"/>
      <c r="H35" s="25"/>
      <c r="I35" s="25"/>
      <c r="J35" s="25"/>
      <c r="K35" s="25"/>
      <c r="L35" s="25"/>
      <c r="M35" s="25"/>
      <c r="N35" s="25"/>
      <c r="O35" s="25"/>
      <c r="P35" s="25"/>
      <c r="Q35" s="25"/>
      <c r="R35" s="25"/>
      <c r="S35" s="25"/>
      <c r="T35" s="25"/>
      <c r="U35" s="25"/>
      <c r="V35" s="25"/>
      <c r="W35" s="25"/>
      <c r="X35" s="25"/>
      <c r="Y35" s="25"/>
      <c r="Z35" s="25"/>
      <c r="AA35" s="25"/>
      <c r="AB35" s="25"/>
      <c r="AC35" s="25"/>
      <c r="AD35" s="25"/>
      <c r="AE35" s="25"/>
      <c r="AF35" s="25"/>
      <c r="AG35" s="25"/>
      <c r="AH35" s="25"/>
      <c r="AO35" s="25">
        <v>10000</v>
      </c>
      <c r="AS35" s="297">
        <f t="shared" si="2"/>
        <v>10000</v>
      </c>
      <c r="AT35" s="25">
        <f t="shared" si="0"/>
        <v>10000</v>
      </c>
      <c r="AU35" s="25">
        <f t="shared" si="1"/>
        <v>1</v>
      </c>
      <c r="AV35" s="295" t="str">
        <f>VLOOKUP(VLOOKUP($AU35,KOMBI!$A:$H,3,FALSE),data!$I$27:$J$29,2,FALSE)</f>
        <v>Mittesekkuv</v>
      </c>
      <c r="AW35" s="295" t="str">
        <f>VLOOKUP(VLOOKUP($AU35,KOMBI!$A:$H,2,FALSE),data!$I$21:$J$23,2,FALSE)</f>
        <v>Mittesekkuv</v>
      </c>
      <c r="AX35" s="295" t="str">
        <f>VLOOKUP(VLOOKUP($AU35,KOMBI!$A:$H,5,FALSE),data!$I$39:$J$41,2,FALSE)</f>
        <v>Mittesekkuv</v>
      </c>
      <c r="AY35" s="295" t="str">
        <f>VLOOKUP(VLOOKUP($AU35,KOMBI!$A:$H,4,FALSE),data!$I$32:$J$36,2,FALSE)</f>
        <v>LIB</v>
      </c>
      <c r="BA35" s="25"/>
      <c r="BB35" s="25"/>
      <c r="BC35" s="25"/>
      <c r="BD35" s="25"/>
      <c r="BE35" s="25"/>
      <c r="BF35" s="25"/>
      <c r="BG35" s="25"/>
      <c r="BH35" s="25"/>
      <c r="BI35" s="25"/>
      <c r="BJ35" s="25"/>
      <c r="BK35" s="25"/>
      <c r="BL35" s="25"/>
      <c r="BM35" s="25"/>
      <c r="BN35" s="25"/>
      <c r="BO35" s="25"/>
      <c r="BP35" s="25"/>
      <c r="BQ35" s="25"/>
      <c r="BR35" s="25"/>
      <c r="BS35" s="25"/>
      <c r="BT35" s="25"/>
      <c r="BU35" s="25"/>
      <c r="BV35" s="25"/>
      <c r="BW35" s="25"/>
      <c r="BX35" s="25"/>
      <c r="BY35" s="25"/>
      <c r="BZ35" s="25"/>
      <c r="CA35" s="25"/>
      <c r="CB35" s="25"/>
      <c r="CC35" s="25"/>
      <c r="CD35" s="25"/>
      <c r="CE35" s="25"/>
      <c r="CF35" s="25"/>
      <c r="CG35" s="25"/>
      <c r="CH35" s="25"/>
      <c r="CI35" s="25"/>
      <c r="CJ35" s="25"/>
      <c r="CK35" s="25"/>
      <c r="CL35" s="25"/>
    </row>
    <row r="36" spans="3:90" x14ac:dyDescent="0.2">
      <c r="C36" s="184">
        <v>33</v>
      </c>
      <c r="D36" s="25"/>
      <c r="E36" s="25"/>
      <c r="F36" s="25"/>
      <c r="G36" s="25"/>
      <c r="H36" s="25"/>
      <c r="I36" s="25"/>
      <c r="J36" s="25"/>
      <c r="K36" s="25"/>
      <c r="L36" s="25"/>
      <c r="M36" s="25"/>
      <c r="N36" s="25"/>
      <c r="O36" s="25"/>
      <c r="P36" s="25"/>
      <c r="Q36" s="25"/>
      <c r="R36" s="25"/>
      <c r="S36" s="25"/>
      <c r="T36" s="25"/>
      <c r="U36" s="25"/>
      <c r="V36" s="25"/>
      <c r="W36" s="25"/>
      <c r="X36" s="25"/>
      <c r="Y36" s="25"/>
      <c r="Z36" s="25"/>
      <c r="AA36" s="25"/>
      <c r="AB36" s="25"/>
      <c r="AC36" s="25"/>
      <c r="AD36" s="25"/>
      <c r="AE36" s="25"/>
      <c r="AF36" s="25"/>
      <c r="AG36" s="25"/>
      <c r="AH36" s="25"/>
      <c r="AO36" s="25">
        <v>10000</v>
      </c>
      <c r="AS36" s="297">
        <f t="shared" si="2"/>
        <v>10000</v>
      </c>
      <c r="AT36" s="25">
        <f t="shared" ref="AT36:AT67" si="3">SMALL($AS$4:$AS$138,ROW(33:33))</f>
        <v>10000</v>
      </c>
      <c r="AU36" s="25">
        <f t="shared" ref="AU36:AU67" si="4">INDEX($C$2:$AS$138,MATCH($AT36,$AS$2:$AS$138,0),1)</f>
        <v>1</v>
      </c>
      <c r="AV36" s="295" t="str">
        <f>VLOOKUP(VLOOKUP($AU36,KOMBI!$A:$H,3,FALSE),data!$I$27:$J$29,2,FALSE)</f>
        <v>Mittesekkuv</v>
      </c>
      <c r="AW36" s="295" t="str">
        <f>VLOOKUP(VLOOKUP($AU36,KOMBI!$A:$H,2,FALSE),data!$I$21:$J$23,2,FALSE)</f>
        <v>Mittesekkuv</v>
      </c>
      <c r="AX36" s="295" t="str">
        <f>VLOOKUP(VLOOKUP($AU36,KOMBI!$A:$H,5,FALSE),data!$I$39:$J$41,2,FALSE)</f>
        <v>Mittesekkuv</v>
      </c>
      <c r="AY36" s="295" t="str">
        <f>VLOOKUP(VLOOKUP($AU36,KOMBI!$A:$H,4,FALSE),data!$I$32:$J$36,2,FALSE)</f>
        <v>LIB</v>
      </c>
      <c r="BA36" s="25"/>
      <c r="BB36" s="25"/>
      <c r="BC36" s="25"/>
      <c r="BD36" s="25"/>
      <c r="BE36" s="25"/>
      <c r="BF36" s="25"/>
      <c r="BG36" s="25"/>
      <c r="BH36" s="25"/>
      <c r="BI36" s="25"/>
      <c r="BJ36" s="25"/>
      <c r="BK36" s="25"/>
      <c r="BL36" s="25"/>
      <c r="BM36" s="25"/>
      <c r="BN36" s="25"/>
      <c r="BO36" s="25"/>
      <c r="BP36" s="25"/>
      <c r="BQ36" s="25"/>
      <c r="BR36" s="25"/>
      <c r="BS36" s="25"/>
      <c r="BT36" s="25"/>
      <c r="BU36" s="25"/>
      <c r="BV36" s="25"/>
      <c r="BW36" s="25"/>
      <c r="BX36" s="25"/>
      <c r="BY36" s="25"/>
      <c r="BZ36" s="25"/>
      <c r="CA36" s="25"/>
      <c r="CB36" s="25"/>
      <c r="CC36" s="25"/>
      <c r="CD36" s="25"/>
      <c r="CE36" s="25"/>
      <c r="CF36" s="25"/>
      <c r="CG36" s="25"/>
      <c r="CH36" s="25"/>
      <c r="CI36" s="25"/>
      <c r="CJ36" s="25"/>
      <c r="CK36" s="25"/>
      <c r="CL36" s="25"/>
    </row>
    <row r="37" spans="3:90" x14ac:dyDescent="0.2">
      <c r="C37" s="184">
        <v>34</v>
      </c>
      <c r="D37" s="25"/>
      <c r="E37" s="25"/>
      <c r="F37" s="25"/>
      <c r="G37" s="25"/>
      <c r="H37" s="25"/>
      <c r="I37" s="25"/>
      <c r="J37" s="25"/>
      <c r="K37" s="25"/>
      <c r="L37" s="25"/>
      <c r="M37" s="25"/>
      <c r="N37" s="25"/>
      <c r="O37" s="25"/>
      <c r="P37" s="25"/>
      <c r="Q37" s="25"/>
      <c r="R37" s="25"/>
      <c r="S37" s="25"/>
      <c r="T37" s="25"/>
      <c r="U37" s="25"/>
      <c r="V37" s="25"/>
      <c r="W37" s="25"/>
      <c r="X37" s="25"/>
      <c r="Y37" s="25"/>
      <c r="Z37" s="25"/>
      <c r="AA37" s="25"/>
      <c r="AB37" s="25"/>
      <c r="AC37" s="25"/>
      <c r="AD37" s="25"/>
      <c r="AE37" s="25"/>
      <c r="AF37" s="25"/>
      <c r="AG37" s="25"/>
      <c r="AH37" s="25"/>
      <c r="AO37" s="25">
        <v>10000</v>
      </c>
      <c r="AS37" s="297">
        <f t="shared" si="2"/>
        <v>10000</v>
      </c>
      <c r="AT37" s="25">
        <f t="shared" si="3"/>
        <v>10000</v>
      </c>
      <c r="AU37" s="25">
        <f t="shared" si="4"/>
        <v>1</v>
      </c>
      <c r="AV37" s="295" t="str">
        <f>VLOOKUP(VLOOKUP($AU37,KOMBI!$A:$H,3,FALSE),data!$I$27:$J$29,2,FALSE)</f>
        <v>Mittesekkuv</v>
      </c>
      <c r="AW37" s="295" t="str">
        <f>VLOOKUP(VLOOKUP($AU37,KOMBI!$A:$H,2,FALSE),data!$I$21:$J$23,2,FALSE)</f>
        <v>Mittesekkuv</v>
      </c>
      <c r="AX37" s="295" t="str">
        <f>VLOOKUP(VLOOKUP($AU37,KOMBI!$A:$H,5,FALSE),data!$I$39:$J$41,2,FALSE)</f>
        <v>Mittesekkuv</v>
      </c>
      <c r="AY37" s="295" t="str">
        <f>VLOOKUP(VLOOKUP($AU37,KOMBI!$A:$H,4,FALSE),data!$I$32:$J$36,2,FALSE)</f>
        <v>LIB</v>
      </c>
      <c r="BA37" s="25"/>
      <c r="BB37" s="25"/>
      <c r="BC37" s="25"/>
      <c r="BD37" s="25"/>
      <c r="BE37" s="25"/>
      <c r="BF37" s="25"/>
      <c r="BG37" s="25"/>
      <c r="BH37" s="25"/>
      <c r="BI37" s="25"/>
      <c r="BJ37" s="25"/>
      <c r="BK37" s="25"/>
      <c r="BL37" s="25"/>
      <c r="BM37" s="25"/>
      <c r="BN37" s="25"/>
      <c r="BO37" s="25"/>
      <c r="BP37" s="25"/>
      <c r="BQ37" s="25"/>
      <c r="BR37" s="25"/>
      <c r="BS37" s="25"/>
      <c r="BT37" s="25"/>
      <c r="BU37" s="25"/>
      <c r="BV37" s="25"/>
      <c r="BW37" s="25"/>
      <c r="BX37" s="25"/>
      <c r="BY37" s="25"/>
      <c r="BZ37" s="25"/>
      <c r="CA37" s="25"/>
      <c r="CB37" s="25"/>
      <c r="CC37" s="25"/>
      <c r="CD37" s="25"/>
      <c r="CE37" s="25"/>
      <c r="CF37" s="25"/>
      <c r="CG37" s="25"/>
      <c r="CH37" s="25"/>
      <c r="CI37" s="25"/>
      <c r="CJ37" s="25"/>
      <c r="CK37" s="25"/>
      <c r="CL37" s="25"/>
    </row>
    <row r="38" spans="3:90" x14ac:dyDescent="0.2">
      <c r="C38" s="184">
        <v>35</v>
      </c>
      <c r="D38" s="25"/>
      <c r="E38" s="25"/>
      <c r="F38" s="25"/>
      <c r="G38" s="25"/>
      <c r="H38" s="25"/>
      <c r="I38" s="25"/>
      <c r="J38" s="25"/>
      <c r="K38" s="25"/>
      <c r="L38" s="25"/>
      <c r="M38" s="25"/>
      <c r="N38" s="25"/>
      <c r="O38" s="25"/>
      <c r="P38" s="25"/>
      <c r="Q38" s="25"/>
      <c r="R38" s="25"/>
      <c r="S38" s="25"/>
      <c r="T38" s="25"/>
      <c r="U38" s="25"/>
      <c r="V38" s="25"/>
      <c r="W38" s="25"/>
      <c r="X38" s="25"/>
      <c r="Y38" s="25"/>
      <c r="Z38" s="25"/>
      <c r="AA38" s="25"/>
      <c r="AB38" s="25"/>
      <c r="AC38" s="25"/>
      <c r="AD38" s="25"/>
      <c r="AE38" s="25"/>
      <c r="AF38" s="25"/>
      <c r="AG38" s="25"/>
      <c r="AH38" s="25"/>
      <c r="AO38" s="25">
        <v>10000</v>
      </c>
      <c r="AS38" s="297">
        <f t="shared" si="2"/>
        <v>10000</v>
      </c>
      <c r="AT38" s="25">
        <f t="shared" si="3"/>
        <v>10000</v>
      </c>
      <c r="AU38" s="25">
        <f t="shared" si="4"/>
        <v>1</v>
      </c>
      <c r="AV38" s="295" t="str">
        <f>VLOOKUP(VLOOKUP($AU38,KOMBI!$A:$H,3,FALSE),data!$I$27:$J$29,2,FALSE)</f>
        <v>Mittesekkuv</v>
      </c>
      <c r="AW38" s="295" t="str">
        <f>VLOOKUP(VLOOKUP($AU38,KOMBI!$A:$H,2,FALSE),data!$I$21:$J$23,2,FALSE)</f>
        <v>Mittesekkuv</v>
      </c>
      <c r="AX38" s="295" t="str">
        <f>VLOOKUP(VLOOKUP($AU38,KOMBI!$A:$H,5,FALSE),data!$I$39:$J$41,2,FALSE)</f>
        <v>Mittesekkuv</v>
      </c>
      <c r="AY38" s="295" t="str">
        <f>VLOOKUP(VLOOKUP($AU38,KOMBI!$A:$H,4,FALSE),data!$I$32:$J$36,2,FALSE)</f>
        <v>LIB</v>
      </c>
      <c r="BA38" s="25"/>
      <c r="BB38" s="25"/>
      <c r="BC38" s="25"/>
      <c r="BD38" s="25"/>
      <c r="BE38" s="25"/>
      <c r="BF38" s="25"/>
      <c r="BG38" s="25"/>
      <c r="BH38" s="25"/>
      <c r="BI38" s="25"/>
      <c r="BJ38" s="25"/>
      <c r="BK38" s="25"/>
      <c r="BL38" s="25"/>
      <c r="BM38" s="25"/>
      <c r="BN38" s="25"/>
      <c r="BO38" s="25"/>
      <c r="BP38" s="25"/>
      <c r="BQ38" s="25"/>
      <c r="BR38" s="25"/>
      <c r="BS38" s="25"/>
      <c r="BT38" s="25"/>
      <c r="BU38" s="25"/>
      <c r="BV38" s="25"/>
      <c r="BW38" s="25"/>
      <c r="BX38" s="25"/>
      <c r="BY38" s="25"/>
      <c r="BZ38" s="25"/>
      <c r="CA38" s="25"/>
      <c r="CB38" s="25"/>
      <c r="CC38" s="25"/>
      <c r="CD38" s="25"/>
      <c r="CE38" s="25"/>
      <c r="CF38" s="25"/>
      <c r="CG38" s="25"/>
      <c r="CH38" s="25"/>
      <c r="CI38" s="25"/>
      <c r="CJ38" s="25"/>
      <c r="CK38" s="25"/>
      <c r="CL38" s="25"/>
    </row>
    <row r="39" spans="3:90" x14ac:dyDescent="0.2">
      <c r="C39" s="184">
        <v>36</v>
      </c>
      <c r="D39" s="25"/>
      <c r="E39" s="25"/>
      <c r="F39" s="25"/>
      <c r="G39" s="25"/>
      <c r="H39" s="25"/>
      <c r="I39" s="25"/>
      <c r="J39" s="25"/>
      <c r="K39" s="25"/>
      <c r="L39" s="25"/>
      <c r="M39" s="25"/>
      <c r="N39" s="25"/>
      <c r="O39" s="25"/>
      <c r="P39" s="25"/>
      <c r="Q39" s="25"/>
      <c r="R39" s="25"/>
      <c r="S39" s="25"/>
      <c r="T39" s="25"/>
      <c r="U39" s="25"/>
      <c r="V39" s="25"/>
      <c r="W39" s="25"/>
      <c r="X39" s="25"/>
      <c r="Y39" s="25"/>
      <c r="Z39" s="25"/>
      <c r="AA39" s="25"/>
      <c r="AB39" s="25"/>
      <c r="AC39" s="25"/>
      <c r="AD39" s="25"/>
      <c r="AE39" s="25"/>
      <c r="AF39" s="25"/>
      <c r="AG39" s="25"/>
      <c r="AH39" s="25"/>
      <c r="AO39" s="25">
        <v>10000</v>
      </c>
      <c r="AS39" s="297">
        <f t="shared" si="2"/>
        <v>10000</v>
      </c>
      <c r="AT39" s="25">
        <f t="shared" si="3"/>
        <v>10000</v>
      </c>
      <c r="AU39" s="25">
        <f t="shared" si="4"/>
        <v>1</v>
      </c>
      <c r="AV39" s="295" t="str">
        <f>VLOOKUP(VLOOKUP($AU39,KOMBI!$A:$H,3,FALSE),data!$I$27:$J$29,2,FALSE)</f>
        <v>Mittesekkuv</v>
      </c>
      <c r="AW39" s="295" t="str">
        <f>VLOOKUP(VLOOKUP($AU39,KOMBI!$A:$H,2,FALSE),data!$I$21:$J$23,2,FALSE)</f>
        <v>Mittesekkuv</v>
      </c>
      <c r="AX39" s="295" t="str">
        <f>VLOOKUP(VLOOKUP($AU39,KOMBI!$A:$H,5,FALSE),data!$I$39:$J$41,2,FALSE)</f>
        <v>Mittesekkuv</v>
      </c>
      <c r="AY39" s="295" t="str">
        <f>VLOOKUP(VLOOKUP($AU39,KOMBI!$A:$H,4,FALSE),data!$I$32:$J$36,2,FALSE)</f>
        <v>LIB</v>
      </c>
      <c r="BA39" s="25"/>
      <c r="BB39" s="25"/>
      <c r="BC39" s="25"/>
      <c r="BD39" s="25"/>
      <c r="BE39" s="25"/>
      <c r="BF39" s="25"/>
      <c r="BG39" s="25"/>
      <c r="BH39" s="25"/>
      <c r="BI39" s="25"/>
      <c r="BJ39" s="25"/>
      <c r="BK39" s="25"/>
      <c r="BL39" s="25"/>
      <c r="BM39" s="25"/>
      <c r="BN39" s="25"/>
      <c r="BO39" s="25"/>
      <c r="BP39" s="25"/>
      <c r="BQ39" s="25"/>
      <c r="BR39" s="25"/>
      <c r="BS39" s="25"/>
      <c r="BT39" s="25"/>
      <c r="BU39" s="25"/>
      <c r="BV39" s="25"/>
      <c r="BW39" s="25"/>
      <c r="BX39" s="25"/>
      <c r="BY39" s="25"/>
      <c r="BZ39" s="25"/>
      <c r="CA39" s="25"/>
      <c r="CB39" s="25"/>
      <c r="CC39" s="25"/>
      <c r="CD39" s="25"/>
      <c r="CE39" s="25"/>
      <c r="CF39" s="25"/>
      <c r="CG39" s="25"/>
      <c r="CH39" s="25"/>
      <c r="CI39" s="25"/>
      <c r="CJ39" s="25"/>
      <c r="CK39" s="25"/>
      <c r="CL39" s="25"/>
    </row>
    <row r="40" spans="3:90" x14ac:dyDescent="0.2">
      <c r="C40" s="184">
        <v>37</v>
      </c>
      <c r="D40" s="25"/>
      <c r="E40" s="25"/>
      <c r="F40" s="25"/>
      <c r="G40" s="25"/>
      <c r="H40" s="25"/>
      <c r="I40" s="25"/>
      <c r="J40" s="25"/>
      <c r="K40" s="25"/>
      <c r="L40" s="25"/>
      <c r="M40" s="25"/>
      <c r="N40" s="25"/>
      <c r="O40" s="25"/>
      <c r="P40" s="25"/>
      <c r="Q40" s="25"/>
      <c r="R40" s="25"/>
      <c r="S40" s="25"/>
      <c r="T40" s="25"/>
      <c r="U40" s="25"/>
      <c r="V40" s="25"/>
      <c r="W40" s="25"/>
      <c r="X40" s="25"/>
      <c r="Y40" s="25"/>
      <c r="Z40" s="25"/>
      <c r="AA40" s="25"/>
      <c r="AB40" s="25"/>
      <c r="AC40" s="25"/>
      <c r="AD40" s="25"/>
      <c r="AE40" s="25"/>
      <c r="AF40" s="25"/>
      <c r="AG40" s="25"/>
      <c r="AH40" s="25"/>
      <c r="AO40" s="25">
        <v>10000</v>
      </c>
      <c r="AS40" s="297">
        <f t="shared" si="2"/>
        <v>10000</v>
      </c>
      <c r="AT40" s="25">
        <f t="shared" si="3"/>
        <v>10000</v>
      </c>
      <c r="AU40" s="25">
        <f t="shared" si="4"/>
        <v>1</v>
      </c>
      <c r="AV40" s="295" t="str">
        <f>VLOOKUP(VLOOKUP($AU40,KOMBI!$A:$H,3,FALSE),data!$I$27:$J$29,2,FALSE)</f>
        <v>Mittesekkuv</v>
      </c>
      <c r="AW40" s="295" t="str">
        <f>VLOOKUP(VLOOKUP($AU40,KOMBI!$A:$H,2,FALSE),data!$I$21:$J$23,2,FALSE)</f>
        <v>Mittesekkuv</v>
      </c>
      <c r="AX40" s="295" t="str">
        <f>VLOOKUP(VLOOKUP($AU40,KOMBI!$A:$H,5,FALSE),data!$I$39:$J$41,2,FALSE)</f>
        <v>Mittesekkuv</v>
      </c>
      <c r="AY40" s="295" t="str">
        <f>VLOOKUP(VLOOKUP($AU40,KOMBI!$A:$H,4,FALSE),data!$I$32:$J$36,2,FALSE)</f>
        <v>LIB</v>
      </c>
      <c r="BA40" s="25"/>
      <c r="BB40" s="25"/>
      <c r="BC40" s="25"/>
      <c r="BD40" s="25"/>
      <c r="BE40" s="25"/>
      <c r="BF40" s="25"/>
      <c r="BG40" s="25"/>
      <c r="BH40" s="25"/>
      <c r="BI40" s="25"/>
      <c r="BJ40" s="25"/>
      <c r="BK40" s="25"/>
      <c r="BL40" s="25"/>
      <c r="BM40" s="25"/>
      <c r="BN40" s="25"/>
      <c r="BO40" s="25"/>
      <c r="BP40" s="25"/>
      <c r="BQ40" s="25"/>
      <c r="BR40" s="25"/>
      <c r="BS40" s="25"/>
      <c r="BT40" s="25"/>
      <c r="BU40" s="25"/>
      <c r="BV40" s="25"/>
      <c r="BW40" s="25"/>
      <c r="BX40" s="25"/>
      <c r="BY40" s="25"/>
      <c r="BZ40" s="25"/>
      <c r="CA40" s="25"/>
      <c r="CB40" s="25"/>
      <c r="CC40" s="25"/>
      <c r="CD40" s="25"/>
      <c r="CE40" s="25"/>
      <c r="CF40" s="25"/>
      <c r="CG40" s="25"/>
      <c r="CH40" s="25"/>
      <c r="CI40" s="25"/>
      <c r="CJ40" s="25"/>
      <c r="CK40" s="25"/>
      <c r="CL40" s="25"/>
    </row>
    <row r="41" spans="3:90" x14ac:dyDescent="0.2">
      <c r="C41" s="184">
        <v>38</v>
      </c>
      <c r="D41" s="25"/>
      <c r="E41" s="25"/>
      <c r="F41" s="25"/>
      <c r="G41" s="25"/>
      <c r="H41" s="25"/>
      <c r="I41" s="25"/>
      <c r="J41" s="25"/>
      <c r="K41" s="25"/>
      <c r="L41" s="25"/>
      <c r="M41" s="25"/>
      <c r="N41" s="25"/>
      <c r="O41" s="25"/>
      <c r="P41" s="25"/>
      <c r="Q41" s="25"/>
      <c r="R41" s="25"/>
      <c r="S41" s="25"/>
      <c r="T41" s="25"/>
      <c r="U41" s="25"/>
      <c r="V41" s="25"/>
      <c r="W41" s="25"/>
      <c r="X41" s="25"/>
      <c r="Y41" s="25"/>
      <c r="Z41" s="25"/>
      <c r="AA41" s="25"/>
      <c r="AB41" s="25"/>
      <c r="AC41" s="25"/>
      <c r="AD41" s="25"/>
      <c r="AE41" s="25"/>
      <c r="AF41" s="25"/>
      <c r="AG41" s="25"/>
      <c r="AH41" s="25"/>
      <c r="AO41" s="25">
        <v>10000</v>
      </c>
      <c r="AS41" s="297">
        <f t="shared" si="2"/>
        <v>10000</v>
      </c>
      <c r="AT41" s="25">
        <f t="shared" si="3"/>
        <v>10000</v>
      </c>
      <c r="AU41" s="25">
        <f t="shared" si="4"/>
        <v>1</v>
      </c>
      <c r="AV41" s="295" t="str">
        <f>VLOOKUP(VLOOKUP($AU41,KOMBI!$A:$H,3,FALSE),data!$I$27:$J$29,2,FALSE)</f>
        <v>Mittesekkuv</v>
      </c>
      <c r="AW41" s="295" t="str">
        <f>VLOOKUP(VLOOKUP($AU41,KOMBI!$A:$H,2,FALSE),data!$I$21:$J$23,2,FALSE)</f>
        <v>Mittesekkuv</v>
      </c>
      <c r="AX41" s="295" t="str">
        <f>VLOOKUP(VLOOKUP($AU41,KOMBI!$A:$H,5,FALSE),data!$I$39:$J$41,2,FALSE)</f>
        <v>Mittesekkuv</v>
      </c>
      <c r="AY41" s="295" t="str">
        <f>VLOOKUP(VLOOKUP($AU41,KOMBI!$A:$H,4,FALSE),data!$I$32:$J$36,2,FALSE)</f>
        <v>LIB</v>
      </c>
      <c r="BA41" s="25"/>
      <c r="BB41" s="25"/>
      <c r="BC41" s="25"/>
      <c r="BD41" s="25"/>
      <c r="BE41" s="25"/>
      <c r="BF41" s="25"/>
      <c r="BG41" s="25"/>
      <c r="BH41" s="25"/>
      <c r="BI41" s="25"/>
      <c r="BJ41" s="25"/>
      <c r="BK41" s="25"/>
      <c r="BL41" s="25"/>
      <c r="BM41" s="25"/>
      <c r="BN41" s="25"/>
      <c r="BO41" s="25"/>
      <c r="BP41" s="25"/>
      <c r="BQ41" s="25"/>
      <c r="BR41" s="25"/>
      <c r="BS41" s="25"/>
      <c r="BT41" s="25"/>
      <c r="BU41" s="25"/>
      <c r="BV41" s="25"/>
      <c r="BW41" s="25"/>
      <c r="BX41" s="25"/>
      <c r="BY41" s="25"/>
      <c r="BZ41" s="25"/>
      <c r="CA41" s="25"/>
      <c r="CB41" s="25"/>
      <c r="CC41" s="25"/>
      <c r="CD41" s="25"/>
      <c r="CE41" s="25"/>
      <c r="CF41" s="25"/>
      <c r="CG41" s="25"/>
      <c r="CH41" s="25"/>
      <c r="CI41" s="25"/>
      <c r="CJ41" s="25"/>
      <c r="CK41" s="25"/>
      <c r="CL41" s="25"/>
    </row>
    <row r="42" spans="3:90" x14ac:dyDescent="0.2">
      <c r="C42" s="184">
        <v>39</v>
      </c>
      <c r="D42" s="25"/>
      <c r="E42" s="25"/>
      <c r="F42" s="25"/>
      <c r="G42" s="25"/>
      <c r="H42" s="25"/>
      <c r="I42" s="25"/>
      <c r="J42" s="25"/>
      <c r="K42" s="25"/>
      <c r="L42" s="25"/>
      <c r="M42" s="25"/>
      <c r="N42" s="25"/>
      <c r="O42" s="25"/>
      <c r="P42" s="25"/>
      <c r="Q42" s="25"/>
      <c r="R42" s="25"/>
      <c r="S42" s="25"/>
      <c r="T42" s="25"/>
      <c r="U42" s="25"/>
      <c r="V42" s="25"/>
      <c r="W42" s="25"/>
      <c r="X42" s="25"/>
      <c r="Y42" s="25"/>
      <c r="Z42" s="25"/>
      <c r="AA42" s="25"/>
      <c r="AB42" s="25"/>
      <c r="AC42" s="25"/>
      <c r="AD42" s="25"/>
      <c r="AE42" s="25"/>
      <c r="AF42" s="25"/>
      <c r="AG42" s="25"/>
      <c r="AH42" s="25"/>
      <c r="AO42" s="25">
        <v>10000</v>
      </c>
      <c r="AS42" s="297">
        <f t="shared" si="2"/>
        <v>10000</v>
      </c>
      <c r="AT42" s="25">
        <f t="shared" si="3"/>
        <v>10000</v>
      </c>
      <c r="AU42" s="25">
        <f t="shared" si="4"/>
        <v>1</v>
      </c>
      <c r="AV42" s="295" t="str">
        <f>VLOOKUP(VLOOKUP($AU42,KOMBI!$A:$H,3,FALSE),data!$I$27:$J$29,2,FALSE)</f>
        <v>Mittesekkuv</v>
      </c>
      <c r="AW42" s="295" t="str">
        <f>VLOOKUP(VLOOKUP($AU42,KOMBI!$A:$H,2,FALSE),data!$I$21:$J$23,2,FALSE)</f>
        <v>Mittesekkuv</v>
      </c>
      <c r="AX42" s="295" t="str">
        <f>VLOOKUP(VLOOKUP($AU42,KOMBI!$A:$H,5,FALSE),data!$I$39:$J$41,2,FALSE)</f>
        <v>Mittesekkuv</v>
      </c>
      <c r="AY42" s="295" t="str">
        <f>VLOOKUP(VLOOKUP($AU42,KOMBI!$A:$H,4,FALSE),data!$I$32:$J$36,2,FALSE)</f>
        <v>LIB</v>
      </c>
      <c r="BA42" s="25"/>
      <c r="BB42" s="25"/>
      <c r="BC42" s="25"/>
      <c r="BD42" s="25"/>
      <c r="BE42" s="25"/>
      <c r="BF42" s="25"/>
      <c r="BG42" s="25"/>
      <c r="BH42" s="25"/>
      <c r="BI42" s="25"/>
      <c r="BJ42" s="25"/>
      <c r="BK42" s="25"/>
      <c r="BL42" s="25"/>
      <c r="BM42" s="25"/>
      <c r="BN42" s="25"/>
      <c r="BO42" s="25"/>
      <c r="BP42" s="25"/>
      <c r="BQ42" s="25"/>
      <c r="BR42" s="25"/>
      <c r="BS42" s="25"/>
      <c r="BT42" s="25"/>
      <c r="BU42" s="25"/>
      <c r="BV42" s="25"/>
      <c r="BW42" s="25"/>
      <c r="BX42" s="25"/>
      <c r="BY42" s="25"/>
      <c r="BZ42" s="25"/>
      <c r="CA42" s="25"/>
      <c r="CB42" s="25"/>
      <c r="CC42" s="25"/>
      <c r="CD42" s="25"/>
      <c r="CE42" s="25"/>
      <c r="CF42" s="25"/>
      <c r="CG42" s="25"/>
      <c r="CH42" s="25"/>
      <c r="CI42" s="25"/>
      <c r="CJ42" s="25"/>
      <c r="CK42" s="25"/>
      <c r="CL42" s="25"/>
    </row>
    <row r="43" spans="3:90" x14ac:dyDescent="0.2">
      <c r="C43" s="184">
        <v>40</v>
      </c>
      <c r="D43" s="25"/>
      <c r="E43" s="25"/>
      <c r="F43" s="25"/>
      <c r="G43" s="25"/>
      <c r="H43" s="25"/>
      <c r="I43" s="25"/>
      <c r="J43" s="25"/>
      <c r="K43" s="25"/>
      <c r="L43" s="25"/>
      <c r="M43" s="25"/>
      <c r="N43" s="25"/>
      <c r="O43" s="25"/>
      <c r="P43" s="25"/>
      <c r="Q43" s="25"/>
      <c r="R43" s="25"/>
      <c r="S43" s="25"/>
      <c r="T43" s="25"/>
      <c r="U43" s="25"/>
      <c r="V43" s="25"/>
      <c r="W43" s="25"/>
      <c r="X43" s="25"/>
      <c r="Y43" s="25"/>
      <c r="Z43" s="25"/>
      <c r="AA43" s="25"/>
      <c r="AB43" s="25"/>
      <c r="AC43" s="25"/>
      <c r="AD43" s="25"/>
      <c r="AE43" s="25"/>
      <c r="AF43" s="25"/>
      <c r="AG43" s="25"/>
      <c r="AH43" s="25"/>
      <c r="AO43" s="25">
        <v>10000</v>
      </c>
      <c r="AS43" s="297">
        <f t="shared" si="2"/>
        <v>10000</v>
      </c>
      <c r="AT43" s="25">
        <f t="shared" si="3"/>
        <v>10000</v>
      </c>
      <c r="AU43" s="25">
        <f t="shared" si="4"/>
        <v>1</v>
      </c>
      <c r="AV43" s="295" t="str">
        <f>VLOOKUP(VLOOKUP($AU43,KOMBI!$A:$H,3,FALSE),data!$I$27:$J$29,2,FALSE)</f>
        <v>Mittesekkuv</v>
      </c>
      <c r="AW43" s="295" t="str">
        <f>VLOOKUP(VLOOKUP($AU43,KOMBI!$A:$H,2,FALSE),data!$I$21:$J$23,2,FALSE)</f>
        <v>Mittesekkuv</v>
      </c>
      <c r="AX43" s="295" t="str">
        <f>VLOOKUP(VLOOKUP($AU43,KOMBI!$A:$H,5,FALSE),data!$I$39:$J$41,2,FALSE)</f>
        <v>Mittesekkuv</v>
      </c>
      <c r="AY43" s="295" t="str">
        <f>VLOOKUP(VLOOKUP($AU43,KOMBI!$A:$H,4,FALSE),data!$I$32:$J$36,2,FALSE)</f>
        <v>LIB</v>
      </c>
      <c r="BA43" s="25"/>
      <c r="BB43" s="25"/>
      <c r="BC43" s="25"/>
      <c r="BD43" s="25"/>
      <c r="BE43" s="25"/>
      <c r="BF43" s="25"/>
      <c r="BG43" s="25"/>
      <c r="BH43" s="25"/>
      <c r="BI43" s="25"/>
      <c r="BJ43" s="25"/>
      <c r="BK43" s="25"/>
      <c r="BL43" s="25"/>
      <c r="BM43" s="25"/>
      <c r="BN43" s="25"/>
      <c r="BO43" s="25"/>
      <c r="BP43" s="25"/>
      <c r="BQ43" s="25"/>
      <c r="BR43" s="25"/>
      <c r="BS43" s="25"/>
      <c r="BT43" s="25"/>
      <c r="BU43" s="25"/>
      <c r="BV43" s="25"/>
      <c r="BW43" s="25"/>
      <c r="BX43" s="25"/>
      <c r="BY43" s="25"/>
      <c r="BZ43" s="25"/>
      <c r="CA43" s="25"/>
      <c r="CB43" s="25"/>
      <c r="CC43" s="25"/>
      <c r="CD43" s="25"/>
      <c r="CE43" s="25"/>
      <c r="CF43" s="25"/>
      <c r="CG43" s="25"/>
      <c r="CH43" s="25"/>
      <c r="CI43" s="25"/>
      <c r="CJ43" s="25"/>
      <c r="CK43" s="25"/>
      <c r="CL43" s="25"/>
    </row>
    <row r="44" spans="3:90" x14ac:dyDescent="0.2">
      <c r="C44" s="184">
        <v>41</v>
      </c>
      <c r="D44" s="25"/>
      <c r="E44" s="25"/>
      <c r="F44" s="25"/>
      <c r="G44" s="25"/>
      <c r="H44" s="25"/>
      <c r="I44" s="25"/>
      <c r="J44" s="25"/>
      <c r="K44" s="25"/>
      <c r="L44" s="25"/>
      <c r="M44" s="25"/>
      <c r="N44" s="25"/>
      <c r="O44" s="25"/>
      <c r="P44" s="25"/>
      <c r="Q44" s="25"/>
      <c r="R44" s="25"/>
      <c r="S44" s="25"/>
      <c r="T44" s="25"/>
      <c r="U44" s="25"/>
      <c r="V44" s="25"/>
      <c r="W44" s="25"/>
      <c r="X44" s="25"/>
      <c r="Y44" s="25"/>
      <c r="Z44" s="25"/>
      <c r="AA44" s="25"/>
      <c r="AB44" s="25"/>
      <c r="AC44" s="25"/>
      <c r="AD44" s="25"/>
      <c r="AE44" s="25"/>
      <c r="AF44" s="25"/>
      <c r="AG44" s="25"/>
      <c r="AH44" s="25"/>
      <c r="AO44" s="25">
        <v>10000</v>
      </c>
      <c r="AS44" s="297">
        <f t="shared" si="2"/>
        <v>10000</v>
      </c>
      <c r="AT44" s="25">
        <f t="shared" si="3"/>
        <v>10000</v>
      </c>
      <c r="AU44" s="25">
        <f t="shared" si="4"/>
        <v>1</v>
      </c>
      <c r="AV44" s="295" t="str">
        <f>VLOOKUP(VLOOKUP($AU44,KOMBI!$A:$H,3,FALSE),data!$I$27:$J$29,2,FALSE)</f>
        <v>Mittesekkuv</v>
      </c>
      <c r="AW44" s="295" t="str">
        <f>VLOOKUP(VLOOKUP($AU44,KOMBI!$A:$H,2,FALSE),data!$I$21:$J$23,2,FALSE)</f>
        <v>Mittesekkuv</v>
      </c>
      <c r="AX44" s="295" t="str">
        <f>VLOOKUP(VLOOKUP($AU44,KOMBI!$A:$H,5,FALSE),data!$I$39:$J$41,2,FALSE)</f>
        <v>Mittesekkuv</v>
      </c>
      <c r="AY44" s="295" t="str">
        <f>VLOOKUP(VLOOKUP($AU44,KOMBI!$A:$H,4,FALSE),data!$I$32:$J$36,2,FALSE)</f>
        <v>LIB</v>
      </c>
      <c r="BA44" s="25"/>
      <c r="BB44" s="25"/>
      <c r="BC44" s="25"/>
      <c r="BD44" s="25"/>
      <c r="BE44" s="25"/>
      <c r="BF44" s="25"/>
      <c r="BG44" s="25"/>
      <c r="BH44" s="25"/>
      <c r="BI44" s="25"/>
      <c r="BJ44" s="25"/>
      <c r="BK44" s="25"/>
      <c r="BL44" s="25"/>
      <c r="BM44" s="25"/>
      <c r="BN44" s="25"/>
      <c r="BO44" s="25"/>
      <c r="BP44" s="25"/>
      <c r="BQ44" s="25"/>
      <c r="BR44" s="25"/>
      <c r="BS44" s="25"/>
      <c r="BT44" s="25"/>
      <c r="BU44" s="25"/>
      <c r="BV44" s="25"/>
      <c r="BW44" s="25"/>
      <c r="BX44" s="25"/>
      <c r="BY44" s="25"/>
      <c r="BZ44" s="25"/>
      <c r="CA44" s="25"/>
      <c r="CB44" s="25"/>
      <c r="CC44" s="25"/>
      <c r="CD44" s="25"/>
      <c r="CE44" s="25"/>
      <c r="CF44" s="25"/>
      <c r="CG44" s="25"/>
      <c r="CH44" s="25"/>
      <c r="CI44" s="25"/>
      <c r="CJ44" s="25"/>
      <c r="CK44" s="25"/>
      <c r="CL44" s="25"/>
    </row>
    <row r="45" spans="3:90" x14ac:dyDescent="0.2">
      <c r="C45" s="184">
        <v>42</v>
      </c>
      <c r="D45" s="25"/>
      <c r="E45" s="25"/>
      <c r="F45" s="25"/>
      <c r="G45" s="25"/>
      <c r="H45" s="25"/>
      <c r="I45" s="25"/>
      <c r="J45" s="25"/>
      <c r="K45" s="25"/>
      <c r="L45" s="25"/>
      <c r="M45" s="25"/>
      <c r="N45" s="25"/>
      <c r="O45" s="25"/>
      <c r="P45" s="25"/>
      <c r="Q45" s="25"/>
      <c r="R45" s="25"/>
      <c r="S45" s="25"/>
      <c r="T45" s="25"/>
      <c r="U45" s="25"/>
      <c r="V45" s="25"/>
      <c r="W45" s="25"/>
      <c r="X45" s="25"/>
      <c r="Y45" s="25"/>
      <c r="Z45" s="25"/>
      <c r="AA45" s="25"/>
      <c r="AB45" s="25"/>
      <c r="AC45" s="25"/>
      <c r="AD45" s="25"/>
      <c r="AE45" s="25"/>
      <c r="AF45" s="25"/>
      <c r="AG45" s="25"/>
      <c r="AH45" s="25"/>
      <c r="AO45" s="25">
        <v>10000</v>
      </c>
      <c r="AS45" s="297">
        <f t="shared" si="2"/>
        <v>10000</v>
      </c>
      <c r="AT45" s="25">
        <f t="shared" si="3"/>
        <v>10000</v>
      </c>
      <c r="AU45" s="25">
        <f t="shared" si="4"/>
        <v>1</v>
      </c>
      <c r="AV45" s="295" t="str">
        <f>VLOOKUP(VLOOKUP($AU45,KOMBI!$A:$H,3,FALSE),data!$I$27:$J$29,2,FALSE)</f>
        <v>Mittesekkuv</v>
      </c>
      <c r="AW45" s="295" t="str">
        <f>VLOOKUP(VLOOKUP($AU45,KOMBI!$A:$H,2,FALSE),data!$I$21:$J$23,2,FALSE)</f>
        <v>Mittesekkuv</v>
      </c>
      <c r="AX45" s="295" t="str">
        <f>VLOOKUP(VLOOKUP($AU45,KOMBI!$A:$H,5,FALSE),data!$I$39:$J$41,2,FALSE)</f>
        <v>Mittesekkuv</v>
      </c>
      <c r="AY45" s="295" t="str">
        <f>VLOOKUP(VLOOKUP($AU45,KOMBI!$A:$H,4,FALSE),data!$I$32:$J$36,2,FALSE)</f>
        <v>LIB</v>
      </c>
      <c r="BA45" s="25"/>
      <c r="BB45" s="25"/>
      <c r="BC45" s="25"/>
      <c r="BD45" s="25"/>
      <c r="BE45" s="25"/>
      <c r="BF45" s="25"/>
      <c r="BG45" s="25"/>
      <c r="BH45" s="25"/>
      <c r="BI45" s="25"/>
      <c r="BJ45" s="25"/>
      <c r="BK45" s="25"/>
      <c r="BL45" s="25"/>
      <c r="BM45" s="25"/>
      <c r="BN45" s="25"/>
      <c r="BO45" s="25"/>
      <c r="BP45" s="25"/>
      <c r="BQ45" s="25"/>
      <c r="BR45" s="25"/>
      <c r="BS45" s="25"/>
      <c r="BT45" s="25"/>
      <c r="BU45" s="25"/>
      <c r="BV45" s="25"/>
      <c r="BW45" s="25"/>
      <c r="BX45" s="25"/>
      <c r="BY45" s="25"/>
      <c r="BZ45" s="25"/>
      <c r="CA45" s="25"/>
      <c r="CB45" s="25"/>
      <c r="CC45" s="25"/>
      <c r="CD45" s="25"/>
      <c r="CE45" s="25"/>
      <c r="CF45" s="25"/>
      <c r="CG45" s="25"/>
      <c r="CH45" s="25"/>
      <c r="CI45" s="25"/>
      <c r="CJ45" s="25"/>
      <c r="CK45" s="25"/>
      <c r="CL45" s="25"/>
    </row>
    <row r="46" spans="3:90" x14ac:dyDescent="0.2">
      <c r="C46" s="184">
        <v>43</v>
      </c>
      <c r="D46" s="25"/>
      <c r="E46" s="25"/>
      <c r="F46" s="25"/>
      <c r="G46" s="25"/>
      <c r="H46" s="25"/>
      <c r="I46" s="25"/>
      <c r="J46" s="25"/>
      <c r="K46" s="25"/>
      <c r="L46" s="25"/>
      <c r="M46" s="25"/>
      <c r="N46" s="25"/>
      <c r="O46" s="25"/>
      <c r="P46" s="25"/>
      <c r="Q46" s="25"/>
      <c r="R46" s="25"/>
      <c r="S46" s="25"/>
      <c r="T46" s="25"/>
      <c r="U46" s="25"/>
      <c r="V46" s="25"/>
      <c r="W46" s="25"/>
      <c r="X46" s="25"/>
      <c r="Y46" s="25"/>
      <c r="Z46" s="25"/>
      <c r="AA46" s="25"/>
      <c r="AB46" s="25"/>
      <c r="AC46" s="25"/>
      <c r="AD46" s="25"/>
      <c r="AE46" s="25"/>
      <c r="AF46" s="25"/>
      <c r="AG46" s="25"/>
      <c r="AH46" s="25"/>
      <c r="AO46" s="25">
        <v>10000</v>
      </c>
      <c r="AS46" s="297">
        <f t="shared" si="2"/>
        <v>10000</v>
      </c>
      <c r="AT46" s="25">
        <f t="shared" si="3"/>
        <v>10000</v>
      </c>
      <c r="AU46" s="25">
        <f t="shared" si="4"/>
        <v>1</v>
      </c>
      <c r="AV46" s="295" t="str">
        <f>VLOOKUP(VLOOKUP($AU46,KOMBI!$A:$H,3,FALSE),data!$I$27:$J$29,2,FALSE)</f>
        <v>Mittesekkuv</v>
      </c>
      <c r="AW46" s="295" t="str">
        <f>VLOOKUP(VLOOKUP($AU46,KOMBI!$A:$H,2,FALSE),data!$I$21:$J$23,2,FALSE)</f>
        <v>Mittesekkuv</v>
      </c>
      <c r="AX46" s="295" t="str">
        <f>VLOOKUP(VLOOKUP($AU46,KOMBI!$A:$H,5,FALSE),data!$I$39:$J$41,2,FALSE)</f>
        <v>Mittesekkuv</v>
      </c>
      <c r="AY46" s="295" t="str">
        <f>VLOOKUP(VLOOKUP($AU46,KOMBI!$A:$H,4,FALSE),data!$I$32:$J$36,2,FALSE)</f>
        <v>LIB</v>
      </c>
      <c r="BA46" s="25"/>
      <c r="BB46" s="25"/>
      <c r="BC46" s="25"/>
      <c r="BD46" s="25"/>
      <c r="BE46" s="25"/>
      <c r="BF46" s="25"/>
      <c r="BG46" s="25"/>
      <c r="BH46" s="25"/>
      <c r="BI46" s="25"/>
      <c r="BJ46" s="25"/>
      <c r="BK46" s="25"/>
      <c r="BL46" s="25"/>
      <c r="BM46" s="25"/>
      <c r="BN46" s="25"/>
      <c r="BO46" s="25"/>
      <c r="BP46" s="25"/>
      <c r="BQ46" s="25"/>
      <c r="BR46" s="25"/>
      <c r="BS46" s="25"/>
      <c r="BT46" s="25"/>
      <c r="BU46" s="25"/>
      <c r="BV46" s="25"/>
      <c r="BW46" s="25"/>
      <c r="BX46" s="25"/>
      <c r="BY46" s="25"/>
      <c r="BZ46" s="25"/>
      <c r="CA46" s="25"/>
      <c r="CB46" s="25"/>
      <c r="CC46" s="25"/>
      <c r="CD46" s="25"/>
      <c r="CE46" s="25"/>
      <c r="CF46" s="25"/>
      <c r="CG46" s="25"/>
      <c r="CH46" s="25"/>
      <c r="CI46" s="25"/>
      <c r="CJ46" s="25"/>
      <c r="CK46" s="25"/>
      <c r="CL46" s="25"/>
    </row>
    <row r="47" spans="3:90" x14ac:dyDescent="0.2">
      <c r="C47" s="184">
        <v>44</v>
      </c>
      <c r="D47" s="25"/>
      <c r="E47" s="25"/>
      <c r="F47" s="25"/>
      <c r="G47" s="25"/>
      <c r="H47" s="25"/>
      <c r="I47" s="25"/>
      <c r="J47" s="25"/>
      <c r="K47" s="25"/>
      <c r="L47" s="25"/>
      <c r="M47" s="25"/>
      <c r="N47" s="25"/>
      <c r="O47" s="25"/>
      <c r="P47" s="25"/>
      <c r="Q47" s="25"/>
      <c r="R47" s="25"/>
      <c r="S47" s="25"/>
      <c r="T47" s="25"/>
      <c r="U47" s="25"/>
      <c r="V47" s="25"/>
      <c r="W47" s="25"/>
      <c r="X47" s="25"/>
      <c r="Y47" s="25"/>
      <c r="Z47" s="25"/>
      <c r="AA47" s="25"/>
      <c r="AB47" s="25"/>
      <c r="AC47" s="25"/>
      <c r="AD47" s="25"/>
      <c r="AE47" s="25"/>
      <c r="AF47" s="25"/>
      <c r="AG47" s="25"/>
      <c r="AH47" s="25"/>
      <c r="AO47" s="25">
        <v>10000</v>
      </c>
      <c r="AS47" s="297">
        <f t="shared" si="2"/>
        <v>10000</v>
      </c>
      <c r="AT47" s="25">
        <f t="shared" si="3"/>
        <v>10000</v>
      </c>
      <c r="AU47" s="25">
        <f t="shared" si="4"/>
        <v>1</v>
      </c>
      <c r="AV47" s="295" t="str">
        <f>VLOOKUP(VLOOKUP($AU47,KOMBI!$A:$H,3,FALSE),data!$I$27:$J$29,2,FALSE)</f>
        <v>Mittesekkuv</v>
      </c>
      <c r="AW47" s="295" t="str">
        <f>VLOOKUP(VLOOKUP($AU47,KOMBI!$A:$H,2,FALSE),data!$I$21:$J$23,2,FALSE)</f>
        <v>Mittesekkuv</v>
      </c>
      <c r="AX47" s="295" t="str">
        <f>VLOOKUP(VLOOKUP($AU47,KOMBI!$A:$H,5,FALSE),data!$I$39:$J$41,2,FALSE)</f>
        <v>Mittesekkuv</v>
      </c>
      <c r="AY47" s="295" t="str">
        <f>VLOOKUP(VLOOKUP($AU47,KOMBI!$A:$H,4,FALSE),data!$I$32:$J$36,2,FALSE)</f>
        <v>LIB</v>
      </c>
      <c r="BA47" s="25"/>
      <c r="BB47" s="25"/>
      <c r="BC47" s="25"/>
      <c r="BD47" s="25"/>
      <c r="BE47" s="25"/>
      <c r="BF47" s="25"/>
      <c r="BG47" s="25"/>
      <c r="BH47" s="25"/>
      <c r="BI47" s="25"/>
      <c r="BJ47" s="25"/>
      <c r="BK47" s="25"/>
      <c r="BL47" s="25"/>
      <c r="BM47" s="25"/>
      <c r="BN47" s="25"/>
      <c r="BO47" s="25"/>
      <c r="BP47" s="25"/>
      <c r="BQ47" s="25"/>
      <c r="BR47" s="25"/>
      <c r="BS47" s="25"/>
      <c r="BT47" s="25"/>
      <c r="BU47" s="25"/>
      <c r="BV47" s="25"/>
      <c r="BW47" s="25"/>
      <c r="BX47" s="25"/>
      <c r="BY47" s="25"/>
      <c r="BZ47" s="25"/>
      <c r="CA47" s="25"/>
      <c r="CB47" s="25"/>
      <c r="CC47" s="25"/>
      <c r="CD47" s="25"/>
      <c r="CE47" s="25"/>
      <c r="CF47" s="25"/>
      <c r="CG47" s="25"/>
      <c r="CH47" s="25"/>
      <c r="CI47" s="25"/>
      <c r="CJ47" s="25"/>
      <c r="CK47" s="25"/>
      <c r="CL47" s="25"/>
    </row>
    <row r="48" spans="3:90" x14ac:dyDescent="0.2">
      <c r="C48" s="184">
        <v>45</v>
      </c>
      <c r="D48" s="25"/>
      <c r="E48" s="25"/>
      <c r="F48" s="25"/>
      <c r="G48" s="25"/>
      <c r="H48" s="25"/>
      <c r="I48" s="25"/>
      <c r="J48" s="25"/>
      <c r="K48" s="25"/>
      <c r="L48" s="25"/>
      <c r="M48" s="25"/>
      <c r="N48" s="25"/>
      <c r="O48" s="25"/>
      <c r="P48" s="25"/>
      <c r="Q48" s="25"/>
      <c r="R48" s="25"/>
      <c r="S48" s="25"/>
      <c r="T48" s="25"/>
      <c r="U48" s="25"/>
      <c r="V48" s="25"/>
      <c r="W48" s="25"/>
      <c r="X48" s="25"/>
      <c r="Y48" s="25"/>
      <c r="Z48" s="25"/>
      <c r="AA48" s="25"/>
      <c r="AB48" s="25"/>
      <c r="AC48" s="25"/>
      <c r="AD48" s="25"/>
      <c r="AE48" s="25"/>
      <c r="AF48" s="25"/>
      <c r="AG48" s="25"/>
      <c r="AH48" s="25"/>
      <c r="AO48" s="25">
        <v>10000</v>
      </c>
      <c r="AS48" s="297">
        <f t="shared" si="2"/>
        <v>10000</v>
      </c>
      <c r="AT48" s="25">
        <f t="shared" si="3"/>
        <v>10000</v>
      </c>
      <c r="AU48" s="25">
        <f t="shared" si="4"/>
        <v>1</v>
      </c>
      <c r="AV48" s="295" t="str">
        <f>VLOOKUP(VLOOKUP($AU48,KOMBI!$A:$H,3,FALSE),data!$I$27:$J$29,2,FALSE)</f>
        <v>Mittesekkuv</v>
      </c>
      <c r="AW48" s="295" t="str">
        <f>VLOOKUP(VLOOKUP($AU48,KOMBI!$A:$H,2,FALSE),data!$I$21:$J$23,2,FALSE)</f>
        <v>Mittesekkuv</v>
      </c>
      <c r="AX48" s="295" t="str">
        <f>VLOOKUP(VLOOKUP($AU48,KOMBI!$A:$H,5,FALSE),data!$I$39:$J$41,2,FALSE)</f>
        <v>Mittesekkuv</v>
      </c>
      <c r="AY48" s="295" t="str">
        <f>VLOOKUP(VLOOKUP($AU48,KOMBI!$A:$H,4,FALSE),data!$I$32:$J$36,2,FALSE)</f>
        <v>LIB</v>
      </c>
      <c r="BA48" s="25"/>
      <c r="BB48" s="25"/>
      <c r="BC48" s="25"/>
      <c r="BD48" s="25"/>
      <c r="BE48" s="25"/>
      <c r="BF48" s="25"/>
      <c r="BG48" s="25"/>
      <c r="BH48" s="25"/>
      <c r="BI48" s="25"/>
      <c r="BJ48" s="25"/>
      <c r="BK48" s="25"/>
      <c r="BL48" s="25"/>
      <c r="BM48" s="25"/>
      <c r="BN48" s="25"/>
      <c r="BO48" s="25"/>
      <c r="BP48" s="25"/>
      <c r="BQ48" s="25"/>
      <c r="BR48" s="25"/>
      <c r="BS48" s="25"/>
      <c r="BT48" s="25"/>
      <c r="BU48" s="25"/>
      <c r="BV48" s="25"/>
      <c r="BW48" s="25"/>
      <c r="BX48" s="25"/>
      <c r="BY48" s="25"/>
      <c r="BZ48" s="25"/>
      <c r="CA48" s="25"/>
      <c r="CB48" s="25"/>
      <c r="CC48" s="25"/>
      <c r="CD48" s="25"/>
      <c r="CE48" s="25"/>
      <c r="CF48" s="25"/>
      <c r="CG48" s="25"/>
      <c r="CH48" s="25"/>
      <c r="CI48" s="25"/>
      <c r="CJ48" s="25"/>
      <c r="CK48" s="25"/>
      <c r="CL48" s="25"/>
    </row>
    <row r="49" spans="3:90" x14ac:dyDescent="0.2">
      <c r="C49" s="184">
        <v>46</v>
      </c>
      <c r="D49" s="25"/>
      <c r="E49" s="25"/>
      <c r="F49" s="25"/>
      <c r="G49" s="25"/>
      <c r="H49" s="25"/>
      <c r="I49" s="25"/>
      <c r="J49" s="25"/>
      <c r="K49" s="25"/>
      <c r="L49" s="25"/>
      <c r="M49" s="25"/>
      <c r="N49" s="25"/>
      <c r="O49" s="25"/>
      <c r="P49" s="25"/>
      <c r="Q49" s="25"/>
      <c r="R49" s="25"/>
      <c r="S49" s="25"/>
      <c r="T49" s="25"/>
      <c r="U49" s="25"/>
      <c r="V49" s="25"/>
      <c r="W49" s="25"/>
      <c r="X49" s="25"/>
      <c r="Y49" s="25"/>
      <c r="Z49" s="25"/>
      <c r="AA49" s="25"/>
      <c r="AB49" s="25"/>
      <c r="AC49" s="25"/>
      <c r="AD49" s="25"/>
      <c r="AE49" s="25"/>
      <c r="AF49" s="25"/>
      <c r="AG49" s="25"/>
      <c r="AH49" s="25"/>
      <c r="AO49" s="25">
        <v>10000</v>
      </c>
      <c r="AS49" s="297">
        <f t="shared" si="2"/>
        <v>10000</v>
      </c>
      <c r="AT49" s="25">
        <f t="shared" si="3"/>
        <v>10000</v>
      </c>
      <c r="AU49" s="25">
        <f t="shared" si="4"/>
        <v>1</v>
      </c>
      <c r="AV49" s="295" t="str">
        <f>VLOOKUP(VLOOKUP($AU49,KOMBI!$A:$H,3,FALSE),data!$I$27:$J$29,2,FALSE)</f>
        <v>Mittesekkuv</v>
      </c>
      <c r="AW49" s="295" t="str">
        <f>VLOOKUP(VLOOKUP($AU49,KOMBI!$A:$H,2,FALSE),data!$I$21:$J$23,2,FALSE)</f>
        <v>Mittesekkuv</v>
      </c>
      <c r="AX49" s="295" t="str">
        <f>VLOOKUP(VLOOKUP($AU49,KOMBI!$A:$H,5,FALSE),data!$I$39:$J$41,2,FALSE)</f>
        <v>Mittesekkuv</v>
      </c>
      <c r="AY49" s="295" t="str">
        <f>VLOOKUP(VLOOKUP($AU49,KOMBI!$A:$H,4,FALSE),data!$I$32:$J$36,2,FALSE)</f>
        <v>LIB</v>
      </c>
      <c r="BA49" s="25"/>
      <c r="BB49" s="25"/>
      <c r="BC49" s="25"/>
      <c r="BD49" s="25"/>
      <c r="BE49" s="25"/>
      <c r="BF49" s="25"/>
      <c r="BG49" s="25"/>
      <c r="BH49" s="25"/>
      <c r="BI49" s="25"/>
      <c r="BJ49" s="25"/>
      <c r="BK49" s="25"/>
      <c r="BL49" s="25"/>
      <c r="BM49" s="25"/>
      <c r="BN49" s="25"/>
      <c r="BO49" s="25"/>
      <c r="BP49" s="25"/>
      <c r="BQ49" s="25"/>
      <c r="BR49" s="25"/>
      <c r="BS49" s="25"/>
      <c r="BT49" s="25"/>
      <c r="BU49" s="25"/>
      <c r="BV49" s="25"/>
      <c r="BW49" s="25"/>
      <c r="BX49" s="25"/>
      <c r="BY49" s="25"/>
      <c r="BZ49" s="25"/>
      <c r="CA49" s="25"/>
      <c r="CB49" s="25"/>
      <c r="CC49" s="25"/>
      <c r="CD49" s="25"/>
      <c r="CE49" s="25"/>
      <c r="CF49" s="25"/>
      <c r="CG49" s="25"/>
      <c r="CH49" s="25"/>
      <c r="CI49" s="25"/>
      <c r="CJ49" s="25"/>
      <c r="CK49" s="25"/>
      <c r="CL49" s="25"/>
    </row>
    <row r="50" spans="3:90" x14ac:dyDescent="0.2">
      <c r="C50" s="184">
        <v>47</v>
      </c>
      <c r="D50" s="25"/>
      <c r="E50" s="25"/>
      <c r="F50" s="25"/>
      <c r="G50" s="25"/>
      <c r="H50" s="25"/>
      <c r="I50" s="25"/>
      <c r="J50" s="25"/>
      <c r="K50" s="25"/>
      <c r="L50" s="25"/>
      <c r="M50" s="25"/>
      <c r="N50" s="25"/>
      <c r="O50" s="25"/>
      <c r="P50" s="25"/>
      <c r="Q50" s="25"/>
      <c r="R50" s="25"/>
      <c r="S50" s="25"/>
      <c r="T50" s="25"/>
      <c r="U50" s="25"/>
      <c r="V50" s="25"/>
      <c r="W50" s="25"/>
      <c r="X50" s="25"/>
      <c r="Y50" s="25"/>
      <c r="Z50" s="25"/>
      <c r="AA50" s="25"/>
      <c r="AB50" s="25"/>
      <c r="AC50" s="25"/>
      <c r="AD50" s="25"/>
      <c r="AE50" s="25"/>
      <c r="AF50" s="25"/>
      <c r="AG50" s="25"/>
      <c r="AH50" s="25"/>
      <c r="AO50" s="25">
        <v>10000</v>
      </c>
      <c r="AS50" s="297">
        <f t="shared" si="2"/>
        <v>10000</v>
      </c>
      <c r="AT50" s="25">
        <f t="shared" si="3"/>
        <v>10000</v>
      </c>
      <c r="AU50" s="25">
        <f t="shared" si="4"/>
        <v>1</v>
      </c>
      <c r="AV50" s="295" t="str">
        <f>VLOOKUP(VLOOKUP($AU50,KOMBI!$A:$H,3,FALSE),data!$I$27:$J$29,2,FALSE)</f>
        <v>Mittesekkuv</v>
      </c>
      <c r="AW50" s="295" t="str">
        <f>VLOOKUP(VLOOKUP($AU50,KOMBI!$A:$H,2,FALSE),data!$I$21:$J$23,2,FALSE)</f>
        <v>Mittesekkuv</v>
      </c>
      <c r="AX50" s="295" t="str">
        <f>VLOOKUP(VLOOKUP($AU50,KOMBI!$A:$H,5,FALSE),data!$I$39:$J$41,2,FALSE)</f>
        <v>Mittesekkuv</v>
      </c>
      <c r="AY50" s="295" t="str">
        <f>VLOOKUP(VLOOKUP($AU50,KOMBI!$A:$H,4,FALSE),data!$I$32:$J$36,2,FALSE)</f>
        <v>LIB</v>
      </c>
      <c r="BA50" s="25"/>
      <c r="BB50" s="25"/>
      <c r="BC50" s="25"/>
      <c r="BD50" s="25"/>
      <c r="BE50" s="25"/>
      <c r="BF50" s="25"/>
      <c r="BG50" s="25"/>
      <c r="BH50" s="25"/>
      <c r="BI50" s="25"/>
      <c r="BJ50" s="25"/>
      <c r="BK50" s="25"/>
      <c r="BL50" s="25"/>
      <c r="BM50" s="25"/>
      <c r="BN50" s="25"/>
      <c r="BO50" s="25"/>
      <c r="BP50" s="25"/>
      <c r="BQ50" s="25"/>
      <c r="BR50" s="25"/>
      <c r="BS50" s="25"/>
      <c r="BT50" s="25"/>
      <c r="BU50" s="25"/>
      <c r="BV50" s="25"/>
      <c r="BW50" s="25"/>
      <c r="BX50" s="25"/>
      <c r="BY50" s="25"/>
      <c r="BZ50" s="25"/>
      <c r="CA50" s="25"/>
      <c r="CB50" s="25"/>
      <c r="CC50" s="25"/>
      <c r="CD50" s="25"/>
      <c r="CE50" s="25"/>
      <c r="CF50" s="25"/>
      <c r="CG50" s="25"/>
      <c r="CH50" s="25"/>
      <c r="CI50" s="25"/>
      <c r="CJ50" s="25"/>
      <c r="CK50" s="25"/>
      <c r="CL50" s="25"/>
    </row>
    <row r="51" spans="3:90" x14ac:dyDescent="0.2">
      <c r="C51" s="184">
        <v>48</v>
      </c>
      <c r="D51" s="25"/>
      <c r="E51" s="25"/>
      <c r="F51" s="25"/>
      <c r="G51" s="25"/>
      <c r="H51" s="25"/>
      <c r="I51" s="25"/>
      <c r="J51" s="25"/>
      <c r="K51" s="25"/>
      <c r="L51" s="25"/>
      <c r="M51" s="25"/>
      <c r="N51" s="25"/>
      <c r="O51" s="25"/>
      <c r="P51" s="25"/>
      <c r="Q51" s="25"/>
      <c r="R51" s="25"/>
      <c r="S51" s="25"/>
      <c r="T51" s="25"/>
      <c r="U51" s="25"/>
      <c r="V51" s="25"/>
      <c r="W51" s="25"/>
      <c r="X51" s="25"/>
      <c r="Y51" s="25"/>
      <c r="Z51" s="25"/>
      <c r="AA51" s="25"/>
      <c r="AB51" s="25"/>
      <c r="AC51" s="25"/>
      <c r="AD51" s="25"/>
      <c r="AE51" s="25"/>
      <c r="AF51" s="25"/>
      <c r="AG51" s="25"/>
      <c r="AH51" s="25"/>
      <c r="AO51" s="25">
        <v>10000</v>
      </c>
      <c r="AS51" s="297">
        <f t="shared" si="2"/>
        <v>10000</v>
      </c>
      <c r="AT51" s="25">
        <f t="shared" si="3"/>
        <v>10000</v>
      </c>
      <c r="AU51" s="25">
        <f t="shared" si="4"/>
        <v>1</v>
      </c>
      <c r="AV51" s="295" t="str">
        <f>VLOOKUP(VLOOKUP($AU51,KOMBI!$A:$H,3,FALSE),data!$I$27:$J$29,2,FALSE)</f>
        <v>Mittesekkuv</v>
      </c>
      <c r="AW51" s="295" t="str">
        <f>VLOOKUP(VLOOKUP($AU51,KOMBI!$A:$H,2,FALSE),data!$I$21:$J$23,2,FALSE)</f>
        <v>Mittesekkuv</v>
      </c>
      <c r="AX51" s="295" t="str">
        <f>VLOOKUP(VLOOKUP($AU51,KOMBI!$A:$H,5,FALSE),data!$I$39:$J$41,2,FALSE)</f>
        <v>Mittesekkuv</v>
      </c>
      <c r="AY51" s="295" t="str">
        <f>VLOOKUP(VLOOKUP($AU51,KOMBI!$A:$H,4,FALSE),data!$I$32:$J$36,2,FALSE)</f>
        <v>LIB</v>
      </c>
      <c r="BA51" s="25"/>
      <c r="BB51" s="25"/>
      <c r="BC51" s="25"/>
      <c r="BD51" s="25"/>
      <c r="BE51" s="25"/>
      <c r="BF51" s="25"/>
      <c r="BG51" s="25"/>
      <c r="BH51" s="25"/>
      <c r="BI51" s="25"/>
      <c r="BJ51" s="25"/>
      <c r="BK51" s="25"/>
      <c r="BL51" s="25"/>
      <c r="BM51" s="25"/>
      <c r="BN51" s="25"/>
      <c r="BO51" s="25"/>
      <c r="BP51" s="25"/>
      <c r="BQ51" s="25"/>
      <c r="BR51" s="25"/>
      <c r="BS51" s="25"/>
      <c r="BT51" s="25"/>
      <c r="BU51" s="25"/>
      <c r="BV51" s="25"/>
      <c r="BW51" s="25"/>
      <c r="BX51" s="25"/>
      <c r="BY51" s="25"/>
      <c r="BZ51" s="25"/>
      <c r="CA51" s="25"/>
      <c r="CB51" s="25"/>
      <c r="CC51" s="25"/>
      <c r="CD51" s="25"/>
      <c r="CE51" s="25"/>
      <c r="CF51" s="25"/>
      <c r="CG51" s="25"/>
      <c r="CH51" s="25"/>
      <c r="CI51" s="25"/>
      <c r="CJ51" s="25"/>
      <c r="CK51" s="25"/>
      <c r="CL51" s="25"/>
    </row>
    <row r="52" spans="3:90" x14ac:dyDescent="0.2">
      <c r="C52" s="184">
        <v>49</v>
      </c>
      <c r="D52" s="25"/>
      <c r="E52" s="25"/>
      <c r="F52" s="25"/>
      <c r="G52" s="25"/>
      <c r="H52" s="25"/>
      <c r="I52" s="25"/>
      <c r="J52" s="25"/>
      <c r="K52" s="25"/>
      <c r="L52" s="25"/>
      <c r="M52" s="25"/>
      <c r="N52" s="25"/>
      <c r="O52" s="25"/>
      <c r="P52" s="25"/>
      <c r="Q52" s="25"/>
      <c r="R52" s="25"/>
      <c r="S52" s="25"/>
      <c r="T52" s="25"/>
      <c r="U52" s="25"/>
      <c r="V52" s="25"/>
      <c r="W52" s="25"/>
      <c r="X52" s="25"/>
      <c r="Y52" s="25"/>
      <c r="Z52" s="25"/>
      <c r="AA52" s="25"/>
      <c r="AB52" s="25"/>
      <c r="AC52" s="25"/>
      <c r="AD52" s="25"/>
      <c r="AE52" s="25"/>
      <c r="AF52" s="25"/>
      <c r="AG52" s="25"/>
      <c r="AH52" s="25"/>
      <c r="AO52" s="25">
        <v>10000</v>
      </c>
      <c r="AS52" s="297">
        <f t="shared" si="2"/>
        <v>10000</v>
      </c>
      <c r="AT52" s="25">
        <f t="shared" si="3"/>
        <v>10000</v>
      </c>
      <c r="AU52" s="25">
        <f t="shared" si="4"/>
        <v>1</v>
      </c>
      <c r="AV52" s="295" t="str">
        <f>VLOOKUP(VLOOKUP($AU52,KOMBI!$A:$H,3,FALSE),data!$I$27:$J$29,2,FALSE)</f>
        <v>Mittesekkuv</v>
      </c>
      <c r="AW52" s="295" t="str">
        <f>VLOOKUP(VLOOKUP($AU52,KOMBI!$A:$H,2,FALSE),data!$I$21:$J$23,2,FALSE)</f>
        <v>Mittesekkuv</v>
      </c>
      <c r="AX52" s="295" t="str">
        <f>VLOOKUP(VLOOKUP($AU52,KOMBI!$A:$H,5,FALSE),data!$I$39:$J$41,2,FALSE)</f>
        <v>Mittesekkuv</v>
      </c>
      <c r="AY52" s="295" t="str">
        <f>VLOOKUP(VLOOKUP($AU52,KOMBI!$A:$H,4,FALSE),data!$I$32:$J$36,2,FALSE)</f>
        <v>LIB</v>
      </c>
      <c r="BA52" s="25"/>
      <c r="BB52" s="25"/>
      <c r="BC52" s="25"/>
      <c r="BD52" s="25"/>
      <c r="BE52" s="25"/>
      <c r="BF52" s="25"/>
      <c r="BG52" s="25"/>
      <c r="BH52" s="25"/>
      <c r="BI52" s="25"/>
      <c r="BJ52" s="25"/>
      <c r="BK52" s="25"/>
      <c r="BL52" s="25"/>
      <c r="BM52" s="25"/>
      <c r="BN52" s="25"/>
      <c r="BO52" s="25"/>
      <c r="BP52" s="25"/>
      <c r="BQ52" s="25"/>
      <c r="BR52" s="25"/>
      <c r="BS52" s="25"/>
      <c r="BT52" s="25"/>
      <c r="BU52" s="25"/>
      <c r="BV52" s="25"/>
      <c r="BW52" s="25"/>
      <c r="BX52" s="25"/>
      <c r="BY52" s="25"/>
      <c r="BZ52" s="25"/>
      <c r="CA52" s="25"/>
      <c r="CB52" s="25"/>
      <c r="CC52" s="25"/>
      <c r="CD52" s="25"/>
      <c r="CE52" s="25"/>
      <c r="CF52" s="25"/>
      <c r="CG52" s="25"/>
      <c r="CH52" s="25"/>
      <c r="CI52" s="25"/>
      <c r="CJ52" s="25"/>
      <c r="CK52" s="25"/>
      <c r="CL52" s="25"/>
    </row>
    <row r="53" spans="3:90" x14ac:dyDescent="0.2">
      <c r="C53" s="184">
        <v>50</v>
      </c>
      <c r="D53" s="25"/>
      <c r="E53" s="25"/>
      <c r="F53" s="25"/>
      <c r="G53" s="25"/>
      <c r="H53" s="25"/>
      <c r="I53" s="25"/>
      <c r="J53" s="25"/>
      <c r="K53" s="25"/>
      <c r="L53" s="25"/>
      <c r="M53" s="25"/>
      <c r="N53" s="25"/>
      <c r="O53" s="25"/>
      <c r="P53" s="25"/>
      <c r="Q53" s="25"/>
      <c r="R53" s="25"/>
      <c r="S53" s="25"/>
      <c r="T53" s="25"/>
      <c r="U53" s="25"/>
      <c r="V53" s="25"/>
      <c r="W53" s="25"/>
      <c r="X53" s="25"/>
      <c r="Y53" s="25"/>
      <c r="Z53" s="25"/>
      <c r="AA53" s="25"/>
      <c r="AB53" s="25"/>
      <c r="AC53" s="25"/>
      <c r="AD53" s="25"/>
      <c r="AE53" s="25"/>
      <c r="AF53" s="25"/>
      <c r="AG53" s="25"/>
      <c r="AH53" s="25"/>
      <c r="AO53" s="25">
        <v>10000</v>
      </c>
      <c r="AS53" s="297">
        <f t="shared" si="2"/>
        <v>10000</v>
      </c>
      <c r="AT53" s="25">
        <f t="shared" si="3"/>
        <v>10000</v>
      </c>
      <c r="AU53" s="25">
        <f t="shared" si="4"/>
        <v>1</v>
      </c>
      <c r="AV53" s="295" t="str">
        <f>VLOOKUP(VLOOKUP($AU53,KOMBI!$A:$H,3,FALSE),data!$I$27:$J$29,2,FALSE)</f>
        <v>Mittesekkuv</v>
      </c>
      <c r="AW53" s="295" t="str">
        <f>VLOOKUP(VLOOKUP($AU53,KOMBI!$A:$H,2,FALSE),data!$I$21:$J$23,2,FALSE)</f>
        <v>Mittesekkuv</v>
      </c>
      <c r="AX53" s="295" t="str">
        <f>VLOOKUP(VLOOKUP($AU53,KOMBI!$A:$H,5,FALSE),data!$I$39:$J$41,2,FALSE)</f>
        <v>Mittesekkuv</v>
      </c>
      <c r="AY53" s="295" t="str">
        <f>VLOOKUP(VLOOKUP($AU53,KOMBI!$A:$H,4,FALSE),data!$I$32:$J$36,2,FALSE)</f>
        <v>LIB</v>
      </c>
      <c r="BA53" s="25"/>
      <c r="BB53" s="25"/>
      <c r="BC53" s="25"/>
      <c r="BD53" s="25"/>
      <c r="BE53" s="25"/>
      <c r="BF53" s="25"/>
      <c r="BG53" s="25"/>
      <c r="BH53" s="25"/>
      <c r="BI53" s="25"/>
      <c r="BJ53" s="25"/>
      <c r="BK53" s="25"/>
      <c r="BL53" s="25"/>
      <c r="BM53" s="25"/>
      <c r="BN53" s="25"/>
      <c r="BO53" s="25"/>
      <c r="BP53" s="25"/>
      <c r="BQ53" s="25"/>
      <c r="BR53" s="25"/>
      <c r="BS53" s="25"/>
      <c r="BT53" s="25"/>
      <c r="BU53" s="25"/>
      <c r="BV53" s="25"/>
      <c r="BW53" s="25"/>
      <c r="BX53" s="25"/>
      <c r="BY53" s="25"/>
      <c r="BZ53" s="25"/>
      <c r="CA53" s="25"/>
      <c r="CB53" s="25"/>
      <c r="CC53" s="25"/>
      <c r="CD53" s="25"/>
      <c r="CE53" s="25"/>
      <c r="CF53" s="25"/>
      <c r="CG53" s="25"/>
      <c r="CH53" s="25"/>
      <c r="CI53" s="25"/>
      <c r="CJ53" s="25"/>
      <c r="CK53" s="25"/>
      <c r="CL53" s="25"/>
    </row>
    <row r="54" spans="3:90" x14ac:dyDescent="0.2">
      <c r="C54" s="184">
        <v>51</v>
      </c>
      <c r="D54" s="25"/>
      <c r="E54" s="25"/>
      <c r="F54" s="25"/>
      <c r="G54" s="25"/>
      <c r="H54" s="25"/>
      <c r="I54" s="25"/>
      <c r="J54" s="25"/>
      <c r="K54" s="25"/>
      <c r="L54" s="25"/>
      <c r="M54" s="25"/>
      <c r="N54" s="25"/>
      <c r="O54" s="25"/>
      <c r="P54" s="25"/>
      <c r="Q54" s="25"/>
      <c r="R54" s="25"/>
      <c r="S54" s="25"/>
      <c r="T54" s="25"/>
      <c r="U54" s="25"/>
      <c r="V54" s="25"/>
      <c r="W54" s="25"/>
      <c r="X54" s="25"/>
      <c r="Y54" s="25"/>
      <c r="Z54" s="25"/>
      <c r="AA54" s="25"/>
      <c r="AB54" s="25"/>
      <c r="AC54" s="25"/>
      <c r="AD54" s="25"/>
      <c r="AE54" s="25"/>
      <c r="AF54" s="25"/>
      <c r="AG54" s="25"/>
      <c r="AH54" s="25"/>
      <c r="AO54" s="25">
        <v>10000</v>
      </c>
      <c r="AS54" s="297">
        <f t="shared" si="2"/>
        <v>10000</v>
      </c>
      <c r="AT54" s="25">
        <f t="shared" si="3"/>
        <v>10000</v>
      </c>
      <c r="AU54" s="25">
        <f t="shared" si="4"/>
        <v>1</v>
      </c>
      <c r="AV54" s="295" t="str">
        <f>VLOOKUP(VLOOKUP($AU54,KOMBI!$A:$H,3,FALSE),data!$I$27:$J$29,2,FALSE)</f>
        <v>Mittesekkuv</v>
      </c>
      <c r="AW54" s="295" t="str">
        <f>VLOOKUP(VLOOKUP($AU54,KOMBI!$A:$H,2,FALSE),data!$I$21:$J$23,2,FALSE)</f>
        <v>Mittesekkuv</v>
      </c>
      <c r="AX54" s="295" t="str">
        <f>VLOOKUP(VLOOKUP($AU54,KOMBI!$A:$H,5,FALSE),data!$I$39:$J$41,2,FALSE)</f>
        <v>Mittesekkuv</v>
      </c>
      <c r="AY54" s="295" t="str">
        <f>VLOOKUP(VLOOKUP($AU54,KOMBI!$A:$H,4,FALSE),data!$I$32:$J$36,2,FALSE)</f>
        <v>LIB</v>
      </c>
      <c r="BA54" s="25"/>
      <c r="BB54" s="25"/>
      <c r="BC54" s="25"/>
      <c r="BD54" s="25"/>
      <c r="BE54" s="25"/>
      <c r="BF54" s="25"/>
      <c r="BG54" s="25"/>
      <c r="BH54" s="25"/>
      <c r="BI54" s="25"/>
      <c r="BJ54" s="25"/>
      <c r="BK54" s="25"/>
      <c r="BL54" s="25"/>
      <c r="BM54" s="25"/>
      <c r="BN54" s="25"/>
      <c r="BO54" s="25"/>
      <c r="BP54" s="25"/>
      <c r="BQ54" s="25"/>
      <c r="BR54" s="25"/>
      <c r="BS54" s="25"/>
      <c r="BT54" s="25"/>
      <c r="BU54" s="25"/>
      <c r="BV54" s="25"/>
      <c r="BW54" s="25"/>
      <c r="BX54" s="25"/>
      <c r="BY54" s="25"/>
      <c r="BZ54" s="25"/>
      <c r="CA54" s="25"/>
      <c r="CB54" s="25"/>
      <c r="CC54" s="25"/>
      <c r="CD54" s="25"/>
      <c r="CE54" s="25"/>
      <c r="CF54" s="25"/>
      <c r="CG54" s="25"/>
      <c r="CH54" s="25"/>
      <c r="CI54" s="25"/>
      <c r="CJ54" s="25"/>
      <c r="CK54" s="25"/>
      <c r="CL54" s="25"/>
    </row>
    <row r="55" spans="3:90" x14ac:dyDescent="0.2">
      <c r="C55" s="184">
        <v>52</v>
      </c>
      <c r="D55" s="25"/>
      <c r="E55" s="25"/>
      <c r="F55" s="25"/>
      <c r="G55" s="25"/>
      <c r="H55" s="25"/>
      <c r="I55" s="25"/>
      <c r="J55" s="25"/>
      <c r="K55" s="25"/>
      <c r="L55" s="25"/>
      <c r="M55" s="25"/>
      <c r="N55" s="25"/>
      <c r="O55" s="25"/>
      <c r="P55" s="25"/>
      <c r="Q55" s="25"/>
      <c r="R55" s="25"/>
      <c r="S55" s="25"/>
      <c r="T55" s="25"/>
      <c r="U55" s="25"/>
      <c r="V55" s="25"/>
      <c r="W55" s="25"/>
      <c r="X55" s="25"/>
      <c r="Y55" s="25"/>
      <c r="Z55" s="25"/>
      <c r="AA55" s="25"/>
      <c r="AB55" s="25"/>
      <c r="AC55" s="25"/>
      <c r="AD55" s="25"/>
      <c r="AE55" s="25"/>
      <c r="AF55" s="25"/>
      <c r="AG55" s="25"/>
      <c r="AH55" s="25"/>
      <c r="AO55" s="25">
        <v>10000</v>
      </c>
      <c r="AS55" s="297">
        <f t="shared" si="2"/>
        <v>10000</v>
      </c>
      <c r="AT55" s="25">
        <f t="shared" si="3"/>
        <v>10000</v>
      </c>
      <c r="AU55" s="25">
        <f t="shared" si="4"/>
        <v>1</v>
      </c>
      <c r="AV55" s="295" t="str">
        <f>VLOOKUP(VLOOKUP($AU55,KOMBI!$A:$H,3,FALSE),data!$I$27:$J$29,2,FALSE)</f>
        <v>Mittesekkuv</v>
      </c>
      <c r="AW55" s="295" t="str">
        <f>VLOOKUP(VLOOKUP($AU55,KOMBI!$A:$H,2,FALSE),data!$I$21:$J$23,2,FALSE)</f>
        <v>Mittesekkuv</v>
      </c>
      <c r="AX55" s="295" t="str">
        <f>VLOOKUP(VLOOKUP($AU55,KOMBI!$A:$H,5,FALSE),data!$I$39:$J$41,2,FALSE)</f>
        <v>Mittesekkuv</v>
      </c>
      <c r="AY55" s="295" t="str">
        <f>VLOOKUP(VLOOKUP($AU55,KOMBI!$A:$H,4,FALSE),data!$I$32:$J$36,2,FALSE)</f>
        <v>LIB</v>
      </c>
      <c r="BA55" s="25"/>
      <c r="BB55" s="25"/>
      <c r="BC55" s="25"/>
      <c r="BD55" s="25"/>
      <c r="BE55" s="25"/>
      <c r="BF55" s="25"/>
      <c r="BG55" s="25"/>
      <c r="BH55" s="25"/>
      <c r="BI55" s="25"/>
      <c r="BJ55" s="25"/>
      <c r="BK55" s="25"/>
      <c r="BL55" s="25"/>
      <c r="BM55" s="25"/>
      <c r="BN55" s="25"/>
      <c r="BO55" s="25"/>
      <c r="BP55" s="25"/>
      <c r="BQ55" s="25"/>
      <c r="BR55" s="25"/>
      <c r="BS55" s="25"/>
      <c r="BT55" s="25"/>
      <c r="BU55" s="25"/>
      <c r="BV55" s="25"/>
      <c r="BW55" s="25"/>
      <c r="BX55" s="25"/>
      <c r="BY55" s="25"/>
      <c r="BZ55" s="25"/>
      <c r="CA55" s="25"/>
      <c r="CB55" s="25"/>
      <c r="CC55" s="25"/>
      <c r="CD55" s="25"/>
      <c r="CE55" s="25"/>
      <c r="CF55" s="25"/>
      <c r="CG55" s="25"/>
      <c r="CH55" s="25"/>
      <c r="CI55" s="25"/>
      <c r="CJ55" s="25"/>
      <c r="CK55" s="25"/>
      <c r="CL55" s="25"/>
    </row>
    <row r="56" spans="3:90" x14ac:dyDescent="0.2">
      <c r="C56" s="184">
        <v>53</v>
      </c>
      <c r="D56" s="25"/>
      <c r="E56" s="25"/>
      <c r="F56" s="25"/>
      <c r="G56" s="25"/>
      <c r="H56" s="25"/>
      <c r="I56" s="25"/>
      <c r="J56" s="25"/>
      <c r="K56" s="25"/>
      <c r="L56" s="25"/>
      <c r="M56" s="25"/>
      <c r="N56" s="25"/>
      <c r="O56" s="25"/>
      <c r="P56" s="25"/>
      <c r="Q56" s="25"/>
      <c r="R56" s="25"/>
      <c r="S56" s="25"/>
      <c r="T56" s="25"/>
      <c r="U56" s="25"/>
      <c r="V56" s="25"/>
      <c r="W56" s="25"/>
      <c r="X56" s="25"/>
      <c r="Y56" s="25"/>
      <c r="Z56" s="25"/>
      <c r="AA56" s="25"/>
      <c r="AB56" s="25"/>
      <c r="AC56" s="25"/>
      <c r="AD56" s="25"/>
      <c r="AE56" s="25"/>
      <c r="AF56" s="25"/>
      <c r="AG56" s="25"/>
      <c r="AH56" s="25"/>
      <c r="AO56" s="25">
        <v>10000</v>
      </c>
      <c r="AS56" s="297">
        <f t="shared" si="2"/>
        <v>10000</v>
      </c>
      <c r="AT56" s="25">
        <f t="shared" si="3"/>
        <v>10000</v>
      </c>
      <c r="AU56" s="25">
        <f t="shared" si="4"/>
        <v>1</v>
      </c>
      <c r="AV56" s="295" t="str">
        <f>VLOOKUP(VLOOKUP($AU56,KOMBI!$A:$H,3,FALSE),data!$I$27:$J$29,2,FALSE)</f>
        <v>Mittesekkuv</v>
      </c>
      <c r="AW56" s="295" t="str">
        <f>VLOOKUP(VLOOKUP($AU56,KOMBI!$A:$H,2,FALSE),data!$I$21:$J$23,2,FALSE)</f>
        <v>Mittesekkuv</v>
      </c>
      <c r="AX56" s="295" t="str">
        <f>VLOOKUP(VLOOKUP($AU56,KOMBI!$A:$H,5,FALSE),data!$I$39:$J$41,2,FALSE)</f>
        <v>Mittesekkuv</v>
      </c>
      <c r="AY56" s="295" t="str">
        <f>VLOOKUP(VLOOKUP($AU56,KOMBI!$A:$H,4,FALSE),data!$I$32:$J$36,2,FALSE)</f>
        <v>LIB</v>
      </c>
      <c r="BA56" s="25"/>
      <c r="BB56" s="25"/>
      <c r="BC56" s="25"/>
      <c r="BD56" s="25"/>
      <c r="BE56" s="25"/>
      <c r="BF56" s="25"/>
      <c r="BG56" s="25"/>
      <c r="BH56" s="25"/>
      <c r="BI56" s="25"/>
      <c r="BJ56" s="25"/>
      <c r="BK56" s="25"/>
      <c r="BL56" s="25"/>
      <c r="BM56" s="25"/>
      <c r="BN56" s="25"/>
      <c r="BO56" s="25"/>
      <c r="BP56" s="25"/>
      <c r="BQ56" s="25"/>
      <c r="BR56" s="25"/>
      <c r="BS56" s="25"/>
      <c r="BT56" s="25"/>
      <c r="BU56" s="25"/>
      <c r="BV56" s="25"/>
      <c r="BW56" s="25"/>
      <c r="BX56" s="25"/>
      <c r="BY56" s="25"/>
      <c r="BZ56" s="25"/>
      <c r="CA56" s="25"/>
      <c r="CB56" s="25"/>
      <c r="CC56" s="25"/>
      <c r="CD56" s="25"/>
      <c r="CE56" s="25"/>
      <c r="CF56" s="25"/>
      <c r="CG56" s="25"/>
      <c r="CH56" s="25"/>
      <c r="CI56" s="25"/>
      <c r="CJ56" s="25"/>
      <c r="CK56" s="25"/>
      <c r="CL56" s="25"/>
    </row>
    <row r="57" spans="3:90" x14ac:dyDescent="0.2">
      <c r="C57" s="184">
        <v>54</v>
      </c>
      <c r="D57" s="25"/>
      <c r="E57" s="25"/>
      <c r="F57" s="25"/>
      <c r="G57" s="25"/>
      <c r="H57" s="25"/>
      <c r="I57" s="25"/>
      <c r="J57" s="25"/>
      <c r="K57" s="25"/>
      <c r="L57" s="25"/>
      <c r="M57" s="25"/>
      <c r="N57" s="25"/>
      <c r="O57" s="25"/>
      <c r="P57" s="25"/>
      <c r="Q57" s="25"/>
      <c r="R57" s="25"/>
      <c r="S57" s="25"/>
      <c r="T57" s="25"/>
      <c r="U57" s="25"/>
      <c r="V57" s="25"/>
      <c r="W57" s="25"/>
      <c r="X57" s="25"/>
      <c r="Y57" s="25"/>
      <c r="Z57" s="25"/>
      <c r="AA57" s="25"/>
      <c r="AB57" s="25"/>
      <c r="AC57" s="25"/>
      <c r="AD57" s="25"/>
      <c r="AE57" s="25"/>
      <c r="AF57" s="25"/>
      <c r="AG57" s="25"/>
      <c r="AH57" s="25"/>
      <c r="AO57" s="25">
        <v>10000</v>
      </c>
      <c r="AS57" s="297">
        <f t="shared" si="2"/>
        <v>10000</v>
      </c>
      <c r="AT57" s="25">
        <f t="shared" si="3"/>
        <v>10000</v>
      </c>
      <c r="AU57" s="25">
        <f t="shared" si="4"/>
        <v>1</v>
      </c>
      <c r="AV57" s="295" t="str">
        <f>VLOOKUP(VLOOKUP($AU57,KOMBI!$A:$H,3,FALSE),data!$I$27:$J$29,2,FALSE)</f>
        <v>Mittesekkuv</v>
      </c>
      <c r="AW57" s="295" t="str">
        <f>VLOOKUP(VLOOKUP($AU57,KOMBI!$A:$H,2,FALSE),data!$I$21:$J$23,2,FALSE)</f>
        <v>Mittesekkuv</v>
      </c>
      <c r="AX57" s="295" t="str">
        <f>VLOOKUP(VLOOKUP($AU57,KOMBI!$A:$H,5,FALSE),data!$I$39:$J$41,2,FALSE)</f>
        <v>Mittesekkuv</v>
      </c>
      <c r="AY57" s="295" t="str">
        <f>VLOOKUP(VLOOKUP($AU57,KOMBI!$A:$H,4,FALSE),data!$I$32:$J$36,2,FALSE)</f>
        <v>LIB</v>
      </c>
      <c r="BA57" s="25"/>
      <c r="BB57" s="25"/>
      <c r="BC57" s="25"/>
      <c r="BD57" s="25"/>
      <c r="BE57" s="25"/>
      <c r="BF57" s="25"/>
      <c r="BG57" s="25"/>
      <c r="BH57" s="25"/>
      <c r="BI57" s="25"/>
      <c r="BJ57" s="25"/>
      <c r="BK57" s="25"/>
      <c r="BL57" s="25"/>
      <c r="BM57" s="25"/>
      <c r="BN57" s="25"/>
      <c r="BO57" s="25"/>
      <c r="BP57" s="25"/>
      <c r="BQ57" s="25"/>
      <c r="BR57" s="25"/>
      <c r="BS57" s="25"/>
      <c r="BT57" s="25"/>
      <c r="BU57" s="25"/>
      <c r="BV57" s="25"/>
      <c r="BW57" s="25"/>
      <c r="BX57" s="25"/>
      <c r="BY57" s="25"/>
      <c r="BZ57" s="25"/>
      <c r="CA57" s="25"/>
      <c r="CB57" s="25"/>
      <c r="CC57" s="25"/>
      <c r="CD57" s="25"/>
      <c r="CE57" s="25"/>
      <c r="CF57" s="25"/>
      <c r="CG57" s="25"/>
      <c r="CH57" s="25"/>
      <c r="CI57" s="25"/>
      <c r="CJ57" s="25"/>
      <c r="CK57" s="25"/>
      <c r="CL57" s="25"/>
    </row>
    <row r="58" spans="3:90" x14ac:dyDescent="0.2">
      <c r="C58" s="184">
        <v>55</v>
      </c>
      <c r="D58" s="25"/>
      <c r="E58" s="25"/>
      <c r="F58" s="25"/>
      <c r="G58" s="25"/>
      <c r="H58" s="25"/>
      <c r="I58" s="25"/>
      <c r="J58" s="25"/>
      <c r="K58" s="25"/>
      <c r="L58" s="25"/>
      <c r="M58" s="25"/>
      <c r="N58" s="25"/>
      <c r="O58" s="25"/>
      <c r="P58" s="25"/>
      <c r="Q58" s="25"/>
      <c r="R58" s="25"/>
      <c r="S58" s="25"/>
      <c r="T58" s="25"/>
      <c r="U58" s="25"/>
      <c r="V58" s="25"/>
      <c r="W58" s="25"/>
      <c r="X58" s="25"/>
      <c r="Y58" s="25"/>
      <c r="Z58" s="25"/>
      <c r="AA58" s="25"/>
      <c r="AB58" s="25"/>
      <c r="AC58" s="25"/>
      <c r="AD58" s="25"/>
      <c r="AE58" s="25"/>
      <c r="AF58" s="25"/>
      <c r="AG58" s="25"/>
      <c r="AH58" s="25"/>
      <c r="AO58" s="25">
        <v>10000</v>
      </c>
      <c r="AS58" s="297">
        <f t="shared" si="2"/>
        <v>10000</v>
      </c>
      <c r="AT58" s="25">
        <f t="shared" si="3"/>
        <v>10000</v>
      </c>
      <c r="AU58" s="25">
        <f t="shared" si="4"/>
        <v>1</v>
      </c>
      <c r="AV58" s="295" t="str">
        <f>VLOOKUP(VLOOKUP($AU58,KOMBI!$A:$H,3,FALSE),data!$I$27:$J$29,2,FALSE)</f>
        <v>Mittesekkuv</v>
      </c>
      <c r="AW58" s="295" t="str">
        <f>VLOOKUP(VLOOKUP($AU58,KOMBI!$A:$H,2,FALSE),data!$I$21:$J$23,2,FALSE)</f>
        <v>Mittesekkuv</v>
      </c>
      <c r="AX58" s="295" t="str">
        <f>VLOOKUP(VLOOKUP($AU58,KOMBI!$A:$H,5,FALSE),data!$I$39:$J$41,2,FALSE)</f>
        <v>Mittesekkuv</v>
      </c>
      <c r="AY58" s="295" t="str">
        <f>VLOOKUP(VLOOKUP($AU58,KOMBI!$A:$H,4,FALSE),data!$I$32:$J$36,2,FALSE)</f>
        <v>LIB</v>
      </c>
      <c r="BA58" s="25"/>
      <c r="BB58" s="25"/>
      <c r="BC58" s="25"/>
      <c r="BD58" s="25"/>
      <c r="BE58" s="25"/>
      <c r="BF58" s="25"/>
      <c r="BG58" s="25"/>
      <c r="BH58" s="25"/>
      <c r="BI58" s="25"/>
      <c r="BJ58" s="25"/>
      <c r="BK58" s="25"/>
      <c r="BL58" s="25"/>
      <c r="BM58" s="25"/>
      <c r="BN58" s="25"/>
      <c r="BO58" s="25"/>
      <c r="BP58" s="25"/>
      <c r="BQ58" s="25"/>
      <c r="BR58" s="25"/>
      <c r="BS58" s="25"/>
      <c r="BT58" s="25"/>
      <c r="BU58" s="25"/>
      <c r="BV58" s="25"/>
      <c r="BW58" s="25"/>
      <c r="BX58" s="25"/>
      <c r="BY58" s="25"/>
      <c r="BZ58" s="25"/>
      <c r="CA58" s="25"/>
      <c r="CB58" s="25"/>
      <c r="CC58" s="25"/>
      <c r="CD58" s="25"/>
      <c r="CE58" s="25"/>
      <c r="CF58" s="25"/>
      <c r="CG58" s="25"/>
      <c r="CH58" s="25"/>
      <c r="CI58" s="25"/>
      <c r="CJ58" s="25"/>
      <c r="CK58" s="25"/>
      <c r="CL58" s="25"/>
    </row>
    <row r="59" spans="3:90" x14ac:dyDescent="0.2">
      <c r="C59" s="184">
        <v>56</v>
      </c>
      <c r="D59" s="25"/>
      <c r="E59" s="25"/>
      <c r="F59" s="25"/>
      <c r="G59" s="25"/>
      <c r="H59" s="25"/>
      <c r="I59" s="25"/>
      <c r="J59" s="25"/>
      <c r="K59" s="25"/>
      <c r="L59" s="25"/>
      <c r="M59" s="25"/>
      <c r="N59" s="25"/>
      <c r="O59" s="25"/>
      <c r="P59" s="25"/>
      <c r="Q59" s="25"/>
      <c r="R59" s="25"/>
      <c r="S59" s="25"/>
      <c r="T59" s="25"/>
      <c r="U59" s="25"/>
      <c r="V59" s="25"/>
      <c r="W59" s="25"/>
      <c r="X59" s="25"/>
      <c r="Y59" s="25"/>
      <c r="Z59" s="25"/>
      <c r="AA59" s="25"/>
      <c r="AB59" s="25"/>
      <c r="AC59" s="25"/>
      <c r="AD59" s="25"/>
      <c r="AE59" s="25"/>
      <c r="AF59" s="25"/>
      <c r="AG59" s="25"/>
      <c r="AH59" s="25"/>
      <c r="AO59" s="25">
        <v>10000</v>
      </c>
      <c r="AS59" s="297">
        <f t="shared" si="2"/>
        <v>10000</v>
      </c>
      <c r="AT59" s="25">
        <f t="shared" si="3"/>
        <v>10000</v>
      </c>
      <c r="AU59" s="25">
        <f t="shared" si="4"/>
        <v>1</v>
      </c>
      <c r="AV59" s="295" t="str">
        <f>VLOOKUP(VLOOKUP($AU59,KOMBI!$A:$H,3,FALSE),data!$I$27:$J$29,2,FALSE)</f>
        <v>Mittesekkuv</v>
      </c>
      <c r="AW59" s="295" t="str">
        <f>VLOOKUP(VLOOKUP($AU59,KOMBI!$A:$H,2,FALSE),data!$I$21:$J$23,2,FALSE)</f>
        <v>Mittesekkuv</v>
      </c>
      <c r="AX59" s="295" t="str">
        <f>VLOOKUP(VLOOKUP($AU59,KOMBI!$A:$H,5,FALSE),data!$I$39:$J$41,2,FALSE)</f>
        <v>Mittesekkuv</v>
      </c>
      <c r="AY59" s="295" t="str">
        <f>VLOOKUP(VLOOKUP($AU59,KOMBI!$A:$H,4,FALSE),data!$I$32:$J$36,2,FALSE)</f>
        <v>LIB</v>
      </c>
      <c r="BA59" s="25"/>
      <c r="BB59" s="25"/>
      <c r="BC59" s="25"/>
      <c r="BD59" s="25"/>
      <c r="BE59" s="25"/>
      <c r="BF59" s="25"/>
      <c r="BG59" s="25"/>
      <c r="BH59" s="25"/>
      <c r="BI59" s="25"/>
      <c r="BJ59" s="25"/>
      <c r="BK59" s="25"/>
      <c r="BL59" s="25"/>
      <c r="BM59" s="25"/>
      <c r="BN59" s="25"/>
      <c r="BO59" s="25"/>
      <c r="BP59" s="25"/>
      <c r="BQ59" s="25"/>
      <c r="BR59" s="25"/>
      <c r="BS59" s="25"/>
      <c r="BT59" s="25"/>
      <c r="BU59" s="25"/>
      <c r="BV59" s="25"/>
      <c r="BW59" s="25"/>
      <c r="BX59" s="25"/>
      <c r="BY59" s="25"/>
      <c r="BZ59" s="25"/>
      <c r="CA59" s="25"/>
      <c r="CB59" s="25"/>
      <c r="CC59" s="25"/>
      <c r="CD59" s="25"/>
      <c r="CE59" s="25"/>
      <c r="CF59" s="25"/>
      <c r="CG59" s="25"/>
      <c r="CH59" s="25"/>
      <c r="CI59" s="25"/>
      <c r="CJ59" s="25"/>
      <c r="CK59" s="25"/>
      <c r="CL59" s="25"/>
    </row>
    <row r="60" spans="3:90" x14ac:dyDescent="0.2">
      <c r="C60" s="184">
        <v>57</v>
      </c>
      <c r="D60" s="25"/>
      <c r="E60" s="25"/>
      <c r="F60" s="25"/>
      <c r="G60" s="25"/>
      <c r="H60" s="25"/>
      <c r="I60" s="25"/>
      <c r="J60" s="25"/>
      <c r="K60" s="25"/>
      <c r="L60" s="25"/>
      <c r="M60" s="25"/>
      <c r="N60" s="25"/>
      <c r="O60" s="25"/>
      <c r="P60" s="25"/>
      <c r="Q60" s="25"/>
      <c r="R60" s="25"/>
      <c r="S60" s="25"/>
      <c r="T60" s="25"/>
      <c r="U60" s="25"/>
      <c r="V60" s="25"/>
      <c r="W60" s="25"/>
      <c r="X60" s="25"/>
      <c r="Y60" s="25"/>
      <c r="Z60" s="25"/>
      <c r="AA60" s="25"/>
      <c r="AB60" s="25"/>
      <c r="AC60" s="25"/>
      <c r="AD60" s="25"/>
      <c r="AE60" s="25"/>
      <c r="AF60" s="25"/>
      <c r="AG60" s="25"/>
      <c r="AH60" s="25"/>
      <c r="AO60" s="25">
        <v>10000</v>
      </c>
      <c r="AS60" s="297">
        <f t="shared" si="2"/>
        <v>10000</v>
      </c>
      <c r="AT60" s="25">
        <f t="shared" si="3"/>
        <v>10000</v>
      </c>
      <c r="AU60" s="25">
        <f t="shared" si="4"/>
        <v>1</v>
      </c>
      <c r="AV60" s="295" t="str">
        <f>VLOOKUP(VLOOKUP($AU60,KOMBI!$A:$H,3,FALSE),data!$I$27:$J$29,2,FALSE)</f>
        <v>Mittesekkuv</v>
      </c>
      <c r="AW60" s="295" t="str">
        <f>VLOOKUP(VLOOKUP($AU60,KOMBI!$A:$H,2,FALSE),data!$I$21:$J$23,2,FALSE)</f>
        <v>Mittesekkuv</v>
      </c>
      <c r="AX60" s="295" t="str">
        <f>VLOOKUP(VLOOKUP($AU60,KOMBI!$A:$H,5,FALSE),data!$I$39:$J$41,2,FALSE)</f>
        <v>Mittesekkuv</v>
      </c>
      <c r="AY60" s="295" t="str">
        <f>VLOOKUP(VLOOKUP($AU60,KOMBI!$A:$H,4,FALSE),data!$I$32:$J$36,2,FALSE)</f>
        <v>LIB</v>
      </c>
      <c r="BA60" s="25"/>
      <c r="BB60" s="25"/>
      <c r="BC60" s="25"/>
      <c r="BD60" s="25"/>
      <c r="BE60" s="25"/>
      <c r="BF60" s="25"/>
      <c r="BG60" s="25"/>
      <c r="BH60" s="25"/>
      <c r="BI60" s="25"/>
      <c r="BJ60" s="25"/>
      <c r="BK60" s="25"/>
      <c r="BL60" s="25"/>
      <c r="BM60" s="25"/>
      <c r="BN60" s="25"/>
      <c r="BO60" s="25"/>
      <c r="BP60" s="25"/>
      <c r="BQ60" s="25"/>
      <c r="BR60" s="25"/>
      <c r="BS60" s="25"/>
      <c r="BT60" s="25"/>
      <c r="BU60" s="25"/>
      <c r="BV60" s="25"/>
      <c r="BW60" s="25"/>
      <c r="BX60" s="25"/>
      <c r="BY60" s="25"/>
      <c r="BZ60" s="25"/>
      <c r="CA60" s="25"/>
      <c r="CB60" s="25"/>
      <c r="CC60" s="25"/>
      <c r="CD60" s="25"/>
      <c r="CE60" s="25"/>
      <c r="CF60" s="25"/>
      <c r="CG60" s="25"/>
      <c r="CH60" s="25"/>
      <c r="CI60" s="25"/>
      <c r="CJ60" s="25"/>
      <c r="CK60" s="25"/>
      <c r="CL60" s="25"/>
    </row>
    <row r="61" spans="3:90" x14ac:dyDescent="0.2">
      <c r="C61" s="184">
        <v>58</v>
      </c>
      <c r="D61" s="25"/>
      <c r="E61" s="25"/>
      <c r="F61" s="25"/>
      <c r="G61" s="25"/>
      <c r="H61" s="25"/>
      <c r="I61" s="25"/>
      <c r="J61" s="25"/>
      <c r="K61" s="25"/>
      <c r="L61" s="25"/>
      <c r="M61" s="25"/>
      <c r="N61" s="25"/>
      <c r="O61" s="25"/>
      <c r="P61" s="25"/>
      <c r="Q61" s="25"/>
      <c r="R61" s="25"/>
      <c r="S61" s="25"/>
      <c r="T61" s="25"/>
      <c r="U61" s="25"/>
      <c r="V61" s="25"/>
      <c r="W61" s="25"/>
      <c r="X61" s="25"/>
      <c r="Y61" s="25"/>
      <c r="Z61" s="25"/>
      <c r="AA61" s="25"/>
      <c r="AB61" s="25"/>
      <c r="AC61" s="25"/>
      <c r="AD61" s="25"/>
      <c r="AE61" s="25"/>
      <c r="AF61" s="25"/>
      <c r="AG61" s="25"/>
      <c r="AH61" s="25"/>
      <c r="AO61" s="25">
        <v>10000</v>
      </c>
      <c r="AS61" s="297">
        <f t="shared" si="2"/>
        <v>10000</v>
      </c>
      <c r="AT61" s="25">
        <f t="shared" si="3"/>
        <v>10000</v>
      </c>
      <c r="AU61" s="25">
        <f t="shared" si="4"/>
        <v>1</v>
      </c>
      <c r="AV61" s="295" t="str">
        <f>VLOOKUP(VLOOKUP($AU61,KOMBI!$A:$H,3,FALSE),data!$I$27:$J$29,2,FALSE)</f>
        <v>Mittesekkuv</v>
      </c>
      <c r="AW61" s="295" t="str">
        <f>VLOOKUP(VLOOKUP($AU61,KOMBI!$A:$H,2,FALSE),data!$I$21:$J$23,2,FALSE)</f>
        <v>Mittesekkuv</v>
      </c>
      <c r="AX61" s="295" t="str">
        <f>VLOOKUP(VLOOKUP($AU61,KOMBI!$A:$H,5,FALSE),data!$I$39:$J$41,2,FALSE)</f>
        <v>Mittesekkuv</v>
      </c>
      <c r="AY61" s="295" t="str">
        <f>VLOOKUP(VLOOKUP($AU61,KOMBI!$A:$H,4,FALSE),data!$I$32:$J$36,2,FALSE)</f>
        <v>LIB</v>
      </c>
      <c r="BA61" s="25"/>
      <c r="BB61" s="25"/>
      <c r="BC61" s="25"/>
      <c r="BD61" s="25"/>
      <c r="BE61" s="25"/>
      <c r="BF61" s="25"/>
      <c r="BG61" s="25"/>
      <c r="BH61" s="25"/>
      <c r="BI61" s="25"/>
      <c r="BJ61" s="25"/>
      <c r="BK61" s="25"/>
      <c r="BL61" s="25"/>
      <c r="BM61" s="25"/>
      <c r="BN61" s="25"/>
      <c r="BO61" s="25"/>
      <c r="BP61" s="25"/>
      <c r="BQ61" s="25"/>
      <c r="BR61" s="25"/>
      <c r="BS61" s="25"/>
      <c r="BT61" s="25"/>
      <c r="BU61" s="25"/>
      <c r="BV61" s="25"/>
      <c r="BW61" s="25"/>
      <c r="BX61" s="25"/>
      <c r="BY61" s="25"/>
      <c r="BZ61" s="25"/>
      <c r="CA61" s="25"/>
      <c r="CB61" s="25"/>
      <c r="CC61" s="25"/>
      <c r="CD61" s="25"/>
      <c r="CE61" s="25"/>
      <c r="CF61" s="25"/>
      <c r="CG61" s="25"/>
      <c r="CH61" s="25"/>
      <c r="CI61" s="25"/>
      <c r="CJ61" s="25"/>
      <c r="CK61" s="25"/>
      <c r="CL61" s="25"/>
    </row>
    <row r="62" spans="3:90" x14ac:dyDescent="0.2">
      <c r="C62" s="184">
        <v>59</v>
      </c>
      <c r="D62" s="25"/>
      <c r="E62" s="25"/>
      <c r="F62" s="25"/>
      <c r="G62" s="25"/>
      <c r="H62" s="25"/>
      <c r="I62" s="25"/>
      <c r="J62" s="25"/>
      <c r="K62" s="25"/>
      <c r="L62" s="25"/>
      <c r="M62" s="25"/>
      <c r="N62" s="25"/>
      <c r="O62" s="25"/>
      <c r="P62" s="25"/>
      <c r="Q62" s="25"/>
      <c r="R62" s="25"/>
      <c r="S62" s="25"/>
      <c r="T62" s="25"/>
      <c r="U62" s="25"/>
      <c r="V62" s="25"/>
      <c r="W62" s="25"/>
      <c r="X62" s="25"/>
      <c r="Y62" s="25"/>
      <c r="Z62" s="25"/>
      <c r="AA62" s="25"/>
      <c r="AB62" s="25"/>
      <c r="AC62" s="25"/>
      <c r="AD62" s="25"/>
      <c r="AE62" s="25"/>
      <c r="AF62" s="25"/>
      <c r="AG62" s="25"/>
      <c r="AH62" s="25"/>
      <c r="AO62" s="25">
        <v>10000</v>
      </c>
      <c r="AS62" s="297">
        <f t="shared" si="2"/>
        <v>10000</v>
      </c>
      <c r="AT62" s="25">
        <f t="shared" si="3"/>
        <v>10000</v>
      </c>
      <c r="AU62" s="25">
        <f t="shared" si="4"/>
        <v>1</v>
      </c>
      <c r="AV62" s="295" t="str">
        <f>VLOOKUP(VLOOKUP($AU62,KOMBI!$A:$H,3,FALSE),data!$I$27:$J$29,2,FALSE)</f>
        <v>Mittesekkuv</v>
      </c>
      <c r="AW62" s="295" t="str">
        <f>VLOOKUP(VLOOKUP($AU62,KOMBI!$A:$H,2,FALSE),data!$I$21:$J$23,2,FALSE)</f>
        <v>Mittesekkuv</v>
      </c>
      <c r="AX62" s="295" t="str">
        <f>VLOOKUP(VLOOKUP($AU62,KOMBI!$A:$H,5,FALSE),data!$I$39:$J$41,2,FALSE)</f>
        <v>Mittesekkuv</v>
      </c>
      <c r="AY62" s="295" t="str">
        <f>VLOOKUP(VLOOKUP($AU62,KOMBI!$A:$H,4,FALSE),data!$I$32:$J$36,2,FALSE)</f>
        <v>LIB</v>
      </c>
      <c r="BA62" s="25"/>
      <c r="BB62" s="25"/>
      <c r="BC62" s="25"/>
      <c r="BD62" s="25"/>
      <c r="BE62" s="25"/>
      <c r="BF62" s="25"/>
      <c r="BG62" s="25"/>
      <c r="BH62" s="25"/>
      <c r="BI62" s="25"/>
      <c r="BJ62" s="25"/>
      <c r="BK62" s="25"/>
      <c r="BL62" s="25"/>
      <c r="BM62" s="25"/>
      <c r="BN62" s="25"/>
      <c r="BO62" s="25"/>
      <c r="BP62" s="25"/>
      <c r="BQ62" s="25"/>
      <c r="BR62" s="25"/>
      <c r="BS62" s="25"/>
      <c r="BT62" s="25"/>
      <c r="BU62" s="25"/>
      <c r="BV62" s="25"/>
      <c r="BW62" s="25"/>
      <c r="BX62" s="25"/>
      <c r="BY62" s="25"/>
      <c r="BZ62" s="25"/>
      <c r="CA62" s="25"/>
      <c r="CB62" s="25"/>
      <c r="CC62" s="25"/>
      <c r="CD62" s="25"/>
      <c r="CE62" s="25"/>
      <c r="CF62" s="25"/>
      <c r="CG62" s="25"/>
      <c r="CH62" s="25"/>
      <c r="CI62" s="25"/>
      <c r="CJ62" s="25"/>
      <c r="CK62" s="25"/>
      <c r="CL62" s="25"/>
    </row>
    <row r="63" spans="3:90" x14ac:dyDescent="0.2">
      <c r="C63" s="184">
        <v>60</v>
      </c>
      <c r="D63" s="25"/>
      <c r="E63" s="25"/>
      <c r="F63" s="25"/>
      <c r="G63" s="25"/>
      <c r="H63" s="25"/>
      <c r="I63" s="25"/>
      <c r="J63" s="25"/>
      <c r="K63" s="25"/>
      <c r="L63" s="25"/>
      <c r="M63" s="25"/>
      <c r="N63" s="25"/>
      <c r="O63" s="25"/>
      <c r="P63" s="25"/>
      <c r="Q63" s="25"/>
      <c r="R63" s="25"/>
      <c r="S63" s="25"/>
      <c r="T63" s="25"/>
      <c r="U63" s="25"/>
      <c r="V63" s="25"/>
      <c r="W63" s="25"/>
      <c r="X63" s="25"/>
      <c r="Y63" s="25"/>
      <c r="Z63" s="25"/>
      <c r="AA63" s="25"/>
      <c r="AB63" s="25"/>
      <c r="AC63" s="25"/>
      <c r="AD63" s="25"/>
      <c r="AE63" s="25"/>
      <c r="AF63" s="25"/>
      <c r="AG63" s="25"/>
      <c r="AH63" s="25"/>
      <c r="AO63" s="25">
        <v>10000</v>
      </c>
      <c r="AS63" s="297">
        <f t="shared" si="2"/>
        <v>10000</v>
      </c>
      <c r="AT63" s="25">
        <f t="shared" si="3"/>
        <v>10000</v>
      </c>
      <c r="AU63" s="25">
        <f t="shared" si="4"/>
        <v>1</v>
      </c>
      <c r="AV63" s="295" t="str">
        <f>VLOOKUP(VLOOKUP($AU63,KOMBI!$A:$H,3,FALSE),data!$I$27:$J$29,2,FALSE)</f>
        <v>Mittesekkuv</v>
      </c>
      <c r="AW63" s="295" t="str">
        <f>VLOOKUP(VLOOKUP($AU63,KOMBI!$A:$H,2,FALSE),data!$I$21:$J$23,2,FALSE)</f>
        <v>Mittesekkuv</v>
      </c>
      <c r="AX63" s="295" t="str">
        <f>VLOOKUP(VLOOKUP($AU63,KOMBI!$A:$H,5,FALSE),data!$I$39:$J$41,2,FALSE)</f>
        <v>Mittesekkuv</v>
      </c>
      <c r="AY63" s="295" t="str">
        <f>VLOOKUP(VLOOKUP($AU63,KOMBI!$A:$H,4,FALSE),data!$I$32:$J$36,2,FALSE)</f>
        <v>LIB</v>
      </c>
      <c r="BA63" s="25"/>
      <c r="BB63" s="25"/>
      <c r="BC63" s="25"/>
      <c r="BD63" s="25"/>
      <c r="BE63" s="25"/>
      <c r="BF63" s="25"/>
      <c r="BG63" s="25"/>
      <c r="BH63" s="25"/>
      <c r="BI63" s="25"/>
      <c r="BJ63" s="25"/>
      <c r="BK63" s="25"/>
      <c r="BL63" s="25"/>
      <c r="BM63" s="25"/>
      <c r="BN63" s="25"/>
      <c r="BO63" s="25"/>
      <c r="BP63" s="25"/>
      <c r="BQ63" s="25"/>
      <c r="BR63" s="25"/>
      <c r="BS63" s="25"/>
      <c r="BT63" s="25"/>
      <c r="BU63" s="25"/>
      <c r="BV63" s="25"/>
      <c r="BW63" s="25"/>
      <c r="BX63" s="25"/>
      <c r="BY63" s="25"/>
      <c r="BZ63" s="25"/>
      <c r="CA63" s="25"/>
      <c r="CB63" s="25"/>
      <c r="CC63" s="25"/>
      <c r="CD63" s="25"/>
      <c r="CE63" s="25"/>
      <c r="CF63" s="25"/>
      <c r="CG63" s="25"/>
      <c r="CH63" s="25"/>
      <c r="CI63" s="25"/>
      <c r="CJ63" s="25"/>
      <c r="CK63" s="25"/>
      <c r="CL63" s="25"/>
    </row>
    <row r="64" spans="3:90" x14ac:dyDescent="0.2">
      <c r="C64" s="184">
        <v>61</v>
      </c>
      <c r="D64" s="25"/>
      <c r="E64" s="25"/>
      <c r="F64" s="25"/>
      <c r="G64" s="25"/>
      <c r="H64" s="25"/>
      <c r="I64" s="25"/>
      <c r="J64" s="25"/>
      <c r="K64" s="25"/>
      <c r="L64" s="25"/>
      <c r="M64" s="25"/>
      <c r="N64" s="25"/>
      <c r="O64" s="25"/>
      <c r="P64" s="25"/>
      <c r="Q64" s="25"/>
      <c r="R64" s="25"/>
      <c r="S64" s="25"/>
      <c r="T64" s="25"/>
      <c r="U64" s="25"/>
      <c r="V64" s="25"/>
      <c r="W64" s="25"/>
      <c r="X64" s="25"/>
      <c r="Y64" s="25"/>
      <c r="Z64" s="25"/>
      <c r="AA64" s="25"/>
      <c r="AB64" s="25"/>
      <c r="AC64" s="25"/>
      <c r="AD64" s="25"/>
      <c r="AE64" s="25"/>
      <c r="AF64" s="25"/>
      <c r="AG64" s="25"/>
      <c r="AH64" s="25"/>
      <c r="AO64" s="25">
        <v>10000</v>
      </c>
      <c r="AS64" s="297">
        <f t="shared" si="2"/>
        <v>10000</v>
      </c>
      <c r="AT64" s="25">
        <f t="shared" si="3"/>
        <v>10000</v>
      </c>
      <c r="AU64" s="25">
        <f t="shared" si="4"/>
        <v>1</v>
      </c>
      <c r="AV64" s="295" t="str">
        <f>VLOOKUP(VLOOKUP($AU64,KOMBI!$A:$H,3,FALSE),data!$I$27:$J$29,2,FALSE)</f>
        <v>Mittesekkuv</v>
      </c>
      <c r="AW64" s="295" t="str">
        <f>VLOOKUP(VLOOKUP($AU64,KOMBI!$A:$H,2,FALSE),data!$I$21:$J$23,2,FALSE)</f>
        <v>Mittesekkuv</v>
      </c>
      <c r="AX64" s="295" t="str">
        <f>VLOOKUP(VLOOKUP($AU64,KOMBI!$A:$H,5,FALSE),data!$I$39:$J$41,2,FALSE)</f>
        <v>Mittesekkuv</v>
      </c>
      <c r="AY64" s="295" t="str">
        <f>VLOOKUP(VLOOKUP($AU64,KOMBI!$A:$H,4,FALSE),data!$I$32:$J$36,2,FALSE)</f>
        <v>LIB</v>
      </c>
      <c r="BA64" s="25"/>
      <c r="BB64" s="25"/>
      <c r="BC64" s="25"/>
      <c r="BD64" s="25"/>
      <c r="BE64" s="25"/>
      <c r="BF64" s="25"/>
      <c r="BG64" s="25"/>
      <c r="BH64" s="25"/>
      <c r="BI64" s="25"/>
      <c r="BJ64" s="25"/>
      <c r="BK64" s="25"/>
      <c r="BL64" s="25"/>
      <c r="BM64" s="25"/>
      <c r="BN64" s="25"/>
      <c r="BO64" s="25"/>
      <c r="BP64" s="25"/>
      <c r="BQ64" s="25"/>
      <c r="BR64" s="25"/>
      <c r="BS64" s="25"/>
      <c r="BT64" s="25"/>
      <c r="BU64" s="25"/>
      <c r="BV64" s="25"/>
      <c r="BW64" s="25"/>
      <c r="BX64" s="25"/>
      <c r="BY64" s="25"/>
      <c r="BZ64" s="25"/>
      <c r="CA64" s="25"/>
      <c r="CB64" s="25"/>
      <c r="CC64" s="25"/>
      <c r="CD64" s="25"/>
      <c r="CE64" s="25"/>
      <c r="CF64" s="25"/>
      <c r="CG64" s="25"/>
      <c r="CH64" s="25"/>
      <c r="CI64" s="25"/>
      <c r="CJ64" s="25"/>
      <c r="CK64" s="25"/>
      <c r="CL64" s="25"/>
    </row>
    <row r="65" spans="3:90" x14ac:dyDescent="0.2">
      <c r="C65" s="184">
        <v>62</v>
      </c>
      <c r="D65" s="25"/>
      <c r="E65" s="25"/>
      <c r="F65" s="25"/>
      <c r="G65" s="25"/>
      <c r="H65" s="25"/>
      <c r="I65" s="25"/>
      <c r="J65" s="25"/>
      <c r="K65" s="25"/>
      <c r="L65" s="25"/>
      <c r="M65" s="25"/>
      <c r="N65" s="25"/>
      <c r="O65" s="25"/>
      <c r="P65" s="25"/>
      <c r="Q65" s="25"/>
      <c r="R65" s="25"/>
      <c r="S65" s="25"/>
      <c r="T65" s="25"/>
      <c r="U65" s="25"/>
      <c r="V65" s="25"/>
      <c r="W65" s="25"/>
      <c r="X65" s="25"/>
      <c r="Y65" s="25"/>
      <c r="Z65" s="25"/>
      <c r="AA65" s="25"/>
      <c r="AB65" s="25"/>
      <c r="AC65" s="25"/>
      <c r="AD65" s="25"/>
      <c r="AE65" s="25"/>
      <c r="AF65" s="25"/>
      <c r="AG65" s="25"/>
      <c r="AH65" s="25"/>
      <c r="AO65" s="25">
        <v>10000</v>
      </c>
      <c r="AS65" s="297">
        <f t="shared" si="2"/>
        <v>10000</v>
      </c>
      <c r="AT65" s="25">
        <f t="shared" si="3"/>
        <v>10000</v>
      </c>
      <c r="AU65" s="25">
        <f t="shared" si="4"/>
        <v>1</v>
      </c>
      <c r="AV65" s="295" t="str">
        <f>VLOOKUP(VLOOKUP($AU65,KOMBI!$A:$H,3,FALSE),data!$I$27:$J$29,2,FALSE)</f>
        <v>Mittesekkuv</v>
      </c>
      <c r="AW65" s="295" t="str">
        <f>VLOOKUP(VLOOKUP($AU65,KOMBI!$A:$H,2,FALSE),data!$I$21:$J$23,2,FALSE)</f>
        <v>Mittesekkuv</v>
      </c>
      <c r="AX65" s="295" t="str">
        <f>VLOOKUP(VLOOKUP($AU65,KOMBI!$A:$H,5,FALSE),data!$I$39:$J$41,2,FALSE)</f>
        <v>Mittesekkuv</v>
      </c>
      <c r="AY65" s="295" t="str">
        <f>VLOOKUP(VLOOKUP($AU65,KOMBI!$A:$H,4,FALSE),data!$I$32:$J$36,2,FALSE)</f>
        <v>LIB</v>
      </c>
      <c r="BA65" s="25"/>
      <c r="BB65" s="25"/>
      <c r="BC65" s="25"/>
      <c r="BD65" s="25"/>
      <c r="BE65" s="25"/>
      <c r="BF65" s="25"/>
      <c r="BG65" s="25"/>
      <c r="BH65" s="25"/>
      <c r="BI65" s="25"/>
      <c r="BJ65" s="25"/>
      <c r="BK65" s="25"/>
      <c r="BL65" s="25"/>
      <c r="BM65" s="25"/>
      <c r="BN65" s="25"/>
      <c r="BO65" s="25"/>
      <c r="BP65" s="25"/>
      <c r="BQ65" s="25"/>
      <c r="BR65" s="25"/>
      <c r="BS65" s="25"/>
      <c r="BT65" s="25"/>
      <c r="BU65" s="25"/>
      <c r="BV65" s="25"/>
      <c r="BW65" s="25"/>
      <c r="BX65" s="25"/>
      <c r="BY65" s="25"/>
      <c r="BZ65" s="25"/>
      <c r="CA65" s="25"/>
      <c r="CB65" s="25"/>
      <c r="CC65" s="25"/>
      <c r="CD65" s="25"/>
      <c r="CE65" s="25"/>
      <c r="CF65" s="25"/>
      <c r="CG65" s="25"/>
      <c r="CH65" s="25"/>
      <c r="CI65" s="25"/>
      <c r="CJ65" s="25"/>
      <c r="CK65" s="25"/>
      <c r="CL65" s="25"/>
    </row>
    <row r="66" spans="3:90" x14ac:dyDescent="0.2">
      <c r="C66" s="184">
        <v>63</v>
      </c>
      <c r="D66" s="25"/>
      <c r="E66" s="25"/>
      <c r="F66" s="25"/>
      <c r="G66" s="25"/>
      <c r="H66" s="25"/>
      <c r="I66" s="25"/>
      <c r="J66" s="25"/>
      <c r="K66" s="25"/>
      <c r="L66" s="25"/>
      <c r="M66" s="25"/>
      <c r="N66" s="25"/>
      <c r="O66" s="25"/>
      <c r="P66" s="25"/>
      <c r="Q66" s="25"/>
      <c r="R66" s="25"/>
      <c r="S66" s="25"/>
      <c r="T66" s="25"/>
      <c r="U66" s="25"/>
      <c r="V66" s="25"/>
      <c r="W66" s="25"/>
      <c r="X66" s="25"/>
      <c r="Y66" s="25"/>
      <c r="Z66" s="25"/>
      <c r="AA66" s="25"/>
      <c r="AB66" s="25"/>
      <c r="AC66" s="25"/>
      <c r="AD66" s="25"/>
      <c r="AE66" s="25"/>
      <c r="AF66" s="25"/>
      <c r="AG66" s="25"/>
      <c r="AH66" s="25"/>
      <c r="AO66" s="25">
        <v>10000</v>
      </c>
      <c r="AS66" s="297">
        <f t="shared" si="2"/>
        <v>10000</v>
      </c>
      <c r="AT66" s="25">
        <f t="shared" si="3"/>
        <v>10000</v>
      </c>
      <c r="AU66" s="25">
        <f t="shared" si="4"/>
        <v>1</v>
      </c>
      <c r="AV66" s="295" t="str">
        <f>VLOOKUP(VLOOKUP($AU66,KOMBI!$A:$H,3,FALSE),data!$I$27:$J$29,2,FALSE)</f>
        <v>Mittesekkuv</v>
      </c>
      <c r="AW66" s="295" t="str">
        <f>VLOOKUP(VLOOKUP($AU66,KOMBI!$A:$H,2,FALSE),data!$I$21:$J$23,2,FALSE)</f>
        <v>Mittesekkuv</v>
      </c>
      <c r="AX66" s="295" t="str">
        <f>VLOOKUP(VLOOKUP($AU66,KOMBI!$A:$H,5,FALSE),data!$I$39:$J$41,2,FALSE)</f>
        <v>Mittesekkuv</v>
      </c>
      <c r="AY66" s="295" t="str">
        <f>VLOOKUP(VLOOKUP($AU66,KOMBI!$A:$H,4,FALSE),data!$I$32:$J$36,2,FALSE)</f>
        <v>LIB</v>
      </c>
      <c r="BA66" s="25"/>
      <c r="BB66" s="25"/>
      <c r="BC66" s="25"/>
      <c r="BD66" s="25"/>
      <c r="BE66" s="25"/>
      <c r="BF66" s="25"/>
      <c r="BG66" s="25"/>
      <c r="BH66" s="25"/>
      <c r="BI66" s="25"/>
      <c r="BJ66" s="25"/>
      <c r="BK66" s="25"/>
      <c r="BL66" s="25"/>
      <c r="BM66" s="25"/>
      <c r="BN66" s="25"/>
      <c r="BO66" s="25"/>
      <c r="BP66" s="25"/>
      <c r="BQ66" s="25"/>
      <c r="BR66" s="25"/>
      <c r="BS66" s="25"/>
      <c r="BT66" s="25"/>
      <c r="BU66" s="25"/>
      <c r="BV66" s="25"/>
      <c r="BW66" s="25"/>
      <c r="BX66" s="25"/>
      <c r="BY66" s="25"/>
      <c r="BZ66" s="25"/>
      <c r="CA66" s="25"/>
      <c r="CB66" s="25"/>
      <c r="CC66" s="25"/>
      <c r="CD66" s="25"/>
      <c r="CE66" s="25"/>
      <c r="CF66" s="25"/>
      <c r="CG66" s="25"/>
      <c r="CH66" s="25"/>
      <c r="CI66" s="25"/>
      <c r="CJ66" s="25"/>
      <c r="CK66" s="25"/>
      <c r="CL66" s="25"/>
    </row>
    <row r="67" spans="3:90" x14ac:dyDescent="0.2">
      <c r="C67" s="184">
        <v>64</v>
      </c>
      <c r="D67" s="25"/>
      <c r="E67" s="25"/>
      <c r="F67" s="25"/>
      <c r="G67" s="25"/>
      <c r="H67" s="25"/>
      <c r="I67" s="25"/>
      <c r="J67" s="25"/>
      <c r="K67" s="25"/>
      <c r="L67" s="25"/>
      <c r="M67" s="25"/>
      <c r="N67" s="25"/>
      <c r="O67" s="25"/>
      <c r="P67" s="25"/>
      <c r="Q67" s="25"/>
      <c r="R67" s="25"/>
      <c r="S67" s="25"/>
      <c r="T67" s="25"/>
      <c r="U67" s="25"/>
      <c r="V67" s="25"/>
      <c r="W67" s="25"/>
      <c r="X67" s="25"/>
      <c r="Y67" s="25"/>
      <c r="Z67" s="25"/>
      <c r="AA67" s="25"/>
      <c r="AB67" s="25"/>
      <c r="AC67" s="25"/>
      <c r="AD67" s="25"/>
      <c r="AE67" s="25"/>
      <c r="AF67" s="25"/>
      <c r="AG67" s="25"/>
      <c r="AH67" s="25"/>
      <c r="AO67" s="25">
        <v>10000</v>
      </c>
      <c r="AS67" s="297">
        <f t="shared" si="2"/>
        <v>10000</v>
      </c>
      <c r="AT67" s="25">
        <f t="shared" si="3"/>
        <v>10000</v>
      </c>
      <c r="AU67" s="25">
        <f t="shared" si="4"/>
        <v>1</v>
      </c>
      <c r="AV67" s="295" t="str">
        <f>VLOOKUP(VLOOKUP($AU67,KOMBI!$A:$H,3,FALSE),data!$I$27:$J$29,2,FALSE)</f>
        <v>Mittesekkuv</v>
      </c>
      <c r="AW67" s="295" t="str">
        <f>VLOOKUP(VLOOKUP($AU67,KOMBI!$A:$H,2,FALSE),data!$I$21:$J$23,2,FALSE)</f>
        <v>Mittesekkuv</v>
      </c>
      <c r="AX67" s="295" t="str">
        <f>VLOOKUP(VLOOKUP($AU67,KOMBI!$A:$H,5,FALSE),data!$I$39:$J$41,2,FALSE)</f>
        <v>Mittesekkuv</v>
      </c>
      <c r="AY67" s="295" t="str">
        <f>VLOOKUP(VLOOKUP($AU67,KOMBI!$A:$H,4,FALSE),data!$I$32:$J$36,2,FALSE)</f>
        <v>LIB</v>
      </c>
      <c r="BA67" s="25"/>
      <c r="BB67" s="25"/>
      <c r="BC67" s="25"/>
      <c r="BD67" s="25"/>
      <c r="BE67" s="25"/>
      <c r="BF67" s="25"/>
      <c r="BG67" s="25"/>
      <c r="BH67" s="25"/>
      <c r="BI67" s="25"/>
      <c r="BJ67" s="25"/>
      <c r="BK67" s="25"/>
      <c r="BL67" s="25"/>
      <c r="BM67" s="25"/>
      <c r="BN67" s="25"/>
      <c r="BO67" s="25"/>
      <c r="BP67" s="25"/>
      <c r="BQ67" s="25"/>
      <c r="BR67" s="25"/>
      <c r="BS67" s="25"/>
      <c r="BT67" s="25"/>
      <c r="BU67" s="25"/>
      <c r="BV67" s="25"/>
      <c r="BW67" s="25"/>
      <c r="BX67" s="25"/>
      <c r="BY67" s="25"/>
      <c r="BZ67" s="25"/>
      <c r="CA67" s="25"/>
      <c r="CB67" s="25"/>
      <c r="CC67" s="25"/>
      <c r="CD67" s="25"/>
      <c r="CE67" s="25"/>
      <c r="CF67" s="25"/>
      <c r="CG67" s="25"/>
      <c r="CH67" s="25"/>
      <c r="CI67" s="25"/>
      <c r="CJ67" s="25"/>
      <c r="CK67" s="25"/>
      <c r="CL67" s="25"/>
    </row>
    <row r="68" spans="3:90" x14ac:dyDescent="0.2">
      <c r="C68" s="184">
        <v>65</v>
      </c>
      <c r="D68" s="25"/>
      <c r="E68" s="25"/>
      <c r="F68" s="25"/>
      <c r="G68" s="25"/>
      <c r="H68" s="25"/>
      <c r="I68" s="25"/>
      <c r="J68" s="25"/>
      <c r="K68" s="25"/>
      <c r="L68" s="25"/>
      <c r="M68" s="25"/>
      <c r="N68" s="25"/>
      <c r="O68" s="25"/>
      <c r="P68" s="25"/>
      <c r="Q68" s="25"/>
      <c r="R68" s="25"/>
      <c r="S68" s="25"/>
      <c r="T68" s="25"/>
      <c r="U68" s="25"/>
      <c r="V68" s="25"/>
      <c r="W68" s="25"/>
      <c r="X68" s="25"/>
      <c r="Y68" s="25"/>
      <c r="Z68" s="25"/>
      <c r="AA68" s="25"/>
      <c r="AB68" s="25"/>
      <c r="AC68" s="25"/>
      <c r="AD68" s="25"/>
      <c r="AE68" s="25"/>
      <c r="AF68" s="25"/>
      <c r="AG68" s="25"/>
      <c r="AH68" s="25"/>
      <c r="AO68" s="25">
        <v>10000</v>
      </c>
      <c r="AS68" s="297">
        <f t="shared" si="2"/>
        <v>10000</v>
      </c>
      <c r="AT68" s="25">
        <f t="shared" ref="AT68:AT99" si="5">SMALL($AS$4:$AS$138,ROW(65:65))</f>
        <v>10000</v>
      </c>
      <c r="AU68" s="25">
        <f t="shared" ref="AU68:AU99" si="6">INDEX($C$2:$AS$138,MATCH($AT68,$AS$2:$AS$138,0),1)</f>
        <v>1</v>
      </c>
      <c r="AV68" s="295" t="str">
        <f>VLOOKUP(VLOOKUP($AU68,KOMBI!$A:$H,3,FALSE),data!$I$27:$J$29,2,FALSE)</f>
        <v>Mittesekkuv</v>
      </c>
      <c r="AW68" s="295" t="str">
        <f>VLOOKUP(VLOOKUP($AU68,KOMBI!$A:$H,2,FALSE),data!$I$21:$J$23,2,FALSE)</f>
        <v>Mittesekkuv</v>
      </c>
      <c r="AX68" s="295" t="str">
        <f>VLOOKUP(VLOOKUP($AU68,KOMBI!$A:$H,5,FALSE),data!$I$39:$J$41,2,FALSE)</f>
        <v>Mittesekkuv</v>
      </c>
      <c r="AY68" s="295" t="str">
        <f>VLOOKUP(VLOOKUP($AU68,KOMBI!$A:$H,4,FALSE),data!$I$32:$J$36,2,FALSE)</f>
        <v>LIB</v>
      </c>
      <c r="BA68" s="25"/>
      <c r="BB68" s="25"/>
      <c r="BC68" s="25"/>
      <c r="BD68" s="25"/>
      <c r="BE68" s="25"/>
      <c r="BF68" s="25"/>
      <c r="BG68" s="25"/>
      <c r="BH68" s="25"/>
      <c r="BI68" s="25"/>
      <c r="BJ68" s="25"/>
      <c r="BK68" s="25"/>
      <c r="BL68" s="25"/>
      <c r="BM68" s="25"/>
      <c r="BN68" s="25"/>
      <c r="BO68" s="25"/>
      <c r="BP68" s="25"/>
      <c r="BQ68" s="25"/>
      <c r="BR68" s="25"/>
      <c r="BS68" s="25"/>
      <c r="BT68" s="25"/>
      <c r="BU68" s="25"/>
      <c r="BV68" s="25"/>
      <c r="BW68" s="25"/>
      <c r="BX68" s="25"/>
      <c r="BY68" s="25"/>
      <c r="BZ68" s="25"/>
      <c r="CA68" s="25"/>
      <c r="CB68" s="25"/>
      <c r="CC68" s="25"/>
      <c r="CD68" s="25"/>
      <c r="CE68" s="25"/>
      <c r="CF68" s="25"/>
      <c r="CG68" s="25"/>
      <c r="CH68" s="25"/>
      <c r="CI68" s="25"/>
      <c r="CJ68" s="25"/>
      <c r="CK68" s="25"/>
      <c r="CL68" s="25"/>
    </row>
    <row r="69" spans="3:90" x14ac:dyDescent="0.2">
      <c r="C69" s="184">
        <v>66</v>
      </c>
      <c r="D69" s="25"/>
      <c r="E69" s="25"/>
      <c r="F69" s="25"/>
      <c r="G69" s="25"/>
      <c r="H69" s="25"/>
      <c r="I69" s="25"/>
      <c r="J69" s="25"/>
      <c r="K69" s="25"/>
      <c r="L69" s="25"/>
      <c r="M69" s="25"/>
      <c r="N69" s="25"/>
      <c r="O69" s="25"/>
      <c r="P69" s="25"/>
      <c r="Q69" s="25"/>
      <c r="R69" s="25"/>
      <c r="S69" s="25"/>
      <c r="T69" s="25"/>
      <c r="U69" s="25"/>
      <c r="V69" s="25"/>
      <c r="W69" s="25"/>
      <c r="X69" s="25"/>
      <c r="Y69" s="25"/>
      <c r="Z69" s="25"/>
      <c r="AA69" s="25"/>
      <c r="AB69" s="25"/>
      <c r="AC69" s="25"/>
      <c r="AD69" s="25"/>
      <c r="AE69" s="25"/>
      <c r="AF69" s="25"/>
      <c r="AG69" s="25"/>
      <c r="AH69" s="25"/>
      <c r="AO69" s="25">
        <v>10000</v>
      </c>
      <c r="AS69" s="297">
        <f t="shared" ref="AS69:AS132" si="7">SUM(D69:AO69)</f>
        <v>10000</v>
      </c>
      <c r="AT69" s="25">
        <f t="shared" si="5"/>
        <v>10000</v>
      </c>
      <c r="AU69" s="25">
        <f t="shared" si="6"/>
        <v>1</v>
      </c>
      <c r="AV69" s="295" t="str">
        <f>VLOOKUP(VLOOKUP($AU69,KOMBI!$A:$H,3,FALSE),data!$I$27:$J$29,2,FALSE)</f>
        <v>Mittesekkuv</v>
      </c>
      <c r="AW69" s="295" t="str">
        <f>VLOOKUP(VLOOKUP($AU69,KOMBI!$A:$H,2,FALSE),data!$I$21:$J$23,2,FALSE)</f>
        <v>Mittesekkuv</v>
      </c>
      <c r="AX69" s="295" t="str">
        <f>VLOOKUP(VLOOKUP($AU69,KOMBI!$A:$H,5,FALSE),data!$I$39:$J$41,2,FALSE)</f>
        <v>Mittesekkuv</v>
      </c>
      <c r="AY69" s="295" t="str">
        <f>VLOOKUP(VLOOKUP($AU69,KOMBI!$A:$H,4,FALSE),data!$I$32:$J$36,2,FALSE)</f>
        <v>LIB</v>
      </c>
      <c r="BA69" s="25"/>
      <c r="BB69" s="25"/>
      <c r="BC69" s="25"/>
      <c r="BD69" s="25"/>
      <c r="BE69" s="25"/>
      <c r="BF69" s="25"/>
      <c r="BG69" s="25"/>
      <c r="BH69" s="25"/>
      <c r="BI69" s="25"/>
      <c r="BJ69" s="25"/>
      <c r="BK69" s="25"/>
      <c r="BL69" s="25"/>
      <c r="BM69" s="25"/>
      <c r="BN69" s="25"/>
      <c r="BO69" s="25"/>
      <c r="BP69" s="25"/>
      <c r="BQ69" s="25"/>
      <c r="BR69" s="25"/>
      <c r="BS69" s="25"/>
      <c r="BT69" s="25"/>
      <c r="BU69" s="25"/>
      <c r="BV69" s="25"/>
      <c r="BW69" s="25"/>
      <c r="BX69" s="25"/>
      <c r="BY69" s="25"/>
      <c r="BZ69" s="25"/>
      <c r="CA69" s="25"/>
      <c r="CB69" s="25"/>
      <c r="CC69" s="25"/>
      <c r="CD69" s="25"/>
      <c r="CE69" s="25"/>
      <c r="CF69" s="25"/>
      <c r="CG69" s="25"/>
      <c r="CH69" s="25"/>
      <c r="CI69" s="25"/>
      <c r="CJ69" s="25"/>
      <c r="CK69" s="25"/>
      <c r="CL69" s="25"/>
    </row>
    <row r="70" spans="3:90" x14ac:dyDescent="0.2">
      <c r="C70" s="184">
        <v>67</v>
      </c>
      <c r="D70" s="25"/>
      <c r="E70" s="25"/>
      <c r="F70" s="25"/>
      <c r="G70" s="25"/>
      <c r="H70" s="25"/>
      <c r="I70" s="25"/>
      <c r="J70" s="25"/>
      <c r="K70" s="25"/>
      <c r="L70" s="25"/>
      <c r="M70" s="25"/>
      <c r="N70" s="25"/>
      <c r="O70" s="25"/>
      <c r="P70" s="25"/>
      <c r="Q70" s="25"/>
      <c r="R70" s="25"/>
      <c r="S70" s="25"/>
      <c r="T70" s="25"/>
      <c r="U70" s="25"/>
      <c r="V70" s="25"/>
      <c r="W70" s="25"/>
      <c r="X70" s="25"/>
      <c r="Y70" s="25"/>
      <c r="Z70" s="25"/>
      <c r="AA70" s="25"/>
      <c r="AB70" s="25"/>
      <c r="AC70" s="25"/>
      <c r="AD70" s="25"/>
      <c r="AE70" s="25"/>
      <c r="AF70" s="25"/>
      <c r="AG70" s="25"/>
      <c r="AH70" s="25"/>
      <c r="AO70" s="25">
        <v>10000</v>
      </c>
      <c r="AS70" s="297">
        <f t="shared" si="7"/>
        <v>10000</v>
      </c>
      <c r="AT70" s="25">
        <f t="shared" si="5"/>
        <v>10000</v>
      </c>
      <c r="AU70" s="25">
        <f t="shared" si="6"/>
        <v>1</v>
      </c>
      <c r="AV70" s="295" t="str">
        <f>VLOOKUP(VLOOKUP($AU70,KOMBI!$A:$H,3,FALSE),data!$I$27:$J$29,2,FALSE)</f>
        <v>Mittesekkuv</v>
      </c>
      <c r="AW70" s="295" t="str">
        <f>VLOOKUP(VLOOKUP($AU70,KOMBI!$A:$H,2,FALSE),data!$I$21:$J$23,2,FALSE)</f>
        <v>Mittesekkuv</v>
      </c>
      <c r="AX70" s="295" t="str">
        <f>VLOOKUP(VLOOKUP($AU70,KOMBI!$A:$H,5,FALSE),data!$I$39:$J$41,2,FALSE)</f>
        <v>Mittesekkuv</v>
      </c>
      <c r="AY70" s="295" t="str">
        <f>VLOOKUP(VLOOKUP($AU70,KOMBI!$A:$H,4,FALSE),data!$I$32:$J$36,2,FALSE)</f>
        <v>LIB</v>
      </c>
      <c r="BA70" s="25"/>
      <c r="BB70" s="25"/>
      <c r="BC70" s="25"/>
      <c r="BD70" s="25"/>
      <c r="BE70" s="25"/>
      <c r="BF70" s="25"/>
      <c r="BG70" s="25"/>
      <c r="BH70" s="25"/>
      <c r="BI70" s="25"/>
      <c r="BJ70" s="25"/>
      <c r="BK70" s="25"/>
      <c r="BL70" s="25"/>
      <c r="BM70" s="25"/>
      <c r="BN70" s="25"/>
      <c r="BO70" s="25"/>
      <c r="BP70" s="25"/>
      <c r="BQ70" s="25"/>
      <c r="BR70" s="25"/>
      <c r="BS70" s="25"/>
      <c r="BT70" s="25"/>
      <c r="BU70" s="25"/>
      <c r="BV70" s="25"/>
      <c r="BW70" s="25"/>
      <c r="BX70" s="25"/>
      <c r="BY70" s="25"/>
      <c r="BZ70" s="25"/>
      <c r="CA70" s="25"/>
      <c r="CB70" s="25"/>
      <c r="CC70" s="25"/>
      <c r="CD70" s="25"/>
      <c r="CE70" s="25"/>
      <c r="CF70" s="25"/>
      <c r="CG70" s="25"/>
      <c r="CH70" s="25"/>
      <c r="CI70" s="25"/>
      <c r="CJ70" s="25"/>
      <c r="CK70" s="25"/>
      <c r="CL70" s="25"/>
    </row>
    <row r="71" spans="3:90" x14ac:dyDescent="0.2">
      <c r="C71" s="184">
        <v>68</v>
      </c>
      <c r="D71" s="25"/>
      <c r="E71" s="25"/>
      <c r="F71" s="25"/>
      <c r="G71" s="25"/>
      <c r="H71" s="25"/>
      <c r="I71" s="25"/>
      <c r="J71" s="25"/>
      <c r="K71" s="25"/>
      <c r="L71" s="25"/>
      <c r="M71" s="25"/>
      <c r="N71" s="25"/>
      <c r="O71" s="25"/>
      <c r="P71" s="25"/>
      <c r="Q71" s="25"/>
      <c r="R71" s="25"/>
      <c r="S71" s="25"/>
      <c r="T71" s="25"/>
      <c r="U71" s="25"/>
      <c r="V71" s="25"/>
      <c r="W71" s="25"/>
      <c r="X71" s="25"/>
      <c r="Y71" s="25"/>
      <c r="Z71" s="25"/>
      <c r="AA71" s="25"/>
      <c r="AB71" s="25"/>
      <c r="AC71" s="25"/>
      <c r="AD71" s="25"/>
      <c r="AE71" s="25"/>
      <c r="AF71" s="25"/>
      <c r="AG71" s="25"/>
      <c r="AH71" s="25"/>
      <c r="AO71" s="25">
        <v>10000</v>
      </c>
      <c r="AS71" s="297">
        <f t="shared" si="7"/>
        <v>10000</v>
      </c>
      <c r="AT71" s="25">
        <f t="shared" si="5"/>
        <v>10000</v>
      </c>
      <c r="AU71" s="25">
        <f t="shared" si="6"/>
        <v>1</v>
      </c>
      <c r="AV71" s="295" t="str">
        <f>VLOOKUP(VLOOKUP($AU71,KOMBI!$A:$H,3,FALSE),data!$I$27:$J$29,2,FALSE)</f>
        <v>Mittesekkuv</v>
      </c>
      <c r="AW71" s="295" t="str">
        <f>VLOOKUP(VLOOKUP($AU71,KOMBI!$A:$H,2,FALSE),data!$I$21:$J$23,2,FALSE)</f>
        <v>Mittesekkuv</v>
      </c>
      <c r="AX71" s="295" t="str">
        <f>VLOOKUP(VLOOKUP($AU71,KOMBI!$A:$H,5,FALSE),data!$I$39:$J$41,2,FALSE)</f>
        <v>Mittesekkuv</v>
      </c>
      <c r="AY71" s="295" t="str">
        <f>VLOOKUP(VLOOKUP($AU71,KOMBI!$A:$H,4,FALSE),data!$I$32:$J$36,2,FALSE)</f>
        <v>LIB</v>
      </c>
      <c r="BA71" s="25"/>
      <c r="BB71" s="25"/>
      <c r="BC71" s="25"/>
      <c r="BD71" s="25"/>
      <c r="BE71" s="25"/>
      <c r="BF71" s="25"/>
      <c r="BG71" s="25"/>
      <c r="BH71" s="25"/>
      <c r="BI71" s="25"/>
      <c r="BJ71" s="25"/>
      <c r="BK71" s="25"/>
      <c r="BL71" s="25"/>
      <c r="BM71" s="25"/>
      <c r="BN71" s="25"/>
      <c r="BO71" s="25"/>
      <c r="BP71" s="25"/>
      <c r="BQ71" s="25"/>
      <c r="BR71" s="25"/>
      <c r="BS71" s="25"/>
      <c r="BT71" s="25"/>
      <c r="BU71" s="25"/>
      <c r="BV71" s="25"/>
      <c r="BW71" s="25"/>
      <c r="BX71" s="25"/>
      <c r="BY71" s="25"/>
      <c r="BZ71" s="25"/>
      <c r="CA71" s="25"/>
      <c r="CB71" s="25"/>
      <c r="CC71" s="25"/>
      <c r="CD71" s="25"/>
      <c r="CE71" s="25"/>
      <c r="CF71" s="25"/>
      <c r="CG71" s="25"/>
      <c r="CH71" s="25"/>
      <c r="CI71" s="25"/>
      <c r="CJ71" s="25"/>
      <c r="CK71" s="25"/>
      <c r="CL71" s="25"/>
    </row>
    <row r="72" spans="3:90" x14ac:dyDescent="0.2">
      <c r="C72" s="184">
        <v>69</v>
      </c>
      <c r="D72" s="25"/>
      <c r="E72" s="25"/>
      <c r="F72" s="25"/>
      <c r="G72" s="25"/>
      <c r="H72" s="25"/>
      <c r="I72" s="25"/>
      <c r="J72" s="25"/>
      <c r="K72" s="25"/>
      <c r="L72" s="25"/>
      <c r="M72" s="25"/>
      <c r="N72" s="25"/>
      <c r="O72" s="25"/>
      <c r="P72" s="25"/>
      <c r="Q72" s="25"/>
      <c r="R72" s="25"/>
      <c r="S72" s="25"/>
      <c r="T72" s="25"/>
      <c r="U72" s="25"/>
      <c r="V72" s="25"/>
      <c r="W72" s="25"/>
      <c r="X72" s="25"/>
      <c r="Y72" s="25"/>
      <c r="Z72" s="25"/>
      <c r="AA72" s="25"/>
      <c r="AB72" s="25"/>
      <c r="AC72" s="25"/>
      <c r="AD72" s="25"/>
      <c r="AE72" s="25"/>
      <c r="AF72" s="25"/>
      <c r="AG72" s="25"/>
      <c r="AH72" s="25"/>
      <c r="AO72" s="25">
        <v>10000</v>
      </c>
      <c r="AS72" s="297">
        <f t="shared" si="7"/>
        <v>10000</v>
      </c>
      <c r="AT72" s="25">
        <f t="shared" si="5"/>
        <v>10000</v>
      </c>
      <c r="AU72" s="25">
        <f t="shared" si="6"/>
        <v>1</v>
      </c>
      <c r="AV72" s="295" t="str">
        <f>VLOOKUP(VLOOKUP($AU72,KOMBI!$A:$H,3,FALSE),data!$I$27:$J$29,2,FALSE)</f>
        <v>Mittesekkuv</v>
      </c>
      <c r="AW72" s="295" t="str">
        <f>VLOOKUP(VLOOKUP($AU72,KOMBI!$A:$H,2,FALSE),data!$I$21:$J$23,2,FALSE)</f>
        <v>Mittesekkuv</v>
      </c>
      <c r="AX72" s="295" t="str">
        <f>VLOOKUP(VLOOKUP($AU72,KOMBI!$A:$H,5,FALSE),data!$I$39:$J$41,2,FALSE)</f>
        <v>Mittesekkuv</v>
      </c>
      <c r="AY72" s="295" t="str">
        <f>VLOOKUP(VLOOKUP($AU72,KOMBI!$A:$H,4,FALSE),data!$I$32:$J$36,2,FALSE)</f>
        <v>LIB</v>
      </c>
      <c r="BA72" s="25"/>
      <c r="BB72" s="25"/>
      <c r="BC72" s="25"/>
      <c r="BD72" s="25"/>
      <c r="BE72" s="25"/>
      <c r="BF72" s="25"/>
      <c r="BG72" s="25"/>
      <c r="BH72" s="25"/>
      <c r="BI72" s="25"/>
      <c r="BJ72" s="25"/>
      <c r="BK72" s="25"/>
      <c r="BL72" s="25"/>
      <c r="BM72" s="25"/>
      <c r="BN72" s="25"/>
      <c r="BO72" s="25"/>
      <c r="BP72" s="25"/>
      <c r="BQ72" s="25"/>
      <c r="BR72" s="25"/>
      <c r="BS72" s="25"/>
      <c r="BT72" s="25"/>
      <c r="BU72" s="25"/>
      <c r="BV72" s="25"/>
      <c r="BW72" s="25"/>
      <c r="BX72" s="25"/>
      <c r="BY72" s="25"/>
      <c r="BZ72" s="25"/>
      <c r="CA72" s="25"/>
      <c r="CB72" s="25"/>
      <c r="CC72" s="25"/>
      <c r="CD72" s="25"/>
      <c r="CE72" s="25"/>
      <c r="CF72" s="25"/>
      <c r="CG72" s="25"/>
      <c r="CH72" s="25"/>
      <c r="CI72" s="25"/>
      <c r="CJ72" s="25"/>
      <c r="CK72" s="25"/>
      <c r="CL72" s="25"/>
    </row>
    <row r="73" spans="3:90" x14ac:dyDescent="0.2">
      <c r="C73" s="184">
        <v>70</v>
      </c>
      <c r="D73" s="25"/>
      <c r="E73" s="25"/>
      <c r="F73" s="25"/>
      <c r="G73" s="25"/>
      <c r="H73" s="25"/>
      <c r="I73" s="25"/>
      <c r="J73" s="25"/>
      <c r="K73" s="25"/>
      <c r="L73" s="25"/>
      <c r="M73" s="25"/>
      <c r="N73" s="25"/>
      <c r="O73" s="25"/>
      <c r="P73" s="25"/>
      <c r="Q73" s="25"/>
      <c r="R73" s="25"/>
      <c r="S73" s="25"/>
      <c r="T73" s="25"/>
      <c r="U73" s="25"/>
      <c r="V73" s="25"/>
      <c r="W73" s="25"/>
      <c r="X73" s="25"/>
      <c r="Y73" s="25"/>
      <c r="Z73" s="25"/>
      <c r="AA73" s="25"/>
      <c r="AB73" s="25"/>
      <c r="AC73" s="25"/>
      <c r="AD73" s="25"/>
      <c r="AE73" s="25"/>
      <c r="AF73" s="25"/>
      <c r="AG73" s="25"/>
      <c r="AH73" s="25"/>
      <c r="AO73" s="25">
        <v>10000</v>
      </c>
      <c r="AS73" s="297">
        <f t="shared" si="7"/>
        <v>10000</v>
      </c>
      <c r="AT73" s="25">
        <f t="shared" si="5"/>
        <v>10000</v>
      </c>
      <c r="AU73" s="25">
        <f t="shared" si="6"/>
        <v>1</v>
      </c>
      <c r="AV73" s="295" t="str">
        <f>VLOOKUP(VLOOKUP($AU73,KOMBI!$A:$H,3,FALSE),data!$I$27:$J$29,2,FALSE)</f>
        <v>Mittesekkuv</v>
      </c>
      <c r="AW73" s="295" t="str">
        <f>VLOOKUP(VLOOKUP($AU73,KOMBI!$A:$H,2,FALSE),data!$I$21:$J$23,2,FALSE)</f>
        <v>Mittesekkuv</v>
      </c>
      <c r="AX73" s="295" t="str">
        <f>VLOOKUP(VLOOKUP($AU73,KOMBI!$A:$H,5,FALSE),data!$I$39:$J$41,2,FALSE)</f>
        <v>Mittesekkuv</v>
      </c>
      <c r="AY73" s="295" t="str">
        <f>VLOOKUP(VLOOKUP($AU73,KOMBI!$A:$H,4,FALSE),data!$I$32:$J$36,2,FALSE)</f>
        <v>LIB</v>
      </c>
      <c r="BA73" s="25"/>
      <c r="BB73" s="25"/>
      <c r="BC73" s="25"/>
      <c r="BD73" s="25"/>
      <c r="BE73" s="25"/>
      <c r="BF73" s="25"/>
      <c r="BG73" s="25"/>
      <c r="BH73" s="25"/>
      <c r="BI73" s="25"/>
      <c r="BJ73" s="25"/>
      <c r="BK73" s="25"/>
      <c r="BL73" s="25"/>
      <c r="BM73" s="25"/>
      <c r="BN73" s="25"/>
      <c r="BO73" s="25"/>
      <c r="BP73" s="25"/>
      <c r="BQ73" s="25"/>
      <c r="BR73" s="25"/>
      <c r="BS73" s="25"/>
      <c r="BT73" s="25"/>
      <c r="BU73" s="25"/>
      <c r="BV73" s="25"/>
      <c r="BW73" s="25"/>
      <c r="BX73" s="25"/>
      <c r="BY73" s="25"/>
      <c r="BZ73" s="25"/>
      <c r="CA73" s="25"/>
      <c r="CB73" s="25"/>
      <c r="CC73" s="25"/>
      <c r="CD73" s="25"/>
      <c r="CE73" s="25"/>
      <c r="CF73" s="25"/>
      <c r="CG73" s="25"/>
      <c r="CH73" s="25"/>
      <c r="CI73" s="25"/>
      <c r="CJ73" s="25"/>
      <c r="CK73" s="25"/>
      <c r="CL73" s="25"/>
    </row>
    <row r="74" spans="3:90" x14ac:dyDescent="0.2">
      <c r="C74" s="184">
        <v>71</v>
      </c>
      <c r="D74" s="25"/>
      <c r="E74" s="25"/>
      <c r="F74" s="25"/>
      <c r="G74" s="25"/>
      <c r="H74" s="25"/>
      <c r="I74" s="25"/>
      <c r="J74" s="25"/>
      <c r="K74" s="25"/>
      <c r="L74" s="25"/>
      <c r="M74" s="25"/>
      <c r="N74" s="25"/>
      <c r="O74" s="25"/>
      <c r="P74" s="25"/>
      <c r="Q74" s="25"/>
      <c r="R74" s="25"/>
      <c r="S74" s="25"/>
      <c r="T74" s="25"/>
      <c r="U74" s="25"/>
      <c r="V74" s="25"/>
      <c r="W74" s="25"/>
      <c r="X74" s="25"/>
      <c r="Y74" s="25"/>
      <c r="Z74" s="25"/>
      <c r="AA74" s="25"/>
      <c r="AB74" s="25"/>
      <c r="AC74" s="25"/>
      <c r="AD74" s="25"/>
      <c r="AE74" s="25"/>
      <c r="AF74" s="25"/>
      <c r="AG74" s="25"/>
      <c r="AH74" s="25"/>
      <c r="AO74" s="25">
        <v>10000</v>
      </c>
      <c r="AS74" s="297">
        <f t="shared" si="7"/>
        <v>10000</v>
      </c>
      <c r="AT74" s="25">
        <f t="shared" si="5"/>
        <v>10000</v>
      </c>
      <c r="AU74" s="25">
        <f t="shared" si="6"/>
        <v>1</v>
      </c>
      <c r="AV74" s="295" t="str">
        <f>VLOOKUP(VLOOKUP($AU74,KOMBI!$A:$H,3,FALSE),data!$I$27:$J$29,2,FALSE)</f>
        <v>Mittesekkuv</v>
      </c>
      <c r="AW74" s="295" t="str">
        <f>VLOOKUP(VLOOKUP($AU74,KOMBI!$A:$H,2,FALSE),data!$I$21:$J$23,2,FALSE)</f>
        <v>Mittesekkuv</v>
      </c>
      <c r="AX74" s="295" t="str">
        <f>VLOOKUP(VLOOKUP($AU74,KOMBI!$A:$H,5,FALSE),data!$I$39:$J$41,2,FALSE)</f>
        <v>Mittesekkuv</v>
      </c>
      <c r="AY74" s="295" t="str">
        <f>VLOOKUP(VLOOKUP($AU74,KOMBI!$A:$H,4,FALSE),data!$I$32:$J$36,2,FALSE)</f>
        <v>LIB</v>
      </c>
      <c r="BA74" s="25"/>
      <c r="BB74" s="25"/>
      <c r="BC74" s="25"/>
      <c r="BD74" s="25"/>
      <c r="BE74" s="25"/>
      <c r="BF74" s="25"/>
      <c r="BG74" s="25"/>
      <c r="BH74" s="25"/>
      <c r="BI74" s="25"/>
      <c r="BJ74" s="25"/>
      <c r="BK74" s="25"/>
      <c r="BL74" s="25"/>
      <c r="BM74" s="25"/>
      <c r="BN74" s="25"/>
      <c r="BO74" s="25"/>
      <c r="BP74" s="25"/>
      <c r="BQ74" s="25"/>
      <c r="BR74" s="25"/>
      <c r="BS74" s="25"/>
      <c r="BT74" s="25"/>
      <c r="BU74" s="25"/>
      <c r="BV74" s="25"/>
      <c r="BW74" s="25"/>
      <c r="BX74" s="25"/>
      <c r="BY74" s="25"/>
      <c r="BZ74" s="25"/>
      <c r="CA74" s="25"/>
      <c r="CB74" s="25"/>
      <c r="CC74" s="25"/>
      <c r="CD74" s="25"/>
      <c r="CE74" s="25"/>
      <c r="CF74" s="25"/>
      <c r="CG74" s="25"/>
      <c r="CH74" s="25"/>
      <c r="CI74" s="25"/>
      <c r="CJ74" s="25"/>
      <c r="CK74" s="25"/>
      <c r="CL74" s="25"/>
    </row>
    <row r="75" spans="3:90" x14ac:dyDescent="0.2">
      <c r="C75" s="184">
        <v>72</v>
      </c>
      <c r="D75" s="25"/>
      <c r="E75" s="25"/>
      <c r="F75" s="25"/>
      <c r="G75" s="25"/>
      <c r="H75" s="25"/>
      <c r="I75" s="25"/>
      <c r="J75" s="25"/>
      <c r="K75" s="25"/>
      <c r="L75" s="25"/>
      <c r="M75" s="25"/>
      <c r="N75" s="25"/>
      <c r="O75" s="25"/>
      <c r="P75" s="25"/>
      <c r="Q75" s="25"/>
      <c r="R75" s="25"/>
      <c r="S75" s="25"/>
      <c r="T75" s="25"/>
      <c r="U75" s="25"/>
      <c r="V75" s="25"/>
      <c r="W75" s="25"/>
      <c r="X75" s="25"/>
      <c r="Y75" s="25"/>
      <c r="Z75" s="25"/>
      <c r="AA75" s="25"/>
      <c r="AB75" s="25"/>
      <c r="AC75" s="25"/>
      <c r="AD75" s="25"/>
      <c r="AE75" s="25"/>
      <c r="AF75" s="25"/>
      <c r="AG75" s="25"/>
      <c r="AH75" s="25"/>
      <c r="AO75" s="25">
        <v>10000</v>
      </c>
      <c r="AS75" s="297">
        <f t="shared" si="7"/>
        <v>10000</v>
      </c>
      <c r="AT75" s="25">
        <f t="shared" si="5"/>
        <v>10000</v>
      </c>
      <c r="AU75" s="25">
        <f t="shared" si="6"/>
        <v>1</v>
      </c>
      <c r="AV75" s="295" t="str">
        <f>VLOOKUP(VLOOKUP($AU75,KOMBI!$A:$H,3,FALSE),data!$I$27:$J$29,2,FALSE)</f>
        <v>Mittesekkuv</v>
      </c>
      <c r="AW75" s="295" t="str">
        <f>VLOOKUP(VLOOKUP($AU75,KOMBI!$A:$H,2,FALSE),data!$I$21:$J$23,2,FALSE)</f>
        <v>Mittesekkuv</v>
      </c>
      <c r="AX75" s="295" t="str">
        <f>VLOOKUP(VLOOKUP($AU75,KOMBI!$A:$H,5,FALSE),data!$I$39:$J$41,2,FALSE)</f>
        <v>Mittesekkuv</v>
      </c>
      <c r="AY75" s="295" t="str">
        <f>VLOOKUP(VLOOKUP($AU75,KOMBI!$A:$H,4,FALSE),data!$I$32:$J$36,2,FALSE)</f>
        <v>LIB</v>
      </c>
      <c r="BA75" s="25"/>
      <c r="BB75" s="25"/>
      <c r="BC75" s="25"/>
      <c r="BD75" s="25"/>
      <c r="BE75" s="25"/>
      <c r="BF75" s="25"/>
      <c r="BG75" s="25"/>
      <c r="BH75" s="25"/>
      <c r="BI75" s="25"/>
      <c r="BJ75" s="25"/>
      <c r="BK75" s="25"/>
      <c r="BL75" s="25"/>
      <c r="BM75" s="25"/>
      <c r="BN75" s="25"/>
      <c r="BO75" s="25"/>
      <c r="BP75" s="25"/>
      <c r="BQ75" s="25"/>
      <c r="BR75" s="25"/>
      <c r="BS75" s="25"/>
      <c r="BT75" s="25"/>
      <c r="BU75" s="25"/>
      <c r="BV75" s="25"/>
      <c r="BW75" s="25"/>
      <c r="BX75" s="25"/>
      <c r="BY75" s="25"/>
      <c r="BZ75" s="25"/>
      <c r="CA75" s="25"/>
      <c r="CB75" s="25"/>
      <c r="CC75" s="25"/>
      <c r="CD75" s="25"/>
      <c r="CE75" s="25"/>
      <c r="CF75" s="25"/>
      <c r="CG75" s="25"/>
      <c r="CH75" s="25"/>
      <c r="CI75" s="25"/>
      <c r="CJ75" s="25"/>
      <c r="CK75" s="25"/>
      <c r="CL75" s="25"/>
    </row>
    <row r="76" spans="3:90" x14ac:dyDescent="0.2">
      <c r="C76" s="184">
        <v>73</v>
      </c>
      <c r="D76" s="25"/>
      <c r="E76" s="25"/>
      <c r="F76" s="25"/>
      <c r="G76" s="25"/>
      <c r="H76" s="25"/>
      <c r="I76" s="25"/>
      <c r="J76" s="25"/>
      <c r="K76" s="25"/>
      <c r="L76" s="25"/>
      <c r="M76" s="25"/>
      <c r="N76" s="25"/>
      <c r="O76" s="25"/>
      <c r="P76" s="25"/>
      <c r="Q76" s="25"/>
      <c r="R76" s="25"/>
      <c r="S76" s="25"/>
      <c r="T76" s="25"/>
      <c r="U76" s="25"/>
      <c r="V76" s="25"/>
      <c r="W76" s="25"/>
      <c r="X76" s="25"/>
      <c r="Y76" s="25"/>
      <c r="Z76" s="25"/>
      <c r="AA76" s="25"/>
      <c r="AB76" s="25"/>
      <c r="AC76" s="25"/>
      <c r="AD76" s="25"/>
      <c r="AE76" s="25"/>
      <c r="AF76" s="25"/>
      <c r="AG76" s="25"/>
      <c r="AH76" s="25"/>
      <c r="AO76" s="25">
        <v>10000</v>
      </c>
      <c r="AS76" s="297">
        <f t="shared" si="7"/>
        <v>10000</v>
      </c>
      <c r="AT76" s="25">
        <f t="shared" si="5"/>
        <v>10000</v>
      </c>
      <c r="AU76" s="25">
        <f t="shared" si="6"/>
        <v>1</v>
      </c>
      <c r="AV76" s="295" t="str">
        <f>VLOOKUP(VLOOKUP($AU76,KOMBI!$A:$H,3,FALSE),data!$I$27:$J$29,2,FALSE)</f>
        <v>Mittesekkuv</v>
      </c>
      <c r="AW76" s="295" t="str">
        <f>VLOOKUP(VLOOKUP($AU76,KOMBI!$A:$H,2,FALSE),data!$I$21:$J$23,2,FALSE)</f>
        <v>Mittesekkuv</v>
      </c>
      <c r="AX76" s="295" t="str">
        <f>VLOOKUP(VLOOKUP($AU76,KOMBI!$A:$H,5,FALSE),data!$I$39:$J$41,2,FALSE)</f>
        <v>Mittesekkuv</v>
      </c>
      <c r="AY76" s="295" t="str">
        <f>VLOOKUP(VLOOKUP($AU76,KOMBI!$A:$H,4,FALSE),data!$I$32:$J$36,2,FALSE)</f>
        <v>LIB</v>
      </c>
      <c r="BA76" s="25"/>
      <c r="BB76" s="25"/>
      <c r="BC76" s="25"/>
      <c r="BD76" s="25"/>
      <c r="BE76" s="25"/>
      <c r="BF76" s="25"/>
      <c r="BG76" s="25"/>
      <c r="BH76" s="25"/>
      <c r="BI76" s="25"/>
      <c r="BJ76" s="25"/>
      <c r="BK76" s="25"/>
      <c r="BL76" s="25"/>
      <c r="BM76" s="25"/>
      <c r="BN76" s="25"/>
      <c r="BO76" s="25"/>
      <c r="BP76" s="25"/>
      <c r="BQ76" s="25"/>
      <c r="BR76" s="25"/>
      <c r="BS76" s="25"/>
      <c r="BT76" s="25"/>
      <c r="BU76" s="25"/>
      <c r="BV76" s="25"/>
      <c r="BW76" s="25"/>
      <c r="BX76" s="25"/>
      <c r="BY76" s="25"/>
      <c r="BZ76" s="25"/>
      <c r="CA76" s="25"/>
      <c r="CB76" s="25"/>
      <c r="CC76" s="25"/>
      <c r="CD76" s="25"/>
      <c r="CE76" s="25"/>
      <c r="CF76" s="25"/>
      <c r="CG76" s="25"/>
      <c r="CH76" s="25"/>
      <c r="CI76" s="25"/>
      <c r="CJ76" s="25"/>
      <c r="CK76" s="25"/>
      <c r="CL76" s="25"/>
    </row>
    <row r="77" spans="3:90" x14ac:dyDescent="0.2">
      <c r="C77" s="184">
        <v>74</v>
      </c>
      <c r="D77" s="25"/>
      <c r="E77" s="25"/>
      <c r="F77" s="25"/>
      <c r="G77" s="25"/>
      <c r="H77" s="25"/>
      <c r="I77" s="25"/>
      <c r="J77" s="25"/>
      <c r="K77" s="25"/>
      <c r="L77" s="25"/>
      <c r="M77" s="25"/>
      <c r="N77" s="25"/>
      <c r="O77" s="25"/>
      <c r="P77" s="25"/>
      <c r="Q77" s="25"/>
      <c r="R77" s="25"/>
      <c r="S77" s="25"/>
      <c r="T77" s="25"/>
      <c r="U77" s="25"/>
      <c r="V77" s="25"/>
      <c r="W77" s="25"/>
      <c r="X77" s="25"/>
      <c r="Y77" s="25"/>
      <c r="Z77" s="25"/>
      <c r="AA77" s="25"/>
      <c r="AB77" s="25"/>
      <c r="AC77" s="25"/>
      <c r="AD77" s="25"/>
      <c r="AE77" s="25"/>
      <c r="AF77" s="25"/>
      <c r="AG77" s="25"/>
      <c r="AH77" s="25"/>
      <c r="AO77" s="25">
        <v>10000</v>
      </c>
      <c r="AS77" s="297">
        <f t="shared" si="7"/>
        <v>10000</v>
      </c>
      <c r="AT77" s="25">
        <f t="shared" si="5"/>
        <v>10000</v>
      </c>
      <c r="AU77" s="25">
        <f t="shared" si="6"/>
        <v>1</v>
      </c>
      <c r="AV77" s="295" t="str">
        <f>VLOOKUP(VLOOKUP($AU77,KOMBI!$A:$H,3,FALSE),data!$I$27:$J$29,2,FALSE)</f>
        <v>Mittesekkuv</v>
      </c>
      <c r="AW77" s="295" t="str">
        <f>VLOOKUP(VLOOKUP($AU77,KOMBI!$A:$H,2,FALSE),data!$I$21:$J$23,2,FALSE)</f>
        <v>Mittesekkuv</v>
      </c>
      <c r="AX77" s="295" t="str">
        <f>VLOOKUP(VLOOKUP($AU77,KOMBI!$A:$H,5,FALSE),data!$I$39:$J$41,2,FALSE)</f>
        <v>Mittesekkuv</v>
      </c>
      <c r="AY77" s="295" t="str">
        <f>VLOOKUP(VLOOKUP($AU77,KOMBI!$A:$H,4,FALSE),data!$I$32:$J$36,2,FALSE)</f>
        <v>LIB</v>
      </c>
      <c r="BA77" s="25"/>
      <c r="BB77" s="25"/>
      <c r="BC77" s="25"/>
      <c r="BD77" s="25"/>
      <c r="BE77" s="25"/>
      <c r="BF77" s="25"/>
      <c r="BG77" s="25"/>
      <c r="BH77" s="25"/>
      <c r="BI77" s="25"/>
      <c r="BJ77" s="25"/>
      <c r="BK77" s="25"/>
      <c r="BL77" s="25"/>
      <c r="BM77" s="25"/>
      <c r="BN77" s="25"/>
      <c r="BO77" s="25"/>
      <c r="BP77" s="25"/>
      <c r="BQ77" s="25"/>
      <c r="BR77" s="25"/>
      <c r="BS77" s="25"/>
      <c r="BT77" s="25"/>
      <c r="BU77" s="25"/>
      <c r="BV77" s="25"/>
      <c r="BW77" s="25"/>
      <c r="BX77" s="25"/>
      <c r="BY77" s="25"/>
      <c r="BZ77" s="25"/>
      <c r="CA77" s="25"/>
      <c r="CB77" s="25"/>
      <c r="CC77" s="25"/>
      <c r="CD77" s="25"/>
      <c r="CE77" s="25"/>
      <c r="CF77" s="25"/>
      <c r="CG77" s="25"/>
      <c r="CH77" s="25"/>
      <c r="CI77" s="25"/>
      <c r="CJ77" s="25"/>
      <c r="CK77" s="25"/>
      <c r="CL77" s="25"/>
    </row>
    <row r="78" spans="3:90" x14ac:dyDescent="0.2">
      <c r="C78" s="184">
        <v>75</v>
      </c>
      <c r="D78" s="25"/>
      <c r="E78" s="25"/>
      <c r="F78" s="25"/>
      <c r="G78" s="25"/>
      <c r="H78" s="25"/>
      <c r="I78" s="25"/>
      <c r="J78" s="25"/>
      <c r="K78" s="25"/>
      <c r="L78" s="25"/>
      <c r="M78" s="25"/>
      <c r="N78" s="25"/>
      <c r="O78" s="25"/>
      <c r="P78" s="25"/>
      <c r="Q78" s="25"/>
      <c r="R78" s="25"/>
      <c r="S78" s="25"/>
      <c r="T78" s="25"/>
      <c r="U78" s="25"/>
      <c r="V78" s="25"/>
      <c r="W78" s="25"/>
      <c r="X78" s="25"/>
      <c r="Y78" s="25"/>
      <c r="Z78" s="25"/>
      <c r="AA78" s="25"/>
      <c r="AB78" s="25"/>
      <c r="AC78" s="25"/>
      <c r="AD78" s="25"/>
      <c r="AE78" s="25"/>
      <c r="AF78" s="25"/>
      <c r="AG78" s="25"/>
      <c r="AH78" s="25"/>
      <c r="AO78" s="25">
        <v>10000</v>
      </c>
      <c r="AS78" s="297">
        <f t="shared" si="7"/>
        <v>10000</v>
      </c>
      <c r="AT78" s="25">
        <f t="shared" si="5"/>
        <v>10000</v>
      </c>
      <c r="AU78" s="25">
        <f t="shared" si="6"/>
        <v>1</v>
      </c>
      <c r="AV78" s="295" t="str">
        <f>VLOOKUP(VLOOKUP($AU78,KOMBI!$A:$H,3,FALSE),data!$I$27:$J$29,2,FALSE)</f>
        <v>Mittesekkuv</v>
      </c>
      <c r="AW78" s="295" t="str">
        <f>VLOOKUP(VLOOKUP($AU78,KOMBI!$A:$H,2,FALSE),data!$I$21:$J$23,2,FALSE)</f>
        <v>Mittesekkuv</v>
      </c>
      <c r="AX78" s="295" t="str">
        <f>VLOOKUP(VLOOKUP($AU78,KOMBI!$A:$H,5,FALSE),data!$I$39:$J$41,2,FALSE)</f>
        <v>Mittesekkuv</v>
      </c>
      <c r="AY78" s="295" t="str">
        <f>VLOOKUP(VLOOKUP($AU78,KOMBI!$A:$H,4,FALSE),data!$I$32:$J$36,2,FALSE)</f>
        <v>LIB</v>
      </c>
      <c r="BA78" s="25"/>
      <c r="BB78" s="25"/>
      <c r="BC78" s="25"/>
      <c r="BD78" s="25"/>
      <c r="BE78" s="25"/>
      <c r="BF78" s="25"/>
      <c r="BG78" s="25"/>
      <c r="BH78" s="25"/>
      <c r="BI78" s="25"/>
      <c r="BJ78" s="25"/>
      <c r="BK78" s="25"/>
      <c r="BL78" s="25"/>
      <c r="BM78" s="25"/>
      <c r="BN78" s="25"/>
      <c r="BO78" s="25"/>
      <c r="BP78" s="25"/>
      <c r="BQ78" s="25"/>
      <c r="BR78" s="25"/>
      <c r="BS78" s="25"/>
      <c r="BT78" s="25"/>
      <c r="BU78" s="25"/>
      <c r="BV78" s="25"/>
      <c r="BW78" s="25"/>
      <c r="BX78" s="25"/>
      <c r="BY78" s="25"/>
      <c r="BZ78" s="25"/>
      <c r="CA78" s="25"/>
      <c r="CB78" s="25"/>
      <c r="CC78" s="25"/>
      <c r="CD78" s="25"/>
      <c r="CE78" s="25"/>
      <c r="CF78" s="25"/>
      <c r="CG78" s="25"/>
      <c r="CH78" s="25"/>
      <c r="CI78" s="25"/>
      <c r="CJ78" s="25"/>
      <c r="CK78" s="25"/>
      <c r="CL78" s="25"/>
    </row>
    <row r="79" spans="3:90" x14ac:dyDescent="0.2">
      <c r="C79" s="184">
        <v>76</v>
      </c>
      <c r="D79" s="25"/>
      <c r="E79" s="25"/>
      <c r="F79" s="25"/>
      <c r="G79" s="25"/>
      <c r="H79" s="25"/>
      <c r="I79" s="25"/>
      <c r="J79" s="25"/>
      <c r="K79" s="25"/>
      <c r="L79" s="25"/>
      <c r="M79" s="25"/>
      <c r="N79" s="25"/>
      <c r="O79" s="25"/>
      <c r="P79" s="25"/>
      <c r="Q79" s="25"/>
      <c r="R79" s="25"/>
      <c r="S79" s="25"/>
      <c r="T79" s="25"/>
      <c r="U79" s="25"/>
      <c r="V79" s="25"/>
      <c r="W79" s="25"/>
      <c r="X79" s="25"/>
      <c r="Y79" s="25"/>
      <c r="Z79" s="25"/>
      <c r="AA79" s="25"/>
      <c r="AB79" s="25"/>
      <c r="AC79" s="25"/>
      <c r="AD79" s="25"/>
      <c r="AE79" s="25"/>
      <c r="AF79" s="25"/>
      <c r="AG79" s="25"/>
      <c r="AH79" s="25"/>
      <c r="AO79" s="25">
        <v>10000</v>
      </c>
      <c r="AS79" s="297">
        <f t="shared" si="7"/>
        <v>10000</v>
      </c>
      <c r="AT79" s="25">
        <f t="shared" si="5"/>
        <v>10000</v>
      </c>
      <c r="AU79" s="25">
        <f t="shared" si="6"/>
        <v>1</v>
      </c>
      <c r="AV79" s="295" t="str">
        <f>VLOOKUP(VLOOKUP($AU79,KOMBI!$A:$H,3,FALSE),data!$I$27:$J$29,2,FALSE)</f>
        <v>Mittesekkuv</v>
      </c>
      <c r="AW79" s="295" t="str">
        <f>VLOOKUP(VLOOKUP($AU79,KOMBI!$A:$H,2,FALSE),data!$I$21:$J$23,2,FALSE)</f>
        <v>Mittesekkuv</v>
      </c>
      <c r="AX79" s="295" t="str">
        <f>VLOOKUP(VLOOKUP($AU79,KOMBI!$A:$H,5,FALSE),data!$I$39:$J$41,2,FALSE)</f>
        <v>Mittesekkuv</v>
      </c>
      <c r="AY79" s="295" t="str">
        <f>VLOOKUP(VLOOKUP($AU79,KOMBI!$A:$H,4,FALSE),data!$I$32:$J$36,2,FALSE)</f>
        <v>LIB</v>
      </c>
      <c r="BA79" s="25"/>
      <c r="BB79" s="25"/>
      <c r="BC79" s="25"/>
      <c r="BD79" s="25"/>
      <c r="BE79" s="25"/>
      <c r="BF79" s="25"/>
      <c r="BG79" s="25"/>
      <c r="BH79" s="25"/>
      <c r="BI79" s="25"/>
      <c r="BJ79" s="25"/>
      <c r="BK79" s="25"/>
      <c r="BL79" s="25"/>
      <c r="BM79" s="25"/>
      <c r="BN79" s="25"/>
      <c r="BO79" s="25"/>
      <c r="BP79" s="25"/>
      <c r="BQ79" s="25"/>
      <c r="BR79" s="25"/>
      <c r="BS79" s="25"/>
      <c r="BT79" s="25"/>
      <c r="BU79" s="25"/>
      <c r="BV79" s="25"/>
      <c r="BW79" s="25"/>
      <c r="BX79" s="25"/>
      <c r="BY79" s="25"/>
      <c r="BZ79" s="25"/>
      <c r="CA79" s="25"/>
      <c r="CB79" s="25"/>
      <c r="CC79" s="25"/>
      <c r="CD79" s="25"/>
      <c r="CE79" s="25"/>
      <c r="CF79" s="25"/>
      <c r="CG79" s="25"/>
      <c r="CH79" s="25"/>
      <c r="CI79" s="25"/>
      <c r="CJ79" s="25"/>
      <c r="CK79" s="25"/>
      <c r="CL79" s="25"/>
    </row>
    <row r="80" spans="3:90" x14ac:dyDescent="0.2">
      <c r="C80" s="184">
        <v>77</v>
      </c>
      <c r="D80" s="25"/>
      <c r="E80" s="25"/>
      <c r="F80" s="25"/>
      <c r="G80" s="25"/>
      <c r="H80" s="25"/>
      <c r="I80" s="25"/>
      <c r="J80" s="25"/>
      <c r="K80" s="25"/>
      <c r="L80" s="25"/>
      <c r="M80" s="25"/>
      <c r="N80" s="25"/>
      <c r="O80" s="25"/>
      <c r="P80" s="25"/>
      <c r="Q80" s="25"/>
      <c r="R80" s="25"/>
      <c r="S80" s="25"/>
      <c r="T80" s="25"/>
      <c r="U80" s="25"/>
      <c r="V80" s="25"/>
      <c r="W80" s="25"/>
      <c r="X80" s="25"/>
      <c r="Y80" s="25"/>
      <c r="Z80" s="25"/>
      <c r="AA80" s="25"/>
      <c r="AB80" s="25"/>
      <c r="AC80" s="25"/>
      <c r="AD80" s="25"/>
      <c r="AE80" s="25"/>
      <c r="AF80" s="25"/>
      <c r="AG80" s="25"/>
      <c r="AH80" s="25"/>
      <c r="AO80" s="25">
        <v>10000</v>
      </c>
      <c r="AS80" s="297">
        <f t="shared" si="7"/>
        <v>10000</v>
      </c>
      <c r="AT80" s="25">
        <f t="shared" si="5"/>
        <v>10000</v>
      </c>
      <c r="AU80" s="25">
        <f t="shared" si="6"/>
        <v>1</v>
      </c>
      <c r="AV80" s="295" t="str">
        <f>VLOOKUP(VLOOKUP($AU80,KOMBI!$A:$H,3,FALSE),data!$I$27:$J$29,2,FALSE)</f>
        <v>Mittesekkuv</v>
      </c>
      <c r="AW80" s="295" t="str">
        <f>VLOOKUP(VLOOKUP($AU80,KOMBI!$A:$H,2,FALSE),data!$I$21:$J$23,2,FALSE)</f>
        <v>Mittesekkuv</v>
      </c>
      <c r="AX80" s="295" t="str">
        <f>VLOOKUP(VLOOKUP($AU80,KOMBI!$A:$H,5,FALSE),data!$I$39:$J$41,2,FALSE)</f>
        <v>Mittesekkuv</v>
      </c>
      <c r="AY80" s="295" t="str">
        <f>VLOOKUP(VLOOKUP($AU80,KOMBI!$A:$H,4,FALSE),data!$I$32:$J$36,2,FALSE)</f>
        <v>LIB</v>
      </c>
      <c r="BA80" s="25"/>
      <c r="BB80" s="25"/>
      <c r="BC80" s="25"/>
      <c r="BD80" s="25"/>
      <c r="BE80" s="25"/>
      <c r="BF80" s="25"/>
      <c r="BG80" s="25"/>
      <c r="BH80" s="25"/>
      <c r="BI80" s="25"/>
      <c r="BJ80" s="25"/>
      <c r="BK80" s="25"/>
      <c r="BL80" s="25"/>
      <c r="BM80" s="25"/>
      <c r="BN80" s="25"/>
      <c r="BO80" s="25"/>
      <c r="BP80" s="25"/>
      <c r="BQ80" s="25"/>
      <c r="BR80" s="25"/>
      <c r="BS80" s="25"/>
      <c r="BT80" s="25"/>
      <c r="BU80" s="25"/>
      <c r="BV80" s="25"/>
      <c r="BW80" s="25"/>
      <c r="BX80" s="25"/>
      <c r="BY80" s="25"/>
      <c r="BZ80" s="25"/>
      <c r="CA80" s="25"/>
      <c r="CB80" s="25"/>
      <c r="CC80" s="25"/>
      <c r="CD80" s="25"/>
      <c r="CE80" s="25"/>
      <c r="CF80" s="25"/>
      <c r="CG80" s="25"/>
      <c r="CH80" s="25"/>
      <c r="CI80" s="25"/>
      <c r="CJ80" s="25"/>
      <c r="CK80" s="25"/>
      <c r="CL80" s="25"/>
    </row>
    <row r="81" spans="3:90" x14ac:dyDescent="0.2">
      <c r="C81" s="184">
        <v>78</v>
      </c>
      <c r="D81" s="25"/>
      <c r="E81" s="25"/>
      <c r="F81" s="25"/>
      <c r="G81" s="25"/>
      <c r="H81" s="25"/>
      <c r="I81" s="25"/>
      <c r="J81" s="25"/>
      <c r="K81" s="25"/>
      <c r="L81" s="25"/>
      <c r="M81" s="25"/>
      <c r="N81" s="25"/>
      <c r="O81" s="25"/>
      <c r="P81" s="25"/>
      <c r="Q81" s="25"/>
      <c r="R81" s="25"/>
      <c r="S81" s="25"/>
      <c r="T81" s="25"/>
      <c r="U81" s="25"/>
      <c r="V81" s="25"/>
      <c r="W81" s="25"/>
      <c r="X81" s="25"/>
      <c r="Y81" s="25"/>
      <c r="Z81" s="25"/>
      <c r="AA81" s="25"/>
      <c r="AB81" s="25"/>
      <c r="AC81" s="25"/>
      <c r="AD81" s="25"/>
      <c r="AE81" s="25"/>
      <c r="AF81" s="25"/>
      <c r="AG81" s="25"/>
      <c r="AH81" s="25"/>
      <c r="AO81" s="25">
        <v>10000</v>
      </c>
      <c r="AS81" s="297">
        <f t="shared" si="7"/>
        <v>10000</v>
      </c>
      <c r="AT81" s="25">
        <f t="shared" si="5"/>
        <v>10000</v>
      </c>
      <c r="AU81" s="25">
        <f t="shared" si="6"/>
        <v>1</v>
      </c>
      <c r="AV81" s="295" t="str">
        <f>VLOOKUP(VLOOKUP($AU81,KOMBI!$A:$H,3,FALSE),data!$I$27:$J$29,2,FALSE)</f>
        <v>Mittesekkuv</v>
      </c>
      <c r="AW81" s="295" t="str">
        <f>VLOOKUP(VLOOKUP($AU81,KOMBI!$A:$H,2,FALSE),data!$I$21:$J$23,2,FALSE)</f>
        <v>Mittesekkuv</v>
      </c>
      <c r="AX81" s="295" t="str">
        <f>VLOOKUP(VLOOKUP($AU81,KOMBI!$A:$H,5,FALSE),data!$I$39:$J$41,2,FALSE)</f>
        <v>Mittesekkuv</v>
      </c>
      <c r="AY81" s="295" t="str">
        <f>VLOOKUP(VLOOKUP($AU81,KOMBI!$A:$H,4,FALSE),data!$I$32:$J$36,2,FALSE)</f>
        <v>LIB</v>
      </c>
      <c r="BA81" s="25"/>
      <c r="BB81" s="25"/>
      <c r="BC81" s="25"/>
      <c r="BD81" s="25"/>
      <c r="BE81" s="25"/>
      <c r="BF81" s="25"/>
      <c r="BG81" s="25"/>
      <c r="BH81" s="25"/>
      <c r="BI81" s="25"/>
      <c r="BJ81" s="25"/>
      <c r="BK81" s="25"/>
      <c r="BL81" s="25"/>
      <c r="BM81" s="25"/>
      <c r="BN81" s="25"/>
      <c r="BO81" s="25"/>
      <c r="BP81" s="25"/>
      <c r="BQ81" s="25"/>
      <c r="BR81" s="25"/>
      <c r="BS81" s="25"/>
      <c r="BT81" s="25"/>
      <c r="BU81" s="25"/>
      <c r="BV81" s="25"/>
      <c r="BW81" s="25"/>
      <c r="BX81" s="25"/>
      <c r="BY81" s="25"/>
      <c r="BZ81" s="25"/>
      <c r="CA81" s="25"/>
      <c r="CB81" s="25"/>
      <c r="CC81" s="25"/>
      <c r="CD81" s="25"/>
      <c r="CE81" s="25"/>
      <c r="CF81" s="25"/>
      <c r="CG81" s="25"/>
      <c r="CH81" s="25"/>
      <c r="CI81" s="25"/>
      <c r="CJ81" s="25"/>
      <c r="CK81" s="25"/>
      <c r="CL81" s="25"/>
    </row>
    <row r="82" spans="3:90" x14ac:dyDescent="0.2">
      <c r="C82" s="184">
        <v>79</v>
      </c>
      <c r="D82" s="25"/>
      <c r="E82" s="25"/>
      <c r="F82" s="25"/>
      <c r="G82" s="25"/>
      <c r="H82" s="25"/>
      <c r="I82" s="25"/>
      <c r="J82" s="25"/>
      <c r="K82" s="25"/>
      <c r="L82" s="25"/>
      <c r="M82" s="25"/>
      <c r="N82" s="25"/>
      <c r="O82" s="25"/>
      <c r="P82" s="25"/>
      <c r="Q82" s="25"/>
      <c r="R82" s="25"/>
      <c r="S82" s="25"/>
      <c r="T82" s="25"/>
      <c r="U82" s="25"/>
      <c r="V82" s="25"/>
      <c r="W82" s="25"/>
      <c r="X82" s="25"/>
      <c r="Y82" s="25"/>
      <c r="Z82" s="25"/>
      <c r="AA82" s="25"/>
      <c r="AB82" s="25"/>
      <c r="AC82" s="25"/>
      <c r="AD82" s="25"/>
      <c r="AE82" s="25"/>
      <c r="AF82" s="25"/>
      <c r="AG82" s="25"/>
      <c r="AH82" s="25"/>
      <c r="AO82" s="25">
        <v>10000</v>
      </c>
      <c r="AS82" s="297">
        <f t="shared" si="7"/>
        <v>10000</v>
      </c>
      <c r="AT82" s="25">
        <f t="shared" si="5"/>
        <v>10000</v>
      </c>
      <c r="AU82" s="25">
        <f t="shared" si="6"/>
        <v>1</v>
      </c>
      <c r="AV82" s="295" t="str">
        <f>VLOOKUP(VLOOKUP($AU82,KOMBI!$A:$H,3,FALSE),data!$I$27:$J$29,2,FALSE)</f>
        <v>Mittesekkuv</v>
      </c>
      <c r="AW82" s="295" t="str">
        <f>VLOOKUP(VLOOKUP($AU82,KOMBI!$A:$H,2,FALSE),data!$I$21:$J$23,2,FALSE)</f>
        <v>Mittesekkuv</v>
      </c>
      <c r="AX82" s="295" t="str">
        <f>VLOOKUP(VLOOKUP($AU82,KOMBI!$A:$H,5,FALSE),data!$I$39:$J$41,2,FALSE)</f>
        <v>Mittesekkuv</v>
      </c>
      <c r="AY82" s="295" t="str">
        <f>VLOOKUP(VLOOKUP($AU82,KOMBI!$A:$H,4,FALSE),data!$I$32:$J$36,2,FALSE)</f>
        <v>LIB</v>
      </c>
      <c r="BA82" s="25"/>
      <c r="BB82" s="25"/>
      <c r="BC82" s="25"/>
      <c r="BD82" s="25"/>
      <c r="BE82" s="25"/>
      <c r="BF82" s="25"/>
      <c r="BG82" s="25"/>
      <c r="BH82" s="25"/>
      <c r="BI82" s="25"/>
      <c r="BJ82" s="25"/>
      <c r="BK82" s="25"/>
      <c r="BL82" s="25"/>
      <c r="BM82" s="25"/>
      <c r="BN82" s="25"/>
      <c r="BO82" s="25"/>
      <c r="BP82" s="25"/>
      <c r="BQ82" s="25"/>
      <c r="BR82" s="25"/>
      <c r="BS82" s="25"/>
      <c r="BT82" s="25"/>
      <c r="BU82" s="25"/>
      <c r="BV82" s="25"/>
      <c r="BW82" s="25"/>
      <c r="BX82" s="25"/>
      <c r="BY82" s="25"/>
      <c r="BZ82" s="25"/>
      <c r="CA82" s="25"/>
      <c r="CB82" s="25"/>
      <c r="CC82" s="25"/>
      <c r="CD82" s="25"/>
      <c r="CE82" s="25"/>
      <c r="CF82" s="25"/>
      <c r="CG82" s="25"/>
      <c r="CH82" s="25"/>
      <c r="CI82" s="25"/>
      <c r="CJ82" s="25"/>
      <c r="CK82" s="25"/>
      <c r="CL82" s="25"/>
    </row>
    <row r="83" spans="3:90" x14ac:dyDescent="0.2">
      <c r="C83" s="184">
        <v>80</v>
      </c>
      <c r="D83" s="25"/>
      <c r="E83" s="25"/>
      <c r="F83" s="25"/>
      <c r="G83" s="25"/>
      <c r="H83" s="25"/>
      <c r="I83" s="25"/>
      <c r="J83" s="25"/>
      <c r="K83" s="25"/>
      <c r="L83" s="25"/>
      <c r="M83" s="25"/>
      <c r="N83" s="25"/>
      <c r="O83" s="25"/>
      <c r="P83" s="25"/>
      <c r="Q83" s="25"/>
      <c r="R83" s="25"/>
      <c r="S83" s="25"/>
      <c r="T83" s="25"/>
      <c r="U83" s="25"/>
      <c r="V83" s="25"/>
      <c r="W83" s="25"/>
      <c r="X83" s="25"/>
      <c r="Y83" s="25"/>
      <c r="Z83" s="25"/>
      <c r="AA83" s="25"/>
      <c r="AB83" s="25"/>
      <c r="AC83" s="25"/>
      <c r="AD83" s="25"/>
      <c r="AE83" s="25"/>
      <c r="AF83" s="25"/>
      <c r="AG83" s="25"/>
      <c r="AH83" s="25"/>
      <c r="AO83" s="25">
        <v>10000</v>
      </c>
      <c r="AS83" s="297">
        <f t="shared" si="7"/>
        <v>10000</v>
      </c>
      <c r="AT83" s="25">
        <f t="shared" si="5"/>
        <v>10000</v>
      </c>
      <c r="AU83" s="25">
        <f t="shared" si="6"/>
        <v>1</v>
      </c>
      <c r="AV83" s="295" t="str">
        <f>VLOOKUP(VLOOKUP($AU83,KOMBI!$A:$H,3,FALSE),data!$I$27:$J$29,2,FALSE)</f>
        <v>Mittesekkuv</v>
      </c>
      <c r="AW83" s="295" t="str">
        <f>VLOOKUP(VLOOKUP($AU83,KOMBI!$A:$H,2,FALSE),data!$I$21:$J$23,2,FALSE)</f>
        <v>Mittesekkuv</v>
      </c>
      <c r="AX83" s="295" t="str">
        <f>VLOOKUP(VLOOKUP($AU83,KOMBI!$A:$H,5,FALSE),data!$I$39:$J$41,2,FALSE)</f>
        <v>Mittesekkuv</v>
      </c>
      <c r="AY83" s="295" t="str">
        <f>VLOOKUP(VLOOKUP($AU83,KOMBI!$A:$H,4,FALSE),data!$I$32:$J$36,2,FALSE)</f>
        <v>LIB</v>
      </c>
      <c r="BA83" s="25"/>
      <c r="BB83" s="25"/>
      <c r="BC83" s="25"/>
      <c r="BD83" s="25"/>
      <c r="BE83" s="25"/>
      <c r="BF83" s="25"/>
      <c r="BG83" s="25"/>
      <c r="BH83" s="25"/>
      <c r="BI83" s="25"/>
      <c r="BJ83" s="25"/>
      <c r="BK83" s="25"/>
      <c r="BL83" s="25"/>
      <c r="BM83" s="25"/>
      <c r="BN83" s="25"/>
      <c r="BO83" s="25"/>
      <c r="BP83" s="25"/>
      <c r="BQ83" s="25"/>
      <c r="BR83" s="25"/>
      <c r="BS83" s="25"/>
      <c r="BT83" s="25"/>
      <c r="BU83" s="25"/>
      <c r="BV83" s="25"/>
      <c r="BW83" s="25"/>
      <c r="BX83" s="25"/>
      <c r="BY83" s="25"/>
      <c r="BZ83" s="25"/>
      <c r="CA83" s="25"/>
      <c r="CB83" s="25"/>
      <c r="CC83" s="25"/>
      <c r="CD83" s="25"/>
      <c r="CE83" s="25"/>
      <c r="CF83" s="25"/>
      <c r="CG83" s="25"/>
      <c r="CH83" s="25"/>
      <c r="CI83" s="25"/>
      <c r="CJ83" s="25"/>
      <c r="CK83" s="25"/>
      <c r="CL83" s="25"/>
    </row>
    <row r="84" spans="3:90" x14ac:dyDescent="0.2">
      <c r="C84" s="184">
        <v>81</v>
      </c>
      <c r="D84" s="25"/>
      <c r="E84" s="25"/>
      <c r="F84" s="25"/>
      <c r="G84" s="25"/>
      <c r="H84" s="25"/>
      <c r="I84" s="25"/>
      <c r="J84" s="25"/>
      <c r="K84" s="25"/>
      <c r="L84" s="25"/>
      <c r="M84" s="25"/>
      <c r="N84" s="25"/>
      <c r="O84" s="25"/>
      <c r="P84" s="25"/>
      <c r="Q84" s="25"/>
      <c r="R84" s="25"/>
      <c r="S84" s="25"/>
      <c r="T84" s="25"/>
      <c r="U84" s="25"/>
      <c r="V84" s="25"/>
      <c r="W84" s="25"/>
      <c r="X84" s="25"/>
      <c r="Y84" s="25"/>
      <c r="Z84" s="25"/>
      <c r="AA84" s="25"/>
      <c r="AB84" s="25"/>
      <c r="AC84" s="25"/>
      <c r="AD84" s="25"/>
      <c r="AE84" s="25"/>
      <c r="AF84" s="25"/>
      <c r="AG84" s="25"/>
      <c r="AH84" s="25"/>
      <c r="AO84" s="25">
        <v>10000</v>
      </c>
      <c r="AS84" s="297">
        <f t="shared" si="7"/>
        <v>10000</v>
      </c>
      <c r="AT84" s="25">
        <f t="shared" si="5"/>
        <v>10000</v>
      </c>
      <c r="AU84" s="25">
        <f t="shared" si="6"/>
        <v>1</v>
      </c>
      <c r="AV84" s="295" t="str">
        <f>VLOOKUP(VLOOKUP($AU84,KOMBI!$A:$H,3,FALSE),data!$I$27:$J$29,2,FALSE)</f>
        <v>Mittesekkuv</v>
      </c>
      <c r="AW84" s="295" t="str">
        <f>VLOOKUP(VLOOKUP($AU84,KOMBI!$A:$H,2,FALSE),data!$I$21:$J$23,2,FALSE)</f>
        <v>Mittesekkuv</v>
      </c>
      <c r="AX84" s="295" t="str">
        <f>VLOOKUP(VLOOKUP($AU84,KOMBI!$A:$H,5,FALSE),data!$I$39:$J$41,2,FALSE)</f>
        <v>Mittesekkuv</v>
      </c>
      <c r="AY84" s="295" t="str">
        <f>VLOOKUP(VLOOKUP($AU84,KOMBI!$A:$H,4,FALSE),data!$I$32:$J$36,2,FALSE)</f>
        <v>LIB</v>
      </c>
      <c r="BA84" s="25"/>
      <c r="BB84" s="25"/>
      <c r="BC84" s="25"/>
      <c r="BD84" s="25"/>
      <c r="BE84" s="25"/>
      <c r="BF84" s="25"/>
      <c r="BG84" s="25"/>
      <c r="BH84" s="25"/>
      <c r="BI84" s="25"/>
      <c r="BJ84" s="25"/>
      <c r="BK84" s="25"/>
      <c r="BL84" s="25"/>
      <c r="BM84" s="25"/>
      <c r="BN84" s="25"/>
      <c r="BO84" s="25"/>
      <c r="BP84" s="25"/>
      <c r="BQ84" s="25"/>
      <c r="BR84" s="25"/>
      <c r="BS84" s="25"/>
      <c r="BT84" s="25"/>
      <c r="BU84" s="25"/>
      <c r="BV84" s="25"/>
      <c r="BW84" s="25"/>
      <c r="BX84" s="25"/>
      <c r="BY84" s="25"/>
      <c r="BZ84" s="25"/>
      <c r="CA84" s="25"/>
      <c r="CB84" s="25"/>
      <c r="CC84" s="25"/>
      <c r="CD84" s="25"/>
      <c r="CE84" s="25"/>
      <c r="CF84" s="25"/>
      <c r="CG84" s="25"/>
      <c r="CH84" s="25"/>
      <c r="CI84" s="25"/>
      <c r="CJ84" s="25"/>
      <c r="CK84" s="25"/>
      <c r="CL84" s="25"/>
    </row>
    <row r="85" spans="3:90" x14ac:dyDescent="0.2">
      <c r="C85" s="184">
        <v>82</v>
      </c>
      <c r="D85" s="25"/>
      <c r="E85" s="25"/>
      <c r="F85" s="25"/>
      <c r="G85" s="25"/>
      <c r="H85" s="25"/>
      <c r="I85" s="25"/>
      <c r="J85" s="25"/>
      <c r="K85" s="25"/>
      <c r="L85" s="25"/>
      <c r="M85" s="25"/>
      <c r="N85" s="25"/>
      <c r="O85" s="25"/>
      <c r="P85" s="25"/>
      <c r="Q85" s="25"/>
      <c r="R85" s="25"/>
      <c r="S85" s="25"/>
      <c r="T85" s="25"/>
      <c r="U85" s="25"/>
      <c r="V85" s="25"/>
      <c r="W85" s="25"/>
      <c r="X85" s="25"/>
      <c r="Y85" s="25"/>
      <c r="Z85" s="25"/>
      <c r="AA85" s="25"/>
      <c r="AB85" s="25"/>
      <c r="AC85" s="25"/>
      <c r="AD85" s="25"/>
      <c r="AE85" s="25"/>
      <c r="AF85" s="25"/>
      <c r="AG85" s="25"/>
      <c r="AH85" s="25"/>
      <c r="AO85" s="25">
        <v>10000</v>
      </c>
      <c r="AS85" s="297">
        <f t="shared" si="7"/>
        <v>10000</v>
      </c>
      <c r="AT85" s="25">
        <f t="shared" si="5"/>
        <v>10000</v>
      </c>
      <c r="AU85" s="25">
        <f t="shared" si="6"/>
        <v>1</v>
      </c>
      <c r="AV85" s="295" t="str">
        <f>VLOOKUP(VLOOKUP($AU85,KOMBI!$A:$H,3,FALSE),data!$I$27:$J$29,2,FALSE)</f>
        <v>Mittesekkuv</v>
      </c>
      <c r="AW85" s="295" t="str">
        <f>VLOOKUP(VLOOKUP($AU85,KOMBI!$A:$H,2,FALSE),data!$I$21:$J$23,2,FALSE)</f>
        <v>Mittesekkuv</v>
      </c>
      <c r="AX85" s="295" t="str">
        <f>VLOOKUP(VLOOKUP($AU85,KOMBI!$A:$H,5,FALSE),data!$I$39:$J$41,2,FALSE)</f>
        <v>Mittesekkuv</v>
      </c>
      <c r="AY85" s="295" t="str">
        <f>VLOOKUP(VLOOKUP($AU85,KOMBI!$A:$H,4,FALSE),data!$I$32:$J$36,2,FALSE)</f>
        <v>LIB</v>
      </c>
      <c r="BA85" s="25"/>
      <c r="BB85" s="25"/>
      <c r="BC85" s="25"/>
      <c r="BD85" s="25"/>
      <c r="BE85" s="25"/>
      <c r="BF85" s="25"/>
      <c r="BG85" s="25"/>
      <c r="BH85" s="25"/>
      <c r="BI85" s="25"/>
      <c r="BJ85" s="25"/>
      <c r="BK85" s="25"/>
      <c r="BL85" s="25"/>
      <c r="BM85" s="25"/>
      <c r="BN85" s="25"/>
      <c r="BO85" s="25"/>
      <c r="BP85" s="25"/>
      <c r="BQ85" s="25"/>
      <c r="BR85" s="25"/>
      <c r="BS85" s="25"/>
      <c r="BT85" s="25"/>
      <c r="BU85" s="25"/>
      <c r="BV85" s="25"/>
      <c r="BW85" s="25"/>
      <c r="BX85" s="25"/>
      <c r="BY85" s="25"/>
      <c r="BZ85" s="25"/>
      <c r="CA85" s="25"/>
      <c r="CB85" s="25"/>
      <c r="CC85" s="25"/>
      <c r="CD85" s="25"/>
      <c r="CE85" s="25"/>
      <c r="CF85" s="25"/>
      <c r="CG85" s="25"/>
      <c r="CH85" s="25"/>
      <c r="CI85" s="25"/>
      <c r="CJ85" s="25"/>
      <c r="CK85" s="25"/>
      <c r="CL85" s="25"/>
    </row>
    <row r="86" spans="3:90" x14ac:dyDescent="0.2">
      <c r="C86" s="184">
        <v>83</v>
      </c>
      <c r="D86" s="25"/>
      <c r="E86" s="25"/>
      <c r="F86" s="25"/>
      <c r="G86" s="25"/>
      <c r="H86" s="25"/>
      <c r="I86" s="25"/>
      <c r="J86" s="25"/>
      <c r="K86" s="25"/>
      <c r="L86" s="25"/>
      <c r="M86" s="25"/>
      <c r="N86" s="25"/>
      <c r="O86" s="25"/>
      <c r="P86" s="25"/>
      <c r="Q86" s="25"/>
      <c r="R86" s="25"/>
      <c r="S86" s="25"/>
      <c r="T86" s="25"/>
      <c r="U86" s="25"/>
      <c r="V86" s="25"/>
      <c r="W86" s="25"/>
      <c r="X86" s="25"/>
      <c r="Y86" s="25"/>
      <c r="Z86" s="25"/>
      <c r="AA86" s="25"/>
      <c r="AB86" s="25"/>
      <c r="AC86" s="25"/>
      <c r="AD86" s="25"/>
      <c r="AE86" s="25"/>
      <c r="AF86" s="25"/>
      <c r="AG86" s="25"/>
      <c r="AH86" s="25"/>
      <c r="AO86" s="25">
        <v>10000</v>
      </c>
      <c r="AS86" s="297">
        <f t="shared" si="7"/>
        <v>10000</v>
      </c>
      <c r="AT86" s="25">
        <f t="shared" si="5"/>
        <v>10000</v>
      </c>
      <c r="AU86" s="25">
        <f t="shared" si="6"/>
        <v>1</v>
      </c>
      <c r="AV86" s="295" t="str">
        <f>VLOOKUP(VLOOKUP($AU86,KOMBI!$A:$H,3,FALSE),data!$I$27:$J$29,2,FALSE)</f>
        <v>Mittesekkuv</v>
      </c>
      <c r="AW86" s="295" t="str">
        <f>VLOOKUP(VLOOKUP($AU86,KOMBI!$A:$H,2,FALSE),data!$I$21:$J$23,2,FALSE)</f>
        <v>Mittesekkuv</v>
      </c>
      <c r="AX86" s="295" t="str">
        <f>VLOOKUP(VLOOKUP($AU86,KOMBI!$A:$H,5,FALSE),data!$I$39:$J$41,2,FALSE)</f>
        <v>Mittesekkuv</v>
      </c>
      <c r="AY86" s="295" t="str">
        <f>VLOOKUP(VLOOKUP($AU86,KOMBI!$A:$H,4,FALSE),data!$I$32:$J$36,2,FALSE)</f>
        <v>LIB</v>
      </c>
      <c r="BA86" s="25"/>
      <c r="BB86" s="25"/>
      <c r="BC86" s="25"/>
      <c r="BD86" s="25"/>
      <c r="BE86" s="25"/>
      <c r="BF86" s="25"/>
      <c r="BG86" s="25"/>
      <c r="BH86" s="25"/>
      <c r="BI86" s="25"/>
      <c r="BJ86" s="25"/>
      <c r="BK86" s="25"/>
      <c r="BL86" s="25"/>
      <c r="BM86" s="25"/>
      <c r="BN86" s="25"/>
      <c r="BO86" s="25"/>
      <c r="BP86" s="25"/>
      <c r="BQ86" s="25"/>
      <c r="BR86" s="25"/>
      <c r="BS86" s="25"/>
      <c r="BT86" s="25"/>
      <c r="BU86" s="25"/>
      <c r="BV86" s="25"/>
      <c r="BW86" s="25"/>
      <c r="BX86" s="25"/>
      <c r="BY86" s="25"/>
      <c r="BZ86" s="25"/>
      <c r="CA86" s="25"/>
      <c r="CB86" s="25"/>
      <c r="CC86" s="25"/>
      <c r="CD86" s="25"/>
      <c r="CE86" s="25"/>
      <c r="CF86" s="25"/>
      <c r="CG86" s="25"/>
      <c r="CH86" s="25"/>
      <c r="CI86" s="25"/>
      <c r="CJ86" s="25"/>
      <c r="CK86" s="25"/>
      <c r="CL86" s="25"/>
    </row>
    <row r="87" spans="3:90" x14ac:dyDescent="0.2">
      <c r="C87" s="184">
        <v>84</v>
      </c>
      <c r="D87" s="25"/>
      <c r="E87" s="25"/>
      <c r="F87" s="25"/>
      <c r="G87" s="25"/>
      <c r="H87" s="25"/>
      <c r="I87" s="25"/>
      <c r="J87" s="25"/>
      <c r="K87" s="25"/>
      <c r="L87" s="25"/>
      <c r="M87" s="25"/>
      <c r="N87" s="25"/>
      <c r="O87" s="25"/>
      <c r="P87" s="25"/>
      <c r="Q87" s="25"/>
      <c r="R87" s="25"/>
      <c r="S87" s="25"/>
      <c r="T87" s="25"/>
      <c r="U87" s="25"/>
      <c r="V87" s="25"/>
      <c r="W87" s="25"/>
      <c r="X87" s="25"/>
      <c r="Y87" s="25"/>
      <c r="Z87" s="25"/>
      <c r="AA87" s="25"/>
      <c r="AB87" s="25"/>
      <c r="AC87" s="25"/>
      <c r="AD87" s="25"/>
      <c r="AE87" s="25"/>
      <c r="AF87" s="25"/>
      <c r="AG87" s="25"/>
      <c r="AH87" s="25"/>
      <c r="AO87" s="25">
        <v>10000</v>
      </c>
      <c r="AS87" s="297">
        <f t="shared" si="7"/>
        <v>10000</v>
      </c>
      <c r="AT87" s="25">
        <f t="shared" si="5"/>
        <v>10000</v>
      </c>
      <c r="AU87" s="25">
        <f t="shared" si="6"/>
        <v>1</v>
      </c>
      <c r="AV87" s="295" t="str">
        <f>VLOOKUP(VLOOKUP($AU87,KOMBI!$A:$H,3,FALSE),data!$I$27:$J$29,2,FALSE)</f>
        <v>Mittesekkuv</v>
      </c>
      <c r="AW87" s="295" t="str">
        <f>VLOOKUP(VLOOKUP($AU87,KOMBI!$A:$H,2,FALSE),data!$I$21:$J$23,2,FALSE)</f>
        <v>Mittesekkuv</v>
      </c>
      <c r="AX87" s="295" t="str">
        <f>VLOOKUP(VLOOKUP($AU87,KOMBI!$A:$H,5,FALSE),data!$I$39:$J$41,2,FALSE)</f>
        <v>Mittesekkuv</v>
      </c>
      <c r="AY87" s="295" t="str">
        <f>VLOOKUP(VLOOKUP($AU87,KOMBI!$A:$H,4,FALSE),data!$I$32:$J$36,2,FALSE)</f>
        <v>LIB</v>
      </c>
      <c r="BA87" s="25"/>
      <c r="BB87" s="25"/>
      <c r="BC87" s="25"/>
      <c r="BD87" s="25"/>
      <c r="BE87" s="25"/>
      <c r="BF87" s="25"/>
      <c r="BG87" s="25"/>
      <c r="BH87" s="25"/>
      <c r="BI87" s="25"/>
      <c r="BJ87" s="25"/>
      <c r="BK87" s="25"/>
      <c r="BL87" s="25"/>
      <c r="BM87" s="25"/>
      <c r="BN87" s="25"/>
      <c r="BO87" s="25"/>
      <c r="BP87" s="25"/>
      <c r="BQ87" s="25"/>
      <c r="BR87" s="25"/>
      <c r="BS87" s="25"/>
      <c r="BT87" s="25"/>
      <c r="BU87" s="25"/>
      <c r="BV87" s="25"/>
      <c r="BW87" s="25"/>
      <c r="BX87" s="25"/>
      <c r="BY87" s="25"/>
      <c r="BZ87" s="25"/>
      <c r="CA87" s="25"/>
      <c r="CB87" s="25"/>
      <c r="CC87" s="25"/>
      <c r="CD87" s="25"/>
      <c r="CE87" s="25"/>
      <c r="CF87" s="25"/>
      <c r="CG87" s="25"/>
      <c r="CH87" s="25"/>
      <c r="CI87" s="25"/>
      <c r="CJ87" s="25"/>
      <c r="CK87" s="25"/>
      <c r="CL87" s="25"/>
    </row>
    <row r="88" spans="3:90" x14ac:dyDescent="0.2">
      <c r="C88" s="184">
        <v>85</v>
      </c>
      <c r="D88" s="25"/>
      <c r="E88" s="25"/>
      <c r="F88" s="25"/>
      <c r="G88" s="25"/>
      <c r="H88" s="25"/>
      <c r="I88" s="25"/>
      <c r="J88" s="25"/>
      <c r="K88" s="25"/>
      <c r="L88" s="25"/>
      <c r="M88" s="25"/>
      <c r="N88" s="25"/>
      <c r="O88" s="25"/>
      <c r="P88" s="25"/>
      <c r="Q88" s="25"/>
      <c r="R88" s="25"/>
      <c r="S88" s="25"/>
      <c r="T88" s="25"/>
      <c r="U88" s="25"/>
      <c r="V88" s="25"/>
      <c r="W88" s="25"/>
      <c r="X88" s="25"/>
      <c r="Y88" s="25"/>
      <c r="Z88" s="25"/>
      <c r="AA88" s="25"/>
      <c r="AB88" s="25"/>
      <c r="AC88" s="25"/>
      <c r="AD88" s="25"/>
      <c r="AE88" s="25"/>
      <c r="AF88" s="25"/>
      <c r="AG88" s="25"/>
      <c r="AH88" s="25"/>
      <c r="AO88" s="25">
        <v>10000</v>
      </c>
      <c r="AS88" s="297">
        <f t="shared" si="7"/>
        <v>10000</v>
      </c>
      <c r="AT88" s="25">
        <f t="shared" si="5"/>
        <v>10000</v>
      </c>
      <c r="AU88" s="25">
        <f t="shared" si="6"/>
        <v>1</v>
      </c>
      <c r="AV88" s="295" t="str">
        <f>VLOOKUP(VLOOKUP($AU88,KOMBI!$A:$H,3,FALSE),data!$I$27:$J$29,2,FALSE)</f>
        <v>Mittesekkuv</v>
      </c>
      <c r="AW88" s="295" t="str">
        <f>VLOOKUP(VLOOKUP($AU88,KOMBI!$A:$H,2,FALSE),data!$I$21:$J$23,2,FALSE)</f>
        <v>Mittesekkuv</v>
      </c>
      <c r="AX88" s="295" t="str">
        <f>VLOOKUP(VLOOKUP($AU88,KOMBI!$A:$H,5,FALSE),data!$I$39:$J$41,2,FALSE)</f>
        <v>Mittesekkuv</v>
      </c>
      <c r="AY88" s="295" t="str">
        <f>VLOOKUP(VLOOKUP($AU88,KOMBI!$A:$H,4,FALSE),data!$I$32:$J$36,2,FALSE)</f>
        <v>LIB</v>
      </c>
      <c r="BA88" s="25"/>
      <c r="BB88" s="25"/>
      <c r="BC88" s="25"/>
      <c r="BD88" s="25"/>
      <c r="BE88" s="25"/>
      <c r="BF88" s="25"/>
      <c r="BG88" s="25"/>
      <c r="BH88" s="25"/>
      <c r="BI88" s="25"/>
      <c r="BJ88" s="25"/>
      <c r="BK88" s="25"/>
      <c r="BL88" s="25"/>
      <c r="BM88" s="25"/>
      <c r="BN88" s="25"/>
      <c r="BO88" s="25"/>
      <c r="BP88" s="25"/>
      <c r="BQ88" s="25"/>
      <c r="BR88" s="25"/>
      <c r="BS88" s="25"/>
      <c r="BT88" s="25"/>
      <c r="BU88" s="25"/>
      <c r="BV88" s="25"/>
      <c r="BW88" s="25"/>
      <c r="BX88" s="25"/>
      <c r="BY88" s="25"/>
      <c r="BZ88" s="25"/>
      <c r="CA88" s="25"/>
      <c r="CB88" s="25"/>
      <c r="CC88" s="25"/>
      <c r="CD88" s="25"/>
      <c r="CE88" s="25"/>
      <c r="CF88" s="25"/>
      <c r="CG88" s="25"/>
      <c r="CH88" s="25"/>
      <c r="CI88" s="25"/>
      <c r="CJ88" s="25"/>
      <c r="CK88" s="25"/>
      <c r="CL88" s="25"/>
    </row>
    <row r="89" spans="3:90" x14ac:dyDescent="0.2">
      <c r="C89" s="184">
        <v>86</v>
      </c>
      <c r="D89" s="25"/>
      <c r="E89" s="25"/>
      <c r="F89" s="25"/>
      <c r="G89" s="25"/>
      <c r="H89" s="25"/>
      <c r="I89" s="25"/>
      <c r="J89" s="25"/>
      <c r="K89" s="25"/>
      <c r="L89" s="25"/>
      <c r="M89" s="25"/>
      <c r="N89" s="25"/>
      <c r="O89" s="25"/>
      <c r="P89" s="25"/>
      <c r="Q89" s="25"/>
      <c r="R89" s="25"/>
      <c r="S89" s="25"/>
      <c r="T89" s="25"/>
      <c r="U89" s="25"/>
      <c r="V89" s="25"/>
      <c r="W89" s="25"/>
      <c r="X89" s="25"/>
      <c r="Y89" s="25"/>
      <c r="Z89" s="25"/>
      <c r="AA89" s="25"/>
      <c r="AB89" s="25"/>
      <c r="AC89" s="25"/>
      <c r="AD89" s="25"/>
      <c r="AE89" s="25"/>
      <c r="AF89" s="25"/>
      <c r="AG89" s="25"/>
      <c r="AH89" s="25"/>
      <c r="AO89" s="25">
        <v>10000</v>
      </c>
      <c r="AS89" s="297">
        <f t="shared" si="7"/>
        <v>10000</v>
      </c>
      <c r="AT89" s="25">
        <f t="shared" si="5"/>
        <v>10000</v>
      </c>
      <c r="AU89" s="25">
        <f t="shared" si="6"/>
        <v>1</v>
      </c>
      <c r="AV89" s="295" t="str">
        <f>VLOOKUP(VLOOKUP($AU89,KOMBI!$A:$H,3,FALSE),data!$I$27:$J$29,2,FALSE)</f>
        <v>Mittesekkuv</v>
      </c>
      <c r="AW89" s="295" t="str">
        <f>VLOOKUP(VLOOKUP($AU89,KOMBI!$A:$H,2,FALSE),data!$I$21:$J$23,2,FALSE)</f>
        <v>Mittesekkuv</v>
      </c>
      <c r="AX89" s="295" t="str">
        <f>VLOOKUP(VLOOKUP($AU89,KOMBI!$A:$H,5,FALSE),data!$I$39:$J$41,2,FALSE)</f>
        <v>Mittesekkuv</v>
      </c>
      <c r="AY89" s="295" t="str">
        <f>VLOOKUP(VLOOKUP($AU89,KOMBI!$A:$H,4,FALSE),data!$I$32:$J$36,2,FALSE)</f>
        <v>LIB</v>
      </c>
      <c r="BA89" s="25"/>
      <c r="BB89" s="25"/>
      <c r="BC89" s="25"/>
      <c r="BD89" s="25"/>
      <c r="BE89" s="25"/>
      <c r="BF89" s="25"/>
      <c r="BG89" s="25"/>
      <c r="BH89" s="25"/>
      <c r="BI89" s="25"/>
      <c r="BJ89" s="25"/>
      <c r="BK89" s="25"/>
      <c r="BL89" s="25"/>
      <c r="BM89" s="25"/>
      <c r="BN89" s="25"/>
      <c r="BO89" s="25"/>
      <c r="BP89" s="25"/>
      <c r="BQ89" s="25"/>
      <c r="BR89" s="25"/>
      <c r="BS89" s="25"/>
      <c r="BT89" s="25"/>
      <c r="BU89" s="25"/>
      <c r="BV89" s="25"/>
      <c r="BW89" s="25"/>
      <c r="BX89" s="25"/>
      <c r="BY89" s="25"/>
      <c r="BZ89" s="25"/>
      <c r="CA89" s="25"/>
      <c r="CB89" s="25"/>
      <c r="CC89" s="25"/>
      <c r="CD89" s="25"/>
      <c r="CE89" s="25"/>
      <c r="CF89" s="25"/>
      <c r="CG89" s="25"/>
      <c r="CH89" s="25"/>
      <c r="CI89" s="25"/>
      <c r="CJ89" s="25"/>
      <c r="CK89" s="25"/>
      <c r="CL89" s="25"/>
    </row>
    <row r="90" spans="3:90" x14ac:dyDescent="0.2">
      <c r="C90" s="184">
        <v>87</v>
      </c>
      <c r="D90" s="25"/>
      <c r="E90" s="25"/>
      <c r="F90" s="25"/>
      <c r="G90" s="25"/>
      <c r="H90" s="25"/>
      <c r="I90" s="25"/>
      <c r="J90" s="25"/>
      <c r="K90" s="25"/>
      <c r="L90" s="25"/>
      <c r="M90" s="25"/>
      <c r="N90" s="25"/>
      <c r="O90" s="25"/>
      <c r="P90" s="25"/>
      <c r="Q90" s="25"/>
      <c r="R90" s="25"/>
      <c r="S90" s="25"/>
      <c r="T90" s="25"/>
      <c r="U90" s="25"/>
      <c r="V90" s="25"/>
      <c r="W90" s="25"/>
      <c r="X90" s="25"/>
      <c r="Y90" s="25"/>
      <c r="Z90" s="25"/>
      <c r="AA90" s="25"/>
      <c r="AB90" s="25"/>
      <c r="AC90" s="25"/>
      <c r="AD90" s="25"/>
      <c r="AE90" s="25"/>
      <c r="AF90" s="25"/>
      <c r="AG90" s="25"/>
      <c r="AH90" s="25"/>
      <c r="AO90" s="25">
        <v>10000</v>
      </c>
      <c r="AS90" s="297">
        <f t="shared" si="7"/>
        <v>10000</v>
      </c>
      <c r="AT90" s="25">
        <f t="shared" si="5"/>
        <v>10000</v>
      </c>
      <c r="AU90" s="25">
        <f t="shared" si="6"/>
        <v>1</v>
      </c>
      <c r="AV90" s="295" t="str">
        <f>VLOOKUP(VLOOKUP($AU90,KOMBI!$A:$H,3,FALSE),data!$I$27:$J$29,2,FALSE)</f>
        <v>Mittesekkuv</v>
      </c>
      <c r="AW90" s="295" t="str">
        <f>VLOOKUP(VLOOKUP($AU90,KOMBI!$A:$H,2,FALSE),data!$I$21:$J$23,2,FALSE)</f>
        <v>Mittesekkuv</v>
      </c>
      <c r="AX90" s="295" t="str">
        <f>VLOOKUP(VLOOKUP($AU90,KOMBI!$A:$H,5,FALSE),data!$I$39:$J$41,2,FALSE)</f>
        <v>Mittesekkuv</v>
      </c>
      <c r="AY90" s="295" t="str">
        <f>VLOOKUP(VLOOKUP($AU90,KOMBI!$A:$H,4,FALSE),data!$I$32:$J$36,2,FALSE)</f>
        <v>LIB</v>
      </c>
      <c r="BA90" s="25"/>
      <c r="BB90" s="25"/>
      <c r="BC90" s="25"/>
      <c r="BD90" s="25"/>
      <c r="BE90" s="25"/>
      <c r="BF90" s="25"/>
      <c r="BG90" s="25"/>
      <c r="BH90" s="25"/>
      <c r="BI90" s="25"/>
      <c r="BJ90" s="25"/>
      <c r="BK90" s="25"/>
      <c r="BL90" s="25"/>
      <c r="BM90" s="25"/>
      <c r="BN90" s="25"/>
      <c r="BO90" s="25"/>
      <c r="BP90" s="25"/>
      <c r="BQ90" s="25"/>
      <c r="BR90" s="25"/>
      <c r="BS90" s="25"/>
      <c r="BT90" s="25"/>
      <c r="BU90" s="25"/>
      <c r="BV90" s="25"/>
      <c r="BW90" s="25"/>
      <c r="BX90" s="25"/>
      <c r="BY90" s="25"/>
      <c r="BZ90" s="25"/>
      <c r="CA90" s="25"/>
      <c r="CB90" s="25"/>
      <c r="CC90" s="25"/>
      <c r="CD90" s="25"/>
      <c r="CE90" s="25"/>
      <c r="CF90" s="25"/>
      <c r="CG90" s="25"/>
      <c r="CH90" s="25"/>
      <c r="CI90" s="25"/>
      <c r="CJ90" s="25"/>
      <c r="CK90" s="25"/>
      <c r="CL90" s="25"/>
    </row>
    <row r="91" spans="3:90" x14ac:dyDescent="0.2">
      <c r="C91" s="184">
        <v>88</v>
      </c>
      <c r="D91" s="25"/>
      <c r="E91" s="25"/>
      <c r="F91" s="25"/>
      <c r="G91" s="25"/>
      <c r="H91" s="25"/>
      <c r="I91" s="25"/>
      <c r="J91" s="25"/>
      <c r="K91" s="25"/>
      <c r="L91" s="25"/>
      <c r="M91" s="25"/>
      <c r="N91" s="25"/>
      <c r="O91" s="25"/>
      <c r="P91" s="25"/>
      <c r="Q91" s="25"/>
      <c r="R91" s="25"/>
      <c r="S91" s="25"/>
      <c r="T91" s="25"/>
      <c r="U91" s="25"/>
      <c r="V91" s="25"/>
      <c r="W91" s="25"/>
      <c r="X91" s="25"/>
      <c r="Y91" s="25"/>
      <c r="Z91" s="25"/>
      <c r="AA91" s="25"/>
      <c r="AB91" s="25"/>
      <c r="AC91" s="25"/>
      <c r="AD91" s="25"/>
      <c r="AE91" s="25"/>
      <c r="AF91" s="25"/>
      <c r="AG91" s="25"/>
      <c r="AH91" s="25"/>
      <c r="AO91" s="25">
        <v>10000</v>
      </c>
      <c r="AS91" s="297">
        <f t="shared" si="7"/>
        <v>10000</v>
      </c>
      <c r="AT91" s="25">
        <f t="shared" si="5"/>
        <v>10000</v>
      </c>
      <c r="AU91" s="25">
        <f t="shared" si="6"/>
        <v>1</v>
      </c>
      <c r="AV91" s="295" t="str">
        <f>VLOOKUP(VLOOKUP($AU91,KOMBI!$A:$H,3,FALSE),data!$I$27:$J$29,2,FALSE)</f>
        <v>Mittesekkuv</v>
      </c>
      <c r="AW91" s="295" t="str">
        <f>VLOOKUP(VLOOKUP($AU91,KOMBI!$A:$H,2,FALSE),data!$I$21:$J$23,2,FALSE)</f>
        <v>Mittesekkuv</v>
      </c>
      <c r="AX91" s="295" t="str">
        <f>VLOOKUP(VLOOKUP($AU91,KOMBI!$A:$H,5,FALSE),data!$I$39:$J$41,2,FALSE)</f>
        <v>Mittesekkuv</v>
      </c>
      <c r="AY91" s="295" t="str">
        <f>VLOOKUP(VLOOKUP($AU91,KOMBI!$A:$H,4,FALSE),data!$I$32:$J$36,2,FALSE)</f>
        <v>LIB</v>
      </c>
      <c r="BA91" s="25"/>
      <c r="BB91" s="25"/>
      <c r="BC91" s="25"/>
      <c r="BD91" s="25"/>
      <c r="BE91" s="25"/>
      <c r="BF91" s="25"/>
      <c r="BG91" s="25"/>
      <c r="BH91" s="25"/>
      <c r="BI91" s="25"/>
      <c r="BJ91" s="25"/>
      <c r="BK91" s="25"/>
      <c r="BL91" s="25"/>
      <c r="BM91" s="25"/>
      <c r="BN91" s="25"/>
      <c r="BO91" s="25"/>
      <c r="BP91" s="25"/>
      <c r="BQ91" s="25"/>
      <c r="BR91" s="25"/>
      <c r="BS91" s="25"/>
      <c r="BT91" s="25"/>
      <c r="BU91" s="25"/>
      <c r="BV91" s="25"/>
      <c r="BW91" s="25"/>
      <c r="BX91" s="25"/>
      <c r="BY91" s="25"/>
      <c r="BZ91" s="25"/>
      <c r="CA91" s="25"/>
      <c r="CB91" s="25"/>
      <c r="CC91" s="25"/>
      <c r="CD91" s="25"/>
      <c r="CE91" s="25"/>
      <c r="CF91" s="25"/>
      <c r="CG91" s="25"/>
      <c r="CH91" s="25"/>
      <c r="CI91" s="25"/>
      <c r="CJ91" s="25"/>
      <c r="CK91" s="25"/>
      <c r="CL91" s="25"/>
    </row>
    <row r="92" spans="3:90" x14ac:dyDescent="0.2">
      <c r="C92" s="184">
        <v>89</v>
      </c>
      <c r="D92" s="25"/>
      <c r="E92" s="25"/>
      <c r="F92" s="25"/>
      <c r="G92" s="25"/>
      <c r="H92" s="25"/>
      <c r="I92" s="25"/>
      <c r="J92" s="25"/>
      <c r="K92" s="25"/>
      <c r="L92" s="25"/>
      <c r="M92" s="25"/>
      <c r="N92" s="25"/>
      <c r="O92" s="25"/>
      <c r="P92" s="25"/>
      <c r="Q92" s="25"/>
      <c r="R92" s="25"/>
      <c r="S92" s="25"/>
      <c r="T92" s="25"/>
      <c r="U92" s="25"/>
      <c r="V92" s="25"/>
      <c r="W92" s="25"/>
      <c r="X92" s="25"/>
      <c r="Y92" s="25"/>
      <c r="Z92" s="25"/>
      <c r="AA92" s="25"/>
      <c r="AB92" s="25"/>
      <c r="AC92" s="25"/>
      <c r="AD92" s="25"/>
      <c r="AE92" s="25"/>
      <c r="AF92" s="25"/>
      <c r="AG92" s="25"/>
      <c r="AH92" s="25"/>
      <c r="AO92" s="25">
        <v>10000</v>
      </c>
      <c r="AS92" s="297">
        <f t="shared" si="7"/>
        <v>10000</v>
      </c>
      <c r="AT92" s="25">
        <f t="shared" si="5"/>
        <v>10000</v>
      </c>
      <c r="AU92" s="25">
        <f t="shared" si="6"/>
        <v>1</v>
      </c>
      <c r="AV92" s="295" t="str">
        <f>VLOOKUP(VLOOKUP($AU92,KOMBI!$A:$H,3,FALSE),data!$I$27:$J$29,2,FALSE)</f>
        <v>Mittesekkuv</v>
      </c>
      <c r="AW92" s="295" t="str">
        <f>VLOOKUP(VLOOKUP($AU92,KOMBI!$A:$H,2,FALSE),data!$I$21:$J$23,2,FALSE)</f>
        <v>Mittesekkuv</v>
      </c>
      <c r="AX92" s="295" t="str">
        <f>VLOOKUP(VLOOKUP($AU92,KOMBI!$A:$H,5,FALSE),data!$I$39:$J$41,2,FALSE)</f>
        <v>Mittesekkuv</v>
      </c>
      <c r="AY92" s="295" t="str">
        <f>VLOOKUP(VLOOKUP($AU92,KOMBI!$A:$H,4,FALSE),data!$I$32:$J$36,2,FALSE)</f>
        <v>LIB</v>
      </c>
      <c r="BA92" s="25"/>
      <c r="BB92" s="25"/>
      <c r="BC92" s="25"/>
      <c r="BD92" s="25"/>
      <c r="BE92" s="25"/>
      <c r="BF92" s="25"/>
      <c r="BG92" s="25"/>
      <c r="BH92" s="25"/>
      <c r="BI92" s="25"/>
      <c r="BJ92" s="25"/>
      <c r="BK92" s="25"/>
      <c r="BL92" s="25"/>
      <c r="BM92" s="25"/>
      <c r="BN92" s="25"/>
      <c r="BO92" s="25"/>
      <c r="BP92" s="25"/>
      <c r="BQ92" s="25"/>
      <c r="BR92" s="25"/>
      <c r="BS92" s="25"/>
      <c r="BT92" s="25"/>
      <c r="BU92" s="25"/>
      <c r="BV92" s="25"/>
      <c r="BW92" s="25"/>
      <c r="BX92" s="25"/>
      <c r="BY92" s="25"/>
      <c r="BZ92" s="25"/>
      <c r="CA92" s="25"/>
      <c r="CB92" s="25"/>
      <c r="CC92" s="25"/>
      <c r="CD92" s="25"/>
      <c r="CE92" s="25"/>
      <c r="CF92" s="25"/>
      <c r="CG92" s="25"/>
      <c r="CH92" s="25"/>
      <c r="CI92" s="25"/>
      <c r="CJ92" s="25"/>
      <c r="CK92" s="25"/>
      <c r="CL92" s="25"/>
    </row>
    <row r="93" spans="3:90" x14ac:dyDescent="0.2">
      <c r="C93" s="184">
        <v>90</v>
      </c>
      <c r="D93" s="25"/>
      <c r="E93" s="25"/>
      <c r="F93" s="25"/>
      <c r="G93" s="25"/>
      <c r="H93" s="25"/>
      <c r="I93" s="25"/>
      <c r="J93" s="25"/>
      <c r="K93" s="25"/>
      <c r="L93" s="25"/>
      <c r="M93" s="25"/>
      <c r="N93" s="25"/>
      <c r="O93" s="25"/>
      <c r="P93" s="25"/>
      <c r="Q93" s="25"/>
      <c r="R93" s="25"/>
      <c r="S93" s="25"/>
      <c r="T93" s="25"/>
      <c r="U93" s="25"/>
      <c r="V93" s="25"/>
      <c r="W93" s="25"/>
      <c r="X93" s="25"/>
      <c r="Y93" s="25"/>
      <c r="Z93" s="25"/>
      <c r="AA93" s="25"/>
      <c r="AB93" s="25"/>
      <c r="AC93" s="25"/>
      <c r="AD93" s="25"/>
      <c r="AE93" s="25"/>
      <c r="AF93" s="25"/>
      <c r="AG93" s="25"/>
      <c r="AH93" s="25"/>
      <c r="AO93" s="25">
        <v>10000</v>
      </c>
      <c r="AS93" s="297">
        <f t="shared" si="7"/>
        <v>10000</v>
      </c>
      <c r="AT93" s="25">
        <f t="shared" si="5"/>
        <v>10000</v>
      </c>
      <c r="AU93" s="25">
        <f t="shared" si="6"/>
        <v>1</v>
      </c>
      <c r="AV93" s="295" t="str">
        <f>VLOOKUP(VLOOKUP($AU93,KOMBI!$A:$H,3,FALSE),data!$I$27:$J$29,2,FALSE)</f>
        <v>Mittesekkuv</v>
      </c>
      <c r="AW93" s="295" t="str">
        <f>VLOOKUP(VLOOKUP($AU93,KOMBI!$A:$H,2,FALSE),data!$I$21:$J$23,2,FALSE)</f>
        <v>Mittesekkuv</v>
      </c>
      <c r="AX93" s="295" t="str">
        <f>VLOOKUP(VLOOKUP($AU93,KOMBI!$A:$H,5,FALSE),data!$I$39:$J$41,2,FALSE)</f>
        <v>Mittesekkuv</v>
      </c>
      <c r="AY93" s="295" t="str">
        <f>VLOOKUP(VLOOKUP($AU93,KOMBI!$A:$H,4,FALSE),data!$I$32:$J$36,2,FALSE)</f>
        <v>LIB</v>
      </c>
      <c r="BA93" s="25"/>
      <c r="BB93" s="25"/>
      <c r="BC93" s="25"/>
      <c r="BD93" s="25"/>
      <c r="BE93" s="25"/>
      <c r="BF93" s="25"/>
      <c r="BG93" s="25"/>
      <c r="BH93" s="25"/>
      <c r="BI93" s="25"/>
      <c r="BJ93" s="25"/>
      <c r="BK93" s="25"/>
      <c r="BL93" s="25"/>
      <c r="BM93" s="25"/>
      <c r="BN93" s="25"/>
      <c r="BO93" s="25"/>
      <c r="BP93" s="25"/>
      <c r="BQ93" s="25"/>
      <c r="BR93" s="25"/>
      <c r="BS93" s="25"/>
      <c r="BT93" s="25"/>
      <c r="BU93" s="25"/>
      <c r="BV93" s="25"/>
      <c r="BW93" s="25"/>
      <c r="BX93" s="25"/>
      <c r="BY93" s="25"/>
      <c r="BZ93" s="25"/>
      <c r="CA93" s="25"/>
      <c r="CB93" s="25"/>
      <c r="CC93" s="25"/>
      <c r="CD93" s="25"/>
      <c r="CE93" s="25"/>
      <c r="CF93" s="25"/>
      <c r="CG93" s="25"/>
      <c r="CH93" s="25"/>
      <c r="CI93" s="25"/>
      <c r="CJ93" s="25"/>
      <c r="CK93" s="25"/>
      <c r="CL93" s="25"/>
    </row>
    <row r="94" spans="3:90" x14ac:dyDescent="0.2">
      <c r="C94" s="184">
        <v>91</v>
      </c>
      <c r="D94" s="25"/>
      <c r="E94" s="25"/>
      <c r="F94" s="25"/>
      <c r="G94" s="25"/>
      <c r="H94" s="25"/>
      <c r="I94" s="25"/>
      <c r="J94" s="25"/>
      <c r="K94" s="25"/>
      <c r="L94" s="25"/>
      <c r="M94" s="25"/>
      <c r="N94" s="25"/>
      <c r="O94" s="25"/>
      <c r="P94" s="25"/>
      <c r="Q94" s="25"/>
      <c r="R94" s="25"/>
      <c r="S94" s="25"/>
      <c r="T94" s="25"/>
      <c r="U94" s="25"/>
      <c r="V94" s="25"/>
      <c r="W94" s="25"/>
      <c r="X94" s="25"/>
      <c r="Y94" s="25"/>
      <c r="Z94" s="25"/>
      <c r="AA94" s="25"/>
      <c r="AB94" s="25"/>
      <c r="AC94" s="25"/>
      <c r="AD94" s="25"/>
      <c r="AE94" s="25"/>
      <c r="AF94" s="25"/>
      <c r="AG94" s="25"/>
      <c r="AH94" s="25"/>
      <c r="AO94" s="25">
        <v>10000</v>
      </c>
      <c r="AS94" s="297">
        <f t="shared" si="7"/>
        <v>10000</v>
      </c>
      <c r="AT94" s="25">
        <f t="shared" si="5"/>
        <v>10000</v>
      </c>
      <c r="AU94" s="25">
        <f t="shared" si="6"/>
        <v>1</v>
      </c>
      <c r="AV94" s="295" t="str">
        <f>VLOOKUP(VLOOKUP($AU94,KOMBI!$A:$H,3,FALSE),data!$I$27:$J$29,2,FALSE)</f>
        <v>Mittesekkuv</v>
      </c>
      <c r="AW94" s="295" t="str">
        <f>VLOOKUP(VLOOKUP($AU94,KOMBI!$A:$H,2,FALSE),data!$I$21:$J$23,2,FALSE)</f>
        <v>Mittesekkuv</v>
      </c>
      <c r="AX94" s="295" t="str">
        <f>VLOOKUP(VLOOKUP($AU94,KOMBI!$A:$H,5,FALSE),data!$I$39:$J$41,2,FALSE)</f>
        <v>Mittesekkuv</v>
      </c>
      <c r="AY94" s="295" t="str">
        <f>VLOOKUP(VLOOKUP($AU94,KOMBI!$A:$H,4,FALSE),data!$I$32:$J$36,2,FALSE)</f>
        <v>LIB</v>
      </c>
      <c r="BA94" s="25"/>
      <c r="BB94" s="25"/>
      <c r="BC94" s="25"/>
      <c r="BD94" s="25"/>
      <c r="BE94" s="25"/>
      <c r="BF94" s="25"/>
      <c r="BG94" s="25"/>
      <c r="BH94" s="25"/>
      <c r="BI94" s="25"/>
      <c r="BJ94" s="25"/>
      <c r="BK94" s="25"/>
      <c r="BL94" s="25"/>
      <c r="BM94" s="25"/>
      <c r="BN94" s="25"/>
      <c r="BO94" s="25"/>
      <c r="BP94" s="25"/>
      <c r="BQ94" s="25"/>
      <c r="BR94" s="25"/>
      <c r="BS94" s="25"/>
      <c r="BT94" s="25"/>
      <c r="BU94" s="25"/>
      <c r="BV94" s="25"/>
      <c r="BW94" s="25"/>
      <c r="BX94" s="25"/>
      <c r="BY94" s="25"/>
      <c r="BZ94" s="25"/>
      <c r="CA94" s="25"/>
      <c r="CB94" s="25"/>
      <c r="CC94" s="25"/>
      <c r="CD94" s="25"/>
      <c r="CE94" s="25"/>
      <c r="CF94" s="25"/>
      <c r="CG94" s="25"/>
      <c r="CH94" s="25"/>
      <c r="CI94" s="25"/>
      <c r="CJ94" s="25"/>
      <c r="CK94" s="25"/>
      <c r="CL94" s="25"/>
    </row>
    <row r="95" spans="3:90" x14ac:dyDescent="0.2">
      <c r="C95" s="184">
        <v>92</v>
      </c>
      <c r="D95" s="25"/>
      <c r="E95" s="25"/>
      <c r="F95" s="25"/>
      <c r="G95" s="25"/>
      <c r="H95" s="25"/>
      <c r="I95" s="25"/>
      <c r="J95" s="25"/>
      <c r="K95" s="25"/>
      <c r="L95" s="25"/>
      <c r="M95" s="25"/>
      <c r="N95" s="25"/>
      <c r="O95" s="25"/>
      <c r="P95" s="25"/>
      <c r="Q95" s="25"/>
      <c r="R95" s="25"/>
      <c r="S95" s="25"/>
      <c r="T95" s="25"/>
      <c r="U95" s="25"/>
      <c r="V95" s="25"/>
      <c r="W95" s="25"/>
      <c r="X95" s="25"/>
      <c r="Y95" s="25"/>
      <c r="Z95" s="25"/>
      <c r="AA95" s="25"/>
      <c r="AB95" s="25"/>
      <c r="AC95" s="25"/>
      <c r="AD95" s="25"/>
      <c r="AE95" s="25"/>
      <c r="AF95" s="25"/>
      <c r="AG95" s="25"/>
      <c r="AH95" s="25"/>
      <c r="AO95" s="25">
        <v>10000</v>
      </c>
      <c r="AS95" s="297">
        <f t="shared" si="7"/>
        <v>10000</v>
      </c>
      <c r="AT95" s="25">
        <f t="shared" si="5"/>
        <v>10000</v>
      </c>
      <c r="AU95" s="25">
        <f t="shared" si="6"/>
        <v>1</v>
      </c>
      <c r="AV95" s="295" t="str">
        <f>VLOOKUP(VLOOKUP($AU95,KOMBI!$A:$H,3,FALSE),data!$I$27:$J$29,2,FALSE)</f>
        <v>Mittesekkuv</v>
      </c>
      <c r="AW95" s="295" t="str">
        <f>VLOOKUP(VLOOKUP($AU95,KOMBI!$A:$H,2,FALSE),data!$I$21:$J$23,2,FALSE)</f>
        <v>Mittesekkuv</v>
      </c>
      <c r="AX95" s="295" t="str">
        <f>VLOOKUP(VLOOKUP($AU95,KOMBI!$A:$H,5,FALSE),data!$I$39:$J$41,2,FALSE)</f>
        <v>Mittesekkuv</v>
      </c>
      <c r="AY95" s="295" t="str">
        <f>VLOOKUP(VLOOKUP($AU95,KOMBI!$A:$H,4,FALSE),data!$I$32:$J$36,2,FALSE)</f>
        <v>LIB</v>
      </c>
      <c r="BA95" s="25"/>
      <c r="BB95" s="25"/>
      <c r="BC95" s="25"/>
      <c r="BD95" s="25"/>
      <c r="BE95" s="25"/>
      <c r="BF95" s="25"/>
      <c r="BG95" s="25"/>
      <c r="BH95" s="25"/>
      <c r="BI95" s="25"/>
      <c r="BJ95" s="25"/>
      <c r="BK95" s="25"/>
      <c r="BL95" s="25"/>
      <c r="BM95" s="25"/>
      <c r="BN95" s="25"/>
      <c r="BO95" s="25"/>
      <c r="BP95" s="25"/>
      <c r="BQ95" s="25"/>
      <c r="BR95" s="25"/>
      <c r="BS95" s="25"/>
      <c r="BT95" s="25"/>
      <c r="BU95" s="25"/>
      <c r="BV95" s="25"/>
      <c r="BW95" s="25"/>
      <c r="BX95" s="25"/>
      <c r="BY95" s="25"/>
      <c r="BZ95" s="25"/>
      <c r="CA95" s="25"/>
      <c r="CB95" s="25"/>
      <c r="CC95" s="25"/>
      <c r="CD95" s="25"/>
      <c r="CE95" s="25"/>
      <c r="CF95" s="25"/>
      <c r="CG95" s="25"/>
      <c r="CH95" s="25"/>
      <c r="CI95" s="25"/>
      <c r="CJ95" s="25"/>
      <c r="CK95" s="25"/>
      <c r="CL95" s="25"/>
    </row>
    <row r="96" spans="3:90" x14ac:dyDescent="0.2">
      <c r="C96" s="184">
        <v>93</v>
      </c>
      <c r="D96" s="25"/>
      <c r="E96" s="25"/>
      <c r="F96" s="25"/>
      <c r="G96" s="25"/>
      <c r="H96" s="25"/>
      <c r="I96" s="25"/>
      <c r="J96" s="25"/>
      <c r="K96" s="25"/>
      <c r="L96" s="25"/>
      <c r="M96" s="25"/>
      <c r="N96" s="25"/>
      <c r="O96" s="25"/>
      <c r="P96" s="25"/>
      <c r="Q96" s="25"/>
      <c r="R96" s="25"/>
      <c r="S96" s="25"/>
      <c r="T96" s="25"/>
      <c r="U96" s="25"/>
      <c r="V96" s="25"/>
      <c r="W96" s="25"/>
      <c r="X96" s="25"/>
      <c r="Y96" s="25"/>
      <c r="Z96" s="25"/>
      <c r="AA96" s="25"/>
      <c r="AB96" s="25"/>
      <c r="AC96" s="25"/>
      <c r="AD96" s="25"/>
      <c r="AE96" s="25"/>
      <c r="AF96" s="25"/>
      <c r="AG96" s="25"/>
      <c r="AH96" s="25"/>
      <c r="AO96" s="25">
        <v>10000</v>
      </c>
      <c r="AS96" s="297">
        <f t="shared" si="7"/>
        <v>10000</v>
      </c>
      <c r="AT96" s="25">
        <f t="shared" si="5"/>
        <v>10000</v>
      </c>
      <c r="AU96" s="25">
        <f t="shared" si="6"/>
        <v>1</v>
      </c>
      <c r="AV96" s="295" t="str">
        <f>VLOOKUP(VLOOKUP($AU96,KOMBI!$A:$H,3,FALSE),data!$I$27:$J$29,2,FALSE)</f>
        <v>Mittesekkuv</v>
      </c>
      <c r="AW96" s="295" t="str">
        <f>VLOOKUP(VLOOKUP($AU96,KOMBI!$A:$H,2,FALSE),data!$I$21:$J$23,2,FALSE)</f>
        <v>Mittesekkuv</v>
      </c>
      <c r="AX96" s="295" t="str">
        <f>VLOOKUP(VLOOKUP($AU96,KOMBI!$A:$H,5,FALSE),data!$I$39:$J$41,2,FALSE)</f>
        <v>Mittesekkuv</v>
      </c>
      <c r="AY96" s="295" t="str">
        <f>VLOOKUP(VLOOKUP($AU96,KOMBI!$A:$H,4,FALSE),data!$I$32:$J$36,2,FALSE)</f>
        <v>LIB</v>
      </c>
      <c r="BA96" s="25"/>
      <c r="BB96" s="25"/>
      <c r="BC96" s="25"/>
      <c r="BD96" s="25"/>
      <c r="BE96" s="25"/>
      <c r="BF96" s="25"/>
      <c r="BG96" s="25"/>
      <c r="BH96" s="25"/>
      <c r="BI96" s="25"/>
      <c r="BJ96" s="25"/>
      <c r="BK96" s="25"/>
      <c r="BL96" s="25"/>
      <c r="BM96" s="25"/>
      <c r="BN96" s="25"/>
      <c r="BO96" s="25"/>
      <c r="BP96" s="25"/>
      <c r="BQ96" s="25"/>
      <c r="BR96" s="25"/>
      <c r="BS96" s="25"/>
      <c r="BT96" s="25"/>
      <c r="BU96" s="25"/>
      <c r="BV96" s="25"/>
      <c r="BW96" s="25"/>
      <c r="BX96" s="25"/>
      <c r="BY96" s="25"/>
      <c r="BZ96" s="25"/>
      <c r="CA96" s="25"/>
      <c r="CB96" s="25"/>
      <c r="CC96" s="25"/>
      <c r="CD96" s="25"/>
      <c r="CE96" s="25"/>
      <c r="CF96" s="25"/>
      <c r="CG96" s="25"/>
      <c r="CH96" s="25"/>
      <c r="CI96" s="25"/>
      <c r="CJ96" s="25"/>
      <c r="CK96" s="25"/>
      <c r="CL96" s="25"/>
    </row>
    <row r="97" spans="3:90" x14ac:dyDescent="0.2">
      <c r="C97" s="184">
        <v>94</v>
      </c>
      <c r="D97" s="25"/>
      <c r="E97" s="25"/>
      <c r="F97" s="25"/>
      <c r="G97" s="25"/>
      <c r="H97" s="25"/>
      <c r="I97" s="25"/>
      <c r="J97" s="25"/>
      <c r="K97" s="25"/>
      <c r="L97" s="25"/>
      <c r="M97" s="25"/>
      <c r="N97" s="25"/>
      <c r="O97" s="25"/>
      <c r="P97" s="25"/>
      <c r="Q97" s="25"/>
      <c r="R97" s="25"/>
      <c r="S97" s="25"/>
      <c r="T97" s="25"/>
      <c r="U97" s="25"/>
      <c r="V97" s="25"/>
      <c r="W97" s="25"/>
      <c r="X97" s="25"/>
      <c r="Y97" s="25"/>
      <c r="Z97" s="25"/>
      <c r="AA97" s="25"/>
      <c r="AB97" s="25"/>
      <c r="AC97" s="25"/>
      <c r="AD97" s="25"/>
      <c r="AE97" s="25"/>
      <c r="AF97" s="25"/>
      <c r="AG97" s="25"/>
      <c r="AH97" s="25"/>
      <c r="AO97" s="25">
        <v>10000</v>
      </c>
      <c r="AS97" s="297">
        <f t="shared" si="7"/>
        <v>10000</v>
      </c>
      <c r="AT97" s="25">
        <f t="shared" si="5"/>
        <v>10000</v>
      </c>
      <c r="AU97" s="25">
        <f t="shared" si="6"/>
        <v>1</v>
      </c>
      <c r="AV97" s="295" t="str">
        <f>VLOOKUP(VLOOKUP($AU97,KOMBI!$A:$H,3,FALSE),data!$I$27:$J$29,2,FALSE)</f>
        <v>Mittesekkuv</v>
      </c>
      <c r="AW97" s="295" t="str">
        <f>VLOOKUP(VLOOKUP($AU97,KOMBI!$A:$H,2,FALSE),data!$I$21:$J$23,2,FALSE)</f>
        <v>Mittesekkuv</v>
      </c>
      <c r="AX97" s="295" t="str">
        <f>VLOOKUP(VLOOKUP($AU97,KOMBI!$A:$H,5,FALSE),data!$I$39:$J$41,2,FALSE)</f>
        <v>Mittesekkuv</v>
      </c>
      <c r="AY97" s="295" t="str">
        <f>VLOOKUP(VLOOKUP($AU97,KOMBI!$A:$H,4,FALSE),data!$I$32:$J$36,2,FALSE)</f>
        <v>LIB</v>
      </c>
      <c r="BA97" s="25"/>
      <c r="BB97" s="25"/>
      <c r="BC97" s="25"/>
      <c r="BD97" s="25"/>
      <c r="BE97" s="25"/>
      <c r="BF97" s="25"/>
      <c r="BG97" s="25"/>
      <c r="BH97" s="25"/>
      <c r="BI97" s="25"/>
      <c r="BJ97" s="25"/>
      <c r="BK97" s="25"/>
      <c r="BL97" s="25"/>
      <c r="BM97" s="25"/>
      <c r="BN97" s="25"/>
      <c r="BO97" s="25"/>
      <c r="BP97" s="25"/>
      <c r="BQ97" s="25"/>
      <c r="BR97" s="25"/>
      <c r="BS97" s="25"/>
      <c r="BT97" s="25"/>
      <c r="BU97" s="25"/>
      <c r="BV97" s="25"/>
      <c r="BW97" s="25"/>
      <c r="BX97" s="25"/>
      <c r="BY97" s="25"/>
      <c r="BZ97" s="25"/>
      <c r="CA97" s="25"/>
      <c r="CB97" s="25"/>
      <c r="CC97" s="25"/>
      <c r="CD97" s="25"/>
      <c r="CE97" s="25"/>
      <c r="CF97" s="25"/>
      <c r="CG97" s="25"/>
      <c r="CH97" s="25"/>
      <c r="CI97" s="25"/>
      <c r="CJ97" s="25"/>
      <c r="CK97" s="25"/>
      <c r="CL97" s="25"/>
    </row>
    <row r="98" spans="3:90" x14ac:dyDescent="0.2">
      <c r="C98" s="184">
        <v>95</v>
      </c>
      <c r="D98" s="25"/>
      <c r="E98" s="25"/>
      <c r="F98" s="25"/>
      <c r="G98" s="25"/>
      <c r="H98" s="25"/>
      <c r="I98" s="25"/>
      <c r="J98" s="25"/>
      <c r="K98" s="25"/>
      <c r="L98" s="25"/>
      <c r="M98" s="25"/>
      <c r="N98" s="25"/>
      <c r="O98" s="25"/>
      <c r="P98" s="25"/>
      <c r="Q98" s="25"/>
      <c r="R98" s="25"/>
      <c r="S98" s="25"/>
      <c r="T98" s="25"/>
      <c r="U98" s="25"/>
      <c r="V98" s="25"/>
      <c r="W98" s="25"/>
      <c r="X98" s="25"/>
      <c r="Y98" s="25"/>
      <c r="Z98" s="25"/>
      <c r="AA98" s="25"/>
      <c r="AB98" s="25"/>
      <c r="AC98" s="25"/>
      <c r="AD98" s="25"/>
      <c r="AE98" s="25"/>
      <c r="AF98" s="25"/>
      <c r="AG98" s="25"/>
      <c r="AH98" s="25"/>
      <c r="AO98" s="25">
        <v>10000</v>
      </c>
      <c r="AS98" s="297">
        <f t="shared" si="7"/>
        <v>10000</v>
      </c>
      <c r="AT98" s="25">
        <f t="shared" si="5"/>
        <v>10000</v>
      </c>
      <c r="AU98" s="25">
        <f t="shared" si="6"/>
        <v>1</v>
      </c>
      <c r="AV98" s="295" t="str">
        <f>VLOOKUP(VLOOKUP($AU98,KOMBI!$A:$H,3,FALSE),data!$I$27:$J$29,2,FALSE)</f>
        <v>Mittesekkuv</v>
      </c>
      <c r="AW98" s="295" t="str">
        <f>VLOOKUP(VLOOKUP($AU98,KOMBI!$A:$H,2,FALSE),data!$I$21:$J$23,2,FALSE)</f>
        <v>Mittesekkuv</v>
      </c>
      <c r="AX98" s="295" t="str">
        <f>VLOOKUP(VLOOKUP($AU98,KOMBI!$A:$H,5,FALSE),data!$I$39:$J$41,2,FALSE)</f>
        <v>Mittesekkuv</v>
      </c>
      <c r="AY98" s="295" t="str">
        <f>VLOOKUP(VLOOKUP($AU98,KOMBI!$A:$H,4,FALSE),data!$I$32:$J$36,2,FALSE)</f>
        <v>LIB</v>
      </c>
      <c r="BA98" s="25"/>
      <c r="BB98" s="25"/>
      <c r="BC98" s="25"/>
      <c r="BD98" s="25"/>
      <c r="BE98" s="25"/>
      <c r="BF98" s="25"/>
      <c r="BG98" s="25"/>
      <c r="BH98" s="25"/>
      <c r="BI98" s="25"/>
      <c r="BJ98" s="25"/>
      <c r="BK98" s="25"/>
      <c r="BL98" s="25"/>
      <c r="BM98" s="25"/>
      <c r="BN98" s="25"/>
      <c r="BO98" s="25"/>
      <c r="BP98" s="25"/>
      <c r="BQ98" s="25"/>
      <c r="BR98" s="25"/>
      <c r="BS98" s="25"/>
      <c r="BT98" s="25"/>
      <c r="BU98" s="25"/>
      <c r="BV98" s="25"/>
      <c r="BW98" s="25"/>
      <c r="BX98" s="25"/>
      <c r="BY98" s="25"/>
      <c r="BZ98" s="25"/>
      <c r="CA98" s="25"/>
      <c r="CB98" s="25"/>
      <c r="CC98" s="25"/>
      <c r="CD98" s="25"/>
      <c r="CE98" s="25"/>
      <c r="CF98" s="25"/>
      <c r="CG98" s="25"/>
      <c r="CH98" s="25"/>
      <c r="CI98" s="25"/>
      <c r="CJ98" s="25"/>
      <c r="CK98" s="25"/>
      <c r="CL98" s="25"/>
    </row>
    <row r="99" spans="3:90" x14ac:dyDescent="0.2">
      <c r="C99" s="184">
        <v>96</v>
      </c>
      <c r="D99" s="25"/>
      <c r="E99" s="25"/>
      <c r="F99" s="25"/>
      <c r="G99" s="25"/>
      <c r="H99" s="25"/>
      <c r="I99" s="25"/>
      <c r="J99" s="25"/>
      <c r="K99" s="25"/>
      <c r="L99" s="25"/>
      <c r="M99" s="25"/>
      <c r="N99" s="25"/>
      <c r="O99" s="25"/>
      <c r="P99" s="25"/>
      <c r="Q99" s="25"/>
      <c r="R99" s="25"/>
      <c r="S99" s="25"/>
      <c r="T99" s="25"/>
      <c r="U99" s="25"/>
      <c r="V99" s="25"/>
      <c r="W99" s="25"/>
      <c r="X99" s="25"/>
      <c r="Y99" s="25"/>
      <c r="Z99" s="25"/>
      <c r="AA99" s="25"/>
      <c r="AB99" s="25"/>
      <c r="AC99" s="25"/>
      <c r="AD99" s="25"/>
      <c r="AE99" s="25"/>
      <c r="AF99" s="25"/>
      <c r="AG99" s="25"/>
      <c r="AH99" s="25"/>
      <c r="AO99" s="25">
        <v>10000</v>
      </c>
      <c r="AS99" s="297">
        <f t="shared" si="7"/>
        <v>10000</v>
      </c>
      <c r="AT99" s="25">
        <f t="shared" si="5"/>
        <v>10000</v>
      </c>
      <c r="AU99" s="25">
        <f t="shared" si="6"/>
        <v>1</v>
      </c>
      <c r="AV99" s="295" t="str">
        <f>VLOOKUP(VLOOKUP($AU99,KOMBI!$A:$H,3,FALSE),data!$I$27:$J$29,2,FALSE)</f>
        <v>Mittesekkuv</v>
      </c>
      <c r="AW99" s="295" t="str">
        <f>VLOOKUP(VLOOKUP($AU99,KOMBI!$A:$H,2,FALSE),data!$I$21:$J$23,2,FALSE)</f>
        <v>Mittesekkuv</v>
      </c>
      <c r="AX99" s="295" t="str">
        <f>VLOOKUP(VLOOKUP($AU99,KOMBI!$A:$H,5,FALSE),data!$I$39:$J$41,2,FALSE)</f>
        <v>Mittesekkuv</v>
      </c>
      <c r="AY99" s="295" t="str">
        <f>VLOOKUP(VLOOKUP($AU99,KOMBI!$A:$H,4,FALSE),data!$I$32:$J$36,2,FALSE)</f>
        <v>LIB</v>
      </c>
      <c r="BA99" s="25"/>
      <c r="BB99" s="25"/>
      <c r="BC99" s="25"/>
      <c r="BD99" s="25"/>
      <c r="BE99" s="25"/>
      <c r="BF99" s="25"/>
      <c r="BG99" s="25"/>
      <c r="BH99" s="25"/>
      <c r="BI99" s="25"/>
      <c r="BJ99" s="25"/>
      <c r="BK99" s="25"/>
      <c r="BL99" s="25"/>
      <c r="BM99" s="25"/>
      <c r="BN99" s="25"/>
      <c r="BO99" s="25"/>
      <c r="BP99" s="25"/>
      <c r="BQ99" s="25"/>
      <c r="BR99" s="25"/>
      <c r="BS99" s="25"/>
      <c r="BT99" s="25"/>
      <c r="BU99" s="25"/>
      <c r="BV99" s="25"/>
      <c r="BW99" s="25"/>
      <c r="BX99" s="25"/>
      <c r="BY99" s="25"/>
      <c r="BZ99" s="25"/>
      <c r="CA99" s="25"/>
      <c r="CB99" s="25"/>
      <c r="CC99" s="25"/>
      <c r="CD99" s="25"/>
      <c r="CE99" s="25"/>
      <c r="CF99" s="25"/>
      <c r="CG99" s="25"/>
      <c r="CH99" s="25"/>
      <c r="CI99" s="25"/>
      <c r="CJ99" s="25"/>
      <c r="CK99" s="25"/>
      <c r="CL99" s="25"/>
    </row>
    <row r="100" spans="3:90" x14ac:dyDescent="0.2">
      <c r="C100" s="184">
        <v>97</v>
      </c>
      <c r="D100" s="25"/>
      <c r="E100" s="25"/>
      <c r="F100" s="25"/>
      <c r="G100" s="25"/>
      <c r="H100" s="25"/>
      <c r="I100" s="25"/>
      <c r="J100" s="25"/>
      <c r="K100" s="25"/>
      <c r="L100" s="25"/>
      <c r="M100" s="25"/>
      <c r="N100" s="25"/>
      <c r="O100" s="25"/>
      <c r="P100" s="25"/>
      <c r="Q100" s="25"/>
      <c r="R100" s="25"/>
      <c r="S100" s="25"/>
      <c r="T100" s="25"/>
      <c r="U100" s="25"/>
      <c r="V100" s="25"/>
      <c r="W100" s="25"/>
      <c r="X100" s="25"/>
      <c r="Y100" s="25"/>
      <c r="Z100" s="25"/>
      <c r="AA100" s="25"/>
      <c r="AB100" s="25"/>
      <c r="AC100" s="25"/>
      <c r="AD100" s="25"/>
      <c r="AE100" s="25"/>
      <c r="AF100" s="25"/>
      <c r="AG100" s="25"/>
      <c r="AH100" s="25"/>
      <c r="AO100" s="25">
        <v>10000</v>
      </c>
      <c r="AS100" s="297">
        <f t="shared" si="7"/>
        <v>10000</v>
      </c>
      <c r="AT100" s="25">
        <f t="shared" ref="AT100:AT123" si="8">SMALL($AS$4:$AS$138,ROW(97:97))</f>
        <v>10000</v>
      </c>
      <c r="AU100" s="25">
        <f t="shared" ref="AU100:AU123" si="9">INDEX($C$2:$AS$138,MATCH($AT100,$AS$2:$AS$138,0),1)</f>
        <v>1</v>
      </c>
      <c r="AV100" s="295" t="str">
        <f>VLOOKUP(VLOOKUP($AU100,KOMBI!$A:$H,3,FALSE),data!$I$27:$J$29,2,FALSE)</f>
        <v>Mittesekkuv</v>
      </c>
      <c r="AW100" s="295" t="str">
        <f>VLOOKUP(VLOOKUP($AU100,KOMBI!$A:$H,2,FALSE),data!$I$21:$J$23,2,FALSE)</f>
        <v>Mittesekkuv</v>
      </c>
      <c r="AX100" s="295" t="str">
        <f>VLOOKUP(VLOOKUP($AU100,KOMBI!$A:$H,5,FALSE),data!$I$39:$J$41,2,FALSE)</f>
        <v>Mittesekkuv</v>
      </c>
      <c r="AY100" s="295" t="str">
        <f>VLOOKUP(VLOOKUP($AU100,KOMBI!$A:$H,4,FALSE),data!$I$32:$J$36,2,FALSE)</f>
        <v>LIB</v>
      </c>
      <c r="BA100" s="25"/>
      <c r="BB100" s="25"/>
      <c r="BC100" s="25"/>
      <c r="BD100" s="25"/>
      <c r="BE100" s="25"/>
      <c r="BF100" s="25"/>
      <c r="BG100" s="25"/>
      <c r="BH100" s="25"/>
      <c r="BI100" s="25"/>
      <c r="BJ100" s="25"/>
      <c r="BK100" s="25"/>
      <c r="BL100" s="25"/>
      <c r="BM100" s="25"/>
      <c r="BN100" s="25"/>
      <c r="BO100" s="25"/>
      <c r="BP100" s="25"/>
      <c r="BQ100" s="25"/>
      <c r="BR100" s="25"/>
      <c r="BS100" s="25"/>
      <c r="BT100" s="25"/>
      <c r="BU100" s="25"/>
      <c r="BV100" s="25"/>
      <c r="BW100" s="25"/>
      <c r="BX100" s="25"/>
      <c r="BY100" s="25"/>
      <c r="BZ100" s="25"/>
      <c r="CA100" s="25"/>
      <c r="CB100" s="25"/>
      <c r="CC100" s="25"/>
      <c r="CD100" s="25"/>
      <c r="CE100" s="25"/>
      <c r="CF100" s="25"/>
      <c r="CG100" s="25"/>
      <c r="CH100" s="25"/>
      <c r="CI100" s="25"/>
      <c r="CJ100" s="25"/>
      <c r="CK100" s="25"/>
      <c r="CL100" s="25"/>
    </row>
    <row r="101" spans="3:90" x14ac:dyDescent="0.2">
      <c r="C101" s="184">
        <v>98</v>
      </c>
      <c r="D101" s="25"/>
      <c r="E101" s="25"/>
      <c r="F101" s="25"/>
      <c r="G101" s="25"/>
      <c r="H101" s="25"/>
      <c r="I101" s="25"/>
      <c r="J101" s="25"/>
      <c r="K101" s="25"/>
      <c r="L101" s="25"/>
      <c r="M101" s="25"/>
      <c r="N101" s="25"/>
      <c r="O101" s="25"/>
      <c r="P101" s="25"/>
      <c r="Q101" s="25"/>
      <c r="R101" s="25"/>
      <c r="S101" s="25"/>
      <c r="T101" s="25"/>
      <c r="U101" s="25"/>
      <c r="V101" s="25"/>
      <c r="W101" s="25"/>
      <c r="X101" s="25"/>
      <c r="Y101" s="25"/>
      <c r="Z101" s="25"/>
      <c r="AA101" s="25"/>
      <c r="AB101" s="25"/>
      <c r="AC101" s="25"/>
      <c r="AD101" s="25"/>
      <c r="AE101" s="25"/>
      <c r="AF101" s="25"/>
      <c r="AG101" s="25"/>
      <c r="AH101" s="25"/>
      <c r="AO101" s="25">
        <v>10000</v>
      </c>
      <c r="AS101" s="297">
        <f t="shared" si="7"/>
        <v>10000</v>
      </c>
      <c r="AT101" s="25">
        <f t="shared" si="8"/>
        <v>10000</v>
      </c>
      <c r="AU101" s="25">
        <f t="shared" si="9"/>
        <v>1</v>
      </c>
      <c r="AV101" s="295" t="str">
        <f>VLOOKUP(VLOOKUP($AU101,KOMBI!$A:$H,3,FALSE),data!$I$27:$J$29,2,FALSE)</f>
        <v>Mittesekkuv</v>
      </c>
      <c r="AW101" s="295" t="str">
        <f>VLOOKUP(VLOOKUP($AU101,KOMBI!$A:$H,2,FALSE),data!$I$21:$J$23,2,FALSE)</f>
        <v>Mittesekkuv</v>
      </c>
      <c r="AX101" s="295" t="str">
        <f>VLOOKUP(VLOOKUP($AU101,KOMBI!$A:$H,5,FALSE),data!$I$39:$J$41,2,FALSE)</f>
        <v>Mittesekkuv</v>
      </c>
      <c r="AY101" s="295" t="str">
        <f>VLOOKUP(VLOOKUP($AU101,KOMBI!$A:$H,4,FALSE),data!$I$32:$J$36,2,FALSE)</f>
        <v>LIB</v>
      </c>
      <c r="BA101" s="25"/>
      <c r="BB101" s="25"/>
      <c r="BC101" s="25"/>
      <c r="BD101" s="25"/>
      <c r="BE101" s="25"/>
      <c r="BF101" s="25"/>
      <c r="BG101" s="25"/>
      <c r="BH101" s="25"/>
      <c r="BI101" s="25"/>
      <c r="BJ101" s="25"/>
      <c r="BK101" s="25"/>
      <c r="BL101" s="25"/>
      <c r="BM101" s="25"/>
      <c r="BN101" s="25"/>
      <c r="BO101" s="25"/>
      <c r="BP101" s="25"/>
      <c r="BQ101" s="25"/>
      <c r="BR101" s="25"/>
      <c r="BS101" s="25"/>
      <c r="BT101" s="25"/>
      <c r="BU101" s="25"/>
      <c r="BV101" s="25"/>
      <c r="BW101" s="25"/>
      <c r="BX101" s="25"/>
      <c r="BY101" s="25"/>
      <c r="BZ101" s="25"/>
      <c r="CA101" s="25"/>
      <c r="CB101" s="25"/>
      <c r="CC101" s="25"/>
      <c r="CD101" s="25"/>
      <c r="CE101" s="25"/>
      <c r="CF101" s="25"/>
      <c r="CG101" s="25"/>
      <c r="CH101" s="25"/>
      <c r="CI101" s="25"/>
      <c r="CJ101" s="25"/>
      <c r="CK101" s="25"/>
      <c r="CL101" s="25"/>
    </row>
    <row r="102" spans="3:90" x14ac:dyDescent="0.2">
      <c r="C102" s="184">
        <v>99</v>
      </c>
      <c r="D102" s="25"/>
      <c r="E102" s="25"/>
      <c r="F102" s="25"/>
      <c r="G102" s="25"/>
      <c r="H102" s="25"/>
      <c r="I102" s="25"/>
      <c r="J102" s="25"/>
      <c r="K102" s="25"/>
      <c r="L102" s="25"/>
      <c r="M102" s="25"/>
      <c r="N102" s="25"/>
      <c r="O102" s="25"/>
      <c r="P102" s="25"/>
      <c r="Q102" s="25"/>
      <c r="R102" s="25"/>
      <c r="S102" s="25"/>
      <c r="T102" s="25"/>
      <c r="U102" s="25"/>
      <c r="V102" s="25"/>
      <c r="W102" s="25"/>
      <c r="X102" s="25"/>
      <c r="Y102" s="25"/>
      <c r="Z102" s="25"/>
      <c r="AA102" s="25"/>
      <c r="AB102" s="25"/>
      <c r="AC102" s="25"/>
      <c r="AD102" s="25"/>
      <c r="AE102" s="25"/>
      <c r="AF102" s="25"/>
      <c r="AG102" s="25"/>
      <c r="AH102" s="25"/>
      <c r="AO102" s="25">
        <v>10000</v>
      </c>
      <c r="AS102" s="297">
        <f t="shared" si="7"/>
        <v>10000</v>
      </c>
      <c r="AT102" s="25">
        <f t="shared" si="8"/>
        <v>10000</v>
      </c>
      <c r="AU102" s="25">
        <f t="shared" si="9"/>
        <v>1</v>
      </c>
      <c r="AV102" s="295" t="str">
        <f>VLOOKUP(VLOOKUP($AU102,KOMBI!$A:$H,3,FALSE),data!$I$27:$J$29,2,FALSE)</f>
        <v>Mittesekkuv</v>
      </c>
      <c r="AW102" s="295" t="str">
        <f>VLOOKUP(VLOOKUP($AU102,KOMBI!$A:$H,2,FALSE),data!$I$21:$J$23,2,FALSE)</f>
        <v>Mittesekkuv</v>
      </c>
      <c r="AX102" s="295" t="str">
        <f>VLOOKUP(VLOOKUP($AU102,KOMBI!$A:$H,5,FALSE),data!$I$39:$J$41,2,FALSE)</f>
        <v>Mittesekkuv</v>
      </c>
      <c r="AY102" s="295" t="str">
        <f>VLOOKUP(VLOOKUP($AU102,KOMBI!$A:$H,4,FALSE),data!$I$32:$J$36,2,FALSE)</f>
        <v>LIB</v>
      </c>
      <c r="BA102" s="25"/>
      <c r="BB102" s="25"/>
      <c r="BC102" s="25"/>
      <c r="BD102" s="25"/>
      <c r="BE102" s="25"/>
      <c r="BF102" s="25"/>
      <c r="BG102" s="25"/>
      <c r="BH102" s="25"/>
      <c r="BI102" s="25"/>
      <c r="BJ102" s="25"/>
      <c r="BK102" s="25"/>
      <c r="BL102" s="25"/>
      <c r="BM102" s="25"/>
      <c r="BN102" s="25"/>
      <c r="BO102" s="25"/>
      <c r="BP102" s="25"/>
      <c r="BQ102" s="25"/>
      <c r="BR102" s="25"/>
      <c r="BS102" s="25"/>
      <c r="BT102" s="25"/>
      <c r="BU102" s="25"/>
      <c r="BV102" s="25"/>
      <c r="BW102" s="25"/>
      <c r="BX102" s="25"/>
      <c r="BY102" s="25"/>
      <c r="BZ102" s="25"/>
      <c r="CA102" s="25"/>
      <c r="CB102" s="25"/>
      <c r="CC102" s="25"/>
      <c r="CD102" s="25"/>
      <c r="CE102" s="25"/>
      <c r="CF102" s="25"/>
      <c r="CG102" s="25"/>
      <c r="CH102" s="25"/>
      <c r="CI102" s="25"/>
      <c r="CJ102" s="25"/>
      <c r="CK102" s="25"/>
      <c r="CL102" s="25"/>
    </row>
    <row r="103" spans="3:90" x14ac:dyDescent="0.2">
      <c r="C103" s="184">
        <v>100</v>
      </c>
      <c r="D103" s="25"/>
      <c r="E103" s="25"/>
      <c r="F103" s="25"/>
      <c r="G103" s="25"/>
      <c r="H103" s="25"/>
      <c r="I103" s="25"/>
      <c r="J103" s="25"/>
      <c r="K103" s="25"/>
      <c r="L103" s="25"/>
      <c r="M103" s="25"/>
      <c r="N103" s="25"/>
      <c r="O103" s="25"/>
      <c r="P103" s="25"/>
      <c r="Q103" s="25"/>
      <c r="R103" s="25"/>
      <c r="S103" s="25"/>
      <c r="T103" s="25"/>
      <c r="U103" s="25"/>
      <c r="V103" s="25"/>
      <c r="W103" s="25"/>
      <c r="X103" s="25"/>
      <c r="Y103" s="25"/>
      <c r="Z103" s="25"/>
      <c r="AA103" s="25"/>
      <c r="AB103" s="25"/>
      <c r="AC103" s="25"/>
      <c r="AD103" s="25"/>
      <c r="AE103" s="25"/>
      <c r="AF103" s="25"/>
      <c r="AG103" s="25"/>
      <c r="AH103" s="25"/>
      <c r="AO103" s="25">
        <v>10000</v>
      </c>
      <c r="AS103" s="297">
        <f t="shared" si="7"/>
        <v>10000</v>
      </c>
      <c r="AT103" s="25">
        <f t="shared" si="8"/>
        <v>10000</v>
      </c>
      <c r="AU103" s="25">
        <f t="shared" si="9"/>
        <v>1</v>
      </c>
      <c r="AV103" s="295" t="str">
        <f>VLOOKUP(VLOOKUP($AU103,KOMBI!$A:$H,3,FALSE),data!$I$27:$J$29,2,FALSE)</f>
        <v>Mittesekkuv</v>
      </c>
      <c r="AW103" s="295" t="str">
        <f>VLOOKUP(VLOOKUP($AU103,KOMBI!$A:$H,2,FALSE),data!$I$21:$J$23,2,FALSE)</f>
        <v>Mittesekkuv</v>
      </c>
      <c r="AX103" s="295" t="str">
        <f>VLOOKUP(VLOOKUP($AU103,KOMBI!$A:$H,5,FALSE),data!$I$39:$J$41,2,FALSE)</f>
        <v>Mittesekkuv</v>
      </c>
      <c r="AY103" s="295" t="str">
        <f>VLOOKUP(VLOOKUP($AU103,KOMBI!$A:$H,4,FALSE),data!$I$32:$J$36,2,FALSE)</f>
        <v>LIB</v>
      </c>
      <c r="BA103" s="25"/>
      <c r="BB103" s="25"/>
      <c r="BC103" s="25"/>
      <c r="BD103" s="25"/>
      <c r="BE103" s="25"/>
      <c r="BF103" s="25"/>
      <c r="BG103" s="25"/>
      <c r="BH103" s="25"/>
      <c r="BI103" s="25"/>
      <c r="BJ103" s="25"/>
      <c r="BK103" s="25"/>
      <c r="BL103" s="25"/>
      <c r="BM103" s="25"/>
      <c r="BN103" s="25"/>
      <c r="BO103" s="25"/>
      <c r="BP103" s="25"/>
      <c r="BQ103" s="25"/>
      <c r="BR103" s="25"/>
      <c r="BS103" s="25"/>
      <c r="BT103" s="25"/>
      <c r="BU103" s="25"/>
      <c r="BV103" s="25"/>
      <c r="BW103" s="25"/>
      <c r="BX103" s="25"/>
      <c r="BY103" s="25"/>
      <c r="BZ103" s="25"/>
      <c r="CA103" s="25"/>
      <c r="CB103" s="25"/>
      <c r="CC103" s="25"/>
      <c r="CD103" s="25"/>
      <c r="CE103" s="25"/>
      <c r="CF103" s="25"/>
      <c r="CG103" s="25"/>
      <c r="CH103" s="25"/>
      <c r="CI103" s="25"/>
      <c r="CJ103" s="25"/>
      <c r="CK103" s="25"/>
      <c r="CL103" s="25"/>
    </row>
    <row r="104" spans="3:90" x14ac:dyDescent="0.2">
      <c r="C104" s="184">
        <v>101</v>
      </c>
      <c r="D104" s="25"/>
      <c r="E104" s="25"/>
      <c r="F104" s="25"/>
      <c r="G104" s="25"/>
      <c r="H104" s="25"/>
      <c r="I104" s="25"/>
      <c r="J104" s="25"/>
      <c r="K104" s="25"/>
      <c r="L104" s="25"/>
      <c r="M104" s="25"/>
      <c r="N104" s="25"/>
      <c r="O104" s="25"/>
      <c r="P104" s="25"/>
      <c r="Q104" s="25"/>
      <c r="R104" s="25"/>
      <c r="S104" s="25"/>
      <c r="T104" s="25"/>
      <c r="U104" s="25"/>
      <c r="V104" s="25"/>
      <c r="W104" s="25"/>
      <c r="X104" s="25"/>
      <c r="Y104" s="25"/>
      <c r="Z104" s="25"/>
      <c r="AA104" s="25"/>
      <c r="AB104" s="25"/>
      <c r="AC104" s="25"/>
      <c r="AD104" s="25"/>
      <c r="AE104" s="25"/>
      <c r="AF104" s="25"/>
      <c r="AG104" s="25"/>
      <c r="AH104" s="25"/>
      <c r="AO104" s="25">
        <v>10000</v>
      </c>
      <c r="AS104" s="297">
        <f t="shared" si="7"/>
        <v>10000</v>
      </c>
      <c r="AT104" s="25">
        <f t="shared" si="8"/>
        <v>10000</v>
      </c>
      <c r="AU104" s="25">
        <f t="shared" si="9"/>
        <v>1</v>
      </c>
      <c r="AV104" s="295" t="str">
        <f>VLOOKUP(VLOOKUP($AU104,KOMBI!$A:$H,3,FALSE),data!$I$27:$J$29,2,FALSE)</f>
        <v>Mittesekkuv</v>
      </c>
      <c r="AW104" s="295" t="str">
        <f>VLOOKUP(VLOOKUP($AU104,KOMBI!$A:$H,2,FALSE),data!$I$21:$J$23,2,FALSE)</f>
        <v>Mittesekkuv</v>
      </c>
      <c r="AX104" s="295" t="str">
        <f>VLOOKUP(VLOOKUP($AU104,KOMBI!$A:$H,5,FALSE),data!$I$39:$J$41,2,FALSE)</f>
        <v>Mittesekkuv</v>
      </c>
      <c r="AY104" s="295" t="str">
        <f>VLOOKUP(VLOOKUP($AU104,KOMBI!$A:$H,4,FALSE),data!$I$32:$J$36,2,FALSE)</f>
        <v>LIB</v>
      </c>
      <c r="BA104" s="25"/>
      <c r="BB104" s="25"/>
      <c r="BC104" s="25"/>
      <c r="BD104" s="25"/>
      <c r="BE104" s="25"/>
      <c r="BF104" s="25"/>
      <c r="BG104" s="25"/>
      <c r="BH104" s="25"/>
      <c r="BI104" s="25"/>
      <c r="BJ104" s="25"/>
      <c r="BK104" s="25"/>
      <c r="BL104" s="25"/>
      <c r="BM104" s="25"/>
      <c r="BN104" s="25"/>
      <c r="BO104" s="25"/>
      <c r="BP104" s="25"/>
      <c r="BQ104" s="25"/>
      <c r="BR104" s="25"/>
      <c r="BS104" s="25"/>
      <c r="BT104" s="25"/>
      <c r="BU104" s="25"/>
      <c r="BV104" s="25"/>
      <c r="BW104" s="25"/>
      <c r="BX104" s="25"/>
      <c r="BY104" s="25"/>
      <c r="BZ104" s="25"/>
      <c r="CA104" s="25"/>
      <c r="CB104" s="25"/>
      <c r="CC104" s="25"/>
      <c r="CD104" s="25"/>
      <c r="CE104" s="25"/>
      <c r="CF104" s="25"/>
      <c r="CG104" s="25"/>
      <c r="CH104" s="25"/>
      <c r="CI104" s="25"/>
      <c r="CJ104" s="25"/>
      <c r="CK104" s="25"/>
      <c r="CL104" s="25"/>
    </row>
    <row r="105" spans="3:90" x14ac:dyDescent="0.2">
      <c r="C105" s="184">
        <v>102</v>
      </c>
      <c r="D105" s="25"/>
      <c r="E105" s="25"/>
      <c r="F105" s="25"/>
      <c r="G105" s="25"/>
      <c r="H105" s="25"/>
      <c r="I105" s="25"/>
      <c r="J105" s="25"/>
      <c r="K105" s="25"/>
      <c r="L105" s="25"/>
      <c r="M105" s="25"/>
      <c r="N105" s="25"/>
      <c r="O105" s="25"/>
      <c r="P105" s="25"/>
      <c r="Q105" s="25"/>
      <c r="R105" s="25"/>
      <c r="S105" s="25"/>
      <c r="T105" s="25"/>
      <c r="U105" s="25"/>
      <c r="V105" s="25"/>
      <c r="W105" s="25"/>
      <c r="X105" s="25"/>
      <c r="Y105" s="25"/>
      <c r="Z105" s="25"/>
      <c r="AA105" s="25"/>
      <c r="AB105" s="25"/>
      <c r="AC105" s="25"/>
      <c r="AD105" s="25"/>
      <c r="AE105" s="25"/>
      <c r="AF105" s="25"/>
      <c r="AG105" s="25"/>
      <c r="AH105" s="25"/>
      <c r="AO105" s="25">
        <v>10000</v>
      </c>
      <c r="AS105" s="297">
        <f t="shared" si="7"/>
        <v>10000</v>
      </c>
      <c r="AT105" s="25">
        <f t="shared" si="8"/>
        <v>10000</v>
      </c>
      <c r="AU105" s="25">
        <f t="shared" si="9"/>
        <v>1</v>
      </c>
      <c r="AV105" s="295" t="str">
        <f>VLOOKUP(VLOOKUP($AU105,KOMBI!$A:$H,3,FALSE),data!$I$27:$J$29,2,FALSE)</f>
        <v>Mittesekkuv</v>
      </c>
      <c r="AW105" s="295" t="str">
        <f>VLOOKUP(VLOOKUP($AU105,KOMBI!$A:$H,2,FALSE),data!$I$21:$J$23,2,FALSE)</f>
        <v>Mittesekkuv</v>
      </c>
      <c r="AX105" s="295" t="str">
        <f>VLOOKUP(VLOOKUP($AU105,KOMBI!$A:$H,5,FALSE),data!$I$39:$J$41,2,FALSE)</f>
        <v>Mittesekkuv</v>
      </c>
      <c r="AY105" s="295" t="str">
        <f>VLOOKUP(VLOOKUP($AU105,KOMBI!$A:$H,4,FALSE),data!$I$32:$J$36,2,FALSE)</f>
        <v>LIB</v>
      </c>
      <c r="BA105" s="25"/>
      <c r="BB105" s="25"/>
      <c r="BC105" s="25"/>
      <c r="BD105" s="25"/>
      <c r="BE105" s="25"/>
      <c r="BF105" s="25"/>
      <c r="BG105" s="25"/>
      <c r="BH105" s="25"/>
      <c r="BI105" s="25"/>
      <c r="BJ105" s="25"/>
      <c r="BK105" s="25"/>
      <c r="BL105" s="25"/>
      <c r="BM105" s="25"/>
      <c r="BN105" s="25"/>
      <c r="BO105" s="25"/>
      <c r="BP105" s="25"/>
      <c r="BQ105" s="25"/>
      <c r="BR105" s="25"/>
      <c r="BS105" s="25"/>
      <c r="BT105" s="25"/>
      <c r="BU105" s="25"/>
      <c r="BV105" s="25"/>
      <c r="BW105" s="25"/>
      <c r="BX105" s="25"/>
      <c r="BY105" s="25"/>
      <c r="BZ105" s="25"/>
      <c r="CA105" s="25"/>
      <c r="CB105" s="25"/>
      <c r="CC105" s="25"/>
      <c r="CD105" s="25"/>
      <c r="CE105" s="25"/>
      <c r="CF105" s="25"/>
      <c r="CG105" s="25"/>
      <c r="CH105" s="25"/>
      <c r="CI105" s="25"/>
      <c r="CJ105" s="25"/>
      <c r="CK105" s="25"/>
      <c r="CL105" s="25"/>
    </row>
    <row r="106" spans="3:90" x14ac:dyDescent="0.2">
      <c r="C106" s="184">
        <v>103</v>
      </c>
      <c r="D106" s="25"/>
      <c r="E106" s="25"/>
      <c r="F106" s="25"/>
      <c r="G106" s="25"/>
      <c r="H106" s="25"/>
      <c r="I106" s="25"/>
      <c r="J106" s="25"/>
      <c r="K106" s="25"/>
      <c r="L106" s="25"/>
      <c r="M106" s="25"/>
      <c r="N106" s="25"/>
      <c r="O106" s="25"/>
      <c r="P106" s="25"/>
      <c r="Q106" s="25"/>
      <c r="R106" s="25"/>
      <c r="S106" s="25"/>
      <c r="T106" s="25"/>
      <c r="U106" s="25"/>
      <c r="V106" s="25"/>
      <c r="W106" s="25"/>
      <c r="X106" s="25"/>
      <c r="Y106" s="25"/>
      <c r="Z106" s="25"/>
      <c r="AA106" s="25"/>
      <c r="AB106" s="25"/>
      <c r="AC106" s="25"/>
      <c r="AD106" s="25"/>
      <c r="AE106" s="25"/>
      <c r="AF106" s="25"/>
      <c r="AG106" s="25"/>
      <c r="AH106" s="25"/>
      <c r="AO106" s="25">
        <v>10000</v>
      </c>
      <c r="AS106" s="297">
        <f t="shared" si="7"/>
        <v>10000</v>
      </c>
      <c r="AT106" s="25">
        <f t="shared" si="8"/>
        <v>10000</v>
      </c>
      <c r="AU106" s="25">
        <f t="shared" si="9"/>
        <v>1</v>
      </c>
      <c r="AV106" s="295" t="str">
        <f>VLOOKUP(VLOOKUP($AU106,KOMBI!$A:$H,3,FALSE),data!$I$27:$J$29,2,FALSE)</f>
        <v>Mittesekkuv</v>
      </c>
      <c r="AW106" s="295" t="str">
        <f>VLOOKUP(VLOOKUP($AU106,KOMBI!$A:$H,2,FALSE),data!$I$21:$J$23,2,FALSE)</f>
        <v>Mittesekkuv</v>
      </c>
      <c r="AX106" s="295" t="str">
        <f>VLOOKUP(VLOOKUP($AU106,KOMBI!$A:$H,5,FALSE),data!$I$39:$J$41,2,FALSE)</f>
        <v>Mittesekkuv</v>
      </c>
      <c r="AY106" s="295" t="str">
        <f>VLOOKUP(VLOOKUP($AU106,KOMBI!$A:$H,4,FALSE),data!$I$32:$J$36,2,FALSE)</f>
        <v>LIB</v>
      </c>
      <c r="BA106" s="25"/>
      <c r="BB106" s="25"/>
      <c r="BC106" s="25"/>
      <c r="BD106" s="25"/>
      <c r="BE106" s="25"/>
      <c r="BF106" s="25"/>
      <c r="BG106" s="25"/>
      <c r="BH106" s="25"/>
      <c r="BI106" s="25"/>
      <c r="BJ106" s="25"/>
      <c r="BK106" s="25"/>
      <c r="BL106" s="25"/>
      <c r="BM106" s="25"/>
      <c r="BN106" s="25"/>
      <c r="BO106" s="25"/>
      <c r="BP106" s="25"/>
      <c r="BQ106" s="25"/>
      <c r="BR106" s="25"/>
      <c r="BS106" s="25"/>
      <c r="BT106" s="25"/>
      <c r="BU106" s="25"/>
      <c r="BV106" s="25"/>
      <c r="BW106" s="25"/>
      <c r="BX106" s="25"/>
      <c r="BY106" s="25"/>
      <c r="BZ106" s="25"/>
      <c r="CA106" s="25"/>
      <c r="CB106" s="25"/>
      <c r="CC106" s="25"/>
      <c r="CD106" s="25"/>
      <c r="CE106" s="25"/>
      <c r="CF106" s="25"/>
      <c r="CG106" s="25"/>
      <c r="CH106" s="25"/>
      <c r="CI106" s="25"/>
      <c r="CJ106" s="25"/>
      <c r="CK106" s="25"/>
      <c r="CL106" s="25"/>
    </row>
    <row r="107" spans="3:90" x14ac:dyDescent="0.2">
      <c r="C107" s="184">
        <v>104</v>
      </c>
      <c r="D107" s="25"/>
      <c r="E107" s="25"/>
      <c r="F107" s="25"/>
      <c r="G107" s="25"/>
      <c r="H107" s="25"/>
      <c r="I107" s="25"/>
      <c r="J107" s="25"/>
      <c r="K107" s="25"/>
      <c r="L107" s="25"/>
      <c r="M107" s="25"/>
      <c r="N107" s="25"/>
      <c r="O107" s="25"/>
      <c r="P107" s="25"/>
      <c r="Q107" s="25"/>
      <c r="R107" s="25"/>
      <c r="S107" s="25"/>
      <c r="T107" s="25"/>
      <c r="U107" s="25"/>
      <c r="V107" s="25"/>
      <c r="W107" s="25"/>
      <c r="X107" s="25"/>
      <c r="Y107" s="25"/>
      <c r="Z107" s="25"/>
      <c r="AA107" s="25"/>
      <c r="AB107" s="25"/>
      <c r="AC107" s="25"/>
      <c r="AD107" s="25"/>
      <c r="AE107" s="25"/>
      <c r="AF107" s="25"/>
      <c r="AG107" s="25"/>
      <c r="AH107" s="25"/>
      <c r="AO107" s="25">
        <v>10000</v>
      </c>
      <c r="AS107" s="297">
        <f t="shared" si="7"/>
        <v>10000</v>
      </c>
      <c r="AT107" s="25">
        <f t="shared" si="8"/>
        <v>10000</v>
      </c>
      <c r="AU107" s="25">
        <f t="shared" si="9"/>
        <v>1</v>
      </c>
      <c r="AV107" s="295" t="str">
        <f>VLOOKUP(VLOOKUP($AU107,KOMBI!$A:$H,3,FALSE),data!$I$27:$J$29,2,FALSE)</f>
        <v>Mittesekkuv</v>
      </c>
      <c r="AW107" s="295" t="str">
        <f>VLOOKUP(VLOOKUP($AU107,KOMBI!$A:$H,2,FALSE),data!$I$21:$J$23,2,FALSE)</f>
        <v>Mittesekkuv</v>
      </c>
      <c r="AX107" s="295" t="str">
        <f>VLOOKUP(VLOOKUP($AU107,KOMBI!$A:$H,5,FALSE),data!$I$39:$J$41,2,FALSE)</f>
        <v>Mittesekkuv</v>
      </c>
      <c r="AY107" s="295" t="str">
        <f>VLOOKUP(VLOOKUP($AU107,KOMBI!$A:$H,4,FALSE),data!$I$32:$J$36,2,FALSE)</f>
        <v>LIB</v>
      </c>
      <c r="BA107" s="25"/>
      <c r="BB107" s="25"/>
      <c r="BC107" s="25"/>
      <c r="BD107" s="25"/>
      <c r="BE107" s="25"/>
      <c r="BF107" s="25"/>
      <c r="BG107" s="25"/>
      <c r="BH107" s="25"/>
      <c r="BI107" s="25"/>
      <c r="BJ107" s="25"/>
      <c r="BK107" s="25"/>
      <c r="BL107" s="25"/>
      <c r="BM107" s="25"/>
      <c r="BN107" s="25"/>
      <c r="BO107" s="25"/>
      <c r="BP107" s="25"/>
      <c r="BQ107" s="25"/>
      <c r="BR107" s="25"/>
      <c r="BS107" s="25"/>
      <c r="BT107" s="25"/>
      <c r="BU107" s="25"/>
      <c r="BV107" s="25"/>
      <c r="BW107" s="25"/>
      <c r="BX107" s="25"/>
      <c r="BY107" s="25"/>
      <c r="BZ107" s="25"/>
      <c r="CA107" s="25"/>
      <c r="CB107" s="25"/>
      <c r="CC107" s="25"/>
      <c r="CD107" s="25"/>
      <c r="CE107" s="25"/>
      <c r="CF107" s="25"/>
      <c r="CG107" s="25"/>
      <c r="CH107" s="25"/>
      <c r="CI107" s="25"/>
      <c r="CJ107" s="25"/>
      <c r="CK107" s="25"/>
      <c r="CL107" s="25"/>
    </row>
    <row r="108" spans="3:90" x14ac:dyDescent="0.2">
      <c r="C108" s="184">
        <v>105</v>
      </c>
      <c r="D108" s="25"/>
      <c r="E108" s="25"/>
      <c r="F108" s="25"/>
      <c r="G108" s="25"/>
      <c r="H108" s="25"/>
      <c r="I108" s="25"/>
      <c r="J108" s="25"/>
      <c r="K108" s="25"/>
      <c r="L108" s="25"/>
      <c r="M108" s="25"/>
      <c r="N108" s="25"/>
      <c r="O108" s="25"/>
      <c r="P108" s="25"/>
      <c r="Q108" s="25"/>
      <c r="R108" s="25"/>
      <c r="S108" s="25"/>
      <c r="T108" s="25"/>
      <c r="U108" s="25"/>
      <c r="V108" s="25"/>
      <c r="W108" s="25"/>
      <c r="X108" s="25"/>
      <c r="Y108" s="25"/>
      <c r="Z108" s="25"/>
      <c r="AA108" s="25"/>
      <c r="AB108" s="25"/>
      <c r="AC108" s="25"/>
      <c r="AD108" s="25"/>
      <c r="AE108" s="25"/>
      <c r="AF108" s="25"/>
      <c r="AG108" s="25"/>
      <c r="AH108" s="25"/>
      <c r="AO108" s="25">
        <v>10000</v>
      </c>
      <c r="AS108" s="297">
        <f t="shared" si="7"/>
        <v>10000</v>
      </c>
      <c r="AT108" s="25">
        <f t="shared" si="8"/>
        <v>10000</v>
      </c>
      <c r="AU108" s="25">
        <f t="shared" si="9"/>
        <v>1</v>
      </c>
      <c r="AV108" s="295" t="str">
        <f>VLOOKUP(VLOOKUP($AU108,KOMBI!$A:$H,3,FALSE),data!$I$27:$J$29,2,FALSE)</f>
        <v>Mittesekkuv</v>
      </c>
      <c r="AW108" s="295" t="str">
        <f>VLOOKUP(VLOOKUP($AU108,KOMBI!$A:$H,2,FALSE),data!$I$21:$J$23,2,FALSE)</f>
        <v>Mittesekkuv</v>
      </c>
      <c r="AX108" s="295" t="str">
        <f>VLOOKUP(VLOOKUP($AU108,KOMBI!$A:$H,5,FALSE),data!$I$39:$J$41,2,FALSE)</f>
        <v>Mittesekkuv</v>
      </c>
      <c r="AY108" s="295" t="str">
        <f>VLOOKUP(VLOOKUP($AU108,KOMBI!$A:$H,4,FALSE),data!$I$32:$J$36,2,FALSE)</f>
        <v>LIB</v>
      </c>
      <c r="BA108" s="25"/>
      <c r="BB108" s="25"/>
      <c r="BC108" s="25"/>
      <c r="BD108" s="25"/>
      <c r="BE108" s="25"/>
      <c r="BF108" s="25"/>
      <c r="BG108" s="25"/>
      <c r="BH108" s="25"/>
      <c r="BI108" s="25"/>
      <c r="BJ108" s="25"/>
      <c r="BK108" s="25"/>
      <c r="BL108" s="25"/>
      <c r="BM108" s="25"/>
      <c r="BN108" s="25"/>
      <c r="BO108" s="25"/>
      <c r="BP108" s="25"/>
      <c r="BQ108" s="25"/>
      <c r="BR108" s="25"/>
      <c r="BS108" s="25"/>
      <c r="BT108" s="25"/>
      <c r="BU108" s="25"/>
      <c r="BV108" s="25"/>
      <c r="BW108" s="25"/>
      <c r="BX108" s="25"/>
      <c r="BY108" s="25"/>
      <c r="BZ108" s="25"/>
      <c r="CA108" s="25"/>
      <c r="CB108" s="25"/>
      <c r="CC108" s="25"/>
      <c r="CD108" s="25"/>
      <c r="CE108" s="25"/>
      <c r="CF108" s="25"/>
      <c r="CG108" s="25"/>
      <c r="CH108" s="25"/>
      <c r="CI108" s="25"/>
      <c r="CJ108" s="25"/>
      <c r="CK108" s="25"/>
      <c r="CL108" s="25"/>
    </row>
    <row r="109" spans="3:90" x14ac:dyDescent="0.2">
      <c r="C109" s="184">
        <v>106</v>
      </c>
      <c r="D109" s="25"/>
      <c r="E109" s="25"/>
      <c r="F109" s="25"/>
      <c r="G109" s="25"/>
      <c r="H109" s="25"/>
      <c r="I109" s="25"/>
      <c r="J109" s="25"/>
      <c r="K109" s="25"/>
      <c r="L109" s="25"/>
      <c r="M109" s="25"/>
      <c r="N109" s="25"/>
      <c r="O109" s="25"/>
      <c r="P109" s="25"/>
      <c r="Q109" s="25"/>
      <c r="R109" s="25"/>
      <c r="S109" s="25"/>
      <c r="T109" s="25"/>
      <c r="U109" s="25"/>
      <c r="V109" s="25"/>
      <c r="W109" s="25"/>
      <c r="X109" s="25"/>
      <c r="Y109" s="25"/>
      <c r="Z109" s="25"/>
      <c r="AA109" s="25"/>
      <c r="AB109" s="25"/>
      <c r="AC109" s="25"/>
      <c r="AD109" s="25"/>
      <c r="AE109" s="25"/>
      <c r="AF109" s="25"/>
      <c r="AG109" s="25"/>
      <c r="AH109" s="25"/>
      <c r="AO109" s="25">
        <v>10000</v>
      </c>
      <c r="AS109" s="297">
        <f t="shared" si="7"/>
        <v>10000</v>
      </c>
      <c r="AT109" s="25">
        <f t="shared" si="8"/>
        <v>10000</v>
      </c>
      <c r="AU109" s="25">
        <f t="shared" si="9"/>
        <v>1</v>
      </c>
      <c r="AV109" s="295" t="str">
        <f>VLOOKUP(VLOOKUP($AU109,KOMBI!$A:$H,3,FALSE),data!$I$27:$J$29,2,FALSE)</f>
        <v>Mittesekkuv</v>
      </c>
      <c r="AW109" s="295" t="str">
        <f>VLOOKUP(VLOOKUP($AU109,KOMBI!$A:$H,2,FALSE),data!$I$21:$J$23,2,FALSE)</f>
        <v>Mittesekkuv</v>
      </c>
      <c r="AX109" s="295" t="str">
        <f>VLOOKUP(VLOOKUP($AU109,KOMBI!$A:$H,5,FALSE),data!$I$39:$J$41,2,FALSE)</f>
        <v>Mittesekkuv</v>
      </c>
      <c r="AY109" s="295" t="str">
        <f>VLOOKUP(VLOOKUP($AU109,KOMBI!$A:$H,4,FALSE),data!$I$32:$J$36,2,FALSE)</f>
        <v>LIB</v>
      </c>
      <c r="BA109" s="25"/>
      <c r="BB109" s="25"/>
      <c r="BC109" s="25"/>
      <c r="BD109" s="25"/>
      <c r="BE109" s="25"/>
      <c r="BF109" s="25"/>
      <c r="BG109" s="25"/>
      <c r="BH109" s="25"/>
      <c r="BI109" s="25"/>
      <c r="BJ109" s="25"/>
      <c r="BK109" s="25"/>
      <c r="BL109" s="25"/>
      <c r="BM109" s="25"/>
      <c r="BN109" s="25"/>
      <c r="BO109" s="25"/>
      <c r="BP109" s="25"/>
      <c r="BQ109" s="25"/>
      <c r="BR109" s="25"/>
      <c r="BS109" s="25"/>
      <c r="BT109" s="25"/>
      <c r="BU109" s="25"/>
      <c r="BV109" s="25"/>
      <c r="BW109" s="25"/>
      <c r="BX109" s="25"/>
      <c r="BY109" s="25"/>
      <c r="BZ109" s="25"/>
      <c r="CA109" s="25"/>
      <c r="CB109" s="25"/>
      <c r="CC109" s="25"/>
      <c r="CD109" s="25"/>
      <c r="CE109" s="25"/>
      <c r="CF109" s="25"/>
      <c r="CG109" s="25"/>
      <c r="CH109" s="25"/>
      <c r="CI109" s="25"/>
      <c r="CJ109" s="25"/>
      <c r="CK109" s="25"/>
      <c r="CL109" s="25"/>
    </row>
    <row r="110" spans="3:90" x14ac:dyDescent="0.2">
      <c r="C110" s="184">
        <v>107</v>
      </c>
      <c r="D110" s="25"/>
      <c r="E110" s="25"/>
      <c r="F110" s="25"/>
      <c r="G110" s="25"/>
      <c r="H110" s="25"/>
      <c r="I110" s="25"/>
      <c r="J110" s="25"/>
      <c r="K110" s="25"/>
      <c r="L110" s="25"/>
      <c r="M110" s="25"/>
      <c r="N110" s="25"/>
      <c r="O110" s="25"/>
      <c r="P110" s="25"/>
      <c r="Q110" s="25"/>
      <c r="R110" s="25"/>
      <c r="S110" s="25"/>
      <c r="T110" s="25"/>
      <c r="U110" s="25"/>
      <c r="V110" s="25"/>
      <c r="W110" s="25"/>
      <c r="X110" s="25"/>
      <c r="Y110" s="25"/>
      <c r="Z110" s="25"/>
      <c r="AA110" s="25"/>
      <c r="AB110" s="25"/>
      <c r="AC110" s="25"/>
      <c r="AD110" s="25"/>
      <c r="AE110" s="25"/>
      <c r="AF110" s="25"/>
      <c r="AG110" s="25"/>
      <c r="AH110" s="25"/>
      <c r="AO110" s="25">
        <v>10000</v>
      </c>
      <c r="AS110" s="297">
        <f t="shared" si="7"/>
        <v>10000</v>
      </c>
      <c r="AT110" s="25">
        <f t="shared" si="8"/>
        <v>10000</v>
      </c>
      <c r="AU110" s="25">
        <f t="shared" si="9"/>
        <v>1</v>
      </c>
      <c r="AV110" s="295" t="str">
        <f>VLOOKUP(VLOOKUP($AU110,KOMBI!$A:$H,3,FALSE),data!$I$27:$J$29,2,FALSE)</f>
        <v>Mittesekkuv</v>
      </c>
      <c r="AW110" s="295" t="str">
        <f>VLOOKUP(VLOOKUP($AU110,KOMBI!$A:$H,2,FALSE),data!$I$21:$J$23,2,FALSE)</f>
        <v>Mittesekkuv</v>
      </c>
      <c r="AX110" s="295" t="str">
        <f>VLOOKUP(VLOOKUP($AU110,KOMBI!$A:$H,5,FALSE),data!$I$39:$J$41,2,FALSE)</f>
        <v>Mittesekkuv</v>
      </c>
      <c r="AY110" s="295" t="str">
        <f>VLOOKUP(VLOOKUP($AU110,KOMBI!$A:$H,4,FALSE),data!$I$32:$J$36,2,FALSE)</f>
        <v>LIB</v>
      </c>
      <c r="BA110" s="25"/>
      <c r="BB110" s="25"/>
      <c r="BC110" s="25"/>
      <c r="BD110" s="25"/>
      <c r="BE110" s="25"/>
      <c r="BF110" s="25"/>
      <c r="BG110" s="25"/>
      <c r="BH110" s="25"/>
      <c r="BI110" s="25"/>
      <c r="BJ110" s="25"/>
      <c r="BK110" s="25"/>
      <c r="BL110" s="25"/>
      <c r="BM110" s="25"/>
      <c r="BN110" s="25"/>
      <c r="BO110" s="25"/>
      <c r="BP110" s="25"/>
      <c r="BQ110" s="25"/>
      <c r="BR110" s="25"/>
      <c r="BS110" s="25"/>
      <c r="BT110" s="25"/>
      <c r="BU110" s="25"/>
      <c r="BV110" s="25"/>
      <c r="BW110" s="25"/>
      <c r="BX110" s="25"/>
      <c r="BY110" s="25"/>
      <c r="BZ110" s="25"/>
      <c r="CA110" s="25"/>
      <c r="CB110" s="25"/>
      <c r="CC110" s="25"/>
      <c r="CD110" s="25"/>
      <c r="CE110" s="25"/>
      <c r="CF110" s="25"/>
      <c r="CG110" s="25"/>
      <c r="CH110" s="25"/>
      <c r="CI110" s="25"/>
      <c r="CJ110" s="25"/>
      <c r="CK110" s="25"/>
      <c r="CL110" s="25"/>
    </row>
    <row r="111" spans="3:90" x14ac:dyDescent="0.2">
      <c r="C111" s="184">
        <v>108</v>
      </c>
      <c r="D111" s="25"/>
      <c r="E111" s="25"/>
      <c r="F111" s="25"/>
      <c r="G111" s="25"/>
      <c r="H111" s="25"/>
      <c r="I111" s="25"/>
      <c r="J111" s="25"/>
      <c r="K111" s="25"/>
      <c r="L111" s="25"/>
      <c r="M111" s="25"/>
      <c r="N111" s="25"/>
      <c r="O111" s="25"/>
      <c r="P111" s="25"/>
      <c r="Q111" s="25"/>
      <c r="R111" s="25"/>
      <c r="S111" s="25"/>
      <c r="T111" s="25"/>
      <c r="U111" s="25"/>
      <c r="V111" s="25"/>
      <c r="W111" s="25"/>
      <c r="X111" s="25"/>
      <c r="Y111" s="25"/>
      <c r="Z111" s="25"/>
      <c r="AA111" s="25"/>
      <c r="AB111" s="25"/>
      <c r="AC111" s="25"/>
      <c r="AD111" s="25"/>
      <c r="AE111" s="25"/>
      <c r="AF111" s="25"/>
      <c r="AG111" s="25"/>
      <c r="AH111" s="25"/>
      <c r="AO111" s="25">
        <v>10000</v>
      </c>
      <c r="AS111" s="297">
        <f t="shared" si="7"/>
        <v>10000</v>
      </c>
      <c r="AT111" s="25">
        <f t="shared" si="8"/>
        <v>10000</v>
      </c>
      <c r="AU111" s="25">
        <f t="shared" si="9"/>
        <v>1</v>
      </c>
      <c r="AV111" s="295" t="str">
        <f>VLOOKUP(VLOOKUP($AU111,KOMBI!$A:$H,3,FALSE),data!$I$27:$J$29,2,FALSE)</f>
        <v>Mittesekkuv</v>
      </c>
      <c r="AW111" s="295" t="str">
        <f>VLOOKUP(VLOOKUP($AU111,KOMBI!$A:$H,2,FALSE),data!$I$21:$J$23,2,FALSE)</f>
        <v>Mittesekkuv</v>
      </c>
      <c r="AX111" s="295" t="str">
        <f>VLOOKUP(VLOOKUP($AU111,KOMBI!$A:$H,5,FALSE),data!$I$39:$J$41,2,FALSE)</f>
        <v>Mittesekkuv</v>
      </c>
      <c r="AY111" s="295" t="str">
        <f>VLOOKUP(VLOOKUP($AU111,KOMBI!$A:$H,4,FALSE),data!$I$32:$J$36,2,FALSE)</f>
        <v>LIB</v>
      </c>
      <c r="BA111" s="25"/>
      <c r="BB111" s="25"/>
      <c r="BC111" s="25"/>
      <c r="BD111" s="25"/>
      <c r="BE111" s="25"/>
      <c r="BF111" s="25"/>
      <c r="BG111" s="25"/>
      <c r="BH111" s="25"/>
      <c r="BI111" s="25"/>
      <c r="BJ111" s="25"/>
      <c r="BK111" s="25"/>
      <c r="BL111" s="25"/>
      <c r="BM111" s="25"/>
      <c r="BN111" s="25"/>
      <c r="BO111" s="25"/>
      <c r="BP111" s="25"/>
      <c r="BQ111" s="25"/>
      <c r="BR111" s="25"/>
      <c r="BS111" s="25"/>
      <c r="BT111" s="25"/>
      <c r="BU111" s="25"/>
      <c r="BV111" s="25"/>
      <c r="BW111" s="25"/>
      <c r="BX111" s="25"/>
      <c r="BY111" s="25"/>
      <c r="BZ111" s="25"/>
      <c r="CA111" s="25"/>
      <c r="CB111" s="25"/>
      <c r="CC111" s="25"/>
      <c r="CD111" s="25"/>
      <c r="CE111" s="25"/>
      <c r="CF111" s="25"/>
      <c r="CG111" s="25"/>
      <c r="CH111" s="25"/>
      <c r="CI111" s="25"/>
      <c r="CJ111" s="25"/>
      <c r="CK111" s="25"/>
      <c r="CL111" s="25"/>
    </row>
    <row r="112" spans="3:90" x14ac:dyDescent="0.2">
      <c r="C112" s="184">
        <v>109</v>
      </c>
      <c r="D112" s="25"/>
      <c r="E112" s="25"/>
      <c r="F112" s="25"/>
      <c r="G112" s="25"/>
      <c r="H112" s="25"/>
      <c r="I112" s="25"/>
      <c r="J112" s="25"/>
      <c r="K112" s="25"/>
      <c r="L112" s="25"/>
      <c r="M112" s="25"/>
      <c r="N112" s="25"/>
      <c r="O112" s="25"/>
      <c r="P112" s="25"/>
      <c r="Q112" s="25"/>
      <c r="R112" s="25"/>
      <c r="S112" s="25"/>
      <c r="T112" s="25"/>
      <c r="U112" s="25"/>
      <c r="V112" s="25"/>
      <c r="W112" s="25"/>
      <c r="X112" s="25"/>
      <c r="Y112" s="25"/>
      <c r="Z112" s="25"/>
      <c r="AA112" s="25"/>
      <c r="AB112" s="25"/>
      <c r="AC112" s="25"/>
      <c r="AD112" s="25"/>
      <c r="AE112" s="25"/>
      <c r="AF112" s="25"/>
      <c r="AG112" s="25"/>
      <c r="AH112" s="25"/>
      <c r="AO112" s="25">
        <v>10000</v>
      </c>
      <c r="AS112" s="297">
        <f t="shared" si="7"/>
        <v>10000</v>
      </c>
      <c r="AT112" s="25">
        <f t="shared" si="8"/>
        <v>10000</v>
      </c>
      <c r="AU112" s="25">
        <f t="shared" si="9"/>
        <v>1</v>
      </c>
      <c r="AV112" s="295" t="str">
        <f>VLOOKUP(VLOOKUP($AU112,KOMBI!$A:$H,3,FALSE),data!$I$27:$J$29,2,FALSE)</f>
        <v>Mittesekkuv</v>
      </c>
      <c r="AW112" s="295" t="str">
        <f>VLOOKUP(VLOOKUP($AU112,KOMBI!$A:$H,2,FALSE),data!$I$21:$J$23,2,FALSE)</f>
        <v>Mittesekkuv</v>
      </c>
      <c r="AX112" s="295" t="str">
        <f>VLOOKUP(VLOOKUP($AU112,KOMBI!$A:$H,5,FALSE),data!$I$39:$J$41,2,FALSE)</f>
        <v>Mittesekkuv</v>
      </c>
      <c r="AY112" s="295" t="str">
        <f>VLOOKUP(VLOOKUP($AU112,KOMBI!$A:$H,4,FALSE),data!$I$32:$J$36,2,FALSE)</f>
        <v>LIB</v>
      </c>
      <c r="BA112" s="25"/>
      <c r="BB112" s="25"/>
      <c r="BC112" s="25"/>
      <c r="BD112" s="25"/>
      <c r="BE112" s="25"/>
      <c r="BF112" s="25"/>
      <c r="BG112" s="25"/>
      <c r="BH112" s="25"/>
      <c r="BI112" s="25"/>
      <c r="BJ112" s="25"/>
      <c r="BK112" s="25"/>
      <c r="BL112" s="25"/>
      <c r="BM112" s="25"/>
      <c r="BN112" s="25"/>
      <c r="BO112" s="25"/>
      <c r="BP112" s="25"/>
      <c r="BQ112" s="25"/>
      <c r="BR112" s="25"/>
      <c r="BS112" s="25"/>
      <c r="BT112" s="25"/>
      <c r="BU112" s="25"/>
      <c r="BV112" s="25"/>
      <c r="BW112" s="25"/>
      <c r="BX112" s="25"/>
      <c r="BY112" s="25"/>
      <c r="BZ112" s="25"/>
      <c r="CA112" s="25"/>
      <c r="CB112" s="25"/>
      <c r="CC112" s="25"/>
      <c r="CD112" s="25"/>
      <c r="CE112" s="25"/>
      <c r="CF112" s="25"/>
      <c r="CG112" s="25"/>
      <c r="CH112" s="25"/>
      <c r="CI112" s="25"/>
      <c r="CJ112" s="25"/>
      <c r="CK112" s="25"/>
      <c r="CL112" s="25"/>
    </row>
    <row r="113" spans="3:90" x14ac:dyDescent="0.2">
      <c r="C113" s="184">
        <v>110</v>
      </c>
      <c r="D113" s="25"/>
      <c r="E113" s="25"/>
      <c r="F113" s="25"/>
      <c r="G113" s="25"/>
      <c r="H113" s="25"/>
      <c r="I113" s="25"/>
      <c r="J113" s="25"/>
      <c r="K113" s="25"/>
      <c r="L113" s="25"/>
      <c r="M113" s="25"/>
      <c r="N113" s="25"/>
      <c r="O113" s="25"/>
      <c r="P113" s="25"/>
      <c r="Q113" s="25"/>
      <c r="R113" s="25"/>
      <c r="S113" s="25"/>
      <c r="T113" s="25"/>
      <c r="U113" s="25"/>
      <c r="V113" s="25"/>
      <c r="W113" s="25"/>
      <c r="X113" s="25"/>
      <c r="Y113" s="25"/>
      <c r="Z113" s="25"/>
      <c r="AA113" s="25"/>
      <c r="AB113" s="25"/>
      <c r="AC113" s="25"/>
      <c r="AD113" s="25"/>
      <c r="AE113" s="25"/>
      <c r="AF113" s="25"/>
      <c r="AG113" s="25"/>
      <c r="AH113" s="25"/>
      <c r="AO113" s="25">
        <v>10000</v>
      </c>
      <c r="AS113" s="297">
        <f t="shared" si="7"/>
        <v>10000</v>
      </c>
      <c r="AT113" s="25">
        <f t="shared" si="8"/>
        <v>10000</v>
      </c>
      <c r="AU113" s="25">
        <f t="shared" si="9"/>
        <v>1</v>
      </c>
      <c r="AV113" s="295" t="str">
        <f>VLOOKUP(VLOOKUP($AU113,KOMBI!$A:$H,3,FALSE),data!$I$27:$J$29,2,FALSE)</f>
        <v>Mittesekkuv</v>
      </c>
      <c r="AW113" s="295" t="str">
        <f>VLOOKUP(VLOOKUP($AU113,KOMBI!$A:$H,2,FALSE),data!$I$21:$J$23,2,FALSE)</f>
        <v>Mittesekkuv</v>
      </c>
      <c r="AX113" s="295" t="str">
        <f>VLOOKUP(VLOOKUP($AU113,KOMBI!$A:$H,5,FALSE),data!$I$39:$J$41,2,FALSE)</f>
        <v>Mittesekkuv</v>
      </c>
      <c r="AY113" s="295" t="str">
        <f>VLOOKUP(VLOOKUP($AU113,KOMBI!$A:$H,4,FALSE),data!$I$32:$J$36,2,FALSE)</f>
        <v>LIB</v>
      </c>
      <c r="BA113" s="25"/>
      <c r="BB113" s="25"/>
      <c r="BC113" s="25"/>
      <c r="BD113" s="25"/>
      <c r="BE113" s="25"/>
      <c r="BF113" s="25"/>
      <c r="BG113" s="25"/>
      <c r="BH113" s="25"/>
      <c r="BI113" s="25"/>
      <c r="BJ113" s="25"/>
      <c r="BK113" s="25"/>
      <c r="BL113" s="25"/>
      <c r="BM113" s="25"/>
      <c r="BN113" s="25"/>
      <c r="BO113" s="25"/>
      <c r="BP113" s="25"/>
      <c r="BQ113" s="25"/>
      <c r="BR113" s="25"/>
      <c r="BS113" s="25"/>
      <c r="BT113" s="25"/>
      <c r="BU113" s="25"/>
      <c r="BV113" s="25"/>
      <c r="BW113" s="25"/>
      <c r="BX113" s="25"/>
      <c r="BY113" s="25"/>
      <c r="BZ113" s="25"/>
      <c r="CA113" s="25"/>
      <c r="CB113" s="25"/>
      <c r="CC113" s="25"/>
      <c r="CD113" s="25"/>
      <c r="CE113" s="25"/>
      <c r="CF113" s="25"/>
      <c r="CG113" s="25"/>
      <c r="CH113" s="25"/>
      <c r="CI113" s="25"/>
      <c r="CJ113" s="25"/>
      <c r="CK113" s="25"/>
      <c r="CL113" s="25"/>
    </row>
    <row r="114" spans="3:90" x14ac:dyDescent="0.2">
      <c r="C114" s="184">
        <v>111</v>
      </c>
      <c r="D114" s="25"/>
      <c r="E114" s="25"/>
      <c r="F114" s="25"/>
      <c r="G114" s="25"/>
      <c r="H114" s="25"/>
      <c r="I114" s="25"/>
      <c r="J114" s="25"/>
      <c r="K114" s="25"/>
      <c r="L114" s="25"/>
      <c r="M114" s="25"/>
      <c r="N114" s="25"/>
      <c r="O114" s="25"/>
      <c r="P114" s="25"/>
      <c r="Q114" s="25"/>
      <c r="R114" s="25"/>
      <c r="S114" s="25"/>
      <c r="T114" s="25"/>
      <c r="U114" s="25"/>
      <c r="V114" s="25"/>
      <c r="W114" s="25"/>
      <c r="X114" s="25"/>
      <c r="Y114" s="25"/>
      <c r="Z114" s="25"/>
      <c r="AA114" s="25"/>
      <c r="AB114" s="25"/>
      <c r="AC114" s="25"/>
      <c r="AD114" s="25"/>
      <c r="AE114" s="25"/>
      <c r="AF114" s="25"/>
      <c r="AG114" s="25"/>
      <c r="AH114" s="25"/>
      <c r="AO114" s="25">
        <v>10000</v>
      </c>
      <c r="AS114" s="297">
        <f t="shared" si="7"/>
        <v>10000</v>
      </c>
      <c r="AT114" s="25">
        <f t="shared" si="8"/>
        <v>10000</v>
      </c>
      <c r="AU114" s="25">
        <f t="shared" si="9"/>
        <v>1</v>
      </c>
      <c r="AV114" s="295" t="str">
        <f>VLOOKUP(VLOOKUP($AU114,KOMBI!$A:$H,3,FALSE),data!$I$27:$J$29,2,FALSE)</f>
        <v>Mittesekkuv</v>
      </c>
      <c r="AW114" s="295" t="str">
        <f>VLOOKUP(VLOOKUP($AU114,KOMBI!$A:$H,2,FALSE),data!$I$21:$J$23,2,FALSE)</f>
        <v>Mittesekkuv</v>
      </c>
      <c r="AX114" s="295" t="str">
        <f>VLOOKUP(VLOOKUP($AU114,KOMBI!$A:$H,5,FALSE),data!$I$39:$J$41,2,FALSE)</f>
        <v>Mittesekkuv</v>
      </c>
      <c r="AY114" s="295" t="str">
        <f>VLOOKUP(VLOOKUP($AU114,KOMBI!$A:$H,4,FALSE),data!$I$32:$J$36,2,FALSE)</f>
        <v>LIB</v>
      </c>
      <c r="BA114" s="25"/>
      <c r="BB114" s="25"/>
      <c r="BC114" s="25"/>
      <c r="BD114" s="25"/>
      <c r="BE114" s="25"/>
      <c r="BF114" s="25"/>
      <c r="BG114" s="25"/>
      <c r="BH114" s="25"/>
      <c r="BI114" s="25"/>
      <c r="BJ114" s="25"/>
      <c r="BK114" s="25"/>
      <c r="BL114" s="25"/>
      <c r="BM114" s="25"/>
      <c r="BN114" s="25"/>
      <c r="BO114" s="25"/>
      <c r="BP114" s="25"/>
      <c r="BQ114" s="25"/>
      <c r="BR114" s="25"/>
      <c r="BS114" s="25"/>
      <c r="BT114" s="25"/>
      <c r="BU114" s="25"/>
      <c r="BV114" s="25"/>
      <c r="BW114" s="25"/>
      <c r="BX114" s="25"/>
      <c r="BY114" s="25"/>
      <c r="BZ114" s="25"/>
      <c r="CA114" s="25"/>
      <c r="CB114" s="25"/>
      <c r="CC114" s="25"/>
      <c r="CD114" s="25"/>
      <c r="CE114" s="25"/>
      <c r="CF114" s="25"/>
      <c r="CG114" s="25"/>
      <c r="CH114" s="25"/>
      <c r="CI114" s="25"/>
      <c r="CJ114" s="25"/>
      <c r="CK114" s="25"/>
      <c r="CL114" s="25"/>
    </row>
    <row r="115" spans="3:90" x14ac:dyDescent="0.2">
      <c r="C115" s="184">
        <v>112</v>
      </c>
      <c r="D115" s="25"/>
      <c r="E115" s="25"/>
      <c r="F115" s="25"/>
      <c r="G115" s="25"/>
      <c r="H115" s="25"/>
      <c r="I115" s="25"/>
      <c r="J115" s="25"/>
      <c r="K115" s="25"/>
      <c r="L115" s="25"/>
      <c r="M115" s="25"/>
      <c r="N115" s="25"/>
      <c r="O115" s="25"/>
      <c r="P115" s="25"/>
      <c r="Q115" s="25"/>
      <c r="R115" s="25"/>
      <c r="S115" s="25"/>
      <c r="T115" s="25"/>
      <c r="U115" s="25"/>
      <c r="V115" s="25"/>
      <c r="W115" s="25"/>
      <c r="X115" s="25"/>
      <c r="Y115" s="25"/>
      <c r="Z115" s="25"/>
      <c r="AA115" s="25"/>
      <c r="AB115" s="25"/>
      <c r="AC115" s="25"/>
      <c r="AD115" s="25"/>
      <c r="AE115" s="25"/>
      <c r="AF115" s="25"/>
      <c r="AG115" s="25"/>
      <c r="AH115" s="25"/>
      <c r="AO115" s="25">
        <v>10000</v>
      </c>
      <c r="AS115" s="297">
        <f t="shared" si="7"/>
        <v>10000</v>
      </c>
      <c r="AT115" s="25">
        <f t="shared" si="8"/>
        <v>10000</v>
      </c>
      <c r="AU115" s="25">
        <f t="shared" si="9"/>
        <v>1</v>
      </c>
      <c r="AV115" s="295" t="str">
        <f>VLOOKUP(VLOOKUP($AU115,KOMBI!$A:$H,3,FALSE),data!$I$27:$J$29,2,FALSE)</f>
        <v>Mittesekkuv</v>
      </c>
      <c r="AW115" s="295" t="str">
        <f>VLOOKUP(VLOOKUP($AU115,KOMBI!$A:$H,2,FALSE),data!$I$21:$J$23,2,FALSE)</f>
        <v>Mittesekkuv</v>
      </c>
      <c r="AX115" s="295" t="str">
        <f>VLOOKUP(VLOOKUP($AU115,KOMBI!$A:$H,5,FALSE),data!$I$39:$J$41,2,FALSE)</f>
        <v>Mittesekkuv</v>
      </c>
      <c r="AY115" s="295" t="str">
        <f>VLOOKUP(VLOOKUP($AU115,KOMBI!$A:$H,4,FALSE),data!$I$32:$J$36,2,FALSE)</f>
        <v>LIB</v>
      </c>
      <c r="BA115" s="25"/>
      <c r="BB115" s="25"/>
      <c r="BC115" s="25"/>
      <c r="BD115" s="25"/>
      <c r="BE115" s="25"/>
      <c r="BF115" s="25"/>
      <c r="BG115" s="25"/>
      <c r="BH115" s="25"/>
      <c r="BI115" s="25"/>
      <c r="BJ115" s="25"/>
      <c r="BK115" s="25"/>
      <c r="BL115" s="25"/>
      <c r="BM115" s="25"/>
      <c r="BN115" s="25"/>
      <c r="BO115" s="25"/>
      <c r="BP115" s="25"/>
      <c r="BQ115" s="25"/>
      <c r="BR115" s="25"/>
      <c r="BS115" s="25"/>
      <c r="BT115" s="25"/>
      <c r="BU115" s="25"/>
      <c r="BV115" s="25"/>
      <c r="BW115" s="25"/>
      <c r="BX115" s="25"/>
      <c r="BY115" s="25"/>
      <c r="BZ115" s="25"/>
      <c r="CA115" s="25"/>
      <c r="CB115" s="25"/>
      <c r="CC115" s="25"/>
      <c r="CD115" s="25"/>
      <c r="CE115" s="25"/>
      <c r="CF115" s="25"/>
      <c r="CG115" s="25"/>
      <c r="CH115" s="25"/>
      <c r="CI115" s="25"/>
      <c r="CJ115" s="25"/>
      <c r="CK115" s="25"/>
      <c r="CL115" s="25"/>
    </row>
    <row r="116" spans="3:90" x14ac:dyDescent="0.2">
      <c r="C116" s="184">
        <v>113</v>
      </c>
      <c r="D116" s="25"/>
      <c r="E116" s="25"/>
      <c r="F116" s="25"/>
      <c r="G116" s="25"/>
      <c r="H116" s="25"/>
      <c r="I116" s="25"/>
      <c r="J116" s="25"/>
      <c r="K116" s="25"/>
      <c r="L116" s="25"/>
      <c r="M116" s="25"/>
      <c r="N116" s="25"/>
      <c r="O116" s="25"/>
      <c r="P116" s="25"/>
      <c r="Q116" s="25"/>
      <c r="R116" s="25"/>
      <c r="S116" s="25"/>
      <c r="T116" s="25"/>
      <c r="U116" s="25"/>
      <c r="V116" s="25"/>
      <c r="W116" s="25"/>
      <c r="X116" s="25"/>
      <c r="Y116" s="25"/>
      <c r="Z116" s="25"/>
      <c r="AA116" s="25"/>
      <c r="AB116" s="25"/>
      <c r="AC116" s="25"/>
      <c r="AD116" s="25"/>
      <c r="AE116" s="25"/>
      <c r="AF116" s="25"/>
      <c r="AG116" s="25"/>
      <c r="AH116" s="25"/>
      <c r="AO116" s="25">
        <v>10000</v>
      </c>
      <c r="AS116" s="297">
        <f t="shared" si="7"/>
        <v>10000</v>
      </c>
      <c r="AT116" s="25">
        <f t="shared" si="8"/>
        <v>10000</v>
      </c>
      <c r="AU116" s="25">
        <f t="shared" si="9"/>
        <v>1</v>
      </c>
      <c r="AV116" s="295" t="str">
        <f>VLOOKUP(VLOOKUP($AU116,KOMBI!$A:$H,3,FALSE),data!$I$27:$J$29,2,FALSE)</f>
        <v>Mittesekkuv</v>
      </c>
      <c r="AW116" s="295" t="str">
        <f>VLOOKUP(VLOOKUP($AU116,KOMBI!$A:$H,2,FALSE),data!$I$21:$J$23,2,FALSE)</f>
        <v>Mittesekkuv</v>
      </c>
      <c r="AX116" s="295" t="str">
        <f>VLOOKUP(VLOOKUP($AU116,KOMBI!$A:$H,5,FALSE),data!$I$39:$J$41,2,FALSE)</f>
        <v>Mittesekkuv</v>
      </c>
      <c r="AY116" s="295" t="str">
        <f>VLOOKUP(VLOOKUP($AU116,KOMBI!$A:$H,4,FALSE),data!$I$32:$J$36,2,FALSE)</f>
        <v>LIB</v>
      </c>
      <c r="BA116" s="25"/>
      <c r="BB116" s="25"/>
      <c r="BC116" s="25"/>
      <c r="BD116" s="25"/>
      <c r="BE116" s="25"/>
      <c r="BF116" s="25"/>
      <c r="BG116" s="25"/>
      <c r="BH116" s="25"/>
      <c r="BI116" s="25"/>
      <c r="BJ116" s="25"/>
      <c r="BK116" s="25"/>
      <c r="BL116" s="25"/>
      <c r="BM116" s="25"/>
      <c r="BN116" s="25"/>
      <c r="BO116" s="25"/>
      <c r="BP116" s="25"/>
      <c r="BQ116" s="25"/>
      <c r="BR116" s="25"/>
      <c r="BS116" s="25"/>
      <c r="BT116" s="25"/>
      <c r="BU116" s="25"/>
      <c r="BV116" s="25"/>
      <c r="BW116" s="25"/>
      <c r="BX116" s="25"/>
      <c r="BY116" s="25"/>
      <c r="BZ116" s="25"/>
      <c r="CA116" s="25"/>
      <c r="CB116" s="25"/>
      <c r="CC116" s="25"/>
      <c r="CD116" s="25"/>
      <c r="CE116" s="25"/>
      <c r="CF116" s="25"/>
      <c r="CG116" s="25"/>
      <c r="CH116" s="25"/>
      <c r="CI116" s="25"/>
      <c r="CJ116" s="25"/>
      <c r="CK116" s="25"/>
      <c r="CL116" s="25"/>
    </row>
    <row r="117" spans="3:90" x14ac:dyDescent="0.2">
      <c r="C117" s="184">
        <v>114</v>
      </c>
      <c r="D117" s="25"/>
      <c r="E117" s="25"/>
      <c r="F117" s="25"/>
      <c r="G117" s="25"/>
      <c r="H117" s="25"/>
      <c r="I117" s="25"/>
      <c r="J117" s="25"/>
      <c r="K117" s="25"/>
      <c r="L117" s="25"/>
      <c r="M117" s="25"/>
      <c r="N117" s="25"/>
      <c r="O117" s="25"/>
      <c r="P117" s="25"/>
      <c r="Q117" s="25"/>
      <c r="R117" s="25"/>
      <c r="S117" s="25"/>
      <c r="T117" s="25"/>
      <c r="U117" s="25"/>
      <c r="V117" s="25"/>
      <c r="W117" s="25"/>
      <c r="X117" s="25"/>
      <c r="Y117" s="25"/>
      <c r="Z117" s="25"/>
      <c r="AA117" s="25"/>
      <c r="AB117" s="25"/>
      <c r="AC117" s="25"/>
      <c r="AD117" s="25"/>
      <c r="AE117" s="25"/>
      <c r="AF117" s="25"/>
      <c r="AG117" s="25"/>
      <c r="AH117" s="25"/>
      <c r="AO117" s="25">
        <v>10000</v>
      </c>
      <c r="AS117" s="297">
        <f t="shared" si="7"/>
        <v>10000</v>
      </c>
      <c r="AT117" s="25">
        <f t="shared" si="8"/>
        <v>10000</v>
      </c>
      <c r="AU117" s="25">
        <f t="shared" si="9"/>
        <v>1</v>
      </c>
      <c r="AV117" s="295" t="str">
        <f>VLOOKUP(VLOOKUP($AU117,KOMBI!$A:$H,3,FALSE),data!$I$27:$J$29,2,FALSE)</f>
        <v>Mittesekkuv</v>
      </c>
      <c r="AW117" s="295" t="str">
        <f>VLOOKUP(VLOOKUP($AU117,KOMBI!$A:$H,2,FALSE),data!$I$21:$J$23,2,FALSE)</f>
        <v>Mittesekkuv</v>
      </c>
      <c r="AX117" s="295" t="str">
        <f>VLOOKUP(VLOOKUP($AU117,KOMBI!$A:$H,5,FALSE),data!$I$39:$J$41,2,FALSE)</f>
        <v>Mittesekkuv</v>
      </c>
      <c r="AY117" s="295" t="str">
        <f>VLOOKUP(VLOOKUP($AU117,KOMBI!$A:$H,4,FALSE),data!$I$32:$J$36,2,FALSE)</f>
        <v>LIB</v>
      </c>
      <c r="BA117" s="25"/>
      <c r="BB117" s="25"/>
      <c r="BC117" s="25"/>
      <c r="BD117" s="25"/>
      <c r="BE117" s="25"/>
      <c r="BF117" s="25"/>
      <c r="BG117" s="25"/>
      <c r="BH117" s="25"/>
      <c r="BI117" s="25"/>
      <c r="BJ117" s="25"/>
      <c r="BK117" s="25"/>
      <c r="BL117" s="25"/>
      <c r="BM117" s="25"/>
      <c r="BN117" s="25"/>
      <c r="BO117" s="25"/>
      <c r="BP117" s="25"/>
      <c r="BQ117" s="25"/>
      <c r="BR117" s="25"/>
      <c r="BS117" s="25"/>
      <c r="BT117" s="25"/>
      <c r="BU117" s="25"/>
      <c r="BV117" s="25"/>
      <c r="BW117" s="25"/>
      <c r="BX117" s="25"/>
      <c r="BY117" s="25"/>
      <c r="BZ117" s="25"/>
      <c r="CA117" s="25"/>
      <c r="CB117" s="25"/>
      <c r="CC117" s="25"/>
      <c r="CD117" s="25"/>
      <c r="CE117" s="25"/>
      <c r="CF117" s="25"/>
      <c r="CG117" s="25"/>
      <c r="CH117" s="25"/>
      <c r="CI117" s="25"/>
      <c r="CJ117" s="25"/>
      <c r="CK117" s="25"/>
      <c r="CL117" s="25"/>
    </row>
    <row r="118" spans="3:90" x14ac:dyDescent="0.2">
      <c r="C118" s="184">
        <v>115</v>
      </c>
      <c r="D118" s="25"/>
      <c r="E118" s="25"/>
      <c r="F118" s="25"/>
      <c r="G118" s="25"/>
      <c r="H118" s="25"/>
      <c r="I118" s="25"/>
      <c r="J118" s="25"/>
      <c r="K118" s="25"/>
      <c r="L118" s="25"/>
      <c r="M118" s="25"/>
      <c r="N118" s="25"/>
      <c r="O118" s="25"/>
      <c r="P118" s="25"/>
      <c r="Q118" s="25"/>
      <c r="R118" s="25"/>
      <c r="S118" s="25"/>
      <c r="T118" s="25"/>
      <c r="U118" s="25"/>
      <c r="V118" s="25"/>
      <c r="W118" s="25"/>
      <c r="X118" s="25"/>
      <c r="Y118" s="25"/>
      <c r="Z118" s="25"/>
      <c r="AA118" s="25"/>
      <c r="AB118" s="25"/>
      <c r="AC118" s="25"/>
      <c r="AD118" s="25"/>
      <c r="AE118" s="25"/>
      <c r="AF118" s="25"/>
      <c r="AG118" s="25"/>
      <c r="AH118" s="25"/>
      <c r="AO118" s="25">
        <v>10000</v>
      </c>
      <c r="AS118" s="297">
        <f t="shared" si="7"/>
        <v>10000</v>
      </c>
      <c r="AT118" s="25">
        <f t="shared" si="8"/>
        <v>10000</v>
      </c>
      <c r="AU118" s="25">
        <f t="shared" si="9"/>
        <v>1</v>
      </c>
      <c r="AV118" s="295" t="str">
        <f>VLOOKUP(VLOOKUP($AU118,KOMBI!$A:$H,3,FALSE),data!$I$27:$J$29,2,FALSE)</f>
        <v>Mittesekkuv</v>
      </c>
      <c r="AW118" s="295" t="str">
        <f>VLOOKUP(VLOOKUP($AU118,KOMBI!$A:$H,2,FALSE),data!$I$21:$J$23,2,FALSE)</f>
        <v>Mittesekkuv</v>
      </c>
      <c r="AX118" s="295" t="str">
        <f>VLOOKUP(VLOOKUP($AU118,KOMBI!$A:$H,5,FALSE),data!$I$39:$J$41,2,FALSE)</f>
        <v>Mittesekkuv</v>
      </c>
      <c r="AY118" s="295" t="str">
        <f>VLOOKUP(VLOOKUP($AU118,KOMBI!$A:$H,4,FALSE),data!$I$32:$J$36,2,FALSE)</f>
        <v>LIB</v>
      </c>
      <c r="BA118" s="25"/>
      <c r="BB118" s="25"/>
      <c r="BC118" s="25"/>
      <c r="BD118" s="25"/>
      <c r="BE118" s="25"/>
      <c r="BF118" s="25"/>
      <c r="BG118" s="25"/>
      <c r="BH118" s="25"/>
      <c r="BI118" s="25"/>
      <c r="BJ118" s="25"/>
      <c r="BK118" s="25"/>
      <c r="BL118" s="25"/>
      <c r="BM118" s="25"/>
      <c r="BN118" s="25"/>
      <c r="BO118" s="25"/>
      <c r="BP118" s="25"/>
      <c r="BQ118" s="25"/>
      <c r="BR118" s="25"/>
      <c r="BS118" s="25"/>
      <c r="BT118" s="25"/>
      <c r="BU118" s="25"/>
      <c r="BV118" s="25"/>
      <c r="BW118" s="25"/>
      <c r="BX118" s="25"/>
      <c r="BY118" s="25"/>
      <c r="BZ118" s="25"/>
      <c r="CA118" s="25"/>
      <c r="CB118" s="25"/>
      <c r="CC118" s="25"/>
      <c r="CD118" s="25"/>
      <c r="CE118" s="25"/>
      <c r="CF118" s="25"/>
      <c r="CG118" s="25"/>
      <c r="CH118" s="25"/>
      <c r="CI118" s="25"/>
      <c r="CJ118" s="25"/>
      <c r="CK118" s="25"/>
      <c r="CL118" s="25"/>
    </row>
    <row r="119" spans="3:90" x14ac:dyDescent="0.2">
      <c r="C119" s="184">
        <v>116</v>
      </c>
      <c r="D119" s="25"/>
      <c r="E119" s="25"/>
      <c r="F119" s="25"/>
      <c r="G119" s="25"/>
      <c r="H119" s="25"/>
      <c r="I119" s="25"/>
      <c r="J119" s="25"/>
      <c r="K119" s="25"/>
      <c r="L119" s="25"/>
      <c r="M119" s="25"/>
      <c r="N119" s="25"/>
      <c r="O119" s="25"/>
      <c r="P119" s="25"/>
      <c r="Q119" s="25"/>
      <c r="R119" s="25"/>
      <c r="S119" s="25"/>
      <c r="T119" s="25"/>
      <c r="U119" s="25"/>
      <c r="V119" s="25"/>
      <c r="W119" s="25"/>
      <c r="X119" s="25"/>
      <c r="Y119" s="25"/>
      <c r="Z119" s="25"/>
      <c r="AA119" s="25"/>
      <c r="AB119" s="25"/>
      <c r="AC119" s="25"/>
      <c r="AD119" s="25"/>
      <c r="AE119" s="25"/>
      <c r="AF119" s="25"/>
      <c r="AG119" s="25"/>
      <c r="AH119" s="25"/>
      <c r="AO119" s="25">
        <v>10000</v>
      </c>
      <c r="AS119" s="297">
        <f t="shared" si="7"/>
        <v>10000</v>
      </c>
      <c r="AT119" s="25">
        <f t="shared" si="8"/>
        <v>10000</v>
      </c>
      <c r="AU119" s="25">
        <f t="shared" si="9"/>
        <v>1</v>
      </c>
      <c r="AV119" s="295" t="str">
        <f>VLOOKUP(VLOOKUP($AU119,KOMBI!$A:$H,3,FALSE),data!$I$27:$J$29,2,FALSE)</f>
        <v>Mittesekkuv</v>
      </c>
      <c r="AW119" s="295" t="str">
        <f>VLOOKUP(VLOOKUP($AU119,KOMBI!$A:$H,2,FALSE),data!$I$21:$J$23,2,FALSE)</f>
        <v>Mittesekkuv</v>
      </c>
      <c r="AX119" s="295" t="str">
        <f>VLOOKUP(VLOOKUP($AU119,KOMBI!$A:$H,5,FALSE),data!$I$39:$J$41,2,FALSE)</f>
        <v>Mittesekkuv</v>
      </c>
      <c r="AY119" s="295" t="str">
        <f>VLOOKUP(VLOOKUP($AU119,KOMBI!$A:$H,4,FALSE),data!$I$32:$J$36,2,FALSE)</f>
        <v>LIB</v>
      </c>
      <c r="BA119" s="25"/>
      <c r="BB119" s="25"/>
      <c r="BC119" s="25"/>
      <c r="BD119" s="25"/>
      <c r="BE119" s="25"/>
      <c r="BF119" s="25"/>
      <c r="BG119" s="25"/>
      <c r="BH119" s="25"/>
      <c r="BI119" s="25"/>
      <c r="BJ119" s="25"/>
      <c r="BK119" s="25"/>
      <c r="BL119" s="25"/>
      <c r="BM119" s="25"/>
      <c r="BN119" s="25"/>
      <c r="BO119" s="25"/>
      <c r="BP119" s="25"/>
      <c r="BQ119" s="25"/>
      <c r="BR119" s="25"/>
      <c r="BS119" s="25"/>
      <c r="BT119" s="25"/>
      <c r="BU119" s="25"/>
      <c r="BV119" s="25"/>
      <c r="BW119" s="25"/>
      <c r="BX119" s="25"/>
      <c r="BY119" s="25"/>
      <c r="BZ119" s="25"/>
      <c r="CA119" s="25"/>
      <c r="CB119" s="25"/>
      <c r="CC119" s="25"/>
      <c r="CD119" s="25"/>
      <c r="CE119" s="25"/>
      <c r="CF119" s="25"/>
      <c r="CG119" s="25"/>
      <c r="CH119" s="25"/>
      <c r="CI119" s="25"/>
      <c r="CJ119" s="25"/>
      <c r="CK119" s="25"/>
      <c r="CL119" s="25"/>
    </row>
    <row r="120" spans="3:90" x14ac:dyDescent="0.2">
      <c r="C120" s="184">
        <v>117</v>
      </c>
      <c r="D120" s="25"/>
      <c r="E120" s="25"/>
      <c r="F120" s="25"/>
      <c r="G120" s="25"/>
      <c r="H120" s="25"/>
      <c r="I120" s="25"/>
      <c r="J120" s="25"/>
      <c r="K120" s="25"/>
      <c r="L120" s="25"/>
      <c r="M120" s="25"/>
      <c r="N120" s="25"/>
      <c r="O120" s="25"/>
      <c r="P120" s="25"/>
      <c r="Q120" s="25"/>
      <c r="R120" s="25"/>
      <c r="S120" s="25"/>
      <c r="T120" s="25"/>
      <c r="U120" s="25"/>
      <c r="V120" s="25"/>
      <c r="W120" s="25"/>
      <c r="X120" s="25"/>
      <c r="Y120" s="25"/>
      <c r="Z120" s="25"/>
      <c r="AA120" s="25"/>
      <c r="AB120" s="25"/>
      <c r="AC120" s="25"/>
      <c r="AD120" s="25"/>
      <c r="AE120" s="25"/>
      <c r="AF120" s="25"/>
      <c r="AG120" s="25"/>
      <c r="AH120" s="25"/>
      <c r="AO120" s="25">
        <v>10000</v>
      </c>
      <c r="AS120" s="297">
        <f t="shared" si="7"/>
        <v>10000</v>
      </c>
      <c r="AT120" s="25">
        <f t="shared" si="8"/>
        <v>10000</v>
      </c>
      <c r="AU120" s="25">
        <f t="shared" si="9"/>
        <v>1</v>
      </c>
      <c r="AV120" s="295" t="str">
        <f>VLOOKUP(VLOOKUP($AU120,KOMBI!$A:$H,3,FALSE),data!$I$27:$J$29,2,FALSE)</f>
        <v>Mittesekkuv</v>
      </c>
      <c r="AW120" s="295" t="str">
        <f>VLOOKUP(VLOOKUP($AU120,KOMBI!$A:$H,2,FALSE),data!$I$21:$J$23,2,FALSE)</f>
        <v>Mittesekkuv</v>
      </c>
      <c r="AX120" s="295" t="str">
        <f>VLOOKUP(VLOOKUP($AU120,KOMBI!$A:$H,5,FALSE),data!$I$39:$J$41,2,FALSE)</f>
        <v>Mittesekkuv</v>
      </c>
      <c r="AY120" s="295" t="str">
        <f>VLOOKUP(VLOOKUP($AU120,KOMBI!$A:$H,4,FALSE),data!$I$32:$J$36,2,FALSE)</f>
        <v>LIB</v>
      </c>
      <c r="BA120" s="25"/>
      <c r="BB120" s="25"/>
      <c r="BC120" s="25"/>
      <c r="BD120" s="25"/>
      <c r="BE120" s="25"/>
      <c r="BF120" s="25"/>
      <c r="BG120" s="25"/>
      <c r="BH120" s="25"/>
      <c r="BI120" s="25"/>
      <c r="BJ120" s="25"/>
      <c r="BK120" s="25"/>
      <c r="BL120" s="25"/>
      <c r="BM120" s="25"/>
      <c r="BN120" s="25"/>
      <c r="BO120" s="25"/>
      <c r="BP120" s="25"/>
      <c r="BQ120" s="25"/>
      <c r="BR120" s="25"/>
      <c r="BS120" s="25"/>
      <c r="BT120" s="25"/>
      <c r="BU120" s="25"/>
      <c r="BV120" s="25"/>
      <c r="BW120" s="25"/>
      <c r="BX120" s="25"/>
      <c r="BY120" s="25"/>
      <c r="BZ120" s="25"/>
      <c r="CA120" s="25"/>
      <c r="CB120" s="25"/>
      <c r="CC120" s="25"/>
      <c r="CD120" s="25"/>
      <c r="CE120" s="25"/>
      <c r="CF120" s="25"/>
      <c r="CG120" s="25"/>
      <c r="CH120" s="25"/>
      <c r="CI120" s="25"/>
      <c r="CJ120" s="25"/>
      <c r="CK120" s="25"/>
      <c r="CL120" s="25"/>
    </row>
    <row r="121" spans="3:90" x14ac:dyDescent="0.2">
      <c r="C121" s="184">
        <v>118</v>
      </c>
      <c r="D121" s="25"/>
      <c r="E121" s="25"/>
      <c r="F121" s="25"/>
      <c r="G121" s="25"/>
      <c r="H121" s="25"/>
      <c r="I121" s="25"/>
      <c r="J121" s="25"/>
      <c r="K121" s="25"/>
      <c r="L121" s="25"/>
      <c r="M121" s="25"/>
      <c r="N121" s="25"/>
      <c r="O121" s="25"/>
      <c r="P121" s="25"/>
      <c r="Q121" s="25"/>
      <c r="R121" s="25"/>
      <c r="S121" s="25"/>
      <c r="T121" s="25"/>
      <c r="U121" s="25"/>
      <c r="V121" s="25"/>
      <c r="W121" s="25"/>
      <c r="X121" s="25"/>
      <c r="Y121" s="25"/>
      <c r="Z121" s="25"/>
      <c r="AA121" s="25"/>
      <c r="AB121" s="25"/>
      <c r="AC121" s="25"/>
      <c r="AD121" s="25"/>
      <c r="AE121" s="25"/>
      <c r="AF121" s="25"/>
      <c r="AG121" s="25"/>
      <c r="AH121" s="25"/>
      <c r="AO121" s="25">
        <v>10000</v>
      </c>
      <c r="AS121" s="297">
        <f t="shared" si="7"/>
        <v>10000</v>
      </c>
      <c r="AT121" s="25">
        <f t="shared" si="8"/>
        <v>10000</v>
      </c>
      <c r="AU121" s="25">
        <f t="shared" si="9"/>
        <v>1</v>
      </c>
      <c r="AV121" s="295" t="str">
        <f>VLOOKUP(VLOOKUP($AU121,KOMBI!$A:$H,3,FALSE),data!$I$27:$J$29,2,FALSE)</f>
        <v>Mittesekkuv</v>
      </c>
      <c r="AW121" s="295" t="str">
        <f>VLOOKUP(VLOOKUP($AU121,KOMBI!$A:$H,2,FALSE),data!$I$21:$J$23,2,FALSE)</f>
        <v>Mittesekkuv</v>
      </c>
      <c r="AX121" s="295" t="str">
        <f>VLOOKUP(VLOOKUP($AU121,KOMBI!$A:$H,5,FALSE),data!$I$39:$J$41,2,FALSE)</f>
        <v>Mittesekkuv</v>
      </c>
      <c r="AY121" s="295" t="str">
        <f>VLOOKUP(VLOOKUP($AU121,KOMBI!$A:$H,4,FALSE),data!$I$32:$J$36,2,FALSE)</f>
        <v>LIB</v>
      </c>
      <c r="BA121" s="25"/>
      <c r="BB121" s="25"/>
      <c r="BC121" s="25"/>
      <c r="BD121" s="25"/>
      <c r="BE121" s="25"/>
      <c r="BF121" s="25"/>
      <c r="BG121" s="25"/>
      <c r="BH121" s="25"/>
      <c r="BI121" s="25"/>
      <c r="BJ121" s="25"/>
      <c r="BK121" s="25"/>
      <c r="BL121" s="25"/>
      <c r="BM121" s="25"/>
      <c r="BN121" s="25"/>
      <c r="BO121" s="25"/>
      <c r="BP121" s="25"/>
      <c r="BQ121" s="25"/>
      <c r="BR121" s="25"/>
      <c r="BS121" s="25"/>
      <c r="BT121" s="25"/>
      <c r="BU121" s="25"/>
      <c r="BV121" s="25"/>
      <c r="BW121" s="25"/>
      <c r="BX121" s="25"/>
      <c r="BY121" s="25"/>
      <c r="BZ121" s="25"/>
      <c r="CA121" s="25"/>
      <c r="CB121" s="25"/>
      <c r="CC121" s="25"/>
      <c r="CD121" s="25"/>
      <c r="CE121" s="25"/>
      <c r="CF121" s="25"/>
      <c r="CG121" s="25"/>
      <c r="CH121" s="25"/>
      <c r="CI121" s="25"/>
      <c r="CJ121" s="25"/>
      <c r="CK121" s="25"/>
      <c r="CL121" s="25"/>
    </row>
    <row r="122" spans="3:90" x14ac:dyDescent="0.2">
      <c r="C122" s="184">
        <v>119</v>
      </c>
      <c r="D122" s="25"/>
      <c r="E122" s="25"/>
      <c r="F122" s="25"/>
      <c r="G122" s="25"/>
      <c r="H122" s="25"/>
      <c r="I122" s="25"/>
      <c r="J122" s="25"/>
      <c r="K122" s="25"/>
      <c r="L122" s="25"/>
      <c r="M122" s="25"/>
      <c r="N122" s="25"/>
      <c r="O122" s="25"/>
      <c r="P122" s="25"/>
      <c r="Q122" s="25"/>
      <c r="R122" s="25"/>
      <c r="S122" s="25"/>
      <c r="T122" s="25"/>
      <c r="U122" s="25"/>
      <c r="V122" s="25"/>
      <c r="W122" s="25"/>
      <c r="X122" s="25"/>
      <c r="Y122" s="25"/>
      <c r="Z122" s="25"/>
      <c r="AA122" s="25"/>
      <c r="AB122" s="25"/>
      <c r="AC122" s="25"/>
      <c r="AD122" s="25"/>
      <c r="AE122" s="25"/>
      <c r="AF122" s="25"/>
      <c r="AG122" s="25"/>
      <c r="AH122" s="25"/>
      <c r="AO122" s="25">
        <v>10000</v>
      </c>
      <c r="AS122" s="297">
        <f t="shared" si="7"/>
        <v>10000</v>
      </c>
      <c r="AT122" s="25">
        <f t="shared" si="8"/>
        <v>10000</v>
      </c>
      <c r="AU122" s="25">
        <f t="shared" si="9"/>
        <v>1</v>
      </c>
      <c r="AV122" s="295" t="str">
        <f>VLOOKUP(VLOOKUP($AU122,KOMBI!$A:$H,3,FALSE),data!$I$27:$J$29,2,FALSE)</f>
        <v>Mittesekkuv</v>
      </c>
      <c r="AW122" s="295" t="str">
        <f>VLOOKUP(VLOOKUP($AU122,KOMBI!$A:$H,2,FALSE),data!$I$21:$J$23,2,FALSE)</f>
        <v>Mittesekkuv</v>
      </c>
      <c r="AX122" s="295" t="str">
        <f>VLOOKUP(VLOOKUP($AU122,KOMBI!$A:$H,5,FALSE),data!$I$39:$J$41,2,FALSE)</f>
        <v>Mittesekkuv</v>
      </c>
      <c r="AY122" s="295" t="str">
        <f>VLOOKUP(VLOOKUP($AU122,KOMBI!$A:$H,4,FALSE),data!$I$32:$J$36,2,FALSE)</f>
        <v>LIB</v>
      </c>
      <c r="BA122" s="25"/>
      <c r="BB122" s="25"/>
      <c r="BC122" s="25"/>
      <c r="BD122" s="25"/>
      <c r="BE122" s="25"/>
      <c r="BF122" s="25"/>
      <c r="BG122" s="25"/>
      <c r="BH122" s="25"/>
      <c r="BI122" s="25"/>
      <c r="BJ122" s="25"/>
      <c r="BK122" s="25"/>
      <c r="BL122" s="25"/>
      <c r="BM122" s="25"/>
      <c r="BN122" s="25"/>
      <c r="BO122" s="25"/>
      <c r="BP122" s="25"/>
      <c r="BQ122" s="25"/>
      <c r="BR122" s="25"/>
      <c r="BS122" s="25"/>
      <c r="BT122" s="25"/>
      <c r="BU122" s="25"/>
      <c r="BV122" s="25"/>
      <c r="BW122" s="25"/>
      <c r="BX122" s="25"/>
      <c r="BY122" s="25"/>
      <c r="BZ122" s="25"/>
      <c r="CA122" s="25"/>
      <c r="CB122" s="25"/>
      <c r="CC122" s="25"/>
      <c r="CD122" s="25"/>
      <c r="CE122" s="25"/>
      <c r="CF122" s="25"/>
      <c r="CG122" s="25"/>
      <c r="CH122" s="25"/>
      <c r="CI122" s="25"/>
      <c r="CJ122" s="25"/>
      <c r="CK122" s="25"/>
      <c r="CL122" s="25"/>
    </row>
    <row r="123" spans="3:90" x14ac:dyDescent="0.2">
      <c r="C123" s="184">
        <v>120</v>
      </c>
      <c r="D123" s="25"/>
      <c r="E123" s="25"/>
      <c r="F123" s="25"/>
      <c r="G123" s="25"/>
      <c r="H123" s="25"/>
      <c r="I123" s="25"/>
      <c r="J123" s="25"/>
      <c r="K123" s="25"/>
      <c r="L123" s="25"/>
      <c r="M123" s="25"/>
      <c r="N123" s="25"/>
      <c r="O123" s="25"/>
      <c r="P123" s="25"/>
      <c r="Q123" s="25"/>
      <c r="R123" s="25"/>
      <c r="S123" s="25"/>
      <c r="T123" s="25"/>
      <c r="U123" s="25"/>
      <c r="V123" s="25"/>
      <c r="W123" s="25"/>
      <c r="X123" s="25"/>
      <c r="Y123" s="25"/>
      <c r="Z123" s="25"/>
      <c r="AA123" s="25"/>
      <c r="AB123" s="25"/>
      <c r="AC123" s="25"/>
      <c r="AD123" s="25"/>
      <c r="AE123" s="25"/>
      <c r="AF123" s="25"/>
      <c r="AG123" s="25"/>
      <c r="AH123" s="25"/>
      <c r="AO123" s="25">
        <v>10000</v>
      </c>
      <c r="AS123" s="297">
        <f t="shared" si="7"/>
        <v>10000</v>
      </c>
      <c r="AT123" s="25">
        <f t="shared" si="8"/>
        <v>10000</v>
      </c>
      <c r="AU123" s="25">
        <f t="shared" si="9"/>
        <v>1</v>
      </c>
      <c r="AV123" s="295" t="str">
        <f>VLOOKUP(VLOOKUP($AU123,KOMBI!$A:$H,3,FALSE),data!$I$27:$J$29,2,FALSE)</f>
        <v>Mittesekkuv</v>
      </c>
      <c r="AW123" s="295" t="str">
        <f>VLOOKUP(VLOOKUP($AU123,KOMBI!$A:$H,2,FALSE),data!$I$21:$J$23,2,FALSE)</f>
        <v>Mittesekkuv</v>
      </c>
      <c r="AX123" s="295" t="str">
        <f>VLOOKUP(VLOOKUP($AU123,KOMBI!$A:$H,5,FALSE),data!$I$39:$J$41,2,FALSE)</f>
        <v>Mittesekkuv</v>
      </c>
      <c r="AY123" s="295" t="str">
        <f>VLOOKUP(VLOOKUP($AU123,KOMBI!$A:$H,4,FALSE),data!$I$32:$J$36,2,FALSE)</f>
        <v>LIB</v>
      </c>
      <c r="BA123" s="25"/>
      <c r="BB123" s="25"/>
      <c r="BC123" s="25"/>
      <c r="BD123" s="25"/>
      <c r="BE123" s="25"/>
      <c r="BF123" s="25"/>
      <c r="BG123" s="25"/>
      <c r="BH123" s="25"/>
      <c r="BI123" s="25"/>
      <c r="BJ123" s="25"/>
      <c r="BK123" s="25"/>
      <c r="BL123" s="25"/>
      <c r="BM123" s="25"/>
      <c r="BN123" s="25"/>
      <c r="BO123" s="25"/>
      <c r="BP123" s="25"/>
      <c r="BQ123" s="25"/>
      <c r="BR123" s="25"/>
      <c r="BS123" s="25"/>
      <c r="BT123" s="25"/>
      <c r="BU123" s="25"/>
      <c r="BV123" s="25"/>
      <c r="BW123" s="25"/>
      <c r="BX123" s="25"/>
      <c r="BY123" s="25"/>
      <c r="BZ123" s="25"/>
      <c r="CA123" s="25"/>
      <c r="CB123" s="25"/>
      <c r="CC123" s="25"/>
      <c r="CD123" s="25"/>
      <c r="CE123" s="25"/>
      <c r="CF123" s="25"/>
      <c r="CG123" s="25"/>
      <c r="CH123" s="25"/>
      <c r="CI123" s="25"/>
      <c r="CJ123" s="25"/>
      <c r="CK123" s="25"/>
      <c r="CL123" s="25"/>
    </row>
    <row r="124" spans="3:90" x14ac:dyDescent="0.2">
      <c r="C124" s="184">
        <v>121</v>
      </c>
      <c r="D124" s="25"/>
      <c r="E124" s="25"/>
      <c r="F124" s="25"/>
      <c r="G124" s="25">
        <f>RANK(INDEX(KOMBI!$A$11:$GI$145,MATCH(PJ!$C124,KOMBI!$A$11:$A$145,0),MATCH(PJ!G$3,KOMBI!$A$1:$GI$1,0)),BD$4:BD$138,G122)</f>
        <v>1</v>
      </c>
      <c r="H124" s="25">
        <f>RANK(INDEX(KOMBI!$A$11:$GI$145,MATCH(PJ!$C124,KOMBI!$A$11:$A$145,0),MATCH(PJ!H$3,KOMBI!$A$1:$GI$1,0)),BE$4:BE$138,H122)</f>
        <v>15</v>
      </c>
      <c r="I124" s="25"/>
      <c r="J124" s="25">
        <f>RANK(INDEX(KOMBI!$A$11:$GI$145,MATCH(PJ!$C124,KOMBI!$A$11:$A$145,0),MATCH(PJ!J$3,KOMBI!$A$1:$GI$1,0)),BG$4:BG$138,J122)</f>
        <v>5</v>
      </c>
      <c r="K124" s="25"/>
      <c r="L124" s="25">
        <f>RANK(INDEX(KOMBI!$A$11:$GI$145,MATCH(PJ!$C124,KOMBI!$A$11:$A$145,0),MATCH(PJ!L$3,KOMBI!$A$1:$GI$1,0)),BI$4:BI$138,L122)</f>
        <v>1</v>
      </c>
      <c r="M124" s="25">
        <f>RANK(INDEX(KOMBI!$A$11:$GI$145,MATCH(PJ!$C124,KOMBI!$A$11:$A$145,0),MATCH(PJ!M$3,KOMBI!$A$1:$GI$1,0)),BJ$4:BJ$138,M122)</f>
        <v>4</v>
      </c>
      <c r="N124" s="25">
        <f>RANK(INDEX(KOMBI!$A$11:$GI$145,MATCH(PJ!$C124,KOMBI!$A$11:$A$145,0),MATCH(PJ!N$3,KOMBI!$A$1:$GI$1,0)),BK$4:BK$138,N122)</f>
        <v>7</v>
      </c>
      <c r="O124" s="25">
        <f>RANK(INDEX(KOMBI!$A$11:$GI$145,MATCH(PJ!$C124,KOMBI!$A$11:$A$145,0),MATCH(PJ!O$3,KOMBI!$A$1:$GI$1,0)),BL$4:BL$138,O122)</f>
        <v>15</v>
      </c>
      <c r="P124" s="25">
        <f>RANK(INDEX(KOMBI!$A$11:$GI$145,MATCH(PJ!$C124,KOMBI!$A$11:$A$145,0),MATCH(PJ!P$3,KOMBI!$A$1:$GI$1,0)),BM$4:BM$138,P122)</f>
        <v>4</v>
      </c>
      <c r="Q124" s="25">
        <f>RANK(INDEX(KOMBI!$A$11:$GI$145,MATCH(PJ!$C124,KOMBI!$A$11:$A$145,0),MATCH(PJ!Q$3,KOMBI!$A$1:$GI$1,0)),BN$4:BN$138,Q122)</f>
        <v>14</v>
      </c>
      <c r="R124" s="25">
        <f>RANK(INDEX(KOMBI!$A$11:$GI$145,MATCH(PJ!$C124,KOMBI!$A$11:$A$145,0),MATCH(PJ!R$3,KOMBI!$A$1:$GI$1,0)),BO$4:BO$138,R122)</f>
        <v>15</v>
      </c>
      <c r="S124" s="25"/>
      <c r="T124" s="25">
        <f>RANK(INDEX(KOMBI!$A$11:$GI$145,MATCH(PJ!$C124,KOMBI!$A$11:$A$145,0),MATCH(PJ!T$3,KOMBI!$A$1:$GI$1,0)),BQ$4:BQ$138,T122)</f>
        <v>11</v>
      </c>
      <c r="U124" s="25">
        <f>RANK(INDEX(KOMBI!$A$11:$GI$145,MATCH(PJ!$C124,KOMBI!$A$11:$A$145,0),MATCH(PJ!U$3,KOMBI!$A$1:$GI$1,0)),BR$4:BR$138,U122)</f>
        <v>12</v>
      </c>
      <c r="V124" s="25"/>
      <c r="W124" s="25"/>
      <c r="X124" s="25"/>
      <c r="Y124" s="25"/>
      <c r="Z124" s="25"/>
      <c r="AA124" s="25">
        <f>RANK(INDEX(KOMBI!$A$11:$GI$145,MATCH(PJ!$C124,KOMBI!$A$11:$A$145,0),MATCH(PJ!AA$3,KOMBI!$A$1:$GI$1,0)),BX$4:BX$138,AA122)</f>
        <v>10</v>
      </c>
      <c r="AB124" s="25">
        <f>RANK(INDEX(KOMBI!$A$11:$GI$145,MATCH(PJ!$C124,KOMBI!$A$11:$A$145,0),MATCH(PJ!AB$3,KOMBI!$A$1:$GI$1,0)),BY$4:BY$138,AB122)</f>
        <v>4</v>
      </c>
      <c r="AC124" s="25">
        <f>RANK(INDEX(KOMBI!$A$11:$GI$145,MATCH(PJ!$C124,KOMBI!$A$11:$A$145,0),MATCH(PJ!AC$3,KOMBI!$A$1:$GI$1,0)),BZ$4:BZ$138,AC122)</f>
        <v>14</v>
      </c>
      <c r="AD124" s="25">
        <f>RANK(INDEX(KOMBI!$A$11:$GI$145,MATCH(PJ!$C124,KOMBI!$A$11:$A$145,0),MATCH(PJ!AD$3,KOMBI!$A$1:$GI$1,0)),CA$4:CA$138,AD122)</f>
        <v>12</v>
      </c>
      <c r="AE124" s="25">
        <f>RANK(INDEX(KOMBI!$A$11:$GI$145,MATCH(PJ!$C124,KOMBI!$A$11:$A$145,0),MATCH(PJ!AE$3,KOMBI!$A$1:$GI$1,0)),CB$4:CB$138,AE122)</f>
        <v>12</v>
      </c>
      <c r="AF124" s="25"/>
      <c r="AG124" s="25">
        <f>RANK(INDEX(KOMBI!$A$11:$GI$145,MATCH(PJ!$C124,KOMBI!$A$11:$A$145,0),MATCH(PJ!AG$3,KOMBI!$A$1:$GI$1,0)),CD$4:CD$138,AG122)</f>
        <v>4</v>
      </c>
      <c r="AH124" s="25">
        <f>RANK(INDEX(KOMBI!$A$11:$GI$145,MATCH(PJ!$C124,KOMBI!$A$11:$A$145,0),MATCH(PJ!AH$3,KOMBI!$A$1:$GI$1,0)),CE$4:CE$138,AH122)</f>
        <v>1</v>
      </c>
      <c r="AI124" s="25">
        <f>RANK(INDEX(KOMBI!$A$11:$GI$145,MATCH(PJ!$C124,KOMBI!$A$11:$A$145,0),MATCH(PJ!AI$3,KOMBI!$A$1:$GI$1,0)),CF$4:CF$138,AI122)</f>
        <v>7</v>
      </c>
      <c r="AJ124" s="25">
        <f>RANK(INDEX(KOMBI!$A$11:$GI$145,MATCH(PJ!$C124,KOMBI!$A$11:$A$145,0),MATCH(PJ!AJ$3,KOMBI!$A$1:$GI$1,0)),CG$4:CG$138,AJ122)</f>
        <v>4</v>
      </c>
      <c r="AK124" s="25">
        <f>RANK(INDEX(KOMBI!$A$11:$GI$145,MATCH(PJ!$C124,KOMBI!$A$11:$A$145,0),MATCH(PJ!AK$3,KOMBI!$A$1:$GI$1,0)),CH$4:CH$138,AK122)</f>
        <v>10</v>
      </c>
      <c r="AN124" s="25">
        <f>RANK(INDEX(KOMBI!$A$11:$GI$145,MATCH(PJ!$C124,KOMBI!$A$11:$A$145,0),MATCH(PJ!AN$3,KOMBI!$A$1:$GI$1,0)),CK$4:CK$138,AN122)</f>
        <v>1</v>
      </c>
      <c r="AO124" s="25">
        <f>RANK(INDEX(KOMBI!$A$11:$GI$145,MATCH(PJ!$C124,KOMBI!$A$11:$A$145,0),MATCH(PJ!AO$3,KOMBI!$A$1:$GI$1,0)),CL$4:CL$138,AO122)</f>
        <v>1</v>
      </c>
      <c r="AS124" s="297">
        <f t="shared" si="7"/>
        <v>184</v>
      </c>
      <c r="AT124" s="25">
        <f t="shared" ref="AT124:AT138" si="10">SMALL($AS$4:$AS$138,ROW(121:121))</f>
        <v>10000</v>
      </c>
      <c r="AU124" s="25">
        <f t="shared" ref="AU124:AU138" si="11">INDEX($C$2:$AS$138,MATCH($AT124,$AS$2:$AS$138,0),1)</f>
        <v>1</v>
      </c>
      <c r="AV124" s="295" t="str">
        <f>VLOOKUP(VLOOKUP($AU124,KOMBI!$A:$H,3,FALSE),data!$I$27:$J$29,2,FALSE)</f>
        <v>Mittesekkuv</v>
      </c>
      <c r="AW124" s="295" t="str">
        <f>VLOOKUP(VLOOKUP($AU124,KOMBI!$A:$H,2,FALSE),data!$I$21:$J$23,2,FALSE)</f>
        <v>Mittesekkuv</v>
      </c>
      <c r="AX124" s="295" t="str">
        <f>VLOOKUP(VLOOKUP($AU124,KOMBI!$A:$H,5,FALSE),data!$I$39:$J$41,2,FALSE)</f>
        <v>Mittesekkuv</v>
      </c>
      <c r="AY124" s="295" t="str">
        <f>VLOOKUP(VLOOKUP($AU124,KOMBI!$A:$H,4,FALSE),data!$I$32:$J$36,2,FALSE)</f>
        <v>LIB</v>
      </c>
      <c r="BA124" s="25">
        <f t="array" ref="BA124">INDEX(KOMBI!$A$1:$GI$145,ROW(PJ!BA131),MATCH(PJ!BA$3,KOMBI!$A$1:$GI$1,0))</f>
        <v>5.6429680009667482</v>
      </c>
      <c r="BB124" s="25">
        <f t="array" ref="BB124">INDEX(KOMBI!$A$1:$GI$145,ROW(PJ!BB131),MATCH(PJ!BB$3,KOMBI!$A$1:$GI$1,0))</f>
        <v>314.96626792954498</v>
      </c>
      <c r="BC124" s="25">
        <f t="array" aca="1" ref="BC124" ca="1">INDEX(KOMBI!$A$1:$GI$145,ROW(PJ!BC131),MATCH(PJ!BC$3,KOMBI!$A$1:$GI$1,0))</f>
        <v>11.713532465820407</v>
      </c>
      <c r="BD124" s="25">
        <f t="array" ref="BD124">INDEX(KOMBI!$A$1:$GI$145,ROW(PJ!BD131),MATCH(PJ!BD$3,KOMBI!$A$1:$GI$1,0))</f>
        <v>-162.95750000000001</v>
      </c>
      <c r="BE124" s="25">
        <f t="array" ref="BE124">INDEX(KOMBI!$A$1:$GI$145,ROW(PJ!BE131),MATCH(PJ!BE$3,KOMBI!$A$1:$GI$1,0))</f>
        <v>174.67103246582042</v>
      </c>
      <c r="BF124" s="25">
        <f t="array" aca="1" ref="BF124" ca="1">INDEX(KOMBI!$A$1:$GI$145,ROW(PJ!BF131),MATCH(PJ!BF$3,KOMBI!$A$1:$GI$1,0))</f>
        <v>0</v>
      </c>
      <c r="BG124" s="25">
        <f t="array" ref="BG124">INDEX(KOMBI!$A$1:$GI$145,ROW(PJ!BG131),MATCH(PJ!BG$3,KOMBI!$A$1:$GI$1,0))</f>
        <v>0.55300023275351873</v>
      </c>
      <c r="BH124" s="25">
        <f t="array" ref="BH124">INDEX(KOMBI!$A$1:$GI$145,ROW(PJ!BH131),MATCH(PJ!BH$3,KOMBI!$A$1:$GI$1,0))</f>
        <v>90</v>
      </c>
      <c r="BI124" s="25">
        <f t="array" ref="BI124">INDEX(KOMBI!$A$1:$GI$145,ROW(PJ!BI131),MATCH(PJ!BI$3,KOMBI!$A$1:$GI$1,0))</f>
        <v>1</v>
      </c>
      <c r="BJ124" s="25">
        <f t="array" ref="BJ124">INDEX(KOMBI!$A$1:$GI$145,ROW(PJ!BJ131),MATCH(PJ!BJ$3,KOMBI!$A$1:$GI$1,0))</f>
        <v>0.27911646586345373</v>
      </c>
      <c r="BK124" s="25">
        <f t="array" ref="BK124">INDEX(KOMBI!$A$1:$GI$145,ROW(PJ!BK131),MATCH(PJ!BK$3,KOMBI!$A$1:$GI$1,0))</f>
        <v>0.36791956700630501</v>
      </c>
      <c r="BL124" s="25">
        <f t="array" ref="BL124">INDEX(KOMBI!$A$1:$GI$145,ROW(PJ!BL131),MATCH(PJ!BL$3,KOMBI!$A$1:$GI$1,0))</f>
        <v>1.2055010155737268E-2</v>
      </c>
      <c r="BM124" s="25">
        <f t="array" ref="BM124">INDEX(KOMBI!$A$1:$GI$145,ROW(PJ!BM131),MATCH(PJ!BM$3,KOMBI!$A$1:$GI$1,0))</f>
        <v>6.6081166904124796E-3</v>
      </c>
      <c r="BN124" s="25">
        <f t="array" ref="BN124">INDEX(KOMBI!$A$1:$GI$145,ROW(PJ!BN131),MATCH(PJ!BN$3,KOMBI!$A$1:$GI$1,0))</f>
        <v>9.2316975648529254E-4</v>
      </c>
      <c r="BO124" s="25">
        <f t="array" ref="BO124">INDEX(KOMBI!$A$1:$GI$145,ROW(PJ!BO131),MATCH(PJ!BO$3,KOMBI!$A$1:$GI$1,0))</f>
        <v>1.1225113498030251E-2</v>
      </c>
      <c r="BP124" s="25">
        <f t="array" ref="BP124">INDEX(KOMBI!$A$1:$GI$145,ROW(PJ!BP131),MATCH(PJ!BP$3,KOMBI!$A$1:$GI$1,0))</f>
        <v>7.5609999999999999</v>
      </c>
      <c r="BQ124" s="25">
        <f t="array" ref="BQ124">INDEX(KOMBI!$A$1:$GI$145,ROW(PJ!BQ131),MATCH(PJ!BQ$3,KOMBI!$A$1:$GI$1,0))</f>
        <v>9.68</v>
      </c>
      <c r="BR124" s="25">
        <f t="array" ref="BR124">INDEX(KOMBI!$A$1:$GI$145,ROW(PJ!BR131),MATCH(PJ!BR$3,KOMBI!$A$1:$GI$1,0))</f>
        <v>-5.2846876197328384E-2</v>
      </c>
      <c r="BS124" s="25">
        <f t="array" ref="BS124">INDEX(KOMBI!$A$1:$GI$145,ROW(PJ!BS131),MATCH(PJ!BS$3,KOMBI!$A$1:$GI$1,0))</f>
        <v>-5.9479223917081457E-2</v>
      </c>
      <c r="BT124" s="25">
        <f t="array" ref="BT124">INDEX(KOMBI!$A$1:$GI$145,ROW(PJ!BT131),MATCH(PJ!BT$3,KOMBI!$A$1:$GI$1,0))</f>
        <v>-8.3132550627432633E-2</v>
      </c>
      <c r="BU124" s="25">
        <f t="array" ref="BU124">INDEX(KOMBI!$A$1:$GI$145,ROW(PJ!BU131),MATCH(PJ!BU$3,KOMBI!$A$1:$GI$1,0))</f>
        <v>7.1506303115986807</v>
      </c>
      <c r="BV124" s="25">
        <f t="array" ref="BV124">INDEX(KOMBI!$A$1:$GI$145,ROW(PJ!BV131),MATCH(PJ!BV$3,KOMBI!$A$1:$GI$1,0))</f>
        <v>4.9059999999999997</v>
      </c>
      <c r="BW124" s="25">
        <f t="array" ref="BW124">INDEX(KOMBI!$A$1:$GI$145,ROW(PJ!BW131),MATCH(PJ!BW$3,KOMBI!$A$1:$GI$1,0))</f>
        <v>1.03788499063732</v>
      </c>
      <c r="BX124" s="25">
        <f t="array" ref="BX124">INDEX(KOMBI!$A$1:$GI$145,ROW(PJ!BX131),MATCH(PJ!BX$3,KOMBI!$A$1:$GI$1,0))</f>
        <v>16.46</v>
      </c>
      <c r="BY124" s="25">
        <f t="array" ref="BY124">INDEX(KOMBI!$A$1:$GI$145,ROW(PJ!BY131),MATCH(PJ!BY$3,KOMBI!$A$1:$GI$1,0))</f>
        <v>11.220496548433506</v>
      </c>
      <c r="BZ124" s="25">
        <f t="array" ref="BZ124">INDEX(KOMBI!$A$1:$GI$145,ROW(PJ!BZ131),MATCH(PJ!BZ$3,KOMBI!$A$1:$GI$1,0))</f>
        <v>67</v>
      </c>
      <c r="CA124" s="25">
        <f t="array" ref="CA124">INDEX(KOMBI!$A$1:$GI$145,ROW(PJ!CA131),MATCH(PJ!CA$3,KOMBI!$A$1:$GI$1,0))</f>
        <v>12.632999999999999</v>
      </c>
      <c r="CB124" s="25">
        <f t="array" ref="CB124">INDEX(KOMBI!$A$1:$GI$145,ROW(PJ!CB131),MATCH(PJ!CB$3,KOMBI!$A$1:$GI$1,0))</f>
        <v>56.999166666666667</v>
      </c>
      <c r="CC124" s="25">
        <f t="array" ref="CC124">INDEX(KOMBI!$A$1:$GI$145,ROW(PJ!CC131),MATCH(PJ!CC$3,KOMBI!$A$1:$GI$1,0))</f>
        <v>4.5920439999999996</v>
      </c>
      <c r="CD124" s="25">
        <f t="array" ref="CD124">INDEX(KOMBI!$A$1:$GI$145,ROW(PJ!CD131),MATCH(PJ!CD$3,KOMBI!$A$1:$GI$1,0))</f>
        <v>285</v>
      </c>
      <c r="CE124" s="25">
        <f t="array" ref="CE124">INDEX(KOMBI!$A$1:$GI$145,ROW(PJ!CE131),MATCH(PJ!CE$3,KOMBI!$A$1:$GI$1,0))</f>
        <v>2.7810000000000001</v>
      </c>
      <c r="CF124" s="25">
        <f t="array" ref="CF124">INDEX(KOMBI!$A$1:$GI$145,ROW(PJ!CF131),MATCH(PJ!CF$3,KOMBI!$A$1:$GI$1,0))</f>
        <v>43.302900516795866</v>
      </c>
      <c r="CG124" s="25">
        <f t="array" ref="CG124">INDEX(KOMBI!$A$1:$GI$145,ROW(PJ!CG131),MATCH(PJ!CG$3,KOMBI!$A$1:$GI$1,0))</f>
        <v>2.5620074329845279E-2</v>
      </c>
      <c r="CH124" s="25">
        <f t="array" ref="CH124">INDEX(KOMBI!$A$1:$GI$145,ROW(PJ!CH131),MATCH(PJ!CH$3,KOMBI!$A$1:$GI$1,0))</f>
        <v>0.447957193299102</v>
      </c>
      <c r="CI124" s="25">
        <f t="array" ref="CI124">INDEX(KOMBI!$A$1:$GI$145,ROW(PJ!CI131),MATCH(PJ!CI$3,KOMBI!$A$1:$GI$1,0))</f>
        <v>6.08</v>
      </c>
      <c r="CJ124" s="25">
        <f t="array" ref="CJ124">INDEX(KOMBI!$A$1:$GI$145,ROW(PJ!CJ131),MATCH(PJ!CJ$3,KOMBI!$A$1:$GI$1,0))</f>
        <v>2.7248849906373196</v>
      </c>
      <c r="CK124" s="25">
        <f t="array" ref="CK124">INDEX(KOMBI!$A$1:$GI$145,ROW(PJ!CK131),MATCH(PJ!CK$3,KOMBI!$A$1:$GI$1,0))</f>
        <v>0.19900000000000001</v>
      </c>
      <c r="CL124" s="25">
        <f t="array" ref="CL124">INDEX(KOMBI!$A$1:$GI$145,ROW(PJ!CL131),MATCH(PJ!CL$3,KOMBI!$A$1:$GI$1,0))</f>
        <v>0.72299999999999998</v>
      </c>
    </row>
    <row r="125" spans="3:90" x14ac:dyDescent="0.2">
      <c r="C125" s="184">
        <v>122</v>
      </c>
      <c r="D125" s="25"/>
      <c r="E125" s="25"/>
      <c r="F125" s="25"/>
      <c r="G125" s="25">
        <f>RANK(INDEX(KOMBI!$A$11:$GI$145,MATCH(PJ!$C125,KOMBI!$A$11:$A$145,0),MATCH(PJ!G$3,KOMBI!$A$1:$GI$1,0)),BD$4:BD$138,G123)</f>
        <v>6</v>
      </c>
      <c r="H125" s="25">
        <f>RANK(INDEX(KOMBI!$A$11:$GI$145,MATCH(PJ!$C125,KOMBI!$A$11:$A$145,0),MATCH(PJ!H$3,KOMBI!$A$1:$GI$1,0)),BE$4:BE$138,H123)</f>
        <v>11</v>
      </c>
      <c r="I125" s="25"/>
      <c r="J125" s="25">
        <f>RANK(INDEX(KOMBI!$A$11:$GI$145,MATCH(PJ!$C125,KOMBI!$A$11:$A$145,0),MATCH(PJ!J$3,KOMBI!$A$1:$GI$1,0)),BG$4:BG$138,J123)</f>
        <v>8</v>
      </c>
      <c r="K125" s="25"/>
      <c r="L125" s="25">
        <f>RANK(INDEX(KOMBI!$A$11:$GI$145,MATCH(PJ!$C125,KOMBI!$A$11:$A$145,0),MATCH(PJ!L$3,KOMBI!$A$1:$GI$1,0)),BI$4:BI$138,L123)</f>
        <v>6</v>
      </c>
      <c r="M125" s="25">
        <f>RANK(INDEX(KOMBI!$A$11:$GI$145,MATCH(PJ!$C125,KOMBI!$A$11:$A$145,0),MATCH(PJ!M$3,KOMBI!$A$1:$GI$1,0)),BJ$4:BJ$138,M123)</f>
        <v>4</v>
      </c>
      <c r="N125" s="25">
        <f>RANK(INDEX(KOMBI!$A$11:$GI$145,MATCH(PJ!$C125,KOMBI!$A$11:$A$145,0),MATCH(PJ!N$3,KOMBI!$A$1:$GI$1,0)),BK$4:BK$138,N123)</f>
        <v>7</v>
      </c>
      <c r="O125" s="25">
        <f>RANK(INDEX(KOMBI!$A$11:$GI$145,MATCH(PJ!$C125,KOMBI!$A$11:$A$145,0),MATCH(PJ!O$3,KOMBI!$A$1:$GI$1,0)),BL$4:BL$138,O123)</f>
        <v>11</v>
      </c>
      <c r="P125" s="25">
        <f>RANK(INDEX(KOMBI!$A$11:$GI$145,MATCH(PJ!$C125,KOMBI!$A$11:$A$145,0),MATCH(PJ!P$3,KOMBI!$A$1:$GI$1,0)),BM$4:BM$138,P123)</f>
        <v>9</v>
      </c>
      <c r="Q125" s="25">
        <f>RANK(INDEX(KOMBI!$A$11:$GI$145,MATCH(PJ!$C125,KOMBI!$A$11:$A$145,0),MATCH(PJ!Q$3,KOMBI!$A$1:$GI$1,0)),BN$4:BN$138,Q123)</f>
        <v>10</v>
      </c>
      <c r="R125" s="25">
        <f>RANK(INDEX(KOMBI!$A$11:$GI$145,MATCH(PJ!$C125,KOMBI!$A$11:$A$145,0),MATCH(PJ!R$3,KOMBI!$A$1:$GI$1,0)),BO$4:BO$138,R123)</f>
        <v>11</v>
      </c>
      <c r="S125" s="25"/>
      <c r="T125" s="25">
        <f>RANK(INDEX(KOMBI!$A$11:$GI$145,MATCH(PJ!$C125,KOMBI!$A$11:$A$145,0),MATCH(PJ!T$3,KOMBI!$A$1:$GI$1,0)),BQ$4:BQ$138,T123)</f>
        <v>8</v>
      </c>
      <c r="U125" s="25">
        <f>RANK(INDEX(KOMBI!$A$11:$GI$145,MATCH(PJ!$C125,KOMBI!$A$11:$A$145,0),MATCH(PJ!U$3,KOMBI!$A$1:$GI$1,0)),BR$4:BR$138,U123)</f>
        <v>9</v>
      </c>
      <c r="V125" s="25"/>
      <c r="W125" s="25"/>
      <c r="X125" s="25"/>
      <c r="Y125" s="25"/>
      <c r="Z125" s="25"/>
      <c r="AA125" s="25">
        <f>RANK(INDEX(KOMBI!$A$11:$GI$145,MATCH(PJ!$C125,KOMBI!$A$11:$A$145,0),MATCH(PJ!AA$3,KOMBI!$A$1:$GI$1,0)),BX$4:BX$138,AA123)</f>
        <v>10</v>
      </c>
      <c r="AB125" s="25">
        <f>RANK(INDEX(KOMBI!$A$11:$GI$145,MATCH(PJ!$C125,KOMBI!$A$11:$A$145,0),MATCH(PJ!AB$3,KOMBI!$A$1:$GI$1,0)),BY$4:BY$138,AB123)</f>
        <v>4</v>
      </c>
      <c r="AC125" s="25">
        <f>RANK(INDEX(KOMBI!$A$11:$GI$145,MATCH(PJ!$C125,KOMBI!$A$11:$A$145,0),MATCH(PJ!AC$3,KOMBI!$A$1:$GI$1,0)),BZ$4:BZ$138,AC123)</f>
        <v>12</v>
      </c>
      <c r="AD125" s="25">
        <f>RANK(INDEX(KOMBI!$A$11:$GI$145,MATCH(PJ!$C125,KOMBI!$A$11:$A$145,0),MATCH(PJ!AD$3,KOMBI!$A$1:$GI$1,0)),CA$4:CA$138,AD123)</f>
        <v>9</v>
      </c>
      <c r="AE125" s="25">
        <f>RANK(INDEX(KOMBI!$A$11:$GI$145,MATCH(PJ!$C125,KOMBI!$A$11:$A$145,0),MATCH(PJ!AE$3,KOMBI!$A$1:$GI$1,0)),CB$4:CB$138,AE123)</f>
        <v>9</v>
      </c>
      <c r="AF125" s="25"/>
      <c r="AG125" s="25">
        <f>RANK(INDEX(KOMBI!$A$11:$GI$145,MATCH(PJ!$C125,KOMBI!$A$11:$A$145,0),MATCH(PJ!AG$3,KOMBI!$A$1:$GI$1,0)),CD$4:CD$138,AG123)</f>
        <v>4</v>
      </c>
      <c r="AH125" s="25">
        <f>RANK(INDEX(KOMBI!$A$11:$GI$145,MATCH(PJ!$C125,KOMBI!$A$11:$A$145,0),MATCH(PJ!AH$3,KOMBI!$A$1:$GI$1,0)),CE$4:CE$138,AH123)</f>
        <v>1</v>
      </c>
      <c r="AI125" s="25">
        <f>RANK(INDEX(KOMBI!$A$11:$GI$145,MATCH(PJ!$C125,KOMBI!$A$11:$A$145,0),MATCH(PJ!AI$3,KOMBI!$A$1:$GI$1,0)),CF$4:CF$138,AI123)</f>
        <v>7</v>
      </c>
      <c r="AJ125" s="25">
        <f>RANK(INDEX(KOMBI!$A$11:$GI$145,MATCH(PJ!$C125,KOMBI!$A$11:$A$145,0),MATCH(PJ!AJ$3,KOMBI!$A$1:$GI$1,0)),CG$4:CG$138,AJ123)</f>
        <v>4</v>
      </c>
      <c r="AK125" s="25">
        <f>RANK(INDEX(KOMBI!$A$11:$GI$145,MATCH(PJ!$C125,KOMBI!$A$11:$A$145,0),MATCH(PJ!AK$3,KOMBI!$A$1:$GI$1,0)),CH$4:CH$138,AK123)</f>
        <v>10</v>
      </c>
      <c r="AN125" s="25">
        <f>RANK(INDEX(KOMBI!$A$11:$GI$145,MATCH(PJ!$C125,KOMBI!$A$11:$A$145,0),MATCH(PJ!AN$3,KOMBI!$A$1:$GI$1,0)),CK$4:CK$138,AN123)</f>
        <v>1</v>
      </c>
      <c r="AO125" s="25">
        <f>RANK(INDEX(KOMBI!$A$11:$GI$145,MATCH(PJ!$C125,KOMBI!$A$11:$A$145,0),MATCH(PJ!AO$3,KOMBI!$A$1:$GI$1,0)),CL$4:CL$138,AO123)</f>
        <v>1</v>
      </c>
      <c r="AS125" s="297">
        <f t="shared" si="7"/>
        <v>172</v>
      </c>
      <c r="AT125" s="25">
        <f t="shared" si="10"/>
        <v>10000</v>
      </c>
      <c r="AU125" s="25">
        <f t="shared" si="11"/>
        <v>1</v>
      </c>
      <c r="AV125" s="295" t="str">
        <f>VLOOKUP(VLOOKUP($AU125,KOMBI!$A:$H,3,FALSE),data!$I$27:$J$29,2,FALSE)</f>
        <v>Mittesekkuv</v>
      </c>
      <c r="AW125" s="295" t="str">
        <f>VLOOKUP(VLOOKUP($AU125,KOMBI!$A:$H,2,FALSE),data!$I$21:$J$23,2,FALSE)</f>
        <v>Mittesekkuv</v>
      </c>
      <c r="AX125" s="295" t="str">
        <f>VLOOKUP(VLOOKUP($AU125,KOMBI!$A:$H,5,FALSE),data!$I$39:$J$41,2,FALSE)</f>
        <v>Mittesekkuv</v>
      </c>
      <c r="AY125" s="295" t="str">
        <f>VLOOKUP(VLOOKUP($AU125,KOMBI!$A:$H,4,FALSE),data!$I$32:$J$36,2,FALSE)</f>
        <v>LIB</v>
      </c>
      <c r="BA125" s="25">
        <f t="array" ref="BA125">INDEX(KOMBI!$A$1:$GI$145,ROW(PJ!BA132),MATCH(PJ!BA$3,KOMBI!$A$1:$GI$1,0))</f>
        <v>6.5588796496125887</v>
      </c>
      <c r="BB125" s="25">
        <f t="array" ref="BB125">INDEX(KOMBI!$A$1:$GI$145,ROW(PJ!BB132),MATCH(PJ!BB$3,KOMBI!$A$1:$GI$1,0))</f>
        <v>475.44630019880822</v>
      </c>
      <c r="BC125" s="25">
        <f t="array" aca="1" ref="BC125" ca="1">INDEX(KOMBI!$A$1:$GI$145,ROW(PJ!BC132),MATCH(PJ!BC$3,KOMBI!$A$1:$GI$1,0))</f>
        <v>40.878854494355494</v>
      </c>
      <c r="BD125" s="25">
        <f t="array" ref="BD125">INDEX(KOMBI!$A$1:$GI$145,ROW(PJ!BD132),MATCH(PJ!BD$3,KOMBI!$A$1:$GI$1,0))</f>
        <v>-178.19071988063212</v>
      </c>
      <c r="BE125" s="25">
        <f t="array" ref="BE125">INDEX(KOMBI!$A$1:$GI$145,ROW(PJ!BE132),MATCH(PJ!BE$3,KOMBI!$A$1:$GI$1,0))</f>
        <v>219.06957437498761</v>
      </c>
      <c r="BF125" s="25">
        <f t="array" aca="1" ref="BF125" ca="1">INDEX(KOMBI!$A$1:$GI$145,ROW(PJ!BF132),MATCH(PJ!BF$3,KOMBI!$A$1:$GI$1,0))</f>
        <v>0</v>
      </c>
      <c r="BG125" s="25">
        <f t="array" ref="BG125">INDEX(KOMBI!$A$1:$GI$145,ROW(PJ!BG132),MATCH(PJ!BG$3,KOMBI!$A$1:$GI$1,0))</f>
        <v>0.50399694699362874</v>
      </c>
      <c r="BH125" s="25">
        <f t="array" ref="BH125">INDEX(KOMBI!$A$1:$GI$145,ROW(PJ!BH132),MATCH(PJ!BH$3,KOMBI!$A$1:$GI$1,0))</f>
        <v>90</v>
      </c>
      <c r="BI125" s="25">
        <f t="array" ref="BI125">INDEX(KOMBI!$A$1:$GI$145,ROW(PJ!BI132),MATCH(PJ!BI$3,KOMBI!$A$1:$GI$1,0))</f>
        <v>0.72887234460741657</v>
      </c>
      <c r="BJ125" s="25">
        <f t="array" ref="BJ125">INDEX(KOMBI!$A$1:$GI$145,ROW(PJ!BJ132),MATCH(PJ!BJ$3,KOMBI!$A$1:$GI$1,0))</f>
        <v>0.27911646586345373</v>
      </c>
      <c r="BK125" s="25">
        <f t="array" ref="BK125">INDEX(KOMBI!$A$1:$GI$145,ROW(PJ!BK132),MATCH(PJ!BK$3,KOMBI!$A$1:$GI$1,0))</f>
        <v>0.36791956700630501</v>
      </c>
      <c r="BL125" s="25">
        <f t="array" ref="BL125">INDEX(KOMBI!$A$1:$GI$145,ROW(PJ!BL132),MATCH(PJ!BL$3,KOMBI!$A$1:$GI$1,0))</f>
        <v>1.8337403242159597E-2</v>
      </c>
      <c r="BM125" s="25">
        <f t="array" ref="BM125">INDEX(KOMBI!$A$1:$GI$145,ROW(PJ!BM132),MATCH(PJ!BM$3,KOMBI!$A$1:$GI$1,0))</f>
        <v>3.9150638409968658E-3</v>
      </c>
      <c r="BN125" s="25">
        <f t="array" ref="BN125">INDEX(KOMBI!$A$1:$GI$145,ROW(PJ!BN132),MATCH(PJ!BN$3,KOMBI!$A$1:$GI$1,0))</f>
        <v>3.4160396178431196E-3</v>
      </c>
      <c r="BO125" s="25">
        <f t="array" ref="BO125">INDEX(KOMBI!$A$1:$GI$145,ROW(PJ!BO132),MATCH(PJ!BO$3,KOMBI!$A$1:$GI$1,0))</f>
        <v>1.5050000041907079E-2</v>
      </c>
      <c r="BP125" s="25">
        <f t="array" ref="BP125">INDEX(KOMBI!$A$1:$GI$145,ROW(PJ!BP132),MATCH(PJ!BP$3,KOMBI!$A$1:$GI$1,0))</f>
        <v>7.5609999999999999</v>
      </c>
      <c r="BQ125" s="25">
        <f t="array" ref="BQ125">INDEX(KOMBI!$A$1:$GI$145,ROW(PJ!BQ132),MATCH(PJ!BQ$3,KOMBI!$A$1:$GI$1,0))</f>
        <v>9.7710000000000008</v>
      </c>
      <c r="BR125" s="25">
        <f t="array" ref="BR125">INDEX(KOMBI!$A$1:$GI$145,ROW(PJ!BR132),MATCH(PJ!BR$3,KOMBI!$A$1:$GI$1,0))</f>
        <v>-4.8613077186063662E-2</v>
      </c>
      <c r="BS125" s="25">
        <f t="array" ref="BS125">INDEX(KOMBI!$A$1:$GI$145,ROW(PJ!BS132),MATCH(PJ!BS$3,KOMBI!$A$1:$GI$1,0))</f>
        <v>-5.8145611697445893E-2</v>
      </c>
      <c r="BT125" s="25">
        <f t="array" ref="BT125">INDEX(KOMBI!$A$1:$GI$145,ROW(PJ!BT132),MATCH(PJ!BT$3,KOMBI!$A$1:$GI$1,0))</f>
        <v>-8.203358782803867E-2</v>
      </c>
      <c r="BU125" s="25">
        <f t="array" ref="BU125">INDEX(KOMBI!$A$1:$GI$145,ROW(PJ!BU132),MATCH(PJ!BU$3,KOMBI!$A$1:$GI$1,0))</f>
        <v>7.1506303115986807</v>
      </c>
      <c r="BV125" s="25">
        <f t="array" ref="BV125">INDEX(KOMBI!$A$1:$GI$145,ROW(PJ!BV132),MATCH(PJ!BV$3,KOMBI!$A$1:$GI$1,0))</f>
        <v>4.9059999999999997</v>
      </c>
      <c r="BW125" s="25">
        <f t="array" ref="BW125">INDEX(KOMBI!$A$1:$GI$145,ROW(PJ!BW132),MATCH(PJ!BW$3,KOMBI!$A$1:$GI$1,0))</f>
        <v>1.4153849906373199</v>
      </c>
      <c r="BX125" s="25">
        <f t="array" ref="BX125">INDEX(KOMBI!$A$1:$GI$145,ROW(PJ!BX132),MATCH(PJ!BX$3,KOMBI!$A$1:$GI$1,0))</f>
        <v>16.46</v>
      </c>
      <c r="BY125" s="25">
        <f t="array" ref="BY125">INDEX(KOMBI!$A$1:$GI$145,ROW(PJ!BY132),MATCH(PJ!BY$3,KOMBI!$A$1:$GI$1,0))</f>
        <v>11.220496548433506</v>
      </c>
      <c r="BZ125" s="25">
        <f t="array" ref="BZ125">INDEX(KOMBI!$A$1:$GI$145,ROW(PJ!BZ132),MATCH(PJ!BZ$3,KOMBI!$A$1:$GI$1,0))</f>
        <v>67.400000000000006</v>
      </c>
      <c r="CA125" s="25">
        <f t="array" ref="CA125">INDEX(KOMBI!$A$1:$GI$145,ROW(PJ!CA132),MATCH(PJ!CA$3,KOMBI!$A$1:$GI$1,0))</f>
        <v>12.722</v>
      </c>
      <c r="CB125" s="25">
        <f t="array" ref="CB125">INDEX(KOMBI!$A$1:$GI$145,ROW(PJ!CB132),MATCH(PJ!CB$3,KOMBI!$A$1:$GI$1,0))</f>
        <v>57.339444444444439</v>
      </c>
      <c r="CC125" s="25">
        <f t="array" ref="CC125">INDEX(KOMBI!$A$1:$GI$145,ROW(PJ!CC132),MATCH(PJ!CC$3,KOMBI!$A$1:$GI$1,0))</f>
        <v>4.6253359999999999</v>
      </c>
      <c r="CD125" s="25">
        <f t="array" ref="CD125">INDEX(KOMBI!$A$1:$GI$145,ROW(PJ!CD132),MATCH(PJ!CD$3,KOMBI!$A$1:$GI$1,0))</f>
        <v>285</v>
      </c>
      <c r="CE125" s="25">
        <f t="array" ref="CE125">INDEX(KOMBI!$A$1:$GI$145,ROW(PJ!CE132),MATCH(PJ!CE$3,KOMBI!$A$1:$GI$1,0))</f>
        <v>2.7810000000000001</v>
      </c>
      <c r="CF125" s="25">
        <f t="array" ref="CF125">INDEX(KOMBI!$A$1:$GI$145,ROW(PJ!CF132),MATCH(PJ!CF$3,KOMBI!$A$1:$GI$1,0))</f>
        <v>43.302900516795866</v>
      </c>
      <c r="CG125" s="25">
        <f t="array" ref="CG125">INDEX(KOMBI!$A$1:$GI$145,ROW(PJ!CG132),MATCH(PJ!CG$3,KOMBI!$A$1:$GI$1,0))</f>
        <v>2.5620074329845279E-2</v>
      </c>
      <c r="CH125" s="25">
        <f t="array" ref="CH125">INDEX(KOMBI!$A$1:$GI$145,ROW(PJ!CH132),MATCH(PJ!CH$3,KOMBI!$A$1:$GI$1,0))</f>
        <v>0.447957193299102</v>
      </c>
      <c r="CI125" s="25">
        <f t="array" ref="CI125">INDEX(KOMBI!$A$1:$GI$145,ROW(PJ!CI132),MATCH(PJ!CI$3,KOMBI!$A$1:$GI$1,0))</f>
        <v>6.08</v>
      </c>
      <c r="CJ125" s="25">
        <f t="array" ref="CJ125">INDEX(KOMBI!$A$1:$GI$145,ROW(PJ!CJ132),MATCH(PJ!CJ$3,KOMBI!$A$1:$GI$1,0))</f>
        <v>2.7248849906373196</v>
      </c>
      <c r="CK125" s="25">
        <f t="array" ref="CK125">INDEX(KOMBI!$A$1:$GI$145,ROW(PJ!CK132),MATCH(PJ!CK$3,KOMBI!$A$1:$GI$1,0))</f>
        <v>0.19900000000000001</v>
      </c>
      <c r="CL125" s="25">
        <f t="array" ref="CL125">INDEX(KOMBI!$A$1:$GI$145,ROW(PJ!CL132),MATCH(PJ!CL$3,KOMBI!$A$1:$GI$1,0))</f>
        <v>0.72299999999999998</v>
      </c>
    </row>
    <row r="126" spans="3:90" x14ac:dyDescent="0.2">
      <c r="C126" s="184">
        <v>123</v>
      </c>
      <c r="D126" s="25"/>
      <c r="E126" s="25"/>
      <c r="F126" s="25"/>
      <c r="G126" s="25">
        <f>RANK(INDEX(KOMBI!$A$11:$GI$145,MATCH(PJ!$C126,KOMBI!$A$11:$A$145,0),MATCH(PJ!G$3,KOMBI!$A$1:$GI$1,0)),BD$4:BD$138,G124)</f>
        <v>1</v>
      </c>
      <c r="H126" s="25">
        <f>RANK(INDEX(KOMBI!$A$11:$GI$145,MATCH(PJ!$C126,KOMBI!$A$11:$A$145,0),MATCH(PJ!H$3,KOMBI!$A$1:$GI$1,0)),BE$4:BE$138,H124)</f>
        <v>9</v>
      </c>
      <c r="I126" s="25"/>
      <c r="J126" s="25">
        <f>RANK(INDEX(KOMBI!$A$11:$GI$145,MATCH(PJ!$C126,KOMBI!$A$11:$A$145,0),MATCH(PJ!J$3,KOMBI!$A$1:$GI$1,0)),BG$4:BG$138,J124)</f>
        <v>7</v>
      </c>
      <c r="K126" s="25"/>
      <c r="L126" s="25">
        <f>RANK(INDEX(KOMBI!$A$11:$GI$145,MATCH(PJ!$C126,KOMBI!$A$11:$A$145,0),MATCH(PJ!L$3,KOMBI!$A$1:$GI$1,0)),BI$4:BI$138,L124)</f>
        <v>1</v>
      </c>
      <c r="M126" s="25">
        <f>RANK(INDEX(KOMBI!$A$11:$GI$145,MATCH(PJ!$C126,KOMBI!$A$11:$A$145,0),MATCH(PJ!M$3,KOMBI!$A$1:$GI$1,0)),BJ$4:BJ$138,M124)</f>
        <v>7</v>
      </c>
      <c r="N126" s="25">
        <f>RANK(INDEX(KOMBI!$A$11:$GI$145,MATCH(PJ!$C126,KOMBI!$A$11:$A$145,0),MATCH(PJ!N$3,KOMBI!$A$1:$GI$1,0)),BK$4:BK$138,N124)</f>
        <v>7</v>
      </c>
      <c r="O126" s="25">
        <f>RANK(INDEX(KOMBI!$A$11:$GI$145,MATCH(PJ!$C126,KOMBI!$A$11:$A$145,0),MATCH(PJ!O$3,KOMBI!$A$1:$GI$1,0)),BL$4:BL$138,O124)</f>
        <v>9</v>
      </c>
      <c r="P126" s="25">
        <f>RANK(INDEX(KOMBI!$A$11:$GI$145,MATCH(PJ!$C126,KOMBI!$A$11:$A$145,0),MATCH(PJ!P$3,KOMBI!$A$1:$GI$1,0)),BM$4:BM$138,P124)</f>
        <v>8</v>
      </c>
      <c r="Q126" s="25">
        <f>RANK(INDEX(KOMBI!$A$11:$GI$145,MATCH(PJ!$C126,KOMBI!$A$11:$A$145,0),MATCH(PJ!Q$3,KOMBI!$A$1:$GI$1,0)),BN$4:BN$138,Q124)</f>
        <v>9</v>
      </c>
      <c r="R126" s="25">
        <f>RANK(INDEX(KOMBI!$A$11:$GI$145,MATCH(PJ!$C126,KOMBI!$A$11:$A$145,0),MATCH(PJ!R$3,KOMBI!$A$1:$GI$1,0)),BO$4:BO$138,R124)</f>
        <v>10</v>
      </c>
      <c r="S126" s="25"/>
      <c r="T126" s="25">
        <f>RANK(INDEX(KOMBI!$A$11:$GI$145,MATCH(PJ!$C126,KOMBI!$A$11:$A$145,0),MATCH(PJ!T$3,KOMBI!$A$1:$GI$1,0)),BQ$4:BQ$138,T124)</f>
        <v>10</v>
      </c>
      <c r="U126" s="25">
        <f>RANK(INDEX(KOMBI!$A$11:$GI$145,MATCH(PJ!$C126,KOMBI!$A$11:$A$145,0),MATCH(PJ!U$3,KOMBI!$A$1:$GI$1,0)),BR$4:BR$138,U124)</f>
        <v>10</v>
      </c>
      <c r="V126" s="25"/>
      <c r="W126" s="25"/>
      <c r="X126" s="25"/>
      <c r="Y126" s="25"/>
      <c r="Z126" s="25"/>
      <c r="AA126" s="25">
        <f>RANK(INDEX(KOMBI!$A$11:$GI$145,MATCH(PJ!$C126,KOMBI!$A$11:$A$145,0),MATCH(PJ!AA$3,KOMBI!$A$1:$GI$1,0)),BX$4:BX$138,AA124)</f>
        <v>4</v>
      </c>
      <c r="AB126" s="25">
        <f>RANK(INDEX(KOMBI!$A$11:$GI$145,MATCH(PJ!$C126,KOMBI!$A$11:$A$145,0),MATCH(PJ!AB$3,KOMBI!$A$1:$GI$1,0)),BY$4:BY$138,AB124)</f>
        <v>10</v>
      </c>
      <c r="AC126" s="25">
        <f>RANK(INDEX(KOMBI!$A$11:$GI$145,MATCH(PJ!$C126,KOMBI!$A$11:$A$145,0),MATCH(PJ!AC$3,KOMBI!$A$1:$GI$1,0)),BZ$4:BZ$138,AC124)</f>
        <v>7</v>
      </c>
      <c r="AD126" s="25">
        <f>RANK(INDEX(KOMBI!$A$11:$GI$145,MATCH(PJ!$C126,KOMBI!$A$11:$A$145,0),MATCH(PJ!AD$3,KOMBI!$A$1:$GI$1,0)),CA$4:CA$138,AD124)</f>
        <v>10</v>
      </c>
      <c r="AE126" s="25">
        <f>RANK(INDEX(KOMBI!$A$11:$GI$145,MATCH(PJ!$C126,KOMBI!$A$11:$A$145,0),MATCH(PJ!AE$3,KOMBI!$A$1:$GI$1,0)),CB$4:CB$138,AE124)</f>
        <v>10</v>
      </c>
      <c r="AF126" s="25"/>
      <c r="AG126" s="25">
        <f>RANK(INDEX(KOMBI!$A$11:$GI$145,MATCH(PJ!$C126,KOMBI!$A$11:$A$145,0),MATCH(PJ!AG$3,KOMBI!$A$1:$GI$1,0)),CD$4:CD$138,AG124)</f>
        <v>4</v>
      </c>
      <c r="AH126" s="25">
        <f>RANK(INDEX(KOMBI!$A$11:$GI$145,MATCH(PJ!$C126,KOMBI!$A$11:$A$145,0),MATCH(PJ!AH$3,KOMBI!$A$1:$GI$1,0)),CE$4:CE$138,AH124)</f>
        <v>1</v>
      </c>
      <c r="AI126" s="25">
        <f>RANK(INDEX(KOMBI!$A$11:$GI$145,MATCH(PJ!$C126,KOMBI!$A$11:$A$145,0),MATCH(PJ!AI$3,KOMBI!$A$1:$GI$1,0)),CF$4:CF$138,AI124)</f>
        <v>7</v>
      </c>
      <c r="AJ126" s="25">
        <f>RANK(INDEX(KOMBI!$A$11:$GI$145,MATCH(PJ!$C126,KOMBI!$A$11:$A$145,0),MATCH(PJ!AJ$3,KOMBI!$A$1:$GI$1,0)),CG$4:CG$138,AJ124)</f>
        <v>1</v>
      </c>
      <c r="AK126" s="25">
        <f>RANK(INDEX(KOMBI!$A$11:$GI$145,MATCH(PJ!$C126,KOMBI!$A$11:$A$145,0),MATCH(PJ!AK$3,KOMBI!$A$1:$GI$1,0)),CH$4:CH$138,AK124)</f>
        <v>1</v>
      </c>
      <c r="AN126" s="25">
        <f>RANK(INDEX(KOMBI!$A$11:$GI$145,MATCH(PJ!$C126,KOMBI!$A$11:$A$145,0),MATCH(PJ!AN$3,KOMBI!$A$1:$GI$1,0)),CK$4:CK$138,AN124)</f>
        <v>1</v>
      </c>
      <c r="AO126" s="25">
        <f>RANK(INDEX(KOMBI!$A$11:$GI$145,MATCH(PJ!$C126,KOMBI!$A$11:$A$145,0),MATCH(PJ!AO$3,KOMBI!$A$1:$GI$1,0)),CL$4:CL$138,AO124)</f>
        <v>1</v>
      </c>
      <c r="AS126" s="297">
        <f t="shared" si="7"/>
        <v>145</v>
      </c>
      <c r="AT126" s="25">
        <f t="shared" si="10"/>
        <v>10000</v>
      </c>
      <c r="AU126" s="25">
        <f t="shared" si="11"/>
        <v>1</v>
      </c>
      <c r="AV126" s="295" t="str">
        <f>VLOOKUP(VLOOKUP($AU126,KOMBI!$A:$H,3,FALSE),data!$I$27:$J$29,2,FALSE)</f>
        <v>Mittesekkuv</v>
      </c>
      <c r="AW126" s="295" t="str">
        <f>VLOOKUP(VLOOKUP($AU126,KOMBI!$A:$H,2,FALSE),data!$I$21:$J$23,2,FALSE)</f>
        <v>Mittesekkuv</v>
      </c>
      <c r="AX126" s="295" t="str">
        <f>VLOOKUP(VLOOKUP($AU126,KOMBI!$A:$H,5,FALSE),data!$I$39:$J$41,2,FALSE)</f>
        <v>Mittesekkuv</v>
      </c>
      <c r="AY126" s="295" t="str">
        <f>VLOOKUP(VLOOKUP($AU126,KOMBI!$A:$H,4,FALSE),data!$I$32:$J$36,2,FALSE)</f>
        <v>LIB</v>
      </c>
      <c r="BA126" s="25">
        <f t="array" ref="BA126">INDEX(KOMBI!$A$1:$GI$145,ROW(PJ!BA133),MATCH(PJ!BA$3,KOMBI!$A$1:$GI$1,0))</f>
        <v>7.4639793718541156</v>
      </c>
      <c r="BB126" s="25">
        <f t="array" ref="BB126">INDEX(KOMBI!$A$1:$GI$145,ROW(PJ!BB133),MATCH(PJ!BB$3,KOMBI!$A$1:$GI$1,0))</f>
        <v>592.05709121628752</v>
      </c>
      <c r="BC126" s="25">
        <f t="array" aca="1" ref="BC126" ca="1">INDEX(KOMBI!$A$1:$GI$145,ROW(PJ!BC133),MATCH(PJ!BC$3,KOMBI!$A$1:$GI$1,0))</f>
        <v>57.433268853440438</v>
      </c>
      <c r="BD126" s="25">
        <f t="array" ref="BD126">INDEX(KOMBI!$A$1:$GI$145,ROW(PJ!BD133),MATCH(PJ!BD$3,KOMBI!$A$1:$GI$1,0))</f>
        <v>-197.29831369909104</v>
      </c>
      <c r="BE126" s="25">
        <f t="array" ref="BE126">INDEX(KOMBI!$A$1:$GI$145,ROW(PJ!BE133),MATCH(PJ!BE$3,KOMBI!$A$1:$GI$1,0))</f>
        <v>254.73158255253148</v>
      </c>
      <c r="BF126" s="25">
        <f t="array" aca="1" ref="BF126" ca="1">INDEX(KOMBI!$A$1:$GI$145,ROW(PJ!BF133),MATCH(PJ!BF$3,KOMBI!$A$1:$GI$1,0))</f>
        <v>0</v>
      </c>
      <c r="BG126" s="25">
        <f t="array" ref="BG126">INDEX(KOMBI!$A$1:$GI$145,ROW(PJ!BG133),MATCH(PJ!BG$3,KOMBI!$A$1:$GI$1,0))</f>
        <v>0.50399694699362874</v>
      </c>
      <c r="BH126" s="25">
        <f t="array" ref="BH126">INDEX(KOMBI!$A$1:$GI$145,ROW(PJ!BH133),MATCH(PJ!BH$3,KOMBI!$A$1:$GI$1,0))</f>
        <v>90</v>
      </c>
      <c r="BI126" s="25">
        <f t="array" ref="BI126">INDEX(KOMBI!$A$1:$GI$145,ROW(PJ!BI133),MATCH(PJ!BI$3,KOMBI!$A$1:$GI$1,0))</f>
        <v>0.72887234460741646</v>
      </c>
      <c r="BJ126" s="25">
        <f t="array" ref="BJ126">INDEX(KOMBI!$A$1:$GI$145,ROW(PJ!BJ133),MATCH(PJ!BJ$3,KOMBI!$A$1:$GI$1,0))</f>
        <v>0.27911646586345373</v>
      </c>
      <c r="BK126" s="25">
        <f t="array" ref="BK126">INDEX(KOMBI!$A$1:$GI$145,ROW(PJ!BK133),MATCH(PJ!BK$3,KOMBI!$A$1:$GI$1,0))</f>
        <v>0.36791956700630501</v>
      </c>
      <c r="BL126" s="25">
        <f t="array" ref="BL126">INDEX(KOMBI!$A$1:$GI$145,ROW(PJ!BL133),MATCH(PJ!BL$3,KOMBI!$A$1:$GI$1,0))</f>
        <v>2.2988458620406115E-2</v>
      </c>
      <c r="BM126" s="25">
        <f t="array" ref="BM126">INDEX(KOMBI!$A$1:$GI$145,ROW(PJ!BM133),MATCH(PJ!BM$3,KOMBI!$A$1:$GI$1,0))</f>
        <v>3.9278295680382526E-3</v>
      </c>
      <c r="BN126" s="25">
        <f t="array" ref="BN126">INDEX(KOMBI!$A$1:$GI$145,ROW(PJ!BN133),MATCH(PJ!BN$3,KOMBI!$A$1:$GI$1,0))</f>
        <v>4.7468294538898503E-3</v>
      </c>
      <c r="BO126" s="25">
        <f t="array" ref="BO126">INDEX(KOMBI!$A$1:$GI$145,ROW(PJ!BO133),MATCH(PJ!BO$3,KOMBI!$A$1:$GI$1,0))</f>
        <v>1.8443863490071936E-2</v>
      </c>
      <c r="BP126" s="25">
        <f t="array" ref="BP126">INDEX(KOMBI!$A$1:$GI$145,ROW(PJ!BP133),MATCH(PJ!BP$3,KOMBI!$A$1:$GI$1,0))</f>
        <v>7.5609999999999999</v>
      </c>
      <c r="BQ126" s="25">
        <f t="array" ref="BQ126">INDEX(KOMBI!$A$1:$GI$145,ROW(PJ!BQ133),MATCH(PJ!BQ$3,KOMBI!$A$1:$GI$1,0))</f>
        <v>9.9949999999999992</v>
      </c>
      <c r="BR126" s="25">
        <f t="array" ref="BR126">INDEX(KOMBI!$A$1:$GI$145,ROW(PJ!BR133),MATCH(PJ!BR$3,KOMBI!$A$1:$GI$1,0))</f>
        <v>-4.4633590055617761E-2</v>
      </c>
      <c r="BS126" s="25">
        <f t="array" ref="BS126">INDEX(KOMBI!$A$1:$GI$145,ROW(PJ!BS133),MATCH(PJ!BS$3,KOMBI!$A$1:$GI$1,0))</f>
        <v>-5.6886451781157449E-2</v>
      </c>
      <c r="BT126" s="25">
        <f t="array" ref="BT126">INDEX(KOMBI!$A$1:$GI$145,ROW(PJ!BT133),MATCH(PJ!BT$3,KOMBI!$A$1:$GI$1,0))</f>
        <v>-8.0572868854812421E-2</v>
      </c>
      <c r="BU126" s="25">
        <f t="array" ref="BU126">INDEX(KOMBI!$A$1:$GI$145,ROW(PJ!BU133),MATCH(PJ!BU$3,KOMBI!$A$1:$GI$1,0))</f>
        <v>7.1506303115986807</v>
      </c>
      <c r="BV126" s="25">
        <f t="array" ref="BV126">INDEX(KOMBI!$A$1:$GI$145,ROW(PJ!BV133),MATCH(PJ!BV$3,KOMBI!$A$1:$GI$1,0))</f>
        <v>4.9059999999999997</v>
      </c>
      <c r="BW126" s="25">
        <f t="array" ref="BW126">INDEX(KOMBI!$A$1:$GI$145,ROW(PJ!BW133),MATCH(PJ!BW$3,KOMBI!$A$1:$GI$1,0))</f>
        <v>1.62408499063732</v>
      </c>
      <c r="BX126" s="25">
        <f t="array" ref="BX126">INDEX(KOMBI!$A$1:$GI$145,ROW(PJ!BX133),MATCH(PJ!BX$3,KOMBI!$A$1:$GI$1,0))</f>
        <v>16.46</v>
      </c>
      <c r="BY126" s="25">
        <f t="array" ref="BY126">INDEX(KOMBI!$A$1:$GI$145,ROW(PJ!BY133),MATCH(PJ!BY$3,KOMBI!$A$1:$GI$1,0))</f>
        <v>11.220496548433506</v>
      </c>
      <c r="BZ126" s="25">
        <f t="array" ref="BZ126">INDEX(KOMBI!$A$1:$GI$145,ROW(PJ!BZ133),MATCH(PJ!BZ$3,KOMBI!$A$1:$GI$1,0))</f>
        <v>69</v>
      </c>
      <c r="CA126" s="25">
        <f t="array" ref="CA126">INDEX(KOMBI!$A$1:$GI$145,ROW(PJ!CA133),MATCH(PJ!CA$3,KOMBI!$A$1:$GI$1,0))</f>
        <v>12.974</v>
      </c>
      <c r="CB126" s="25">
        <f t="array" ref="CB126">INDEX(KOMBI!$A$1:$GI$145,ROW(PJ!CB133),MATCH(PJ!CB$3,KOMBI!$A$1:$GI$1,0))</f>
        <v>58.247500000000002</v>
      </c>
      <c r="CC126" s="25">
        <f t="array" ref="CC126">INDEX(KOMBI!$A$1:$GI$145,ROW(PJ!CC133),MATCH(PJ!CC$3,KOMBI!$A$1:$GI$1,0))</f>
        <v>4.7186810000000001</v>
      </c>
      <c r="CD126" s="25">
        <f t="array" ref="CD126">INDEX(KOMBI!$A$1:$GI$145,ROW(PJ!CD133),MATCH(PJ!CD$3,KOMBI!$A$1:$GI$1,0))</f>
        <v>285</v>
      </c>
      <c r="CE126" s="25">
        <f t="array" ref="CE126">INDEX(KOMBI!$A$1:$GI$145,ROW(PJ!CE133),MATCH(PJ!CE$3,KOMBI!$A$1:$GI$1,0))</f>
        <v>2.7810000000000001</v>
      </c>
      <c r="CF126" s="25">
        <f t="array" ref="CF126">INDEX(KOMBI!$A$1:$GI$145,ROW(PJ!CF133),MATCH(PJ!CF$3,KOMBI!$A$1:$GI$1,0))</f>
        <v>43.302900516795866</v>
      </c>
      <c r="CG126" s="25">
        <f t="array" ref="CG126">INDEX(KOMBI!$A$1:$GI$145,ROW(PJ!CG133),MATCH(PJ!CG$3,KOMBI!$A$1:$GI$1,0))</f>
        <v>2.5620074329845279E-2</v>
      </c>
      <c r="CH126" s="25">
        <f t="array" ref="CH126">INDEX(KOMBI!$A$1:$GI$145,ROW(PJ!CH133),MATCH(PJ!CH$3,KOMBI!$A$1:$GI$1,0))</f>
        <v>0.447957193299102</v>
      </c>
      <c r="CI126" s="25">
        <f t="array" ref="CI126">INDEX(KOMBI!$A$1:$GI$145,ROW(PJ!CI133),MATCH(PJ!CI$3,KOMBI!$A$1:$GI$1,0))</f>
        <v>6.08</v>
      </c>
      <c r="CJ126" s="25">
        <f t="array" ref="CJ126">INDEX(KOMBI!$A$1:$GI$145,ROW(PJ!CJ133),MATCH(PJ!CJ$3,KOMBI!$A$1:$GI$1,0))</f>
        <v>2.7248849906373196</v>
      </c>
      <c r="CK126" s="25">
        <f t="array" ref="CK126">INDEX(KOMBI!$A$1:$GI$145,ROW(PJ!CK133),MATCH(PJ!CK$3,KOMBI!$A$1:$GI$1,0))</f>
        <v>0.19900000000000001</v>
      </c>
      <c r="CL126" s="25">
        <f t="array" ref="CL126">INDEX(KOMBI!$A$1:$GI$145,ROW(PJ!CL133),MATCH(PJ!CL$3,KOMBI!$A$1:$GI$1,0))</f>
        <v>0.72299999999999998</v>
      </c>
    </row>
    <row r="127" spans="3:90" x14ac:dyDescent="0.2">
      <c r="C127" s="184">
        <v>124</v>
      </c>
      <c r="D127" s="25"/>
      <c r="E127" s="25"/>
      <c r="F127" s="25"/>
      <c r="G127" s="25">
        <f>RANK(INDEX(KOMBI!$A$11:$GI$145,MATCH(PJ!$C127,KOMBI!$A$11:$A$145,0),MATCH(PJ!G$3,KOMBI!$A$1:$GI$1,0)),BD$4:BD$138,G125)</f>
        <v>11</v>
      </c>
      <c r="H127" s="25">
        <f>RANK(INDEX(KOMBI!$A$11:$GI$145,MATCH(PJ!$C127,KOMBI!$A$11:$A$145,0),MATCH(PJ!H$3,KOMBI!$A$1:$GI$1,0)),BE$4:BE$138,H125)</f>
        <v>2</v>
      </c>
      <c r="I127" s="25"/>
      <c r="J127" s="25">
        <f>RANK(INDEX(KOMBI!$A$11:$GI$145,MATCH(PJ!$C127,KOMBI!$A$11:$A$145,0),MATCH(PJ!J$3,KOMBI!$A$1:$GI$1,0)),BG$4:BG$138,J125)</f>
        <v>12</v>
      </c>
      <c r="K127" s="25"/>
      <c r="L127" s="25">
        <f>RANK(INDEX(KOMBI!$A$11:$GI$145,MATCH(PJ!$C127,KOMBI!$A$11:$A$145,0),MATCH(PJ!L$3,KOMBI!$A$1:$GI$1,0)),BI$4:BI$138,L125)</f>
        <v>11</v>
      </c>
      <c r="M127" s="25">
        <f>RANK(INDEX(KOMBI!$A$11:$GI$145,MATCH(PJ!$C127,KOMBI!$A$11:$A$145,0),MATCH(PJ!M$3,KOMBI!$A$1:$GI$1,0)),BJ$4:BJ$138,M125)</f>
        <v>7</v>
      </c>
      <c r="N127" s="25">
        <f>RANK(INDEX(KOMBI!$A$11:$GI$145,MATCH(PJ!$C127,KOMBI!$A$11:$A$145,0),MATCH(PJ!N$3,KOMBI!$A$1:$GI$1,0)),BK$4:BK$138,N125)</f>
        <v>4</v>
      </c>
      <c r="O127" s="25">
        <f>RANK(INDEX(KOMBI!$A$11:$GI$145,MATCH(PJ!$C127,KOMBI!$A$11:$A$145,0),MATCH(PJ!O$3,KOMBI!$A$1:$GI$1,0)),BL$4:BL$138,O125)</f>
        <v>2</v>
      </c>
      <c r="P127" s="25">
        <f>RANK(INDEX(KOMBI!$A$11:$GI$145,MATCH(PJ!$C127,KOMBI!$A$11:$A$145,0),MATCH(PJ!P$3,KOMBI!$A$1:$GI$1,0)),BM$4:BM$138,P125)</f>
        <v>11</v>
      </c>
      <c r="Q127" s="25">
        <f>RANK(INDEX(KOMBI!$A$11:$GI$145,MATCH(PJ!$C127,KOMBI!$A$11:$A$145,0),MATCH(PJ!Q$3,KOMBI!$A$1:$GI$1,0)),BN$4:BN$138,Q125)</f>
        <v>3</v>
      </c>
      <c r="R127" s="25">
        <f>RANK(INDEX(KOMBI!$A$11:$GI$145,MATCH(PJ!$C127,KOMBI!$A$11:$A$145,0),MATCH(PJ!R$3,KOMBI!$A$1:$GI$1,0)),BO$4:BO$138,R125)</f>
        <v>2</v>
      </c>
      <c r="S127" s="25"/>
      <c r="T127" s="25">
        <f>RANK(INDEX(KOMBI!$A$11:$GI$145,MATCH(PJ!$C127,KOMBI!$A$11:$A$145,0),MATCH(PJ!T$3,KOMBI!$A$1:$GI$1,0)),BQ$4:BQ$138,T125)</f>
        <v>4</v>
      </c>
      <c r="U127" s="25">
        <f>RANK(INDEX(KOMBI!$A$11:$GI$145,MATCH(PJ!$C127,KOMBI!$A$11:$A$145,0),MATCH(PJ!U$3,KOMBI!$A$1:$GI$1,0)),BR$4:BR$138,U125)</f>
        <v>5</v>
      </c>
      <c r="V127" s="25"/>
      <c r="W127" s="25"/>
      <c r="X127" s="25"/>
      <c r="Y127" s="25"/>
      <c r="Z127" s="25"/>
      <c r="AA127" s="25">
        <f>RANK(INDEX(KOMBI!$A$11:$GI$145,MATCH(PJ!$C127,KOMBI!$A$11:$A$145,0),MATCH(PJ!AA$3,KOMBI!$A$1:$GI$1,0)),BX$4:BX$138,AA125)</f>
        <v>7</v>
      </c>
      <c r="AB127" s="25">
        <f>RANK(INDEX(KOMBI!$A$11:$GI$145,MATCH(PJ!$C127,KOMBI!$A$11:$A$145,0),MATCH(PJ!AB$3,KOMBI!$A$1:$GI$1,0)),BY$4:BY$138,AB125)</f>
        <v>4</v>
      </c>
      <c r="AC127" s="25">
        <f>RANK(INDEX(KOMBI!$A$11:$GI$145,MATCH(PJ!$C127,KOMBI!$A$11:$A$145,0),MATCH(PJ!AC$3,KOMBI!$A$1:$GI$1,0)),BZ$4:BZ$138,AC125)</f>
        <v>1</v>
      </c>
      <c r="AD127" s="25">
        <f>RANK(INDEX(KOMBI!$A$11:$GI$145,MATCH(PJ!$C127,KOMBI!$A$11:$A$145,0),MATCH(PJ!AD$3,KOMBI!$A$1:$GI$1,0)),CA$4:CA$138,AD125)</f>
        <v>5</v>
      </c>
      <c r="AE127" s="25">
        <f>RANK(INDEX(KOMBI!$A$11:$GI$145,MATCH(PJ!$C127,KOMBI!$A$11:$A$145,0),MATCH(PJ!AE$3,KOMBI!$A$1:$GI$1,0)),CB$4:CB$138,AE125)</f>
        <v>5</v>
      </c>
      <c r="AF127" s="25"/>
      <c r="AG127" s="25">
        <f>RANK(INDEX(KOMBI!$A$11:$GI$145,MATCH(PJ!$C127,KOMBI!$A$11:$A$145,0),MATCH(PJ!AG$3,KOMBI!$A$1:$GI$1,0)),CD$4:CD$138,AG125)</f>
        <v>4</v>
      </c>
      <c r="AH127" s="25">
        <f>RANK(INDEX(KOMBI!$A$11:$GI$145,MATCH(PJ!$C127,KOMBI!$A$11:$A$145,0),MATCH(PJ!AH$3,KOMBI!$A$1:$GI$1,0)),CE$4:CE$138,AH125)</f>
        <v>1</v>
      </c>
      <c r="AI127" s="25">
        <f>RANK(INDEX(KOMBI!$A$11:$GI$145,MATCH(PJ!$C127,KOMBI!$A$11:$A$145,0),MATCH(PJ!AI$3,KOMBI!$A$1:$GI$1,0)),CF$4:CF$138,AI125)</f>
        <v>10</v>
      </c>
      <c r="AJ127" s="25">
        <f>RANK(INDEX(KOMBI!$A$11:$GI$145,MATCH(PJ!$C127,KOMBI!$A$11:$A$145,0),MATCH(PJ!AJ$3,KOMBI!$A$1:$GI$1,0)),CG$4:CG$138,AJ125)</f>
        <v>1</v>
      </c>
      <c r="AK127" s="25">
        <f>RANK(INDEX(KOMBI!$A$11:$GI$145,MATCH(PJ!$C127,KOMBI!$A$11:$A$145,0),MATCH(PJ!AK$3,KOMBI!$A$1:$GI$1,0)),CH$4:CH$138,AK125)</f>
        <v>1</v>
      </c>
      <c r="AN127" s="25">
        <f>RANK(INDEX(KOMBI!$A$11:$GI$145,MATCH(PJ!$C127,KOMBI!$A$11:$A$145,0),MATCH(PJ!AN$3,KOMBI!$A$1:$GI$1,0)),CK$4:CK$138,AN125)</f>
        <v>1</v>
      </c>
      <c r="AO127" s="25">
        <f>RANK(INDEX(KOMBI!$A$11:$GI$145,MATCH(PJ!$C127,KOMBI!$A$11:$A$145,0),MATCH(PJ!AO$3,KOMBI!$A$1:$GI$1,0)),CL$4:CL$138,AO125)</f>
        <v>1</v>
      </c>
      <c r="AS127" s="297">
        <f t="shared" si="7"/>
        <v>115</v>
      </c>
      <c r="AT127" s="25">
        <f t="shared" si="10"/>
        <v>10000</v>
      </c>
      <c r="AU127" s="25">
        <f t="shared" si="11"/>
        <v>1</v>
      </c>
      <c r="AV127" s="295" t="str">
        <f>VLOOKUP(VLOOKUP($AU127,KOMBI!$A:$H,3,FALSE),data!$I$27:$J$29,2,FALSE)</f>
        <v>Mittesekkuv</v>
      </c>
      <c r="AW127" s="295" t="str">
        <f>VLOOKUP(VLOOKUP($AU127,KOMBI!$A:$H,2,FALSE),data!$I$21:$J$23,2,FALSE)</f>
        <v>Mittesekkuv</v>
      </c>
      <c r="AX127" s="295" t="str">
        <f>VLOOKUP(VLOOKUP($AU127,KOMBI!$A:$H,5,FALSE),data!$I$39:$J$41,2,FALSE)</f>
        <v>Mittesekkuv</v>
      </c>
      <c r="AY127" s="295" t="str">
        <f>VLOOKUP(VLOOKUP($AU127,KOMBI!$A:$H,4,FALSE),data!$I$32:$J$36,2,FALSE)</f>
        <v>LIB</v>
      </c>
      <c r="BA127" s="25">
        <f t="array" ref="BA127">INDEX(KOMBI!$A$1:$GI$145,ROW(PJ!BA134),MATCH(PJ!BA$3,KOMBI!$A$1:$GI$1,0))</f>
        <v>5.6463878335862052</v>
      </c>
      <c r="BB127" s="25">
        <f t="array" ref="BB127">INDEX(KOMBI!$A$1:$GI$145,ROW(PJ!BB134),MATCH(PJ!BB$3,KOMBI!$A$1:$GI$1,0))</f>
        <v>315.5498872460289</v>
      </c>
      <c r="BC127" s="25">
        <f t="array" aca="1" ref="BC127" ca="1">INDEX(KOMBI!$A$1:$GI$145,ROW(PJ!BC134),MATCH(PJ!BC$3,KOMBI!$A$1:$GI$1,0))</f>
        <v>11.910937220493992</v>
      </c>
      <c r="BD127" s="25">
        <f t="array" ref="BD127">INDEX(KOMBI!$A$1:$GI$145,ROW(PJ!BD134),MATCH(PJ!BD$3,KOMBI!$A$1:$GI$1,0))</f>
        <v>-162.95750000000001</v>
      </c>
      <c r="BE127" s="25">
        <f t="array" ref="BE127">INDEX(KOMBI!$A$1:$GI$145,ROW(PJ!BE134),MATCH(PJ!BE$3,KOMBI!$A$1:$GI$1,0))</f>
        <v>174.868437220494</v>
      </c>
      <c r="BF127" s="25">
        <f t="array" aca="1" ref="BF127" ca="1">INDEX(KOMBI!$A$1:$GI$145,ROW(PJ!BF134),MATCH(PJ!BF$3,KOMBI!$A$1:$GI$1,0))</f>
        <v>0</v>
      </c>
      <c r="BG127" s="25">
        <f t="array" ref="BG127">INDEX(KOMBI!$A$1:$GI$145,ROW(PJ!BG134),MATCH(PJ!BG$3,KOMBI!$A$1:$GI$1,0))</f>
        <v>0.55310343520865646</v>
      </c>
      <c r="BH127" s="25">
        <f t="array" ref="BH127">INDEX(KOMBI!$A$1:$GI$145,ROW(PJ!BH134),MATCH(PJ!BH$3,KOMBI!$A$1:$GI$1,0))</f>
        <v>90</v>
      </c>
      <c r="BI127" s="25">
        <f t="array" ref="BI127">INDEX(KOMBI!$A$1:$GI$145,ROW(PJ!BI134),MATCH(PJ!BI$3,KOMBI!$A$1:$GI$1,0))</f>
        <v>1</v>
      </c>
      <c r="BJ127" s="25">
        <f t="array" ref="BJ127">INDEX(KOMBI!$A$1:$GI$145,ROW(PJ!BJ134),MATCH(PJ!BJ$3,KOMBI!$A$1:$GI$1,0))</f>
        <v>0.27911646586345373</v>
      </c>
      <c r="BK127" s="25">
        <f t="array" ref="BK127">INDEX(KOMBI!$A$1:$GI$145,ROW(PJ!BK134),MATCH(PJ!BK$3,KOMBI!$A$1:$GI$1,0))</f>
        <v>0.3678346224372237</v>
      </c>
      <c r="BL127" s="25">
        <f t="array" ref="BL127">INDEX(KOMBI!$A$1:$GI$145,ROW(PJ!BL134),MATCH(PJ!BL$3,KOMBI!$A$1:$GI$1,0))</f>
        <v>1.209387093166911E-2</v>
      </c>
      <c r="BM127" s="25">
        <f t="array" ref="BM127">INDEX(KOMBI!$A$1:$GI$145,ROW(PJ!BM134),MATCH(PJ!BM$3,KOMBI!$A$1:$GI$1,0))</f>
        <v>6.5753641584466692E-3</v>
      </c>
      <c r="BN127" s="25">
        <f t="array" ref="BN127">INDEX(KOMBI!$A$1:$GI$145,ROW(PJ!BN134),MATCH(PJ!BN$3,KOMBI!$A$1:$GI$1,0))</f>
        <v>9.4016725362275344E-4</v>
      </c>
      <c r="BO127" s="25">
        <f t="array" ref="BO127">INDEX(KOMBI!$A$1:$GI$145,ROW(PJ!BO134),MATCH(PJ!BO$3,KOMBI!$A$1:$GI$1,0))</f>
        <v>1.1246979286333761E-2</v>
      </c>
      <c r="BP127" s="25">
        <f t="array" ref="BP127">INDEX(KOMBI!$A$1:$GI$145,ROW(PJ!BP134),MATCH(PJ!BP$3,KOMBI!$A$1:$GI$1,0))</f>
        <v>7.5717605777489068</v>
      </c>
      <c r="BQ127" s="25">
        <f t="array" ref="BQ127">INDEX(KOMBI!$A$1:$GI$145,ROW(PJ!BQ134),MATCH(PJ!BQ$3,KOMBI!$A$1:$GI$1,0))</f>
        <v>9.68</v>
      </c>
      <c r="BR127" s="25">
        <f t="array" ref="BR127">INDEX(KOMBI!$A$1:$GI$145,ROW(PJ!BR134),MATCH(PJ!BR$3,KOMBI!$A$1:$GI$1,0))</f>
        <v>-5.2828379346591355E-2</v>
      </c>
      <c r="BS127" s="25">
        <f t="array" ref="BS127">INDEX(KOMBI!$A$1:$GI$145,ROW(PJ!BS134),MATCH(PJ!BS$3,KOMBI!$A$1:$GI$1,0))</f>
        <v>-5.9458363631964495E-2</v>
      </c>
      <c r="BT127" s="25">
        <f t="array" ref="BT127">INDEX(KOMBI!$A$1:$GI$145,ROW(PJ!BT134),MATCH(PJ!BT$3,KOMBI!$A$1:$GI$1,0))</f>
        <v>-8.3094488432695332E-2</v>
      </c>
      <c r="BU127" s="25">
        <f t="array" ref="BU127">INDEX(KOMBI!$A$1:$GI$145,ROW(PJ!BU134),MATCH(PJ!BU$3,KOMBI!$A$1:$GI$1,0))</f>
        <v>7.1831111109201009</v>
      </c>
      <c r="BV127" s="25">
        <f t="array" ref="BV127">INDEX(KOMBI!$A$1:$GI$145,ROW(PJ!BV134),MATCH(PJ!BV$3,KOMBI!$A$1:$GI$1,0))</f>
        <v>4.9379999999999997</v>
      </c>
      <c r="BW127" s="25">
        <f t="array" ref="BW127">INDEX(KOMBI!$A$1:$GI$145,ROW(PJ!BW134),MATCH(PJ!BW$3,KOMBI!$A$1:$GI$1,0))</f>
        <v>1.03788499063732</v>
      </c>
      <c r="BX127" s="25">
        <f t="array" ref="BX127">INDEX(KOMBI!$A$1:$GI$145,ROW(PJ!BX134),MATCH(PJ!BX$3,KOMBI!$A$1:$GI$1,0))</f>
        <v>16.462578011574536</v>
      </c>
      <c r="BY127" s="25">
        <f t="array" ref="BY127">INDEX(KOMBI!$A$1:$GI$145,ROW(PJ!BY134),MATCH(PJ!BY$3,KOMBI!$A$1:$GI$1,0))</f>
        <v>11.219077976340797</v>
      </c>
      <c r="BZ127" s="25">
        <f t="array" ref="BZ127">INDEX(KOMBI!$A$1:$GI$145,ROW(PJ!BZ134),MATCH(PJ!BZ$3,KOMBI!$A$1:$GI$1,0))</f>
        <v>67</v>
      </c>
      <c r="CA127" s="25">
        <f t="array" ref="CA127">INDEX(KOMBI!$A$1:$GI$145,ROW(PJ!CA134),MATCH(PJ!CA$3,KOMBI!$A$1:$GI$1,0))</f>
        <v>12.635</v>
      </c>
      <c r="CB127" s="25">
        <f t="array" ref="CB127">INDEX(KOMBI!$A$1:$GI$145,ROW(PJ!CB134),MATCH(PJ!CB$3,KOMBI!$A$1:$GI$1,0))</f>
        <v>57.006666666666661</v>
      </c>
      <c r="CC127" s="25">
        <f t="array" ref="CC127">INDEX(KOMBI!$A$1:$GI$145,ROW(PJ!CC134),MATCH(PJ!CC$3,KOMBI!$A$1:$GI$1,0))</f>
        <v>4.5926130000000001</v>
      </c>
      <c r="CD127" s="25">
        <f t="array" ref="CD127">INDEX(KOMBI!$A$1:$GI$145,ROW(PJ!CD134),MATCH(PJ!CD$3,KOMBI!$A$1:$GI$1,0))</f>
        <v>285</v>
      </c>
      <c r="CE127" s="25">
        <f t="array" ref="CE127">INDEX(KOMBI!$A$1:$GI$145,ROW(PJ!CE134),MATCH(PJ!CE$3,KOMBI!$A$1:$GI$1,0))</f>
        <v>2.7810000000000001</v>
      </c>
      <c r="CF127" s="25">
        <f t="array" ref="CF127">INDEX(KOMBI!$A$1:$GI$145,ROW(PJ!CF134),MATCH(PJ!CF$3,KOMBI!$A$1:$GI$1,0))</f>
        <v>43.312900516795864</v>
      </c>
      <c r="CG127" s="25">
        <f t="array" ref="CG127">INDEX(KOMBI!$A$1:$GI$145,ROW(PJ!CG134),MATCH(PJ!CG$3,KOMBI!$A$1:$GI$1,0))</f>
        <v>2.5620074329845279E-2</v>
      </c>
      <c r="CH127" s="25">
        <f t="array" ref="CH127">INDEX(KOMBI!$A$1:$GI$145,ROW(PJ!CH134),MATCH(PJ!CH$3,KOMBI!$A$1:$GI$1,0))</f>
        <v>0.447957193299102</v>
      </c>
      <c r="CI127" s="25">
        <f t="array" ref="CI127">INDEX(KOMBI!$A$1:$GI$145,ROW(PJ!CI134),MATCH(PJ!CI$3,KOMBI!$A$1:$GI$1,0))</f>
        <v>6.08</v>
      </c>
      <c r="CJ127" s="25">
        <f t="array" ref="CJ127">INDEX(KOMBI!$A$1:$GI$145,ROW(PJ!CJ134),MATCH(PJ!CJ$3,KOMBI!$A$1:$GI$1,0))</f>
        <v>3.4398849906373199</v>
      </c>
      <c r="CK127" s="25">
        <f t="array" ref="CK127">INDEX(KOMBI!$A$1:$GI$145,ROW(PJ!CK134),MATCH(PJ!CK$3,KOMBI!$A$1:$GI$1,0))</f>
        <v>0.19900000000000001</v>
      </c>
      <c r="CL127" s="25">
        <f t="array" ref="CL127">INDEX(KOMBI!$A$1:$GI$145,ROW(PJ!CL134),MATCH(PJ!CL$3,KOMBI!$A$1:$GI$1,0))</f>
        <v>0.72299999999999998</v>
      </c>
    </row>
    <row r="128" spans="3:90" x14ac:dyDescent="0.2">
      <c r="C128" s="184">
        <v>125</v>
      </c>
      <c r="D128" s="25"/>
      <c r="E128" s="25"/>
      <c r="F128" s="25"/>
      <c r="G128" s="25">
        <f>RANK(INDEX(KOMBI!$A$11:$GI$145,MATCH(PJ!$C128,KOMBI!$A$11:$A$145,0),MATCH(PJ!G$3,KOMBI!$A$1:$GI$1,0)),BD$4:BD$138,G126)</f>
        <v>6</v>
      </c>
      <c r="H128" s="25">
        <f>RANK(INDEX(KOMBI!$A$11:$GI$145,MATCH(PJ!$C128,KOMBI!$A$11:$A$145,0),MATCH(PJ!H$3,KOMBI!$A$1:$GI$1,0)),BE$4:BE$138,H126)</f>
        <v>6</v>
      </c>
      <c r="I128" s="25"/>
      <c r="J128" s="25">
        <f>RANK(INDEX(KOMBI!$A$11:$GI$145,MATCH(PJ!$C128,KOMBI!$A$11:$A$145,0),MATCH(PJ!J$3,KOMBI!$A$1:$GI$1,0)),BG$4:BG$138,J126)</f>
        <v>9</v>
      </c>
      <c r="K128" s="25"/>
      <c r="L128" s="25">
        <f>RANK(INDEX(KOMBI!$A$11:$GI$145,MATCH(PJ!$C128,KOMBI!$A$11:$A$145,0),MATCH(PJ!L$3,KOMBI!$A$1:$GI$1,0)),BI$4:BI$138,L126)</f>
        <v>6</v>
      </c>
      <c r="M128" s="25">
        <f>RANK(INDEX(KOMBI!$A$11:$GI$145,MATCH(PJ!$C128,KOMBI!$A$11:$A$145,0),MATCH(PJ!M$3,KOMBI!$A$1:$GI$1,0)),BJ$4:BJ$138,M126)</f>
        <v>7</v>
      </c>
      <c r="N128" s="25">
        <f>RANK(INDEX(KOMBI!$A$11:$GI$145,MATCH(PJ!$C128,KOMBI!$A$11:$A$145,0),MATCH(PJ!N$3,KOMBI!$A$1:$GI$1,0)),BK$4:BK$138,N126)</f>
        <v>4</v>
      </c>
      <c r="O128" s="25">
        <f>RANK(INDEX(KOMBI!$A$11:$GI$145,MATCH(PJ!$C128,KOMBI!$A$11:$A$145,0),MATCH(PJ!O$3,KOMBI!$A$1:$GI$1,0)),BL$4:BL$138,O126)</f>
        <v>6</v>
      </c>
      <c r="P128" s="25">
        <f>RANK(INDEX(KOMBI!$A$11:$GI$145,MATCH(PJ!$C128,KOMBI!$A$11:$A$145,0),MATCH(PJ!P$3,KOMBI!$A$1:$GI$1,0)),BM$4:BM$138,P126)</f>
        <v>5</v>
      </c>
      <c r="Q128" s="25">
        <f>RANK(INDEX(KOMBI!$A$11:$GI$145,MATCH(PJ!$C128,KOMBI!$A$11:$A$145,0),MATCH(PJ!Q$3,KOMBI!$A$1:$GI$1,0)),BN$4:BN$138,Q126)</f>
        <v>7</v>
      </c>
      <c r="R128" s="25">
        <f>RANK(INDEX(KOMBI!$A$11:$GI$145,MATCH(PJ!$C128,KOMBI!$A$11:$A$145,0),MATCH(PJ!R$3,KOMBI!$A$1:$GI$1,0)),BO$4:BO$138,R126)</f>
        <v>6</v>
      </c>
      <c r="S128" s="25"/>
      <c r="T128" s="25">
        <f>RANK(INDEX(KOMBI!$A$11:$GI$145,MATCH(PJ!$C128,KOMBI!$A$11:$A$145,0),MATCH(PJ!T$3,KOMBI!$A$1:$GI$1,0)),BQ$4:BQ$138,T126)</f>
        <v>7</v>
      </c>
      <c r="U128" s="25">
        <f>RANK(INDEX(KOMBI!$A$11:$GI$145,MATCH(PJ!$C128,KOMBI!$A$11:$A$145,0),MATCH(PJ!U$3,KOMBI!$A$1:$GI$1,0)),BR$4:BR$138,U126)</f>
        <v>8</v>
      </c>
      <c r="V128" s="25"/>
      <c r="W128" s="25"/>
      <c r="X128" s="25"/>
      <c r="Y128" s="25"/>
      <c r="Z128" s="25"/>
      <c r="AA128" s="25">
        <f>RANK(INDEX(KOMBI!$A$11:$GI$145,MATCH(PJ!$C128,KOMBI!$A$11:$A$145,0),MATCH(PJ!AA$3,KOMBI!$A$1:$GI$1,0)),BX$4:BX$138,AA126)</f>
        <v>7</v>
      </c>
      <c r="AB128" s="25">
        <f>RANK(INDEX(KOMBI!$A$11:$GI$145,MATCH(PJ!$C128,KOMBI!$A$11:$A$145,0),MATCH(PJ!AB$3,KOMBI!$A$1:$GI$1,0)),BY$4:BY$138,AB126)</f>
        <v>4</v>
      </c>
      <c r="AC128" s="25">
        <f>RANK(INDEX(KOMBI!$A$11:$GI$145,MATCH(PJ!$C128,KOMBI!$A$11:$A$145,0),MATCH(PJ!AC$3,KOMBI!$A$1:$GI$1,0)),BZ$4:BZ$138,AC126)</f>
        <v>3</v>
      </c>
      <c r="AD128" s="25">
        <f>RANK(INDEX(KOMBI!$A$11:$GI$145,MATCH(PJ!$C128,KOMBI!$A$11:$A$145,0),MATCH(PJ!AD$3,KOMBI!$A$1:$GI$1,0)),CA$4:CA$138,AD126)</f>
        <v>8</v>
      </c>
      <c r="AE128" s="25">
        <f>RANK(INDEX(KOMBI!$A$11:$GI$145,MATCH(PJ!$C128,KOMBI!$A$11:$A$145,0),MATCH(PJ!AE$3,KOMBI!$A$1:$GI$1,0)),CB$4:CB$138,AE126)</f>
        <v>8</v>
      </c>
      <c r="AF128" s="25"/>
      <c r="AG128" s="25">
        <f>RANK(INDEX(KOMBI!$A$11:$GI$145,MATCH(PJ!$C128,KOMBI!$A$11:$A$145,0),MATCH(PJ!AG$3,KOMBI!$A$1:$GI$1,0)),CD$4:CD$138,AG126)</f>
        <v>4</v>
      </c>
      <c r="AH128" s="25">
        <f>RANK(INDEX(KOMBI!$A$11:$GI$145,MATCH(PJ!$C128,KOMBI!$A$11:$A$145,0),MATCH(PJ!AH$3,KOMBI!$A$1:$GI$1,0)),CE$4:CE$138,AH126)</f>
        <v>1</v>
      </c>
      <c r="AI128" s="25">
        <f>RANK(INDEX(KOMBI!$A$11:$GI$145,MATCH(PJ!$C128,KOMBI!$A$11:$A$145,0),MATCH(PJ!AI$3,KOMBI!$A$1:$GI$1,0)),CF$4:CF$138,AI126)</f>
        <v>10</v>
      </c>
      <c r="AJ128" s="25">
        <f>RANK(INDEX(KOMBI!$A$11:$GI$145,MATCH(PJ!$C128,KOMBI!$A$11:$A$145,0),MATCH(PJ!AJ$3,KOMBI!$A$1:$GI$1,0)),CG$4:CG$138,AJ126)</f>
        <v>1</v>
      </c>
      <c r="AK128" s="25">
        <f>RANK(INDEX(KOMBI!$A$11:$GI$145,MATCH(PJ!$C128,KOMBI!$A$11:$A$145,0),MATCH(PJ!AK$3,KOMBI!$A$1:$GI$1,0)),CH$4:CH$138,AK126)</f>
        <v>1</v>
      </c>
      <c r="AN128" s="25">
        <f>RANK(INDEX(KOMBI!$A$11:$GI$145,MATCH(PJ!$C128,KOMBI!$A$11:$A$145,0),MATCH(PJ!AN$3,KOMBI!$A$1:$GI$1,0)),CK$4:CK$138,AN126)</f>
        <v>1</v>
      </c>
      <c r="AO128" s="25">
        <f>RANK(INDEX(KOMBI!$A$11:$GI$145,MATCH(PJ!$C128,KOMBI!$A$11:$A$145,0),MATCH(PJ!AO$3,KOMBI!$A$1:$GI$1,0)),CL$4:CL$138,AO126)</f>
        <v>1</v>
      </c>
      <c r="AS128" s="297">
        <f t="shared" si="7"/>
        <v>126</v>
      </c>
      <c r="AT128" s="25">
        <f t="shared" si="10"/>
        <v>10000</v>
      </c>
      <c r="AU128" s="25">
        <f t="shared" si="11"/>
        <v>1</v>
      </c>
      <c r="AV128" s="295" t="str">
        <f>VLOOKUP(VLOOKUP($AU128,KOMBI!$A:$H,3,FALSE),data!$I$27:$J$29,2,FALSE)</f>
        <v>Mittesekkuv</v>
      </c>
      <c r="AW128" s="295" t="str">
        <f>VLOOKUP(VLOOKUP($AU128,KOMBI!$A:$H,2,FALSE),data!$I$21:$J$23,2,FALSE)</f>
        <v>Mittesekkuv</v>
      </c>
      <c r="AX128" s="295" t="str">
        <f>VLOOKUP(VLOOKUP($AU128,KOMBI!$A:$H,5,FALSE),data!$I$39:$J$41,2,FALSE)</f>
        <v>Mittesekkuv</v>
      </c>
      <c r="AY128" s="295" t="str">
        <f>VLOOKUP(VLOOKUP($AU128,KOMBI!$A:$H,4,FALSE),data!$I$32:$J$36,2,FALSE)</f>
        <v>LIB</v>
      </c>
      <c r="BA128" s="25">
        <f t="array" ref="BA128">INDEX(KOMBI!$A$1:$GI$145,ROW(PJ!BA135),MATCH(PJ!BA$3,KOMBI!$A$1:$GI$1,0))</f>
        <v>6.5622994822320475</v>
      </c>
      <c r="BB128" s="25">
        <f t="array" ref="BB128">INDEX(KOMBI!$A$1:$GI$145,ROW(PJ!BB135),MATCH(PJ!BB$3,KOMBI!$A$1:$GI$1,0))</f>
        <v>476.02991951529214</v>
      </c>
      <c r="BC128" s="25">
        <f t="array" aca="1" ref="BC128" ca="1">INDEX(KOMBI!$A$1:$GI$145,ROW(PJ!BC135),MATCH(PJ!BC$3,KOMBI!$A$1:$GI$1,0))</f>
        <v>41.076259249029079</v>
      </c>
      <c r="BD128" s="25">
        <f t="array" ref="BD128">INDEX(KOMBI!$A$1:$GI$145,ROW(PJ!BD135),MATCH(PJ!BD$3,KOMBI!$A$1:$GI$1,0))</f>
        <v>-178.19071988063212</v>
      </c>
      <c r="BE128" s="25">
        <f t="array" ref="BE128">INDEX(KOMBI!$A$1:$GI$145,ROW(PJ!BE135),MATCH(PJ!BE$3,KOMBI!$A$1:$GI$1,0))</f>
        <v>219.26697912966119</v>
      </c>
      <c r="BF128" s="25">
        <f t="array" aca="1" ref="BF128" ca="1">INDEX(KOMBI!$A$1:$GI$145,ROW(PJ!BF135),MATCH(PJ!BF$3,KOMBI!$A$1:$GI$1,0))</f>
        <v>0</v>
      </c>
      <c r="BG128" s="25">
        <f t="array" ref="BG128">INDEX(KOMBI!$A$1:$GI$145,ROW(PJ!BG135),MATCH(PJ!BG$3,KOMBI!$A$1:$GI$1,0))</f>
        <v>0.50411146323407641</v>
      </c>
      <c r="BH128" s="25">
        <f t="array" ref="BH128">INDEX(KOMBI!$A$1:$GI$145,ROW(PJ!BH135),MATCH(PJ!BH$3,KOMBI!$A$1:$GI$1,0))</f>
        <v>90</v>
      </c>
      <c r="BI128" s="25">
        <f t="array" ref="BI128">INDEX(KOMBI!$A$1:$GI$145,ROW(PJ!BI135),MATCH(PJ!BI$3,KOMBI!$A$1:$GI$1,0))</f>
        <v>0.72887234460741657</v>
      </c>
      <c r="BJ128" s="25">
        <f t="array" ref="BJ128">INDEX(KOMBI!$A$1:$GI$145,ROW(PJ!BJ135),MATCH(PJ!BJ$3,KOMBI!$A$1:$GI$1,0))</f>
        <v>0.27911646586345373</v>
      </c>
      <c r="BK128" s="25">
        <f t="array" ref="BK128">INDEX(KOMBI!$A$1:$GI$145,ROW(PJ!BK135),MATCH(PJ!BK$3,KOMBI!$A$1:$GI$1,0))</f>
        <v>0.3678346224372237</v>
      </c>
      <c r="BL128" s="25">
        <f t="array" ref="BL128">INDEX(KOMBI!$A$1:$GI$145,ROW(PJ!BL135),MATCH(PJ!BL$3,KOMBI!$A$1:$GI$1,0))</f>
        <v>1.8376264018091438E-2</v>
      </c>
      <c r="BM128" s="25">
        <f t="array" ref="BM128">INDEX(KOMBI!$A$1:$GI$145,ROW(PJ!BM135),MATCH(PJ!BM$3,KOMBI!$A$1:$GI$1,0))</f>
        <v>3.8823113090310545E-3</v>
      </c>
      <c r="BN128" s="25">
        <f t="array" ref="BN128">INDEX(KOMBI!$A$1:$GI$145,ROW(PJ!BN135),MATCH(PJ!BN$3,KOMBI!$A$1:$GI$1,0))</f>
        <v>3.4330371149805805E-3</v>
      </c>
      <c r="BO128" s="25">
        <f t="array" ref="BO128">INDEX(KOMBI!$A$1:$GI$145,ROW(PJ!BO135),MATCH(PJ!BO$3,KOMBI!$A$1:$GI$1,0))</f>
        <v>1.507186583021059E-2</v>
      </c>
      <c r="BP128" s="25">
        <f t="array" ref="BP128">INDEX(KOMBI!$A$1:$GI$145,ROW(PJ!BP135),MATCH(PJ!BP$3,KOMBI!$A$1:$GI$1,0))</f>
        <v>7.5717605777489068</v>
      </c>
      <c r="BQ128" s="25">
        <f t="array" ref="BQ128">INDEX(KOMBI!$A$1:$GI$145,ROW(PJ!BQ135),MATCH(PJ!BQ$3,KOMBI!$A$1:$GI$1,0))</f>
        <v>9.7710000000000008</v>
      </c>
      <c r="BR128" s="25">
        <f t="array" ref="BR128">INDEX(KOMBI!$A$1:$GI$145,ROW(PJ!BR135),MATCH(PJ!BR$3,KOMBI!$A$1:$GI$1,0))</f>
        <v>-4.8594580335326633E-2</v>
      </c>
      <c r="BS128" s="25">
        <f t="array" ref="BS128">INDEX(KOMBI!$A$1:$GI$145,ROW(PJ!BS135),MATCH(PJ!BS$3,KOMBI!$A$1:$GI$1,0))</f>
        <v>-5.812475141232893E-2</v>
      </c>
      <c r="BT128" s="25">
        <f t="array" ref="BT128">INDEX(KOMBI!$A$1:$GI$145,ROW(PJ!BT135),MATCH(PJ!BT$3,KOMBI!$A$1:$GI$1,0))</f>
        <v>-8.1995525633301369E-2</v>
      </c>
      <c r="BU128" s="25">
        <f t="array" ref="BU128">INDEX(KOMBI!$A$1:$GI$145,ROW(PJ!BU135),MATCH(PJ!BU$3,KOMBI!$A$1:$GI$1,0))</f>
        <v>7.1831111109201009</v>
      </c>
      <c r="BV128" s="25">
        <f t="array" ref="BV128">INDEX(KOMBI!$A$1:$GI$145,ROW(PJ!BV135),MATCH(PJ!BV$3,KOMBI!$A$1:$GI$1,0))</f>
        <v>4.9379999999999997</v>
      </c>
      <c r="BW128" s="25">
        <f t="array" ref="BW128">INDEX(KOMBI!$A$1:$GI$145,ROW(PJ!BW135),MATCH(PJ!BW$3,KOMBI!$A$1:$GI$1,0))</f>
        <v>1.4153849906373199</v>
      </c>
      <c r="BX128" s="25">
        <f t="array" ref="BX128">INDEX(KOMBI!$A$1:$GI$145,ROW(PJ!BX135),MATCH(PJ!BX$3,KOMBI!$A$1:$GI$1,0))</f>
        <v>16.462578011574536</v>
      </c>
      <c r="BY128" s="25">
        <f t="array" ref="BY128">INDEX(KOMBI!$A$1:$GI$145,ROW(PJ!BY135),MATCH(PJ!BY$3,KOMBI!$A$1:$GI$1,0))</f>
        <v>11.219077976340797</v>
      </c>
      <c r="BZ128" s="25">
        <f t="array" ref="BZ128">INDEX(KOMBI!$A$1:$GI$145,ROW(PJ!BZ135),MATCH(PJ!BZ$3,KOMBI!$A$1:$GI$1,0))</f>
        <v>67.400000000000006</v>
      </c>
      <c r="CA128" s="25">
        <f t="array" ref="CA128">INDEX(KOMBI!$A$1:$GI$145,ROW(PJ!CA135),MATCH(PJ!CA$3,KOMBI!$A$1:$GI$1,0))</f>
        <v>12.724</v>
      </c>
      <c r="CB128" s="25">
        <f t="array" ref="CB128">INDEX(KOMBI!$A$1:$GI$145,ROW(PJ!CB135),MATCH(PJ!CB$3,KOMBI!$A$1:$GI$1,0))</f>
        <v>57.346944444444446</v>
      </c>
      <c r="CC128" s="25">
        <f t="array" ref="CC128">INDEX(KOMBI!$A$1:$GI$145,ROW(PJ!CC135),MATCH(PJ!CC$3,KOMBI!$A$1:$GI$1,0))</f>
        <v>4.6259050000000004</v>
      </c>
      <c r="CD128" s="25">
        <f t="array" ref="CD128">INDEX(KOMBI!$A$1:$GI$145,ROW(PJ!CD135),MATCH(PJ!CD$3,KOMBI!$A$1:$GI$1,0))</f>
        <v>285</v>
      </c>
      <c r="CE128" s="25">
        <f t="array" ref="CE128">INDEX(KOMBI!$A$1:$GI$145,ROW(PJ!CE135),MATCH(PJ!CE$3,KOMBI!$A$1:$GI$1,0))</f>
        <v>2.7810000000000001</v>
      </c>
      <c r="CF128" s="25">
        <f t="array" ref="CF128">INDEX(KOMBI!$A$1:$GI$145,ROW(PJ!CF135),MATCH(PJ!CF$3,KOMBI!$A$1:$GI$1,0))</f>
        <v>43.312900516795864</v>
      </c>
      <c r="CG128" s="25">
        <f t="array" ref="CG128">INDEX(KOMBI!$A$1:$GI$145,ROW(PJ!CG135),MATCH(PJ!CG$3,KOMBI!$A$1:$GI$1,0))</f>
        <v>2.5620074329845279E-2</v>
      </c>
      <c r="CH128" s="25">
        <f t="array" ref="CH128">INDEX(KOMBI!$A$1:$GI$145,ROW(PJ!CH135),MATCH(PJ!CH$3,KOMBI!$A$1:$GI$1,0))</f>
        <v>0.447957193299102</v>
      </c>
      <c r="CI128" s="25">
        <f t="array" ref="CI128">INDEX(KOMBI!$A$1:$GI$145,ROW(PJ!CI135),MATCH(PJ!CI$3,KOMBI!$A$1:$GI$1,0))</f>
        <v>6.08</v>
      </c>
      <c r="CJ128" s="25">
        <f t="array" ref="CJ128">INDEX(KOMBI!$A$1:$GI$145,ROW(PJ!CJ135),MATCH(PJ!CJ$3,KOMBI!$A$1:$GI$1,0))</f>
        <v>3.4398849906373199</v>
      </c>
      <c r="CK128" s="25">
        <f t="array" ref="CK128">INDEX(KOMBI!$A$1:$GI$145,ROW(PJ!CK135),MATCH(PJ!CK$3,KOMBI!$A$1:$GI$1,0))</f>
        <v>0.19900000000000001</v>
      </c>
      <c r="CL128" s="25">
        <f t="array" ref="CL128">INDEX(KOMBI!$A$1:$GI$145,ROW(PJ!CL135),MATCH(PJ!CL$3,KOMBI!$A$1:$GI$1,0))</f>
        <v>0.72299999999999998</v>
      </c>
    </row>
    <row r="129" spans="3:90" x14ac:dyDescent="0.2">
      <c r="C129" s="184">
        <v>126</v>
      </c>
      <c r="D129" s="25"/>
      <c r="E129" s="25"/>
      <c r="F129" s="25"/>
      <c r="G129" s="25">
        <f>RANK(INDEX(KOMBI!$A$11:$GI$145,MATCH(PJ!$C129,KOMBI!$A$11:$A$145,0),MATCH(PJ!G$3,KOMBI!$A$1:$GI$1,0)),BD$4:BD$138,G127)</f>
        <v>1</v>
      </c>
      <c r="H129" s="25">
        <f>RANK(INDEX(KOMBI!$A$11:$GI$145,MATCH(PJ!$C129,KOMBI!$A$11:$A$145,0),MATCH(PJ!H$3,KOMBI!$A$1:$GI$1,0)),BE$4:BE$138,H127)</f>
        <v>10</v>
      </c>
      <c r="I129" s="25"/>
      <c r="J129" s="25">
        <f>RANK(INDEX(KOMBI!$A$11:$GI$145,MATCH(PJ!$C129,KOMBI!$A$11:$A$145,0),MATCH(PJ!J$3,KOMBI!$A$1:$GI$1,0)),BG$4:BG$138,J127)</f>
        <v>9</v>
      </c>
      <c r="K129" s="25"/>
      <c r="L129" s="25">
        <f>RANK(INDEX(KOMBI!$A$11:$GI$145,MATCH(PJ!$C129,KOMBI!$A$11:$A$145,0),MATCH(PJ!L$3,KOMBI!$A$1:$GI$1,0)),BI$4:BI$138,L127)</f>
        <v>1</v>
      </c>
      <c r="M129" s="25">
        <f>RANK(INDEX(KOMBI!$A$11:$GI$145,MATCH(PJ!$C129,KOMBI!$A$11:$A$145,0),MATCH(PJ!M$3,KOMBI!$A$1:$GI$1,0)),BJ$4:BJ$138,M127)</f>
        <v>7</v>
      </c>
      <c r="N129" s="25">
        <f>RANK(INDEX(KOMBI!$A$11:$GI$145,MATCH(PJ!$C129,KOMBI!$A$11:$A$145,0),MATCH(PJ!N$3,KOMBI!$A$1:$GI$1,0)),BK$4:BK$138,N127)</f>
        <v>4</v>
      </c>
      <c r="O129" s="25">
        <f>RANK(INDEX(KOMBI!$A$11:$GI$145,MATCH(PJ!$C129,KOMBI!$A$11:$A$145,0),MATCH(PJ!O$3,KOMBI!$A$1:$GI$1,0)),BL$4:BL$138,O127)</f>
        <v>10</v>
      </c>
      <c r="P129" s="25">
        <f>RANK(INDEX(KOMBI!$A$11:$GI$145,MATCH(PJ!$C129,KOMBI!$A$11:$A$145,0),MATCH(PJ!P$3,KOMBI!$A$1:$GI$1,0)),BM$4:BM$138,P127)</f>
        <v>6</v>
      </c>
      <c r="Q129" s="25">
        <f>RANK(INDEX(KOMBI!$A$11:$GI$145,MATCH(PJ!$C129,KOMBI!$A$11:$A$145,0),MATCH(PJ!Q$3,KOMBI!$A$1:$GI$1,0)),BN$4:BN$138,Q127)</f>
        <v>10</v>
      </c>
      <c r="R129" s="25">
        <f>RANK(INDEX(KOMBI!$A$11:$GI$145,MATCH(PJ!$C129,KOMBI!$A$11:$A$145,0),MATCH(PJ!R$3,KOMBI!$A$1:$GI$1,0)),BO$4:BO$138,R127)</f>
        <v>11</v>
      </c>
      <c r="S129" s="25"/>
      <c r="T129" s="25">
        <f>RANK(INDEX(KOMBI!$A$11:$GI$145,MATCH(PJ!$C129,KOMBI!$A$11:$A$145,0),MATCH(PJ!T$3,KOMBI!$A$1:$GI$1,0)),BQ$4:BQ$138,T127)</f>
        <v>10</v>
      </c>
      <c r="U129" s="25">
        <f>RANK(INDEX(KOMBI!$A$11:$GI$145,MATCH(PJ!$C129,KOMBI!$A$11:$A$145,0),MATCH(PJ!U$3,KOMBI!$A$1:$GI$1,0)),BR$4:BR$138,U127)</f>
        <v>11</v>
      </c>
      <c r="V129" s="25"/>
      <c r="W129" s="25"/>
      <c r="X129" s="25"/>
      <c r="Y129" s="25"/>
      <c r="Z129" s="25"/>
      <c r="AA129" s="25">
        <f>RANK(INDEX(KOMBI!$A$11:$GI$145,MATCH(PJ!$C129,KOMBI!$A$11:$A$145,0),MATCH(PJ!AA$3,KOMBI!$A$1:$GI$1,0)),BX$4:BX$138,AA127)</f>
        <v>7</v>
      </c>
      <c r="AB129" s="25">
        <f>RANK(INDEX(KOMBI!$A$11:$GI$145,MATCH(PJ!$C129,KOMBI!$A$11:$A$145,0),MATCH(PJ!AB$3,KOMBI!$A$1:$GI$1,0)),BY$4:BY$138,AB127)</f>
        <v>4</v>
      </c>
      <c r="AC129" s="25">
        <f>RANK(INDEX(KOMBI!$A$11:$GI$145,MATCH(PJ!$C129,KOMBI!$A$11:$A$145,0),MATCH(PJ!AC$3,KOMBI!$A$1:$GI$1,0)),BZ$4:BZ$138,AC127)</f>
        <v>7</v>
      </c>
      <c r="AD129" s="25">
        <f>RANK(INDEX(KOMBI!$A$11:$GI$145,MATCH(PJ!$C129,KOMBI!$A$11:$A$145,0),MATCH(PJ!AD$3,KOMBI!$A$1:$GI$1,0)),CA$4:CA$138,AD127)</f>
        <v>11</v>
      </c>
      <c r="AE129" s="25">
        <f>RANK(INDEX(KOMBI!$A$11:$GI$145,MATCH(PJ!$C129,KOMBI!$A$11:$A$145,0),MATCH(PJ!AE$3,KOMBI!$A$1:$GI$1,0)),CB$4:CB$138,AE127)</f>
        <v>11</v>
      </c>
      <c r="AF129" s="25"/>
      <c r="AG129" s="25">
        <f>RANK(INDEX(KOMBI!$A$11:$GI$145,MATCH(PJ!$C129,KOMBI!$A$11:$A$145,0),MATCH(PJ!AG$3,KOMBI!$A$1:$GI$1,0)),CD$4:CD$138,AG127)</f>
        <v>4</v>
      </c>
      <c r="AH129" s="25">
        <f>RANK(INDEX(KOMBI!$A$11:$GI$145,MATCH(PJ!$C129,KOMBI!$A$11:$A$145,0),MATCH(PJ!AH$3,KOMBI!$A$1:$GI$1,0)),CE$4:CE$138,AH127)</f>
        <v>1</v>
      </c>
      <c r="AI129" s="25">
        <f>RANK(INDEX(KOMBI!$A$11:$GI$145,MATCH(PJ!$C129,KOMBI!$A$11:$A$145,0),MATCH(PJ!AI$3,KOMBI!$A$1:$GI$1,0)),CF$4:CF$138,AI127)</f>
        <v>10</v>
      </c>
      <c r="AJ129" s="25">
        <f>RANK(INDEX(KOMBI!$A$11:$GI$145,MATCH(PJ!$C129,KOMBI!$A$11:$A$145,0),MATCH(PJ!AJ$3,KOMBI!$A$1:$GI$1,0)),CG$4:CG$138,AJ127)</f>
        <v>1</v>
      </c>
      <c r="AK129" s="25">
        <f>RANK(INDEX(KOMBI!$A$11:$GI$145,MATCH(PJ!$C129,KOMBI!$A$11:$A$145,0),MATCH(PJ!AK$3,KOMBI!$A$1:$GI$1,0)),CH$4:CH$138,AK127)</f>
        <v>1</v>
      </c>
      <c r="AN129" s="25">
        <f>RANK(INDEX(KOMBI!$A$11:$GI$145,MATCH(PJ!$C129,KOMBI!$A$11:$A$145,0),MATCH(PJ!AN$3,KOMBI!$A$1:$GI$1,0)),CK$4:CK$138,AN127)</f>
        <v>1</v>
      </c>
      <c r="AO129" s="25">
        <f>RANK(INDEX(KOMBI!$A$11:$GI$145,MATCH(PJ!$C129,KOMBI!$A$11:$A$145,0),MATCH(PJ!AO$3,KOMBI!$A$1:$GI$1,0)),CL$4:CL$138,AO127)</f>
        <v>1</v>
      </c>
      <c r="AS129" s="297">
        <f t="shared" si="7"/>
        <v>149</v>
      </c>
      <c r="AT129" s="25">
        <f t="shared" si="10"/>
        <v>10000</v>
      </c>
      <c r="AU129" s="25">
        <f t="shared" si="11"/>
        <v>1</v>
      </c>
      <c r="AV129" s="295" t="str">
        <f>VLOOKUP(VLOOKUP($AU129,KOMBI!$A:$H,3,FALSE),data!$I$27:$J$29,2,FALSE)</f>
        <v>Mittesekkuv</v>
      </c>
      <c r="AW129" s="295" t="str">
        <f>VLOOKUP(VLOOKUP($AU129,KOMBI!$A:$H,2,FALSE),data!$I$21:$J$23,2,FALSE)</f>
        <v>Mittesekkuv</v>
      </c>
      <c r="AX129" s="295" t="str">
        <f>VLOOKUP(VLOOKUP($AU129,KOMBI!$A:$H,5,FALSE),data!$I$39:$J$41,2,FALSE)</f>
        <v>Mittesekkuv</v>
      </c>
      <c r="AY129" s="295" t="str">
        <f>VLOOKUP(VLOOKUP($AU129,KOMBI!$A:$H,4,FALSE),data!$I$32:$J$36,2,FALSE)</f>
        <v>LIB</v>
      </c>
      <c r="BA129" s="25">
        <f t="array" ref="BA129">INDEX(KOMBI!$A$1:$GI$145,ROW(PJ!BA136),MATCH(PJ!BA$3,KOMBI!$A$1:$GI$1,0))</f>
        <v>7.4673992044735735</v>
      </c>
      <c r="BB129" s="25">
        <f t="array" ref="BB129">INDEX(KOMBI!$A$1:$GI$145,ROW(PJ!BB136),MATCH(PJ!BB$3,KOMBI!$A$1:$GI$1,0))</f>
        <v>592.64071053277144</v>
      </c>
      <c r="BC129" s="25">
        <f t="array" aca="1" ref="BC129" ca="1">INDEX(KOMBI!$A$1:$GI$145,ROW(PJ!BC136),MATCH(PJ!BC$3,KOMBI!$A$1:$GI$1,0))</f>
        <v>57.630673608114023</v>
      </c>
      <c r="BD129" s="25">
        <f t="array" ref="BD129">INDEX(KOMBI!$A$1:$GI$145,ROW(PJ!BD136),MATCH(PJ!BD$3,KOMBI!$A$1:$GI$1,0))</f>
        <v>-197.29831369909104</v>
      </c>
      <c r="BE129" s="25">
        <f t="array" ref="BE129">INDEX(KOMBI!$A$1:$GI$145,ROW(PJ!BE136),MATCH(PJ!BE$3,KOMBI!$A$1:$GI$1,0))</f>
        <v>254.92898730720506</v>
      </c>
      <c r="BF129" s="25">
        <f t="array" aca="1" ref="BF129" ca="1">INDEX(KOMBI!$A$1:$GI$145,ROW(PJ!BF136),MATCH(PJ!BF$3,KOMBI!$A$1:$GI$1,0))</f>
        <v>0</v>
      </c>
      <c r="BG129" s="25">
        <f t="array" ref="BG129">INDEX(KOMBI!$A$1:$GI$145,ROW(PJ!BG136),MATCH(PJ!BG$3,KOMBI!$A$1:$GI$1,0))</f>
        <v>0.50411146323407641</v>
      </c>
      <c r="BH129" s="25">
        <f t="array" ref="BH129">INDEX(KOMBI!$A$1:$GI$145,ROW(PJ!BH136),MATCH(PJ!BH$3,KOMBI!$A$1:$GI$1,0))</f>
        <v>90</v>
      </c>
      <c r="BI129" s="25">
        <f t="array" ref="BI129">INDEX(KOMBI!$A$1:$GI$145,ROW(PJ!BI136),MATCH(PJ!BI$3,KOMBI!$A$1:$GI$1,0))</f>
        <v>0.72887234460741646</v>
      </c>
      <c r="BJ129" s="25">
        <f t="array" ref="BJ129">INDEX(KOMBI!$A$1:$GI$145,ROW(PJ!BJ136),MATCH(PJ!BJ$3,KOMBI!$A$1:$GI$1,0))</f>
        <v>0.27911646586345373</v>
      </c>
      <c r="BK129" s="25">
        <f t="array" ref="BK129">INDEX(KOMBI!$A$1:$GI$145,ROW(PJ!BK136),MATCH(PJ!BK$3,KOMBI!$A$1:$GI$1,0))</f>
        <v>0.3678346224372237</v>
      </c>
      <c r="BL129" s="25">
        <f t="array" ref="BL129">INDEX(KOMBI!$A$1:$GI$145,ROW(PJ!BL136),MATCH(PJ!BL$3,KOMBI!$A$1:$GI$1,0))</f>
        <v>2.3027319396337956E-2</v>
      </c>
      <c r="BM129" s="25">
        <f t="array" ref="BM129">INDEX(KOMBI!$A$1:$GI$145,ROW(PJ!BM136),MATCH(PJ!BM$3,KOMBI!$A$1:$GI$1,0))</f>
        <v>3.8950770360724413E-3</v>
      </c>
      <c r="BN129" s="25">
        <f t="array" ref="BN129">INDEX(KOMBI!$A$1:$GI$145,ROW(PJ!BN136),MATCH(PJ!BN$3,KOMBI!$A$1:$GI$1,0))</f>
        <v>4.7638269510273112E-3</v>
      </c>
      <c r="BO129" s="25">
        <f t="array" ref="BO129">INDEX(KOMBI!$A$1:$GI$145,ROW(PJ!BO136),MATCH(PJ!BO$3,KOMBI!$A$1:$GI$1,0))</f>
        <v>1.8465729278375448E-2</v>
      </c>
      <c r="BP129" s="25">
        <f t="array" ref="BP129">INDEX(KOMBI!$A$1:$GI$145,ROW(PJ!BP136),MATCH(PJ!BP$3,KOMBI!$A$1:$GI$1,0))</f>
        <v>7.5717605777489068</v>
      </c>
      <c r="BQ129" s="25">
        <f t="array" ref="BQ129">INDEX(KOMBI!$A$1:$GI$145,ROW(PJ!BQ136),MATCH(PJ!BQ$3,KOMBI!$A$1:$GI$1,0))</f>
        <v>9.9949999999999992</v>
      </c>
      <c r="BR129" s="25">
        <f t="array" ref="BR129">INDEX(KOMBI!$A$1:$GI$145,ROW(PJ!BR136),MATCH(PJ!BR$3,KOMBI!$A$1:$GI$1,0))</f>
        <v>-4.4615093204880732E-2</v>
      </c>
      <c r="BS129" s="25">
        <f t="array" ref="BS129">INDEX(KOMBI!$A$1:$GI$145,ROW(PJ!BS136),MATCH(PJ!BS$3,KOMBI!$A$1:$GI$1,0))</f>
        <v>-5.6865591496040487E-2</v>
      </c>
      <c r="BT129" s="25">
        <f t="array" ref="BT129">INDEX(KOMBI!$A$1:$GI$145,ROW(PJ!BT136),MATCH(PJ!BT$3,KOMBI!$A$1:$GI$1,0))</f>
        <v>-8.053480666007512E-2</v>
      </c>
      <c r="BU129" s="25">
        <f t="array" ref="BU129">INDEX(KOMBI!$A$1:$GI$145,ROW(PJ!BU136),MATCH(PJ!BU$3,KOMBI!$A$1:$GI$1,0))</f>
        <v>7.1831111109201009</v>
      </c>
      <c r="BV129" s="25">
        <f t="array" ref="BV129">INDEX(KOMBI!$A$1:$GI$145,ROW(PJ!BV136),MATCH(PJ!BV$3,KOMBI!$A$1:$GI$1,0))</f>
        <v>4.9379999999999997</v>
      </c>
      <c r="BW129" s="25">
        <f t="array" ref="BW129">INDEX(KOMBI!$A$1:$GI$145,ROW(PJ!BW136),MATCH(PJ!BW$3,KOMBI!$A$1:$GI$1,0))</f>
        <v>1.62408499063732</v>
      </c>
      <c r="BX129" s="25">
        <f t="array" ref="BX129">INDEX(KOMBI!$A$1:$GI$145,ROW(PJ!BX136),MATCH(PJ!BX$3,KOMBI!$A$1:$GI$1,0))</f>
        <v>16.462578011574536</v>
      </c>
      <c r="BY129" s="25">
        <f t="array" ref="BY129">INDEX(KOMBI!$A$1:$GI$145,ROW(PJ!BY136),MATCH(PJ!BY$3,KOMBI!$A$1:$GI$1,0))</f>
        <v>11.219077976340797</v>
      </c>
      <c r="BZ129" s="25">
        <f t="array" ref="BZ129">INDEX(KOMBI!$A$1:$GI$145,ROW(PJ!BZ136),MATCH(PJ!BZ$3,KOMBI!$A$1:$GI$1,0))</f>
        <v>69</v>
      </c>
      <c r="CA129" s="25">
        <f t="array" ref="CA129">INDEX(KOMBI!$A$1:$GI$145,ROW(PJ!CA136),MATCH(PJ!CA$3,KOMBI!$A$1:$GI$1,0))</f>
        <v>12.976000000000001</v>
      </c>
      <c r="CB129" s="25">
        <f t="array" ref="CB129">INDEX(KOMBI!$A$1:$GI$145,ROW(PJ!CB136),MATCH(PJ!CB$3,KOMBI!$A$1:$GI$1,0))</f>
        <v>58.254999999999995</v>
      </c>
      <c r="CC129" s="25">
        <f t="array" ref="CC129">INDEX(KOMBI!$A$1:$GI$145,ROW(PJ!CC136),MATCH(PJ!CC$3,KOMBI!$A$1:$GI$1,0))</f>
        <v>4.7192499999999997</v>
      </c>
      <c r="CD129" s="25">
        <f t="array" ref="CD129">INDEX(KOMBI!$A$1:$GI$145,ROW(PJ!CD136),MATCH(PJ!CD$3,KOMBI!$A$1:$GI$1,0))</f>
        <v>285</v>
      </c>
      <c r="CE129" s="25">
        <f t="array" ref="CE129">INDEX(KOMBI!$A$1:$GI$145,ROW(PJ!CE136),MATCH(PJ!CE$3,KOMBI!$A$1:$GI$1,0))</f>
        <v>2.7810000000000001</v>
      </c>
      <c r="CF129" s="25">
        <f t="array" ref="CF129">INDEX(KOMBI!$A$1:$GI$145,ROW(PJ!CF136),MATCH(PJ!CF$3,KOMBI!$A$1:$GI$1,0))</f>
        <v>43.312900516795864</v>
      </c>
      <c r="CG129" s="25">
        <f t="array" ref="CG129">INDEX(KOMBI!$A$1:$GI$145,ROW(PJ!CG136),MATCH(PJ!CG$3,KOMBI!$A$1:$GI$1,0))</f>
        <v>2.5620074329845279E-2</v>
      </c>
      <c r="CH129" s="25">
        <f t="array" ref="CH129">INDEX(KOMBI!$A$1:$GI$145,ROW(PJ!CH136),MATCH(PJ!CH$3,KOMBI!$A$1:$GI$1,0))</f>
        <v>0.447957193299102</v>
      </c>
      <c r="CI129" s="25">
        <f t="array" ref="CI129">INDEX(KOMBI!$A$1:$GI$145,ROW(PJ!CI136),MATCH(PJ!CI$3,KOMBI!$A$1:$GI$1,0))</f>
        <v>6.08</v>
      </c>
      <c r="CJ129" s="25">
        <f t="array" ref="CJ129">INDEX(KOMBI!$A$1:$GI$145,ROW(PJ!CJ136),MATCH(PJ!CJ$3,KOMBI!$A$1:$GI$1,0))</f>
        <v>3.4398849906373199</v>
      </c>
      <c r="CK129" s="25">
        <f t="array" ref="CK129">INDEX(KOMBI!$A$1:$GI$145,ROW(PJ!CK136),MATCH(PJ!CK$3,KOMBI!$A$1:$GI$1,0))</f>
        <v>0.19900000000000001</v>
      </c>
      <c r="CL129" s="25">
        <f t="array" ref="CL129">INDEX(KOMBI!$A$1:$GI$145,ROW(PJ!CL136),MATCH(PJ!CL$3,KOMBI!$A$1:$GI$1,0))</f>
        <v>0.72299999999999998</v>
      </c>
    </row>
    <row r="130" spans="3:90" x14ac:dyDescent="0.2">
      <c r="C130" s="184">
        <v>127</v>
      </c>
      <c r="D130" s="25"/>
      <c r="E130" s="25"/>
      <c r="F130" s="25"/>
      <c r="G130" s="25">
        <f>RANK(INDEX(KOMBI!$A$11:$GI$145,MATCH(PJ!$C130,KOMBI!$A$11:$A$145,0),MATCH(PJ!G$3,KOMBI!$A$1:$GI$1,0)),BD$4:BD$138,G128)</f>
        <v>11</v>
      </c>
      <c r="H130" s="25">
        <f>RANK(INDEX(KOMBI!$A$11:$GI$145,MATCH(PJ!$C130,KOMBI!$A$11:$A$145,0),MATCH(PJ!H$3,KOMBI!$A$1:$GI$1,0)),BE$4:BE$138,H128)</f>
        <v>4</v>
      </c>
      <c r="I130" s="25"/>
      <c r="J130" s="25">
        <f>RANK(INDEX(KOMBI!$A$11:$GI$145,MATCH(PJ!$C130,KOMBI!$A$11:$A$145,0),MATCH(PJ!J$3,KOMBI!$A$1:$GI$1,0)),BG$4:BG$138,J128)</f>
        <v>6</v>
      </c>
      <c r="K130" s="25"/>
      <c r="L130" s="25">
        <f>RANK(INDEX(KOMBI!$A$11:$GI$145,MATCH(PJ!$C130,KOMBI!$A$11:$A$145,0),MATCH(PJ!L$3,KOMBI!$A$1:$GI$1,0)),BI$4:BI$138,L128)</f>
        <v>11</v>
      </c>
      <c r="M130" s="25">
        <f>RANK(INDEX(KOMBI!$A$11:$GI$145,MATCH(PJ!$C130,KOMBI!$A$11:$A$145,0),MATCH(PJ!M$3,KOMBI!$A$1:$GI$1,0)),BJ$4:BJ$138,M128)</f>
        <v>4</v>
      </c>
      <c r="N130" s="25">
        <f>RANK(INDEX(KOMBI!$A$11:$GI$145,MATCH(PJ!$C130,KOMBI!$A$11:$A$145,0),MATCH(PJ!N$3,KOMBI!$A$1:$GI$1,0)),BK$4:BK$138,N128)</f>
        <v>10</v>
      </c>
      <c r="O130" s="25">
        <f>RANK(INDEX(KOMBI!$A$11:$GI$145,MATCH(PJ!$C130,KOMBI!$A$11:$A$145,0),MATCH(PJ!O$3,KOMBI!$A$1:$GI$1,0)),BL$4:BL$138,O128)</f>
        <v>4</v>
      </c>
      <c r="P130" s="25">
        <f>RANK(INDEX(KOMBI!$A$11:$GI$145,MATCH(PJ!$C130,KOMBI!$A$11:$A$145,0),MATCH(PJ!P$3,KOMBI!$A$1:$GI$1,0)),BM$4:BM$138,P128)</f>
        <v>9</v>
      </c>
      <c r="Q130" s="25">
        <f>RANK(INDEX(KOMBI!$A$11:$GI$145,MATCH(PJ!$C130,KOMBI!$A$11:$A$145,0),MATCH(PJ!Q$3,KOMBI!$A$1:$GI$1,0)),BN$4:BN$138,Q128)</f>
        <v>4</v>
      </c>
      <c r="R130" s="25">
        <f>RANK(INDEX(KOMBI!$A$11:$GI$145,MATCH(PJ!$C130,KOMBI!$A$11:$A$145,0),MATCH(PJ!R$3,KOMBI!$A$1:$GI$1,0)),BO$4:BO$138,R128)</f>
        <v>4</v>
      </c>
      <c r="S130" s="25"/>
      <c r="T130" s="25">
        <f>RANK(INDEX(KOMBI!$A$11:$GI$145,MATCH(PJ!$C130,KOMBI!$A$11:$A$145,0),MATCH(PJ!T$3,KOMBI!$A$1:$GI$1,0)),BQ$4:BQ$138,T128)</f>
        <v>6</v>
      </c>
      <c r="U130" s="25">
        <f>RANK(INDEX(KOMBI!$A$11:$GI$145,MATCH(PJ!$C130,KOMBI!$A$11:$A$145,0),MATCH(PJ!U$3,KOMBI!$A$1:$GI$1,0)),BR$4:BR$138,U128)</f>
        <v>6</v>
      </c>
      <c r="V130" s="25"/>
      <c r="W130" s="25"/>
      <c r="X130" s="25"/>
      <c r="Y130" s="25"/>
      <c r="Z130" s="25"/>
      <c r="AA130" s="25">
        <f>RANK(INDEX(KOMBI!$A$11:$GI$145,MATCH(PJ!$C130,KOMBI!$A$11:$A$145,0),MATCH(PJ!AA$3,KOMBI!$A$1:$GI$1,0)),BX$4:BX$138,AA128)</f>
        <v>10</v>
      </c>
      <c r="AB130" s="25">
        <f>RANK(INDEX(KOMBI!$A$11:$GI$145,MATCH(PJ!$C130,KOMBI!$A$11:$A$145,0),MATCH(PJ!AB$3,KOMBI!$A$1:$GI$1,0)),BY$4:BY$138,AB128)</f>
        <v>4</v>
      </c>
      <c r="AC130" s="25">
        <f>RANK(INDEX(KOMBI!$A$11:$GI$145,MATCH(PJ!$C130,KOMBI!$A$11:$A$145,0),MATCH(PJ!AC$3,KOMBI!$A$1:$GI$1,0)),BZ$4:BZ$138,AC128)</f>
        <v>5</v>
      </c>
      <c r="AD130" s="25">
        <f>RANK(INDEX(KOMBI!$A$11:$GI$145,MATCH(PJ!$C130,KOMBI!$A$11:$A$145,0),MATCH(PJ!AD$3,KOMBI!$A$1:$GI$1,0)),CA$4:CA$138,AD128)</f>
        <v>6</v>
      </c>
      <c r="AE130" s="25">
        <f>RANK(INDEX(KOMBI!$A$11:$GI$145,MATCH(PJ!$C130,KOMBI!$A$11:$A$145,0),MATCH(PJ!AE$3,KOMBI!$A$1:$GI$1,0)),CB$4:CB$138,AE128)</f>
        <v>6</v>
      </c>
      <c r="AF130" s="25"/>
      <c r="AG130" s="25">
        <f>RANK(INDEX(KOMBI!$A$11:$GI$145,MATCH(PJ!$C130,KOMBI!$A$11:$A$145,0),MATCH(PJ!AG$3,KOMBI!$A$1:$GI$1,0)),CD$4:CD$138,AG128)</f>
        <v>4</v>
      </c>
      <c r="AH130" s="25">
        <f>RANK(INDEX(KOMBI!$A$11:$GI$145,MATCH(PJ!$C130,KOMBI!$A$11:$A$145,0),MATCH(PJ!AH$3,KOMBI!$A$1:$GI$1,0)),CE$4:CE$138,AH128)</f>
        <v>1</v>
      </c>
      <c r="AI130" s="25">
        <f>RANK(INDEX(KOMBI!$A$11:$GI$145,MATCH(PJ!$C130,KOMBI!$A$11:$A$145,0),MATCH(PJ!AI$3,KOMBI!$A$1:$GI$1,0)),CF$4:CF$138,AI128)</f>
        <v>4</v>
      </c>
      <c r="AJ130" s="25">
        <f>RANK(INDEX(KOMBI!$A$11:$GI$145,MATCH(PJ!$C130,KOMBI!$A$11:$A$145,0),MATCH(PJ!AJ$3,KOMBI!$A$1:$GI$1,0)),CG$4:CG$138,AJ128)</f>
        <v>13</v>
      </c>
      <c r="AK130" s="25">
        <f>RANK(INDEX(KOMBI!$A$11:$GI$145,MATCH(PJ!$C130,KOMBI!$A$11:$A$145,0),MATCH(PJ!AK$3,KOMBI!$A$1:$GI$1,0)),CH$4:CH$138,AK128)</f>
        <v>10</v>
      </c>
      <c r="AN130" s="25">
        <f>RANK(INDEX(KOMBI!$A$11:$GI$145,MATCH(PJ!$C130,KOMBI!$A$11:$A$145,0),MATCH(PJ!AN$3,KOMBI!$A$1:$GI$1,0)),CK$4:CK$138,AN128)</f>
        <v>1</v>
      </c>
      <c r="AO130" s="25">
        <f>RANK(INDEX(KOMBI!$A$11:$GI$145,MATCH(PJ!$C130,KOMBI!$A$11:$A$145,0),MATCH(PJ!AO$3,KOMBI!$A$1:$GI$1,0)),CL$4:CL$138,AO128)</f>
        <v>1</v>
      </c>
      <c r="AS130" s="297">
        <f t="shared" si="7"/>
        <v>144</v>
      </c>
      <c r="AT130" s="25">
        <f t="shared" si="10"/>
        <v>10000</v>
      </c>
      <c r="AU130" s="25">
        <f t="shared" si="11"/>
        <v>1</v>
      </c>
      <c r="AV130" s="295" t="str">
        <f>VLOOKUP(VLOOKUP($AU130,KOMBI!$A:$H,3,FALSE),data!$I$27:$J$29,2,FALSE)</f>
        <v>Mittesekkuv</v>
      </c>
      <c r="AW130" s="295" t="str">
        <f>VLOOKUP(VLOOKUP($AU130,KOMBI!$A:$H,2,FALSE),data!$I$21:$J$23,2,FALSE)</f>
        <v>Mittesekkuv</v>
      </c>
      <c r="AX130" s="295" t="str">
        <f>VLOOKUP(VLOOKUP($AU130,KOMBI!$A:$H,5,FALSE),data!$I$39:$J$41,2,FALSE)</f>
        <v>Mittesekkuv</v>
      </c>
      <c r="AY130" s="295" t="str">
        <f>VLOOKUP(VLOOKUP($AU130,KOMBI!$A:$H,4,FALSE),data!$I$32:$J$36,2,FALSE)</f>
        <v>LIB</v>
      </c>
      <c r="BA130" s="25">
        <f t="array" ref="BA130">INDEX(KOMBI!$A$1:$GI$145,ROW(PJ!BA137),MATCH(PJ!BA$3,KOMBI!$A$1:$GI$1,0))</f>
        <v>6.3213672301352926</v>
      </c>
      <c r="BB130" s="25">
        <f t="array" ref="BB130">INDEX(KOMBI!$A$1:$GI$145,ROW(PJ!BB137),MATCH(PJ!BB$3,KOMBI!$A$1:$GI$1,0))</f>
        <v>401.554942830561</v>
      </c>
      <c r="BC130" s="25">
        <f t="array" aca="1" ref="BC130" ca="1">INDEX(KOMBI!$A$1:$GI$145,ROW(PJ!BC137),MATCH(PJ!BC$3,KOMBI!$A$1:$GI$1,0))</f>
        <v>34.732793204047056</v>
      </c>
      <c r="BD130" s="25">
        <f t="array" ref="BD130">INDEX(KOMBI!$A$1:$GI$145,ROW(PJ!BD137),MATCH(PJ!BD$3,KOMBI!$A$1:$GI$1,0))</f>
        <v>-162.95750000000001</v>
      </c>
      <c r="BE130" s="25">
        <f t="array" ref="BE130">INDEX(KOMBI!$A$1:$GI$145,ROW(PJ!BE137),MATCH(PJ!BE$3,KOMBI!$A$1:$GI$1,0))</f>
        <v>197.69029320404707</v>
      </c>
      <c r="BF130" s="25">
        <f t="array" aca="1" ref="BF130" ca="1">INDEX(KOMBI!$A$1:$GI$145,ROW(PJ!BF137),MATCH(PJ!BF$3,KOMBI!$A$1:$GI$1,0))</f>
        <v>0</v>
      </c>
      <c r="BG130" s="25">
        <f t="array" ref="BG130">INDEX(KOMBI!$A$1:$GI$145,ROW(PJ!BG137),MATCH(PJ!BG$3,KOMBI!$A$1:$GI$1,0))</f>
        <v>0.50323675567433446</v>
      </c>
      <c r="BH130" s="25">
        <f t="array" ref="BH130">INDEX(KOMBI!$A$1:$GI$145,ROW(PJ!BH137),MATCH(PJ!BH$3,KOMBI!$A$1:$GI$1,0))</f>
        <v>90</v>
      </c>
      <c r="BI130" s="25">
        <f t="array" ref="BI130">INDEX(KOMBI!$A$1:$GI$145,ROW(PJ!BI137),MATCH(PJ!BI$3,KOMBI!$A$1:$GI$1,0))</f>
        <v>1</v>
      </c>
      <c r="BJ130" s="25">
        <f t="array" ref="BJ130">INDEX(KOMBI!$A$1:$GI$145,ROW(PJ!BJ137),MATCH(PJ!BJ$3,KOMBI!$A$1:$GI$1,0))</f>
        <v>6.6265060240963902E-2</v>
      </c>
      <c r="BK130" s="25">
        <f t="array" ref="BK130">INDEX(KOMBI!$A$1:$GI$145,ROW(PJ!BK137),MATCH(PJ!BK$3,KOMBI!$A$1:$GI$1,0))</f>
        <v>0.41762821979641068</v>
      </c>
      <c r="BL130" s="25">
        <f t="array" ref="BL130">INDEX(KOMBI!$A$1:$GI$145,ROW(PJ!BL137),MATCH(PJ!BL$3,KOMBI!$A$1:$GI$1,0))</f>
        <v>1.5704517146665847E-2</v>
      </c>
      <c r="BM130" s="25">
        <f t="array" ref="BM130">INDEX(KOMBI!$A$1:$GI$145,ROW(PJ!BM137),MATCH(PJ!BM$3,KOMBI!$A$1:$GI$1,0))</f>
        <v>5.7861522028542292E-3</v>
      </c>
      <c r="BN130" s="25">
        <f t="array" ref="BN130">INDEX(KOMBI!$A$1:$GI$145,ROW(PJ!BN137),MATCH(PJ!BN$3,KOMBI!$A$1:$GI$1,0))</f>
        <v>2.5770516830088963E-3</v>
      </c>
      <c r="BO130" s="25">
        <f t="array" ref="BO130">INDEX(KOMBI!$A$1:$GI$145,ROW(PJ!BO137),MATCH(PJ!BO$3,KOMBI!$A$1:$GI$1,0))</f>
        <v>1.3248113808627037E-2</v>
      </c>
      <c r="BP130" s="25">
        <f t="array" ref="BP130">INDEX(KOMBI!$A$1:$GI$145,ROW(PJ!BP137),MATCH(PJ!BP$3,KOMBI!$A$1:$GI$1,0))</f>
        <v>7.5743156794471025</v>
      </c>
      <c r="BQ130" s="25">
        <f t="array" ref="BQ130">INDEX(KOMBI!$A$1:$GI$145,ROW(PJ!BQ137),MATCH(PJ!BQ$3,KOMBI!$A$1:$GI$1,0))</f>
        <v>9.7629999999999999</v>
      </c>
      <c r="BR130" s="25">
        <f t="array" ref="BR130">INDEX(KOMBI!$A$1:$GI$145,ROW(PJ!BR137),MATCH(PJ!BR$3,KOMBI!$A$1:$GI$1,0))</f>
        <v>-5.2811725469989391E-2</v>
      </c>
      <c r="BS130" s="25">
        <f t="array" ref="BS130">INDEX(KOMBI!$A$1:$GI$145,ROW(PJ!BS137),MATCH(PJ!BS$3,KOMBI!$A$1:$GI$1,0))</f>
        <v>-5.9790806986495262E-2</v>
      </c>
      <c r="BT130" s="25">
        <f t="array" ref="BT130">INDEX(KOMBI!$A$1:$GI$145,ROW(PJ!BT137),MATCH(PJ!BT$3,KOMBI!$A$1:$GI$1,0))</f>
        <v>-8.2821978067298727E-2</v>
      </c>
      <c r="BU130" s="25">
        <f t="array" ref="BU130">INDEX(KOMBI!$A$1:$GI$145,ROW(PJ!BU137),MATCH(PJ!BU$3,KOMBI!$A$1:$GI$1,0))</f>
        <v>7.1502826922990277</v>
      </c>
      <c r="BV130" s="25">
        <f t="array" ref="BV130">INDEX(KOMBI!$A$1:$GI$145,ROW(PJ!BV137),MATCH(PJ!BV$3,KOMBI!$A$1:$GI$1,0))</f>
        <v>4.9050000000000002</v>
      </c>
      <c r="BW130" s="25">
        <f t="array" ref="BW130">INDEX(KOMBI!$A$1:$GI$145,ROW(PJ!BW137),MATCH(PJ!BW$3,KOMBI!$A$1:$GI$1,0))</f>
        <v>1.03788499063732</v>
      </c>
      <c r="BX130" s="25">
        <f t="array" ref="BX130">INDEX(KOMBI!$A$1:$GI$145,ROW(PJ!BX137),MATCH(PJ!BX$3,KOMBI!$A$1:$GI$1,0))</f>
        <v>16.465861099430587</v>
      </c>
      <c r="BY130" s="25">
        <f t="array" ref="BY130">INDEX(KOMBI!$A$1:$GI$145,ROW(PJ!BY137),MATCH(PJ!BY$3,KOMBI!$A$1:$GI$1,0))</f>
        <v>11.219077976340797</v>
      </c>
      <c r="BZ130" s="25">
        <f t="array" ref="BZ130">INDEX(KOMBI!$A$1:$GI$145,ROW(PJ!BZ137),MATCH(PJ!BZ$3,KOMBI!$A$1:$GI$1,0))</f>
        <v>68</v>
      </c>
      <c r="CA130" s="25">
        <f t="array" ref="CA130">INDEX(KOMBI!$A$1:$GI$145,ROW(PJ!CA137),MATCH(PJ!CA$3,KOMBI!$A$1:$GI$1,0))</f>
        <v>12.65</v>
      </c>
      <c r="CB130" s="25">
        <f t="array" ref="CB130">INDEX(KOMBI!$A$1:$GI$145,ROW(PJ!CB137),MATCH(PJ!CB$3,KOMBI!$A$1:$GI$1,0))</f>
        <v>57.012500000000003</v>
      </c>
      <c r="CC130" s="25">
        <f t="array" ref="CC130">INDEX(KOMBI!$A$1:$GI$145,ROW(PJ!CC137),MATCH(PJ!CC$3,KOMBI!$A$1:$GI$1,0))</f>
        <v>4.613632</v>
      </c>
      <c r="CD130" s="25">
        <f t="array" ref="CD130">INDEX(KOMBI!$A$1:$GI$145,ROW(PJ!CD137),MATCH(PJ!CD$3,KOMBI!$A$1:$GI$1,0))</f>
        <v>285</v>
      </c>
      <c r="CE130" s="25">
        <f t="array" ref="CE130">INDEX(KOMBI!$A$1:$GI$145,ROW(PJ!CE137),MATCH(PJ!CE$3,KOMBI!$A$1:$GI$1,0))</f>
        <v>2.7810000000000001</v>
      </c>
      <c r="CF130" s="25">
        <f t="array" ref="CF130">INDEX(KOMBI!$A$1:$GI$145,ROW(PJ!CF137),MATCH(PJ!CF$3,KOMBI!$A$1:$GI$1,0))</f>
        <v>43.272900516795865</v>
      </c>
      <c r="CG130" s="25">
        <f t="array" ref="CG130">INDEX(KOMBI!$A$1:$GI$145,ROW(PJ!CG137),MATCH(PJ!CG$3,KOMBI!$A$1:$GI$1,0))</f>
        <v>9.3307678114868606E-2</v>
      </c>
      <c r="CH130" s="25">
        <f t="array" ref="CH130">INDEX(KOMBI!$A$1:$GI$145,ROW(PJ!CH137),MATCH(PJ!CH$3,KOMBI!$A$1:$GI$1,0))</f>
        <v>0.51659368872597156</v>
      </c>
      <c r="CI130" s="25">
        <f t="array" ref="CI130">INDEX(KOMBI!$A$1:$GI$145,ROW(PJ!CI137),MATCH(PJ!CI$3,KOMBI!$A$1:$GI$1,0))</f>
        <v>6.08</v>
      </c>
      <c r="CJ130" s="25">
        <f t="array" ref="CJ130">INDEX(KOMBI!$A$1:$GI$145,ROW(PJ!CJ137),MATCH(PJ!CJ$3,KOMBI!$A$1:$GI$1,0))</f>
        <v>2.7478849906373197</v>
      </c>
      <c r="CK130" s="25">
        <f t="array" ref="CK130">INDEX(KOMBI!$A$1:$GI$145,ROW(PJ!CK137),MATCH(PJ!CK$3,KOMBI!$A$1:$GI$1,0))</f>
        <v>0.19900000000000001</v>
      </c>
      <c r="CL130" s="25">
        <f t="array" ref="CL130">INDEX(KOMBI!$A$1:$GI$145,ROW(PJ!CL137),MATCH(PJ!CL$3,KOMBI!$A$1:$GI$1,0))</f>
        <v>0.72299999999999998</v>
      </c>
    </row>
    <row r="131" spans="3:90" x14ac:dyDescent="0.2">
      <c r="C131" s="184">
        <v>128</v>
      </c>
      <c r="D131" s="25"/>
      <c r="E131" s="25"/>
      <c r="F131" s="25"/>
      <c r="G131" s="25">
        <f>RANK(INDEX(KOMBI!$A$11:$GI$145,MATCH(PJ!$C131,KOMBI!$A$11:$A$145,0),MATCH(PJ!G$3,KOMBI!$A$1:$GI$1,0)),BD$4:BD$138,G129)</f>
        <v>6</v>
      </c>
      <c r="H131" s="25">
        <f>RANK(INDEX(KOMBI!$A$11:$GI$145,MATCH(PJ!$C131,KOMBI!$A$11:$A$145,0),MATCH(PJ!H$3,KOMBI!$A$1:$GI$1,0)),BE$4:BE$138,H129)</f>
        <v>8</v>
      </c>
      <c r="I131" s="25"/>
      <c r="J131" s="25">
        <f>RANK(INDEX(KOMBI!$A$11:$GI$145,MATCH(PJ!$C131,KOMBI!$A$11:$A$145,0),MATCH(PJ!J$3,KOMBI!$A$1:$GI$1,0)),BG$4:BG$138,J129)</f>
        <v>4</v>
      </c>
      <c r="K131" s="25"/>
      <c r="L131" s="25">
        <f>RANK(INDEX(KOMBI!$A$11:$GI$145,MATCH(PJ!$C131,KOMBI!$A$11:$A$145,0),MATCH(PJ!L$3,KOMBI!$A$1:$GI$1,0)),BI$4:BI$138,L129)</f>
        <v>6</v>
      </c>
      <c r="M131" s="25">
        <f>RANK(INDEX(KOMBI!$A$11:$GI$145,MATCH(PJ!$C131,KOMBI!$A$11:$A$145,0),MATCH(PJ!M$3,KOMBI!$A$1:$GI$1,0)),BJ$4:BJ$138,M129)</f>
        <v>4</v>
      </c>
      <c r="N131" s="25">
        <f>RANK(INDEX(KOMBI!$A$11:$GI$145,MATCH(PJ!$C131,KOMBI!$A$11:$A$145,0),MATCH(PJ!N$3,KOMBI!$A$1:$GI$1,0)),BK$4:BK$138,N129)</f>
        <v>10</v>
      </c>
      <c r="O131" s="25">
        <f>RANK(INDEX(KOMBI!$A$11:$GI$145,MATCH(PJ!$C131,KOMBI!$A$11:$A$145,0),MATCH(PJ!O$3,KOMBI!$A$1:$GI$1,0)),BL$4:BL$138,O129)</f>
        <v>8</v>
      </c>
      <c r="P131" s="25">
        <f>RANK(INDEX(KOMBI!$A$11:$GI$145,MATCH(PJ!$C131,KOMBI!$A$11:$A$145,0),MATCH(PJ!P$3,KOMBI!$A$1:$GI$1,0)),BM$4:BM$138,P129)</f>
        <v>1</v>
      </c>
      <c r="Q131" s="25">
        <f>RANK(INDEX(KOMBI!$A$11:$GI$145,MATCH(PJ!$C131,KOMBI!$A$11:$A$145,0),MATCH(PJ!Q$3,KOMBI!$A$1:$GI$1,0)),BN$4:BN$138,Q129)</f>
        <v>11</v>
      </c>
      <c r="R131" s="25">
        <f>RANK(INDEX(KOMBI!$A$11:$GI$145,MATCH(PJ!$C131,KOMBI!$A$11:$A$145,0),MATCH(PJ!R$3,KOMBI!$A$1:$GI$1,0)),BO$4:BO$138,R129)</f>
        <v>8</v>
      </c>
      <c r="S131" s="25"/>
      <c r="T131" s="25">
        <f>RANK(INDEX(KOMBI!$A$11:$GI$145,MATCH(PJ!$C131,KOMBI!$A$11:$A$145,0),MATCH(PJ!T$3,KOMBI!$A$1:$GI$1,0)),BQ$4:BQ$138,T129)</f>
        <v>9</v>
      </c>
      <c r="U131" s="25">
        <f>RANK(INDEX(KOMBI!$A$11:$GI$145,MATCH(PJ!$C131,KOMBI!$A$11:$A$145,0),MATCH(PJ!U$3,KOMBI!$A$1:$GI$1,0)),BR$4:BR$138,U129)</f>
        <v>9</v>
      </c>
      <c r="V131" s="25"/>
      <c r="W131" s="25"/>
      <c r="X131" s="25"/>
      <c r="Y131" s="25"/>
      <c r="Z131" s="25"/>
      <c r="AA131" s="25">
        <f>RANK(INDEX(KOMBI!$A$11:$GI$145,MATCH(PJ!$C131,KOMBI!$A$11:$A$145,0),MATCH(PJ!AA$3,KOMBI!$A$1:$GI$1,0)),BX$4:BX$138,AA129)</f>
        <v>10</v>
      </c>
      <c r="AB131" s="25">
        <f>RANK(INDEX(KOMBI!$A$11:$GI$145,MATCH(PJ!$C131,KOMBI!$A$11:$A$145,0),MATCH(PJ!AB$3,KOMBI!$A$1:$GI$1,0)),BY$4:BY$138,AB129)</f>
        <v>4</v>
      </c>
      <c r="AC131" s="25">
        <f>RANK(INDEX(KOMBI!$A$11:$GI$145,MATCH(PJ!$C131,KOMBI!$A$11:$A$145,0),MATCH(PJ!AC$3,KOMBI!$A$1:$GI$1,0)),BZ$4:BZ$138,AC129)</f>
        <v>6</v>
      </c>
      <c r="AD131" s="25">
        <f>RANK(INDEX(KOMBI!$A$11:$GI$145,MATCH(PJ!$C131,KOMBI!$A$11:$A$145,0),MATCH(PJ!AD$3,KOMBI!$A$1:$GI$1,0)),CA$4:CA$138,AD129)</f>
        <v>9</v>
      </c>
      <c r="AE131" s="25">
        <f>RANK(INDEX(KOMBI!$A$11:$GI$145,MATCH(PJ!$C131,KOMBI!$A$11:$A$145,0),MATCH(PJ!AE$3,KOMBI!$A$1:$GI$1,0)),CB$4:CB$138,AE129)</f>
        <v>9</v>
      </c>
      <c r="AF131" s="25"/>
      <c r="AG131" s="25">
        <f>RANK(INDEX(KOMBI!$A$11:$GI$145,MATCH(PJ!$C131,KOMBI!$A$11:$A$145,0),MATCH(PJ!AG$3,KOMBI!$A$1:$GI$1,0)),CD$4:CD$138,AG129)</f>
        <v>4</v>
      </c>
      <c r="AH131" s="25">
        <f>RANK(INDEX(KOMBI!$A$11:$GI$145,MATCH(PJ!$C131,KOMBI!$A$11:$A$145,0),MATCH(PJ!AH$3,KOMBI!$A$1:$GI$1,0)),CE$4:CE$138,AH129)</f>
        <v>1</v>
      </c>
      <c r="AI131" s="25">
        <f>RANK(INDEX(KOMBI!$A$11:$GI$145,MATCH(PJ!$C131,KOMBI!$A$11:$A$145,0),MATCH(PJ!AI$3,KOMBI!$A$1:$GI$1,0)),CF$4:CF$138,AI129)</f>
        <v>4</v>
      </c>
      <c r="AJ131" s="25">
        <f>RANK(INDEX(KOMBI!$A$11:$GI$145,MATCH(PJ!$C131,KOMBI!$A$11:$A$145,0),MATCH(PJ!AJ$3,KOMBI!$A$1:$GI$1,0)),CG$4:CG$138,AJ129)</f>
        <v>13</v>
      </c>
      <c r="AK131" s="25">
        <f>RANK(INDEX(KOMBI!$A$11:$GI$145,MATCH(PJ!$C131,KOMBI!$A$11:$A$145,0),MATCH(PJ!AK$3,KOMBI!$A$1:$GI$1,0)),CH$4:CH$138,AK129)</f>
        <v>10</v>
      </c>
      <c r="AN131" s="25">
        <f>RANK(INDEX(KOMBI!$A$11:$GI$145,MATCH(PJ!$C131,KOMBI!$A$11:$A$145,0),MATCH(PJ!AN$3,KOMBI!$A$1:$GI$1,0)),CK$4:CK$138,AN129)</f>
        <v>1</v>
      </c>
      <c r="AO131" s="25">
        <f>RANK(INDEX(KOMBI!$A$11:$GI$145,MATCH(PJ!$C131,KOMBI!$A$11:$A$145,0),MATCH(PJ!AO$3,KOMBI!$A$1:$GI$1,0)),CL$4:CL$138,AO129)</f>
        <v>1</v>
      </c>
      <c r="AS131" s="297">
        <f t="shared" si="7"/>
        <v>156</v>
      </c>
      <c r="AT131" s="25">
        <f t="shared" si="10"/>
        <v>10000</v>
      </c>
      <c r="AU131" s="25">
        <f t="shared" si="11"/>
        <v>1</v>
      </c>
      <c r="AV131" s="295" t="str">
        <f>VLOOKUP(VLOOKUP($AU131,KOMBI!$A:$H,3,FALSE),data!$I$27:$J$29,2,FALSE)</f>
        <v>Mittesekkuv</v>
      </c>
      <c r="AW131" s="295" t="str">
        <f>VLOOKUP(VLOOKUP($AU131,KOMBI!$A:$H,2,FALSE),data!$I$21:$J$23,2,FALSE)</f>
        <v>Mittesekkuv</v>
      </c>
      <c r="AX131" s="295" t="str">
        <f>VLOOKUP(VLOOKUP($AU131,KOMBI!$A:$H,5,FALSE),data!$I$39:$J$41,2,FALSE)</f>
        <v>Mittesekkuv</v>
      </c>
      <c r="AY131" s="295" t="str">
        <f>VLOOKUP(VLOOKUP($AU131,KOMBI!$A:$H,4,FALSE),data!$I$32:$J$36,2,FALSE)</f>
        <v>LIB</v>
      </c>
      <c r="BA131" s="25">
        <f t="array" ref="BA131">INDEX(KOMBI!$A$1:$GI$145,ROW(PJ!BA138),MATCH(PJ!BA$3,KOMBI!$A$1:$GI$1,0))</f>
        <v>7.2372788787811331</v>
      </c>
      <c r="BB131" s="25">
        <f t="array" ref="BB131">INDEX(KOMBI!$A$1:$GI$145,ROW(PJ!BB138),MATCH(PJ!BB$3,KOMBI!$A$1:$GI$1,0))</f>
        <v>562.03497509982424</v>
      </c>
      <c r="BC131" s="25">
        <f t="array" aca="1" ref="BC131" ca="1">INDEX(KOMBI!$A$1:$GI$145,ROW(PJ!BC138),MATCH(PJ!BC$3,KOMBI!$A$1:$GI$1,0))</f>
        <v>63.898115232582143</v>
      </c>
      <c r="BD131" s="25">
        <f t="array" ref="BD131">INDEX(KOMBI!$A$1:$GI$145,ROW(PJ!BD138),MATCH(PJ!BD$3,KOMBI!$A$1:$GI$1,0))</f>
        <v>-178.19071988063212</v>
      </c>
      <c r="BE131" s="25">
        <f t="array" ref="BE131">INDEX(KOMBI!$A$1:$GI$145,ROW(PJ!BE138),MATCH(PJ!BE$3,KOMBI!$A$1:$GI$1,0))</f>
        <v>242.08883511321426</v>
      </c>
      <c r="BF131" s="25">
        <f t="array" aca="1" ref="BF131" ca="1">INDEX(KOMBI!$A$1:$GI$145,ROW(PJ!BF138),MATCH(PJ!BF$3,KOMBI!$A$1:$GI$1,0))</f>
        <v>0</v>
      </c>
      <c r="BG131" s="25">
        <f t="array" ref="BG131">INDEX(KOMBI!$A$1:$GI$145,ROW(PJ!BG138),MATCH(PJ!BG$3,KOMBI!$A$1:$GI$1,0))</f>
        <v>0.4541994971842776</v>
      </c>
      <c r="BH131" s="25">
        <f t="array" ref="BH131">INDEX(KOMBI!$A$1:$GI$145,ROW(PJ!BH138),MATCH(PJ!BH$3,KOMBI!$A$1:$GI$1,0))</f>
        <v>90</v>
      </c>
      <c r="BI131" s="25">
        <f t="array" ref="BI131">INDEX(KOMBI!$A$1:$GI$145,ROW(PJ!BI138),MATCH(PJ!BI$3,KOMBI!$A$1:$GI$1,0))</f>
        <v>0.72887234460741657</v>
      </c>
      <c r="BJ131" s="25">
        <f t="array" ref="BJ131">INDEX(KOMBI!$A$1:$GI$145,ROW(PJ!BJ138),MATCH(PJ!BJ$3,KOMBI!$A$1:$GI$1,0))</f>
        <v>6.6265060240963902E-2</v>
      </c>
      <c r="BK131" s="25">
        <f t="array" ref="BK131">INDEX(KOMBI!$A$1:$GI$145,ROW(PJ!BK138),MATCH(PJ!BK$3,KOMBI!$A$1:$GI$1,0))</f>
        <v>0.41762821979641068</v>
      </c>
      <c r="BL131" s="25">
        <f t="array" ref="BL131">INDEX(KOMBI!$A$1:$GI$145,ROW(PJ!BL138),MATCH(PJ!BL$3,KOMBI!$A$1:$GI$1,0))</f>
        <v>2.1986910233088176E-2</v>
      </c>
      <c r="BM131" s="25">
        <f t="array" ref="BM131">INDEX(KOMBI!$A$1:$GI$145,ROW(PJ!BM138),MATCH(PJ!BM$3,KOMBI!$A$1:$GI$1,0))</f>
        <v>3.0930993534386154E-3</v>
      </c>
      <c r="BN131" s="25">
        <f t="array" ref="BN131">INDEX(KOMBI!$A$1:$GI$145,ROW(PJ!BN138),MATCH(PJ!BN$3,KOMBI!$A$1:$GI$1,0))</f>
        <v>5.0699215443667234E-3</v>
      </c>
      <c r="BO131" s="25">
        <f t="array" ref="BO131">INDEX(KOMBI!$A$1:$GI$145,ROW(PJ!BO138),MATCH(PJ!BO$3,KOMBI!$A$1:$GI$1,0))</f>
        <v>1.7073000352503868E-2</v>
      </c>
      <c r="BP131" s="25">
        <f t="array" ref="BP131">INDEX(KOMBI!$A$1:$GI$145,ROW(PJ!BP138),MATCH(PJ!BP$3,KOMBI!$A$1:$GI$1,0))</f>
        <v>7.5743156794471025</v>
      </c>
      <c r="BQ131" s="25">
        <f t="array" ref="BQ131">INDEX(KOMBI!$A$1:$GI$145,ROW(PJ!BQ138),MATCH(PJ!BQ$3,KOMBI!$A$1:$GI$1,0))</f>
        <v>9.8539999999999992</v>
      </c>
      <c r="BR131" s="25">
        <f t="array" ref="BR131">INDEX(KOMBI!$A$1:$GI$145,ROW(PJ!BR138),MATCH(PJ!BR$3,KOMBI!$A$1:$GI$1,0))</f>
        <v>-4.857792645872467E-2</v>
      </c>
      <c r="BS131" s="25">
        <f t="array" ref="BS131">INDEX(KOMBI!$A$1:$GI$145,ROW(PJ!BS138),MATCH(PJ!BS$3,KOMBI!$A$1:$GI$1,0))</f>
        <v>-5.8457194766859698E-2</v>
      </c>
      <c r="BT131" s="25">
        <f t="array" ref="BT131">INDEX(KOMBI!$A$1:$GI$145,ROW(PJ!BT138),MATCH(PJ!BT$3,KOMBI!$A$1:$GI$1,0))</f>
        <v>-8.1723015267904764E-2</v>
      </c>
      <c r="BU131" s="25">
        <f t="array" ref="BU131">INDEX(KOMBI!$A$1:$GI$145,ROW(PJ!BU138),MATCH(PJ!BU$3,KOMBI!$A$1:$GI$1,0))</f>
        <v>7.1502826922990277</v>
      </c>
      <c r="BV131" s="25">
        <f t="array" ref="BV131">INDEX(KOMBI!$A$1:$GI$145,ROW(PJ!BV138),MATCH(PJ!BV$3,KOMBI!$A$1:$GI$1,0))</f>
        <v>4.9050000000000002</v>
      </c>
      <c r="BW131" s="25">
        <f t="array" ref="BW131">INDEX(KOMBI!$A$1:$GI$145,ROW(PJ!BW138),MATCH(PJ!BW$3,KOMBI!$A$1:$GI$1,0))</f>
        <v>1.4153849906373199</v>
      </c>
      <c r="BX131" s="25">
        <f t="array" ref="BX131">INDEX(KOMBI!$A$1:$GI$145,ROW(PJ!BX138),MATCH(PJ!BX$3,KOMBI!$A$1:$GI$1,0))</f>
        <v>16.465861099430587</v>
      </c>
      <c r="BY131" s="25">
        <f t="array" ref="BY131">INDEX(KOMBI!$A$1:$GI$145,ROW(PJ!BY138),MATCH(PJ!BY$3,KOMBI!$A$1:$GI$1,0))</f>
        <v>11.219077976340797</v>
      </c>
      <c r="BZ131" s="25">
        <f t="array" ref="BZ131">INDEX(KOMBI!$A$1:$GI$145,ROW(PJ!BZ138),MATCH(PJ!BZ$3,KOMBI!$A$1:$GI$1,0))</f>
        <v>68.400000000000006</v>
      </c>
      <c r="CA131" s="25">
        <f t="array" ref="CA131">INDEX(KOMBI!$A$1:$GI$145,ROW(PJ!CA138),MATCH(PJ!CA$3,KOMBI!$A$1:$GI$1,0))</f>
        <v>12.739000000000001</v>
      </c>
      <c r="CB131" s="25">
        <f t="array" ref="CB131">INDEX(KOMBI!$A$1:$GI$145,ROW(PJ!CB138),MATCH(PJ!CB$3,KOMBI!$A$1:$GI$1,0))</f>
        <v>57.352777777777774</v>
      </c>
      <c r="CC131" s="25">
        <f t="array" ref="CC131">INDEX(KOMBI!$A$1:$GI$145,ROW(PJ!CC138),MATCH(PJ!CC$3,KOMBI!$A$1:$GI$1,0))</f>
        <v>4.6469240000000003</v>
      </c>
      <c r="CD131" s="25">
        <f t="array" ref="CD131">INDEX(KOMBI!$A$1:$GI$145,ROW(PJ!CD138),MATCH(PJ!CD$3,KOMBI!$A$1:$GI$1,0))</f>
        <v>285</v>
      </c>
      <c r="CE131" s="25">
        <f t="array" ref="CE131">INDEX(KOMBI!$A$1:$GI$145,ROW(PJ!CE138),MATCH(PJ!CE$3,KOMBI!$A$1:$GI$1,0))</f>
        <v>2.7810000000000001</v>
      </c>
      <c r="CF131" s="25">
        <f t="array" ref="CF131">INDEX(KOMBI!$A$1:$GI$145,ROW(PJ!CF138),MATCH(PJ!CF$3,KOMBI!$A$1:$GI$1,0))</f>
        <v>43.272900516795865</v>
      </c>
      <c r="CG131" s="25">
        <f t="array" ref="CG131">INDEX(KOMBI!$A$1:$GI$145,ROW(PJ!CG138),MATCH(PJ!CG$3,KOMBI!$A$1:$GI$1,0))</f>
        <v>9.3307678114868606E-2</v>
      </c>
      <c r="CH131" s="25">
        <f t="array" ref="CH131">INDEX(KOMBI!$A$1:$GI$145,ROW(PJ!CH138),MATCH(PJ!CH$3,KOMBI!$A$1:$GI$1,0))</f>
        <v>0.51659368872597156</v>
      </c>
      <c r="CI131" s="25">
        <f t="array" ref="CI131">INDEX(KOMBI!$A$1:$GI$145,ROW(PJ!CI138),MATCH(PJ!CI$3,KOMBI!$A$1:$GI$1,0))</f>
        <v>6.08</v>
      </c>
      <c r="CJ131" s="25">
        <f t="array" ref="CJ131">INDEX(KOMBI!$A$1:$GI$145,ROW(PJ!CJ138),MATCH(PJ!CJ$3,KOMBI!$A$1:$GI$1,0))</f>
        <v>2.7478849906373197</v>
      </c>
      <c r="CK131" s="25">
        <f t="array" ref="CK131">INDEX(KOMBI!$A$1:$GI$145,ROW(PJ!CK138),MATCH(PJ!CK$3,KOMBI!$A$1:$GI$1,0))</f>
        <v>0.19900000000000001</v>
      </c>
      <c r="CL131" s="25">
        <f t="array" ref="CL131">INDEX(KOMBI!$A$1:$GI$145,ROW(PJ!CL138),MATCH(PJ!CL$3,KOMBI!$A$1:$GI$1,0))</f>
        <v>0.72299999999999998</v>
      </c>
    </row>
    <row r="132" spans="3:90" x14ac:dyDescent="0.2">
      <c r="C132" s="184">
        <v>129</v>
      </c>
      <c r="D132" s="25"/>
      <c r="E132" s="25"/>
      <c r="F132" s="25"/>
      <c r="G132" s="25">
        <f>RANK(INDEX(KOMBI!$A$11:$GI$145,MATCH(PJ!$C132,KOMBI!$A$11:$A$145,0),MATCH(PJ!G$3,KOMBI!$A$1:$GI$1,0)),BD$4:BD$138,G130)</f>
        <v>1</v>
      </c>
      <c r="H132" s="25">
        <f>RANK(INDEX(KOMBI!$A$11:$GI$145,MATCH(PJ!$C132,KOMBI!$A$11:$A$145,0),MATCH(PJ!H$3,KOMBI!$A$1:$GI$1,0)),BE$4:BE$138,H130)</f>
        <v>12</v>
      </c>
      <c r="I132" s="25"/>
      <c r="J132" s="25">
        <f>RANK(INDEX(KOMBI!$A$11:$GI$145,MATCH(PJ!$C132,KOMBI!$A$11:$A$145,0),MATCH(PJ!J$3,KOMBI!$A$1:$GI$1,0)),BG$4:BG$138,J130)</f>
        <v>4</v>
      </c>
      <c r="K132" s="25"/>
      <c r="L132" s="25">
        <f>RANK(INDEX(KOMBI!$A$11:$GI$145,MATCH(PJ!$C132,KOMBI!$A$11:$A$145,0),MATCH(PJ!L$3,KOMBI!$A$1:$GI$1,0)),BI$4:BI$138,L130)</f>
        <v>1</v>
      </c>
      <c r="M132" s="25">
        <f>RANK(INDEX(KOMBI!$A$11:$GI$145,MATCH(PJ!$C132,KOMBI!$A$11:$A$145,0),MATCH(PJ!M$3,KOMBI!$A$1:$GI$1,0)),BJ$4:BJ$138,M130)</f>
        <v>4</v>
      </c>
      <c r="N132" s="25">
        <f>RANK(INDEX(KOMBI!$A$11:$GI$145,MATCH(PJ!$C132,KOMBI!$A$11:$A$145,0),MATCH(PJ!N$3,KOMBI!$A$1:$GI$1,0)),BK$4:BK$138,N130)</f>
        <v>10</v>
      </c>
      <c r="O132" s="25">
        <f>RANK(INDEX(KOMBI!$A$11:$GI$145,MATCH(PJ!$C132,KOMBI!$A$11:$A$145,0),MATCH(PJ!O$3,KOMBI!$A$1:$GI$1,0)),BL$4:BL$138,O130)</f>
        <v>12</v>
      </c>
      <c r="P132" s="25">
        <f>RANK(INDEX(KOMBI!$A$11:$GI$145,MATCH(PJ!$C132,KOMBI!$A$11:$A$145,0),MATCH(PJ!P$3,KOMBI!$A$1:$GI$1,0)),BM$4:BM$138,P130)</f>
        <v>2</v>
      </c>
      <c r="Q132" s="25">
        <f>RANK(INDEX(KOMBI!$A$11:$GI$145,MATCH(PJ!$C132,KOMBI!$A$11:$A$145,0),MATCH(PJ!Q$3,KOMBI!$A$1:$GI$1,0)),BN$4:BN$138,Q130)</f>
        <v>12</v>
      </c>
      <c r="R132" s="25">
        <f>RANK(INDEX(KOMBI!$A$11:$GI$145,MATCH(PJ!$C132,KOMBI!$A$11:$A$145,0),MATCH(PJ!R$3,KOMBI!$A$1:$GI$1,0)),BO$4:BO$138,R130)</f>
        <v>13</v>
      </c>
      <c r="S132" s="25"/>
      <c r="T132" s="25">
        <f>RANK(INDEX(KOMBI!$A$11:$GI$145,MATCH(PJ!$C132,KOMBI!$A$11:$A$145,0),MATCH(PJ!T$3,KOMBI!$A$1:$GI$1,0)),BQ$4:BQ$138,T130)</f>
        <v>12</v>
      </c>
      <c r="U132" s="25">
        <f>RANK(INDEX(KOMBI!$A$11:$GI$145,MATCH(PJ!$C132,KOMBI!$A$11:$A$145,0),MATCH(PJ!U$3,KOMBI!$A$1:$GI$1,0)),BR$4:BR$138,U130)</f>
        <v>12</v>
      </c>
      <c r="V132" s="25"/>
      <c r="W132" s="25"/>
      <c r="X132" s="25"/>
      <c r="Y132" s="25"/>
      <c r="Z132" s="25"/>
      <c r="AA132" s="25">
        <f>RANK(INDEX(KOMBI!$A$11:$GI$145,MATCH(PJ!$C132,KOMBI!$A$11:$A$145,0),MATCH(PJ!AA$3,KOMBI!$A$1:$GI$1,0)),BX$4:BX$138,AA130)</f>
        <v>10</v>
      </c>
      <c r="AB132" s="25">
        <f>RANK(INDEX(KOMBI!$A$11:$GI$145,MATCH(PJ!$C132,KOMBI!$A$11:$A$145,0),MATCH(PJ!AB$3,KOMBI!$A$1:$GI$1,0)),BY$4:BY$138,AB130)</f>
        <v>4</v>
      </c>
      <c r="AC132" s="25">
        <f>RANK(INDEX(KOMBI!$A$11:$GI$145,MATCH(PJ!$C132,KOMBI!$A$11:$A$145,0),MATCH(PJ!AC$3,KOMBI!$A$1:$GI$1,0)),BZ$4:BZ$138,AC130)</f>
        <v>9</v>
      </c>
      <c r="AD132" s="25">
        <f>RANK(INDEX(KOMBI!$A$11:$GI$145,MATCH(PJ!$C132,KOMBI!$A$11:$A$145,0),MATCH(PJ!AD$3,KOMBI!$A$1:$GI$1,0)),CA$4:CA$138,AD130)</f>
        <v>12</v>
      </c>
      <c r="AE132" s="25">
        <f>RANK(INDEX(KOMBI!$A$11:$GI$145,MATCH(PJ!$C132,KOMBI!$A$11:$A$145,0),MATCH(PJ!AE$3,KOMBI!$A$1:$GI$1,0)),CB$4:CB$138,AE130)</f>
        <v>12</v>
      </c>
      <c r="AF132" s="25"/>
      <c r="AG132" s="25">
        <f>RANK(INDEX(KOMBI!$A$11:$GI$145,MATCH(PJ!$C132,KOMBI!$A$11:$A$145,0),MATCH(PJ!AG$3,KOMBI!$A$1:$GI$1,0)),CD$4:CD$138,AG130)</f>
        <v>4</v>
      </c>
      <c r="AH132" s="25">
        <f>RANK(INDEX(KOMBI!$A$11:$GI$145,MATCH(PJ!$C132,KOMBI!$A$11:$A$145,0),MATCH(PJ!AH$3,KOMBI!$A$1:$GI$1,0)),CE$4:CE$138,AH130)</f>
        <v>1</v>
      </c>
      <c r="AI132" s="25">
        <f>RANK(INDEX(KOMBI!$A$11:$GI$145,MATCH(PJ!$C132,KOMBI!$A$11:$A$145,0),MATCH(PJ!AI$3,KOMBI!$A$1:$GI$1,0)),CF$4:CF$138,AI130)</f>
        <v>4</v>
      </c>
      <c r="AJ132" s="25">
        <f>RANK(INDEX(KOMBI!$A$11:$GI$145,MATCH(PJ!$C132,KOMBI!$A$11:$A$145,0),MATCH(PJ!AJ$3,KOMBI!$A$1:$GI$1,0)),CG$4:CG$138,AJ130)</f>
        <v>13</v>
      </c>
      <c r="AK132" s="25">
        <f>RANK(INDEX(KOMBI!$A$11:$GI$145,MATCH(PJ!$C132,KOMBI!$A$11:$A$145,0),MATCH(PJ!AK$3,KOMBI!$A$1:$GI$1,0)),CH$4:CH$138,AK130)</f>
        <v>10</v>
      </c>
      <c r="AN132" s="25">
        <f>RANK(INDEX(KOMBI!$A$11:$GI$145,MATCH(PJ!$C132,KOMBI!$A$11:$A$145,0),MATCH(PJ!AN$3,KOMBI!$A$1:$GI$1,0)),CK$4:CK$138,AN130)</f>
        <v>1</v>
      </c>
      <c r="AO132" s="25">
        <f>RANK(INDEX(KOMBI!$A$11:$GI$145,MATCH(PJ!$C132,KOMBI!$A$11:$A$145,0),MATCH(PJ!AO$3,KOMBI!$A$1:$GI$1,0)),CL$4:CL$138,AO130)</f>
        <v>1</v>
      </c>
      <c r="AS132" s="297">
        <f t="shared" si="7"/>
        <v>176</v>
      </c>
      <c r="AT132" s="25">
        <f t="shared" si="10"/>
        <v>10000</v>
      </c>
      <c r="AU132" s="25">
        <f t="shared" si="11"/>
        <v>1</v>
      </c>
      <c r="AV132" s="295" t="str">
        <f>VLOOKUP(VLOOKUP($AU132,KOMBI!$A:$H,3,FALSE),data!$I$27:$J$29,2,FALSE)</f>
        <v>Mittesekkuv</v>
      </c>
      <c r="AW132" s="295" t="str">
        <f>VLOOKUP(VLOOKUP($AU132,KOMBI!$A:$H,2,FALSE),data!$I$21:$J$23,2,FALSE)</f>
        <v>Mittesekkuv</v>
      </c>
      <c r="AX132" s="295" t="str">
        <f>VLOOKUP(VLOOKUP($AU132,KOMBI!$A:$H,5,FALSE),data!$I$39:$J$41,2,FALSE)</f>
        <v>Mittesekkuv</v>
      </c>
      <c r="AY132" s="295" t="str">
        <f>VLOOKUP(VLOOKUP($AU132,KOMBI!$A:$H,4,FALSE),data!$I$32:$J$36,2,FALSE)</f>
        <v>LIB</v>
      </c>
      <c r="BA132" s="25">
        <f t="array" ref="BA132">INDEX(KOMBI!$A$1:$GI$145,ROW(PJ!BA139),MATCH(PJ!BA$3,KOMBI!$A$1:$GI$1,0))</f>
        <v>8.14237860102266</v>
      </c>
      <c r="BB132" s="25">
        <f t="array" ref="BB132">INDEX(KOMBI!$A$1:$GI$145,ROW(PJ!BB139),MATCH(PJ!BB$3,KOMBI!$A$1:$GI$1,0))</f>
        <v>678.64576611730354</v>
      </c>
      <c r="BC132" s="25">
        <f t="array" aca="1" ref="BC132" ca="1">INDEX(KOMBI!$A$1:$GI$145,ROW(PJ!BC139),MATCH(PJ!BC$3,KOMBI!$A$1:$GI$1,0))</f>
        <v>80.452529591667059</v>
      </c>
      <c r="BD132" s="25">
        <f t="array" ref="BD132">INDEX(KOMBI!$A$1:$GI$145,ROW(PJ!BD139),MATCH(PJ!BD$3,KOMBI!$A$1:$GI$1,0))</f>
        <v>-197.29831369909104</v>
      </c>
      <c r="BE132" s="25">
        <f t="array" ref="BE132">INDEX(KOMBI!$A$1:$GI$145,ROW(PJ!BE139),MATCH(PJ!BE$3,KOMBI!$A$1:$GI$1,0))</f>
        <v>277.7508432907581</v>
      </c>
      <c r="BF132" s="25">
        <f t="array" aca="1" ref="BF132" ca="1">INDEX(KOMBI!$A$1:$GI$145,ROW(PJ!BF139),MATCH(PJ!BF$3,KOMBI!$A$1:$GI$1,0))</f>
        <v>0</v>
      </c>
      <c r="BG132" s="25">
        <f t="array" ref="BG132">INDEX(KOMBI!$A$1:$GI$145,ROW(PJ!BG139),MATCH(PJ!BG$3,KOMBI!$A$1:$GI$1,0))</f>
        <v>0.4541994971842776</v>
      </c>
      <c r="BH132" s="25">
        <f t="array" ref="BH132">INDEX(KOMBI!$A$1:$GI$145,ROW(PJ!BH139),MATCH(PJ!BH$3,KOMBI!$A$1:$GI$1,0))</f>
        <v>90</v>
      </c>
      <c r="BI132" s="25">
        <f t="array" ref="BI132">INDEX(KOMBI!$A$1:$GI$145,ROW(PJ!BI139),MATCH(PJ!BI$3,KOMBI!$A$1:$GI$1,0))</f>
        <v>0.72887234460741646</v>
      </c>
      <c r="BJ132" s="25">
        <f t="array" ref="BJ132">INDEX(KOMBI!$A$1:$GI$145,ROW(PJ!BJ139),MATCH(PJ!BJ$3,KOMBI!$A$1:$GI$1,0))</f>
        <v>6.6265060240963902E-2</v>
      </c>
      <c r="BK132" s="25">
        <f t="array" ref="BK132">INDEX(KOMBI!$A$1:$GI$145,ROW(PJ!BK139),MATCH(PJ!BK$3,KOMBI!$A$1:$GI$1,0))</f>
        <v>0.41762821979641068</v>
      </c>
      <c r="BL132" s="25">
        <f t="array" ref="BL132">INDEX(KOMBI!$A$1:$GI$145,ROW(PJ!BL139),MATCH(PJ!BL$3,KOMBI!$A$1:$GI$1,0))</f>
        <v>2.6637965611334694E-2</v>
      </c>
      <c r="BM132" s="25">
        <f t="array" ref="BM132">INDEX(KOMBI!$A$1:$GI$145,ROW(PJ!BM139),MATCH(PJ!BM$3,KOMBI!$A$1:$GI$1,0))</f>
        <v>3.1058650804800022E-3</v>
      </c>
      <c r="BN132" s="25">
        <f t="array" ref="BN132">INDEX(KOMBI!$A$1:$GI$145,ROW(PJ!BN139),MATCH(PJ!BN$3,KOMBI!$A$1:$GI$1,0))</f>
        <v>6.4007113804134541E-3</v>
      </c>
      <c r="BO132" s="25">
        <f t="array" ref="BO132">INDEX(KOMBI!$A$1:$GI$145,ROW(PJ!BO139),MATCH(PJ!BO$3,KOMBI!$A$1:$GI$1,0))</f>
        <v>2.0466863800668721E-2</v>
      </c>
      <c r="BP132" s="25">
        <f t="array" ref="BP132">INDEX(KOMBI!$A$1:$GI$145,ROW(PJ!BP139),MATCH(PJ!BP$3,KOMBI!$A$1:$GI$1,0))</f>
        <v>7.5743156794471025</v>
      </c>
      <c r="BQ132" s="25">
        <f t="array" ref="BQ132">INDEX(KOMBI!$A$1:$GI$145,ROW(PJ!BQ139),MATCH(PJ!BQ$3,KOMBI!$A$1:$GI$1,0))</f>
        <v>10.077999999999999</v>
      </c>
      <c r="BR132" s="25">
        <f t="array" ref="BR132">INDEX(KOMBI!$A$1:$GI$145,ROW(PJ!BR139),MATCH(PJ!BR$3,KOMBI!$A$1:$GI$1,0))</f>
        <v>-4.4598439328278769E-2</v>
      </c>
      <c r="BS132" s="25">
        <f t="array" ref="BS132">INDEX(KOMBI!$A$1:$GI$145,ROW(PJ!BS139),MATCH(PJ!BS$3,KOMBI!$A$1:$GI$1,0))</f>
        <v>-5.7198034850571254E-2</v>
      </c>
      <c r="BT132" s="25">
        <f t="array" ref="BT132">INDEX(KOMBI!$A$1:$GI$145,ROW(PJ!BT139),MATCH(PJ!BT$3,KOMBI!$A$1:$GI$1,0))</f>
        <v>-8.0262296294678515E-2</v>
      </c>
      <c r="BU132" s="25">
        <f t="array" ref="BU132">INDEX(KOMBI!$A$1:$GI$145,ROW(PJ!BU139),MATCH(PJ!BU$3,KOMBI!$A$1:$GI$1,0))</f>
        <v>7.1502826922990277</v>
      </c>
      <c r="BV132" s="25">
        <f t="array" ref="BV132">INDEX(KOMBI!$A$1:$GI$145,ROW(PJ!BV139),MATCH(PJ!BV$3,KOMBI!$A$1:$GI$1,0))</f>
        <v>4.9050000000000002</v>
      </c>
      <c r="BW132" s="25">
        <f t="array" ref="BW132">INDEX(KOMBI!$A$1:$GI$145,ROW(PJ!BW139),MATCH(PJ!BW$3,KOMBI!$A$1:$GI$1,0))</f>
        <v>1.62408499063732</v>
      </c>
      <c r="BX132" s="25">
        <f t="array" ref="BX132">INDEX(KOMBI!$A$1:$GI$145,ROW(PJ!BX139),MATCH(PJ!BX$3,KOMBI!$A$1:$GI$1,0))</f>
        <v>16.465861099430587</v>
      </c>
      <c r="BY132" s="25">
        <f t="array" ref="BY132">INDEX(KOMBI!$A$1:$GI$145,ROW(PJ!BY139),MATCH(PJ!BY$3,KOMBI!$A$1:$GI$1,0))</f>
        <v>11.219077976340797</v>
      </c>
      <c r="BZ132" s="25">
        <f t="array" ref="BZ132">INDEX(KOMBI!$A$1:$GI$145,ROW(PJ!BZ139),MATCH(PJ!BZ$3,KOMBI!$A$1:$GI$1,0))</f>
        <v>70</v>
      </c>
      <c r="CA132" s="25">
        <f t="array" ref="CA132">INDEX(KOMBI!$A$1:$GI$145,ROW(PJ!CA139),MATCH(PJ!CA$3,KOMBI!$A$1:$GI$1,0))</f>
        <v>12.991</v>
      </c>
      <c r="CB132" s="25">
        <f t="array" ref="CB132">INDEX(KOMBI!$A$1:$GI$145,ROW(PJ!CB139),MATCH(PJ!CB$3,KOMBI!$A$1:$GI$1,0))</f>
        <v>58.260833333333331</v>
      </c>
      <c r="CC132" s="25">
        <f t="array" ref="CC132">INDEX(KOMBI!$A$1:$GI$145,ROW(PJ!CC139),MATCH(PJ!CC$3,KOMBI!$A$1:$GI$1,0))</f>
        <v>4.7402689999999996</v>
      </c>
      <c r="CD132" s="25">
        <f t="array" ref="CD132">INDEX(KOMBI!$A$1:$GI$145,ROW(PJ!CD139),MATCH(PJ!CD$3,KOMBI!$A$1:$GI$1,0))</f>
        <v>285</v>
      </c>
      <c r="CE132" s="25">
        <f t="array" ref="CE132">INDEX(KOMBI!$A$1:$GI$145,ROW(PJ!CE139),MATCH(PJ!CE$3,KOMBI!$A$1:$GI$1,0))</f>
        <v>2.7810000000000001</v>
      </c>
      <c r="CF132" s="25">
        <f t="array" ref="CF132">INDEX(KOMBI!$A$1:$GI$145,ROW(PJ!CF139),MATCH(PJ!CF$3,KOMBI!$A$1:$GI$1,0))</f>
        <v>43.272900516795865</v>
      </c>
      <c r="CG132" s="25">
        <f t="array" ref="CG132">INDEX(KOMBI!$A$1:$GI$145,ROW(PJ!CG139),MATCH(PJ!CG$3,KOMBI!$A$1:$GI$1,0))</f>
        <v>9.3307678114868606E-2</v>
      </c>
      <c r="CH132" s="25">
        <f t="array" ref="CH132">INDEX(KOMBI!$A$1:$GI$145,ROW(PJ!CH139),MATCH(PJ!CH$3,KOMBI!$A$1:$GI$1,0))</f>
        <v>0.51659368872597156</v>
      </c>
      <c r="CI132" s="25">
        <f t="array" ref="CI132">INDEX(KOMBI!$A$1:$GI$145,ROW(PJ!CI139),MATCH(PJ!CI$3,KOMBI!$A$1:$GI$1,0))</f>
        <v>6.08</v>
      </c>
      <c r="CJ132" s="25">
        <f t="array" ref="CJ132">INDEX(KOMBI!$A$1:$GI$145,ROW(PJ!CJ139),MATCH(PJ!CJ$3,KOMBI!$A$1:$GI$1,0))</f>
        <v>2.7478849906373197</v>
      </c>
      <c r="CK132" s="25">
        <f t="array" ref="CK132">INDEX(KOMBI!$A$1:$GI$145,ROW(PJ!CK139),MATCH(PJ!CK$3,KOMBI!$A$1:$GI$1,0))</f>
        <v>0.19900000000000001</v>
      </c>
      <c r="CL132" s="25">
        <f t="array" ref="CL132">INDEX(KOMBI!$A$1:$GI$145,ROW(PJ!CL139),MATCH(PJ!CL$3,KOMBI!$A$1:$GI$1,0))</f>
        <v>0.72299999999999998</v>
      </c>
    </row>
    <row r="133" spans="3:90" x14ac:dyDescent="0.2">
      <c r="C133" s="184">
        <v>130</v>
      </c>
      <c r="D133" s="25"/>
      <c r="E133" s="25"/>
      <c r="F133" s="25"/>
      <c r="G133" s="25">
        <f>RANK(INDEX(KOMBI!$A$11:$GI$145,MATCH(PJ!$C133,KOMBI!$A$11:$A$145,0),MATCH(PJ!G$3,KOMBI!$A$1:$GI$1,0)),BD$4:BD$138,G131)</f>
        <v>11</v>
      </c>
      <c r="H133" s="25">
        <f>RANK(INDEX(KOMBI!$A$11:$GI$145,MATCH(PJ!$C133,KOMBI!$A$11:$A$145,0),MATCH(PJ!H$3,KOMBI!$A$1:$GI$1,0)),BE$4:BE$138,H131)</f>
        <v>3</v>
      </c>
      <c r="I133" s="25"/>
      <c r="J133" s="25">
        <f>RANK(INDEX(KOMBI!$A$11:$GI$145,MATCH(PJ!$C133,KOMBI!$A$11:$A$145,0),MATCH(PJ!J$3,KOMBI!$A$1:$GI$1,0)),BG$4:BG$138,J131)</f>
        <v>15</v>
      </c>
      <c r="K133" s="25"/>
      <c r="L133" s="25">
        <f>RANK(INDEX(KOMBI!$A$11:$GI$145,MATCH(PJ!$C133,KOMBI!$A$11:$A$145,0),MATCH(PJ!L$3,KOMBI!$A$1:$GI$1,0)),BI$4:BI$138,L131)</f>
        <v>11</v>
      </c>
      <c r="M133" s="25">
        <f>RANK(INDEX(KOMBI!$A$11:$GI$145,MATCH(PJ!$C133,KOMBI!$A$11:$A$145,0),MATCH(PJ!M$3,KOMBI!$A$1:$GI$1,0)),BJ$4:BJ$138,M131)</f>
        <v>13</v>
      </c>
      <c r="N133" s="25">
        <f>RANK(INDEX(KOMBI!$A$11:$GI$145,MATCH(PJ!$C133,KOMBI!$A$11:$A$145,0),MATCH(PJ!N$3,KOMBI!$A$1:$GI$1,0)),BK$4:BK$138,N131)</f>
        <v>13</v>
      </c>
      <c r="O133" s="25">
        <f>RANK(INDEX(KOMBI!$A$11:$GI$145,MATCH(PJ!$C133,KOMBI!$A$11:$A$145,0),MATCH(PJ!O$3,KOMBI!$A$1:$GI$1,0)),BL$4:BL$138,O131)</f>
        <v>3</v>
      </c>
      <c r="P133" s="25">
        <f>RANK(INDEX(KOMBI!$A$11:$GI$145,MATCH(PJ!$C133,KOMBI!$A$11:$A$145,0),MATCH(PJ!P$3,KOMBI!$A$1:$GI$1,0)),BM$4:BM$138,P131)</f>
        <v>10</v>
      </c>
      <c r="Q133" s="25">
        <f>RANK(INDEX(KOMBI!$A$11:$GI$145,MATCH(PJ!$C133,KOMBI!$A$11:$A$145,0),MATCH(PJ!Q$3,KOMBI!$A$1:$GI$1,0)),BN$4:BN$138,Q131)</f>
        <v>1</v>
      </c>
      <c r="R133" s="25">
        <f>RANK(INDEX(KOMBI!$A$11:$GI$145,MATCH(PJ!$C133,KOMBI!$A$11:$A$145,0),MATCH(PJ!R$3,KOMBI!$A$1:$GI$1,0)),BO$4:BO$138,R131)</f>
        <v>3</v>
      </c>
      <c r="S133" s="25"/>
      <c r="T133" s="25">
        <f>RANK(INDEX(KOMBI!$A$11:$GI$145,MATCH(PJ!$C133,KOMBI!$A$11:$A$145,0),MATCH(PJ!T$3,KOMBI!$A$1:$GI$1,0)),BQ$4:BQ$138,T131)</f>
        <v>1</v>
      </c>
      <c r="U133" s="25">
        <f>RANK(INDEX(KOMBI!$A$11:$GI$145,MATCH(PJ!$C133,KOMBI!$A$11:$A$145,0),MATCH(PJ!U$3,KOMBI!$A$1:$GI$1,0)),BR$4:BR$138,U131)</f>
        <v>1</v>
      </c>
      <c r="V133" s="25"/>
      <c r="W133" s="25"/>
      <c r="X133" s="25"/>
      <c r="Y133" s="25"/>
      <c r="Z133" s="25"/>
      <c r="AA133" s="25">
        <f>RANK(INDEX(KOMBI!$A$11:$GI$145,MATCH(PJ!$C133,KOMBI!$A$11:$A$145,0),MATCH(PJ!AA$3,KOMBI!$A$1:$GI$1,0)),BX$4:BX$138,AA131)</f>
        <v>1</v>
      </c>
      <c r="AB133" s="25">
        <f>RANK(INDEX(KOMBI!$A$11:$GI$145,MATCH(PJ!$C133,KOMBI!$A$11:$A$145,0),MATCH(PJ!AB$3,KOMBI!$A$1:$GI$1,0)),BY$4:BY$138,AB131)</f>
        <v>1</v>
      </c>
      <c r="AC133" s="25">
        <f>RANK(INDEX(KOMBI!$A$11:$GI$145,MATCH(PJ!$C133,KOMBI!$A$11:$A$145,0),MATCH(PJ!AC$3,KOMBI!$A$1:$GI$1,0)),BZ$4:BZ$138,AC131)</f>
        <v>10</v>
      </c>
      <c r="AD133" s="25">
        <f>RANK(INDEX(KOMBI!$A$11:$GI$145,MATCH(PJ!$C133,KOMBI!$A$11:$A$145,0),MATCH(PJ!AD$3,KOMBI!$A$1:$GI$1,0)),CA$4:CA$138,AD131)</f>
        <v>1</v>
      </c>
      <c r="AE133" s="25">
        <f>RANK(INDEX(KOMBI!$A$11:$GI$145,MATCH(PJ!$C133,KOMBI!$A$11:$A$145,0),MATCH(PJ!AE$3,KOMBI!$A$1:$GI$1,0)),CB$4:CB$138,AE131)</f>
        <v>1</v>
      </c>
      <c r="AF133" s="25"/>
      <c r="AG133" s="25">
        <f>RANK(INDEX(KOMBI!$A$11:$GI$145,MATCH(PJ!$C133,KOMBI!$A$11:$A$145,0),MATCH(PJ!AG$3,KOMBI!$A$1:$GI$1,0)),CD$4:CD$138,AG131)</f>
        <v>13</v>
      </c>
      <c r="AH133" s="25">
        <f>RANK(INDEX(KOMBI!$A$11:$GI$145,MATCH(PJ!$C133,KOMBI!$A$11:$A$145,0),MATCH(PJ!AH$3,KOMBI!$A$1:$GI$1,0)),CE$4:CE$138,AH131)</f>
        <v>1</v>
      </c>
      <c r="AI133" s="25">
        <f>RANK(INDEX(KOMBI!$A$11:$GI$145,MATCH(PJ!$C133,KOMBI!$A$11:$A$145,0),MATCH(PJ!AI$3,KOMBI!$A$1:$GI$1,0)),CF$4:CF$138,AI131)</f>
        <v>1</v>
      </c>
      <c r="AJ133" s="25">
        <f>RANK(INDEX(KOMBI!$A$11:$GI$145,MATCH(PJ!$C133,KOMBI!$A$11:$A$145,0),MATCH(PJ!AJ$3,KOMBI!$A$1:$GI$1,0)),CG$4:CG$138,AJ131)</f>
        <v>1</v>
      </c>
      <c r="AK133" s="25">
        <f>RANK(INDEX(KOMBI!$A$11:$GI$145,MATCH(PJ!$C133,KOMBI!$A$11:$A$145,0),MATCH(PJ!AK$3,KOMBI!$A$1:$GI$1,0)),CH$4:CH$138,AK131)</f>
        <v>13</v>
      </c>
      <c r="AN133" s="25">
        <f>RANK(INDEX(KOMBI!$A$11:$GI$145,MATCH(PJ!$C133,KOMBI!$A$11:$A$145,0),MATCH(PJ!AN$3,KOMBI!$A$1:$GI$1,0)),CK$4:CK$138,AN131)</f>
        <v>1</v>
      </c>
      <c r="AO133" s="25">
        <f>RANK(INDEX(KOMBI!$A$11:$GI$145,MATCH(PJ!$C133,KOMBI!$A$11:$A$145,0),MATCH(PJ!AO$3,KOMBI!$A$1:$GI$1,0)),CL$4:CL$138,AO131)</f>
        <v>1</v>
      </c>
      <c r="AS133" s="297">
        <f t="shared" ref="AS133:AS138" si="12">SUM(D133:AO133)</f>
        <v>130</v>
      </c>
      <c r="AT133" s="25">
        <f t="shared" si="10"/>
        <v>10000</v>
      </c>
      <c r="AU133" s="25">
        <f t="shared" si="11"/>
        <v>1</v>
      </c>
      <c r="AV133" s="295" t="str">
        <f>VLOOKUP(VLOOKUP($AU133,KOMBI!$A:$H,3,FALSE),data!$I$27:$J$29,2,FALSE)</f>
        <v>Mittesekkuv</v>
      </c>
      <c r="AW133" s="295" t="str">
        <f>VLOOKUP(VLOOKUP($AU133,KOMBI!$A:$H,2,FALSE),data!$I$21:$J$23,2,FALSE)</f>
        <v>Mittesekkuv</v>
      </c>
      <c r="AX133" s="295" t="str">
        <f>VLOOKUP(VLOOKUP($AU133,KOMBI!$A:$H,5,FALSE),data!$I$39:$J$41,2,FALSE)</f>
        <v>Mittesekkuv</v>
      </c>
      <c r="AY133" s="295" t="str">
        <f>VLOOKUP(VLOOKUP($AU133,KOMBI!$A:$H,4,FALSE),data!$I$32:$J$36,2,FALSE)</f>
        <v>LIB</v>
      </c>
      <c r="BA133" s="25">
        <f t="array" ref="BA133">INDEX(KOMBI!$A$1:$GI$145,ROW(PJ!BA140),MATCH(PJ!BA$3,KOMBI!$A$1:$GI$1,0))</f>
        <v>10.21606847907174</v>
      </c>
      <c r="BB133" s="25">
        <f t="array" ref="BB133">INDEX(KOMBI!$A$1:$GI$145,ROW(PJ!BB140),MATCH(PJ!BB$3,KOMBI!$A$1:$GI$1,0))</f>
        <v>344.14457998922347</v>
      </c>
      <c r="BC133" s="25">
        <f t="array" aca="1" ref="BC133" ca="1">INDEX(KOMBI!$A$1:$GI$145,ROW(PJ!BC140),MATCH(PJ!BC$3,KOMBI!$A$1:$GI$1,0))</f>
        <v>25.105993366747725</v>
      </c>
      <c r="BD133" s="25">
        <f t="array" ref="BD133">INDEX(KOMBI!$A$1:$GI$145,ROW(PJ!BD140),MATCH(PJ!BD$3,KOMBI!$A$1:$GI$1,0))</f>
        <v>-162.95750000000001</v>
      </c>
      <c r="BE133" s="25">
        <f t="array" ref="BE133">INDEX(KOMBI!$A$1:$GI$145,ROW(PJ!BE140),MATCH(PJ!BE$3,KOMBI!$A$1:$GI$1,0))</f>
        <v>188.06349336674774</v>
      </c>
      <c r="BF133" s="25">
        <f t="array" aca="1" ref="BF133" ca="1">INDEX(KOMBI!$A$1:$GI$145,ROW(PJ!BF140),MATCH(PJ!BF$3,KOMBI!$A$1:$GI$1,0))</f>
        <v>0</v>
      </c>
      <c r="BG133" s="25">
        <f t="array" ref="BG133">INDEX(KOMBI!$A$1:$GI$145,ROW(PJ!BG140),MATCH(PJ!BG$3,KOMBI!$A$1:$GI$1,0))</f>
        <v>0.63336252140800098</v>
      </c>
      <c r="BH133" s="25">
        <f t="array" ref="BH133">INDEX(KOMBI!$A$1:$GI$145,ROW(PJ!BH140),MATCH(PJ!BH$3,KOMBI!$A$1:$GI$1,0))</f>
        <v>90</v>
      </c>
      <c r="BI133" s="25">
        <f t="array" ref="BI133">INDEX(KOMBI!$A$1:$GI$145,ROW(PJ!BI140),MATCH(PJ!BI$3,KOMBI!$A$1:$GI$1,0))</f>
        <v>1</v>
      </c>
      <c r="BJ133" s="25">
        <f t="array" ref="BJ133">INDEX(KOMBI!$A$1:$GI$145,ROW(PJ!BJ140),MATCH(PJ!BJ$3,KOMBI!$A$1:$GI$1,0))</f>
        <v>0.36609829488465395</v>
      </c>
      <c r="BK133" s="25">
        <f t="array" ref="BK133">INDEX(KOMBI!$A$1:$GI$145,ROW(PJ!BK140),MATCH(PJ!BK$3,KOMBI!$A$1:$GI$1,0))</f>
        <v>0.64611056303807113</v>
      </c>
      <c r="BL133" s="25">
        <f t="array" ref="BL133">INDEX(KOMBI!$A$1:$GI$145,ROW(PJ!BL140),MATCH(PJ!BL$3,KOMBI!$A$1:$GI$1,0))</f>
        <v>1.3240980689949371E-2</v>
      </c>
      <c r="BM133" s="25">
        <f t="array" ref="BM133">INDEX(KOMBI!$A$1:$GI$145,ROW(PJ!BM140),MATCH(PJ!BM$3,KOMBI!$A$1:$GI$1,0))</f>
        <v>5.8899192587170239E-3</v>
      </c>
      <c r="BN133" s="25">
        <f t="array" ref="BN133">INDEX(KOMBI!$A$1:$GI$145,ROW(PJ!BN140),MATCH(PJ!BN$3,KOMBI!$A$1:$GI$1,0))</f>
        <v>6.373069332196446E-4</v>
      </c>
      <c r="BO133" s="25">
        <f t="array" ref="BO133">INDEX(KOMBI!$A$1:$GI$145,ROW(PJ!BO140),MATCH(PJ!BO$3,KOMBI!$A$1:$GI$1,0))</f>
        <v>1.2700248739138373E-2</v>
      </c>
      <c r="BP133" s="25">
        <f t="array" ref="BP133">INDEX(KOMBI!$A$1:$GI$145,ROW(PJ!BP140),MATCH(PJ!BP$3,KOMBI!$A$1:$GI$1,0))</f>
        <v>7.6038313570900957</v>
      </c>
      <c r="BQ133" s="25">
        <f t="array" ref="BQ133">INDEX(KOMBI!$A$1:$GI$145,ROW(PJ!BQ140),MATCH(PJ!BQ$3,KOMBI!$A$1:$GI$1,0))</f>
        <v>9.2170000000000005</v>
      </c>
      <c r="BR133" s="25">
        <f t="array" ref="BR133">INDEX(KOMBI!$A$1:$GI$145,ROW(PJ!BR140),MATCH(PJ!BR$3,KOMBI!$A$1:$GI$1,0))</f>
        <v>-7.3291596440282575E-2</v>
      </c>
      <c r="BS133" s="25">
        <f t="array" ref="BS133">INDEX(KOMBI!$A$1:$GI$145,ROW(PJ!BS140),MATCH(PJ!BS$3,KOMBI!$A$1:$GI$1,0))</f>
        <v>-0.19966539199296618</v>
      </c>
      <c r="BT133" s="25">
        <f t="array" ref="BT133">INDEX(KOMBI!$A$1:$GI$145,ROW(PJ!BT140),MATCH(PJ!BT$3,KOMBI!$A$1:$GI$1,0))</f>
        <v>-0.13211680225103617</v>
      </c>
      <c r="BU133" s="25">
        <f t="array" ref="BU133">INDEX(KOMBI!$A$1:$GI$145,ROW(PJ!BU140),MATCH(PJ!BU$3,KOMBI!$A$1:$GI$1,0))</f>
        <v>3.4793975506064014</v>
      </c>
      <c r="BV133" s="25">
        <f t="array" ref="BV133">INDEX(KOMBI!$A$1:$GI$145,ROW(PJ!BV140),MATCH(PJ!BV$3,KOMBI!$A$1:$GI$1,0))</f>
        <v>1.177</v>
      </c>
      <c r="BW133" s="25">
        <f t="array" ref="BW133">INDEX(KOMBI!$A$1:$GI$145,ROW(PJ!BW140),MATCH(PJ!BW$3,KOMBI!$A$1:$GI$1,0))</f>
        <v>1.03788499063732</v>
      </c>
      <c r="BX133" s="25">
        <f t="array" ref="BX133">INDEX(KOMBI!$A$1:$GI$145,ROW(PJ!BX140),MATCH(PJ!BX$3,KOMBI!$A$1:$GI$1,0))</f>
        <v>16.029721793242818</v>
      </c>
      <c r="BY133" s="25">
        <f t="array" ref="BY133">INDEX(KOMBI!$A$1:$GI$145,ROW(PJ!BY140),MATCH(PJ!BY$3,KOMBI!$A$1:$GI$1,0))</f>
        <v>6.0056988012134216</v>
      </c>
      <c r="BZ133" s="25">
        <f t="array" ref="BZ133">INDEX(KOMBI!$A$1:$GI$145,ROW(PJ!BZ140),MATCH(PJ!BZ$3,KOMBI!$A$1:$GI$1,0))</f>
        <v>75</v>
      </c>
      <c r="CA133" s="25">
        <f t="array" ref="CA133">INDEX(KOMBI!$A$1:$GI$145,ROW(PJ!CA140),MATCH(PJ!CA$3,KOMBI!$A$1:$GI$1,0))</f>
        <v>8.5299999999999994</v>
      </c>
      <c r="CB133" s="25">
        <f t="array" ref="CB133">INDEX(KOMBI!$A$1:$GI$145,ROW(PJ!CB140),MATCH(PJ!CB$3,KOMBI!$A$1:$GI$1,0))</f>
        <v>33.973888888888887</v>
      </c>
      <c r="CC133" s="25">
        <f t="array" ref="CC133">INDEX(KOMBI!$A$1:$GI$145,ROW(PJ!CC140),MATCH(PJ!CC$3,KOMBI!$A$1:$GI$1,0))</f>
        <v>3.6436060000000001</v>
      </c>
      <c r="CD133" s="25">
        <f t="array" ref="CD133">INDEX(KOMBI!$A$1:$GI$145,ROW(PJ!CD140),MATCH(PJ!CD$3,KOMBI!$A$1:$GI$1,0))</f>
        <v>285.10000000000002</v>
      </c>
      <c r="CE133" s="25">
        <f t="array" ref="CE133">INDEX(KOMBI!$A$1:$GI$145,ROW(PJ!CE140),MATCH(PJ!CE$3,KOMBI!$A$1:$GI$1,0))</f>
        <v>2.7810000000000001</v>
      </c>
      <c r="CF133" s="25">
        <f t="array" ref="CF133">INDEX(KOMBI!$A$1:$GI$145,ROW(PJ!CF140),MATCH(PJ!CF$3,KOMBI!$A$1:$GI$1,0))</f>
        <v>38.866388888888892</v>
      </c>
      <c r="CG133" s="25">
        <f t="array" ref="CG133">INDEX(KOMBI!$A$1:$GI$145,ROW(PJ!CG140),MATCH(PJ!CG$3,KOMBI!$A$1:$GI$1,0))</f>
        <v>2.5620074329845279E-2</v>
      </c>
      <c r="CH133" s="25">
        <f t="array" ref="CH133">INDEX(KOMBI!$A$1:$GI$145,ROW(PJ!CH140),MATCH(PJ!CH$3,KOMBI!$A$1:$GI$1,0))</f>
        <v>0.55518194882771377</v>
      </c>
      <c r="CI133" s="25">
        <f t="array" ref="CI133">INDEX(KOMBI!$A$1:$GI$145,ROW(PJ!CI140),MATCH(PJ!CI$3,KOMBI!$A$1:$GI$1,0))</f>
        <v>10.67</v>
      </c>
      <c r="CJ133" s="25">
        <f t="array" ref="CJ133">INDEX(KOMBI!$A$1:$GI$145,ROW(PJ!CJ140),MATCH(PJ!CJ$3,KOMBI!$A$1:$GI$1,0))</f>
        <v>1.7198849906373199</v>
      </c>
      <c r="CK133" s="25">
        <f t="array" ref="CK133">INDEX(KOMBI!$A$1:$GI$145,ROW(PJ!CK140),MATCH(PJ!CK$3,KOMBI!$A$1:$GI$1,0))</f>
        <v>0.19900000000000001</v>
      </c>
      <c r="CL133" s="25">
        <f t="array" ref="CL133">INDEX(KOMBI!$A$1:$GI$145,ROW(PJ!CL140),MATCH(PJ!CL$3,KOMBI!$A$1:$GI$1,0))</f>
        <v>0.72299999999999998</v>
      </c>
    </row>
    <row r="134" spans="3:90" x14ac:dyDescent="0.2">
      <c r="C134" s="184">
        <v>131</v>
      </c>
      <c r="D134" s="25"/>
      <c r="E134" s="25"/>
      <c r="F134" s="25"/>
      <c r="G134" s="25">
        <f>RANK(INDEX(KOMBI!$A$11:$GI$145,MATCH(PJ!$C134,KOMBI!$A$11:$A$145,0),MATCH(PJ!G$3,KOMBI!$A$1:$GI$1,0)),BD$4:BD$138,G132)</f>
        <v>6</v>
      </c>
      <c r="H134" s="25">
        <f>RANK(INDEX(KOMBI!$A$11:$GI$145,MATCH(PJ!$C134,KOMBI!$A$11:$A$145,0),MATCH(PJ!H$3,KOMBI!$A$1:$GI$1,0)),BE$4:BE$138,H132)</f>
        <v>7</v>
      </c>
      <c r="I134" s="25"/>
      <c r="J134" s="25">
        <f>RANK(INDEX(KOMBI!$A$11:$GI$145,MATCH(PJ!$C134,KOMBI!$A$11:$A$145,0),MATCH(PJ!J$3,KOMBI!$A$1:$GI$1,0)),BG$4:BG$138,J132)</f>
        <v>13</v>
      </c>
      <c r="K134" s="25"/>
      <c r="L134" s="25">
        <f>RANK(INDEX(KOMBI!$A$11:$GI$145,MATCH(PJ!$C134,KOMBI!$A$11:$A$145,0),MATCH(PJ!L$3,KOMBI!$A$1:$GI$1,0)),BI$4:BI$138,L132)</f>
        <v>6</v>
      </c>
      <c r="M134" s="25">
        <f>RANK(INDEX(KOMBI!$A$11:$GI$145,MATCH(PJ!$C134,KOMBI!$A$11:$A$145,0),MATCH(PJ!M$3,KOMBI!$A$1:$GI$1,0)),BJ$4:BJ$138,M132)</f>
        <v>13</v>
      </c>
      <c r="N134" s="25">
        <f>RANK(INDEX(KOMBI!$A$11:$GI$145,MATCH(PJ!$C134,KOMBI!$A$11:$A$145,0),MATCH(PJ!N$3,KOMBI!$A$1:$GI$1,0)),BK$4:BK$138,N132)</f>
        <v>13</v>
      </c>
      <c r="O134" s="25">
        <f>RANK(INDEX(KOMBI!$A$11:$GI$145,MATCH(PJ!$C134,KOMBI!$A$11:$A$145,0),MATCH(PJ!O$3,KOMBI!$A$1:$GI$1,0)),BL$4:BL$138,O132)</f>
        <v>7</v>
      </c>
      <c r="P134" s="25">
        <f>RANK(INDEX(KOMBI!$A$11:$GI$145,MATCH(PJ!$C134,KOMBI!$A$11:$A$145,0),MATCH(PJ!P$3,KOMBI!$A$1:$GI$1,0)),BM$4:BM$138,P132)</f>
        <v>3</v>
      </c>
      <c r="Q134" s="25">
        <f>RANK(INDEX(KOMBI!$A$11:$GI$145,MATCH(PJ!$C134,KOMBI!$A$11:$A$145,0),MATCH(PJ!Q$3,KOMBI!$A$1:$GI$1,0)),BN$4:BN$138,Q132)</f>
        <v>5</v>
      </c>
      <c r="R134" s="25">
        <f>RANK(INDEX(KOMBI!$A$11:$GI$145,MATCH(PJ!$C134,KOMBI!$A$11:$A$145,0),MATCH(PJ!R$3,KOMBI!$A$1:$GI$1,0)),BO$4:BO$138,R132)</f>
        <v>7</v>
      </c>
      <c r="S134" s="25"/>
      <c r="T134" s="25">
        <f>RANK(INDEX(KOMBI!$A$11:$GI$145,MATCH(PJ!$C134,KOMBI!$A$11:$A$145,0),MATCH(PJ!T$3,KOMBI!$A$1:$GI$1,0)),BQ$4:BQ$138,T132)</f>
        <v>2</v>
      </c>
      <c r="U134" s="25">
        <f>RANK(INDEX(KOMBI!$A$11:$GI$145,MATCH(PJ!$C134,KOMBI!$A$11:$A$145,0),MATCH(PJ!U$3,KOMBI!$A$1:$GI$1,0)),BR$4:BR$138,U132)</f>
        <v>2</v>
      </c>
      <c r="V134" s="25"/>
      <c r="W134" s="25"/>
      <c r="X134" s="25"/>
      <c r="Y134" s="25"/>
      <c r="Z134" s="25"/>
      <c r="AA134" s="25">
        <f>RANK(INDEX(KOMBI!$A$11:$GI$145,MATCH(PJ!$C134,KOMBI!$A$11:$A$145,0),MATCH(PJ!AA$3,KOMBI!$A$1:$GI$1,0)),BX$4:BX$138,AA132)</f>
        <v>1</v>
      </c>
      <c r="AB134" s="25">
        <f>RANK(INDEX(KOMBI!$A$11:$GI$145,MATCH(PJ!$C134,KOMBI!$A$11:$A$145,0),MATCH(PJ!AB$3,KOMBI!$A$1:$GI$1,0)),BY$4:BY$138,AB132)</f>
        <v>1</v>
      </c>
      <c r="AC134" s="25">
        <f>RANK(INDEX(KOMBI!$A$11:$GI$145,MATCH(PJ!$C134,KOMBI!$A$11:$A$145,0),MATCH(PJ!AC$3,KOMBI!$A$1:$GI$1,0)),BZ$4:BZ$138,AC132)</f>
        <v>11</v>
      </c>
      <c r="AD134" s="25">
        <f>RANK(INDEX(KOMBI!$A$11:$GI$145,MATCH(PJ!$C134,KOMBI!$A$11:$A$145,0),MATCH(PJ!AD$3,KOMBI!$A$1:$GI$1,0)),CA$4:CA$138,AD132)</f>
        <v>2</v>
      </c>
      <c r="AE134" s="25">
        <f>RANK(INDEX(KOMBI!$A$11:$GI$145,MATCH(PJ!$C134,KOMBI!$A$11:$A$145,0),MATCH(PJ!AE$3,KOMBI!$A$1:$GI$1,0)),CB$4:CB$138,AE132)</f>
        <v>2</v>
      </c>
      <c r="AF134" s="25"/>
      <c r="AG134" s="25">
        <f>RANK(INDEX(KOMBI!$A$11:$GI$145,MATCH(PJ!$C134,KOMBI!$A$11:$A$145,0),MATCH(PJ!AG$3,KOMBI!$A$1:$GI$1,0)),CD$4:CD$138,AG132)</f>
        <v>13</v>
      </c>
      <c r="AH134" s="25">
        <f>RANK(INDEX(KOMBI!$A$11:$GI$145,MATCH(PJ!$C134,KOMBI!$A$11:$A$145,0),MATCH(PJ!AH$3,KOMBI!$A$1:$GI$1,0)),CE$4:CE$138,AH132)</f>
        <v>1</v>
      </c>
      <c r="AI134" s="25">
        <f>RANK(INDEX(KOMBI!$A$11:$GI$145,MATCH(PJ!$C134,KOMBI!$A$11:$A$145,0),MATCH(PJ!AI$3,KOMBI!$A$1:$GI$1,0)),CF$4:CF$138,AI132)</f>
        <v>1</v>
      </c>
      <c r="AJ134" s="25">
        <f>RANK(INDEX(KOMBI!$A$11:$GI$145,MATCH(PJ!$C134,KOMBI!$A$11:$A$145,0),MATCH(PJ!AJ$3,KOMBI!$A$1:$GI$1,0)),CG$4:CG$138,AJ132)</f>
        <v>1</v>
      </c>
      <c r="AK134" s="25">
        <f>RANK(INDEX(KOMBI!$A$11:$GI$145,MATCH(PJ!$C134,KOMBI!$A$11:$A$145,0),MATCH(PJ!AK$3,KOMBI!$A$1:$GI$1,0)),CH$4:CH$138,AK132)</f>
        <v>13</v>
      </c>
      <c r="AN134" s="25">
        <f>RANK(INDEX(KOMBI!$A$11:$GI$145,MATCH(PJ!$C134,KOMBI!$A$11:$A$145,0),MATCH(PJ!AN$3,KOMBI!$A$1:$GI$1,0)),CK$4:CK$138,AN132)</f>
        <v>1</v>
      </c>
      <c r="AO134" s="25">
        <f>RANK(INDEX(KOMBI!$A$11:$GI$145,MATCH(PJ!$C134,KOMBI!$A$11:$A$145,0),MATCH(PJ!AO$3,KOMBI!$A$1:$GI$1,0)),CL$4:CL$138,AO132)</f>
        <v>1</v>
      </c>
      <c r="AS134" s="297">
        <f t="shared" si="12"/>
        <v>132</v>
      </c>
      <c r="AT134" s="25">
        <f t="shared" si="10"/>
        <v>10000</v>
      </c>
      <c r="AU134" s="25">
        <f t="shared" si="11"/>
        <v>1</v>
      </c>
      <c r="AV134" s="295" t="str">
        <f>VLOOKUP(VLOOKUP($AU134,KOMBI!$A:$H,3,FALSE),data!$I$27:$J$29,2,FALSE)</f>
        <v>Mittesekkuv</v>
      </c>
      <c r="AW134" s="295" t="str">
        <f>VLOOKUP(VLOOKUP($AU134,KOMBI!$A:$H,2,FALSE),data!$I$21:$J$23,2,FALSE)</f>
        <v>Mittesekkuv</v>
      </c>
      <c r="AX134" s="295" t="str">
        <f>VLOOKUP(VLOOKUP($AU134,KOMBI!$A:$H,5,FALSE),data!$I$39:$J$41,2,FALSE)</f>
        <v>Mittesekkuv</v>
      </c>
      <c r="AY134" s="295" t="str">
        <f>VLOOKUP(VLOOKUP($AU134,KOMBI!$A:$H,4,FALSE),data!$I$32:$J$36,2,FALSE)</f>
        <v>LIB</v>
      </c>
      <c r="BA134" s="25">
        <f t="array" ref="BA134">INDEX(KOMBI!$A$1:$GI$145,ROW(PJ!BA141),MATCH(PJ!BA$3,KOMBI!$A$1:$GI$1,0))</f>
        <v>11.131980127717581</v>
      </c>
      <c r="BB134" s="25">
        <f t="array" ref="BB134">INDEX(KOMBI!$A$1:$GI$145,ROW(PJ!BB141),MATCH(PJ!BB$3,KOMBI!$A$1:$GI$1,0))</f>
        <v>504.62461225848671</v>
      </c>
      <c r="BC134" s="25">
        <f t="array" aca="1" ref="BC134" ca="1">INDEX(KOMBI!$A$1:$GI$145,ROW(PJ!BC141),MATCH(PJ!BC$3,KOMBI!$A$1:$GI$1,0))</f>
        <v>54.271315395282812</v>
      </c>
      <c r="BD134" s="25">
        <f t="array" ref="BD134">INDEX(KOMBI!$A$1:$GI$145,ROW(PJ!BD141),MATCH(PJ!BD$3,KOMBI!$A$1:$GI$1,0))</f>
        <v>-178.19071988063212</v>
      </c>
      <c r="BE134" s="25">
        <f t="array" ref="BE134">INDEX(KOMBI!$A$1:$GI$145,ROW(PJ!BE141),MATCH(PJ!BE$3,KOMBI!$A$1:$GI$1,0))</f>
        <v>232.46203527591493</v>
      </c>
      <c r="BF134" s="25">
        <f t="array" aca="1" ref="BF134" ca="1">INDEX(KOMBI!$A$1:$GI$145,ROW(PJ!BF141),MATCH(PJ!BF$3,KOMBI!$A$1:$GI$1,0))</f>
        <v>0</v>
      </c>
      <c r="BG134" s="25">
        <f t="array" ref="BG134">INDEX(KOMBI!$A$1:$GI$145,ROW(PJ!BG141),MATCH(PJ!BG$3,KOMBI!$A$1:$GI$1,0))</f>
        <v>0.57876561984549779</v>
      </c>
      <c r="BH134" s="25">
        <f t="array" ref="BH134">INDEX(KOMBI!$A$1:$GI$145,ROW(PJ!BH141),MATCH(PJ!BH$3,KOMBI!$A$1:$GI$1,0))</f>
        <v>90</v>
      </c>
      <c r="BI134" s="25">
        <f t="array" ref="BI134">INDEX(KOMBI!$A$1:$GI$145,ROW(PJ!BI141),MATCH(PJ!BI$3,KOMBI!$A$1:$GI$1,0))</f>
        <v>0.72887234460741657</v>
      </c>
      <c r="BJ134" s="25">
        <f t="array" ref="BJ134">INDEX(KOMBI!$A$1:$GI$145,ROW(PJ!BJ141),MATCH(PJ!BJ$3,KOMBI!$A$1:$GI$1,0))</f>
        <v>0.36609829488465395</v>
      </c>
      <c r="BK134" s="25">
        <f t="array" ref="BK134">INDEX(KOMBI!$A$1:$GI$145,ROW(PJ!BK141),MATCH(PJ!BK$3,KOMBI!$A$1:$GI$1,0))</f>
        <v>0.64611056303807113</v>
      </c>
      <c r="BL134" s="25">
        <f t="array" ref="BL134">INDEX(KOMBI!$A$1:$GI$145,ROW(PJ!BL141),MATCH(PJ!BL$3,KOMBI!$A$1:$GI$1,0))</f>
        <v>1.9523373776371703E-2</v>
      </c>
      <c r="BM134" s="25">
        <f t="array" ref="BM134">INDEX(KOMBI!$A$1:$GI$145,ROW(PJ!BM141),MATCH(PJ!BM$3,KOMBI!$A$1:$GI$1,0))</f>
        <v>3.1968664093014101E-3</v>
      </c>
      <c r="BN134" s="25">
        <f t="array" ref="BN134">INDEX(KOMBI!$A$1:$GI$145,ROW(PJ!BN141),MATCH(PJ!BN$3,KOMBI!$A$1:$GI$1,0))</f>
        <v>3.1301767945774717E-3</v>
      </c>
      <c r="BO134" s="25">
        <f t="array" ref="BO134">INDEX(KOMBI!$A$1:$GI$145,ROW(PJ!BO141),MATCH(PJ!BO$3,KOMBI!$A$1:$GI$1,0))</f>
        <v>1.6525135283015201E-2</v>
      </c>
      <c r="BP134" s="25">
        <f t="array" ref="BP134">INDEX(KOMBI!$A$1:$GI$145,ROW(PJ!BP141),MATCH(PJ!BP$3,KOMBI!$A$1:$GI$1,0))</f>
        <v>7.6038313570900957</v>
      </c>
      <c r="BQ134" s="25">
        <f t="array" ref="BQ134">INDEX(KOMBI!$A$1:$GI$145,ROW(PJ!BQ141),MATCH(PJ!BQ$3,KOMBI!$A$1:$GI$1,0))</f>
        <v>9.3079999999999998</v>
      </c>
      <c r="BR134" s="25">
        <f t="array" ref="BR134">INDEX(KOMBI!$A$1:$GI$145,ROW(PJ!BR141),MATCH(PJ!BR$3,KOMBI!$A$1:$GI$1,0))</f>
        <v>-6.9057797429017853E-2</v>
      </c>
      <c r="BS134" s="25">
        <f t="array" ref="BS134">INDEX(KOMBI!$A$1:$GI$145,ROW(PJ!BS141),MATCH(PJ!BS$3,KOMBI!$A$1:$GI$1,0))</f>
        <v>-0.19833177977333061</v>
      </c>
      <c r="BT134" s="25">
        <f t="array" ref="BT134">INDEX(KOMBI!$A$1:$GI$145,ROW(PJ!BT141),MATCH(PJ!BT$3,KOMBI!$A$1:$GI$1,0))</f>
        <v>-0.13101783945164222</v>
      </c>
      <c r="BU134" s="25">
        <f t="array" ref="BU134">INDEX(KOMBI!$A$1:$GI$145,ROW(PJ!BU141),MATCH(PJ!BU$3,KOMBI!$A$1:$GI$1,0))</f>
        <v>3.4793975506064014</v>
      </c>
      <c r="BV134" s="25">
        <f t="array" ref="BV134">INDEX(KOMBI!$A$1:$GI$145,ROW(PJ!BV141),MATCH(PJ!BV$3,KOMBI!$A$1:$GI$1,0))</f>
        <v>1.177</v>
      </c>
      <c r="BW134" s="25">
        <f t="array" ref="BW134">INDEX(KOMBI!$A$1:$GI$145,ROW(PJ!BW141),MATCH(PJ!BW$3,KOMBI!$A$1:$GI$1,0))</f>
        <v>1.4153849906373199</v>
      </c>
      <c r="BX134" s="25">
        <f t="array" ref="BX134">INDEX(KOMBI!$A$1:$GI$145,ROW(PJ!BX141),MATCH(PJ!BX$3,KOMBI!$A$1:$GI$1,0))</f>
        <v>16.029721793242818</v>
      </c>
      <c r="BY134" s="25">
        <f t="array" ref="BY134">INDEX(KOMBI!$A$1:$GI$145,ROW(PJ!BY141),MATCH(PJ!BY$3,KOMBI!$A$1:$GI$1,0))</f>
        <v>6.0056988012134216</v>
      </c>
      <c r="BZ134" s="25">
        <f t="array" ref="BZ134">INDEX(KOMBI!$A$1:$GI$145,ROW(PJ!BZ141),MATCH(PJ!BZ$3,KOMBI!$A$1:$GI$1,0))</f>
        <v>75.400000000000006</v>
      </c>
      <c r="CA134" s="25">
        <f t="array" ref="CA134">INDEX(KOMBI!$A$1:$GI$145,ROW(PJ!CA141),MATCH(PJ!CA$3,KOMBI!$A$1:$GI$1,0))</f>
        <v>8.6189999999999998</v>
      </c>
      <c r="CB134" s="25">
        <f t="array" ref="CB134">INDEX(KOMBI!$A$1:$GI$145,ROW(PJ!CB141),MATCH(PJ!CB$3,KOMBI!$A$1:$GI$1,0))</f>
        <v>34.314166666666665</v>
      </c>
      <c r="CC134" s="25">
        <f t="array" ref="CC134">INDEX(KOMBI!$A$1:$GI$145,ROW(PJ!CC141),MATCH(PJ!CC$3,KOMBI!$A$1:$GI$1,0))</f>
        <v>3.676898</v>
      </c>
      <c r="CD134" s="25">
        <f t="array" ref="CD134">INDEX(KOMBI!$A$1:$GI$145,ROW(PJ!CD141),MATCH(PJ!CD$3,KOMBI!$A$1:$GI$1,0))</f>
        <v>285.10000000000002</v>
      </c>
      <c r="CE134" s="25">
        <f t="array" ref="CE134">INDEX(KOMBI!$A$1:$GI$145,ROW(PJ!CE141),MATCH(PJ!CE$3,KOMBI!$A$1:$GI$1,0))</f>
        <v>2.7810000000000001</v>
      </c>
      <c r="CF134" s="25">
        <f t="array" ref="CF134">INDEX(KOMBI!$A$1:$GI$145,ROW(PJ!CF141),MATCH(PJ!CF$3,KOMBI!$A$1:$GI$1,0))</f>
        <v>38.866388888888892</v>
      </c>
      <c r="CG134" s="25">
        <f t="array" ref="CG134">INDEX(KOMBI!$A$1:$GI$145,ROW(PJ!CG141),MATCH(PJ!CG$3,KOMBI!$A$1:$GI$1,0))</f>
        <v>2.5620074329845279E-2</v>
      </c>
      <c r="CH134" s="25">
        <f t="array" ref="CH134">INDEX(KOMBI!$A$1:$GI$145,ROW(PJ!CH141),MATCH(PJ!CH$3,KOMBI!$A$1:$GI$1,0))</f>
        <v>0.55518194882771377</v>
      </c>
      <c r="CI134" s="25">
        <f t="array" ref="CI134">INDEX(KOMBI!$A$1:$GI$145,ROW(PJ!CI141),MATCH(PJ!CI$3,KOMBI!$A$1:$GI$1,0))</f>
        <v>10.67</v>
      </c>
      <c r="CJ134" s="25">
        <f t="array" ref="CJ134">INDEX(KOMBI!$A$1:$GI$145,ROW(PJ!CJ141),MATCH(PJ!CJ$3,KOMBI!$A$1:$GI$1,0))</f>
        <v>1.7198849906373199</v>
      </c>
      <c r="CK134" s="25">
        <f t="array" ref="CK134">INDEX(KOMBI!$A$1:$GI$145,ROW(PJ!CK141),MATCH(PJ!CK$3,KOMBI!$A$1:$GI$1,0))</f>
        <v>0.19900000000000001</v>
      </c>
      <c r="CL134" s="25">
        <f t="array" ref="CL134">INDEX(KOMBI!$A$1:$GI$145,ROW(PJ!CL141),MATCH(PJ!CL$3,KOMBI!$A$1:$GI$1,0))</f>
        <v>0.72299999999999998</v>
      </c>
    </row>
    <row r="135" spans="3:90" x14ac:dyDescent="0.2">
      <c r="C135" s="184">
        <v>132</v>
      </c>
      <c r="D135" s="25"/>
      <c r="E135" s="25"/>
      <c r="F135" s="25"/>
      <c r="G135" s="25">
        <f>RANK(INDEX(KOMBI!$A$11:$GI$145,MATCH(PJ!$C135,KOMBI!$A$11:$A$145,0),MATCH(PJ!G$3,KOMBI!$A$1:$GI$1,0)),BD$4:BD$138,G133)</f>
        <v>1</v>
      </c>
      <c r="H135" s="25">
        <f>RANK(INDEX(KOMBI!$A$11:$GI$145,MATCH(PJ!$C135,KOMBI!$A$11:$A$145,0),MATCH(PJ!H$3,KOMBI!$A$1:$GI$1,0)),BE$4:BE$138,H133)</f>
        <v>11</v>
      </c>
      <c r="I135" s="25"/>
      <c r="J135" s="25">
        <f>RANK(INDEX(KOMBI!$A$11:$GI$145,MATCH(PJ!$C135,KOMBI!$A$11:$A$145,0),MATCH(PJ!J$3,KOMBI!$A$1:$GI$1,0)),BG$4:BG$138,J133)</f>
        <v>13</v>
      </c>
      <c r="K135" s="25"/>
      <c r="L135" s="25">
        <f>RANK(INDEX(KOMBI!$A$11:$GI$145,MATCH(PJ!$C135,KOMBI!$A$11:$A$145,0),MATCH(PJ!L$3,KOMBI!$A$1:$GI$1,0)),BI$4:BI$138,L133)</f>
        <v>1</v>
      </c>
      <c r="M135" s="25">
        <f>RANK(INDEX(KOMBI!$A$11:$GI$145,MATCH(PJ!$C135,KOMBI!$A$11:$A$145,0),MATCH(PJ!M$3,KOMBI!$A$1:$GI$1,0)),BJ$4:BJ$138,M133)</f>
        <v>13</v>
      </c>
      <c r="N135" s="25">
        <f>RANK(INDEX(KOMBI!$A$11:$GI$145,MATCH(PJ!$C135,KOMBI!$A$11:$A$145,0),MATCH(PJ!N$3,KOMBI!$A$1:$GI$1,0)),BK$4:BK$138,N133)</f>
        <v>13</v>
      </c>
      <c r="O135" s="25">
        <f>RANK(INDEX(KOMBI!$A$11:$GI$145,MATCH(PJ!$C135,KOMBI!$A$11:$A$145,0),MATCH(PJ!O$3,KOMBI!$A$1:$GI$1,0)),BL$4:BL$138,O133)</f>
        <v>11</v>
      </c>
      <c r="P135" s="25">
        <f>RANK(INDEX(KOMBI!$A$11:$GI$145,MATCH(PJ!$C135,KOMBI!$A$11:$A$145,0),MATCH(PJ!P$3,KOMBI!$A$1:$GI$1,0)),BM$4:BM$138,P133)</f>
        <v>4</v>
      </c>
      <c r="Q135" s="25">
        <f>RANK(INDEX(KOMBI!$A$11:$GI$145,MATCH(PJ!$C135,KOMBI!$A$11:$A$145,0),MATCH(PJ!Q$3,KOMBI!$A$1:$GI$1,0)),BN$4:BN$138,Q133)</f>
        <v>8</v>
      </c>
      <c r="R135" s="25">
        <f>RANK(INDEX(KOMBI!$A$11:$GI$145,MATCH(PJ!$C135,KOMBI!$A$11:$A$145,0),MATCH(PJ!R$3,KOMBI!$A$1:$GI$1,0)),BO$4:BO$138,R133)</f>
        <v>12</v>
      </c>
      <c r="S135" s="25"/>
      <c r="T135" s="25">
        <f>RANK(INDEX(KOMBI!$A$11:$GI$145,MATCH(PJ!$C135,KOMBI!$A$11:$A$145,0),MATCH(PJ!T$3,KOMBI!$A$1:$GI$1,0)),BQ$4:BQ$138,T133)</f>
        <v>3</v>
      </c>
      <c r="U135" s="25">
        <f>RANK(INDEX(KOMBI!$A$11:$GI$145,MATCH(PJ!$C135,KOMBI!$A$11:$A$145,0),MATCH(PJ!U$3,KOMBI!$A$1:$GI$1,0)),BR$4:BR$138,U133)</f>
        <v>3</v>
      </c>
      <c r="V135" s="25"/>
      <c r="W135" s="25"/>
      <c r="X135" s="25"/>
      <c r="Y135" s="25"/>
      <c r="Z135" s="25"/>
      <c r="AA135" s="25">
        <f>RANK(INDEX(KOMBI!$A$11:$GI$145,MATCH(PJ!$C135,KOMBI!$A$11:$A$145,0),MATCH(PJ!AA$3,KOMBI!$A$1:$GI$1,0)),BX$4:BX$138,AA133)</f>
        <v>1</v>
      </c>
      <c r="AB135" s="25">
        <f>RANK(INDEX(KOMBI!$A$11:$GI$145,MATCH(PJ!$C135,KOMBI!$A$11:$A$145,0),MATCH(PJ!AB$3,KOMBI!$A$1:$GI$1,0)),BY$4:BY$138,AB133)</f>
        <v>1</v>
      </c>
      <c r="AC135" s="25">
        <f>RANK(INDEX(KOMBI!$A$11:$GI$145,MATCH(PJ!$C135,KOMBI!$A$11:$A$145,0),MATCH(PJ!AC$3,KOMBI!$A$1:$GI$1,0)),BZ$4:BZ$138,AC133)</f>
        <v>12</v>
      </c>
      <c r="AD135" s="25">
        <f>RANK(INDEX(KOMBI!$A$11:$GI$145,MATCH(PJ!$C135,KOMBI!$A$11:$A$145,0),MATCH(PJ!AD$3,KOMBI!$A$1:$GI$1,0)),CA$4:CA$138,AD133)</f>
        <v>3</v>
      </c>
      <c r="AE135" s="25">
        <f>RANK(INDEX(KOMBI!$A$11:$GI$145,MATCH(PJ!$C135,KOMBI!$A$11:$A$145,0),MATCH(PJ!AE$3,KOMBI!$A$1:$GI$1,0)),CB$4:CB$138,AE133)</f>
        <v>3</v>
      </c>
      <c r="AF135" s="25"/>
      <c r="AG135" s="25">
        <f>RANK(INDEX(KOMBI!$A$11:$GI$145,MATCH(PJ!$C135,KOMBI!$A$11:$A$145,0),MATCH(PJ!AG$3,KOMBI!$A$1:$GI$1,0)),CD$4:CD$138,AG133)</f>
        <v>13</v>
      </c>
      <c r="AH135" s="25">
        <f>RANK(INDEX(KOMBI!$A$11:$GI$145,MATCH(PJ!$C135,KOMBI!$A$11:$A$145,0),MATCH(PJ!AH$3,KOMBI!$A$1:$GI$1,0)),CE$4:CE$138,AH133)</f>
        <v>1</v>
      </c>
      <c r="AI135" s="25">
        <f>RANK(INDEX(KOMBI!$A$11:$GI$145,MATCH(PJ!$C135,KOMBI!$A$11:$A$145,0),MATCH(PJ!AI$3,KOMBI!$A$1:$GI$1,0)),CF$4:CF$138,AI133)</f>
        <v>1</v>
      </c>
      <c r="AJ135" s="25">
        <f>RANK(INDEX(KOMBI!$A$11:$GI$145,MATCH(PJ!$C135,KOMBI!$A$11:$A$145,0),MATCH(PJ!AJ$3,KOMBI!$A$1:$GI$1,0)),CG$4:CG$138,AJ133)</f>
        <v>1</v>
      </c>
      <c r="AK135" s="25">
        <f>RANK(INDEX(KOMBI!$A$11:$GI$145,MATCH(PJ!$C135,KOMBI!$A$11:$A$145,0),MATCH(PJ!AK$3,KOMBI!$A$1:$GI$1,0)),CH$4:CH$138,AK133)</f>
        <v>13</v>
      </c>
      <c r="AN135" s="25">
        <f>RANK(INDEX(KOMBI!$A$11:$GI$145,MATCH(PJ!$C135,KOMBI!$A$11:$A$145,0),MATCH(PJ!AN$3,KOMBI!$A$1:$GI$1,0)),CK$4:CK$138,AN133)</f>
        <v>1</v>
      </c>
      <c r="AO135" s="25">
        <f>RANK(INDEX(KOMBI!$A$11:$GI$145,MATCH(PJ!$C135,KOMBI!$A$11:$A$145,0),MATCH(PJ!AO$3,KOMBI!$A$1:$GI$1,0)),CL$4:CL$138,AO133)</f>
        <v>1</v>
      </c>
      <c r="AS135" s="297">
        <f t="shared" si="12"/>
        <v>144</v>
      </c>
      <c r="AT135" s="25">
        <f t="shared" si="10"/>
        <v>10000</v>
      </c>
      <c r="AU135" s="25">
        <f t="shared" si="11"/>
        <v>1</v>
      </c>
      <c r="AV135" s="295" t="str">
        <f>VLOOKUP(VLOOKUP($AU135,KOMBI!$A:$H,3,FALSE),data!$I$27:$J$29,2,FALSE)</f>
        <v>Mittesekkuv</v>
      </c>
      <c r="AW135" s="295" t="str">
        <f>VLOOKUP(VLOOKUP($AU135,KOMBI!$A:$H,2,FALSE),data!$I$21:$J$23,2,FALSE)</f>
        <v>Mittesekkuv</v>
      </c>
      <c r="AX135" s="295" t="str">
        <f>VLOOKUP(VLOOKUP($AU135,KOMBI!$A:$H,5,FALSE),data!$I$39:$J$41,2,FALSE)</f>
        <v>Mittesekkuv</v>
      </c>
      <c r="AY135" s="295" t="str">
        <f>VLOOKUP(VLOOKUP($AU135,KOMBI!$A:$H,4,FALSE),data!$I$32:$J$36,2,FALSE)</f>
        <v>LIB</v>
      </c>
      <c r="BA135" s="25">
        <f t="array" ref="BA135">INDEX(KOMBI!$A$1:$GI$145,ROW(PJ!BA142),MATCH(PJ!BA$3,KOMBI!$A$1:$GI$1,0))</f>
        <v>12.03707984995911</v>
      </c>
      <c r="BB135" s="25">
        <f t="array" ref="BB135">INDEX(KOMBI!$A$1:$GI$145,ROW(PJ!BB142),MATCH(PJ!BB$3,KOMBI!$A$1:$GI$1,0))</f>
        <v>621.23540327596606</v>
      </c>
      <c r="BC135" s="25">
        <f t="array" aca="1" ref="BC135" ca="1">INDEX(KOMBI!$A$1:$GI$145,ROW(PJ!BC142),MATCH(PJ!BC$3,KOMBI!$A$1:$GI$1,0))</f>
        <v>70.825729754367757</v>
      </c>
      <c r="BD135" s="25">
        <f t="array" ref="BD135">INDEX(KOMBI!$A$1:$GI$145,ROW(PJ!BD142),MATCH(PJ!BD$3,KOMBI!$A$1:$GI$1,0))</f>
        <v>-197.29831369909104</v>
      </c>
      <c r="BE135" s="25">
        <f t="array" ref="BE135">INDEX(KOMBI!$A$1:$GI$145,ROW(PJ!BE142),MATCH(PJ!BE$3,KOMBI!$A$1:$GI$1,0))</f>
        <v>268.1240434534588</v>
      </c>
      <c r="BF135" s="25">
        <f t="array" aca="1" ref="BF135" ca="1">INDEX(KOMBI!$A$1:$GI$145,ROW(PJ!BF142),MATCH(PJ!BF$3,KOMBI!$A$1:$GI$1,0))</f>
        <v>0</v>
      </c>
      <c r="BG135" s="25">
        <f t="array" ref="BG135">INDEX(KOMBI!$A$1:$GI$145,ROW(PJ!BG142),MATCH(PJ!BG$3,KOMBI!$A$1:$GI$1,0))</f>
        <v>0.57876561984549779</v>
      </c>
      <c r="BH135" s="25">
        <f t="array" ref="BH135">INDEX(KOMBI!$A$1:$GI$145,ROW(PJ!BH142),MATCH(PJ!BH$3,KOMBI!$A$1:$GI$1,0))</f>
        <v>90</v>
      </c>
      <c r="BI135" s="25">
        <f t="array" ref="BI135">INDEX(KOMBI!$A$1:$GI$145,ROW(PJ!BI142),MATCH(PJ!BI$3,KOMBI!$A$1:$GI$1,0))</f>
        <v>0.72887234460741646</v>
      </c>
      <c r="BJ135" s="25">
        <f t="array" ref="BJ135">INDEX(KOMBI!$A$1:$GI$145,ROW(PJ!BJ142),MATCH(PJ!BJ$3,KOMBI!$A$1:$GI$1,0))</f>
        <v>0.36609829488465395</v>
      </c>
      <c r="BK135" s="25">
        <f t="array" ref="BK135">INDEX(KOMBI!$A$1:$GI$145,ROW(PJ!BK142),MATCH(PJ!BK$3,KOMBI!$A$1:$GI$1,0))</f>
        <v>0.64611056303807113</v>
      </c>
      <c r="BL135" s="25">
        <f t="array" ref="BL135">INDEX(KOMBI!$A$1:$GI$145,ROW(PJ!BL142),MATCH(PJ!BL$3,KOMBI!$A$1:$GI$1,0))</f>
        <v>2.4174429154618222E-2</v>
      </c>
      <c r="BM135" s="25">
        <f t="array" ref="BM135">INDEX(KOMBI!$A$1:$GI$145,ROW(PJ!BM142),MATCH(PJ!BM$3,KOMBI!$A$1:$GI$1,0))</f>
        <v>3.2096321363427969E-3</v>
      </c>
      <c r="BN135" s="25">
        <f t="array" ref="BN135">INDEX(KOMBI!$A$1:$GI$145,ROW(PJ!BN142),MATCH(PJ!BN$3,KOMBI!$A$1:$GI$1,0))</f>
        <v>4.4609666306242024E-3</v>
      </c>
      <c r="BO135" s="25">
        <f t="array" ref="BO135">INDEX(KOMBI!$A$1:$GI$145,ROW(PJ!BO142),MATCH(PJ!BO$3,KOMBI!$A$1:$GI$1,0))</f>
        <v>1.9918998731180058E-2</v>
      </c>
      <c r="BP135" s="25">
        <f t="array" ref="BP135">INDEX(KOMBI!$A$1:$GI$145,ROW(PJ!BP142),MATCH(PJ!BP$3,KOMBI!$A$1:$GI$1,0))</f>
        <v>7.6038313570900957</v>
      </c>
      <c r="BQ135" s="25">
        <f t="array" ref="BQ135">INDEX(KOMBI!$A$1:$GI$145,ROW(PJ!BQ142),MATCH(PJ!BQ$3,KOMBI!$A$1:$GI$1,0))</f>
        <v>9.532</v>
      </c>
      <c r="BR135" s="25">
        <f t="array" ref="BR135">INDEX(KOMBI!$A$1:$GI$145,ROW(PJ!BR142),MATCH(PJ!BR$3,KOMBI!$A$1:$GI$1,0))</f>
        <v>-6.5078310298571945E-2</v>
      </c>
      <c r="BS135" s="25">
        <f t="array" ref="BS135">INDEX(KOMBI!$A$1:$GI$145,ROW(PJ!BS142),MATCH(PJ!BS$3,KOMBI!$A$1:$GI$1,0))</f>
        <v>-0.19707261985704216</v>
      </c>
      <c r="BT135" s="25">
        <f t="array" ref="BT135">INDEX(KOMBI!$A$1:$GI$145,ROW(PJ!BT142),MATCH(PJ!BT$3,KOMBI!$A$1:$GI$1,0))</f>
        <v>-0.12955712047841597</v>
      </c>
      <c r="BU135" s="25">
        <f t="array" ref="BU135">INDEX(KOMBI!$A$1:$GI$145,ROW(PJ!BU142),MATCH(PJ!BU$3,KOMBI!$A$1:$GI$1,0))</f>
        <v>3.4793975506064014</v>
      </c>
      <c r="BV135" s="25">
        <f t="array" ref="BV135">INDEX(KOMBI!$A$1:$GI$145,ROW(PJ!BV142),MATCH(PJ!BV$3,KOMBI!$A$1:$GI$1,0))</f>
        <v>1.177</v>
      </c>
      <c r="BW135" s="25">
        <f t="array" ref="BW135">INDEX(KOMBI!$A$1:$GI$145,ROW(PJ!BW142),MATCH(PJ!BW$3,KOMBI!$A$1:$GI$1,0))</f>
        <v>1.62408499063732</v>
      </c>
      <c r="BX135" s="25">
        <f t="array" ref="BX135">INDEX(KOMBI!$A$1:$GI$145,ROW(PJ!BX142),MATCH(PJ!BX$3,KOMBI!$A$1:$GI$1,0))</f>
        <v>16.029721793242818</v>
      </c>
      <c r="BY135" s="25">
        <f t="array" ref="BY135">INDEX(KOMBI!$A$1:$GI$145,ROW(PJ!BY142),MATCH(PJ!BY$3,KOMBI!$A$1:$GI$1,0))</f>
        <v>6.0056988012134216</v>
      </c>
      <c r="BZ135" s="25">
        <f t="array" ref="BZ135">INDEX(KOMBI!$A$1:$GI$145,ROW(PJ!BZ142),MATCH(PJ!BZ$3,KOMBI!$A$1:$GI$1,0))</f>
        <v>77</v>
      </c>
      <c r="CA135" s="25">
        <f t="array" ref="CA135">INDEX(KOMBI!$A$1:$GI$145,ROW(PJ!CA142),MATCH(PJ!CA$3,KOMBI!$A$1:$GI$1,0))</f>
        <v>8.8710000000000004</v>
      </c>
      <c r="CB135" s="25">
        <f t="array" ref="CB135">INDEX(KOMBI!$A$1:$GI$145,ROW(PJ!CB142),MATCH(PJ!CB$3,KOMBI!$A$1:$GI$1,0))</f>
        <v>35.222222222222221</v>
      </c>
      <c r="CC135" s="25">
        <f t="array" ref="CC135">INDEX(KOMBI!$A$1:$GI$145,ROW(PJ!CC142),MATCH(PJ!CC$3,KOMBI!$A$1:$GI$1,0))</f>
        <v>3.7702429999999998</v>
      </c>
      <c r="CD135" s="25">
        <f t="array" ref="CD135">INDEX(KOMBI!$A$1:$GI$145,ROW(PJ!CD142),MATCH(PJ!CD$3,KOMBI!$A$1:$GI$1,0))</f>
        <v>285.10000000000002</v>
      </c>
      <c r="CE135" s="25">
        <f t="array" ref="CE135">INDEX(KOMBI!$A$1:$GI$145,ROW(PJ!CE142),MATCH(PJ!CE$3,KOMBI!$A$1:$GI$1,0))</f>
        <v>2.7810000000000001</v>
      </c>
      <c r="CF135" s="25">
        <f t="array" ref="CF135">INDEX(KOMBI!$A$1:$GI$145,ROW(PJ!CF142),MATCH(PJ!CF$3,KOMBI!$A$1:$GI$1,0))</f>
        <v>38.866388888888892</v>
      </c>
      <c r="CG135" s="25">
        <f t="array" ref="CG135">INDEX(KOMBI!$A$1:$GI$145,ROW(PJ!CG142),MATCH(PJ!CG$3,KOMBI!$A$1:$GI$1,0))</f>
        <v>2.5620074329845279E-2</v>
      </c>
      <c r="CH135" s="25">
        <f t="array" ref="CH135">INDEX(KOMBI!$A$1:$GI$145,ROW(PJ!CH142),MATCH(PJ!CH$3,KOMBI!$A$1:$GI$1,0))</f>
        <v>0.55518194882771377</v>
      </c>
      <c r="CI135" s="25">
        <f t="array" ref="CI135">INDEX(KOMBI!$A$1:$GI$145,ROW(PJ!CI142),MATCH(PJ!CI$3,KOMBI!$A$1:$GI$1,0))</f>
        <v>10.67</v>
      </c>
      <c r="CJ135" s="25">
        <f t="array" ref="CJ135">INDEX(KOMBI!$A$1:$GI$145,ROW(PJ!CJ142),MATCH(PJ!CJ$3,KOMBI!$A$1:$GI$1,0))</f>
        <v>1.7198849906373199</v>
      </c>
      <c r="CK135" s="25">
        <f t="array" ref="CK135">INDEX(KOMBI!$A$1:$GI$145,ROW(PJ!CK142),MATCH(PJ!CK$3,KOMBI!$A$1:$GI$1,0))</f>
        <v>0.19900000000000001</v>
      </c>
      <c r="CL135" s="25">
        <f t="array" ref="CL135">INDEX(KOMBI!$A$1:$GI$145,ROW(PJ!CL142),MATCH(PJ!CL$3,KOMBI!$A$1:$GI$1,0))</f>
        <v>0.72299999999999998</v>
      </c>
    </row>
    <row r="136" spans="3:90" x14ac:dyDescent="0.2">
      <c r="C136" s="184">
        <v>133</v>
      </c>
      <c r="D136" s="25"/>
      <c r="E136" s="25"/>
      <c r="F136" s="25"/>
      <c r="G136" s="25">
        <f>RANK(INDEX(KOMBI!$A$11:$GI$145,MATCH(PJ!$C136,KOMBI!$A$11:$A$145,0),MATCH(PJ!G$3,KOMBI!$A$1:$GI$1,0)),BD$4:BD$138,G134)</f>
        <v>11</v>
      </c>
      <c r="H136" s="25">
        <f>RANK(INDEX(KOMBI!$A$11:$GI$145,MATCH(PJ!$C136,KOMBI!$A$11:$A$145,0),MATCH(PJ!H$3,KOMBI!$A$1:$GI$1,0)),BE$4:BE$138,H134)</f>
        <v>13</v>
      </c>
      <c r="I136" s="25"/>
      <c r="J136" s="25">
        <f>RANK(INDEX(KOMBI!$A$11:$GI$145,MATCH(PJ!$C136,KOMBI!$A$11:$A$145,0),MATCH(PJ!J$3,KOMBI!$A$1:$GI$1,0)),BG$4:BG$138,J134)</f>
        <v>3</v>
      </c>
      <c r="K136" s="25"/>
      <c r="L136" s="25">
        <f>RANK(INDEX(KOMBI!$A$11:$GI$145,MATCH(PJ!$C136,KOMBI!$A$11:$A$145,0),MATCH(PJ!L$3,KOMBI!$A$1:$GI$1,0)),BI$4:BI$138,L134)</f>
        <v>11</v>
      </c>
      <c r="M136" s="25">
        <f>RANK(INDEX(KOMBI!$A$11:$GI$145,MATCH(PJ!$C136,KOMBI!$A$11:$A$145,0),MATCH(PJ!M$3,KOMBI!$A$1:$GI$1,0)),BJ$4:BJ$138,M134)</f>
        <v>1</v>
      </c>
      <c r="N136" s="25">
        <f>RANK(INDEX(KOMBI!$A$11:$GI$145,MATCH(PJ!$C136,KOMBI!$A$11:$A$145,0),MATCH(PJ!N$3,KOMBI!$A$1:$GI$1,0)),BK$4:BK$138,N134)</f>
        <v>2</v>
      </c>
      <c r="O136" s="25">
        <f>RANK(INDEX(KOMBI!$A$11:$GI$145,MATCH(PJ!$C136,KOMBI!$A$11:$A$145,0),MATCH(PJ!O$3,KOMBI!$A$1:$GI$1,0)),BL$4:BL$138,O134)</f>
        <v>13</v>
      </c>
      <c r="P136" s="25">
        <f>RANK(INDEX(KOMBI!$A$11:$GI$145,MATCH(PJ!$C136,KOMBI!$A$11:$A$145,0),MATCH(PJ!P$3,KOMBI!$A$1:$GI$1,0)),BM$4:BM$138,P134)</f>
        <v>15</v>
      </c>
      <c r="Q136" s="25">
        <f>RANK(INDEX(KOMBI!$A$11:$GI$145,MATCH(PJ!$C136,KOMBI!$A$11:$A$145,0),MATCH(PJ!Q$3,KOMBI!$A$1:$GI$1,0)),BN$4:BN$138,Q134)</f>
        <v>13</v>
      </c>
      <c r="R136" s="25">
        <f>RANK(INDEX(KOMBI!$A$11:$GI$145,MATCH(PJ!$C136,KOMBI!$A$11:$A$145,0),MATCH(PJ!R$3,KOMBI!$A$1:$GI$1,0)),BO$4:BO$138,R134)</f>
        <v>9</v>
      </c>
      <c r="S136" s="25"/>
      <c r="T136" s="25">
        <f>RANK(INDEX(KOMBI!$A$11:$GI$145,MATCH(PJ!$C136,KOMBI!$A$11:$A$145,0),MATCH(PJ!T$3,KOMBI!$A$1:$GI$1,0)),BQ$4:BQ$138,T134)</f>
        <v>13</v>
      </c>
      <c r="U136" s="25">
        <f>RANK(INDEX(KOMBI!$A$11:$GI$145,MATCH(PJ!$C136,KOMBI!$A$11:$A$145,0),MATCH(PJ!U$3,KOMBI!$A$1:$GI$1,0)),BR$4:BR$138,U134)</f>
        <v>13</v>
      </c>
      <c r="V136" s="25"/>
      <c r="W136" s="25"/>
      <c r="X136" s="25"/>
      <c r="Y136" s="25"/>
      <c r="Z136" s="25"/>
      <c r="AA136" s="25">
        <f>RANK(INDEX(KOMBI!$A$11:$GI$145,MATCH(PJ!$C136,KOMBI!$A$11:$A$145,0),MATCH(PJ!AA$3,KOMBI!$A$1:$GI$1,0)),BX$4:BX$138,AA134)</f>
        <v>13</v>
      </c>
      <c r="AB136" s="25">
        <f>RANK(INDEX(KOMBI!$A$11:$GI$145,MATCH(PJ!$C136,KOMBI!$A$11:$A$145,0),MATCH(PJ!AB$3,KOMBI!$A$1:$GI$1,0)),BY$4:BY$138,AB134)</f>
        <v>13</v>
      </c>
      <c r="AC136" s="25">
        <f>RANK(INDEX(KOMBI!$A$11:$GI$145,MATCH(PJ!$C136,KOMBI!$A$11:$A$145,0),MATCH(PJ!AC$3,KOMBI!$A$1:$GI$1,0)),BZ$4:BZ$138,AC134)</f>
        <v>13</v>
      </c>
      <c r="AD136" s="25">
        <f>RANK(INDEX(KOMBI!$A$11:$GI$145,MATCH(PJ!$C136,KOMBI!$A$11:$A$145,0),MATCH(PJ!AD$3,KOMBI!$A$1:$GI$1,0)),CA$4:CA$138,AD134)</f>
        <v>13</v>
      </c>
      <c r="AE136" s="25">
        <f>RANK(INDEX(KOMBI!$A$11:$GI$145,MATCH(PJ!$C136,KOMBI!$A$11:$A$145,0),MATCH(PJ!AE$3,KOMBI!$A$1:$GI$1,0)),CB$4:CB$138,AE134)</f>
        <v>13</v>
      </c>
      <c r="AF136" s="25"/>
      <c r="AG136" s="25">
        <f>RANK(INDEX(KOMBI!$A$11:$GI$145,MATCH(PJ!$C136,KOMBI!$A$11:$A$145,0),MATCH(PJ!AG$3,KOMBI!$A$1:$GI$1,0)),CD$4:CD$138,AG134)</f>
        <v>1</v>
      </c>
      <c r="AH136" s="25">
        <f>RANK(INDEX(KOMBI!$A$11:$GI$145,MATCH(PJ!$C136,KOMBI!$A$11:$A$145,0),MATCH(PJ!AH$3,KOMBI!$A$1:$GI$1,0)),CE$4:CE$138,AH134)</f>
        <v>1</v>
      </c>
      <c r="AI136" s="25">
        <f>RANK(INDEX(KOMBI!$A$11:$GI$145,MATCH(PJ!$C136,KOMBI!$A$11:$A$145,0),MATCH(PJ!AI$3,KOMBI!$A$1:$GI$1,0)),CF$4:CF$138,AI134)</f>
        <v>13</v>
      </c>
      <c r="AJ136" s="25">
        <f>RANK(INDEX(KOMBI!$A$11:$GI$145,MATCH(PJ!$C136,KOMBI!$A$11:$A$145,0),MATCH(PJ!AJ$3,KOMBI!$A$1:$GI$1,0)),CG$4:CG$138,AJ134)</f>
        <v>1</v>
      </c>
      <c r="AK136" s="25">
        <f>RANK(INDEX(KOMBI!$A$11:$GI$145,MATCH(PJ!$C136,KOMBI!$A$11:$A$145,0),MATCH(PJ!AK$3,KOMBI!$A$1:$GI$1,0)),CH$4:CH$138,AK134)</f>
        <v>7</v>
      </c>
      <c r="AN136" s="25">
        <f>RANK(INDEX(KOMBI!$A$11:$GI$145,MATCH(PJ!$C136,KOMBI!$A$11:$A$145,0),MATCH(PJ!AN$3,KOMBI!$A$1:$GI$1,0)),CK$4:CK$138,AN134)</f>
        <v>1</v>
      </c>
      <c r="AO136" s="25">
        <f>RANK(INDEX(KOMBI!$A$11:$GI$145,MATCH(PJ!$C136,KOMBI!$A$11:$A$145,0),MATCH(PJ!AO$3,KOMBI!$A$1:$GI$1,0)),CL$4:CL$138,AO134)</f>
        <v>1</v>
      </c>
      <c r="AS136" s="297">
        <f t="shared" si="12"/>
        <v>207</v>
      </c>
      <c r="AT136" s="25">
        <f t="shared" si="10"/>
        <v>10000</v>
      </c>
      <c r="AU136" s="25">
        <f t="shared" si="11"/>
        <v>1</v>
      </c>
      <c r="AV136" s="295" t="str">
        <f>VLOOKUP(VLOOKUP($AU136,KOMBI!$A:$H,3,FALSE),data!$I$27:$J$29,2,FALSE)</f>
        <v>Mittesekkuv</v>
      </c>
      <c r="AW136" s="295" t="str">
        <f>VLOOKUP(VLOOKUP($AU136,KOMBI!$A:$H,2,FALSE),data!$I$21:$J$23,2,FALSE)</f>
        <v>Mittesekkuv</v>
      </c>
      <c r="AX136" s="295" t="str">
        <f>VLOOKUP(VLOOKUP($AU136,KOMBI!$A:$H,5,FALSE),data!$I$39:$J$41,2,FALSE)</f>
        <v>Mittesekkuv</v>
      </c>
      <c r="AY136" s="295" t="str">
        <f>VLOOKUP(VLOOKUP($AU136,KOMBI!$A:$H,4,FALSE),data!$I$32:$J$36,2,FALSE)</f>
        <v>LIB</v>
      </c>
      <c r="BA136" s="25">
        <f t="array" ref="BA136">INDEX(KOMBI!$A$1:$GI$145,ROW(PJ!BA143),MATCH(PJ!BA$3,KOMBI!$A$1:$GI$1,0))</f>
        <v>7.2247501993602317</v>
      </c>
      <c r="BB136" s="25">
        <f t="array" ref="BB136">INDEX(KOMBI!$A$1:$GI$145,ROW(PJ!BB143),MATCH(PJ!BB$3,KOMBI!$A$1:$GI$1,0))</f>
        <v>764.35805468302556</v>
      </c>
      <c r="BC136" s="25">
        <f t="array" aca="1" ref="BC136" ca="1">INDEX(KOMBI!$A$1:$GI$145,ROW(PJ!BC143),MATCH(PJ!BC$3,KOMBI!$A$1:$GI$1,0))</f>
        <v>117.94381416246918</v>
      </c>
      <c r="BD136" s="25">
        <f t="array" ref="BD136">INDEX(KOMBI!$A$1:$GI$145,ROW(PJ!BD143),MATCH(PJ!BD$3,KOMBI!$A$1:$GI$1,0))</f>
        <v>-162.95750000000001</v>
      </c>
      <c r="BE136" s="25">
        <f t="array" ref="BE136">INDEX(KOMBI!$A$1:$GI$145,ROW(PJ!BE143),MATCH(PJ!BE$3,KOMBI!$A$1:$GI$1,0))</f>
        <v>280.90131416246919</v>
      </c>
      <c r="BF136" s="25">
        <f t="array" aca="1" ref="BF136" ca="1">INDEX(KOMBI!$A$1:$GI$145,ROW(PJ!BF143),MATCH(PJ!BF$3,KOMBI!$A$1:$GI$1,0))</f>
        <v>0</v>
      </c>
      <c r="BG136" s="25">
        <f t="array" ref="BG136">INDEX(KOMBI!$A$1:$GI$145,ROW(PJ!BG143),MATCH(PJ!BG$3,KOMBI!$A$1:$GI$1,0))</f>
        <v>0.28607448977970246</v>
      </c>
      <c r="BH136" s="25">
        <f t="array" ref="BH136">INDEX(KOMBI!$A$1:$GI$145,ROW(PJ!BH143),MATCH(PJ!BH$3,KOMBI!$A$1:$GI$1,0))</f>
        <v>90</v>
      </c>
      <c r="BI136" s="25">
        <f t="array" ref="BI136">INDEX(KOMBI!$A$1:$GI$145,ROW(PJ!BI143),MATCH(PJ!BI$3,KOMBI!$A$1:$GI$1,0))</f>
        <v>1</v>
      </c>
      <c r="BJ136" s="25">
        <f t="array" ref="BJ136">INDEX(KOMBI!$A$1:$GI$145,ROW(PJ!BJ143),MATCH(PJ!BJ$3,KOMBI!$A$1:$GI$1,0))</f>
        <v>0</v>
      </c>
      <c r="BK136" s="25">
        <f t="array" ref="BK136">INDEX(KOMBI!$A$1:$GI$145,ROW(PJ!BK143),MATCH(PJ!BK$3,KOMBI!$A$1:$GI$1,0))</f>
        <v>0.27595013650694183</v>
      </c>
      <c r="BL136" s="25">
        <f t="array" ref="BL136">INDEX(KOMBI!$A$1:$GI$145,ROW(PJ!BL143),MATCH(PJ!BL$3,KOMBI!$A$1:$GI$1,0))</f>
        <v>2.8225660947919749E-2</v>
      </c>
      <c r="BM136" s="25">
        <f t="array" ref="BM136">INDEX(KOMBI!$A$1:$GI$145,ROW(PJ!BM143),MATCH(PJ!BM$3,KOMBI!$A$1:$GI$1,0))</f>
        <v>1.4219272735081974E-2</v>
      </c>
      <c r="BN136" s="25">
        <f t="array" ref="BN136">INDEX(KOMBI!$A$1:$GI$145,ROW(PJ!BN143),MATCH(PJ!BN$3,KOMBI!$A$1:$GI$1,0))</f>
        <v>1.0375960865619566E-2</v>
      </c>
      <c r="BO136" s="25">
        <f t="array" ref="BO136">INDEX(KOMBI!$A$1:$GI$145,ROW(PJ!BO143),MATCH(PJ!BO$3,KOMBI!$A$1:$GI$1,0))</f>
        <v>1.8223260111437593E-2</v>
      </c>
      <c r="BP136" s="25">
        <f t="array" ref="BP136">INDEX(KOMBI!$A$1:$GI$145,ROW(PJ!BP143),MATCH(PJ!BP$3,KOMBI!$A$1:$GI$1,0))</f>
        <v>7.5199896156049162</v>
      </c>
      <c r="BQ136" s="25">
        <f t="array" ref="BQ136">INDEX(KOMBI!$A$1:$GI$145,ROW(PJ!BQ143),MATCH(PJ!BQ$3,KOMBI!$A$1:$GI$1,0))</f>
        <v>10.715</v>
      </c>
      <c r="BR136" s="25">
        <f t="array" ref="BR136">INDEX(KOMBI!$A$1:$GI$145,ROW(PJ!BR143),MATCH(PJ!BR$3,KOMBI!$A$1:$GI$1,0))</f>
        <v>-4.3036781019003816E-2</v>
      </c>
      <c r="BS136" s="25">
        <f t="array" ref="BS136">INDEX(KOMBI!$A$1:$GI$145,ROW(PJ!BS143),MATCH(PJ!BS$3,KOMBI!$A$1:$GI$1,0))</f>
        <v>2.8724424661701213E-2</v>
      </c>
      <c r="BT136" s="25">
        <f t="array" ref="BT136">INDEX(KOMBI!$A$1:$GI$145,ROW(PJ!BT143),MATCH(PJ!BT$3,KOMBI!$A$1:$GI$1,0))</f>
        <v>1.177840027048313E-2</v>
      </c>
      <c r="BU136" s="25">
        <f t="array" ref="BU136">INDEX(KOMBI!$A$1:$GI$145,ROW(PJ!BU143),MATCH(PJ!BU$3,KOMBI!$A$1:$GI$1,0))</f>
        <v>10.488630311598682</v>
      </c>
      <c r="BV136" s="25">
        <f t="array" ref="BV136">INDEX(KOMBI!$A$1:$GI$145,ROW(PJ!BV143),MATCH(PJ!BV$3,KOMBI!$A$1:$GI$1,0))</f>
        <v>5.9039999999999999</v>
      </c>
      <c r="BW136" s="25">
        <f t="array" ref="BW136">INDEX(KOMBI!$A$1:$GI$145,ROW(PJ!BW143),MATCH(PJ!BW$3,KOMBI!$A$1:$GI$1,0))</f>
        <v>1.03788499063732</v>
      </c>
      <c r="BX136" s="25">
        <f t="array" ref="BX136">INDEX(KOMBI!$A$1:$GI$145,ROW(PJ!BX143),MATCH(PJ!BX$3,KOMBI!$A$1:$GI$1,0))</f>
        <v>20.928000000000001</v>
      </c>
      <c r="BY136" s="25">
        <f t="array" ref="BY136">INDEX(KOMBI!$A$1:$GI$145,ROW(PJ!BY143),MATCH(PJ!BY$3,KOMBI!$A$1:$GI$1,0))</f>
        <v>37.837669554234019</v>
      </c>
      <c r="BZ136" s="25">
        <f t="array" ref="BZ136">INDEX(KOMBI!$A$1:$GI$145,ROW(PJ!BZ143),MATCH(PJ!BZ$3,KOMBI!$A$1:$GI$1,0))</f>
        <v>91</v>
      </c>
      <c r="CA136" s="25">
        <f t="array" ref="CA136">INDEX(KOMBI!$A$1:$GI$145,ROW(PJ!CA143),MATCH(PJ!CA$3,KOMBI!$A$1:$GI$1,0))</f>
        <v>15.191000000000001</v>
      </c>
      <c r="CB136" s="25">
        <f t="array" ref="CB136">INDEX(KOMBI!$A$1:$GI$145,ROW(PJ!CB143),MATCH(PJ!CB$3,KOMBI!$A$1:$GI$1,0))</f>
        <v>130.73361111111112</v>
      </c>
      <c r="CC136" s="25">
        <f t="array" ref="CC136">INDEX(KOMBI!$A$1:$GI$145,ROW(PJ!CC143),MATCH(PJ!CC$3,KOMBI!$A$1:$GI$1,0))</f>
        <v>6.9564380000000003</v>
      </c>
      <c r="CD136" s="25">
        <f t="array" ref="CD136">INDEX(KOMBI!$A$1:$GI$145,ROW(PJ!CD143),MATCH(PJ!CD$3,KOMBI!$A$1:$GI$1,0))</f>
        <v>284.90000000000003</v>
      </c>
      <c r="CE136" s="25">
        <f t="array" ref="CE136">INDEX(KOMBI!$A$1:$GI$145,ROW(PJ!CE143),MATCH(PJ!CE$3,KOMBI!$A$1:$GI$1,0))</f>
        <v>2.7810000000000001</v>
      </c>
      <c r="CF136" s="25">
        <f t="array" ref="CF136">INDEX(KOMBI!$A$1:$GI$145,ROW(PJ!CF143),MATCH(PJ!CF$3,KOMBI!$A$1:$GI$1,0))</f>
        <v>57.735011875436598</v>
      </c>
      <c r="CG136" s="25">
        <f t="array" ref="CG136">INDEX(KOMBI!$A$1:$GI$145,ROW(PJ!CG143),MATCH(PJ!CG$3,KOMBI!$A$1:$GI$1,0))</f>
        <v>2.5620074329845279E-2</v>
      </c>
      <c r="CH136" s="25">
        <f t="array" ref="CH136">INDEX(KOMBI!$A$1:$GI$145,ROW(PJ!CH143),MATCH(PJ!CH$3,KOMBI!$A$1:$GI$1,0))</f>
        <v>0.44890608494094819</v>
      </c>
      <c r="CI136" s="25">
        <f t="array" ref="CI136">INDEX(KOMBI!$A$1:$GI$145,ROW(PJ!CI143),MATCH(PJ!CI$3,KOMBI!$A$1:$GI$1,0))</f>
        <v>6.08</v>
      </c>
      <c r="CJ136" s="25">
        <f t="array" ref="CJ136">INDEX(KOMBI!$A$1:$GI$145,ROW(PJ!CJ143),MATCH(PJ!CJ$3,KOMBI!$A$1:$GI$1,0))</f>
        <v>7.2238849906373197</v>
      </c>
      <c r="CK136" s="25">
        <f t="array" ref="CK136">INDEX(KOMBI!$A$1:$GI$145,ROW(PJ!CK143),MATCH(PJ!CK$3,KOMBI!$A$1:$GI$1,0))</f>
        <v>0.19900000000000001</v>
      </c>
      <c r="CL136" s="25">
        <f t="array" ref="CL136">INDEX(KOMBI!$A$1:$GI$145,ROW(PJ!CL143),MATCH(PJ!CL$3,KOMBI!$A$1:$GI$1,0))</f>
        <v>0.72299999999999998</v>
      </c>
    </row>
    <row r="137" spans="3:90" x14ac:dyDescent="0.2">
      <c r="C137" s="184">
        <v>134</v>
      </c>
      <c r="D137" s="25"/>
      <c r="E137" s="25"/>
      <c r="F137" s="25"/>
      <c r="G137" s="25">
        <f>RANK(INDEX(KOMBI!$A$11:$GI$145,MATCH(PJ!$C137,KOMBI!$A$11:$A$145,0),MATCH(PJ!G$3,KOMBI!$A$1:$GI$1,0)),BD$4:BD$138,G135)</f>
        <v>6</v>
      </c>
      <c r="H137" s="25">
        <f>RANK(INDEX(KOMBI!$A$11:$GI$145,MATCH(PJ!$C137,KOMBI!$A$11:$A$145,0),MATCH(PJ!H$3,KOMBI!$A$1:$GI$1,0)),BE$4:BE$138,H135)</f>
        <v>14</v>
      </c>
      <c r="I137" s="25"/>
      <c r="J137" s="25">
        <f>RANK(INDEX(KOMBI!$A$11:$GI$145,MATCH(PJ!$C137,KOMBI!$A$11:$A$145,0),MATCH(PJ!J$3,KOMBI!$A$1:$GI$1,0)),BG$4:BG$138,J135)</f>
        <v>1</v>
      </c>
      <c r="K137" s="25"/>
      <c r="L137" s="25">
        <f>RANK(INDEX(KOMBI!$A$11:$GI$145,MATCH(PJ!$C137,KOMBI!$A$11:$A$145,0),MATCH(PJ!L$3,KOMBI!$A$1:$GI$1,0)),BI$4:BI$138,L135)</f>
        <v>6</v>
      </c>
      <c r="M137" s="25">
        <f>RANK(INDEX(KOMBI!$A$11:$GI$145,MATCH(PJ!$C137,KOMBI!$A$11:$A$145,0),MATCH(PJ!M$3,KOMBI!$A$1:$GI$1,0)),BJ$4:BJ$138,M135)</f>
        <v>1</v>
      </c>
      <c r="N137" s="25">
        <f>RANK(INDEX(KOMBI!$A$11:$GI$145,MATCH(PJ!$C137,KOMBI!$A$11:$A$145,0),MATCH(PJ!N$3,KOMBI!$A$1:$GI$1,0)),BK$4:BK$138,N135)</f>
        <v>1</v>
      </c>
      <c r="O137" s="25">
        <f>RANK(INDEX(KOMBI!$A$11:$GI$145,MATCH(PJ!$C137,KOMBI!$A$11:$A$145,0),MATCH(PJ!O$3,KOMBI!$A$1:$GI$1,0)),BL$4:BL$138,O135)</f>
        <v>14</v>
      </c>
      <c r="P137" s="25">
        <f>RANK(INDEX(KOMBI!$A$11:$GI$145,MATCH(PJ!$C137,KOMBI!$A$11:$A$145,0),MATCH(PJ!P$3,KOMBI!$A$1:$GI$1,0)),BM$4:BM$138,P135)</f>
        <v>13</v>
      </c>
      <c r="Q137" s="25">
        <f>RANK(INDEX(KOMBI!$A$11:$GI$145,MATCH(PJ!$C137,KOMBI!$A$11:$A$145,0),MATCH(PJ!Q$3,KOMBI!$A$1:$GI$1,0)),BN$4:BN$138,Q135)</f>
        <v>14</v>
      </c>
      <c r="R137" s="25">
        <f>RANK(INDEX(KOMBI!$A$11:$GI$145,MATCH(PJ!$C137,KOMBI!$A$11:$A$145,0),MATCH(PJ!R$3,KOMBI!$A$1:$GI$1,0)),BO$4:BO$138,R135)</f>
        <v>14</v>
      </c>
      <c r="S137" s="25"/>
      <c r="T137" s="25">
        <f>RANK(INDEX(KOMBI!$A$11:$GI$145,MATCH(PJ!$C137,KOMBI!$A$11:$A$145,0),MATCH(PJ!T$3,KOMBI!$A$1:$GI$1,0)),BQ$4:BQ$138,T135)</f>
        <v>14</v>
      </c>
      <c r="U137" s="25">
        <f>RANK(INDEX(KOMBI!$A$11:$GI$145,MATCH(PJ!$C137,KOMBI!$A$11:$A$145,0),MATCH(PJ!U$3,KOMBI!$A$1:$GI$1,0)),BR$4:BR$138,U135)</f>
        <v>14</v>
      </c>
      <c r="V137" s="25"/>
      <c r="W137" s="25"/>
      <c r="X137" s="25"/>
      <c r="Y137" s="25"/>
      <c r="Z137" s="25"/>
      <c r="AA137" s="25">
        <f>RANK(INDEX(KOMBI!$A$11:$GI$145,MATCH(PJ!$C137,KOMBI!$A$11:$A$145,0),MATCH(PJ!AA$3,KOMBI!$A$1:$GI$1,0)),BX$4:BX$138,AA135)</f>
        <v>13</v>
      </c>
      <c r="AB137" s="25">
        <f>RANK(INDEX(KOMBI!$A$11:$GI$145,MATCH(PJ!$C137,KOMBI!$A$11:$A$145,0),MATCH(PJ!AB$3,KOMBI!$A$1:$GI$1,0)),BY$4:BY$138,AB135)</f>
        <v>13</v>
      </c>
      <c r="AC137" s="25">
        <f>RANK(INDEX(KOMBI!$A$11:$GI$145,MATCH(PJ!$C137,KOMBI!$A$11:$A$145,0),MATCH(PJ!AC$3,KOMBI!$A$1:$GI$1,0)),BZ$4:BZ$138,AC135)</f>
        <v>14</v>
      </c>
      <c r="AD137" s="25">
        <f>RANK(INDEX(KOMBI!$A$11:$GI$145,MATCH(PJ!$C137,KOMBI!$A$11:$A$145,0),MATCH(PJ!AD$3,KOMBI!$A$1:$GI$1,0)),CA$4:CA$138,AD135)</f>
        <v>14</v>
      </c>
      <c r="AE137" s="25">
        <f>RANK(INDEX(KOMBI!$A$11:$GI$145,MATCH(PJ!$C137,KOMBI!$A$11:$A$145,0),MATCH(PJ!AE$3,KOMBI!$A$1:$GI$1,0)),CB$4:CB$138,AE135)</f>
        <v>14</v>
      </c>
      <c r="AF137" s="25"/>
      <c r="AG137" s="25">
        <f>RANK(INDEX(KOMBI!$A$11:$GI$145,MATCH(PJ!$C137,KOMBI!$A$11:$A$145,0),MATCH(PJ!AG$3,KOMBI!$A$1:$GI$1,0)),CD$4:CD$138,AG135)</f>
        <v>1</v>
      </c>
      <c r="AH137" s="25">
        <f>RANK(INDEX(KOMBI!$A$11:$GI$145,MATCH(PJ!$C137,KOMBI!$A$11:$A$145,0),MATCH(PJ!AH$3,KOMBI!$A$1:$GI$1,0)),CE$4:CE$138,AH135)</f>
        <v>1</v>
      </c>
      <c r="AI137" s="25">
        <f>RANK(INDEX(KOMBI!$A$11:$GI$145,MATCH(PJ!$C137,KOMBI!$A$11:$A$145,0),MATCH(PJ!AI$3,KOMBI!$A$1:$GI$1,0)),CF$4:CF$138,AI135)</f>
        <v>15</v>
      </c>
      <c r="AJ137" s="25">
        <f>RANK(INDEX(KOMBI!$A$11:$GI$145,MATCH(PJ!$C137,KOMBI!$A$11:$A$145,0),MATCH(PJ!AJ$3,KOMBI!$A$1:$GI$1,0)),CG$4:CG$138,AJ135)</f>
        <v>1</v>
      </c>
      <c r="AK137" s="25">
        <f>RANK(INDEX(KOMBI!$A$11:$GI$145,MATCH(PJ!$C137,KOMBI!$A$11:$A$145,0),MATCH(PJ!AK$3,KOMBI!$A$1:$GI$1,0)),CH$4:CH$138,AK135)</f>
        <v>7</v>
      </c>
      <c r="AN137" s="25">
        <f>RANK(INDEX(KOMBI!$A$11:$GI$145,MATCH(PJ!$C137,KOMBI!$A$11:$A$145,0),MATCH(PJ!AN$3,KOMBI!$A$1:$GI$1,0)),CK$4:CK$138,AN135)</f>
        <v>1</v>
      </c>
      <c r="AO137" s="25">
        <f>RANK(INDEX(KOMBI!$A$11:$GI$145,MATCH(PJ!$C137,KOMBI!$A$11:$A$145,0),MATCH(PJ!AO$3,KOMBI!$A$1:$GI$1,0)),CL$4:CL$138,AO135)</f>
        <v>1</v>
      </c>
      <c r="AS137" s="297">
        <f t="shared" si="12"/>
        <v>207</v>
      </c>
      <c r="AT137" s="25">
        <f t="shared" si="10"/>
        <v>10000</v>
      </c>
      <c r="AU137" s="25">
        <f t="shared" si="11"/>
        <v>1</v>
      </c>
      <c r="AV137" s="295" t="str">
        <f>VLOOKUP(VLOOKUP($AU137,KOMBI!$A:$H,3,FALSE),data!$I$27:$J$29,2,FALSE)</f>
        <v>Mittesekkuv</v>
      </c>
      <c r="AW137" s="295" t="str">
        <f>VLOOKUP(VLOOKUP($AU137,KOMBI!$A:$H,2,FALSE),data!$I$21:$J$23,2,FALSE)</f>
        <v>Mittesekkuv</v>
      </c>
      <c r="AX137" s="295" t="str">
        <f>VLOOKUP(VLOOKUP($AU137,KOMBI!$A:$H,5,FALSE),data!$I$39:$J$41,2,FALSE)</f>
        <v>Mittesekkuv</v>
      </c>
      <c r="AY137" s="295" t="str">
        <f>VLOOKUP(VLOOKUP($AU137,KOMBI!$A:$H,4,FALSE),data!$I$32:$J$36,2,FALSE)</f>
        <v>LIB</v>
      </c>
      <c r="BA137" s="25">
        <f t="array" ref="BA137">INDEX(KOMBI!$A$1:$GI$145,ROW(PJ!BA144),MATCH(PJ!BA$3,KOMBI!$A$1:$GI$1,0))</f>
        <v>8.1406618480060722</v>
      </c>
      <c r="BB137" s="25">
        <f t="array" ref="BB137">INDEX(KOMBI!$A$1:$GI$145,ROW(PJ!BB144),MATCH(PJ!BB$3,KOMBI!$A$1:$GI$1,0))</f>
        <v>924.83808695228879</v>
      </c>
      <c r="BC137" s="25">
        <f t="array" aca="1" ref="BC137" ca="1">INDEX(KOMBI!$A$1:$GI$145,ROW(PJ!BC144),MATCH(PJ!BC$3,KOMBI!$A$1:$GI$1,0))</f>
        <v>147.10913619100427</v>
      </c>
      <c r="BD137" s="25">
        <f t="array" ref="BD137">INDEX(KOMBI!$A$1:$GI$145,ROW(PJ!BD144),MATCH(PJ!BD$3,KOMBI!$A$1:$GI$1,0))</f>
        <v>-178.19071988063212</v>
      </c>
      <c r="BE137" s="25">
        <f t="array" ref="BE137">INDEX(KOMBI!$A$1:$GI$145,ROW(PJ!BE144),MATCH(PJ!BE$3,KOMBI!$A$1:$GI$1,0))</f>
        <v>325.29985607163638</v>
      </c>
      <c r="BF137" s="25">
        <f t="array" aca="1" ref="BF137" ca="1">INDEX(KOMBI!$A$1:$GI$145,ROW(PJ!BF144),MATCH(PJ!BF$3,KOMBI!$A$1:$GI$1,0))</f>
        <v>0</v>
      </c>
      <c r="BG137" s="25">
        <f t="array" ref="BG137">INDEX(KOMBI!$A$1:$GI$145,ROW(PJ!BG144),MATCH(PJ!BG$3,KOMBI!$A$1:$GI$1,0))</f>
        <v>0.24932063212336691</v>
      </c>
      <c r="BH137" s="25">
        <f t="array" ref="BH137">INDEX(KOMBI!$A$1:$GI$145,ROW(PJ!BH144),MATCH(PJ!BH$3,KOMBI!$A$1:$GI$1,0))</f>
        <v>90</v>
      </c>
      <c r="BI137" s="25">
        <f t="array" ref="BI137">INDEX(KOMBI!$A$1:$GI$145,ROW(PJ!BI144),MATCH(PJ!BI$3,KOMBI!$A$1:$GI$1,0))</f>
        <v>0.72887234460741657</v>
      </c>
      <c r="BJ137" s="25">
        <f t="array" ref="BJ137">INDEX(KOMBI!$A$1:$GI$145,ROW(PJ!BJ144),MATCH(PJ!BJ$3,KOMBI!$A$1:$GI$1,0))</f>
        <v>0</v>
      </c>
      <c r="BK137" s="25">
        <f t="array" ref="BK137">INDEX(KOMBI!$A$1:$GI$145,ROW(PJ!BK144),MATCH(PJ!BK$3,KOMBI!$A$1:$GI$1,0))</f>
        <v>0.27595013650694178</v>
      </c>
      <c r="BL137" s="25">
        <f t="array" ref="BL137">INDEX(KOMBI!$A$1:$GI$145,ROW(PJ!BL144),MATCH(PJ!BL$3,KOMBI!$A$1:$GI$1,0))</f>
        <v>3.4508054034342074E-2</v>
      </c>
      <c r="BM137" s="25">
        <f t="array" ref="BM137">INDEX(KOMBI!$A$1:$GI$145,ROW(PJ!BM144),MATCH(PJ!BM$3,KOMBI!$A$1:$GI$1,0))</f>
        <v>1.1526219885666359E-2</v>
      </c>
      <c r="BN137" s="25">
        <f t="array" ref="BN137">INDEX(KOMBI!$A$1:$GI$145,ROW(PJ!BN144),MATCH(PJ!BN$3,KOMBI!$A$1:$GI$1,0))</f>
        <v>1.2868830726977393E-2</v>
      </c>
      <c r="BO137" s="25">
        <f t="array" ref="BO137">INDEX(KOMBI!$A$1:$GI$145,ROW(PJ!BO144),MATCH(PJ!BO$3,KOMBI!$A$1:$GI$1,0))</f>
        <v>2.2048146655314422E-2</v>
      </c>
      <c r="BP137" s="25">
        <f t="array" ref="BP137">INDEX(KOMBI!$A$1:$GI$145,ROW(PJ!BP144),MATCH(PJ!BP$3,KOMBI!$A$1:$GI$1,0))</f>
        <v>7.5199896156049162</v>
      </c>
      <c r="BQ137" s="25">
        <f t="array" ref="BQ137">INDEX(KOMBI!$A$1:$GI$145,ROW(PJ!BQ144),MATCH(PJ!BQ$3,KOMBI!$A$1:$GI$1,0))</f>
        <v>10.805999999999999</v>
      </c>
      <c r="BR137" s="25">
        <f t="array" ref="BR137">INDEX(KOMBI!$A$1:$GI$145,ROW(PJ!BR144),MATCH(PJ!BR$3,KOMBI!$A$1:$GI$1,0))</f>
        <v>-3.8802982007739094E-2</v>
      </c>
      <c r="BS137" s="25">
        <f t="array" ref="BS137">INDEX(KOMBI!$A$1:$GI$145,ROW(PJ!BS144),MATCH(PJ!BS$3,KOMBI!$A$1:$GI$1,0))</f>
        <v>3.0058036881336778E-2</v>
      </c>
      <c r="BT137" s="25">
        <f t="array" ref="BT137">INDEX(KOMBI!$A$1:$GI$145,ROW(PJ!BT144),MATCH(PJ!BT$3,KOMBI!$A$1:$GI$1,0))</f>
        <v>1.2877363069877093E-2</v>
      </c>
      <c r="BU137" s="25">
        <f t="array" ref="BU137">INDEX(KOMBI!$A$1:$GI$145,ROW(PJ!BU144),MATCH(PJ!BU$3,KOMBI!$A$1:$GI$1,0))</f>
        <v>10.488630311598682</v>
      </c>
      <c r="BV137" s="25">
        <f t="array" ref="BV137">INDEX(KOMBI!$A$1:$GI$145,ROW(PJ!BV144),MATCH(PJ!BV$3,KOMBI!$A$1:$GI$1,0))</f>
        <v>5.9039999999999999</v>
      </c>
      <c r="BW137" s="25">
        <f t="array" ref="BW137">INDEX(KOMBI!$A$1:$GI$145,ROW(PJ!BW144),MATCH(PJ!BW$3,KOMBI!$A$1:$GI$1,0))</f>
        <v>1.4153849906373199</v>
      </c>
      <c r="BX137" s="25">
        <f t="array" ref="BX137">INDEX(KOMBI!$A$1:$GI$145,ROW(PJ!BX144),MATCH(PJ!BX$3,KOMBI!$A$1:$GI$1,0))</f>
        <v>20.928000000000001</v>
      </c>
      <c r="BY137" s="25">
        <f t="array" ref="BY137">INDEX(KOMBI!$A$1:$GI$145,ROW(PJ!BY144),MATCH(PJ!BY$3,KOMBI!$A$1:$GI$1,0))</f>
        <v>37.837669554234019</v>
      </c>
      <c r="BZ137" s="25">
        <f t="array" ref="BZ137">INDEX(KOMBI!$A$1:$GI$145,ROW(PJ!BZ144),MATCH(PJ!BZ$3,KOMBI!$A$1:$GI$1,0))</f>
        <v>91.4</v>
      </c>
      <c r="CA137" s="25">
        <f t="array" ref="CA137">INDEX(KOMBI!$A$1:$GI$145,ROW(PJ!CA144),MATCH(PJ!CA$3,KOMBI!$A$1:$GI$1,0))</f>
        <v>15.28</v>
      </c>
      <c r="CB137" s="25">
        <f t="array" ref="CB137">INDEX(KOMBI!$A$1:$GI$145,ROW(PJ!CB144),MATCH(PJ!CB$3,KOMBI!$A$1:$GI$1,0))</f>
        <v>131.07388888888889</v>
      </c>
      <c r="CC137" s="25">
        <f t="array" ref="CC137">INDEX(KOMBI!$A$1:$GI$145,ROW(PJ!CC144),MATCH(PJ!CC$3,KOMBI!$A$1:$GI$1,0))</f>
        <v>6.9897299999999998</v>
      </c>
      <c r="CD137" s="25">
        <f t="array" ref="CD137">INDEX(KOMBI!$A$1:$GI$145,ROW(PJ!CD144),MATCH(PJ!CD$3,KOMBI!$A$1:$GI$1,0))</f>
        <v>284.90000000000003</v>
      </c>
      <c r="CE137" s="25">
        <f t="array" ref="CE137">INDEX(KOMBI!$A$1:$GI$145,ROW(PJ!CE144),MATCH(PJ!CE$3,KOMBI!$A$1:$GI$1,0))</f>
        <v>2.7810000000000001</v>
      </c>
      <c r="CF137" s="25">
        <f t="array" ref="CF137">INDEX(KOMBI!$A$1:$GI$145,ROW(PJ!CF144),MATCH(PJ!CF$3,KOMBI!$A$1:$GI$1,0))</f>
        <v>57.735011875436605</v>
      </c>
      <c r="CG137" s="25">
        <f t="array" ref="CG137">INDEX(KOMBI!$A$1:$GI$145,ROW(PJ!CG144),MATCH(PJ!CG$3,KOMBI!$A$1:$GI$1,0))</f>
        <v>2.5620074329845279E-2</v>
      </c>
      <c r="CH137" s="25">
        <f t="array" ref="CH137">INDEX(KOMBI!$A$1:$GI$145,ROW(PJ!CH144),MATCH(PJ!CH$3,KOMBI!$A$1:$GI$1,0))</f>
        <v>0.44890608494094819</v>
      </c>
      <c r="CI137" s="25">
        <f t="array" ref="CI137">INDEX(KOMBI!$A$1:$GI$145,ROW(PJ!CI144),MATCH(PJ!CI$3,KOMBI!$A$1:$GI$1,0))</f>
        <v>6.08</v>
      </c>
      <c r="CJ137" s="25">
        <f t="array" ref="CJ137">INDEX(KOMBI!$A$1:$GI$145,ROW(PJ!CJ144),MATCH(PJ!CJ$3,KOMBI!$A$1:$GI$1,0))</f>
        <v>7.2238849906373197</v>
      </c>
      <c r="CK137" s="25">
        <f t="array" ref="CK137">INDEX(KOMBI!$A$1:$GI$145,ROW(PJ!CK144),MATCH(PJ!CK$3,KOMBI!$A$1:$GI$1,0))</f>
        <v>0.19900000000000001</v>
      </c>
      <c r="CL137" s="25">
        <f t="array" ref="CL137">INDEX(KOMBI!$A$1:$GI$145,ROW(PJ!CL144),MATCH(PJ!CL$3,KOMBI!$A$1:$GI$1,0))</f>
        <v>0.72299999999999998</v>
      </c>
    </row>
    <row r="138" spans="3:90" x14ac:dyDescent="0.2">
      <c r="C138" s="184">
        <v>135</v>
      </c>
      <c r="D138" s="25"/>
      <c r="E138" s="25"/>
      <c r="F138" s="25"/>
      <c r="G138" s="25">
        <f>RANK(INDEX(KOMBI!$A$11:$GI$145,MATCH(PJ!$C138,KOMBI!$A$11:$A$145,0),MATCH(PJ!G$3,KOMBI!$A$1:$GI$1,0)),BD$4:BD$138,G136)</f>
        <v>1</v>
      </c>
      <c r="H138" s="25">
        <f>RANK(INDEX(KOMBI!$A$11:$GI$145,MATCH(PJ!$C138,KOMBI!$A$11:$A$145,0),MATCH(PJ!H$3,KOMBI!$A$1:$GI$1,0)),BE$4:BE$138,H136)</f>
        <v>15</v>
      </c>
      <c r="I138" s="25"/>
      <c r="J138" s="25">
        <f>RANK(INDEX(KOMBI!$A$11:$GI$145,MATCH(PJ!$C138,KOMBI!$A$11:$A$145,0),MATCH(PJ!J$3,KOMBI!$A$1:$GI$1,0)),BG$4:BG$138,J136)</f>
        <v>2</v>
      </c>
      <c r="K138" s="25"/>
      <c r="L138" s="25">
        <f>RANK(INDEX(KOMBI!$A$11:$GI$145,MATCH(PJ!$C138,KOMBI!$A$11:$A$145,0),MATCH(PJ!L$3,KOMBI!$A$1:$GI$1,0)),BI$4:BI$138,L136)</f>
        <v>1</v>
      </c>
      <c r="M138" s="25">
        <f>RANK(INDEX(KOMBI!$A$11:$GI$145,MATCH(PJ!$C138,KOMBI!$A$11:$A$145,0),MATCH(PJ!M$3,KOMBI!$A$1:$GI$1,0)),BJ$4:BJ$138,M136)</f>
        <v>1</v>
      </c>
      <c r="N138" s="25">
        <f>RANK(INDEX(KOMBI!$A$11:$GI$145,MATCH(PJ!$C138,KOMBI!$A$11:$A$145,0),MATCH(PJ!N$3,KOMBI!$A$1:$GI$1,0)),BK$4:BK$138,N136)</f>
        <v>2</v>
      </c>
      <c r="O138" s="25">
        <f>RANK(INDEX(KOMBI!$A$11:$GI$145,MATCH(PJ!$C138,KOMBI!$A$11:$A$145,0),MATCH(PJ!O$3,KOMBI!$A$1:$GI$1,0)),BL$4:BL$138,O136)</f>
        <v>15</v>
      </c>
      <c r="P138" s="25">
        <f>RANK(INDEX(KOMBI!$A$11:$GI$145,MATCH(PJ!$C138,KOMBI!$A$11:$A$145,0),MATCH(PJ!P$3,KOMBI!$A$1:$GI$1,0)),BM$4:BM$138,P136)</f>
        <v>14</v>
      </c>
      <c r="Q138" s="25">
        <f>RANK(INDEX(KOMBI!$A$11:$GI$145,MATCH(PJ!$C138,KOMBI!$A$11:$A$145,0),MATCH(PJ!Q$3,KOMBI!$A$1:$GI$1,0)),BN$4:BN$138,Q136)</f>
        <v>15</v>
      </c>
      <c r="R138" s="25">
        <f>RANK(INDEX(KOMBI!$A$11:$GI$145,MATCH(PJ!$C138,KOMBI!$A$11:$A$145,0),MATCH(PJ!R$3,KOMBI!$A$1:$GI$1,0)),BO$4:BO$138,R136)</f>
        <v>15</v>
      </c>
      <c r="S138" s="25"/>
      <c r="T138" s="25">
        <f>RANK(INDEX(KOMBI!$A$11:$GI$145,MATCH(PJ!$C138,KOMBI!$A$11:$A$145,0),MATCH(PJ!T$3,KOMBI!$A$1:$GI$1,0)),BQ$4:BQ$138,T136)</f>
        <v>15</v>
      </c>
      <c r="U138" s="25">
        <f>RANK(INDEX(KOMBI!$A$11:$GI$145,MATCH(PJ!$C138,KOMBI!$A$11:$A$145,0),MATCH(PJ!U$3,KOMBI!$A$1:$GI$1,0)),BR$4:BR$138,U136)</f>
        <v>15</v>
      </c>
      <c r="V138" s="25"/>
      <c r="W138" s="25"/>
      <c r="X138" s="25"/>
      <c r="Y138" s="25"/>
      <c r="Z138" s="25"/>
      <c r="AA138" s="25">
        <f>RANK(INDEX(KOMBI!$A$11:$GI$145,MATCH(PJ!$C138,KOMBI!$A$11:$A$145,0),MATCH(PJ!AA$3,KOMBI!$A$1:$GI$1,0)),BX$4:BX$138,AA136)</f>
        <v>13</v>
      </c>
      <c r="AB138" s="25">
        <f>RANK(INDEX(KOMBI!$A$11:$GI$145,MATCH(PJ!$C138,KOMBI!$A$11:$A$145,0),MATCH(PJ!AB$3,KOMBI!$A$1:$GI$1,0)),BY$4:BY$138,AB136)</f>
        <v>13</v>
      </c>
      <c r="AC138" s="25">
        <f>RANK(INDEX(KOMBI!$A$11:$GI$145,MATCH(PJ!$C138,KOMBI!$A$11:$A$145,0),MATCH(PJ!AC$3,KOMBI!$A$1:$GI$1,0)),BZ$4:BZ$138,AC136)</f>
        <v>15</v>
      </c>
      <c r="AD138" s="25">
        <f>RANK(INDEX(KOMBI!$A$11:$GI$145,MATCH(PJ!$C138,KOMBI!$A$11:$A$145,0),MATCH(PJ!AD$3,KOMBI!$A$1:$GI$1,0)),CA$4:CA$138,AD136)</f>
        <v>15</v>
      </c>
      <c r="AE138" s="25">
        <f>RANK(INDEX(KOMBI!$A$11:$GI$145,MATCH(PJ!$C138,KOMBI!$A$11:$A$145,0),MATCH(PJ!AE$3,KOMBI!$A$1:$GI$1,0)),CB$4:CB$138,AE136)</f>
        <v>15</v>
      </c>
      <c r="AF138" s="25"/>
      <c r="AG138" s="25">
        <f>RANK(INDEX(KOMBI!$A$11:$GI$145,MATCH(PJ!$C138,KOMBI!$A$11:$A$145,0),MATCH(PJ!AG$3,KOMBI!$A$1:$GI$1,0)),CD$4:CD$138,AG136)</f>
        <v>1</v>
      </c>
      <c r="AH138" s="25">
        <f>RANK(INDEX(KOMBI!$A$11:$GI$145,MATCH(PJ!$C138,KOMBI!$A$11:$A$145,0),MATCH(PJ!AH$3,KOMBI!$A$1:$GI$1,0)),CE$4:CE$138,AH136)</f>
        <v>1</v>
      </c>
      <c r="AI138" s="25">
        <f>RANK(INDEX(KOMBI!$A$11:$GI$145,MATCH(PJ!$C138,KOMBI!$A$11:$A$145,0),MATCH(PJ!AI$3,KOMBI!$A$1:$GI$1,0)),CF$4:CF$138,AI136)</f>
        <v>13</v>
      </c>
      <c r="AJ138" s="25">
        <f>RANK(INDEX(KOMBI!$A$11:$GI$145,MATCH(PJ!$C138,KOMBI!$A$11:$A$145,0),MATCH(PJ!AJ$3,KOMBI!$A$1:$GI$1,0)),CG$4:CG$138,AJ136)</f>
        <v>1</v>
      </c>
      <c r="AK138" s="25">
        <f>RANK(INDEX(KOMBI!$A$11:$GI$145,MATCH(PJ!$C138,KOMBI!$A$11:$A$145,0),MATCH(PJ!AK$3,KOMBI!$A$1:$GI$1,0)),CH$4:CH$138,AK136)</f>
        <v>7</v>
      </c>
      <c r="AN138" s="25">
        <f>RANK(INDEX(KOMBI!$A$11:$GI$145,MATCH(PJ!$C138,KOMBI!$A$11:$A$145,0),MATCH(PJ!AN$3,KOMBI!$A$1:$GI$1,0)),CK$4:CK$138,AN136)</f>
        <v>1</v>
      </c>
      <c r="AO138" s="25">
        <f>RANK(INDEX(KOMBI!$A$11:$GI$145,MATCH(PJ!$C138,KOMBI!$A$11:$A$145,0),MATCH(PJ!AO$3,KOMBI!$A$1:$GI$1,0)),CL$4:CL$138,AO136)</f>
        <v>1</v>
      </c>
      <c r="AS138" s="297">
        <f t="shared" si="12"/>
        <v>207</v>
      </c>
      <c r="AT138" s="25">
        <f t="shared" si="10"/>
        <v>10000</v>
      </c>
      <c r="AU138" s="25">
        <f t="shared" si="11"/>
        <v>1</v>
      </c>
      <c r="AV138" s="295" t="str">
        <f>VLOOKUP(VLOOKUP($AU138,KOMBI!$A:$H,3,FALSE),data!$I$27:$J$29,2,FALSE)</f>
        <v>Mittesekkuv</v>
      </c>
      <c r="AW138" s="295" t="str">
        <f>VLOOKUP(VLOOKUP($AU138,KOMBI!$A:$H,2,FALSE),data!$I$21:$J$23,2,FALSE)</f>
        <v>Mittesekkuv</v>
      </c>
      <c r="AX138" s="295" t="str">
        <f>VLOOKUP(VLOOKUP($AU138,KOMBI!$A:$H,5,FALSE),data!$I$39:$J$41,2,FALSE)</f>
        <v>Mittesekkuv</v>
      </c>
      <c r="AY138" s="295" t="str">
        <f>VLOOKUP(VLOOKUP($AU138,KOMBI!$A:$H,4,FALSE),data!$I$32:$J$36,2,FALSE)</f>
        <v>LIB</v>
      </c>
      <c r="BA138" s="25">
        <f t="array" ref="BA138">INDEX(KOMBI!$A$1:$GI$145,ROW(PJ!BA145),MATCH(PJ!BA$3,KOMBI!$A$1:$GI$1,0))</f>
        <v>9.0457615702475991</v>
      </c>
      <c r="BB138" s="25">
        <f t="array" ref="BB138">INDEX(KOMBI!$A$1:$GI$145,ROW(PJ!BB145),MATCH(PJ!BB$3,KOMBI!$A$1:$GI$1,0))</f>
        <v>1041.4488779697681</v>
      </c>
      <c r="BC138" s="25">
        <f t="array" aca="1" ref="BC138" ca="1">INDEX(KOMBI!$A$1:$GI$145,ROW(PJ!BC145),MATCH(PJ!BC$3,KOMBI!$A$1:$GI$1,0))</f>
        <v>163.66355055008918</v>
      </c>
      <c r="BD138" s="25">
        <f t="array" ref="BD138">INDEX(KOMBI!$A$1:$GI$145,ROW(PJ!BD145),MATCH(PJ!BD$3,KOMBI!$A$1:$GI$1,0))</f>
        <v>-197.29831369909104</v>
      </c>
      <c r="BE138" s="25">
        <f t="array" ref="BE138">INDEX(KOMBI!$A$1:$GI$145,ROW(PJ!BE145),MATCH(PJ!BE$3,KOMBI!$A$1:$GI$1,0))</f>
        <v>360.96186424918022</v>
      </c>
      <c r="BF138" s="25">
        <f t="array" aca="1" ref="BF138" ca="1">INDEX(KOMBI!$A$1:$GI$145,ROW(PJ!BF145),MATCH(PJ!BF$3,KOMBI!$A$1:$GI$1,0))</f>
        <v>0</v>
      </c>
      <c r="BG138" s="25">
        <f t="array" ref="BG138">INDEX(KOMBI!$A$1:$GI$145,ROW(PJ!BG145),MATCH(PJ!BG$3,KOMBI!$A$1:$GI$1,0))</f>
        <v>0.24932063212336694</v>
      </c>
      <c r="BH138" s="25">
        <f t="array" ref="BH138">INDEX(KOMBI!$A$1:$GI$145,ROW(PJ!BH145),MATCH(PJ!BH$3,KOMBI!$A$1:$GI$1,0))</f>
        <v>90</v>
      </c>
      <c r="BI138" s="25">
        <f t="array" ref="BI138">INDEX(KOMBI!$A$1:$GI$145,ROW(PJ!BI145),MATCH(PJ!BI$3,KOMBI!$A$1:$GI$1,0))</f>
        <v>0.72887234460741646</v>
      </c>
      <c r="BJ138" s="25">
        <f t="array" ref="BJ138">INDEX(KOMBI!$A$1:$GI$145,ROW(PJ!BJ145),MATCH(PJ!BJ$3,KOMBI!$A$1:$GI$1,0))</f>
        <v>0</v>
      </c>
      <c r="BK138" s="25">
        <f t="array" ref="BK138">INDEX(KOMBI!$A$1:$GI$145,ROW(PJ!BK145),MATCH(PJ!BK$3,KOMBI!$A$1:$GI$1,0))</f>
        <v>0.27595013650694183</v>
      </c>
      <c r="BL138" s="25">
        <f t="array" ref="BL138">INDEX(KOMBI!$A$1:$GI$145,ROW(PJ!BL145),MATCH(PJ!BL$3,KOMBI!$A$1:$GI$1,0))</f>
        <v>3.9159109412588593E-2</v>
      </c>
      <c r="BM138" s="25">
        <f t="array" ref="BM138">INDEX(KOMBI!$A$1:$GI$145,ROW(PJ!BM145),MATCH(PJ!BM$3,KOMBI!$A$1:$GI$1,0))</f>
        <v>1.1538985612707746E-2</v>
      </c>
      <c r="BN138" s="25">
        <f t="array" ref="BN138">INDEX(KOMBI!$A$1:$GI$145,ROW(PJ!BN145),MATCH(PJ!BN$3,KOMBI!$A$1:$GI$1,0))</f>
        <v>1.4199620563024123E-2</v>
      </c>
      <c r="BO138" s="25">
        <f t="array" ref="BO138">INDEX(KOMBI!$A$1:$GI$145,ROW(PJ!BO145),MATCH(PJ!BO$3,KOMBI!$A$1:$GI$1,0))</f>
        <v>2.5442010103479275E-2</v>
      </c>
      <c r="BP138" s="25">
        <f t="array" ref="BP138">INDEX(KOMBI!$A$1:$GI$145,ROW(PJ!BP145),MATCH(PJ!BP$3,KOMBI!$A$1:$GI$1,0))</f>
        <v>7.5199896156049162</v>
      </c>
      <c r="BQ138" s="25">
        <f t="array" ref="BQ138">INDEX(KOMBI!$A$1:$GI$145,ROW(PJ!BQ145),MATCH(PJ!BQ$3,KOMBI!$A$1:$GI$1,0))</f>
        <v>11.03</v>
      </c>
      <c r="BR138" s="25">
        <f t="array" ref="BR138">INDEX(KOMBI!$A$1:$GI$145,ROW(PJ!BR145),MATCH(PJ!BR$3,KOMBI!$A$1:$GI$1,0))</f>
        <v>-3.4823494877293193E-2</v>
      </c>
      <c r="BS138" s="25">
        <f t="array" ref="BS138">INDEX(KOMBI!$A$1:$GI$145,ROW(PJ!BS145),MATCH(PJ!BS$3,KOMBI!$A$1:$GI$1,0))</f>
        <v>3.1317196797625221E-2</v>
      </c>
      <c r="BT138" s="25">
        <f t="array" ref="BT138">INDEX(KOMBI!$A$1:$GI$145,ROW(PJ!BT145),MATCH(PJ!BT$3,KOMBI!$A$1:$GI$1,0))</f>
        <v>1.4338082043103342E-2</v>
      </c>
      <c r="BU138" s="25">
        <f t="array" ref="BU138">INDEX(KOMBI!$A$1:$GI$145,ROW(PJ!BU145),MATCH(PJ!BU$3,KOMBI!$A$1:$GI$1,0))</f>
        <v>10.488630311598682</v>
      </c>
      <c r="BV138" s="25">
        <f t="array" ref="BV138">INDEX(KOMBI!$A$1:$GI$145,ROW(PJ!BV145),MATCH(PJ!BV$3,KOMBI!$A$1:$GI$1,0))</f>
        <v>5.9039999999999999</v>
      </c>
      <c r="BW138" s="25">
        <f t="array" ref="BW138">INDEX(KOMBI!$A$1:$GI$145,ROW(PJ!BW145),MATCH(PJ!BW$3,KOMBI!$A$1:$GI$1,0))</f>
        <v>1.62408499063732</v>
      </c>
      <c r="BX138" s="25">
        <f t="array" ref="BX138">INDEX(KOMBI!$A$1:$GI$145,ROW(PJ!BX145),MATCH(PJ!BX$3,KOMBI!$A$1:$GI$1,0))</f>
        <v>20.928000000000001</v>
      </c>
      <c r="BY138" s="25">
        <f t="array" ref="BY138">INDEX(KOMBI!$A$1:$GI$145,ROW(PJ!BY145),MATCH(PJ!BY$3,KOMBI!$A$1:$GI$1,0))</f>
        <v>37.837669554234019</v>
      </c>
      <c r="BZ138" s="25">
        <f t="array" ref="BZ138">INDEX(KOMBI!$A$1:$GI$145,ROW(PJ!BZ145),MATCH(PJ!BZ$3,KOMBI!$A$1:$GI$1,0))</f>
        <v>93</v>
      </c>
      <c r="CA138" s="25">
        <f t="array" ref="CA138">INDEX(KOMBI!$A$1:$GI$145,ROW(PJ!CA145),MATCH(PJ!CA$3,KOMBI!$A$1:$GI$1,0))</f>
        <v>15.532</v>
      </c>
      <c r="CB138" s="25">
        <f t="array" ref="CB138">INDEX(KOMBI!$A$1:$GI$145,ROW(PJ!CB145),MATCH(PJ!CB$3,KOMBI!$A$1:$GI$1,0))</f>
        <v>131.98194444444445</v>
      </c>
      <c r="CC138" s="25">
        <f t="array" ref="CC138">INDEX(KOMBI!$A$1:$GI$145,ROW(PJ!CC145),MATCH(PJ!CC$3,KOMBI!$A$1:$GI$1,0))</f>
        <v>7.083075</v>
      </c>
      <c r="CD138" s="25">
        <f t="array" ref="CD138">INDEX(KOMBI!$A$1:$GI$145,ROW(PJ!CD145),MATCH(PJ!CD$3,KOMBI!$A$1:$GI$1,0))</f>
        <v>284.90000000000003</v>
      </c>
      <c r="CE138" s="25">
        <f t="array" ref="CE138">INDEX(KOMBI!$A$1:$GI$145,ROW(PJ!CE145),MATCH(PJ!CE$3,KOMBI!$A$1:$GI$1,0))</f>
        <v>2.7810000000000001</v>
      </c>
      <c r="CF138" s="25">
        <f t="array" ref="CF138">INDEX(KOMBI!$A$1:$GI$145,ROW(PJ!CF145),MATCH(PJ!CF$3,KOMBI!$A$1:$GI$1,0))</f>
        <v>57.735011875436598</v>
      </c>
      <c r="CG138" s="25">
        <f t="array" ref="CG138">INDEX(KOMBI!$A$1:$GI$145,ROW(PJ!CG145),MATCH(PJ!CG$3,KOMBI!$A$1:$GI$1,0))</f>
        <v>2.5620074329845279E-2</v>
      </c>
      <c r="CH138" s="25">
        <f t="array" ref="CH138">INDEX(KOMBI!$A$1:$GI$145,ROW(PJ!CH145),MATCH(PJ!CH$3,KOMBI!$A$1:$GI$1,0))</f>
        <v>0.44890608494094819</v>
      </c>
      <c r="CI138" s="25">
        <f t="array" ref="CI138">INDEX(KOMBI!$A$1:$GI$145,ROW(PJ!CI145),MATCH(PJ!CI$3,KOMBI!$A$1:$GI$1,0))</f>
        <v>6.08</v>
      </c>
      <c r="CJ138" s="25">
        <f t="array" ref="CJ138">INDEX(KOMBI!$A$1:$GI$145,ROW(PJ!CJ145),MATCH(PJ!CJ$3,KOMBI!$A$1:$GI$1,0))</f>
        <v>7.2238849906373197</v>
      </c>
      <c r="CK138" s="25">
        <f t="array" ref="CK138">INDEX(KOMBI!$A$1:$GI$145,ROW(PJ!CK145),MATCH(PJ!CK$3,KOMBI!$A$1:$GI$1,0))</f>
        <v>0.19900000000000001</v>
      </c>
      <c r="CL138" s="25">
        <f t="array" ref="CL138">INDEX(KOMBI!$A$1:$GI$145,ROW(PJ!CL145),MATCH(PJ!CL$3,KOMBI!$A$1:$GI$1,0))</f>
        <v>0.72299999999999998</v>
      </c>
    </row>
    <row r="139" spans="3:90" x14ac:dyDescent="0.2">
      <c r="BA139" s="25"/>
    </row>
    <row r="140" spans="3:90" x14ac:dyDescent="0.2">
      <c r="BA140" s="25"/>
    </row>
    <row r="141" spans="3:90" x14ac:dyDescent="0.2">
      <c r="BA141" s="25"/>
    </row>
    <row r="142" spans="3:90" x14ac:dyDescent="0.2">
      <c r="BA142" s="25"/>
    </row>
  </sheetData>
  <mergeCells count="2">
    <mergeCell ref="AV3:AY3"/>
    <mergeCell ref="AT3:AU3"/>
  </mergeCells>
  <conditionalFormatting sqref="AS4:AS138">
    <cfRule type="colorScale" priority="1">
      <colorScale>
        <cfvo type="min"/>
        <cfvo type="max"/>
        <color rgb="FF92D050"/>
        <color rgb="FFE10014"/>
      </colorScale>
    </cfRule>
  </conditionalFormatting>
  <pageMargins left="0.7" right="0.7" top="0.75" bottom="0.75" header="0.3" footer="0.3"/>
  <pageSetup paperSize="9" orientation="portrait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F140"/>
  <sheetViews>
    <sheetView topLeftCell="BO1" workbookViewId="0">
      <selection activeCell="CC6" sqref="CC6"/>
    </sheetView>
  </sheetViews>
  <sheetFormatPr baseColWidth="10" defaultColWidth="8.796875" defaultRowHeight="15" x14ac:dyDescent="0.2"/>
  <cols>
    <col min="1" max="1" width="8.796875" style="68"/>
    <col min="2" max="2" width="7" style="68" bestFit="1" customWidth="1"/>
    <col min="3" max="3" width="7" style="68" customWidth="1"/>
    <col min="4" max="4" width="16.59765625" style="68" bestFit="1" customWidth="1"/>
    <col min="5" max="6" width="9.796875" style="68" bestFit="1" customWidth="1"/>
    <col min="7" max="7" width="15" style="68" bestFit="1" customWidth="1"/>
    <col min="8" max="8" width="3" style="68" customWidth="1"/>
    <col min="9" max="9" width="20" style="68" bestFit="1" customWidth="1"/>
    <col min="10" max="15" width="8.796875" style="68"/>
    <col min="16" max="16" width="22" style="68" bestFit="1" customWidth="1"/>
    <col min="17" max="17" width="22" style="68" customWidth="1"/>
    <col min="18" max="18" width="2.59765625" style="68" customWidth="1"/>
    <col min="19" max="22" width="8.796875" style="68"/>
    <col min="23" max="23" width="1.59765625" style="68" customWidth="1"/>
    <col min="24" max="26" width="8.796875" style="68"/>
    <col min="27" max="27" width="2.3984375" style="68" customWidth="1"/>
    <col min="28" max="33" width="8.796875" style="68"/>
    <col min="34" max="34" width="11.19921875" style="68" customWidth="1"/>
    <col min="35" max="69" width="8.796875" style="68"/>
    <col min="70" max="70" width="13.3984375" style="68" bestFit="1" customWidth="1"/>
    <col min="71" max="71" width="15.3984375" style="68" customWidth="1"/>
    <col min="72" max="72" width="9.3984375" style="68" bestFit="1" customWidth="1"/>
    <col min="73" max="77" width="8.796875" style="68"/>
    <col min="78" max="78" width="11" style="280" bestFit="1" customWidth="1"/>
    <col min="79" max="16384" width="8.796875" style="68"/>
  </cols>
  <sheetData>
    <row r="1" spans="1:84" s="51" customFormat="1" x14ac:dyDescent="0.2">
      <c r="A1" s="51" t="s">
        <v>41</v>
      </c>
      <c r="BZ1" s="280"/>
    </row>
    <row r="2" spans="1:84" s="51" customFormat="1" x14ac:dyDescent="0.2">
      <c r="BZ2" s="280"/>
    </row>
    <row r="3" spans="1:84" s="51" customFormat="1" x14ac:dyDescent="0.2">
      <c r="A3" s="281" t="s">
        <v>42</v>
      </c>
      <c r="J3" s="282">
        <v>19</v>
      </c>
      <c r="K3" s="282">
        <v>20</v>
      </c>
      <c r="L3" s="282">
        <v>21</v>
      </c>
      <c r="M3" s="282">
        <v>22</v>
      </c>
      <c r="N3" s="282">
        <v>23</v>
      </c>
      <c r="O3" s="282">
        <v>24</v>
      </c>
      <c r="P3" s="282">
        <v>25</v>
      </c>
      <c r="Q3" s="282">
        <v>152</v>
      </c>
      <c r="S3" s="51">
        <v>119</v>
      </c>
      <c r="T3" s="51">
        <v>27</v>
      </c>
      <c r="U3" s="51">
        <v>28</v>
      </c>
      <c r="V3" s="51">
        <v>29</v>
      </c>
      <c r="X3" s="51">
        <v>32</v>
      </c>
      <c r="Y3" s="51">
        <v>31</v>
      </c>
      <c r="Z3" s="51">
        <v>30</v>
      </c>
      <c r="AB3" s="51">
        <v>14</v>
      </c>
      <c r="AC3" s="51">
        <v>12</v>
      </c>
      <c r="AD3" s="51">
        <v>13</v>
      </c>
      <c r="AE3" s="51">
        <v>11</v>
      </c>
      <c r="AF3" s="51">
        <v>9</v>
      </c>
      <c r="AG3" s="51">
        <v>10</v>
      </c>
      <c r="AI3" s="51">
        <v>34</v>
      </c>
      <c r="AJ3" s="51">
        <v>35</v>
      </c>
      <c r="AK3" s="51">
        <v>36</v>
      </c>
      <c r="AL3" s="51">
        <v>37</v>
      </c>
      <c r="AM3" s="51">
        <v>38</v>
      </c>
      <c r="AN3" s="51">
        <v>39</v>
      </c>
      <c r="AO3" s="51">
        <v>40</v>
      </c>
      <c r="AP3" s="51">
        <v>41</v>
      </c>
      <c r="AQ3" s="51">
        <v>42</v>
      </c>
      <c r="AR3" s="51">
        <v>43</v>
      </c>
      <c r="AS3" s="51">
        <v>44</v>
      </c>
      <c r="AT3" s="51">
        <v>45</v>
      </c>
      <c r="AU3" s="51">
        <v>46</v>
      </c>
      <c r="AY3" s="51">
        <v>131</v>
      </c>
      <c r="AZ3" s="51">
        <v>125</v>
      </c>
      <c r="BA3" s="51">
        <v>124</v>
      </c>
      <c r="BB3" s="51">
        <v>123</v>
      </c>
      <c r="BC3" s="282">
        <v>17</v>
      </c>
      <c r="BD3" s="282">
        <v>18</v>
      </c>
      <c r="BE3" s="51">
        <v>78</v>
      </c>
      <c r="BF3" s="51">
        <v>79</v>
      </c>
      <c r="BG3" s="51">
        <v>80</v>
      </c>
      <c r="BH3" s="51">
        <v>81</v>
      </c>
      <c r="BI3" s="51">
        <v>82</v>
      </c>
      <c r="BJ3" s="51">
        <v>129</v>
      </c>
      <c r="BK3" s="51">
        <v>130</v>
      </c>
      <c r="BL3" s="51">
        <v>120</v>
      </c>
      <c r="BM3" s="51">
        <v>83</v>
      </c>
      <c r="BN3" s="282">
        <v>150</v>
      </c>
      <c r="BO3" s="51">
        <v>85</v>
      </c>
      <c r="BQ3" s="51">
        <v>88</v>
      </c>
      <c r="BR3" s="51">
        <v>89</v>
      </c>
      <c r="BS3" s="51">
        <v>90</v>
      </c>
      <c r="BT3" s="51">
        <v>91</v>
      </c>
      <c r="BU3" s="51">
        <v>92</v>
      </c>
      <c r="BW3" s="282">
        <v>153</v>
      </c>
      <c r="BZ3" s="280">
        <f>KOMBI!FG1</f>
        <v>157</v>
      </c>
      <c r="CA3" s="51">
        <f>KOMBI!FE1</f>
        <v>155</v>
      </c>
      <c r="CB3" s="282">
        <v>127</v>
      </c>
      <c r="CC3" s="51">
        <f>KOMBI!FF1</f>
        <v>156</v>
      </c>
      <c r="CD3" s="51">
        <v>134</v>
      </c>
    </row>
    <row r="4" spans="1:84" s="51" customFormat="1" ht="6" customHeight="1" x14ac:dyDescent="0.2">
      <c r="BZ4" s="280"/>
    </row>
    <row r="5" spans="1:84" s="284" customFormat="1" ht="181.75" customHeight="1" x14ac:dyDescent="0.2">
      <c r="A5" s="283" t="s">
        <v>43</v>
      </c>
      <c r="B5" s="283" t="s">
        <v>44</v>
      </c>
      <c r="C5" s="283"/>
      <c r="D5" s="283" t="s">
        <v>46</v>
      </c>
      <c r="E5" s="283" t="s">
        <v>35</v>
      </c>
      <c r="F5" s="283" t="s">
        <v>38</v>
      </c>
      <c r="G5" s="283" t="s">
        <v>37</v>
      </c>
      <c r="I5" s="284" t="s">
        <v>363</v>
      </c>
      <c r="J5" s="284" t="s">
        <v>630</v>
      </c>
      <c r="K5" s="284" t="s">
        <v>635</v>
      </c>
      <c r="L5" s="284" t="s">
        <v>631</v>
      </c>
      <c r="M5" s="284" t="s">
        <v>632</v>
      </c>
      <c r="N5" s="284" t="s">
        <v>636</v>
      </c>
      <c r="O5" s="284" t="s">
        <v>633</v>
      </c>
      <c r="P5" s="284" t="s">
        <v>634</v>
      </c>
      <c r="Q5" s="284" t="s">
        <v>537</v>
      </c>
      <c r="S5" s="285" t="s">
        <v>556</v>
      </c>
      <c r="T5" s="285" t="s">
        <v>127</v>
      </c>
      <c r="U5" s="285" t="s">
        <v>128</v>
      </c>
      <c r="V5" s="285" t="s">
        <v>129</v>
      </c>
      <c r="X5" s="285" t="s">
        <v>130</v>
      </c>
      <c r="Y5" s="285" t="s">
        <v>131</v>
      </c>
      <c r="Z5" s="285" t="s">
        <v>421</v>
      </c>
      <c r="AB5" s="285" t="s">
        <v>162</v>
      </c>
      <c r="AC5" s="285" t="s">
        <v>163</v>
      </c>
      <c r="AD5" s="285" t="s">
        <v>164</v>
      </c>
      <c r="AE5" s="285" t="s">
        <v>165</v>
      </c>
      <c r="AF5" s="285" t="s">
        <v>166</v>
      </c>
      <c r="AG5" s="285" t="s">
        <v>167</v>
      </c>
      <c r="AI5" s="285" t="s">
        <v>175</v>
      </c>
      <c r="AJ5" s="285" t="s">
        <v>176</v>
      </c>
      <c r="AK5" s="285" t="s">
        <v>173</v>
      </c>
      <c r="AL5" s="285" t="s">
        <v>203</v>
      </c>
      <c r="AM5" s="285" t="s">
        <v>177</v>
      </c>
      <c r="AN5" s="285" t="s">
        <v>178</v>
      </c>
      <c r="AO5" s="285" t="s">
        <v>174</v>
      </c>
      <c r="AP5" s="285" t="s">
        <v>195</v>
      </c>
      <c r="AQ5" s="285" t="s">
        <v>184</v>
      </c>
      <c r="AR5" s="285" t="s">
        <v>185</v>
      </c>
      <c r="AS5" s="285" t="s">
        <v>186</v>
      </c>
      <c r="AT5" s="285" t="s">
        <v>187</v>
      </c>
      <c r="AU5" s="285" t="s">
        <v>188</v>
      </c>
      <c r="AV5" s="285" t="s">
        <v>171</v>
      </c>
      <c r="AW5" s="285" t="s">
        <v>202</v>
      </c>
      <c r="AX5" s="285" t="s">
        <v>219</v>
      </c>
      <c r="AY5" s="285" t="s">
        <v>581</v>
      </c>
      <c r="AZ5" s="285" t="s">
        <v>608</v>
      </c>
      <c r="BA5" s="285" t="s">
        <v>607</v>
      </c>
      <c r="BB5" s="285" t="s">
        <v>606</v>
      </c>
      <c r="BC5" s="285" t="s">
        <v>416</v>
      </c>
      <c r="BD5" s="285" t="s">
        <v>417</v>
      </c>
      <c r="BE5" s="285" t="s">
        <v>310</v>
      </c>
      <c r="BF5" s="285" t="s">
        <v>311</v>
      </c>
      <c r="BG5" s="285" t="s">
        <v>392</v>
      </c>
      <c r="BH5" s="285" t="s">
        <v>372</v>
      </c>
      <c r="BI5" s="285" t="s">
        <v>620</v>
      </c>
      <c r="BJ5" s="285" t="s">
        <v>621</v>
      </c>
      <c r="BK5" s="285" t="s">
        <v>622</v>
      </c>
      <c r="BL5" s="285" t="s">
        <v>555</v>
      </c>
      <c r="BM5" s="285" t="s">
        <v>267</v>
      </c>
      <c r="BN5" s="286" t="s">
        <v>394</v>
      </c>
      <c r="BO5" s="285" t="s">
        <v>322</v>
      </c>
      <c r="BP5" s="285"/>
      <c r="BQ5" s="285" t="s">
        <v>321</v>
      </c>
      <c r="BR5" s="285" t="s">
        <v>619</v>
      </c>
      <c r="BS5" s="285" t="s">
        <v>517</v>
      </c>
      <c r="BT5" s="285" t="s">
        <v>484</v>
      </c>
      <c r="BU5" s="285" t="s">
        <v>418</v>
      </c>
      <c r="BV5" s="285"/>
      <c r="BW5" s="285" t="s">
        <v>519</v>
      </c>
      <c r="BX5" s="285"/>
      <c r="BY5" s="285"/>
      <c r="BZ5" s="287" t="s">
        <v>246</v>
      </c>
      <c r="CA5" s="288" t="s">
        <v>686</v>
      </c>
      <c r="CB5" s="288" t="s">
        <v>238</v>
      </c>
      <c r="CC5" s="288" t="s">
        <v>687</v>
      </c>
      <c r="CD5" s="288" t="s">
        <v>628</v>
      </c>
      <c r="CF5" s="289" t="s">
        <v>240</v>
      </c>
    </row>
    <row r="6" spans="1:84" s="51" customFormat="1" x14ac:dyDescent="0.2">
      <c r="A6" s="51">
        <v>1</v>
      </c>
      <c r="B6" s="51">
        <f ca="1">KOMBI!GI11</f>
        <v>129</v>
      </c>
      <c r="C6" s="51">
        <f>A6</f>
        <v>1</v>
      </c>
      <c r="D6" s="290" t="str">
        <f ca="1">VLOOKUP(VLOOKUP($B6,KOMBI!$A:$H,3,FALSE),data!$I$27:$J$29,2,FALSE)</f>
        <v>Sekkuv/EÜ</v>
      </c>
      <c r="E6" s="290" t="str">
        <f ca="1">VLOOKUP(VLOOKUP($B6,KOMBI!$A:$H,2,FALSE),data!$I$21:$J$23,2,FALSE)</f>
        <v>Sekkuv</v>
      </c>
      <c r="F6" s="290" t="str">
        <f ca="1">VLOOKUP(VLOOKUP($B6,KOMBI!$A:$H,5,FALSE),data!$I$39:$J$41,2,FALSE)</f>
        <v>Sekkuv</v>
      </c>
      <c r="G6" s="290" t="str">
        <f ca="1">VLOOKUP(VLOOKUP($B6,KOMBI!$A:$H,4,FALSE),data!$I$32:$J$36,2,FALSE)</f>
        <v>TE</v>
      </c>
      <c r="I6" s="51">
        <f ca="1">VLOOKUP($B6,KOMBI!$A:$Z,MATCH(I$5,KOMBI!$10:$10,0),FALSE)</f>
        <v>8.14237860102266</v>
      </c>
      <c r="J6" s="291">
        <f ca="1">VLOOKUP($B6,KOMBI!$A:$ADS,J$3,FALSE)</f>
        <v>2.6637965611334694E-2</v>
      </c>
      <c r="K6" s="291">
        <f ca="1">VLOOKUP($B6,KOMBI!$A:$ADS,K$3,FALSE)</f>
        <v>3.1058650804800022E-3</v>
      </c>
      <c r="L6" s="291">
        <f ca="1">VLOOKUP($B6,KOMBI!$A:$ADS,L$3,FALSE)</f>
        <v>6.4007113804134541E-3</v>
      </c>
      <c r="M6" s="291">
        <f ca="1">VLOOKUP($B6,KOMBI!$A:$ADS,M$3,FALSE)</f>
        <v>2.0466863800668721E-2</v>
      </c>
      <c r="N6" s="291">
        <f ca="1">VLOOKUP($B6,KOMBI!$A:$ADS,N$3,FALSE)</f>
        <v>-4.4598439328278769E-2</v>
      </c>
      <c r="O6" s="291">
        <f ca="1">VLOOKUP($B6,KOMBI!$A:$ADS,O$3,FALSE)</f>
        <v>-5.7198034850571254E-2</v>
      </c>
      <c r="P6" s="291">
        <f ca="1">VLOOKUP($B6,KOMBI!$A:$ADS,P$3,FALSE)</f>
        <v>-8.0262296294678515E-2</v>
      </c>
      <c r="Q6" s="292">
        <f t="array" aca="1" ref="Q6" ca="1">VLOOKUP($B6,KOMBI!$A:$ADS,MATCH(Tulem!Q$3,KOMBI!$A$1:$ADS$1,0),FALSE)</f>
        <v>678.64576611730354</v>
      </c>
      <c r="R6" s="293"/>
      <c r="S6" s="332">
        <f t="array" aca="1" ref="S6" ca="1">VLOOKUP($B6,KOMBI!$A:$ADS,MATCH(Tulem!S$3,KOMBI!$A$1:$ADS$1,0),FALSE)</f>
        <v>16097.852344293788</v>
      </c>
      <c r="T6" s="293">
        <f ca="1">VLOOKUP($B6,KOMBI!$A:$ADS,T$3,FALSE)</f>
        <v>3728</v>
      </c>
      <c r="U6" s="293">
        <f ca="1">VLOOKUP($B6,KOMBI!$A:$ADS,U$3,FALSE)</f>
        <v>1177</v>
      </c>
      <c r="V6" s="293">
        <f ca="1">VLOOKUP($B6,KOMBI!$A:$ADS,V$3,FALSE)</f>
        <v>2346</v>
      </c>
      <c r="W6" s="293"/>
      <c r="X6" s="293">
        <f ca="1">VLOOKUP($B6,KOMBI!$A:$ADS,X$3,FALSE)</f>
        <v>530.88499063732002</v>
      </c>
      <c r="Y6" s="293">
        <f ca="1">VLOOKUP($B6,KOMBI!$A:$ADS,Y$3,FALSE)</f>
        <v>507</v>
      </c>
      <c r="Z6" s="293">
        <f ca="1">VLOOKUP($B6,KOMBI!$A:$ADS,Z$3,FALSE)</f>
        <v>586.20000000000005</v>
      </c>
      <c r="AA6" s="293"/>
      <c r="AB6" s="293">
        <f ca="1">VLOOKUP($B6,KOMBI!$A:$ADS,AB$3,FALSE)</f>
        <v>15.25</v>
      </c>
      <c r="AC6" s="293">
        <f ca="1">VLOOKUP($B6,KOMBI!$A:$ADS,AC$3,FALSE)-AB6</f>
        <v>8.5</v>
      </c>
      <c r="AD6" s="293">
        <f ca="1">VLOOKUP($B6,KOMBI!$A:$ADS,AD$3,FALSE)</f>
        <v>8.68530937302436</v>
      </c>
      <c r="AE6" s="293">
        <f ca="1">VLOOKUP($B6,KOMBI!$A:$ADS,AE$3,FALSE)</f>
        <v>13.780000000000001</v>
      </c>
      <c r="AF6" s="293">
        <f ca="1">VLOOKUP($B6,KOMBI!$A:$ADS,AF$3,FALSE)-AE6</f>
        <v>9.7100000000000009</v>
      </c>
      <c r="AG6" s="293">
        <f ca="1">VLOOKUP($B6,KOMBI!$A:$ADS,AG$3,FALSE)</f>
        <v>8.1258333333333344</v>
      </c>
      <c r="AI6" s="293">
        <f t="array" aca="1" ref="AI6" ca="1">VLOOKUP($B6,KOMBI!$A:$ADS,MATCH(Tulem!AI$3,KOMBI!$A$1:$ADS$1,0),FALSE)</f>
        <v>11.579999999999998</v>
      </c>
      <c r="AJ6" s="293">
        <f t="array" aca="1" ref="AJ6" ca="1">VLOOKUP($B6,KOMBI!$A:$ADS,MATCH(Tulem!AJ$3,KOMBI!$A$1:$ADS$1,0),FALSE)</f>
        <v>4.45</v>
      </c>
      <c r="AK6" s="293">
        <f t="array" aca="1" ref="AK6" ca="1">VLOOKUP($B6,KOMBI!$A:$ADS,MATCH(Tulem!AK$3,KOMBI!$A$1:$ADS$1,0),FALSE)</f>
        <v>9.19</v>
      </c>
      <c r="AL6" s="293">
        <f t="array" aca="1" ref="AL6" ca="1">VLOOKUP($B6,KOMBI!$A:$ADS,MATCH(Tulem!AL$3,KOMBI!$A$1:$ADS$1,0),FALSE)</f>
        <v>0.66</v>
      </c>
      <c r="AM6" s="293">
        <f t="array" aca="1" ref="AM6" ca="1">VLOOKUP($B6,KOMBI!$A:$ADS,MATCH(Tulem!AM$3,KOMBI!$A$1:$ADS$1,0),FALSE)</f>
        <v>7.1</v>
      </c>
      <c r="AN6" s="293">
        <f t="array" aca="1" ref="AN6" ca="1">VLOOKUP($B6,KOMBI!$A:$ADS,MATCH(Tulem!AN$3,KOMBI!$A$1:$ADS$1,0),FALSE)</f>
        <v>11.5</v>
      </c>
      <c r="AO6" s="293">
        <f t="array" aca="1" ref="AO6" ca="1">VLOOKUP($B6,KOMBI!$A:$ADS,MATCH(Tulem!AO$3,KOMBI!$A$1:$ADS$1,0),FALSE)</f>
        <v>4.0999999999999996</v>
      </c>
      <c r="AP6" s="293">
        <f t="array" aca="1" ref="AP6" ca="1">VLOOKUP($B6,KOMBI!$A:$ADS,MATCH(Tulem!AP$3,KOMBI!$A$1:$ADS$1,0),FALSE)</f>
        <v>5.7045296564339489</v>
      </c>
      <c r="AQ6" s="293">
        <f t="array" aca="1" ref="AQ6" ca="1">VLOOKUP($B6,KOMBI!$A:$ADS,MATCH(Tulem!AQ$3,KOMBI!$A$1:$ADS$1,0),FALSE)</f>
        <v>5.6837209302325586</v>
      </c>
      <c r="AR6" s="293">
        <f t="array" aca="1" ref="AR6" ca="1">VLOOKUP($B6,KOMBI!$A:$ADS,MATCH(Tulem!AR$3,KOMBI!$A$1:$ADS$1,0),FALSE)</f>
        <v>2.1219844082566364</v>
      </c>
      <c r="AS6" s="293">
        <f t="array" aca="1" ref="AS6" ca="1">VLOOKUP($B6,KOMBI!$A:$ADS,MATCH(Tulem!AS$3,KOMBI!$A$1:$ADS$1,0),FALSE)</f>
        <v>4.2799999999999994</v>
      </c>
      <c r="AT6" s="293">
        <f t="array" aca="1" ref="AT6" ca="1">VLOOKUP($B6,KOMBI!$A:$ADS,MATCH(Tulem!AT$3,KOMBI!$A$1:$ADS$1,0),FALSE)</f>
        <v>2.158015591743363</v>
      </c>
      <c r="AU6" s="293">
        <f t="array" aca="1" ref="AU6" ca="1">VLOOKUP($B6,KOMBI!$A:$ADS,MATCH(Tulem!AU$3,KOMBI!$A$1:$ADS$1,0),FALSE)</f>
        <v>0</v>
      </c>
      <c r="AV6" s="293">
        <f ca="1">MAX(0,AL6)</f>
        <v>0.66</v>
      </c>
      <c r="AW6" s="293">
        <f ca="1">MIN(0,AL6)</f>
        <v>0</v>
      </c>
      <c r="AX6" s="291">
        <f ca="1">VLOOKUP($B6,KOMBI!$A:$ACA,MATCH(AX$5,KOMBI!$10:$10,0),FALSE)</f>
        <v>0.4541994971842776</v>
      </c>
      <c r="AY6" s="292">
        <f ca="1">VLOOKUP($B6,KOMBI!$A:$ADS,MATCH(Tulem!AY$3,KOMBI!$A$1:$ADS$1,0),FALSE)</f>
        <v>6.08</v>
      </c>
      <c r="AZ6" s="292">
        <f t="array" aca="1" ref="AZ6" ca="1">VLOOKUP($B6,KOMBI!$A:$ADS,MATCH(Tulem!AZ$3,KOMBI!$A$1:$ADS$1,0),FALSE)</f>
        <v>0.51659368872597156</v>
      </c>
      <c r="BA6" s="292">
        <f t="array" aca="1" ref="BA6" ca="1">VLOOKUP($B6,KOMBI!$A:$ADS,MATCH(Tulem!BA$3,KOMBI!$A$1:$ADS$1,0),FALSE)</f>
        <v>9.3307678114868606E-2</v>
      </c>
      <c r="BB6" s="292">
        <f t="array" aca="1" ref="BB6" ca="1">VLOOKUP($B6,KOMBI!$A:$ADS,MATCH(Tulem!BB$3,KOMBI!$A$1:$ADS$1,0),FALSE)</f>
        <v>43.272900516795865</v>
      </c>
      <c r="BC6" s="292">
        <f t="array" aca="1" ref="BC6" ca="1">VLOOKUP($B6,KOMBI!$A:$ADS,MATCH(Tulem!BC$3,KOMBI!$A$1:$ADS$1,0),FALSE)</f>
        <v>4.9050000000000002</v>
      </c>
      <c r="BD6" s="292">
        <f t="array" aca="1" ref="BD6" ca="1">VLOOKUP($B6,KOMBI!$A:$ADS,MATCH(Tulem!BD$3,KOMBI!$A$1:$ADS$1,0),FALSE)</f>
        <v>1.62408499063732</v>
      </c>
      <c r="BE6" s="292">
        <f t="array" aca="1" ref="BE6" ca="1">VLOOKUP($B6,KOMBI!$A:$ADS,MATCH(Tulem!BE$3,KOMBI!$A$1:$ADS$1,0),FALSE)</f>
        <v>16.465861099430587</v>
      </c>
      <c r="BF6" s="292">
        <f t="array" aca="1" ref="BF6" ca="1">VLOOKUP($B6,KOMBI!$A:$ADS,MATCH(Tulem!BF$3,KOMBI!$A$1:$ADS$1,0),FALSE)</f>
        <v>11.219077976340797</v>
      </c>
      <c r="BG6" s="292">
        <f t="array" aca="1" ref="BG6" ca="1">VLOOKUP($B6,KOMBI!$A:$ADS,MATCH(Tulem!BG$3,KOMBI!$A$1:$ADS$1,0),FALSE)</f>
        <v>7.1502826922990277</v>
      </c>
      <c r="BH6" s="292">
        <f t="array" aca="1" ref="BH6" ca="1">VLOOKUP($B6,KOMBI!$A:$ADS,MATCH(Tulem!BH$3,KOMBI!$A$1:$ADS$1,0),FALSE)</f>
        <v>7.5743156794471025</v>
      </c>
      <c r="BI6" s="292">
        <f t="array" aca="1" ref="BI6" ca="1">VLOOKUP($B6,KOMBI!$A:$ADS,MATCH(Tulem!BI$3,KOMBI!$A$1:$ADS$1,0),FALSE)</f>
        <v>2.7810000000000001</v>
      </c>
      <c r="BJ6" s="292">
        <f t="array" aca="1" ref="BJ6" ca="1">VLOOKUP($B6,KOMBI!$A:$ADS,MATCH(Tulem!BJ$3,KOMBI!$A$1:$ADS$1,0),FALSE)</f>
        <v>0.19900000000000001</v>
      </c>
      <c r="BK6" s="292">
        <f t="array" aca="1" ref="BK6" ca="1">VLOOKUP($B6,KOMBI!$A:$ADS,MATCH(Tulem!BK$3,KOMBI!$A$1:$ADS$1,0),FALSE)</f>
        <v>0.72299999999999998</v>
      </c>
      <c r="BL6" s="292">
        <f t="array" aca="1" ref="BL6" ca="1">VLOOKUP($B6,KOMBI!$A:$ADS,MATCH(Tulem!BL$3,KOMBI!$A$1:$ADS$1,0),FALSE)</f>
        <v>2.7478849906373197</v>
      </c>
      <c r="BM6" s="292">
        <f t="array" aca="1" ref="BM6" ca="1">VLOOKUP($B6,KOMBI!$A:$ADS,MATCH(Tulem!BM$3,KOMBI!$A$1:$ADS$1,0),FALSE)</f>
        <v>90</v>
      </c>
      <c r="BN6" s="292">
        <f t="array" aca="1" ref="BN6" ca="1">VLOOKUP($B6,KOMBI!$A:$ADS,MATCH(Tulem!BN$3,KOMBI!$A$1:$ADS$1,0),FALSE)</f>
        <v>6.6265060240963902E-2</v>
      </c>
      <c r="BO6" s="292">
        <f t="array" aca="1" ref="BO6" ca="1">VLOOKUP($B6,KOMBI!$A:$ADS,MATCH(Tulem!BO$3,KOMBI!$A$1:$ADS$1,0),FALSE)</f>
        <v>0.72887234460741646</v>
      </c>
      <c r="BP6" s="291"/>
      <c r="BQ6" s="292">
        <f t="array" aca="1" ref="BQ6" ca="1">VLOOKUP($B6,KOMBI!$A:$ADS,MATCH(Tulem!BQ$3,KOMBI!$A$1:$ADS$1,0),FALSE)</f>
        <v>10.077999999999999</v>
      </c>
      <c r="BR6" s="292">
        <f t="array" aca="1" ref="BR6" ca="1">VLOOKUP($B6,KOMBI!$A:$ADS,MATCH(Tulem!BR$3,KOMBI!$A$1:$ADS$1,0),FALSE)</f>
        <v>70</v>
      </c>
      <c r="BS6" s="292">
        <f t="array" aca="1" ref="BS6" ca="1">VLOOKUP($B6,KOMBI!$A:$ADS,MATCH(Tulem!BS$3,KOMBI!$A$1:$ADS$1,0),FALSE)</f>
        <v>12.991</v>
      </c>
      <c r="BT6" s="292">
        <f t="array" aca="1" ref="BT6" ca="1">VLOOKUP($B6,KOMBI!$A:$ADS,MATCH(Tulem!BT$3,KOMBI!$A$1:$ADS$1,0),FALSE)</f>
        <v>58.260833333333331</v>
      </c>
      <c r="BU6" s="292">
        <f t="array" aca="1" ref="BU6" ca="1">VLOOKUP($B6,KOMBI!$A:$ADS,MATCH(Tulem!BU$3,KOMBI!$A$1:$ADS$1,0),FALSE)</f>
        <v>4.7402689999999996</v>
      </c>
      <c r="BV6" s="292"/>
      <c r="BW6" s="292">
        <f t="array" aca="1" ref="BW6" ca="1">VLOOKUP($B6,KOMBI!$A:$ADS,MATCH(Tulem!BW$3,KOMBI!$A$1:$ADS$1,0),FALSE)</f>
        <v>285</v>
      </c>
      <c r="BX6" s="291"/>
      <c r="BY6" s="291"/>
      <c r="BZ6" s="292">
        <f t="array" aca="1" ref="BZ6" ca="1">VLOOKUP($B6,KOMBI!$A:$ADS,MATCH(Tulem!BZ$3,KOMBI!$A$1:$ADS$1,0),FALSE)</f>
        <v>80.452529591667059</v>
      </c>
      <c r="CA6" s="292">
        <f t="array" aca="1" ref="CA6" ca="1">VLOOKUP($B6,KOMBI!$A:$ADS,MATCH(Tulem!CA$3,KOMBI!$A$1:$ADS$1,0),FALSE)</f>
        <v>-197.29831369909104</v>
      </c>
      <c r="CB6" s="292">
        <f t="array" aca="1" ref="CB6" ca="1">VLOOKUP($B6,KOMBI!$A:$ADS,MATCH(Tulem!CB$3,KOMBI!$A$1:$ADS$1,0),FALSE)</f>
        <v>0</v>
      </c>
      <c r="CC6" s="292">
        <f t="array" aca="1" ref="CC6" ca="1">VLOOKUP($B6,KOMBI!$A:$ADS,MATCH(Tulem!CC$3,KOMBI!$A$1:$ADS$1,0),FALSE)</f>
        <v>277.7508432907581</v>
      </c>
      <c r="CD6" s="292">
        <f t="array" aca="1" ref="CD6" ca="1">VLOOKUP($B6,KOMBI!$A:$ADS,MATCH(Tulem!CD$3,KOMBI!$A$1:$ADS$1,0),FALSE)</f>
        <v>462</v>
      </c>
      <c r="CF6" s="51">
        <f ca="1">VLOOKUP($B6,KOMBI!$A:$ACG,MATCH(CF$5,KOMBI!$10:$10,0),FALSE)</f>
        <v>0.41762821979641068</v>
      </c>
    </row>
    <row r="7" spans="1:84" s="51" customFormat="1" x14ac:dyDescent="0.2">
      <c r="A7" s="51">
        <v>2</v>
      </c>
      <c r="B7" s="51">
        <f ca="1">KOMBI!GI12</f>
        <v>128</v>
      </c>
      <c r="C7" s="51">
        <f t="shared" ref="C7:C70" si="0">A7</f>
        <v>2</v>
      </c>
      <c r="D7" s="290" t="str">
        <f ca="1">VLOOKUP(VLOOKUP($B7,KOMBI!$A:$H,3,FALSE),data!$I$27:$J$29,2,FALSE)</f>
        <v>Sekkuv/EÜ</v>
      </c>
      <c r="E7" s="290" t="str">
        <f ca="1">VLOOKUP(VLOOKUP($B7,KOMBI!$A:$H,2,FALSE),data!$I$21:$J$23,2,FALSE)</f>
        <v>Sekkuv</v>
      </c>
      <c r="F7" s="290" t="str">
        <f ca="1">VLOOKUP(VLOOKUP($B7,KOMBI!$A:$H,5,FALSE),data!$I$39:$J$41,2,FALSE)</f>
        <v>Vähe-sekkuv</v>
      </c>
      <c r="G7" s="290" t="str">
        <f ca="1">VLOOKUP(VLOOKUP($B7,KOMBI!$A:$H,4,FALSE),data!$I$32:$J$36,2,FALSE)</f>
        <v>TE</v>
      </c>
      <c r="I7" s="51">
        <f ca="1">VLOOKUP($B7,KOMBI!$A:$Z,MATCH(I$5,KOMBI!$10:$10,0),FALSE)</f>
        <v>7.2372788787811331</v>
      </c>
      <c r="J7" s="291">
        <f ca="1">VLOOKUP($B7,KOMBI!$A:$ADS,J$3,FALSE)</f>
        <v>2.1986910233088176E-2</v>
      </c>
      <c r="K7" s="291">
        <f ca="1">VLOOKUP($B7,KOMBI!$A:$ADS,K$3,FALSE)</f>
        <v>3.0930993534386154E-3</v>
      </c>
      <c r="L7" s="291">
        <f ca="1">VLOOKUP($B7,KOMBI!$A:$ADS,L$3,FALSE)</f>
        <v>5.0699215443667234E-3</v>
      </c>
      <c r="M7" s="291">
        <f ca="1">VLOOKUP($B7,KOMBI!$A:$ADS,M$3,FALSE)</f>
        <v>1.7073000352503868E-2</v>
      </c>
      <c r="N7" s="291">
        <f ca="1">VLOOKUP($B7,KOMBI!$A:$ADS,N$3,FALSE)</f>
        <v>-4.857792645872467E-2</v>
      </c>
      <c r="O7" s="291">
        <f ca="1">VLOOKUP($B7,KOMBI!$A:$ADS,O$3,FALSE)</f>
        <v>-5.8457194766859698E-2</v>
      </c>
      <c r="P7" s="291">
        <f ca="1">VLOOKUP($B7,KOMBI!$A:$ADS,P$3,FALSE)</f>
        <v>-8.1723015267904764E-2</v>
      </c>
      <c r="Q7" s="292">
        <f t="array" aca="1" ref="Q7" ca="1">VLOOKUP($B7,KOMBI!$A:$ADS,MATCH(Tulem!Q$3,KOMBI!$A$1:$ADS$1,0),FALSE)</f>
        <v>562.03497509982424</v>
      </c>
      <c r="S7" s="332">
        <f t="array" aca="1" ref="S7" ca="1">VLOOKUP($B7,KOMBI!$A:$ADS,MATCH(Tulem!S$3,KOMBI!$A$1:$ADS$1,0),FALSE)</f>
        <v>13026.262403094939</v>
      </c>
      <c r="T7" s="293">
        <f ca="1">VLOOKUP($B7,KOMBI!$A:$ADS,T$3,FALSE)</f>
        <v>3728</v>
      </c>
      <c r="U7" s="293">
        <f ca="1">VLOOKUP($B7,KOMBI!$A:$ADS,U$3,FALSE)</f>
        <v>1177</v>
      </c>
      <c r="V7" s="293">
        <f ca="1">VLOOKUP($B7,KOMBI!$A:$ADS,V$3,FALSE)</f>
        <v>2346</v>
      </c>
      <c r="W7" s="293"/>
      <c r="X7" s="293">
        <f ca="1">VLOOKUP($B7,KOMBI!$A:$ADS,X$3,FALSE)</f>
        <v>530.88499063732002</v>
      </c>
      <c r="Y7" s="293">
        <f ca="1">VLOOKUP($B7,KOMBI!$A:$ADS,Y$3,FALSE)</f>
        <v>507</v>
      </c>
      <c r="Z7" s="293">
        <f ca="1">VLOOKUP($B7,KOMBI!$A:$ADS,Z$3,FALSE)</f>
        <v>377.5</v>
      </c>
      <c r="AA7" s="293"/>
      <c r="AB7" s="293">
        <f ca="1">VLOOKUP($B7,KOMBI!$A:$ADS,AB$3,FALSE)</f>
        <v>15.25</v>
      </c>
      <c r="AC7" s="293">
        <f ca="1">VLOOKUP($B7,KOMBI!$A:$ADS,AC$3,FALSE)-AB7</f>
        <v>8.5</v>
      </c>
      <c r="AD7" s="293">
        <f ca="1">VLOOKUP($B7,KOMBI!$A:$ADS,AD$3,FALSE)</f>
        <v>8.68530937302436</v>
      </c>
      <c r="AE7" s="293">
        <f ca="1">VLOOKUP($B7,KOMBI!$A:$ADS,AE$3,FALSE)</f>
        <v>13.780000000000001</v>
      </c>
      <c r="AF7" s="293">
        <f ca="1">VLOOKUP($B7,KOMBI!$A:$ADS,AF$3,FALSE)-AE7</f>
        <v>9.7100000000000009</v>
      </c>
      <c r="AG7" s="293">
        <f ca="1">VLOOKUP($B7,KOMBI!$A:$ADS,AG$3,FALSE)</f>
        <v>8.1258333333333344</v>
      </c>
      <c r="AI7" s="293">
        <f t="array" aca="1" ref="AI7" ca="1">VLOOKUP($B7,KOMBI!$A:$ADS,MATCH(Tulem!AI$3,KOMBI!$A$1:$ADS$1,0),FALSE)</f>
        <v>11.579999999999998</v>
      </c>
      <c r="AJ7" s="293">
        <f t="array" aca="1" ref="AJ7" ca="1">VLOOKUP($B7,KOMBI!$A:$ADS,MATCH(Tulem!AJ$3,KOMBI!$A$1:$ADS$1,0),FALSE)</f>
        <v>4.45</v>
      </c>
      <c r="AK7" s="293">
        <f t="array" aca="1" ref="AK7" ca="1">VLOOKUP($B7,KOMBI!$A:$ADS,MATCH(Tulem!AK$3,KOMBI!$A$1:$ADS$1,0),FALSE)</f>
        <v>9.19</v>
      </c>
      <c r="AL7" s="293">
        <f t="array" aca="1" ref="AL7" ca="1">VLOOKUP($B7,KOMBI!$A:$ADS,MATCH(Tulem!AL$3,KOMBI!$A$1:$ADS$1,0),FALSE)</f>
        <v>0.66</v>
      </c>
      <c r="AM7" s="293">
        <f t="array" aca="1" ref="AM7" ca="1">VLOOKUP($B7,KOMBI!$A:$ADS,MATCH(Tulem!AM$3,KOMBI!$A$1:$ADS$1,0),FALSE)</f>
        <v>7.1</v>
      </c>
      <c r="AN7" s="293">
        <f t="array" aca="1" ref="AN7" ca="1">VLOOKUP($B7,KOMBI!$A:$ADS,MATCH(Tulem!AN$3,KOMBI!$A$1:$ADS$1,0),FALSE)</f>
        <v>11.5</v>
      </c>
      <c r="AO7" s="293">
        <f t="array" aca="1" ref="AO7" ca="1">VLOOKUP($B7,KOMBI!$A:$ADS,MATCH(Tulem!AO$3,KOMBI!$A$1:$ADS$1,0),FALSE)</f>
        <v>4.0999999999999996</v>
      </c>
      <c r="AP7" s="293">
        <f t="array" aca="1" ref="AP7" ca="1">VLOOKUP($B7,KOMBI!$A:$ADS,MATCH(Tulem!AP$3,KOMBI!$A$1:$ADS$1,0),FALSE)</f>
        <v>5.7045296564339489</v>
      </c>
      <c r="AQ7" s="293">
        <f t="array" aca="1" ref="AQ7" ca="1">VLOOKUP($B7,KOMBI!$A:$ADS,MATCH(Tulem!AQ$3,KOMBI!$A$1:$ADS$1,0),FALSE)</f>
        <v>5.6837209302325586</v>
      </c>
      <c r="AR7" s="293">
        <f t="array" aca="1" ref="AR7" ca="1">VLOOKUP($B7,KOMBI!$A:$ADS,MATCH(Tulem!AR$3,KOMBI!$A$1:$ADS$1,0),FALSE)</f>
        <v>2.1219844082566364</v>
      </c>
      <c r="AS7" s="293">
        <f t="array" aca="1" ref="AS7" ca="1">VLOOKUP($B7,KOMBI!$A:$ADS,MATCH(Tulem!AS$3,KOMBI!$A$1:$ADS$1,0),FALSE)</f>
        <v>2.141</v>
      </c>
      <c r="AT7" s="293">
        <f t="array" aca="1" ref="AT7" ca="1">VLOOKUP($B7,KOMBI!$A:$ADS,MATCH(Tulem!AT$3,KOMBI!$A$1:$ADS$1,0),FALSE)</f>
        <v>1.9015591743363647E-2</v>
      </c>
      <c r="AU7" s="293">
        <f t="array" aca="1" ref="AU7" ca="1">VLOOKUP($B7,KOMBI!$A:$ADS,MATCH(Tulem!AU$3,KOMBI!$A$1:$ADS$1,0),FALSE)</f>
        <v>0</v>
      </c>
      <c r="AV7" s="293">
        <f t="shared" ref="AV7:AV70" ca="1" si="1">MAX(0,AL7)</f>
        <v>0.66</v>
      </c>
      <c r="AW7" s="293">
        <f t="shared" ref="AW7:AW70" ca="1" si="2">MIN(0,AL7)</f>
        <v>0</v>
      </c>
      <c r="AX7" s="291">
        <f ca="1">VLOOKUP($B7,KOMBI!$A:$ACA,MATCH(AX$5,KOMBI!$10:$10,0),FALSE)</f>
        <v>0.4541994971842776</v>
      </c>
      <c r="AY7" s="292">
        <f t="array" aca="1" ref="AY7" ca="1">VLOOKUP($B7,KOMBI!$A:$ADS,MATCH(Tulem!AY$3,KOMBI!$A$1:$ADS$1,0),FALSE)</f>
        <v>6.08</v>
      </c>
      <c r="AZ7" s="292">
        <f t="array" aca="1" ref="AZ7" ca="1">VLOOKUP($B7,KOMBI!$A:$ADS,MATCH(Tulem!AZ$3,KOMBI!$A$1:$ADS$1,0),FALSE)</f>
        <v>0.51659368872597156</v>
      </c>
      <c r="BA7" s="292">
        <f t="array" aca="1" ref="BA7" ca="1">VLOOKUP($B7,KOMBI!$A:$ADS,MATCH(Tulem!BA$3,KOMBI!$A$1:$ADS$1,0),FALSE)</f>
        <v>9.3307678114868606E-2</v>
      </c>
      <c r="BB7" s="292">
        <f t="array" aca="1" ref="BB7" ca="1">VLOOKUP($B7,KOMBI!$A:$ADS,MATCH(Tulem!BB$3,KOMBI!$A$1:$ADS$1,0),FALSE)</f>
        <v>43.272900516795865</v>
      </c>
      <c r="BC7" s="292">
        <f t="array" aca="1" ref="BC7" ca="1">VLOOKUP($B7,KOMBI!$A:$ADS,MATCH(Tulem!BC$3,KOMBI!$A$1:$ADS$1,0),FALSE)</f>
        <v>4.9050000000000002</v>
      </c>
      <c r="BD7" s="292">
        <f t="array" aca="1" ref="BD7" ca="1">VLOOKUP($B7,KOMBI!$A:$ADS,MATCH(Tulem!BD$3,KOMBI!$A$1:$ADS$1,0),FALSE)</f>
        <v>1.4153849906373199</v>
      </c>
      <c r="BE7" s="292">
        <f t="array" aca="1" ref="BE7" ca="1">VLOOKUP($B7,KOMBI!$A:$ADS,MATCH(Tulem!BE$3,KOMBI!$A$1:$ADS$1,0),FALSE)</f>
        <v>16.465861099430587</v>
      </c>
      <c r="BF7" s="292">
        <f t="array" aca="1" ref="BF7" ca="1">VLOOKUP($B7,KOMBI!$A:$ADS,MATCH(Tulem!BF$3,KOMBI!$A$1:$ADS$1,0),FALSE)</f>
        <v>11.219077976340797</v>
      </c>
      <c r="BG7" s="292">
        <f t="array" aca="1" ref="BG7" ca="1">VLOOKUP($B7,KOMBI!$A:$ADS,MATCH(Tulem!BG$3,KOMBI!$A$1:$ADS$1,0),FALSE)</f>
        <v>7.1502826922990277</v>
      </c>
      <c r="BH7" s="292">
        <f t="array" aca="1" ref="BH7" ca="1">VLOOKUP($B7,KOMBI!$A:$ADS,MATCH(Tulem!BH$3,KOMBI!$A$1:$ADS$1,0),FALSE)</f>
        <v>7.5743156794471025</v>
      </c>
      <c r="BI7" s="292">
        <f t="array" aca="1" ref="BI7" ca="1">VLOOKUP($B7,KOMBI!$A:$ADS,MATCH(Tulem!BI$3,KOMBI!$A$1:$ADS$1,0),FALSE)</f>
        <v>2.7810000000000001</v>
      </c>
      <c r="BJ7" s="292">
        <f t="array" aca="1" ref="BJ7" ca="1">VLOOKUP($B7,KOMBI!$A:$ADS,MATCH(Tulem!BJ$3,KOMBI!$A$1:$ADS$1,0),FALSE)</f>
        <v>0.19900000000000001</v>
      </c>
      <c r="BK7" s="292">
        <f t="array" aca="1" ref="BK7" ca="1">VLOOKUP($B7,KOMBI!$A:$ADS,MATCH(Tulem!BK$3,KOMBI!$A$1:$ADS$1,0),FALSE)</f>
        <v>0.72299999999999998</v>
      </c>
      <c r="BL7" s="292">
        <f t="array" aca="1" ref="BL7" ca="1">VLOOKUP($B7,KOMBI!$A:$ADS,MATCH(Tulem!BL$3,KOMBI!$A$1:$ADS$1,0),FALSE)</f>
        <v>2.7478849906373197</v>
      </c>
      <c r="BM7" s="292">
        <f t="array" aca="1" ref="BM7" ca="1">VLOOKUP($B7,KOMBI!$A:$ADS,MATCH(Tulem!BM$3,KOMBI!$A$1:$ADS$1,0),FALSE)</f>
        <v>90</v>
      </c>
      <c r="BN7" s="292">
        <f t="array" aca="1" ref="BN7" ca="1">VLOOKUP($B7,KOMBI!$A:$ADS,MATCH(Tulem!BN$3,KOMBI!$A$1:$ADS$1,0),FALSE)</f>
        <v>6.6265060240963902E-2</v>
      </c>
      <c r="BO7" s="292">
        <f t="array" aca="1" ref="BO7" ca="1">VLOOKUP($B7,KOMBI!$A:$ADS,MATCH(Tulem!BO$3,KOMBI!$A$1:$ADS$1,0),FALSE)</f>
        <v>0.72887234460741657</v>
      </c>
      <c r="BP7" s="291"/>
      <c r="BQ7" s="292">
        <f t="array" aca="1" ref="BQ7" ca="1">VLOOKUP($B7,KOMBI!$A:$ADS,MATCH(Tulem!BQ$3,KOMBI!$A$1:$ADS$1,0),FALSE)</f>
        <v>9.8539999999999992</v>
      </c>
      <c r="BR7" s="292">
        <f t="array" aca="1" ref="BR7" ca="1">VLOOKUP($B7,KOMBI!$A:$ADS,MATCH(Tulem!BR$3,KOMBI!$A$1:$ADS$1,0),FALSE)</f>
        <v>68.400000000000006</v>
      </c>
      <c r="BS7" s="292">
        <f t="array" aca="1" ref="BS7" ca="1">VLOOKUP($B7,KOMBI!$A:$ADS,MATCH(Tulem!BS$3,KOMBI!$A$1:$ADS$1,0),FALSE)</f>
        <v>12.739000000000001</v>
      </c>
      <c r="BT7" s="292">
        <f t="array" aca="1" ref="BT7" ca="1">VLOOKUP($B7,KOMBI!$A:$ADS,MATCH(Tulem!BT$3,KOMBI!$A$1:$ADS$1,0),FALSE)</f>
        <v>57.352777777777774</v>
      </c>
      <c r="BU7" s="292">
        <f t="array" aca="1" ref="BU7" ca="1">VLOOKUP($B7,KOMBI!$A:$ADS,MATCH(Tulem!BU$3,KOMBI!$A$1:$ADS$1,0),FALSE)</f>
        <v>4.6469240000000003</v>
      </c>
      <c r="BV7" s="291"/>
      <c r="BW7" s="292">
        <f t="array" aca="1" ref="BW7" ca="1">VLOOKUP($B7,KOMBI!$A:$ADS,MATCH(Tulem!BW$3,KOMBI!$A$1:$ADS$1,0),FALSE)</f>
        <v>285</v>
      </c>
      <c r="BX7" s="291"/>
      <c r="BY7" s="291"/>
      <c r="BZ7" s="292">
        <f t="array" aca="1" ref="BZ7" ca="1">VLOOKUP($B7,KOMBI!$A:$ADS,MATCH(Tulem!BZ$3,KOMBI!$A$1:$ADS$1,0),FALSE)</f>
        <v>63.898115232582143</v>
      </c>
      <c r="CA7" s="292">
        <f t="array" aca="1" ref="CA7" ca="1">VLOOKUP($B7,KOMBI!$A:$ADS,MATCH(Tulem!CA$3,KOMBI!$A$1:$ADS$1,0),FALSE)</f>
        <v>-178.19071988063212</v>
      </c>
      <c r="CB7" s="292">
        <f t="array" aca="1" ref="CB7" ca="1">VLOOKUP($B7,KOMBI!$A:$ADS,MATCH(Tulem!CB$3,KOMBI!$A$1:$ADS$1,0),FALSE)</f>
        <v>0</v>
      </c>
      <c r="CC7" s="292">
        <f t="array" aca="1" ref="CC7" ca="1">VLOOKUP($B7,KOMBI!$A:$ADS,MATCH(Tulem!CC$3,KOMBI!$A$1:$ADS$1,0),FALSE)</f>
        <v>242.08883511321426</v>
      </c>
      <c r="CD7" s="292">
        <f t="array" aca="1" ref="CD7" ca="1">VLOOKUP($B7,KOMBI!$A:$ADS,MATCH(Tulem!CD$3,KOMBI!$A$1:$ADS$1,0),FALSE)</f>
        <v>483</v>
      </c>
      <c r="CF7" s="51">
        <f ca="1">VLOOKUP($B7,KOMBI!$A:$ACG,MATCH(CF$5,KOMBI!$10:$10,0),FALSE)</f>
        <v>0.41762821979641068</v>
      </c>
    </row>
    <row r="8" spans="1:84" s="51" customFormat="1" x14ac:dyDescent="0.2">
      <c r="A8" s="51">
        <v>3</v>
      </c>
      <c r="B8" s="51">
        <f ca="1">KOMBI!GI13</f>
        <v>132</v>
      </c>
      <c r="C8" s="51">
        <f t="shared" si="0"/>
        <v>3</v>
      </c>
      <c r="D8" s="290" t="str">
        <f ca="1">VLOOKUP(VLOOKUP($B8,KOMBI!$A:$H,3,FALSE),data!$I$27:$J$29,2,FALSE)</f>
        <v>Sekkuv/EÜ</v>
      </c>
      <c r="E8" s="290" t="str">
        <f ca="1">VLOOKUP(VLOOKUP($B8,KOMBI!$A:$H,2,FALSE),data!$I$21:$J$23,2,FALSE)</f>
        <v>Sekkuv</v>
      </c>
      <c r="F8" s="290" t="str">
        <f ca="1">VLOOKUP(VLOOKUP($B8,KOMBI!$A:$H,5,FALSE),data!$I$39:$J$41,2,FALSE)</f>
        <v>Sekkuv</v>
      </c>
      <c r="G8" s="290" t="str">
        <f ca="1">VLOOKUP(VLOOKUP($B8,KOMBI!$A:$H,4,FALSE),data!$I$32:$J$36,2,FALSE)</f>
        <v>TE++</v>
      </c>
      <c r="I8" s="51">
        <f ca="1">VLOOKUP($B8,KOMBI!$A:$Z,MATCH(I$5,KOMBI!$10:$10,0),FALSE)</f>
        <v>12.03707984995911</v>
      </c>
      <c r="J8" s="291">
        <f ca="1">VLOOKUP($B8,KOMBI!$A:$ADS,J$3,FALSE)</f>
        <v>2.4174429154618222E-2</v>
      </c>
      <c r="K8" s="291">
        <f ca="1">VLOOKUP($B8,KOMBI!$A:$ADS,K$3,FALSE)</f>
        <v>3.2096321363427969E-3</v>
      </c>
      <c r="L8" s="291">
        <f ca="1">VLOOKUP($B8,KOMBI!$A:$ADS,L$3,FALSE)</f>
        <v>4.4609666306242024E-3</v>
      </c>
      <c r="M8" s="291">
        <f ca="1">VLOOKUP($B8,KOMBI!$A:$ADS,M$3,FALSE)</f>
        <v>1.9918998731180058E-2</v>
      </c>
      <c r="N8" s="291">
        <f ca="1">VLOOKUP($B8,KOMBI!$A:$ADS,N$3,FALSE)</f>
        <v>-6.5078310298571945E-2</v>
      </c>
      <c r="O8" s="291">
        <f ca="1">VLOOKUP($B8,KOMBI!$A:$ADS,O$3,FALSE)</f>
        <v>-0.19707261985704216</v>
      </c>
      <c r="P8" s="291">
        <f ca="1">VLOOKUP($B8,KOMBI!$A:$ADS,P$3,FALSE)</f>
        <v>-0.12955712047841597</v>
      </c>
      <c r="Q8" s="292">
        <f t="array" aca="1" ref="Q8" ca="1">VLOOKUP($B8,KOMBI!$A:$ADS,MATCH(Tulem!Q$3,KOMBI!$A$1:$ADS$1,0),FALSE)</f>
        <v>621.23540327596606</v>
      </c>
      <c r="S8" s="332">
        <f t="array" aca="1" ref="S8" ca="1">VLOOKUP($B8,KOMBI!$A:$ADS,MATCH(Tulem!S$3,KOMBI!$A$1:$ADS$1,0),FALSE)</f>
        <v>13132.601427461437</v>
      </c>
      <c r="T8" s="293">
        <f ca="1">VLOOKUP($B8,KOMBI!$A:$ADS,T$3,FALSE)</f>
        <v>0</v>
      </c>
      <c r="U8" s="293">
        <f ca="1">VLOOKUP($B8,KOMBI!$A:$ADS,U$3,FALSE)</f>
        <v>1177</v>
      </c>
      <c r="V8" s="293">
        <f ca="1">VLOOKUP($B8,KOMBI!$A:$ADS,V$3,FALSE)</f>
        <v>2346</v>
      </c>
      <c r="W8" s="293"/>
      <c r="X8" s="293">
        <f ca="1">VLOOKUP($B8,KOMBI!$A:$ADS,X$3,FALSE)</f>
        <v>530.88499063732002</v>
      </c>
      <c r="Y8" s="293">
        <f ca="1">VLOOKUP($B8,KOMBI!$A:$ADS,Y$3,FALSE)</f>
        <v>507</v>
      </c>
      <c r="Z8" s="293">
        <f ca="1">VLOOKUP($B8,KOMBI!$A:$ADS,Z$3,FALSE)</f>
        <v>586.20000000000005</v>
      </c>
      <c r="AA8" s="293"/>
      <c r="AB8" s="293">
        <f ca="1">VLOOKUP($B8,KOMBI!$A:$ADS,AB$3,FALSE)</f>
        <v>15.25</v>
      </c>
      <c r="AC8" s="293">
        <f ca="1">VLOOKUP($B8,KOMBI!$A:$ADS,AC$3,FALSE)-AB8</f>
        <v>8.5</v>
      </c>
      <c r="AD8" s="293">
        <f ca="1">VLOOKUP($B8,KOMBI!$A:$ADS,AD$3,FALSE)</f>
        <v>8.68530937302436</v>
      </c>
      <c r="AE8" s="293">
        <f ca="1">VLOOKUP($B8,KOMBI!$A:$ADS,AE$3,FALSE)</f>
        <v>13.780000000000001</v>
      </c>
      <c r="AF8" s="293">
        <f ca="1">VLOOKUP($B8,KOMBI!$A:$ADS,AF$3,FALSE)-AE8</f>
        <v>9.7100000000000009</v>
      </c>
      <c r="AG8" s="293">
        <f ca="1">VLOOKUP($B8,KOMBI!$A:$ADS,AG$3,FALSE)</f>
        <v>8.1258333333333344</v>
      </c>
      <c r="AI8" s="293">
        <f t="array" aca="1" ref="AI8" ca="1">VLOOKUP($B8,KOMBI!$A:$ADS,MATCH(Tulem!AI$3,KOMBI!$A$1:$ADS$1,0),FALSE)</f>
        <v>0</v>
      </c>
      <c r="AJ8" s="293">
        <f t="array" aca="1" ref="AJ8" ca="1">VLOOKUP($B8,KOMBI!$A:$ADS,MATCH(Tulem!AJ$3,KOMBI!$A$1:$ADS$1,0),FALSE)</f>
        <v>11.489999999999998</v>
      </c>
      <c r="AK8" s="293">
        <f t="array" aca="1" ref="AK8" ca="1">VLOOKUP($B8,KOMBI!$A:$ADS,MATCH(Tulem!AK$3,KOMBI!$A$1:$ADS$1,0),FALSE)</f>
        <v>0</v>
      </c>
      <c r="AL8" s="293">
        <f t="array" aca="1" ref="AL8" ca="1">VLOOKUP($B8,KOMBI!$A:$ADS,MATCH(Tulem!AL$3,KOMBI!$A$1:$ADS$1,0),FALSE)</f>
        <v>3.65</v>
      </c>
      <c r="AM8" s="293">
        <f t="array" aca="1" ref="AM8" ca="1">VLOOKUP($B8,KOMBI!$A:$ADS,MATCH(Tulem!AM$3,KOMBI!$A$1:$ADS$1,0),FALSE)</f>
        <v>7.1</v>
      </c>
      <c r="AN8" s="293">
        <f t="array" aca="1" ref="AN8" ca="1">VLOOKUP($B8,KOMBI!$A:$ADS,MATCH(Tulem!AN$3,KOMBI!$A$1:$ADS$1,0),FALSE)</f>
        <v>11.5</v>
      </c>
      <c r="AO8" s="293">
        <f t="array" aca="1" ref="AO8" ca="1">VLOOKUP($B8,KOMBI!$A:$ADS,MATCH(Tulem!AO$3,KOMBI!$A$1:$ADS$1,0),FALSE)</f>
        <v>4.0999999999999996</v>
      </c>
      <c r="AP8" s="293">
        <f t="array" aca="1" ref="AP8" ca="1">VLOOKUP($B8,KOMBI!$A:$ADS,MATCH(Tulem!AP$3,KOMBI!$A$1:$ADS$1,0),FALSE)</f>
        <v>5.7045296564339489</v>
      </c>
      <c r="AQ8" s="293">
        <f t="array" aca="1" ref="AQ8" ca="1">VLOOKUP($B8,KOMBI!$A:$ADS,MATCH(Tulem!AQ$3,KOMBI!$A$1:$ADS$1,0),FALSE)</f>
        <v>0</v>
      </c>
      <c r="AR8" s="293">
        <f t="array" aca="1" ref="AR8" ca="1">VLOOKUP($B8,KOMBI!$A:$ADS,MATCH(Tulem!AR$3,KOMBI!$A$1:$ADS$1,0),FALSE)</f>
        <v>2.1219844082566364</v>
      </c>
      <c r="AS8" s="293">
        <f t="array" aca="1" ref="AS8" ca="1">VLOOKUP($B8,KOMBI!$A:$ADS,MATCH(Tulem!AS$3,KOMBI!$A$1:$ADS$1,0),FALSE)</f>
        <v>4.2799999999999994</v>
      </c>
      <c r="AT8" s="293">
        <f t="array" aca="1" ref="AT8" ca="1">VLOOKUP($B8,KOMBI!$A:$ADS,MATCH(Tulem!AT$3,KOMBI!$A$1:$ADS$1,0),FALSE)</f>
        <v>2.158015591743363</v>
      </c>
      <c r="AU8" s="293">
        <f t="array" aca="1" ref="AU8" ca="1">VLOOKUP($B8,KOMBI!$A:$ADS,MATCH(Tulem!AU$3,KOMBI!$A$1:$ADS$1,0),FALSE)</f>
        <v>0</v>
      </c>
      <c r="AV8" s="293">
        <f t="shared" ca="1" si="1"/>
        <v>3.65</v>
      </c>
      <c r="AW8" s="293">
        <f t="shared" ca="1" si="2"/>
        <v>0</v>
      </c>
      <c r="AX8" s="291">
        <f ca="1">VLOOKUP($B8,KOMBI!$A:$ACA,MATCH(AX$5,KOMBI!$10:$10,0),FALSE)</f>
        <v>0.57876561984549779</v>
      </c>
      <c r="AY8" s="292">
        <f t="array" aca="1" ref="AY8" ca="1">VLOOKUP($B8,KOMBI!$A:$ADS,MATCH(Tulem!AY$3,KOMBI!$A$1:$ADS$1,0),FALSE)</f>
        <v>10.67</v>
      </c>
      <c r="AZ8" s="292">
        <f t="array" aca="1" ref="AZ8" ca="1">VLOOKUP($B8,KOMBI!$A:$ADS,MATCH(Tulem!AZ$3,KOMBI!$A$1:$ADS$1,0),FALSE)</f>
        <v>0.55518194882771377</v>
      </c>
      <c r="BA8" s="292">
        <f t="array" aca="1" ref="BA8" ca="1">VLOOKUP($B8,KOMBI!$A:$ADS,MATCH(Tulem!BA$3,KOMBI!$A$1:$ADS$1,0),FALSE)</f>
        <v>2.5620074329845279E-2</v>
      </c>
      <c r="BB8" s="292">
        <f t="array" aca="1" ref="BB8" ca="1">VLOOKUP($B8,KOMBI!$A:$ADS,MATCH(Tulem!BB$3,KOMBI!$A$1:$ADS$1,0),FALSE)</f>
        <v>38.866388888888892</v>
      </c>
      <c r="BC8" s="292">
        <f t="array" aca="1" ref="BC8" ca="1">VLOOKUP($B8,KOMBI!$A:$ADS,MATCH(Tulem!BC$3,KOMBI!$A$1:$ADS$1,0),FALSE)</f>
        <v>1.177</v>
      </c>
      <c r="BD8" s="292">
        <f t="array" aca="1" ref="BD8" ca="1">VLOOKUP($B8,KOMBI!$A:$ADS,MATCH(Tulem!BD$3,KOMBI!$A$1:$ADS$1,0),FALSE)</f>
        <v>1.62408499063732</v>
      </c>
      <c r="BE8" s="292">
        <f t="array" aca="1" ref="BE8" ca="1">VLOOKUP($B8,KOMBI!$A:$ADS,MATCH(Tulem!BE$3,KOMBI!$A$1:$ADS$1,0),FALSE)</f>
        <v>16.029721793242818</v>
      </c>
      <c r="BF8" s="292">
        <f t="array" aca="1" ref="BF8" ca="1">VLOOKUP($B8,KOMBI!$A:$ADS,MATCH(Tulem!BF$3,KOMBI!$A$1:$ADS$1,0),FALSE)</f>
        <v>6.0056988012134216</v>
      </c>
      <c r="BG8" s="292">
        <f t="array" aca="1" ref="BG8" ca="1">VLOOKUP($B8,KOMBI!$A:$ADS,MATCH(Tulem!BG$3,KOMBI!$A$1:$ADS$1,0),FALSE)</f>
        <v>3.4793975506064014</v>
      </c>
      <c r="BH8" s="292">
        <f t="array" aca="1" ref="BH8" ca="1">VLOOKUP($B8,KOMBI!$A:$ADS,MATCH(Tulem!BH$3,KOMBI!$A$1:$ADS$1,0),FALSE)</f>
        <v>7.6038313570900957</v>
      </c>
      <c r="BI8" s="292">
        <f t="array" aca="1" ref="BI8" ca="1">VLOOKUP($B8,KOMBI!$A:$ADS,MATCH(Tulem!BI$3,KOMBI!$A$1:$ADS$1,0),FALSE)</f>
        <v>2.7810000000000001</v>
      </c>
      <c r="BJ8" s="292">
        <f t="array" aca="1" ref="BJ8" ca="1">VLOOKUP($B8,KOMBI!$A:$ADS,MATCH(Tulem!BJ$3,KOMBI!$A$1:$ADS$1,0),FALSE)</f>
        <v>0.19900000000000001</v>
      </c>
      <c r="BK8" s="292">
        <f t="array" aca="1" ref="BK8" ca="1">VLOOKUP($B8,KOMBI!$A:$ADS,MATCH(Tulem!BK$3,KOMBI!$A$1:$ADS$1,0),FALSE)</f>
        <v>0.72299999999999998</v>
      </c>
      <c r="BL8" s="292">
        <f t="array" aca="1" ref="BL8" ca="1">VLOOKUP($B8,KOMBI!$A:$ADS,MATCH(Tulem!BL$3,KOMBI!$A$1:$ADS$1,0),FALSE)</f>
        <v>1.7198849906373199</v>
      </c>
      <c r="BM8" s="292">
        <f t="array" aca="1" ref="BM8" ca="1">VLOOKUP($B8,KOMBI!$A:$ADS,MATCH(Tulem!BM$3,KOMBI!$A$1:$ADS$1,0),FALSE)</f>
        <v>90</v>
      </c>
      <c r="BN8" s="292">
        <f t="array" aca="1" ref="BN8" ca="1">VLOOKUP($B8,KOMBI!$A:$ADS,MATCH(Tulem!BN$3,KOMBI!$A$1:$ADS$1,0),FALSE)</f>
        <v>0.36609829488465395</v>
      </c>
      <c r="BO8" s="292">
        <f t="array" aca="1" ref="BO8" ca="1">VLOOKUP($B8,KOMBI!$A:$ADS,MATCH(Tulem!BO$3,KOMBI!$A$1:$ADS$1,0),FALSE)</f>
        <v>0.72887234460741646</v>
      </c>
      <c r="BP8" s="291"/>
      <c r="BQ8" s="292">
        <f t="array" aca="1" ref="BQ8" ca="1">VLOOKUP($B8,KOMBI!$A:$ADS,MATCH(Tulem!BQ$3,KOMBI!$A$1:$ADS$1,0),FALSE)</f>
        <v>9.532</v>
      </c>
      <c r="BR8" s="292">
        <f t="array" aca="1" ref="BR8" ca="1">VLOOKUP($B8,KOMBI!$A:$ADS,MATCH(Tulem!BR$3,KOMBI!$A$1:$ADS$1,0),FALSE)</f>
        <v>77</v>
      </c>
      <c r="BS8" s="292">
        <f t="array" aca="1" ref="BS8" ca="1">VLOOKUP($B8,KOMBI!$A:$ADS,MATCH(Tulem!BS$3,KOMBI!$A$1:$ADS$1,0),FALSE)</f>
        <v>8.8710000000000004</v>
      </c>
      <c r="BT8" s="292">
        <f t="array" aca="1" ref="BT8" ca="1">VLOOKUP($B8,KOMBI!$A:$ADS,MATCH(Tulem!BT$3,KOMBI!$A$1:$ADS$1,0),FALSE)</f>
        <v>35.222222222222221</v>
      </c>
      <c r="BU8" s="292">
        <f t="array" aca="1" ref="BU8" ca="1">VLOOKUP($B8,KOMBI!$A:$ADS,MATCH(Tulem!BU$3,KOMBI!$A$1:$ADS$1,0),FALSE)</f>
        <v>3.7702429999999998</v>
      </c>
      <c r="BV8" s="291"/>
      <c r="BW8" s="292">
        <f t="array" aca="1" ref="BW8" ca="1">VLOOKUP($B8,KOMBI!$A:$ADS,MATCH(Tulem!BW$3,KOMBI!$A$1:$ADS$1,0),FALSE)</f>
        <v>285.10000000000002</v>
      </c>
      <c r="BX8" s="291"/>
      <c r="BY8" s="291"/>
      <c r="BZ8" s="292">
        <f t="array" aca="1" ref="BZ8" ca="1">VLOOKUP($B8,KOMBI!$A:$ADS,MATCH(Tulem!BZ$3,KOMBI!$A$1:$ADS$1,0),FALSE)</f>
        <v>70.825729754367757</v>
      </c>
      <c r="CA8" s="292">
        <f t="array" aca="1" ref="CA8" ca="1">VLOOKUP($B8,KOMBI!$A:$ADS,MATCH(Tulem!CA$3,KOMBI!$A$1:$ADS$1,0),FALSE)</f>
        <v>-197.29831369909104</v>
      </c>
      <c r="CB8" s="292">
        <f t="array" aca="1" ref="CB8" ca="1">VLOOKUP($B8,KOMBI!$A:$ADS,MATCH(Tulem!CB$3,KOMBI!$A$1:$ADS$1,0),FALSE)</f>
        <v>0</v>
      </c>
      <c r="CC8" s="292">
        <f t="array" aca="1" ref="CC8" ca="1">VLOOKUP($B8,KOMBI!$A:$ADS,MATCH(Tulem!CC$3,KOMBI!$A$1:$ADS$1,0),FALSE)</f>
        <v>268.1240434534588</v>
      </c>
      <c r="CD8" s="292">
        <f t="array" aca="1" ref="CD8" ca="1">VLOOKUP($B8,KOMBI!$A:$ADS,MATCH(Tulem!CD$3,KOMBI!$A$1:$ADS$1,0),FALSE)</f>
        <v>519</v>
      </c>
      <c r="CF8" s="51">
        <f ca="1">VLOOKUP($B8,KOMBI!$A:$ACG,MATCH(CF$5,KOMBI!$10:$10,0),FALSE)</f>
        <v>0.64611056303807113</v>
      </c>
    </row>
    <row r="9" spans="1:84" s="51" customFormat="1" x14ac:dyDescent="0.2">
      <c r="A9" s="51">
        <v>4</v>
      </c>
      <c r="B9" s="51">
        <f ca="1">KOMBI!GI14</f>
        <v>127</v>
      </c>
      <c r="C9" s="51">
        <f t="shared" si="0"/>
        <v>4</v>
      </c>
      <c r="D9" s="290" t="str">
        <f ca="1">VLOOKUP(VLOOKUP($B9,KOMBI!$A:$H,3,FALSE),data!$I$27:$J$29,2,FALSE)</f>
        <v>Sekkuv/EÜ</v>
      </c>
      <c r="E9" s="290" t="str">
        <f ca="1">VLOOKUP(VLOOKUP($B9,KOMBI!$A:$H,2,FALSE),data!$I$21:$J$23,2,FALSE)</f>
        <v>Sekkuv</v>
      </c>
      <c r="F9" s="290" t="str">
        <f ca="1">VLOOKUP(VLOOKUP($B9,KOMBI!$A:$H,5,FALSE),data!$I$39:$J$41,2,FALSE)</f>
        <v>Mittesekkuv</v>
      </c>
      <c r="G9" s="290" t="str">
        <f ca="1">VLOOKUP(VLOOKUP($B9,KOMBI!$A:$H,4,FALSE),data!$I$32:$J$36,2,FALSE)</f>
        <v>TE</v>
      </c>
      <c r="I9" s="51">
        <f ca="1">VLOOKUP($B9,KOMBI!$A:$Z,MATCH(I$5,KOMBI!$10:$10,0),FALSE)</f>
        <v>6.3213672301352926</v>
      </c>
      <c r="J9" s="291">
        <f ca="1">VLOOKUP($B9,KOMBI!$A:$ADS,J$3,FALSE)</f>
        <v>1.5704517146665847E-2</v>
      </c>
      <c r="K9" s="291">
        <f ca="1">VLOOKUP($B9,KOMBI!$A:$ADS,K$3,FALSE)</f>
        <v>5.7861522028542292E-3</v>
      </c>
      <c r="L9" s="291">
        <f ca="1">VLOOKUP($B9,KOMBI!$A:$ADS,L$3,FALSE)</f>
        <v>2.5770516830088963E-3</v>
      </c>
      <c r="M9" s="291">
        <f ca="1">VLOOKUP($B9,KOMBI!$A:$ADS,M$3,FALSE)</f>
        <v>1.3248113808627037E-2</v>
      </c>
      <c r="N9" s="291">
        <f ca="1">VLOOKUP($B9,KOMBI!$A:$ADS,N$3,FALSE)</f>
        <v>-5.2811725469989391E-2</v>
      </c>
      <c r="O9" s="291">
        <f ca="1">VLOOKUP($B9,KOMBI!$A:$ADS,O$3,FALSE)</f>
        <v>-5.9790806986495262E-2</v>
      </c>
      <c r="P9" s="291">
        <f ca="1">VLOOKUP($B9,KOMBI!$A:$ADS,P$3,FALSE)</f>
        <v>-8.2821978067298727E-2</v>
      </c>
      <c r="Q9" s="292">
        <f t="array" aca="1" ref="Q9" ca="1">VLOOKUP($B9,KOMBI!$A:$ADS,MATCH(Tulem!Q$3,KOMBI!$A$1:$ADS$1,0),FALSE)</f>
        <v>401.554942830561</v>
      </c>
      <c r="S9" s="332">
        <f t="array" aca="1" ref="S9" ca="1">VLOOKUP($B9,KOMBI!$A:$ADS,MATCH(Tulem!S$3,KOMBI!$A$1:$ADS$1,0),FALSE)</f>
        <v>9912.7731572740686</v>
      </c>
      <c r="T9" s="293">
        <f ca="1">VLOOKUP($B9,KOMBI!$A:$ADS,T$3,FALSE)</f>
        <v>3728</v>
      </c>
      <c r="U9" s="293">
        <f ca="1">VLOOKUP($B9,KOMBI!$A:$ADS,U$3,FALSE)</f>
        <v>1177</v>
      </c>
      <c r="V9" s="293">
        <f ca="1">VLOOKUP($B9,KOMBI!$A:$ADS,V$3,FALSE)</f>
        <v>2346</v>
      </c>
      <c r="W9" s="293"/>
      <c r="X9" s="293">
        <f ca="1">VLOOKUP($B9,KOMBI!$A:$ADS,X$3,FALSE)</f>
        <v>530.88499063732002</v>
      </c>
      <c r="Y9" s="293">
        <f ca="1">VLOOKUP($B9,KOMBI!$A:$ADS,Y$3,FALSE)</f>
        <v>507</v>
      </c>
      <c r="Z9" s="293">
        <f ca="1">VLOOKUP($B9,KOMBI!$A:$ADS,Z$3,FALSE)</f>
        <v>0</v>
      </c>
      <c r="AA9" s="293"/>
      <c r="AB9" s="293">
        <f ca="1">VLOOKUP($B9,KOMBI!$A:$ADS,AB$3,FALSE)</f>
        <v>15.25</v>
      </c>
      <c r="AC9" s="293">
        <f ca="1">VLOOKUP($B9,KOMBI!$A:$ADS,AC$3,FALSE)-AB9</f>
        <v>8.5</v>
      </c>
      <c r="AD9" s="293">
        <f ca="1">VLOOKUP($B9,KOMBI!$A:$ADS,AD$3,FALSE)</f>
        <v>8.68530937302436</v>
      </c>
      <c r="AE9" s="293">
        <f ca="1">VLOOKUP($B9,KOMBI!$A:$ADS,AE$3,FALSE)</f>
        <v>13.780000000000001</v>
      </c>
      <c r="AF9" s="293">
        <f ca="1">VLOOKUP($B9,KOMBI!$A:$ADS,AF$3,FALSE)-AE9</f>
        <v>9.7100000000000009</v>
      </c>
      <c r="AG9" s="293">
        <f ca="1">VLOOKUP($B9,KOMBI!$A:$ADS,AG$3,FALSE)</f>
        <v>8.1258333333333344</v>
      </c>
      <c r="AI9" s="293">
        <f t="array" aca="1" ref="AI9" ca="1">VLOOKUP($B9,KOMBI!$A:$ADS,MATCH(Tulem!AI$3,KOMBI!$A$1:$ADS$1,0),FALSE)</f>
        <v>11.579999999999998</v>
      </c>
      <c r="AJ9" s="293">
        <f t="array" aca="1" ref="AJ9" ca="1">VLOOKUP($B9,KOMBI!$A:$ADS,MATCH(Tulem!AJ$3,KOMBI!$A$1:$ADS$1,0),FALSE)</f>
        <v>4.45</v>
      </c>
      <c r="AK9" s="293">
        <f t="array" aca="1" ref="AK9" ca="1">VLOOKUP($B9,KOMBI!$A:$ADS,MATCH(Tulem!AK$3,KOMBI!$A$1:$ADS$1,0),FALSE)</f>
        <v>9.19</v>
      </c>
      <c r="AL9" s="293">
        <f t="array" aca="1" ref="AL9" ca="1">VLOOKUP($B9,KOMBI!$A:$ADS,MATCH(Tulem!AL$3,KOMBI!$A$1:$ADS$1,0),FALSE)</f>
        <v>0.66</v>
      </c>
      <c r="AM9" s="293">
        <f t="array" aca="1" ref="AM9" ca="1">VLOOKUP($B9,KOMBI!$A:$ADS,MATCH(Tulem!AM$3,KOMBI!$A$1:$ADS$1,0),FALSE)</f>
        <v>7.1</v>
      </c>
      <c r="AN9" s="293">
        <f t="array" aca="1" ref="AN9" ca="1">VLOOKUP($B9,KOMBI!$A:$ADS,MATCH(Tulem!AN$3,KOMBI!$A$1:$ADS$1,0),FALSE)</f>
        <v>11.5</v>
      </c>
      <c r="AO9" s="293">
        <f t="array" aca="1" ref="AO9" ca="1">VLOOKUP($B9,KOMBI!$A:$ADS,MATCH(Tulem!AO$3,KOMBI!$A$1:$ADS$1,0),FALSE)</f>
        <v>4.0999999999999996</v>
      </c>
      <c r="AP9" s="293">
        <f t="array" aca="1" ref="AP9" ca="1">VLOOKUP($B9,KOMBI!$A:$ADS,MATCH(Tulem!AP$3,KOMBI!$A$1:$ADS$1,0),FALSE)</f>
        <v>5.7045296564339489</v>
      </c>
      <c r="AQ9" s="293">
        <f t="array" aca="1" ref="AQ9" ca="1">VLOOKUP($B9,KOMBI!$A:$ADS,MATCH(Tulem!AQ$3,KOMBI!$A$1:$ADS$1,0),FALSE)</f>
        <v>5.6837209302325586</v>
      </c>
      <c r="AR9" s="293">
        <f t="array" aca="1" ref="AR9" ca="1">VLOOKUP($B9,KOMBI!$A:$ADS,MATCH(Tulem!AR$3,KOMBI!$A$1:$ADS$1,0),FALSE)</f>
        <v>2.1219844082566364</v>
      </c>
      <c r="AS9" s="293">
        <f t="array" aca="1" ref="AS9" ca="1">VLOOKUP($B9,KOMBI!$A:$ADS,MATCH(Tulem!AS$3,KOMBI!$A$1:$ADS$1,0),FALSE)</f>
        <v>0</v>
      </c>
      <c r="AT9" s="293">
        <f t="array" aca="1" ref="AT9" ca="1">VLOOKUP($B9,KOMBI!$A:$ADS,MATCH(Tulem!AT$3,KOMBI!$A$1:$ADS$1,0),FALSE)</f>
        <v>0</v>
      </c>
      <c r="AU9" s="293">
        <f t="array" aca="1" ref="AU9" ca="1">VLOOKUP($B9,KOMBI!$A:$ADS,MATCH(Tulem!AU$3,KOMBI!$A$1:$ADS$1,0),FALSE)</f>
        <v>2.1219844082566364</v>
      </c>
      <c r="AV9" s="293">
        <f t="shared" ca="1" si="1"/>
        <v>0.66</v>
      </c>
      <c r="AW9" s="293">
        <f t="shared" ca="1" si="2"/>
        <v>0</v>
      </c>
      <c r="AX9" s="291">
        <f ca="1">VLOOKUP($B9,KOMBI!$A:$ACA,MATCH(AX$5,KOMBI!$10:$10,0),FALSE)</f>
        <v>0.50323675567433446</v>
      </c>
      <c r="AY9" s="292">
        <f t="array" aca="1" ref="AY9" ca="1">VLOOKUP($B9,KOMBI!$A:$ADS,MATCH(Tulem!AY$3,KOMBI!$A$1:$ADS$1,0),FALSE)</f>
        <v>6.08</v>
      </c>
      <c r="AZ9" s="292">
        <f t="array" aca="1" ref="AZ9" ca="1">VLOOKUP($B9,KOMBI!$A:$ADS,MATCH(Tulem!AZ$3,KOMBI!$A$1:$ADS$1,0),FALSE)</f>
        <v>0.51659368872597156</v>
      </c>
      <c r="BA9" s="292">
        <f t="array" aca="1" ref="BA9" ca="1">VLOOKUP($B9,KOMBI!$A:$ADS,MATCH(Tulem!BA$3,KOMBI!$A$1:$ADS$1,0),FALSE)</f>
        <v>9.3307678114868606E-2</v>
      </c>
      <c r="BB9" s="292">
        <f t="array" aca="1" ref="BB9" ca="1">VLOOKUP($B9,KOMBI!$A:$ADS,MATCH(Tulem!BB$3,KOMBI!$A$1:$ADS$1,0),FALSE)</f>
        <v>43.272900516795865</v>
      </c>
      <c r="BC9" s="292">
        <f t="array" aca="1" ref="BC9" ca="1">VLOOKUP($B9,KOMBI!$A:$ADS,MATCH(Tulem!BC$3,KOMBI!$A$1:$ADS$1,0),FALSE)</f>
        <v>4.9050000000000002</v>
      </c>
      <c r="BD9" s="292">
        <f t="array" aca="1" ref="BD9" ca="1">VLOOKUP($B9,KOMBI!$A:$ADS,MATCH(Tulem!BD$3,KOMBI!$A$1:$ADS$1,0),FALSE)</f>
        <v>1.03788499063732</v>
      </c>
      <c r="BE9" s="292">
        <f t="array" aca="1" ref="BE9" ca="1">VLOOKUP($B9,KOMBI!$A:$ADS,MATCH(Tulem!BE$3,KOMBI!$A$1:$ADS$1,0),FALSE)</f>
        <v>16.465861099430587</v>
      </c>
      <c r="BF9" s="292">
        <f t="array" aca="1" ref="BF9" ca="1">VLOOKUP($B9,KOMBI!$A:$ADS,MATCH(Tulem!BF$3,KOMBI!$A$1:$ADS$1,0),FALSE)</f>
        <v>11.219077976340797</v>
      </c>
      <c r="BG9" s="292">
        <f t="array" aca="1" ref="BG9" ca="1">VLOOKUP($B9,KOMBI!$A:$ADS,MATCH(Tulem!BG$3,KOMBI!$A$1:$ADS$1,0),FALSE)</f>
        <v>7.1502826922990277</v>
      </c>
      <c r="BH9" s="292">
        <f t="array" aca="1" ref="BH9" ca="1">VLOOKUP($B9,KOMBI!$A:$ADS,MATCH(Tulem!BH$3,KOMBI!$A$1:$ADS$1,0),FALSE)</f>
        <v>7.5743156794471025</v>
      </c>
      <c r="BI9" s="292">
        <f t="array" aca="1" ref="BI9" ca="1">VLOOKUP($B9,KOMBI!$A:$ADS,MATCH(Tulem!BI$3,KOMBI!$A$1:$ADS$1,0),FALSE)</f>
        <v>2.7810000000000001</v>
      </c>
      <c r="BJ9" s="292">
        <f t="array" aca="1" ref="BJ9" ca="1">VLOOKUP($B9,KOMBI!$A:$ADS,MATCH(Tulem!BJ$3,KOMBI!$A$1:$ADS$1,0),FALSE)</f>
        <v>0.19900000000000001</v>
      </c>
      <c r="BK9" s="292">
        <f t="array" aca="1" ref="BK9" ca="1">VLOOKUP($B9,KOMBI!$A:$ADS,MATCH(Tulem!BK$3,KOMBI!$A$1:$ADS$1,0),FALSE)</f>
        <v>0.72299999999999998</v>
      </c>
      <c r="BL9" s="292">
        <f t="array" aca="1" ref="BL9" ca="1">VLOOKUP($B9,KOMBI!$A:$ADS,MATCH(Tulem!BL$3,KOMBI!$A$1:$ADS$1,0),FALSE)</f>
        <v>2.7478849906373197</v>
      </c>
      <c r="BM9" s="292">
        <f t="array" aca="1" ref="BM9" ca="1">VLOOKUP($B9,KOMBI!$A:$ADS,MATCH(Tulem!BM$3,KOMBI!$A$1:$ADS$1,0),FALSE)</f>
        <v>90</v>
      </c>
      <c r="BN9" s="292">
        <f t="array" aca="1" ref="BN9" ca="1">VLOOKUP($B9,KOMBI!$A:$ADS,MATCH(Tulem!BN$3,KOMBI!$A$1:$ADS$1,0),FALSE)</f>
        <v>6.6265060240963902E-2</v>
      </c>
      <c r="BO9" s="292">
        <f t="array" aca="1" ref="BO9" ca="1">VLOOKUP($B9,KOMBI!$A:$ADS,MATCH(Tulem!BO$3,KOMBI!$A$1:$ADS$1,0),FALSE)</f>
        <v>1</v>
      </c>
      <c r="BP9" s="291"/>
      <c r="BQ9" s="292">
        <f t="array" aca="1" ref="BQ9" ca="1">VLOOKUP($B9,KOMBI!$A:$ADS,MATCH(Tulem!BQ$3,KOMBI!$A$1:$ADS$1,0),FALSE)</f>
        <v>9.7629999999999999</v>
      </c>
      <c r="BR9" s="292">
        <f t="array" aca="1" ref="BR9" ca="1">VLOOKUP($B9,KOMBI!$A:$ADS,MATCH(Tulem!BR$3,KOMBI!$A$1:$ADS$1,0),FALSE)</f>
        <v>68</v>
      </c>
      <c r="BS9" s="292">
        <f t="array" aca="1" ref="BS9" ca="1">VLOOKUP($B9,KOMBI!$A:$ADS,MATCH(Tulem!BS$3,KOMBI!$A$1:$ADS$1,0),FALSE)</f>
        <v>12.65</v>
      </c>
      <c r="BT9" s="292">
        <f t="array" aca="1" ref="BT9" ca="1">VLOOKUP($B9,KOMBI!$A:$ADS,MATCH(Tulem!BT$3,KOMBI!$A$1:$ADS$1,0),FALSE)</f>
        <v>57.012500000000003</v>
      </c>
      <c r="BU9" s="292">
        <f t="array" aca="1" ref="BU9" ca="1">VLOOKUP($B9,KOMBI!$A:$ADS,MATCH(Tulem!BU$3,KOMBI!$A$1:$ADS$1,0),FALSE)</f>
        <v>4.613632</v>
      </c>
      <c r="BV9" s="291"/>
      <c r="BW9" s="292">
        <f t="array" aca="1" ref="BW9" ca="1">VLOOKUP($B9,KOMBI!$A:$ADS,MATCH(Tulem!BW$3,KOMBI!$A$1:$ADS$1,0),FALSE)</f>
        <v>285</v>
      </c>
      <c r="BX9" s="291"/>
      <c r="BY9" s="291"/>
      <c r="BZ9" s="292">
        <f t="array" aca="1" ref="BZ9" ca="1">VLOOKUP($B9,KOMBI!$A:$ADS,MATCH(Tulem!BZ$3,KOMBI!$A$1:$ADS$1,0),FALSE)</f>
        <v>34.732793204047056</v>
      </c>
      <c r="CA9" s="292">
        <f t="array" aca="1" ref="CA9" ca="1">VLOOKUP($B9,KOMBI!$A:$ADS,MATCH(Tulem!CA$3,KOMBI!$A$1:$ADS$1,0),FALSE)</f>
        <v>-162.95750000000001</v>
      </c>
      <c r="CB9" s="292">
        <f t="array" aca="1" ref="CB9" ca="1">VLOOKUP($B9,KOMBI!$A:$ADS,MATCH(Tulem!CB$3,KOMBI!$A$1:$ADS$1,0),FALSE)</f>
        <v>0</v>
      </c>
      <c r="CC9" s="292">
        <f t="array" aca="1" ref="CC9" ca="1">VLOOKUP($B9,KOMBI!$A:$ADS,MATCH(Tulem!CC$3,KOMBI!$A$1:$ADS$1,0),FALSE)</f>
        <v>197.69029320404707</v>
      </c>
      <c r="CD9" s="292">
        <f t="array" aca="1" ref="CD9" ca="1">VLOOKUP($B9,KOMBI!$A:$ADS,MATCH(Tulem!CD$3,KOMBI!$A$1:$ADS$1,0),FALSE)</f>
        <v>574</v>
      </c>
      <c r="CF9" s="51">
        <f ca="1">VLOOKUP($B9,KOMBI!$A:$ACG,MATCH(CF$5,KOMBI!$10:$10,0),FALSE)</f>
        <v>0.41762821979641068</v>
      </c>
    </row>
    <row r="10" spans="1:84" s="51" customFormat="1" x14ac:dyDescent="0.2">
      <c r="A10" s="51">
        <v>5</v>
      </c>
      <c r="B10" s="51">
        <f ca="1">KOMBI!GI15</f>
        <v>131</v>
      </c>
      <c r="C10" s="51">
        <f t="shared" si="0"/>
        <v>5</v>
      </c>
      <c r="D10" s="290" t="str">
        <f ca="1">VLOOKUP(VLOOKUP($B10,KOMBI!$A:$H,3,FALSE),data!$I$27:$J$29,2,FALSE)</f>
        <v>Sekkuv/EÜ</v>
      </c>
      <c r="E10" s="290" t="str">
        <f ca="1">VLOOKUP(VLOOKUP($B10,KOMBI!$A:$H,2,FALSE),data!$I$21:$J$23,2,FALSE)</f>
        <v>Sekkuv</v>
      </c>
      <c r="F10" s="290" t="str">
        <f ca="1">VLOOKUP(VLOOKUP($B10,KOMBI!$A:$H,5,FALSE),data!$I$39:$J$41,2,FALSE)</f>
        <v>Vähe-sekkuv</v>
      </c>
      <c r="G10" s="290" t="str">
        <f ca="1">VLOOKUP(VLOOKUP($B10,KOMBI!$A:$H,4,FALSE),data!$I$32:$J$36,2,FALSE)</f>
        <v>TE++</v>
      </c>
      <c r="I10" s="51">
        <f ca="1">VLOOKUP($B10,KOMBI!$A:$Z,MATCH(I$5,KOMBI!$10:$10,0),FALSE)</f>
        <v>11.131980127717581</v>
      </c>
      <c r="J10" s="291">
        <f ca="1">VLOOKUP($B10,KOMBI!$A:$ADS,J$3,FALSE)</f>
        <v>1.9523373776371703E-2</v>
      </c>
      <c r="K10" s="291">
        <f ca="1">VLOOKUP($B10,KOMBI!$A:$ADS,K$3,FALSE)</f>
        <v>3.1968664093014101E-3</v>
      </c>
      <c r="L10" s="291">
        <f ca="1">VLOOKUP($B10,KOMBI!$A:$ADS,L$3,FALSE)</f>
        <v>3.1301767945774717E-3</v>
      </c>
      <c r="M10" s="291">
        <f ca="1">VLOOKUP($B10,KOMBI!$A:$ADS,M$3,FALSE)</f>
        <v>1.6525135283015201E-2</v>
      </c>
      <c r="N10" s="291">
        <f ca="1">VLOOKUP($B10,KOMBI!$A:$ADS,N$3,FALSE)</f>
        <v>-6.9057797429017853E-2</v>
      </c>
      <c r="O10" s="291">
        <f ca="1">VLOOKUP($B10,KOMBI!$A:$ADS,O$3,FALSE)</f>
        <v>-0.19833177977333061</v>
      </c>
      <c r="P10" s="291">
        <f ca="1">VLOOKUP($B10,KOMBI!$A:$ADS,P$3,FALSE)</f>
        <v>-0.13101783945164222</v>
      </c>
      <c r="Q10" s="292">
        <f t="array" aca="1" ref="Q10" ca="1">VLOOKUP($B10,KOMBI!$A:$ADS,MATCH(Tulem!Q$3,KOMBI!$A$1:$ADS$1,0),FALSE)</f>
        <v>504.62461225848671</v>
      </c>
      <c r="S10" s="332">
        <f t="array" aca="1" ref="S10" ca="1">VLOOKUP($B10,KOMBI!$A:$ADS,MATCH(Tulem!S$3,KOMBI!$A$1:$ADS$1,0),FALSE)</f>
        <v>10061.011486262587</v>
      </c>
      <c r="T10" s="293">
        <f ca="1">VLOOKUP($B10,KOMBI!$A:$ADS,T$3,FALSE)</f>
        <v>0</v>
      </c>
      <c r="U10" s="293">
        <f ca="1">VLOOKUP($B10,KOMBI!$A:$ADS,U$3,FALSE)</f>
        <v>1177</v>
      </c>
      <c r="V10" s="293">
        <f ca="1">VLOOKUP($B10,KOMBI!$A:$ADS,V$3,FALSE)</f>
        <v>2346</v>
      </c>
      <c r="W10" s="293"/>
      <c r="X10" s="293">
        <f ca="1">VLOOKUP($B10,KOMBI!$A:$ADS,X$3,FALSE)</f>
        <v>530.88499063732002</v>
      </c>
      <c r="Y10" s="293">
        <f ca="1">VLOOKUP($B10,KOMBI!$A:$ADS,Y$3,FALSE)</f>
        <v>507</v>
      </c>
      <c r="Z10" s="293">
        <f ca="1">VLOOKUP($B10,KOMBI!$A:$ADS,Z$3,FALSE)</f>
        <v>377.5</v>
      </c>
      <c r="AA10" s="293"/>
      <c r="AB10" s="293">
        <f ca="1">VLOOKUP($B10,KOMBI!$A:$ADS,AB$3,FALSE)</f>
        <v>15.25</v>
      </c>
      <c r="AC10" s="293">
        <f ca="1">VLOOKUP($B10,KOMBI!$A:$ADS,AC$3,FALSE)-AB10</f>
        <v>8.5</v>
      </c>
      <c r="AD10" s="293">
        <f ca="1">VLOOKUP($B10,KOMBI!$A:$ADS,AD$3,FALSE)</f>
        <v>8.68530937302436</v>
      </c>
      <c r="AE10" s="293">
        <f ca="1">VLOOKUP($B10,KOMBI!$A:$ADS,AE$3,FALSE)</f>
        <v>13.780000000000001</v>
      </c>
      <c r="AF10" s="293">
        <f ca="1">VLOOKUP($B10,KOMBI!$A:$ADS,AF$3,FALSE)-AE10</f>
        <v>9.7100000000000009</v>
      </c>
      <c r="AG10" s="293">
        <f ca="1">VLOOKUP($B10,KOMBI!$A:$ADS,AG$3,FALSE)</f>
        <v>8.1258333333333344</v>
      </c>
      <c r="AI10" s="293">
        <f t="array" aca="1" ref="AI10" ca="1">VLOOKUP($B10,KOMBI!$A:$ADS,MATCH(Tulem!AI$3,KOMBI!$A$1:$ADS$1,0),FALSE)</f>
        <v>0</v>
      </c>
      <c r="AJ10" s="293">
        <f t="array" aca="1" ref="AJ10" ca="1">VLOOKUP($B10,KOMBI!$A:$ADS,MATCH(Tulem!AJ$3,KOMBI!$A$1:$ADS$1,0),FALSE)</f>
        <v>11.489999999999998</v>
      </c>
      <c r="AK10" s="293">
        <f t="array" aca="1" ref="AK10" ca="1">VLOOKUP($B10,KOMBI!$A:$ADS,MATCH(Tulem!AK$3,KOMBI!$A$1:$ADS$1,0),FALSE)</f>
        <v>0</v>
      </c>
      <c r="AL10" s="293">
        <f t="array" aca="1" ref="AL10" ca="1">VLOOKUP($B10,KOMBI!$A:$ADS,MATCH(Tulem!AL$3,KOMBI!$A$1:$ADS$1,0),FALSE)</f>
        <v>3.65</v>
      </c>
      <c r="AM10" s="293">
        <f t="array" aca="1" ref="AM10" ca="1">VLOOKUP($B10,KOMBI!$A:$ADS,MATCH(Tulem!AM$3,KOMBI!$A$1:$ADS$1,0),FALSE)</f>
        <v>7.1</v>
      </c>
      <c r="AN10" s="293">
        <f t="array" aca="1" ref="AN10" ca="1">VLOOKUP($B10,KOMBI!$A:$ADS,MATCH(Tulem!AN$3,KOMBI!$A$1:$ADS$1,0),FALSE)</f>
        <v>11.5</v>
      </c>
      <c r="AO10" s="293">
        <f t="array" aca="1" ref="AO10" ca="1">VLOOKUP($B10,KOMBI!$A:$ADS,MATCH(Tulem!AO$3,KOMBI!$A$1:$ADS$1,0),FALSE)</f>
        <v>4.0999999999999996</v>
      </c>
      <c r="AP10" s="293">
        <f t="array" aca="1" ref="AP10" ca="1">VLOOKUP($B10,KOMBI!$A:$ADS,MATCH(Tulem!AP$3,KOMBI!$A$1:$ADS$1,0),FALSE)</f>
        <v>5.7045296564339489</v>
      </c>
      <c r="AQ10" s="293">
        <f t="array" aca="1" ref="AQ10" ca="1">VLOOKUP($B10,KOMBI!$A:$ADS,MATCH(Tulem!AQ$3,KOMBI!$A$1:$ADS$1,0),FALSE)</f>
        <v>0</v>
      </c>
      <c r="AR10" s="293">
        <f t="array" aca="1" ref="AR10" ca="1">VLOOKUP($B10,KOMBI!$A:$ADS,MATCH(Tulem!AR$3,KOMBI!$A$1:$ADS$1,0),FALSE)</f>
        <v>2.1219844082566364</v>
      </c>
      <c r="AS10" s="293">
        <f t="array" aca="1" ref="AS10" ca="1">VLOOKUP($B10,KOMBI!$A:$ADS,MATCH(Tulem!AS$3,KOMBI!$A$1:$ADS$1,0),FALSE)</f>
        <v>2.141</v>
      </c>
      <c r="AT10" s="293">
        <f t="array" aca="1" ref="AT10" ca="1">VLOOKUP($B10,KOMBI!$A:$ADS,MATCH(Tulem!AT$3,KOMBI!$A$1:$ADS$1,0),FALSE)</f>
        <v>1.9015591743363647E-2</v>
      </c>
      <c r="AU10" s="293">
        <f t="array" aca="1" ref="AU10" ca="1">VLOOKUP($B10,KOMBI!$A:$ADS,MATCH(Tulem!AU$3,KOMBI!$A$1:$ADS$1,0),FALSE)</f>
        <v>0</v>
      </c>
      <c r="AV10" s="293">
        <f t="shared" ca="1" si="1"/>
        <v>3.65</v>
      </c>
      <c r="AW10" s="293">
        <f t="shared" ca="1" si="2"/>
        <v>0</v>
      </c>
      <c r="AX10" s="291">
        <f ca="1">VLOOKUP($B10,KOMBI!$A:$ACA,MATCH(AX$5,KOMBI!$10:$10,0),FALSE)</f>
        <v>0.57876561984549779</v>
      </c>
      <c r="AY10" s="292">
        <f t="array" aca="1" ref="AY10" ca="1">VLOOKUP($B10,KOMBI!$A:$ADS,MATCH(Tulem!AY$3,KOMBI!$A$1:$ADS$1,0),FALSE)</f>
        <v>10.67</v>
      </c>
      <c r="AZ10" s="292">
        <f t="array" aca="1" ref="AZ10" ca="1">VLOOKUP($B10,KOMBI!$A:$ADS,MATCH(Tulem!AZ$3,KOMBI!$A$1:$ADS$1,0),FALSE)</f>
        <v>0.55518194882771377</v>
      </c>
      <c r="BA10" s="292">
        <f t="array" aca="1" ref="BA10" ca="1">VLOOKUP($B10,KOMBI!$A:$ADS,MATCH(Tulem!BA$3,KOMBI!$A$1:$ADS$1,0),FALSE)</f>
        <v>2.5620074329845279E-2</v>
      </c>
      <c r="BB10" s="292">
        <f t="array" aca="1" ref="BB10" ca="1">VLOOKUP($B10,KOMBI!$A:$ADS,MATCH(Tulem!BB$3,KOMBI!$A$1:$ADS$1,0),FALSE)</f>
        <v>38.866388888888892</v>
      </c>
      <c r="BC10" s="292">
        <f t="array" aca="1" ref="BC10" ca="1">VLOOKUP($B10,KOMBI!$A:$ADS,MATCH(Tulem!BC$3,KOMBI!$A$1:$ADS$1,0),FALSE)</f>
        <v>1.177</v>
      </c>
      <c r="BD10" s="292">
        <f t="array" aca="1" ref="BD10" ca="1">VLOOKUP($B10,KOMBI!$A:$ADS,MATCH(Tulem!BD$3,KOMBI!$A$1:$ADS$1,0),FALSE)</f>
        <v>1.4153849906373199</v>
      </c>
      <c r="BE10" s="292">
        <f t="array" aca="1" ref="BE10" ca="1">VLOOKUP($B10,KOMBI!$A:$ADS,MATCH(Tulem!BE$3,KOMBI!$A$1:$ADS$1,0),FALSE)</f>
        <v>16.029721793242818</v>
      </c>
      <c r="BF10" s="292">
        <f t="array" aca="1" ref="BF10" ca="1">VLOOKUP($B10,KOMBI!$A:$ADS,MATCH(Tulem!BF$3,KOMBI!$A$1:$ADS$1,0),FALSE)</f>
        <v>6.0056988012134216</v>
      </c>
      <c r="BG10" s="292">
        <f t="array" aca="1" ref="BG10" ca="1">VLOOKUP($B10,KOMBI!$A:$ADS,MATCH(Tulem!BG$3,KOMBI!$A$1:$ADS$1,0),FALSE)</f>
        <v>3.4793975506064014</v>
      </c>
      <c r="BH10" s="292">
        <f t="array" aca="1" ref="BH10" ca="1">VLOOKUP($B10,KOMBI!$A:$ADS,MATCH(Tulem!BH$3,KOMBI!$A$1:$ADS$1,0),FALSE)</f>
        <v>7.6038313570900957</v>
      </c>
      <c r="BI10" s="292">
        <f t="array" aca="1" ref="BI10" ca="1">VLOOKUP($B10,KOMBI!$A:$ADS,MATCH(Tulem!BI$3,KOMBI!$A$1:$ADS$1,0),FALSE)</f>
        <v>2.7810000000000001</v>
      </c>
      <c r="BJ10" s="292">
        <f t="array" aca="1" ref="BJ10" ca="1">VLOOKUP($B10,KOMBI!$A:$ADS,MATCH(Tulem!BJ$3,KOMBI!$A$1:$ADS$1,0),FALSE)</f>
        <v>0.19900000000000001</v>
      </c>
      <c r="BK10" s="292">
        <f t="array" aca="1" ref="BK10" ca="1">VLOOKUP($B10,KOMBI!$A:$ADS,MATCH(Tulem!BK$3,KOMBI!$A$1:$ADS$1,0),FALSE)</f>
        <v>0.72299999999999998</v>
      </c>
      <c r="BL10" s="292">
        <f t="array" aca="1" ref="BL10" ca="1">VLOOKUP($B10,KOMBI!$A:$ADS,MATCH(Tulem!BL$3,KOMBI!$A$1:$ADS$1,0),FALSE)</f>
        <v>1.7198849906373199</v>
      </c>
      <c r="BM10" s="292">
        <f t="array" aca="1" ref="BM10" ca="1">VLOOKUP($B10,KOMBI!$A:$ADS,MATCH(Tulem!BM$3,KOMBI!$A$1:$ADS$1,0),FALSE)</f>
        <v>90</v>
      </c>
      <c r="BN10" s="292">
        <f t="array" aca="1" ref="BN10" ca="1">VLOOKUP($B10,KOMBI!$A:$ADS,MATCH(Tulem!BN$3,KOMBI!$A$1:$ADS$1,0),FALSE)</f>
        <v>0.36609829488465395</v>
      </c>
      <c r="BO10" s="292">
        <f t="array" aca="1" ref="BO10" ca="1">VLOOKUP($B10,KOMBI!$A:$ADS,MATCH(Tulem!BO$3,KOMBI!$A$1:$ADS$1,0),FALSE)</f>
        <v>0.72887234460741657</v>
      </c>
      <c r="BP10" s="291"/>
      <c r="BQ10" s="292">
        <f t="array" aca="1" ref="BQ10" ca="1">VLOOKUP($B10,KOMBI!$A:$ADS,MATCH(Tulem!BQ$3,KOMBI!$A$1:$ADS$1,0),FALSE)</f>
        <v>9.3079999999999998</v>
      </c>
      <c r="BR10" s="292">
        <f t="array" aca="1" ref="BR10" ca="1">VLOOKUP($B10,KOMBI!$A:$ADS,MATCH(Tulem!BR$3,KOMBI!$A$1:$ADS$1,0),FALSE)</f>
        <v>75.400000000000006</v>
      </c>
      <c r="BS10" s="292">
        <f t="array" aca="1" ref="BS10" ca="1">VLOOKUP($B10,KOMBI!$A:$ADS,MATCH(Tulem!BS$3,KOMBI!$A$1:$ADS$1,0),FALSE)</f>
        <v>8.6189999999999998</v>
      </c>
      <c r="BT10" s="292">
        <f t="array" aca="1" ref="BT10" ca="1">VLOOKUP($B10,KOMBI!$A:$ADS,MATCH(Tulem!BT$3,KOMBI!$A$1:$ADS$1,0),FALSE)</f>
        <v>34.314166666666665</v>
      </c>
      <c r="BU10" s="292">
        <f t="array" aca="1" ref="BU10" ca="1">VLOOKUP($B10,KOMBI!$A:$ADS,MATCH(Tulem!BU$3,KOMBI!$A$1:$ADS$1,0),FALSE)</f>
        <v>3.676898</v>
      </c>
      <c r="BV10" s="291"/>
      <c r="BW10" s="292">
        <f t="array" aca="1" ref="BW10" ca="1">VLOOKUP($B10,KOMBI!$A:$ADS,MATCH(Tulem!BW$3,KOMBI!$A$1:$ADS$1,0),FALSE)</f>
        <v>285.10000000000002</v>
      </c>
      <c r="BX10" s="291"/>
      <c r="BY10" s="291"/>
      <c r="BZ10" s="292">
        <f t="array" aca="1" ref="BZ10" ca="1">VLOOKUP($B10,KOMBI!$A:$ADS,MATCH(Tulem!BZ$3,KOMBI!$A$1:$ADS$1,0),FALSE)</f>
        <v>54.271315395282812</v>
      </c>
      <c r="CA10" s="292">
        <f t="array" aca="1" ref="CA10" ca="1">VLOOKUP($B10,KOMBI!$A:$ADS,MATCH(Tulem!CA$3,KOMBI!$A$1:$ADS$1,0),FALSE)</f>
        <v>-178.19071988063212</v>
      </c>
      <c r="CB10" s="292">
        <f t="array" aca="1" ref="CB10" ca="1">VLOOKUP($B10,KOMBI!$A:$ADS,MATCH(Tulem!CB$3,KOMBI!$A$1:$ADS$1,0),FALSE)</f>
        <v>0</v>
      </c>
      <c r="CC10" s="292">
        <f t="array" aca="1" ref="CC10" ca="1">VLOOKUP($B10,KOMBI!$A:$ADS,MATCH(Tulem!CC$3,KOMBI!$A$1:$ADS$1,0),FALSE)</f>
        <v>232.46203527591493</v>
      </c>
      <c r="CD10" s="292">
        <f t="array" aca="1" ref="CD10" ca="1">VLOOKUP($B10,KOMBI!$A:$ADS,MATCH(Tulem!CD$3,KOMBI!$A$1:$ADS$1,0),FALSE)</f>
        <v>584</v>
      </c>
      <c r="CF10" s="51">
        <f ca="1">VLOOKUP($B10,KOMBI!$A:$ACG,MATCH(CF$5,KOMBI!$10:$10,0),FALSE)</f>
        <v>0.64611056303807113</v>
      </c>
    </row>
    <row r="11" spans="1:84" s="51" customFormat="1" x14ac:dyDescent="0.2">
      <c r="A11" s="51">
        <v>6</v>
      </c>
      <c r="B11" s="51">
        <f ca="1">KOMBI!GI16</f>
        <v>123</v>
      </c>
      <c r="C11" s="51">
        <f t="shared" si="0"/>
        <v>6</v>
      </c>
      <c r="D11" s="290" t="str">
        <f ca="1">VLOOKUP(VLOOKUP($B11,KOMBI!$A:$H,3,FALSE),data!$I$27:$J$29,2,FALSE)</f>
        <v>Sekkuv/EÜ</v>
      </c>
      <c r="E11" s="290" t="str">
        <f ca="1">VLOOKUP(VLOOKUP($B11,KOMBI!$A:$H,2,FALSE),data!$I$21:$J$23,2,FALSE)</f>
        <v>Sekkuv</v>
      </c>
      <c r="F11" s="290" t="str">
        <f ca="1">VLOOKUP(VLOOKUP($B11,KOMBI!$A:$H,5,FALSE),data!$I$39:$J$41,2,FALSE)</f>
        <v>Sekkuv</v>
      </c>
      <c r="G11" s="290" t="str">
        <f ca="1">VLOOKUP(VLOOKUP($B11,KOMBI!$A:$H,4,FALSE),data!$I$32:$J$36,2,FALSE)</f>
        <v>LIB</v>
      </c>
      <c r="I11" s="51">
        <f ca="1">VLOOKUP($B11,KOMBI!$A:$Z,MATCH(I$5,KOMBI!$10:$10,0),FALSE)</f>
        <v>7.4639793718541156</v>
      </c>
      <c r="J11" s="291">
        <f ca="1">VLOOKUP($B11,KOMBI!$A:$ADS,J$3,FALSE)</f>
        <v>2.2988458620406115E-2</v>
      </c>
      <c r="K11" s="291">
        <f ca="1">VLOOKUP($B11,KOMBI!$A:$ADS,K$3,FALSE)</f>
        <v>3.9278295680382526E-3</v>
      </c>
      <c r="L11" s="291">
        <f ca="1">VLOOKUP($B11,KOMBI!$A:$ADS,L$3,FALSE)</f>
        <v>4.7468294538898503E-3</v>
      </c>
      <c r="M11" s="291">
        <f ca="1">VLOOKUP($B11,KOMBI!$A:$ADS,M$3,FALSE)</f>
        <v>1.8443863490071936E-2</v>
      </c>
      <c r="N11" s="291">
        <f ca="1">VLOOKUP($B11,KOMBI!$A:$ADS,N$3,FALSE)</f>
        <v>-4.4633590055617761E-2</v>
      </c>
      <c r="O11" s="291">
        <f ca="1">VLOOKUP($B11,KOMBI!$A:$ADS,O$3,FALSE)</f>
        <v>-5.6886451781157449E-2</v>
      </c>
      <c r="P11" s="291">
        <f ca="1">VLOOKUP($B11,KOMBI!$A:$ADS,P$3,FALSE)</f>
        <v>-8.0572868854812421E-2</v>
      </c>
      <c r="Q11" s="292">
        <f t="array" aca="1" ref="Q11" ca="1">VLOOKUP($B11,KOMBI!$A:$ADS,MATCH(Tulem!Q$3,KOMBI!$A$1:$ADS$1,0),FALSE)</f>
        <v>592.05709121628752</v>
      </c>
      <c r="S11" s="332">
        <f t="array" aca="1" ref="S11" ca="1">VLOOKUP($B11,KOMBI!$A:$ADS,MATCH(Tulem!S$3,KOMBI!$A$1:$ADS$1,0),FALSE)</f>
        <v>12187.529827650869</v>
      </c>
      <c r="T11" s="293">
        <f ca="1">VLOOKUP($B11,KOMBI!$A:$ADS,T$3,FALSE)</f>
        <v>3729</v>
      </c>
      <c r="U11" s="293">
        <f ca="1">VLOOKUP($B11,KOMBI!$A:$ADS,U$3,FALSE)</f>
        <v>1177</v>
      </c>
      <c r="V11" s="293">
        <f ca="1">VLOOKUP($B11,KOMBI!$A:$ADS,V$3,FALSE)</f>
        <v>2346</v>
      </c>
      <c r="W11" s="293"/>
      <c r="X11" s="293">
        <f ca="1">VLOOKUP($B11,KOMBI!$A:$ADS,X$3,FALSE)</f>
        <v>530.88499063732002</v>
      </c>
      <c r="Y11" s="293">
        <f ca="1">VLOOKUP($B11,KOMBI!$A:$ADS,Y$3,FALSE)</f>
        <v>507</v>
      </c>
      <c r="Z11" s="293">
        <f ca="1">VLOOKUP($B11,KOMBI!$A:$ADS,Z$3,FALSE)</f>
        <v>586.20000000000005</v>
      </c>
      <c r="AA11" s="293"/>
      <c r="AB11" s="293">
        <f ca="1">VLOOKUP($B11,KOMBI!$A:$ADS,AB$3,FALSE)</f>
        <v>15.25</v>
      </c>
      <c r="AC11" s="293">
        <f ca="1">VLOOKUP($B11,KOMBI!$A:$ADS,AC$3,FALSE)-AB11</f>
        <v>8.5</v>
      </c>
      <c r="AD11" s="293">
        <f ca="1">VLOOKUP($B11,KOMBI!$A:$ADS,AD$3,FALSE)</f>
        <v>8.68530937302436</v>
      </c>
      <c r="AE11" s="293">
        <f ca="1">VLOOKUP($B11,KOMBI!$A:$ADS,AE$3,FALSE)</f>
        <v>13.780000000000001</v>
      </c>
      <c r="AF11" s="293">
        <f ca="1">VLOOKUP($B11,KOMBI!$A:$ADS,AF$3,FALSE)-AE11</f>
        <v>9.7100000000000009</v>
      </c>
      <c r="AG11" s="293">
        <f ca="1">VLOOKUP($B11,KOMBI!$A:$ADS,AG$3,FALSE)</f>
        <v>8.1258333333333344</v>
      </c>
      <c r="AI11" s="293">
        <f t="array" aca="1" ref="AI11" ca="1">VLOOKUP($B11,KOMBI!$A:$ADS,MATCH(Tulem!AI$3,KOMBI!$A$1:$ADS$1,0),FALSE)</f>
        <v>11.629999999999999</v>
      </c>
      <c r="AJ11" s="293">
        <f t="array" aca="1" ref="AJ11" ca="1">VLOOKUP($B11,KOMBI!$A:$ADS,MATCH(Tulem!AJ$3,KOMBI!$A$1:$ADS$1,0),FALSE)</f>
        <v>2.3100000000000005</v>
      </c>
      <c r="AK11" s="293">
        <f t="array" aca="1" ref="AK11" ca="1">VLOOKUP($B11,KOMBI!$A:$ADS,MATCH(Tulem!AK$3,KOMBI!$A$1:$ADS$1,0),FALSE)</f>
        <v>9.24</v>
      </c>
      <c r="AL11" s="293">
        <f t="array" aca="1" ref="AL11" ca="1">VLOOKUP($B11,KOMBI!$A:$ADS,MATCH(Tulem!AL$3,KOMBI!$A$1:$ADS$1,0),FALSE)</f>
        <v>2.78</v>
      </c>
      <c r="AM11" s="293">
        <f t="array" aca="1" ref="AM11" ca="1">VLOOKUP($B11,KOMBI!$A:$ADS,MATCH(Tulem!AM$3,KOMBI!$A$1:$ADS$1,0),FALSE)</f>
        <v>7.1</v>
      </c>
      <c r="AN11" s="293">
        <f t="array" aca="1" ref="AN11" ca="1">VLOOKUP($B11,KOMBI!$A:$ADS,MATCH(Tulem!AN$3,KOMBI!$A$1:$ADS$1,0),FALSE)</f>
        <v>11.5</v>
      </c>
      <c r="AO11" s="293">
        <f t="array" aca="1" ref="AO11" ca="1">VLOOKUP($B11,KOMBI!$A:$ADS,MATCH(Tulem!AO$3,KOMBI!$A$1:$ADS$1,0),FALSE)</f>
        <v>4.0999999999999996</v>
      </c>
      <c r="AP11" s="293">
        <f t="array" aca="1" ref="AP11" ca="1">VLOOKUP($B11,KOMBI!$A:$ADS,MATCH(Tulem!AP$3,KOMBI!$A$1:$ADS$1,0),FALSE)</f>
        <v>5.7045296564339489</v>
      </c>
      <c r="AQ11" s="293">
        <f t="array" aca="1" ref="AQ11" ca="1">VLOOKUP($B11,KOMBI!$A:$ADS,MATCH(Tulem!AQ$3,KOMBI!$A$1:$ADS$1,0),FALSE)</f>
        <v>5.6837209302325586</v>
      </c>
      <c r="AR11" s="293">
        <f t="array" aca="1" ref="AR11" ca="1">VLOOKUP($B11,KOMBI!$A:$ADS,MATCH(Tulem!AR$3,KOMBI!$A$1:$ADS$1,0),FALSE)</f>
        <v>2.1219844082566364</v>
      </c>
      <c r="AS11" s="293">
        <f t="array" aca="1" ref="AS11" ca="1">VLOOKUP($B11,KOMBI!$A:$ADS,MATCH(Tulem!AS$3,KOMBI!$A$1:$ADS$1,0),FALSE)</f>
        <v>4.2799999999999994</v>
      </c>
      <c r="AT11" s="293">
        <f t="array" aca="1" ref="AT11" ca="1">VLOOKUP($B11,KOMBI!$A:$ADS,MATCH(Tulem!AT$3,KOMBI!$A$1:$ADS$1,0),FALSE)</f>
        <v>2.158015591743363</v>
      </c>
      <c r="AU11" s="293">
        <f t="array" aca="1" ref="AU11" ca="1">VLOOKUP($B11,KOMBI!$A:$ADS,MATCH(Tulem!AU$3,KOMBI!$A$1:$ADS$1,0),FALSE)</f>
        <v>0</v>
      </c>
      <c r="AV11" s="293">
        <f t="shared" ca="1" si="1"/>
        <v>2.78</v>
      </c>
      <c r="AW11" s="293">
        <f t="shared" ca="1" si="2"/>
        <v>0</v>
      </c>
      <c r="AX11" s="291">
        <f ca="1">VLOOKUP($B11,KOMBI!$A:$ACA,MATCH(AX$5,KOMBI!$10:$10,0),FALSE)</f>
        <v>0.50399694699362874</v>
      </c>
      <c r="AY11" s="292">
        <f t="array" aca="1" ref="AY11" ca="1">VLOOKUP($B11,KOMBI!$A:$ADS,MATCH(Tulem!AY$3,KOMBI!$A$1:$ADS$1,0),FALSE)</f>
        <v>6.08</v>
      </c>
      <c r="AZ11" s="292">
        <f t="array" aca="1" ref="AZ11" ca="1">VLOOKUP($B11,KOMBI!$A:$ADS,MATCH(Tulem!AZ$3,KOMBI!$A$1:$ADS$1,0),FALSE)</f>
        <v>0.447957193299102</v>
      </c>
      <c r="BA11" s="292">
        <f t="array" aca="1" ref="BA11" ca="1">VLOOKUP($B11,KOMBI!$A:$ADS,MATCH(Tulem!BA$3,KOMBI!$A$1:$ADS$1,0),FALSE)</f>
        <v>2.5620074329845279E-2</v>
      </c>
      <c r="BB11" s="292">
        <f t="array" aca="1" ref="BB11" ca="1">VLOOKUP($B11,KOMBI!$A:$ADS,MATCH(Tulem!BB$3,KOMBI!$A$1:$ADS$1,0),FALSE)</f>
        <v>43.302900516795866</v>
      </c>
      <c r="BC11" s="292">
        <f t="array" aca="1" ref="BC11" ca="1">VLOOKUP($B11,KOMBI!$A:$ADS,MATCH(Tulem!BC$3,KOMBI!$A$1:$ADS$1,0),FALSE)</f>
        <v>4.9059999999999997</v>
      </c>
      <c r="BD11" s="292">
        <f t="array" aca="1" ref="BD11" ca="1">VLOOKUP($B11,KOMBI!$A:$ADS,MATCH(Tulem!BD$3,KOMBI!$A$1:$ADS$1,0),FALSE)</f>
        <v>1.62408499063732</v>
      </c>
      <c r="BE11" s="292">
        <f t="array" aca="1" ref="BE11" ca="1">VLOOKUP($B11,KOMBI!$A:$ADS,MATCH(Tulem!BE$3,KOMBI!$A$1:$ADS$1,0),FALSE)</f>
        <v>16.46</v>
      </c>
      <c r="BF11" s="292">
        <f t="array" aca="1" ref="BF11" ca="1">VLOOKUP($B11,KOMBI!$A:$ADS,MATCH(Tulem!BF$3,KOMBI!$A$1:$ADS$1,0),FALSE)</f>
        <v>11.220496548433506</v>
      </c>
      <c r="BG11" s="292">
        <f t="array" aca="1" ref="BG11" ca="1">VLOOKUP($B11,KOMBI!$A:$ADS,MATCH(Tulem!BG$3,KOMBI!$A$1:$ADS$1,0),FALSE)</f>
        <v>7.1506303115986807</v>
      </c>
      <c r="BH11" s="292">
        <f t="array" aca="1" ref="BH11" ca="1">VLOOKUP($B11,KOMBI!$A:$ADS,MATCH(Tulem!BH$3,KOMBI!$A$1:$ADS$1,0),FALSE)</f>
        <v>7.5609999999999999</v>
      </c>
      <c r="BI11" s="292">
        <f t="array" aca="1" ref="BI11" ca="1">VLOOKUP($B11,KOMBI!$A:$ADS,MATCH(Tulem!BI$3,KOMBI!$A$1:$ADS$1,0),FALSE)</f>
        <v>2.7810000000000001</v>
      </c>
      <c r="BJ11" s="292">
        <f t="array" aca="1" ref="BJ11" ca="1">VLOOKUP($B11,KOMBI!$A:$ADS,MATCH(Tulem!BJ$3,KOMBI!$A$1:$ADS$1,0),FALSE)</f>
        <v>0.19900000000000001</v>
      </c>
      <c r="BK11" s="292">
        <f t="array" aca="1" ref="BK11" ca="1">VLOOKUP($B11,KOMBI!$A:$ADS,MATCH(Tulem!BK$3,KOMBI!$A$1:$ADS$1,0),FALSE)</f>
        <v>0.72299999999999998</v>
      </c>
      <c r="BL11" s="292">
        <f t="array" aca="1" ref="BL11" ca="1">VLOOKUP($B11,KOMBI!$A:$ADS,MATCH(Tulem!BL$3,KOMBI!$A$1:$ADS$1,0),FALSE)</f>
        <v>2.7248849906373196</v>
      </c>
      <c r="BM11" s="292">
        <f t="array" aca="1" ref="BM11" ca="1">VLOOKUP($B11,KOMBI!$A:$ADS,MATCH(Tulem!BM$3,KOMBI!$A$1:$ADS$1,0),FALSE)</f>
        <v>90</v>
      </c>
      <c r="BN11" s="292">
        <f t="array" aca="1" ref="BN11" ca="1">VLOOKUP($B11,KOMBI!$A:$ADS,MATCH(Tulem!BN$3,KOMBI!$A$1:$ADS$1,0),FALSE)</f>
        <v>0.27911646586345373</v>
      </c>
      <c r="BO11" s="292">
        <f t="array" aca="1" ref="BO11" ca="1">VLOOKUP($B11,KOMBI!$A:$ADS,MATCH(Tulem!BO$3,KOMBI!$A$1:$ADS$1,0),FALSE)</f>
        <v>0.72887234460741646</v>
      </c>
      <c r="BP11" s="291"/>
      <c r="BQ11" s="292">
        <f t="array" aca="1" ref="BQ11" ca="1">VLOOKUP($B11,KOMBI!$A:$ADS,MATCH(Tulem!BQ$3,KOMBI!$A$1:$ADS$1,0),FALSE)</f>
        <v>9.9949999999999992</v>
      </c>
      <c r="BR11" s="292">
        <f t="array" aca="1" ref="BR11" ca="1">VLOOKUP($B11,KOMBI!$A:$ADS,MATCH(Tulem!BR$3,KOMBI!$A$1:$ADS$1,0),FALSE)</f>
        <v>69</v>
      </c>
      <c r="BS11" s="292">
        <f t="array" aca="1" ref="BS11" ca="1">VLOOKUP($B11,KOMBI!$A:$ADS,MATCH(Tulem!BS$3,KOMBI!$A$1:$ADS$1,0),FALSE)</f>
        <v>12.974</v>
      </c>
      <c r="BT11" s="292">
        <f t="array" aca="1" ref="BT11" ca="1">VLOOKUP($B11,KOMBI!$A:$ADS,MATCH(Tulem!BT$3,KOMBI!$A$1:$ADS$1,0),FALSE)</f>
        <v>58.247500000000002</v>
      </c>
      <c r="BU11" s="292">
        <f t="array" aca="1" ref="BU11" ca="1">VLOOKUP($B11,KOMBI!$A:$ADS,MATCH(Tulem!BU$3,KOMBI!$A$1:$ADS$1,0),FALSE)</f>
        <v>4.7186810000000001</v>
      </c>
      <c r="BV11" s="291"/>
      <c r="BW11" s="292">
        <f t="array" aca="1" ref="BW11" ca="1">VLOOKUP($B11,KOMBI!$A:$ADS,MATCH(Tulem!BW$3,KOMBI!$A$1:$ADS$1,0),FALSE)</f>
        <v>285</v>
      </c>
      <c r="BX11" s="291"/>
      <c r="BY11" s="291"/>
      <c r="BZ11" s="292">
        <f t="array" aca="1" ref="BZ11" ca="1">VLOOKUP($B11,KOMBI!$A:$ADS,MATCH(Tulem!BZ$3,KOMBI!$A$1:$ADS$1,0),FALSE)</f>
        <v>57.433268853440438</v>
      </c>
      <c r="CA11" s="292">
        <f t="array" aca="1" ref="CA11" ca="1">VLOOKUP($B11,KOMBI!$A:$ADS,MATCH(Tulem!CA$3,KOMBI!$A$1:$ADS$1,0),FALSE)</f>
        <v>-197.29831369909104</v>
      </c>
      <c r="CB11" s="292">
        <f t="array" aca="1" ref="CB11" ca="1">VLOOKUP($B11,KOMBI!$A:$ADS,MATCH(Tulem!CB$3,KOMBI!$A$1:$ADS$1,0),FALSE)</f>
        <v>0</v>
      </c>
      <c r="CC11" s="292">
        <f t="array" aca="1" ref="CC11" ca="1">VLOOKUP($B11,KOMBI!$A:$ADS,MATCH(Tulem!CC$3,KOMBI!$A$1:$ADS$1,0),FALSE)</f>
        <v>254.73158255253148</v>
      </c>
      <c r="CD11" s="292">
        <f t="array" aca="1" ref="CD11" ca="1">VLOOKUP($B11,KOMBI!$A:$ADS,MATCH(Tulem!CD$3,KOMBI!$A$1:$ADS$1,0),FALSE)</f>
        <v>598</v>
      </c>
      <c r="CF11" s="51">
        <f ca="1">VLOOKUP($B11,KOMBI!$A:$ACG,MATCH(CF$5,KOMBI!$10:$10,0),FALSE)</f>
        <v>0.36791956700630501</v>
      </c>
    </row>
    <row r="12" spans="1:84" s="51" customFormat="1" x14ac:dyDescent="0.2">
      <c r="A12" s="51">
        <v>7</v>
      </c>
      <c r="B12" s="51">
        <f ca="1">KOMBI!GI17</f>
        <v>126</v>
      </c>
      <c r="C12" s="51">
        <f t="shared" si="0"/>
        <v>7</v>
      </c>
      <c r="D12" s="290" t="str">
        <f ca="1">VLOOKUP(VLOOKUP($B12,KOMBI!$A:$H,3,FALSE),data!$I$27:$J$29,2,FALSE)</f>
        <v>Sekkuv/EÜ</v>
      </c>
      <c r="E12" s="290" t="str">
        <f ca="1">VLOOKUP(VLOOKUP($B12,KOMBI!$A:$H,2,FALSE),data!$I$21:$J$23,2,FALSE)</f>
        <v>Sekkuv</v>
      </c>
      <c r="F12" s="290" t="str">
        <f ca="1">VLOOKUP(VLOOKUP($B12,KOMBI!$A:$H,5,FALSE),data!$I$39:$J$41,2,FALSE)</f>
        <v>Sekkuv</v>
      </c>
      <c r="G12" s="290" t="str">
        <f ca="1">VLOOKUP(VLOOKUP($B12,KOMBI!$A:$H,4,FALSE),data!$I$32:$J$36,2,FALSE)</f>
        <v>LIB+</v>
      </c>
      <c r="I12" s="51">
        <f ca="1">VLOOKUP($B12,KOMBI!$A:$Z,MATCH(I$5,KOMBI!$10:$10,0),FALSE)</f>
        <v>7.4673992044735735</v>
      </c>
      <c r="J12" s="291">
        <f ca="1">VLOOKUP($B12,KOMBI!$A:$ADS,J$3,FALSE)</f>
        <v>2.3027319396337956E-2</v>
      </c>
      <c r="K12" s="291">
        <f ca="1">VLOOKUP($B12,KOMBI!$A:$ADS,K$3,FALSE)</f>
        <v>3.8950770360724413E-3</v>
      </c>
      <c r="L12" s="291">
        <f ca="1">VLOOKUP($B12,KOMBI!$A:$ADS,L$3,FALSE)</f>
        <v>4.7638269510273112E-3</v>
      </c>
      <c r="M12" s="291">
        <f ca="1">VLOOKUP($B12,KOMBI!$A:$ADS,M$3,FALSE)</f>
        <v>1.8465729278375448E-2</v>
      </c>
      <c r="N12" s="291">
        <f ca="1">VLOOKUP($B12,KOMBI!$A:$ADS,N$3,FALSE)</f>
        <v>-4.4615093204880732E-2</v>
      </c>
      <c r="O12" s="291">
        <f ca="1">VLOOKUP($B12,KOMBI!$A:$ADS,O$3,FALSE)</f>
        <v>-5.6865591496040487E-2</v>
      </c>
      <c r="P12" s="291">
        <f ca="1">VLOOKUP($B12,KOMBI!$A:$ADS,P$3,FALSE)</f>
        <v>-8.053480666007512E-2</v>
      </c>
      <c r="Q12" s="292">
        <f t="array" aca="1" ref="Q12" ca="1">VLOOKUP($B12,KOMBI!$A:$ADS,MATCH(Tulem!Q$3,KOMBI!$A$1:$ADS$1,0),FALSE)</f>
        <v>592.64071053277144</v>
      </c>
      <c r="S12" s="332">
        <f t="array" aca="1" ref="S12" ca="1">VLOOKUP($B12,KOMBI!$A:$ADS,MATCH(Tulem!S$3,KOMBI!$A$1:$ADS$1,0),FALSE)</f>
        <v>12189.313767545531</v>
      </c>
      <c r="T12" s="293">
        <f ca="1">VLOOKUP($B12,KOMBI!$A:$ADS,T$3,FALSE)</f>
        <v>3761</v>
      </c>
      <c r="U12" s="293">
        <f ca="1">VLOOKUP($B12,KOMBI!$A:$ADS,U$3,FALSE)</f>
        <v>1177</v>
      </c>
      <c r="V12" s="293">
        <f ca="1">VLOOKUP($B12,KOMBI!$A:$ADS,V$3,FALSE)</f>
        <v>2346</v>
      </c>
      <c r="W12" s="293"/>
      <c r="X12" s="293">
        <f ca="1">VLOOKUP($B12,KOMBI!$A:$ADS,X$3,FALSE)</f>
        <v>530.88499063732002</v>
      </c>
      <c r="Y12" s="293">
        <f ca="1">VLOOKUP($B12,KOMBI!$A:$ADS,Y$3,FALSE)</f>
        <v>507</v>
      </c>
      <c r="Z12" s="293">
        <f ca="1">VLOOKUP($B12,KOMBI!$A:$ADS,Z$3,FALSE)</f>
        <v>586.20000000000005</v>
      </c>
      <c r="AA12" s="293"/>
      <c r="AB12" s="293">
        <f ca="1">VLOOKUP($B12,KOMBI!$A:$ADS,AB$3,FALSE)</f>
        <v>15.25</v>
      </c>
      <c r="AC12" s="293">
        <f ca="1">VLOOKUP($B12,KOMBI!$A:$ADS,AC$3,FALSE)-AB12</f>
        <v>8.5</v>
      </c>
      <c r="AD12" s="293">
        <f ca="1">VLOOKUP($B12,KOMBI!$A:$ADS,AD$3,FALSE)</f>
        <v>8.68530937302436</v>
      </c>
      <c r="AE12" s="293">
        <f ca="1">VLOOKUP($B12,KOMBI!$A:$ADS,AE$3,FALSE)</f>
        <v>13.780000000000001</v>
      </c>
      <c r="AF12" s="293">
        <f ca="1">VLOOKUP($B12,KOMBI!$A:$ADS,AF$3,FALSE)-AE12</f>
        <v>9.7100000000000009</v>
      </c>
      <c r="AG12" s="293">
        <f ca="1">VLOOKUP($B12,KOMBI!$A:$ADS,AG$3,FALSE)</f>
        <v>8.1258333333333344</v>
      </c>
      <c r="AI12" s="293">
        <f t="array" aca="1" ref="AI12" ca="1">VLOOKUP($B12,KOMBI!$A:$ADS,MATCH(Tulem!AI$3,KOMBI!$A$1:$ADS$1,0),FALSE)</f>
        <v>11.64</v>
      </c>
      <c r="AJ12" s="293">
        <f t="array" aca="1" ref="AJ12" ca="1">VLOOKUP($B12,KOMBI!$A:$ADS,MATCH(Tulem!AJ$3,KOMBI!$A$1:$ADS$1,0),FALSE)</f>
        <v>2.3100000000000005</v>
      </c>
      <c r="AK12" s="293">
        <f t="array" aca="1" ref="AK12" ca="1">VLOOKUP($B12,KOMBI!$A:$ADS,MATCH(Tulem!AK$3,KOMBI!$A$1:$ADS$1,0),FALSE)</f>
        <v>9.25</v>
      </c>
      <c r="AL12" s="293">
        <f t="array" aca="1" ref="AL12" ca="1">VLOOKUP($B12,KOMBI!$A:$ADS,MATCH(Tulem!AL$3,KOMBI!$A$1:$ADS$1,0),FALSE)</f>
        <v>2.78</v>
      </c>
      <c r="AM12" s="293">
        <f t="array" aca="1" ref="AM12" ca="1">VLOOKUP($B12,KOMBI!$A:$ADS,MATCH(Tulem!AM$3,KOMBI!$A$1:$ADS$1,0),FALSE)</f>
        <v>7.1</v>
      </c>
      <c r="AN12" s="293">
        <f t="array" aca="1" ref="AN12" ca="1">VLOOKUP($B12,KOMBI!$A:$ADS,MATCH(Tulem!AN$3,KOMBI!$A$1:$ADS$1,0),FALSE)</f>
        <v>11.5</v>
      </c>
      <c r="AO12" s="293">
        <f t="array" aca="1" ref="AO12" ca="1">VLOOKUP($B12,KOMBI!$A:$ADS,MATCH(Tulem!AO$3,KOMBI!$A$1:$ADS$1,0),FALSE)</f>
        <v>4.0999999999999996</v>
      </c>
      <c r="AP12" s="293">
        <f t="array" aca="1" ref="AP12" ca="1">VLOOKUP($B12,KOMBI!$A:$ADS,MATCH(Tulem!AP$3,KOMBI!$A$1:$ADS$1,0),FALSE)</f>
        <v>5.7045296564339489</v>
      </c>
      <c r="AQ12" s="293">
        <f t="array" aca="1" ref="AQ12" ca="1">VLOOKUP($B12,KOMBI!$A:$ADS,MATCH(Tulem!AQ$3,KOMBI!$A$1:$ADS$1,0),FALSE)</f>
        <v>5.6837209302325586</v>
      </c>
      <c r="AR12" s="293">
        <f t="array" aca="1" ref="AR12" ca="1">VLOOKUP($B12,KOMBI!$A:$ADS,MATCH(Tulem!AR$3,KOMBI!$A$1:$ADS$1,0),FALSE)</f>
        <v>2.1219844082566364</v>
      </c>
      <c r="AS12" s="293">
        <f t="array" aca="1" ref="AS12" ca="1">VLOOKUP($B12,KOMBI!$A:$ADS,MATCH(Tulem!AS$3,KOMBI!$A$1:$ADS$1,0),FALSE)</f>
        <v>4.2799999999999994</v>
      </c>
      <c r="AT12" s="293">
        <f t="array" aca="1" ref="AT12" ca="1">VLOOKUP($B12,KOMBI!$A:$ADS,MATCH(Tulem!AT$3,KOMBI!$A$1:$ADS$1,0),FALSE)</f>
        <v>2.158015591743363</v>
      </c>
      <c r="AU12" s="293">
        <f t="array" aca="1" ref="AU12" ca="1">VLOOKUP($B12,KOMBI!$A:$ADS,MATCH(Tulem!AU$3,KOMBI!$A$1:$ADS$1,0),FALSE)</f>
        <v>0</v>
      </c>
      <c r="AV12" s="293">
        <f t="shared" ca="1" si="1"/>
        <v>2.78</v>
      </c>
      <c r="AW12" s="293">
        <f t="shared" ca="1" si="2"/>
        <v>0</v>
      </c>
      <c r="AX12" s="291">
        <f ca="1">VLOOKUP($B12,KOMBI!$A:$ACA,MATCH(AX$5,KOMBI!$10:$10,0),FALSE)</f>
        <v>0.50411146323407641</v>
      </c>
      <c r="AY12" s="292">
        <f t="array" aca="1" ref="AY12" ca="1">VLOOKUP($B12,KOMBI!$A:$ADS,MATCH(Tulem!AY$3,KOMBI!$A$1:$ADS$1,0),FALSE)</f>
        <v>6.08</v>
      </c>
      <c r="AZ12" s="292">
        <f t="array" aca="1" ref="AZ12" ca="1">VLOOKUP($B12,KOMBI!$A:$ADS,MATCH(Tulem!AZ$3,KOMBI!$A$1:$ADS$1,0),FALSE)</f>
        <v>0.447957193299102</v>
      </c>
      <c r="BA12" s="292">
        <f t="array" aca="1" ref="BA12" ca="1">VLOOKUP($B12,KOMBI!$A:$ADS,MATCH(Tulem!BA$3,KOMBI!$A$1:$ADS$1,0),FALSE)</f>
        <v>2.5620074329845279E-2</v>
      </c>
      <c r="BB12" s="292">
        <f t="array" aca="1" ref="BB12" ca="1">VLOOKUP($B12,KOMBI!$A:$ADS,MATCH(Tulem!BB$3,KOMBI!$A$1:$ADS$1,0),FALSE)</f>
        <v>43.312900516795864</v>
      </c>
      <c r="BC12" s="292">
        <f t="array" aca="1" ref="BC12" ca="1">VLOOKUP($B12,KOMBI!$A:$ADS,MATCH(Tulem!BC$3,KOMBI!$A$1:$ADS$1,0),FALSE)</f>
        <v>4.9379999999999997</v>
      </c>
      <c r="BD12" s="292">
        <f t="array" aca="1" ref="BD12" ca="1">VLOOKUP($B12,KOMBI!$A:$ADS,MATCH(Tulem!BD$3,KOMBI!$A$1:$ADS$1,0),FALSE)</f>
        <v>1.62408499063732</v>
      </c>
      <c r="BE12" s="292">
        <f t="array" aca="1" ref="BE12" ca="1">VLOOKUP($B12,KOMBI!$A:$ADS,MATCH(Tulem!BE$3,KOMBI!$A$1:$ADS$1,0),FALSE)</f>
        <v>16.462578011574536</v>
      </c>
      <c r="BF12" s="292">
        <f t="array" aca="1" ref="BF12" ca="1">VLOOKUP($B12,KOMBI!$A:$ADS,MATCH(Tulem!BF$3,KOMBI!$A$1:$ADS$1,0),FALSE)</f>
        <v>11.219077976340797</v>
      </c>
      <c r="BG12" s="292">
        <f t="array" aca="1" ref="BG12" ca="1">VLOOKUP($B12,KOMBI!$A:$ADS,MATCH(Tulem!BG$3,KOMBI!$A$1:$ADS$1,0),FALSE)</f>
        <v>7.1831111109201009</v>
      </c>
      <c r="BH12" s="292">
        <f t="array" aca="1" ref="BH12" ca="1">VLOOKUP($B12,KOMBI!$A:$ADS,MATCH(Tulem!BH$3,KOMBI!$A$1:$ADS$1,0),FALSE)</f>
        <v>7.5717605777489068</v>
      </c>
      <c r="BI12" s="292">
        <f t="array" aca="1" ref="BI12" ca="1">VLOOKUP($B12,KOMBI!$A:$ADS,MATCH(Tulem!BI$3,KOMBI!$A$1:$ADS$1,0),FALSE)</f>
        <v>2.7810000000000001</v>
      </c>
      <c r="BJ12" s="292">
        <f t="array" aca="1" ref="BJ12" ca="1">VLOOKUP($B12,KOMBI!$A:$ADS,MATCH(Tulem!BJ$3,KOMBI!$A$1:$ADS$1,0),FALSE)</f>
        <v>0.19900000000000001</v>
      </c>
      <c r="BK12" s="292">
        <f t="array" aca="1" ref="BK12" ca="1">VLOOKUP($B12,KOMBI!$A:$ADS,MATCH(Tulem!BK$3,KOMBI!$A$1:$ADS$1,0),FALSE)</f>
        <v>0.72299999999999998</v>
      </c>
      <c r="BL12" s="292">
        <f t="array" aca="1" ref="BL12" ca="1">VLOOKUP($B12,KOMBI!$A:$ADS,MATCH(Tulem!BL$3,KOMBI!$A$1:$ADS$1,0),FALSE)</f>
        <v>3.4398849906373199</v>
      </c>
      <c r="BM12" s="292">
        <f t="array" aca="1" ref="BM12" ca="1">VLOOKUP($B12,KOMBI!$A:$ADS,MATCH(Tulem!BM$3,KOMBI!$A$1:$ADS$1,0),FALSE)</f>
        <v>90</v>
      </c>
      <c r="BN12" s="292">
        <f t="array" aca="1" ref="BN12" ca="1">VLOOKUP($B12,KOMBI!$A:$ADS,MATCH(Tulem!BN$3,KOMBI!$A$1:$ADS$1,0),FALSE)</f>
        <v>0.27911646586345373</v>
      </c>
      <c r="BO12" s="292">
        <f t="array" aca="1" ref="BO12" ca="1">VLOOKUP($B12,KOMBI!$A:$ADS,MATCH(Tulem!BO$3,KOMBI!$A$1:$ADS$1,0),FALSE)</f>
        <v>0.72887234460741646</v>
      </c>
      <c r="BP12" s="291"/>
      <c r="BQ12" s="292">
        <f t="array" aca="1" ref="BQ12" ca="1">VLOOKUP($B12,KOMBI!$A:$ADS,MATCH(Tulem!BQ$3,KOMBI!$A$1:$ADS$1,0),FALSE)</f>
        <v>9.9949999999999992</v>
      </c>
      <c r="BR12" s="292">
        <f t="array" aca="1" ref="BR12" ca="1">VLOOKUP($B12,KOMBI!$A:$ADS,MATCH(Tulem!BR$3,KOMBI!$A$1:$ADS$1,0),FALSE)</f>
        <v>69</v>
      </c>
      <c r="BS12" s="292">
        <f t="array" aca="1" ref="BS12" ca="1">VLOOKUP($B12,KOMBI!$A:$ADS,MATCH(Tulem!BS$3,KOMBI!$A$1:$ADS$1,0),FALSE)</f>
        <v>12.976000000000001</v>
      </c>
      <c r="BT12" s="292">
        <f t="array" aca="1" ref="BT12" ca="1">VLOOKUP($B12,KOMBI!$A:$ADS,MATCH(Tulem!BT$3,KOMBI!$A$1:$ADS$1,0),FALSE)</f>
        <v>58.254999999999995</v>
      </c>
      <c r="BU12" s="292">
        <f t="array" aca="1" ref="BU12" ca="1">VLOOKUP($B12,KOMBI!$A:$ADS,MATCH(Tulem!BU$3,KOMBI!$A$1:$ADS$1,0),FALSE)</f>
        <v>4.7192499999999997</v>
      </c>
      <c r="BV12" s="291"/>
      <c r="BW12" s="292">
        <f t="array" aca="1" ref="BW12" ca="1">VLOOKUP($B12,KOMBI!$A:$ADS,MATCH(Tulem!BW$3,KOMBI!$A$1:$ADS$1,0),FALSE)</f>
        <v>285</v>
      </c>
      <c r="BX12" s="291"/>
      <c r="BY12" s="291"/>
      <c r="BZ12" s="292">
        <f t="array" aca="1" ref="BZ12" ca="1">VLOOKUP($B12,KOMBI!$A:$ADS,MATCH(Tulem!BZ$3,KOMBI!$A$1:$ADS$1,0),FALSE)</f>
        <v>57.630673608114023</v>
      </c>
      <c r="CA12" s="292">
        <f t="array" aca="1" ref="CA12" ca="1">VLOOKUP($B12,KOMBI!$A:$ADS,MATCH(Tulem!CA$3,KOMBI!$A$1:$ADS$1,0),FALSE)</f>
        <v>-197.29831369909104</v>
      </c>
      <c r="CB12" s="292">
        <f t="array" aca="1" ref="CB12" ca="1">VLOOKUP($B12,KOMBI!$A:$ADS,MATCH(Tulem!CB$3,KOMBI!$A$1:$ADS$1,0),FALSE)</f>
        <v>0</v>
      </c>
      <c r="CC12" s="292">
        <f t="array" aca="1" ref="CC12" ca="1">VLOOKUP($B12,KOMBI!$A:$ADS,MATCH(Tulem!CC$3,KOMBI!$A$1:$ADS$1,0),FALSE)</f>
        <v>254.92898730720506</v>
      </c>
      <c r="CD12" s="292">
        <f t="array" aca="1" ref="CD12" ca="1">VLOOKUP($B12,KOMBI!$A:$ADS,MATCH(Tulem!CD$3,KOMBI!$A$1:$ADS$1,0),FALSE)</f>
        <v>603</v>
      </c>
      <c r="CF12" s="51">
        <f ca="1">VLOOKUP($B12,KOMBI!$A:$ACG,MATCH(CF$5,KOMBI!$10:$10,0),FALSE)</f>
        <v>0.3678346224372237</v>
      </c>
    </row>
    <row r="13" spans="1:84" s="51" customFormat="1" x14ac:dyDescent="0.2">
      <c r="A13" s="51">
        <v>8</v>
      </c>
      <c r="B13" s="51">
        <f ca="1">KOMBI!GI18</f>
        <v>122</v>
      </c>
      <c r="C13" s="51">
        <f t="shared" si="0"/>
        <v>8</v>
      </c>
      <c r="D13" s="290" t="str">
        <f ca="1">VLOOKUP(VLOOKUP($B13,KOMBI!$A:$H,3,FALSE),data!$I$27:$J$29,2,FALSE)</f>
        <v>Sekkuv/EÜ</v>
      </c>
      <c r="E13" s="290" t="str">
        <f ca="1">VLOOKUP(VLOOKUP($B13,KOMBI!$A:$H,2,FALSE),data!$I$21:$J$23,2,FALSE)</f>
        <v>Sekkuv</v>
      </c>
      <c r="F13" s="290" t="str">
        <f ca="1">VLOOKUP(VLOOKUP($B13,KOMBI!$A:$H,5,FALSE),data!$I$39:$J$41,2,FALSE)</f>
        <v>Vähe-sekkuv</v>
      </c>
      <c r="G13" s="290" t="str">
        <f ca="1">VLOOKUP(VLOOKUP($B13,KOMBI!$A:$H,4,FALSE),data!$I$32:$J$36,2,FALSE)</f>
        <v>LIB</v>
      </c>
      <c r="I13" s="51">
        <f ca="1">VLOOKUP($B13,KOMBI!$A:$Z,MATCH(I$5,KOMBI!$10:$10,0),FALSE)</f>
        <v>6.5588796496125887</v>
      </c>
      <c r="J13" s="291">
        <f ca="1">VLOOKUP($B13,KOMBI!$A:$ADS,J$3,FALSE)</f>
        <v>1.8337403242159597E-2</v>
      </c>
      <c r="K13" s="291">
        <f ca="1">VLOOKUP($B13,KOMBI!$A:$ADS,K$3,FALSE)</f>
        <v>3.9150638409968658E-3</v>
      </c>
      <c r="L13" s="291">
        <f ca="1">VLOOKUP($B13,KOMBI!$A:$ADS,L$3,FALSE)</f>
        <v>3.4160396178431196E-3</v>
      </c>
      <c r="M13" s="291">
        <f ca="1">VLOOKUP($B13,KOMBI!$A:$ADS,M$3,FALSE)</f>
        <v>1.5050000041907079E-2</v>
      </c>
      <c r="N13" s="291">
        <f ca="1">VLOOKUP($B13,KOMBI!$A:$ADS,N$3,FALSE)</f>
        <v>-4.8613077186063662E-2</v>
      </c>
      <c r="O13" s="291">
        <f ca="1">VLOOKUP($B13,KOMBI!$A:$ADS,O$3,FALSE)</f>
        <v>-5.8145611697445893E-2</v>
      </c>
      <c r="P13" s="291">
        <f ca="1">VLOOKUP($B13,KOMBI!$A:$ADS,P$3,FALSE)</f>
        <v>-8.203358782803867E-2</v>
      </c>
      <c r="Q13" s="292">
        <f t="array" aca="1" ref="Q13" ca="1">VLOOKUP($B13,KOMBI!$A:$ADS,MATCH(Tulem!Q$3,KOMBI!$A$1:$ADS$1,0),FALSE)</f>
        <v>475.44630019880822</v>
      </c>
      <c r="S13" s="332">
        <f t="array" aca="1" ref="S13" ca="1">VLOOKUP($B13,KOMBI!$A:$ADS,MATCH(Tulem!S$3,KOMBI!$A$1:$ADS$1,0),FALSE)</f>
        <v>9115.9398864520208</v>
      </c>
      <c r="T13" s="293">
        <f ca="1">VLOOKUP($B13,KOMBI!$A:$ADS,T$3,FALSE)</f>
        <v>3729</v>
      </c>
      <c r="U13" s="293">
        <f ca="1">VLOOKUP($B13,KOMBI!$A:$ADS,U$3,FALSE)</f>
        <v>1177</v>
      </c>
      <c r="V13" s="293">
        <f ca="1">VLOOKUP($B13,KOMBI!$A:$ADS,V$3,FALSE)</f>
        <v>2346</v>
      </c>
      <c r="W13" s="293"/>
      <c r="X13" s="293">
        <f ca="1">VLOOKUP($B13,KOMBI!$A:$ADS,X$3,FALSE)</f>
        <v>530.88499063732002</v>
      </c>
      <c r="Y13" s="293">
        <f ca="1">VLOOKUP($B13,KOMBI!$A:$ADS,Y$3,FALSE)</f>
        <v>507</v>
      </c>
      <c r="Z13" s="293">
        <f ca="1">VLOOKUP($B13,KOMBI!$A:$ADS,Z$3,FALSE)</f>
        <v>377.5</v>
      </c>
      <c r="AA13" s="293"/>
      <c r="AB13" s="293">
        <f ca="1">VLOOKUP($B13,KOMBI!$A:$ADS,AB$3,FALSE)</f>
        <v>15.25</v>
      </c>
      <c r="AC13" s="293">
        <f ca="1">VLOOKUP($B13,KOMBI!$A:$ADS,AC$3,FALSE)-AB13</f>
        <v>8.5</v>
      </c>
      <c r="AD13" s="293">
        <f ca="1">VLOOKUP($B13,KOMBI!$A:$ADS,AD$3,FALSE)</f>
        <v>8.68530937302436</v>
      </c>
      <c r="AE13" s="293">
        <f ca="1">VLOOKUP($B13,KOMBI!$A:$ADS,AE$3,FALSE)</f>
        <v>13.780000000000001</v>
      </c>
      <c r="AF13" s="293">
        <f ca="1">VLOOKUP($B13,KOMBI!$A:$ADS,AF$3,FALSE)-AE13</f>
        <v>9.7100000000000009</v>
      </c>
      <c r="AG13" s="293">
        <f ca="1">VLOOKUP($B13,KOMBI!$A:$ADS,AG$3,FALSE)</f>
        <v>8.1258333333333344</v>
      </c>
      <c r="AI13" s="293">
        <f t="array" aca="1" ref="AI13" ca="1">VLOOKUP($B13,KOMBI!$A:$ADS,MATCH(Tulem!AI$3,KOMBI!$A$1:$ADS$1,0),FALSE)</f>
        <v>11.629999999999999</v>
      </c>
      <c r="AJ13" s="293">
        <f t="array" aca="1" ref="AJ13" ca="1">VLOOKUP($B13,KOMBI!$A:$ADS,MATCH(Tulem!AJ$3,KOMBI!$A$1:$ADS$1,0),FALSE)</f>
        <v>2.3100000000000005</v>
      </c>
      <c r="AK13" s="293">
        <f t="array" aca="1" ref="AK13" ca="1">VLOOKUP($B13,KOMBI!$A:$ADS,MATCH(Tulem!AK$3,KOMBI!$A$1:$ADS$1,0),FALSE)</f>
        <v>9.24</v>
      </c>
      <c r="AL13" s="293">
        <f t="array" aca="1" ref="AL13" ca="1">VLOOKUP($B13,KOMBI!$A:$ADS,MATCH(Tulem!AL$3,KOMBI!$A$1:$ADS$1,0),FALSE)</f>
        <v>2.78</v>
      </c>
      <c r="AM13" s="293">
        <f t="array" aca="1" ref="AM13" ca="1">VLOOKUP($B13,KOMBI!$A:$ADS,MATCH(Tulem!AM$3,KOMBI!$A$1:$ADS$1,0),FALSE)</f>
        <v>7.1</v>
      </c>
      <c r="AN13" s="293">
        <f t="array" aca="1" ref="AN13" ca="1">VLOOKUP($B13,KOMBI!$A:$ADS,MATCH(Tulem!AN$3,KOMBI!$A$1:$ADS$1,0),FALSE)</f>
        <v>11.5</v>
      </c>
      <c r="AO13" s="293">
        <f t="array" aca="1" ref="AO13" ca="1">VLOOKUP($B13,KOMBI!$A:$ADS,MATCH(Tulem!AO$3,KOMBI!$A$1:$ADS$1,0),FALSE)</f>
        <v>4.0999999999999996</v>
      </c>
      <c r="AP13" s="293">
        <f t="array" aca="1" ref="AP13" ca="1">VLOOKUP($B13,KOMBI!$A:$ADS,MATCH(Tulem!AP$3,KOMBI!$A$1:$ADS$1,0),FALSE)</f>
        <v>5.7045296564339489</v>
      </c>
      <c r="AQ13" s="293">
        <f t="array" aca="1" ref="AQ13" ca="1">VLOOKUP($B13,KOMBI!$A:$ADS,MATCH(Tulem!AQ$3,KOMBI!$A$1:$ADS$1,0),FALSE)</f>
        <v>5.6837209302325586</v>
      </c>
      <c r="AR13" s="293">
        <f t="array" aca="1" ref="AR13" ca="1">VLOOKUP($B13,KOMBI!$A:$ADS,MATCH(Tulem!AR$3,KOMBI!$A$1:$ADS$1,0),FALSE)</f>
        <v>2.1219844082566364</v>
      </c>
      <c r="AS13" s="293">
        <f t="array" aca="1" ref="AS13" ca="1">VLOOKUP($B13,KOMBI!$A:$ADS,MATCH(Tulem!AS$3,KOMBI!$A$1:$ADS$1,0),FALSE)</f>
        <v>2.141</v>
      </c>
      <c r="AT13" s="293">
        <f t="array" aca="1" ref="AT13" ca="1">VLOOKUP($B13,KOMBI!$A:$ADS,MATCH(Tulem!AT$3,KOMBI!$A$1:$ADS$1,0),FALSE)</f>
        <v>1.9015591743363647E-2</v>
      </c>
      <c r="AU13" s="293">
        <f t="array" aca="1" ref="AU13" ca="1">VLOOKUP($B13,KOMBI!$A:$ADS,MATCH(Tulem!AU$3,KOMBI!$A$1:$ADS$1,0),FALSE)</f>
        <v>0</v>
      </c>
      <c r="AV13" s="293">
        <f t="shared" ca="1" si="1"/>
        <v>2.78</v>
      </c>
      <c r="AW13" s="293">
        <f t="shared" ca="1" si="2"/>
        <v>0</v>
      </c>
      <c r="AX13" s="291">
        <f ca="1">VLOOKUP($B13,KOMBI!$A:$ACA,MATCH(AX$5,KOMBI!$10:$10,0),FALSE)</f>
        <v>0.50399694699362874</v>
      </c>
      <c r="AY13" s="292">
        <f t="array" aca="1" ref="AY13" ca="1">VLOOKUP($B13,KOMBI!$A:$ADS,MATCH(Tulem!AY$3,KOMBI!$A$1:$ADS$1,0),FALSE)</f>
        <v>6.08</v>
      </c>
      <c r="AZ13" s="292">
        <f t="array" aca="1" ref="AZ13" ca="1">VLOOKUP($B13,KOMBI!$A:$ADS,MATCH(Tulem!AZ$3,KOMBI!$A$1:$ADS$1,0),FALSE)</f>
        <v>0.447957193299102</v>
      </c>
      <c r="BA13" s="292">
        <f t="array" aca="1" ref="BA13" ca="1">VLOOKUP($B13,KOMBI!$A:$ADS,MATCH(Tulem!BA$3,KOMBI!$A$1:$ADS$1,0),FALSE)</f>
        <v>2.5620074329845279E-2</v>
      </c>
      <c r="BB13" s="292">
        <f t="array" aca="1" ref="BB13" ca="1">VLOOKUP($B13,KOMBI!$A:$ADS,MATCH(Tulem!BB$3,KOMBI!$A$1:$ADS$1,0),FALSE)</f>
        <v>43.302900516795866</v>
      </c>
      <c r="BC13" s="292">
        <f t="array" aca="1" ref="BC13" ca="1">VLOOKUP($B13,KOMBI!$A:$ADS,MATCH(Tulem!BC$3,KOMBI!$A$1:$ADS$1,0),FALSE)</f>
        <v>4.9059999999999997</v>
      </c>
      <c r="BD13" s="292">
        <f t="array" aca="1" ref="BD13" ca="1">VLOOKUP($B13,KOMBI!$A:$ADS,MATCH(Tulem!BD$3,KOMBI!$A$1:$ADS$1,0),FALSE)</f>
        <v>1.4153849906373199</v>
      </c>
      <c r="BE13" s="292">
        <f t="array" aca="1" ref="BE13" ca="1">VLOOKUP($B13,KOMBI!$A:$ADS,MATCH(Tulem!BE$3,KOMBI!$A$1:$ADS$1,0),FALSE)</f>
        <v>16.46</v>
      </c>
      <c r="BF13" s="292">
        <f t="array" aca="1" ref="BF13" ca="1">VLOOKUP($B13,KOMBI!$A:$ADS,MATCH(Tulem!BF$3,KOMBI!$A$1:$ADS$1,0),FALSE)</f>
        <v>11.220496548433506</v>
      </c>
      <c r="BG13" s="292">
        <f t="array" aca="1" ref="BG13" ca="1">VLOOKUP($B13,KOMBI!$A:$ADS,MATCH(Tulem!BG$3,KOMBI!$A$1:$ADS$1,0),FALSE)</f>
        <v>7.1506303115986807</v>
      </c>
      <c r="BH13" s="292">
        <f t="array" aca="1" ref="BH13" ca="1">VLOOKUP($B13,KOMBI!$A:$ADS,MATCH(Tulem!BH$3,KOMBI!$A$1:$ADS$1,0),FALSE)</f>
        <v>7.5609999999999999</v>
      </c>
      <c r="BI13" s="292">
        <f t="array" aca="1" ref="BI13" ca="1">VLOOKUP($B13,KOMBI!$A:$ADS,MATCH(Tulem!BI$3,KOMBI!$A$1:$ADS$1,0),FALSE)</f>
        <v>2.7810000000000001</v>
      </c>
      <c r="BJ13" s="292">
        <f t="array" aca="1" ref="BJ13" ca="1">VLOOKUP($B13,KOMBI!$A:$ADS,MATCH(Tulem!BJ$3,KOMBI!$A$1:$ADS$1,0),FALSE)</f>
        <v>0.19900000000000001</v>
      </c>
      <c r="BK13" s="292">
        <f t="array" aca="1" ref="BK13" ca="1">VLOOKUP($B13,KOMBI!$A:$ADS,MATCH(Tulem!BK$3,KOMBI!$A$1:$ADS$1,0),FALSE)</f>
        <v>0.72299999999999998</v>
      </c>
      <c r="BL13" s="292">
        <f t="array" aca="1" ref="BL13" ca="1">VLOOKUP($B13,KOMBI!$A:$ADS,MATCH(Tulem!BL$3,KOMBI!$A$1:$ADS$1,0),FALSE)</f>
        <v>2.7248849906373196</v>
      </c>
      <c r="BM13" s="292">
        <f t="array" aca="1" ref="BM13" ca="1">VLOOKUP($B13,KOMBI!$A:$ADS,MATCH(Tulem!BM$3,KOMBI!$A$1:$ADS$1,0),FALSE)</f>
        <v>90</v>
      </c>
      <c r="BN13" s="292">
        <f t="array" aca="1" ref="BN13" ca="1">VLOOKUP($B13,KOMBI!$A:$ADS,MATCH(Tulem!BN$3,KOMBI!$A$1:$ADS$1,0),FALSE)</f>
        <v>0.27911646586345373</v>
      </c>
      <c r="BO13" s="292">
        <f t="array" aca="1" ref="BO13" ca="1">VLOOKUP($B13,KOMBI!$A:$ADS,MATCH(Tulem!BO$3,KOMBI!$A$1:$ADS$1,0),FALSE)</f>
        <v>0.72887234460741657</v>
      </c>
      <c r="BP13" s="291"/>
      <c r="BQ13" s="292">
        <f t="array" aca="1" ref="BQ13" ca="1">VLOOKUP($B13,KOMBI!$A:$ADS,MATCH(Tulem!BQ$3,KOMBI!$A$1:$ADS$1,0),FALSE)</f>
        <v>9.7710000000000008</v>
      </c>
      <c r="BR13" s="292">
        <f t="array" aca="1" ref="BR13" ca="1">VLOOKUP($B13,KOMBI!$A:$ADS,MATCH(Tulem!BR$3,KOMBI!$A$1:$ADS$1,0),FALSE)</f>
        <v>67.400000000000006</v>
      </c>
      <c r="BS13" s="292">
        <f t="array" aca="1" ref="BS13" ca="1">VLOOKUP($B13,KOMBI!$A:$ADS,MATCH(Tulem!BS$3,KOMBI!$A$1:$ADS$1,0),FALSE)</f>
        <v>12.722</v>
      </c>
      <c r="BT13" s="292">
        <f t="array" aca="1" ref="BT13" ca="1">VLOOKUP($B13,KOMBI!$A:$ADS,MATCH(Tulem!BT$3,KOMBI!$A$1:$ADS$1,0),FALSE)</f>
        <v>57.339444444444439</v>
      </c>
      <c r="BU13" s="292">
        <f t="array" aca="1" ref="BU13" ca="1">VLOOKUP($B13,KOMBI!$A:$ADS,MATCH(Tulem!BU$3,KOMBI!$A$1:$ADS$1,0),FALSE)</f>
        <v>4.6253359999999999</v>
      </c>
      <c r="BV13" s="291"/>
      <c r="BW13" s="292">
        <f t="array" aca="1" ref="BW13" ca="1">VLOOKUP($B13,KOMBI!$A:$ADS,MATCH(Tulem!BW$3,KOMBI!$A$1:$ADS$1,0),FALSE)</f>
        <v>285</v>
      </c>
      <c r="BX13" s="291"/>
      <c r="BY13" s="291"/>
      <c r="BZ13" s="292">
        <f t="array" aca="1" ref="BZ13" ca="1">VLOOKUP($B13,KOMBI!$A:$ADS,MATCH(Tulem!BZ$3,KOMBI!$A$1:$ADS$1,0),FALSE)</f>
        <v>40.878854494355494</v>
      </c>
      <c r="CA13" s="292">
        <f t="array" aca="1" ref="CA13" ca="1">VLOOKUP($B13,KOMBI!$A:$ADS,MATCH(Tulem!CA$3,KOMBI!$A$1:$ADS$1,0),FALSE)</f>
        <v>-178.19071988063212</v>
      </c>
      <c r="CB13" s="292">
        <f t="array" aca="1" ref="CB13" ca="1">VLOOKUP($B13,KOMBI!$A:$ADS,MATCH(Tulem!CB$3,KOMBI!$A$1:$ADS$1,0),FALSE)</f>
        <v>0</v>
      </c>
      <c r="CC13" s="292">
        <f t="array" aca="1" ref="CC13" ca="1">VLOOKUP($B13,KOMBI!$A:$ADS,MATCH(Tulem!CC$3,KOMBI!$A$1:$ADS$1,0),FALSE)</f>
        <v>219.06957437498761</v>
      </c>
      <c r="CD13" s="292">
        <f t="array" aca="1" ref="CD13" ca="1">VLOOKUP($B13,KOMBI!$A:$ADS,MATCH(Tulem!CD$3,KOMBI!$A$1:$ADS$1,0),FALSE)</f>
        <v>652</v>
      </c>
      <c r="CF13" s="51">
        <f ca="1">VLOOKUP($B13,KOMBI!$A:$ACG,MATCH(CF$5,KOMBI!$10:$10,0),FALSE)</f>
        <v>0.36791956700630501</v>
      </c>
    </row>
    <row r="14" spans="1:84" s="51" customFormat="1" x14ac:dyDescent="0.2">
      <c r="A14" s="51">
        <v>9</v>
      </c>
      <c r="B14" s="51">
        <f ca="1">KOMBI!GI19</f>
        <v>125</v>
      </c>
      <c r="C14" s="51">
        <f t="shared" si="0"/>
        <v>9</v>
      </c>
      <c r="D14" s="290" t="str">
        <f ca="1">VLOOKUP(VLOOKUP($B14,KOMBI!$A:$H,3,FALSE),data!$I$27:$J$29,2,FALSE)</f>
        <v>Sekkuv/EÜ</v>
      </c>
      <c r="E14" s="290" t="str">
        <f ca="1">VLOOKUP(VLOOKUP($B14,KOMBI!$A:$H,2,FALSE),data!$I$21:$J$23,2,FALSE)</f>
        <v>Sekkuv</v>
      </c>
      <c r="F14" s="290" t="str">
        <f ca="1">VLOOKUP(VLOOKUP($B14,KOMBI!$A:$H,5,FALSE),data!$I$39:$J$41,2,FALSE)</f>
        <v>Vähe-sekkuv</v>
      </c>
      <c r="G14" s="290" t="str">
        <f ca="1">VLOOKUP(VLOOKUP($B14,KOMBI!$A:$H,4,FALSE),data!$I$32:$J$36,2,FALSE)</f>
        <v>LIB+</v>
      </c>
      <c r="I14" s="51">
        <f ca="1">VLOOKUP($B14,KOMBI!$A:$Z,MATCH(I$5,KOMBI!$10:$10,0),FALSE)</f>
        <v>6.5622994822320475</v>
      </c>
      <c r="J14" s="291">
        <f ca="1">VLOOKUP($B14,KOMBI!$A:$ADS,J$3,FALSE)</f>
        <v>1.8376264018091438E-2</v>
      </c>
      <c r="K14" s="291">
        <f ca="1">VLOOKUP($B14,KOMBI!$A:$ADS,K$3,FALSE)</f>
        <v>3.8823113090310545E-3</v>
      </c>
      <c r="L14" s="291">
        <f ca="1">VLOOKUP($B14,KOMBI!$A:$ADS,L$3,FALSE)</f>
        <v>3.4330371149805805E-3</v>
      </c>
      <c r="M14" s="291">
        <f ca="1">VLOOKUP($B14,KOMBI!$A:$ADS,M$3,FALSE)</f>
        <v>1.507186583021059E-2</v>
      </c>
      <c r="N14" s="291">
        <f ca="1">VLOOKUP($B14,KOMBI!$A:$ADS,N$3,FALSE)</f>
        <v>-4.8594580335326633E-2</v>
      </c>
      <c r="O14" s="291">
        <f ca="1">VLOOKUP($B14,KOMBI!$A:$ADS,O$3,FALSE)</f>
        <v>-5.812475141232893E-2</v>
      </c>
      <c r="P14" s="291">
        <f ca="1">VLOOKUP($B14,KOMBI!$A:$ADS,P$3,FALSE)</f>
        <v>-8.1995525633301369E-2</v>
      </c>
      <c r="Q14" s="292">
        <f t="array" aca="1" ref="Q14" ca="1">VLOOKUP($B14,KOMBI!$A:$ADS,MATCH(Tulem!Q$3,KOMBI!$A$1:$ADS$1,0),FALSE)</f>
        <v>476.02991951529214</v>
      </c>
      <c r="S14" s="332">
        <f t="array" aca="1" ref="S14" ca="1">VLOOKUP($B14,KOMBI!$A:$ADS,MATCH(Tulem!S$3,KOMBI!$A$1:$ADS$1,0),FALSE)</f>
        <v>9117.7238263466807</v>
      </c>
      <c r="T14" s="293">
        <f ca="1">VLOOKUP($B14,KOMBI!$A:$ADS,T$3,FALSE)</f>
        <v>3761</v>
      </c>
      <c r="U14" s="293">
        <f ca="1">VLOOKUP($B14,KOMBI!$A:$ADS,U$3,FALSE)</f>
        <v>1177</v>
      </c>
      <c r="V14" s="293">
        <f ca="1">VLOOKUP($B14,KOMBI!$A:$ADS,V$3,FALSE)</f>
        <v>2346</v>
      </c>
      <c r="W14" s="293"/>
      <c r="X14" s="293">
        <f ca="1">VLOOKUP($B14,KOMBI!$A:$ADS,X$3,FALSE)</f>
        <v>530.88499063732002</v>
      </c>
      <c r="Y14" s="293">
        <f ca="1">VLOOKUP($B14,KOMBI!$A:$ADS,Y$3,FALSE)</f>
        <v>507</v>
      </c>
      <c r="Z14" s="293">
        <f ca="1">VLOOKUP($B14,KOMBI!$A:$ADS,Z$3,FALSE)</f>
        <v>377.5</v>
      </c>
      <c r="AA14" s="293"/>
      <c r="AB14" s="293">
        <f ca="1">VLOOKUP($B14,KOMBI!$A:$ADS,AB$3,FALSE)</f>
        <v>15.25</v>
      </c>
      <c r="AC14" s="293">
        <f ca="1">VLOOKUP($B14,KOMBI!$A:$ADS,AC$3,FALSE)-AB14</f>
        <v>8.5</v>
      </c>
      <c r="AD14" s="293">
        <f ca="1">VLOOKUP($B14,KOMBI!$A:$ADS,AD$3,FALSE)</f>
        <v>8.68530937302436</v>
      </c>
      <c r="AE14" s="293">
        <f ca="1">VLOOKUP($B14,KOMBI!$A:$ADS,AE$3,FALSE)</f>
        <v>13.780000000000001</v>
      </c>
      <c r="AF14" s="293">
        <f ca="1">VLOOKUP($B14,KOMBI!$A:$ADS,AF$3,FALSE)-AE14</f>
        <v>9.7100000000000009</v>
      </c>
      <c r="AG14" s="293">
        <f ca="1">VLOOKUP($B14,KOMBI!$A:$ADS,AG$3,FALSE)</f>
        <v>8.1258333333333344</v>
      </c>
      <c r="AI14" s="293">
        <f t="array" aca="1" ref="AI14" ca="1">VLOOKUP($B14,KOMBI!$A:$ADS,MATCH(Tulem!AI$3,KOMBI!$A$1:$ADS$1,0),FALSE)</f>
        <v>11.64</v>
      </c>
      <c r="AJ14" s="293">
        <f t="array" aca="1" ref="AJ14" ca="1">VLOOKUP($B14,KOMBI!$A:$ADS,MATCH(Tulem!AJ$3,KOMBI!$A$1:$ADS$1,0),FALSE)</f>
        <v>2.3100000000000005</v>
      </c>
      <c r="AK14" s="293">
        <f t="array" aca="1" ref="AK14" ca="1">VLOOKUP($B14,KOMBI!$A:$ADS,MATCH(Tulem!AK$3,KOMBI!$A$1:$ADS$1,0),FALSE)</f>
        <v>9.25</v>
      </c>
      <c r="AL14" s="293">
        <f t="array" aca="1" ref="AL14" ca="1">VLOOKUP($B14,KOMBI!$A:$ADS,MATCH(Tulem!AL$3,KOMBI!$A$1:$ADS$1,0),FALSE)</f>
        <v>2.78</v>
      </c>
      <c r="AM14" s="293">
        <f t="array" aca="1" ref="AM14" ca="1">VLOOKUP($B14,KOMBI!$A:$ADS,MATCH(Tulem!AM$3,KOMBI!$A$1:$ADS$1,0),FALSE)</f>
        <v>7.1</v>
      </c>
      <c r="AN14" s="293">
        <f t="array" aca="1" ref="AN14" ca="1">VLOOKUP($B14,KOMBI!$A:$ADS,MATCH(Tulem!AN$3,KOMBI!$A$1:$ADS$1,0),FALSE)</f>
        <v>11.5</v>
      </c>
      <c r="AO14" s="293">
        <f t="array" aca="1" ref="AO14" ca="1">VLOOKUP($B14,KOMBI!$A:$ADS,MATCH(Tulem!AO$3,KOMBI!$A$1:$ADS$1,0),FALSE)</f>
        <v>4.0999999999999996</v>
      </c>
      <c r="AP14" s="293">
        <f t="array" aca="1" ref="AP14" ca="1">VLOOKUP($B14,KOMBI!$A:$ADS,MATCH(Tulem!AP$3,KOMBI!$A$1:$ADS$1,0),FALSE)</f>
        <v>5.7045296564339489</v>
      </c>
      <c r="AQ14" s="293">
        <f t="array" aca="1" ref="AQ14" ca="1">VLOOKUP($B14,KOMBI!$A:$ADS,MATCH(Tulem!AQ$3,KOMBI!$A$1:$ADS$1,0),FALSE)</f>
        <v>5.6837209302325586</v>
      </c>
      <c r="AR14" s="293">
        <f t="array" aca="1" ref="AR14" ca="1">VLOOKUP($B14,KOMBI!$A:$ADS,MATCH(Tulem!AR$3,KOMBI!$A$1:$ADS$1,0),FALSE)</f>
        <v>2.1219844082566364</v>
      </c>
      <c r="AS14" s="293">
        <f t="array" aca="1" ref="AS14" ca="1">VLOOKUP($B14,KOMBI!$A:$ADS,MATCH(Tulem!AS$3,KOMBI!$A$1:$ADS$1,0),FALSE)</f>
        <v>2.141</v>
      </c>
      <c r="AT14" s="293">
        <f t="array" aca="1" ref="AT14" ca="1">VLOOKUP($B14,KOMBI!$A:$ADS,MATCH(Tulem!AT$3,KOMBI!$A$1:$ADS$1,0),FALSE)</f>
        <v>1.9015591743363647E-2</v>
      </c>
      <c r="AU14" s="293">
        <f t="array" aca="1" ref="AU14" ca="1">VLOOKUP($B14,KOMBI!$A:$ADS,MATCH(Tulem!AU$3,KOMBI!$A$1:$ADS$1,0),FALSE)</f>
        <v>0</v>
      </c>
      <c r="AV14" s="293">
        <f t="shared" ca="1" si="1"/>
        <v>2.78</v>
      </c>
      <c r="AW14" s="293">
        <f t="shared" ca="1" si="2"/>
        <v>0</v>
      </c>
      <c r="AX14" s="291">
        <f ca="1">VLOOKUP($B14,KOMBI!$A:$ACA,MATCH(AX$5,KOMBI!$10:$10,0),FALSE)</f>
        <v>0.50411146323407641</v>
      </c>
      <c r="AY14" s="292">
        <f t="array" aca="1" ref="AY14" ca="1">VLOOKUP($B14,KOMBI!$A:$ADS,MATCH(Tulem!AY$3,KOMBI!$A$1:$ADS$1,0),FALSE)</f>
        <v>6.08</v>
      </c>
      <c r="AZ14" s="292">
        <f t="array" aca="1" ref="AZ14" ca="1">VLOOKUP($B14,KOMBI!$A:$ADS,MATCH(Tulem!AZ$3,KOMBI!$A$1:$ADS$1,0),FALSE)</f>
        <v>0.447957193299102</v>
      </c>
      <c r="BA14" s="292">
        <f t="array" aca="1" ref="BA14" ca="1">VLOOKUP($B14,KOMBI!$A:$ADS,MATCH(Tulem!BA$3,KOMBI!$A$1:$ADS$1,0),FALSE)</f>
        <v>2.5620074329845279E-2</v>
      </c>
      <c r="BB14" s="292">
        <f t="array" aca="1" ref="BB14" ca="1">VLOOKUP($B14,KOMBI!$A:$ADS,MATCH(Tulem!BB$3,KOMBI!$A$1:$ADS$1,0),FALSE)</f>
        <v>43.312900516795864</v>
      </c>
      <c r="BC14" s="292">
        <f t="array" aca="1" ref="BC14" ca="1">VLOOKUP($B14,KOMBI!$A:$ADS,MATCH(Tulem!BC$3,KOMBI!$A$1:$ADS$1,0),FALSE)</f>
        <v>4.9379999999999997</v>
      </c>
      <c r="BD14" s="292">
        <f t="array" aca="1" ref="BD14" ca="1">VLOOKUP($B14,KOMBI!$A:$ADS,MATCH(Tulem!BD$3,KOMBI!$A$1:$ADS$1,0),FALSE)</f>
        <v>1.4153849906373199</v>
      </c>
      <c r="BE14" s="292">
        <f t="array" aca="1" ref="BE14" ca="1">VLOOKUP($B14,KOMBI!$A:$ADS,MATCH(Tulem!BE$3,KOMBI!$A$1:$ADS$1,0),FALSE)</f>
        <v>16.462578011574536</v>
      </c>
      <c r="BF14" s="292">
        <f t="array" aca="1" ref="BF14" ca="1">VLOOKUP($B14,KOMBI!$A:$ADS,MATCH(Tulem!BF$3,KOMBI!$A$1:$ADS$1,0),FALSE)</f>
        <v>11.219077976340797</v>
      </c>
      <c r="BG14" s="292">
        <f t="array" aca="1" ref="BG14" ca="1">VLOOKUP($B14,KOMBI!$A:$ADS,MATCH(Tulem!BG$3,KOMBI!$A$1:$ADS$1,0),FALSE)</f>
        <v>7.1831111109201009</v>
      </c>
      <c r="BH14" s="292">
        <f t="array" aca="1" ref="BH14" ca="1">VLOOKUP($B14,KOMBI!$A:$ADS,MATCH(Tulem!BH$3,KOMBI!$A$1:$ADS$1,0),FALSE)</f>
        <v>7.5717605777489068</v>
      </c>
      <c r="BI14" s="292">
        <f t="array" aca="1" ref="BI14" ca="1">VLOOKUP($B14,KOMBI!$A:$ADS,MATCH(Tulem!BI$3,KOMBI!$A$1:$ADS$1,0),FALSE)</f>
        <v>2.7810000000000001</v>
      </c>
      <c r="BJ14" s="292">
        <f t="array" aca="1" ref="BJ14" ca="1">VLOOKUP($B14,KOMBI!$A:$ADS,MATCH(Tulem!BJ$3,KOMBI!$A$1:$ADS$1,0),FALSE)</f>
        <v>0.19900000000000001</v>
      </c>
      <c r="BK14" s="292">
        <f t="array" aca="1" ref="BK14" ca="1">VLOOKUP($B14,KOMBI!$A:$ADS,MATCH(Tulem!BK$3,KOMBI!$A$1:$ADS$1,0),FALSE)</f>
        <v>0.72299999999999998</v>
      </c>
      <c r="BL14" s="292">
        <f t="array" aca="1" ref="BL14" ca="1">VLOOKUP($B14,KOMBI!$A:$ADS,MATCH(Tulem!BL$3,KOMBI!$A$1:$ADS$1,0),FALSE)</f>
        <v>3.4398849906373199</v>
      </c>
      <c r="BM14" s="292">
        <f t="array" aca="1" ref="BM14" ca="1">VLOOKUP($B14,KOMBI!$A:$ADS,MATCH(Tulem!BM$3,KOMBI!$A$1:$ADS$1,0),FALSE)</f>
        <v>90</v>
      </c>
      <c r="BN14" s="292">
        <f t="array" aca="1" ref="BN14" ca="1">VLOOKUP($B14,KOMBI!$A:$ADS,MATCH(Tulem!BN$3,KOMBI!$A$1:$ADS$1,0),FALSE)</f>
        <v>0.27911646586345373</v>
      </c>
      <c r="BO14" s="292">
        <f t="array" aca="1" ref="BO14" ca="1">VLOOKUP($B14,KOMBI!$A:$ADS,MATCH(Tulem!BO$3,KOMBI!$A$1:$ADS$1,0),FALSE)</f>
        <v>0.72887234460741657</v>
      </c>
      <c r="BP14" s="291"/>
      <c r="BQ14" s="292">
        <f t="array" aca="1" ref="BQ14" ca="1">VLOOKUP($B14,KOMBI!$A:$ADS,MATCH(Tulem!BQ$3,KOMBI!$A$1:$ADS$1,0),FALSE)</f>
        <v>9.7710000000000008</v>
      </c>
      <c r="BR14" s="292">
        <f t="array" aca="1" ref="BR14" ca="1">VLOOKUP($B14,KOMBI!$A:$ADS,MATCH(Tulem!BR$3,KOMBI!$A$1:$ADS$1,0),FALSE)</f>
        <v>67.400000000000006</v>
      </c>
      <c r="BS14" s="292">
        <f t="array" aca="1" ref="BS14" ca="1">VLOOKUP($B14,KOMBI!$A:$ADS,MATCH(Tulem!BS$3,KOMBI!$A$1:$ADS$1,0),FALSE)</f>
        <v>12.724</v>
      </c>
      <c r="BT14" s="292">
        <f t="array" aca="1" ref="BT14" ca="1">VLOOKUP($B14,KOMBI!$A:$ADS,MATCH(Tulem!BT$3,KOMBI!$A$1:$ADS$1,0),FALSE)</f>
        <v>57.346944444444446</v>
      </c>
      <c r="BU14" s="292">
        <f t="array" aca="1" ref="BU14" ca="1">VLOOKUP($B14,KOMBI!$A:$ADS,MATCH(Tulem!BU$3,KOMBI!$A$1:$ADS$1,0),FALSE)</f>
        <v>4.6259050000000004</v>
      </c>
      <c r="BV14" s="291"/>
      <c r="BW14" s="292">
        <f t="array" aca="1" ref="BW14" ca="1">VLOOKUP($B14,KOMBI!$A:$ADS,MATCH(Tulem!BW$3,KOMBI!$A$1:$ADS$1,0),FALSE)</f>
        <v>285</v>
      </c>
      <c r="BX14" s="291"/>
      <c r="BY14" s="291"/>
      <c r="BZ14" s="292">
        <f t="array" aca="1" ref="BZ14" ca="1">VLOOKUP($B14,KOMBI!$A:$ADS,MATCH(Tulem!BZ$3,KOMBI!$A$1:$ADS$1,0),FALSE)</f>
        <v>41.076259249029079</v>
      </c>
      <c r="CA14" s="292">
        <f t="array" aca="1" ref="CA14" ca="1">VLOOKUP($B14,KOMBI!$A:$ADS,MATCH(Tulem!CA$3,KOMBI!$A$1:$ADS$1,0),FALSE)</f>
        <v>-178.19071988063212</v>
      </c>
      <c r="CB14" s="292">
        <f t="array" aca="1" ref="CB14" ca="1">VLOOKUP($B14,KOMBI!$A:$ADS,MATCH(Tulem!CB$3,KOMBI!$A$1:$ADS$1,0),FALSE)</f>
        <v>0</v>
      </c>
      <c r="CC14" s="292">
        <f t="array" aca="1" ref="CC14" ca="1">VLOOKUP($B14,KOMBI!$A:$ADS,MATCH(Tulem!CC$3,KOMBI!$A$1:$ADS$1,0),FALSE)</f>
        <v>219.26697912966119</v>
      </c>
      <c r="CD14" s="292">
        <f t="array" aca="1" ref="CD14" ca="1">VLOOKUP($B14,KOMBI!$A:$ADS,MATCH(Tulem!CD$3,KOMBI!$A$1:$ADS$1,0),FALSE)</f>
        <v>655</v>
      </c>
      <c r="CF14" s="51">
        <f ca="1">VLOOKUP($B14,KOMBI!$A:$ACG,MATCH(CF$5,KOMBI!$10:$10,0),FALSE)</f>
        <v>0.3678346224372237</v>
      </c>
    </row>
    <row r="15" spans="1:84" s="51" customFormat="1" x14ac:dyDescent="0.2">
      <c r="A15" s="51">
        <v>10</v>
      </c>
      <c r="B15" s="51">
        <f ca="1">KOMBI!GI20</f>
        <v>130</v>
      </c>
      <c r="C15" s="51">
        <f t="shared" si="0"/>
        <v>10</v>
      </c>
      <c r="D15" s="290" t="str">
        <f ca="1">VLOOKUP(VLOOKUP($B15,KOMBI!$A:$H,3,FALSE),data!$I$27:$J$29,2,FALSE)</f>
        <v>Sekkuv/EÜ</v>
      </c>
      <c r="E15" s="290" t="str">
        <f ca="1">VLOOKUP(VLOOKUP($B15,KOMBI!$A:$H,2,FALSE),data!$I$21:$J$23,2,FALSE)</f>
        <v>Sekkuv</v>
      </c>
      <c r="F15" s="290" t="str">
        <f ca="1">VLOOKUP(VLOOKUP($B15,KOMBI!$A:$H,5,FALSE),data!$I$39:$J$41,2,FALSE)</f>
        <v>Mittesekkuv</v>
      </c>
      <c r="G15" s="290" t="str">
        <f ca="1">VLOOKUP(VLOOKUP($B15,KOMBI!$A:$H,4,FALSE),data!$I$32:$J$36,2,FALSE)</f>
        <v>TE++</v>
      </c>
      <c r="I15" s="51">
        <f ca="1">VLOOKUP($B15,KOMBI!$A:$Z,MATCH(I$5,KOMBI!$10:$10,0),FALSE)</f>
        <v>10.21606847907174</v>
      </c>
      <c r="J15" s="291">
        <f ca="1">VLOOKUP($B15,KOMBI!$A:$ADS,J$3,FALSE)</f>
        <v>1.3240980689949371E-2</v>
      </c>
      <c r="K15" s="291">
        <f ca="1">VLOOKUP($B15,KOMBI!$A:$ADS,K$3,FALSE)</f>
        <v>5.8899192587170239E-3</v>
      </c>
      <c r="L15" s="291">
        <f ca="1">VLOOKUP($B15,KOMBI!$A:$ADS,L$3,FALSE)</f>
        <v>6.373069332196446E-4</v>
      </c>
      <c r="M15" s="291">
        <f ca="1">VLOOKUP($B15,KOMBI!$A:$ADS,M$3,FALSE)</f>
        <v>1.2700248739138373E-2</v>
      </c>
      <c r="N15" s="291">
        <f ca="1">VLOOKUP($B15,KOMBI!$A:$ADS,N$3,FALSE)</f>
        <v>-7.3291596440282575E-2</v>
      </c>
      <c r="O15" s="291">
        <f ca="1">VLOOKUP($B15,KOMBI!$A:$ADS,O$3,FALSE)</f>
        <v>-0.19966539199296618</v>
      </c>
      <c r="P15" s="291">
        <f ca="1">VLOOKUP($B15,KOMBI!$A:$ADS,P$3,FALSE)</f>
        <v>-0.13211680225103617</v>
      </c>
      <c r="Q15" s="292">
        <f t="array" aca="1" ref="Q15" ca="1">VLOOKUP($B15,KOMBI!$A:$ADS,MATCH(Tulem!Q$3,KOMBI!$A$1:$ADS$1,0),FALSE)</f>
        <v>344.14457998922347</v>
      </c>
      <c r="S15" s="332">
        <f t="array" aca="1" ref="S15" ca="1">VLOOKUP($B15,KOMBI!$A:$ADS,MATCH(Tulem!S$3,KOMBI!$A$1:$ADS$1,0),FALSE)</f>
        <v>6947.5222404417173</v>
      </c>
      <c r="T15" s="293">
        <f ca="1">VLOOKUP($B15,KOMBI!$A:$ADS,T$3,FALSE)</f>
        <v>0</v>
      </c>
      <c r="U15" s="293">
        <f ca="1">VLOOKUP($B15,KOMBI!$A:$ADS,U$3,FALSE)</f>
        <v>1177</v>
      </c>
      <c r="V15" s="293">
        <f ca="1">VLOOKUP($B15,KOMBI!$A:$ADS,V$3,FALSE)</f>
        <v>2346</v>
      </c>
      <c r="W15" s="293"/>
      <c r="X15" s="293">
        <f ca="1">VLOOKUP($B15,KOMBI!$A:$ADS,X$3,FALSE)</f>
        <v>530.88499063732002</v>
      </c>
      <c r="Y15" s="293">
        <f ca="1">VLOOKUP($B15,KOMBI!$A:$ADS,Y$3,FALSE)</f>
        <v>507</v>
      </c>
      <c r="Z15" s="293">
        <f ca="1">VLOOKUP($B15,KOMBI!$A:$ADS,Z$3,FALSE)</f>
        <v>0</v>
      </c>
      <c r="AA15" s="293"/>
      <c r="AB15" s="293">
        <f ca="1">VLOOKUP($B15,KOMBI!$A:$ADS,AB$3,FALSE)</f>
        <v>15.25</v>
      </c>
      <c r="AC15" s="293">
        <f ca="1">VLOOKUP($B15,KOMBI!$A:$ADS,AC$3,FALSE)-AB15</f>
        <v>8.5</v>
      </c>
      <c r="AD15" s="293">
        <f ca="1">VLOOKUP($B15,KOMBI!$A:$ADS,AD$3,FALSE)</f>
        <v>8.68530937302436</v>
      </c>
      <c r="AE15" s="293">
        <f ca="1">VLOOKUP($B15,KOMBI!$A:$ADS,AE$3,FALSE)</f>
        <v>13.780000000000001</v>
      </c>
      <c r="AF15" s="293">
        <f ca="1">VLOOKUP($B15,KOMBI!$A:$ADS,AF$3,FALSE)-AE15</f>
        <v>9.7100000000000009</v>
      </c>
      <c r="AG15" s="293">
        <f ca="1">VLOOKUP($B15,KOMBI!$A:$ADS,AG$3,FALSE)</f>
        <v>8.1258333333333344</v>
      </c>
      <c r="AI15" s="293">
        <f t="array" aca="1" ref="AI15" ca="1">VLOOKUP($B15,KOMBI!$A:$ADS,MATCH(Tulem!AI$3,KOMBI!$A$1:$ADS$1,0),FALSE)</f>
        <v>0</v>
      </c>
      <c r="AJ15" s="293">
        <f t="array" aca="1" ref="AJ15" ca="1">VLOOKUP($B15,KOMBI!$A:$ADS,MATCH(Tulem!AJ$3,KOMBI!$A$1:$ADS$1,0),FALSE)</f>
        <v>11.489999999999998</v>
      </c>
      <c r="AK15" s="293">
        <f t="array" aca="1" ref="AK15" ca="1">VLOOKUP($B15,KOMBI!$A:$ADS,MATCH(Tulem!AK$3,KOMBI!$A$1:$ADS$1,0),FALSE)</f>
        <v>0</v>
      </c>
      <c r="AL15" s="293">
        <f t="array" aca="1" ref="AL15" ca="1">VLOOKUP($B15,KOMBI!$A:$ADS,MATCH(Tulem!AL$3,KOMBI!$A$1:$ADS$1,0),FALSE)</f>
        <v>3.65</v>
      </c>
      <c r="AM15" s="293">
        <f t="array" aca="1" ref="AM15" ca="1">VLOOKUP($B15,KOMBI!$A:$ADS,MATCH(Tulem!AM$3,KOMBI!$A$1:$ADS$1,0),FALSE)</f>
        <v>7.1</v>
      </c>
      <c r="AN15" s="293">
        <f t="array" aca="1" ref="AN15" ca="1">VLOOKUP($B15,KOMBI!$A:$ADS,MATCH(Tulem!AN$3,KOMBI!$A$1:$ADS$1,0),FALSE)</f>
        <v>11.5</v>
      </c>
      <c r="AO15" s="293">
        <f t="array" aca="1" ref="AO15" ca="1">VLOOKUP($B15,KOMBI!$A:$ADS,MATCH(Tulem!AO$3,KOMBI!$A$1:$ADS$1,0),FALSE)</f>
        <v>4.0999999999999996</v>
      </c>
      <c r="AP15" s="293">
        <f t="array" aca="1" ref="AP15" ca="1">VLOOKUP($B15,KOMBI!$A:$ADS,MATCH(Tulem!AP$3,KOMBI!$A$1:$ADS$1,0),FALSE)</f>
        <v>5.7045296564339489</v>
      </c>
      <c r="AQ15" s="293">
        <f t="array" aca="1" ref="AQ15" ca="1">VLOOKUP($B15,KOMBI!$A:$ADS,MATCH(Tulem!AQ$3,KOMBI!$A$1:$ADS$1,0),FALSE)</f>
        <v>0</v>
      </c>
      <c r="AR15" s="293">
        <f t="array" aca="1" ref="AR15" ca="1">VLOOKUP($B15,KOMBI!$A:$ADS,MATCH(Tulem!AR$3,KOMBI!$A$1:$ADS$1,0),FALSE)</f>
        <v>2.1219844082566364</v>
      </c>
      <c r="AS15" s="293">
        <f t="array" aca="1" ref="AS15" ca="1">VLOOKUP($B15,KOMBI!$A:$ADS,MATCH(Tulem!AS$3,KOMBI!$A$1:$ADS$1,0),FALSE)</f>
        <v>0</v>
      </c>
      <c r="AT15" s="293">
        <f t="array" aca="1" ref="AT15" ca="1">VLOOKUP($B15,KOMBI!$A:$ADS,MATCH(Tulem!AT$3,KOMBI!$A$1:$ADS$1,0),FALSE)</f>
        <v>0</v>
      </c>
      <c r="AU15" s="293">
        <f t="array" aca="1" ref="AU15" ca="1">VLOOKUP($B15,KOMBI!$A:$ADS,MATCH(Tulem!AU$3,KOMBI!$A$1:$ADS$1,0),FALSE)</f>
        <v>2.1219844082566364</v>
      </c>
      <c r="AV15" s="293">
        <f t="shared" ca="1" si="1"/>
        <v>3.65</v>
      </c>
      <c r="AW15" s="293">
        <f t="shared" ca="1" si="2"/>
        <v>0</v>
      </c>
      <c r="AX15" s="291">
        <f ca="1">VLOOKUP($B15,KOMBI!$A:$ACA,MATCH(AX$5,KOMBI!$10:$10,0),FALSE)</f>
        <v>0.63336252140800098</v>
      </c>
      <c r="AY15" s="292">
        <f t="array" aca="1" ref="AY15" ca="1">VLOOKUP($B15,KOMBI!$A:$ADS,MATCH(Tulem!AY$3,KOMBI!$A$1:$ADS$1,0),FALSE)</f>
        <v>10.67</v>
      </c>
      <c r="AZ15" s="292">
        <f t="array" aca="1" ref="AZ15" ca="1">VLOOKUP($B15,KOMBI!$A:$ADS,MATCH(Tulem!AZ$3,KOMBI!$A$1:$ADS$1,0),FALSE)</f>
        <v>0.55518194882771377</v>
      </c>
      <c r="BA15" s="292">
        <f t="array" aca="1" ref="BA15" ca="1">VLOOKUP($B15,KOMBI!$A:$ADS,MATCH(Tulem!BA$3,KOMBI!$A$1:$ADS$1,0),FALSE)</f>
        <v>2.5620074329845279E-2</v>
      </c>
      <c r="BB15" s="292">
        <f t="array" aca="1" ref="BB15" ca="1">VLOOKUP($B15,KOMBI!$A:$ADS,MATCH(Tulem!BB$3,KOMBI!$A$1:$ADS$1,0),FALSE)</f>
        <v>38.866388888888892</v>
      </c>
      <c r="BC15" s="292">
        <f t="array" aca="1" ref="BC15" ca="1">VLOOKUP($B15,KOMBI!$A:$ADS,MATCH(Tulem!BC$3,KOMBI!$A$1:$ADS$1,0),FALSE)</f>
        <v>1.177</v>
      </c>
      <c r="BD15" s="292">
        <f t="array" aca="1" ref="BD15" ca="1">VLOOKUP($B15,KOMBI!$A:$ADS,MATCH(Tulem!BD$3,KOMBI!$A$1:$ADS$1,0),FALSE)</f>
        <v>1.03788499063732</v>
      </c>
      <c r="BE15" s="292">
        <f t="array" aca="1" ref="BE15" ca="1">VLOOKUP($B15,KOMBI!$A:$ADS,MATCH(Tulem!BE$3,KOMBI!$A$1:$ADS$1,0),FALSE)</f>
        <v>16.029721793242818</v>
      </c>
      <c r="BF15" s="292">
        <f t="array" aca="1" ref="BF15" ca="1">VLOOKUP($B15,KOMBI!$A:$ADS,MATCH(Tulem!BF$3,KOMBI!$A$1:$ADS$1,0),FALSE)</f>
        <v>6.0056988012134216</v>
      </c>
      <c r="BG15" s="292">
        <f t="array" aca="1" ref="BG15" ca="1">VLOOKUP($B15,KOMBI!$A:$ADS,MATCH(Tulem!BG$3,KOMBI!$A$1:$ADS$1,0),FALSE)</f>
        <v>3.4793975506064014</v>
      </c>
      <c r="BH15" s="292">
        <f t="array" aca="1" ref="BH15" ca="1">VLOOKUP($B15,KOMBI!$A:$ADS,MATCH(Tulem!BH$3,KOMBI!$A$1:$ADS$1,0),FALSE)</f>
        <v>7.6038313570900957</v>
      </c>
      <c r="BI15" s="292">
        <f t="array" aca="1" ref="BI15" ca="1">VLOOKUP($B15,KOMBI!$A:$ADS,MATCH(Tulem!BI$3,KOMBI!$A$1:$ADS$1,0),FALSE)</f>
        <v>2.7810000000000001</v>
      </c>
      <c r="BJ15" s="292">
        <f t="array" aca="1" ref="BJ15" ca="1">VLOOKUP($B15,KOMBI!$A:$ADS,MATCH(Tulem!BJ$3,KOMBI!$A$1:$ADS$1,0),FALSE)</f>
        <v>0.19900000000000001</v>
      </c>
      <c r="BK15" s="292">
        <f t="array" aca="1" ref="BK15" ca="1">VLOOKUP($B15,KOMBI!$A:$ADS,MATCH(Tulem!BK$3,KOMBI!$A$1:$ADS$1,0),FALSE)</f>
        <v>0.72299999999999998</v>
      </c>
      <c r="BL15" s="292">
        <f t="array" aca="1" ref="BL15" ca="1">VLOOKUP($B15,KOMBI!$A:$ADS,MATCH(Tulem!BL$3,KOMBI!$A$1:$ADS$1,0),FALSE)</f>
        <v>1.7198849906373199</v>
      </c>
      <c r="BM15" s="292">
        <f t="array" aca="1" ref="BM15" ca="1">VLOOKUP($B15,KOMBI!$A:$ADS,MATCH(Tulem!BM$3,KOMBI!$A$1:$ADS$1,0),FALSE)</f>
        <v>90</v>
      </c>
      <c r="BN15" s="292">
        <f t="array" aca="1" ref="BN15" ca="1">VLOOKUP($B15,KOMBI!$A:$ADS,MATCH(Tulem!BN$3,KOMBI!$A$1:$ADS$1,0),FALSE)</f>
        <v>0.36609829488465395</v>
      </c>
      <c r="BO15" s="292">
        <f t="array" aca="1" ref="BO15" ca="1">VLOOKUP($B15,KOMBI!$A:$ADS,MATCH(Tulem!BO$3,KOMBI!$A$1:$ADS$1,0),FALSE)</f>
        <v>1</v>
      </c>
      <c r="BP15" s="291"/>
      <c r="BQ15" s="292">
        <f t="array" aca="1" ref="BQ15" ca="1">VLOOKUP($B15,KOMBI!$A:$ADS,MATCH(Tulem!BQ$3,KOMBI!$A$1:$ADS$1,0),FALSE)</f>
        <v>9.2170000000000005</v>
      </c>
      <c r="BR15" s="292">
        <f t="array" aca="1" ref="BR15" ca="1">VLOOKUP($B15,KOMBI!$A:$ADS,MATCH(Tulem!BR$3,KOMBI!$A$1:$ADS$1,0),FALSE)</f>
        <v>75</v>
      </c>
      <c r="BS15" s="292">
        <f t="array" aca="1" ref="BS15" ca="1">VLOOKUP($B15,KOMBI!$A:$ADS,MATCH(Tulem!BS$3,KOMBI!$A$1:$ADS$1,0),FALSE)</f>
        <v>8.5299999999999994</v>
      </c>
      <c r="BT15" s="292">
        <f t="array" aca="1" ref="BT15" ca="1">VLOOKUP($B15,KOMBI!$A:$ADS,MATCH(Tulem!BT$3,KOMBI!$A$1:$ADS$1,0),FALSE)</f>
        <v>33.973888888888887</v>
      </c>
      <c r="BU15" s="292">
        <f t="array" aca="1" ref="BU15" ca="1">VLOOKUP($B15,KOMBI!$A:$ADS,MATCH(Tulem!BU$3,KOMBI!$A$1:$ADS$1,0),FALSE)</f>
        <v>3.6436060000000001</v>
      </c>
      <c r="BV15" s="291"/>
      <c r="BW15" s="292">
        <f t="array" aca="1" ref="BW15" ca="1">VLOOKUP($B15,KOMBI!$A:$ADS,MATCH(Tulem!BW$3,KOMBI!$A$1:$ADS$1,0),FALSE)</f>
        <v>285.10000000000002</v>
      </c>
      <c r="BX15" s="291"/>
      <c r="BY15" s="291"/>
      <c r="BZ15" s="292">
        <f t="array" aca="1" ref="BZ15" ca="1">VLOOKUP($B15,KOMBI!$A:$ADS,MATCH(Tulem!BZ$3,KOMBI!$A$1:$ADS$1,0),FALSE)</f>
        <v>25.105993366747725</v>
      </c>
      <c r="CA15" s="292">
        <f t="array" aca="1" ref="CA15" ca="1">VLOOKUP($B15,KOMBI!$A:$ADS,MATCH(Tulem!CA$3,KOMBI!$A$1:$ADS$1,0),FALSE)</f>
        <v>-162.95750000000001</v>
      </c>
      <c r="CB15" s="292">
        <f t="array" aca="1" ref="CB15" ca="1">VLOOKUP($B15,KOMBI!$A:$ADS,MATCH(Tulem!CB$3,KOMBI!$A$1:$ADS$1,0),FALSE)</f>
        <v>0</v>
      </c>
      <c r="CC15" s="292">
        <f t="array" aca="1" ref="CC15" ca="1">VLOOKUP($B15,KOMBI!$A:$ADS,MATCH(Tulem!CC$3,KOMBI!$A$1:$ADS$1,0),FALSE)</f>
        <v>188.06349336674774</v>
      </c>
      <c r="CD15" s="292">
        <f t="array" aca="1" ref="CD15" ca="1">VLOOKUP($B15,KOMBI!$A:$ADS,MATCH(Tulem!CD$3,KOMBI!$A$1:$ADS$1,0),FALSE)</f>
        <v>714</v>
      </c>
      <c r="CF15" s="51">
        <f ca="1">VLOOKUP($B15,KOMBI!$A:$ACG,MATCH(CF$5,KOMBI!$10:$10,0),FALSE)</f>
        <v>0.64611056303807113</v>
      </c>
    </row>
    <row r="16" spans="1:84" s="51" customFormat="1" x14ac:dyDescent="0.2">
      <c r="A16" s="51">
        <v>11</v>
      </c>
      <c r="B16" s="51">
        <f ca="1">KOMBI!GI21</f>
        <v>121</v>
      </c>
      <c r="C16" s="51">
        <f t="shared" si="0"/>
        <v>11</v>
      </c>
      <c r="D16" s="290" t="str">
        <f ca="1">VLOOKUP(VLOOKUP($B16,KOMBI!$A:$H,3,FALSE),data!$I$27:$J$29,2,FALSE)</f>
        <v>Sekkuv/EÜ</v>
      </c>
      <c r="E16" s="290" t="str">
        <f ca="1">VLOOKUP(VLOOKUP($B16,KOMBI!$A:$H,2,FALSE),data!$I$21:$J$23,2,FALSE)</f>
        <v>Sekkuv</v>
      </c>
      <c r="F16" s="290" t="str">
        <f ca="1">VLOOKUP(VLOOKUP($B16,KOMBI!$A:$H,5,FALSE),data!$I$39:$J$41,2,FALSE)</f>
        <v>Mittesekkuv</v>
      </c>
      <c r="G16" s="290" t="str">
        <f ca="1">VLOOKUP(VLOOKUP($B16,KOMBI!$A:$H,4,FALSE),data!$I$32:$J$36,2,FALSE)</f>
        <v>LIB</v>
      </c>
      <c r="I16" s="51">
        <f ca="1">VLOOKUP($B16,KOMBI!$A:$Z,MATCH(I$5,KOMBI!$10:$10,0),FALSE)</f>
        <v>5.6429680009667482</v>
      </c>
      <c r="J16" s="291">
        <f ca="1">VLOOKUP($B16,KOMBI!$A:$ADS,J$3,FALSE)</f>
        <v>1.2055010155737268E-2</v>
      </c>
      <c r="K16" s="291">
        <f ca="1">VLOOKUP($B16,KOMBI!$A:$ADS,K$3,FALSE)</f>
        <v>6.6081166904124796E-3</v>
      </c>
      <c r="L16" s="291">
        <f ca="1">VLOOKUP($B16,KOMBI!$A:$ADS,L$3,FALSE)</f>
        <v>9.2316975648529254E-4</v>
      </c>
      <c r="M16" s="291">
        <f ca="1">VLOOKUP($B16,KOMBI!$A:$ADS,M$3,FALSE)</f>
        <v>1.1225113498030251E-2</v>
      </c>
      <c r="N16" s="291">
        <f ca="1">VLOOKUP($B16,KOMBI!$A:$ADS,N$3,FALSE)</f>
        <v>-5.2846876197328384E-2</v>
      </c>
      <c r="O16" s="291">
        <f ca="1">VLOOKUP($B16,KOMBI!$A:$ADS,O$3,FALSE)</f>
        <v>-5.9479223917081457E-2</v>
      </c>
      <c r="P16" s="291">
        <f ca="1">VLOOKUP($B16,KOMBI!$A:$ADS,P$3,FALSE)</f>
        <v>-8.3132550627432633E-2</v>
      </c>
      <c r="Q16" s="292">
        <f t="array" aca="1" ref="Q16" ca="1">VLOOKUP($B16,KOMBI!$A:$ADS,MATCH(Tulem!Q$3,KOMBI!$A$1:$ADS$1,0),FALSE)</f>
        <v>314.96626792954498</v>
      </c>
      <c r="S16" s="332">
        <f t="array" aca="1" ref="S16" ca="1">VLOOKUP($B16,KOMBI!$A:$ADS,MATCH(Tulem!S$3,KOMBI!$A$1:$ADS$1,0),FALSE)</f>
        <v>6002.4506406311502</v>
      </c>
      <c r="T16" s="293">
        <f ca="1">VLOOKUP($B16,KOMBI!$A:$ADS,T$3,FALSE)</f>
        <v>3729</v>
      </c>
      <c r="U16" s="293">
        <f ca="1">VLOOKUP($B16,KOMBI!$A:$ADS,U$3,FALSE)</f>
        <v>1177</v>
      </c>
      <c r="V16" s="293">
        <f ca="1">VLOOKUP($B16,KOMBI!$A:$ADS,V$3,FALSE)</f>
        <v>2346</v>
      </c>
      <c r="W16" s="293"/>
      <c r="X16" s="293">
        <f ca="1">VLOOKUP($B16,KOMBI!$A:$ADS,X$3,FALSE)</f>
        <v>530.88499063732002</v>
      </c>
      <c r="Y16" s="293">
        <f ca="1">VLOOKUP($B16,KOMBI!$A:$ADS,Y$3,FALSE)</f>
        <v>507</v>
      </c>
      <c r="Z16" s="293">
        <f ca="1">VLOOKUP($B16,KOMBI!$A:$ADS,Z$3,FALSE)</f>
        <v>0</v>
      </c>
      <c r="AA16" s="293"/>
      <c r="AB16" s="293">
        <f ca="1">VLOOKUP($B16,KOMBI!$A:$ADS,AB$3,FALSE)</f>
        <v>15.25</v>
      </c>
      <c r="AC16" s="293">
        <f ca="1">VLOOKUP($B16,KOMBI!$A:$ADS,AC$3,FALSE)-AB16</f>
        <v>8.5</v>
      </c>
      <c r="AD16" s="293">
        <f ca="1">VLOOKUP($B16,KOMBI!$A:$ADS,AD$3,FALSE)</f>
        <v>8.68530937302436</v>
      </c>
      <c r="AE16" s="293">
        <f ca="1">VLOOKUP($B16,KOMBI!$A:$ADS,AE$3,FALSE)</f>
        <v>13.780000000000001</v>
      </c>
      <c r="AF16" s="293">
        <f ca="1">VLOOKUP($B16,KOMBI!$A:$ADS,AF$3,FALSE)-AE16</f>
        <v>9.7100000000000009</v>
      </c>
      <c r="AG16" s="293">
        <f ca="1">VLOOKUP($B16,KOMBI!$A:$ADS,AG$3,FALSE)</f>
        <v>8.1258333333333344</v>
      </c>
      <c r="AI16" s="293">
        <f t="array" aca="1" ref="AI16" ca="1">VLOOKUP($B16,KOMBI!$A:$ADS,MATCH(Tulem!AI$3,KOMBI!$A$1:$ADS$1,0),FALSE)</f>
        <v>11.629999999999999</v>
      </c>
      <c r="AJ16" s="293">
        <f t="array" aca="1" ref="AJ16" ca="1">VLOOKUP($B16,KOMBI!$A:$ADS,MATCH(Tulem!AJ$3,KOMBI!$A$1:$ADS$1,0),FALSE)</f>
        <v>2.3100000000000005</v>
      </c>
      <c r="AK16" s="293">
        <f t="array" aca="1" ref="AK16" ca="1">VLOOKUP($B16,KOMBI!$A:$ADS,MATCH(Tulem!AK$3,KOMBI!$A$1:$ADS$1,0),FALSE)</f>
        <v>9.24</v>
      </c>
      <c r="AL16" s="293">
        <f t="array" aca="1" ref="AL16" ca="1">VLOOKUP($B16,KOMBI!$A:$ADS,MATCH(Tulem!AL$3,KOMBI!$A$1:$ADS$1,0),FALSE)</f>
        <v>2.78</v>
      </c>
      <c r="AM16" s="293">
        <f t="array" aca="1" ref="AM16" ca="1">VLOOKUP($B16,KOMBI!$A:$ADS,MATCH(Tulem!AM$3,KOMBI!$A$1:$ADS$1,0),FALSE)</f>
        <v>7.1</v>
      </c>
      <c r="AN16" s="293">
        <f t="array" aca="1" ref="AN16" ca="1">VLOOKUP($B16,KOMBI!$A:$ADS,MATCH(Tulem!AN$3,KOMBI!$A$1:$ADS$1,0),FALSE)</f>
        <v>11.5</v>
      </c>
      <c r="AO16" s="293">
        <f t="array" aca="1" ref="AO16" ca="1">VLOOKUP($B16,KOMBI!$A:$ADS,MATCH(Tulem!AO$3,KOMBI!$A$1:$ADS$1,0),FALSE)</f>
        <v>4.0999999999999996</v>
      </c>
      <c r="AP16" s="293">
        <f t="array" aca="1" ref="AP16" ca="1">VLOOKUP($B16,KOMBI!$A:$ADS,MATCH(Tulem!AP$3,KOMBI!$A$1:$ADS$1,0),FALSE)</f>
        <v>5.7045296564339489</v>
      </c>
      <c r="AQ16" s="293">
        <f t="array" aca="1" ref="AQ16" ca="1">VLOOKUP($B16,KOMBI!$A:$ADS,MATCH(Tulem!AQ$3,KOMBI!$A$1:$ADS$1,0),FALSE)</f>
        <v>5.6837209302325586</v>
      </c>
      <c r="AR16" s="293">
        <f t="array" aca="1" ref="AR16" ca="1">VLOOKUP($B16,KOMBI!$A:$ADS,MATCH(Tulem!AR$3,KOMBI!$A$1:$ADS$1,0),FALSE)</f>
        <v>2.1219844082566364</v>
      </c>
      <c r="AS16" s="293">
        <f t="array" aca="1" ref="AS16" ca="1">VLOOKUP($B16,KOMBI!$A:$ADS,MATCH(Tulem!AS$3,KOMBI!$A$1:$ADS$1,0),FALSE)</f>
        <v>0</v>
      </c>
      <c r="AT16" s="293">
        <f t="array" aca="1" ref="AT16" ca="1">VLOOKUP($B16,KOMBI!$A:$ADS,MATCH(Tulem!AT$3,KOMBI!$A$1:$ADS$1,0),FALSE)</f>
        <v>0</v>
      </c>
      <c r="AU16" s="293">
        <f t="array" aca="1" ref="AU16" ca="1">VLOOKUP($B16,KOMBI!$A:$ADS,MATCH(Tulem!AU$3,KOMBI!$A$1:$ADS$1,0),FALSE)</f>
        <v>2.1219844082566364</v>
      </c>
      <c r="AV16" s="293">
        <f t="shared" ca="1" si="1"/>
        <v>2.78</v>
      </c>
      <c r="AW16" s="293">
        <f t="shared" ca="1" si="2"/>
        <v>0</v>
      </c>
      <c r="AX16" s="291">
        <f ca="1">VLOOKUP($B16,KOMBI!$A:$ACA,MATCH(AX$5,KOMBI!$10:$10,0),FALSE)</f>
        <v>0.55300023275351873</v>
      </c>
      <c r="AY16" s="292">
        <f t="array" aca="1" ref="AY16" ca="1">VLOOKUP($B16,KOMBI!$A:$ADS,MATCH(Tulem!AY$3,KOMBI!$A$1:$ADS$1,0),FALSE)</f>
        <v>6.08</v>
      </c>
      <c r="AZ16" s="292">
        <f t="array" aca="1" ref="AZ16" ca="1">VLOOKUP($B16,KOMBI!$A:$ADS,MATCH(Tulem!AZ$3,KOMBI!$A$1:$ADS$1,0),FALSE)</f>
        <v>0.447957193299102</v>
      </c>
      <c r="BA16" s="292">
        <f t="array" aca="1" ref="BA16" ca="1">VLOOKUP($B16,KOMBI!$A:$ADS,MATCH(Tulem!BA$3,KOMBI!$A$1:$ADS$1,0),FALSE)</f>
        <v>2.5620074329845279E-2</v>
      </c>
      <c r="BB16" s="292">
        <f t="array" aca="1" ref="BB16" ca="1">VLOOKUP($B16,KOMBI!$A:$ADS,MATCH(Tulem!BB$3,KOMBI!$A$1:$ADS$1,0),FALSE)</f>
        <v>43.302900516795866</v>
      </c>
      <c r="BC16" s="292">
        <f t="array" aca="1" ref="BC16" ca="1">VLOOKUP($B16,KOMBI!$A:$ADS,MATCH(Tulem!BC$3,KOMBI!$A$1:$ADS$1,0),FALSE)</f>
        <v>4.9059999999999997</v>
      </c>
      <c r="BD16" s="292">
        <f t="array" aca="1" ref="BD16" ca="1">VLOOKUP($B16,KOMBI!$A:$ADS,MATCH(Tulem!BD$3,KOMBI!$A$1:$ADS$1,0),FALSE)</f>
        <v>1.03788499063732</v>
      </c>
      <c r="BE16" s="292">
        <f t="array" aca="1" ref="BE16" ca="1">VLOOKUP($B16,KOMBI!$A:$ADS,MATCH(Tulem!BE$3,KOMBI!$A$1:$ADS$1,0),FALSE)</f>
        <v>16.46</v>
      </c>
      <c r="BF16" s="292">
        <f t="array" aca="1" ref="BF16" ca="1">VLOOKUP($B16,KOMBI!$A:$ADS,MATCH(Tulem!BF$3,KOMBI!$A$1:$ADS$1,0),FALSE)</f>
        <v>11.220496548433506</v>
      </c>
      <c r="BG16" s="292">
        <f t="array" aca="1" ref="BG16" ca="1">VLOOKUP($B16,KOMBI!$A:$ADS,MATCH(Tulem!BG$3,KOMBI!$A$1:$ADS$1,0),FALSE)</f>
        <v>7.1506303115986807</v>
      </c>
      <c r="BH16" s="292">
        <f t="array" aca="1" ref="BH16" ca="1">VLOOKUP($B16,KOMBI!$A:$ADS,MATCH(Tulem!BH$3,KOMBI!$A$1:$ADS$1,0),FALSE)</f>
        <v>7.5609999999999999</v>
      </c>
      <c r="BI16" s="292">
        <f t="array" aca="1" ref="BI16" ca="1">VLOOKUP($B16,KOMBI!$A:$ADS,MATCH(Tulem!BI$3,KOMBI!$A$1:$ADS$1,0),FALSE)</f>
        <v>2.7810000000000001</v>
      </c>
      <c r="BJ16" s="292">
        <f t="array" aca="1" ref="BJ16" ca="1">VLOOKUP($B16,KOMBI!$A:$ADS,MATCH(Tulem!BJ$3,KOMBI!$A$1:$ADS$1,0),FALSE)</f>
        <v>0.19900000000000001</v>
      </c>
      <c r="BK16" s="292">
        <f t="array" aca="1" ref="BK16" ca="1">VLOOKUP($B16,KOMBI!$A:$ADS,MATCH(Tulem!BK$3,KOMBI!$A$1:$ADS$1,0),FALSE)</f>
        <v>0.72299999999999998</v>
      </c>
      <c r="BL16" s="292">
        <f t="array" aca="1" ref="BL16" ca="1">VLOOKUP($B16,KOMBI!$A:$ADS,MATCH(Tulem!BL$3,KOMBI!$A$1:$ADS$1,0),FALSE)</f>
        <v>2.7248849906373196</v>
      </c>
      <c r="BM16" s="292">
        <f t="array" aca="1" ref="BM16" ca="1">VLOOKUP($B16,KOMBI!$A:$ADS,MATCH(Tulem!BM$3,KOMBI!$A$1:$ADS$1,0),FALSE)</f>
        <v>90</v>
      </c>
      <c r="BN16" s="292">
        <f t="array" aca="1" ref="BN16" ca="1">VLOOKUP($B16,KOMBI!$A:$ADS,MATCH(Tulem!BN$3,KOMBI!$A$1:$ADS$1,0),FALSE)</f>
        <v>0.27911646586345373</v>
      </c>
      <c r="BO16" s="292">
        <f t="array" aca="1" ref="BO16" ca="1">VLOOKUP($B16,KOMBI!$A:$ADS,MATCH(Tulem!BO$3,KOMBI!$A$1:$ADS$1,0),FALSE)</f>
        <v>1</v>
      </c>
      <c r="BP16" s="291"/>
      <c r="BQ16" s="292">
        <f t="array" aca="1" ref="BQ16" ca="1">VLOOKUP($B16,KOMBI!$A:$ADS,MATCH(Tulem!BQ$3,KOMBI!$A$1:$ADS$1,0),FALSE)</f>
        <v>9.68</v>
      </c>
      <c r="BR16" s="292">
        <f t="array" aca="1" ref="BR16" ca="1">VLOOKUP($B16,KOMBI!$A:$ADS,MATCH(Tulem!BR$3,KOMBI!$A$1:$ADS$1,0),FALSE)</f>
        <v>67</v>
      </c>
      <c r="BS16" s="292">
        <f t="array" aca="1" ref="BS16" ca="1">VLOOKUP($B16,KOMBI!$A:$ADS,MATCH(Tulem!BS$3,KOMBI!$A$1:$ADS$1,0),FALSE)</f>
        <v>12.632999999999999</v>
      </c>
      <c r="BT16" s="292">
        <f t="array" aca="1" ref="BT16" ca="1">VLOOKUP($B16,KOMBI!$A:$ADS,MATCH(Tulem!BT$3,KOMBI!$A$1:$ADS$1,0),FALSE)</f>
        <v>56.999166666666667</v>
      </c>
      <c r="BU16" s="292">
        <f t="array" aca="1" ref="BU16" ca="1">VLOOKUP($B16,KOMBI!$A:$ADS,MATCH(Tulem!BU$3,KOMBI!$A$1:$ADS$1,0),FALSE)</f>
        <v>4.5920439999999996</v>
      </c>
      <c r="BV16" s="291"/>
      <c r="BW16" s="292">
        <f t="array" aca="1" ref="BW16" ca="1">VLOOKUP($B16,KOMBI!$A:$ADS,MATCH(Tulem!BW$3,KOMBI!$A$1:$ADS$1,0),FALSE)</f>
        <v>285</v>
      </c>
      <c r="BX16" s="291"/>
      <c r="BY16" s="291"/>
      <c r="BZ16" s="292">
        <f t="array" aca="1" ref="BZ16" ca="1">VLOOKUP($B16,KOMBI!$A:$ADS,MATCH(Tulem!BZ$3,KOMBI!$A$1:$ADS$1,0),FALSE)</f>
        <v>11.713532465820407</v>
      </c>
      <c r="CA16" s="292">
        <f t="array" aca="1" ref="CA16" ca="1">VLOOKUP($B16,KOMBI!$A:$ADS,MATCH(Tulem!CA$3,KOMBI!$A$1:$ADS$1,0),FALSE)</f>
        <v>-162.95750000000001</v>
      </c>
      <c r="CB16" s="292">
        <f t="array" aca="1" ref="CB16" ca="1">VLOOKUP($B16,KOMBI!$A:$ADS,MATCH(Tulem!CB$3,KOMBI!$A$1:$ADS$1,0),FALSE)</f>
        <v>0</v>
      </c>
      <c r="CC16" s="292">
        <f t="array" aca="1" ref="CC16" ca="1">VLOOKUP($B16,KOMBI!$A:$ADS,MATCH(Tulem!CC$3,KOMBI!$A$1:$ADS$1,0),FALSE)</f>
        <v>174.67103246582042</v>
      </c>
      <c r="CD16" s="292">
        <f t="array" aca="1" ref="CD16" ca="1">VLOOKUP($B16,KOMBI!$A:$ADS,MATCH(Tulem!CD$3,KOMBI!$A$1:$ADS$1,0),FALSE)</f>
        <v>781</v>
      </c>
      <c r="CF16" s="51">
        <f ca="1">VLOOKUP($B16,KOMBI!$A:$ACG,MATCH(CF$5,KOMBI!$10:$10,0),FALSE)</f>
        <v>0.36791956700630501</v>
      </c>
    </row>
    <row r="17" spans="1:84" s="51" customFormat="1" x14ac:dyDescent="0.2">
      <c r="A17" s="51">
        <v>12</v>
      </c>
      <c r="B17" s="51">
        <f ca="1">KOMBI!GI22</f>
        <v>124</v>
      </c>
      <c r="C17" s="51">
        <f t="shared" si="0"/>
        <v>12</v>
      </c>
      <c r="D17" s="290" t="str">
        <f ca="1">VLOOKUP(VLOOKUP($B17,KOMBI!$A:$H,3,FALSE),data!$I$27:$J$29,2,FALSE)</f>
        <v>Sekkuv/EÜ</v>
      </c>
      <c r="E17" s="290" t="str">
        <f ca="1">VLOOKUP(VLOOKUP($B17,KOMBI!$A:$H,2,FALSE),data!$I$21:$J$23,2,FALSE)</f>
        <v>Sekkuv</v>
      </c>
      <c r="F17" s="290" t="str">
        <f ca="1">VLOOKUP(VLOOKUP($B17,KOMBI!$A:$H,5,FALSE),data!$I$39:$J$41,2,FALSE)</f>
        <v>Mittesekkuv</v>
      </c>
      <c r="G17" s="290" t="str">
        <f ca="1">VLOOKUP(VLOOKUP($B17,KOMBI!$A:$H,4,FALSE),data!$I$32:$J$36,2,FALSE)</f>
        <v>LIB+</v>
      </c>
      <c r="I17" s="51">
        <f ca="1">VLOOKUP($B17,KOMBI!$A:$Z,MATCH(I$5,KOMBI!$10:$10,0),FALSE)</f>
        <v>5.6463878335862052</v>
      </c>
      <c r="J17" s="291">
        <f ca="1">VLOOKUP($B17,KOMBI!$A:$ADS,J$3,FALSE)</f>
        <v>1.209387093166911E-2</v>
      </c>
      <c r="K17" s="291">
        <f ca="1">VLOOKUP($B17,KOMBI!$A:$ADS,K$3,FALSE)</f>
        <v>6.5753641584466692E-3</v>
      </c>
      <c r="L17" s="291">
        <f ca="1">VLOOKUP($B17,KOMBI!$A:$ADS,L$3,FALSE)</f>
        <v>9.4016725362275344E-4</v>
      </c>
      <c r="M17" s="291">
        <f ca="1">VLOOKUP($B17,KOMBI!$A:$ADS,M$3,FALSE)</f>
        <v>1.1246979286333761E-2</v>
      </c>
      <c r="N17" s="291">
        <f ca="1">VLOOKUP($B17,KOMBI!$A:$ADS,N$3,FALSE)</f>
        <v>-5.2828379346591355E-2</v>
      </c>
      <c r="O17" s="291">
        <f ca="1">VLOOKUP($B17,KOMBI!$A:$ADS,O$3,FALSE)</f>
        <v>-5.9458363631964495E-2</v>
      </c>
      <c r="P17" s="291">
        <f ca="1">VLOOKUP($B17,KOMBI!$A:$ADS,P$3,FALSE)</f>
        <v>-8.3094488432695332E-2</v>
      </c>
      <c r="Q17" s="292">
        <f t="array" aca="1" ref="Q17" ca="1">VLOOKUP($B17,KOMBI!$A:$ADS,MATCH(Tulem!Q$3,KOMBI!$A$1:$ADS$1,0),FALSE)</f>
        <v>315.5498872460289</v>
      </c>
      <c r="S17" s="332">
        <f t="array" aca="1" ref="S17" ca="1">VLOOKUP($B17,KOMBI!$A:$ADS,MATCH(Tulem!S$3,KOMBI!$A$1:$ADS$1,0),FALSE)</f>
        <v>6004.2345805258119</v>
      </c>
      <c r="T17" s="293">
        <f ca="1">VLOOKUP($B17,KOMBI!$A:$ADS,T$3,FALSE)</f>
        <v>3761</v>
      </c>
      <c r="U17" s="293">
        <f ca="1">VLOOKUP($B17,KOMBI!$A:$ADS,U$3,FALSE)</f>
        <v>1177</v>
      </c>
      <c r="V17" s="293">
        <f ca="1">VLOOKUP($B17,KOMBI!$A:$ADS,V$3,FALSE)</f>
        <v>2346</v>
      </c>
      <c r="W17" s="293"/>
      <c r="X17" s="293">
        <f ca="1">VLOOKUP($B17,KOMBI!$A:$ADS,X$3,FALSE)</f>
        <v>530.88499063732002</v>
      </c>
      <c r="Y17" s="293">
        <f ca="1">VLOOKUP($B17,KOMBI!$A:$ADS,Y$3,FALSE)</f>
        <v>507</v>
      </c>
      <c r="Z17" s="293">
        <f ca="1">VLOOKUP($B17,KOMBI!$A:$ADS,Z$3,FALSE)</f>
        <v>0</v>
      </c>
      <c r="AA17" s="293"/>
      <c r="AB17" s="293">
        <f ca="1">VLOOKUP($B17,KOMBI!$A:$ADS,AB$3,FALSE)</f>
        <v>15.25</v>
      </c>
      <c r="AC17" s="293">
        <f ca="1">VLOOKUP($B17,KOMBI!$A:$ADS,AC$3,FALSE)-AB17</f>
        <v>8.5</v>
      </c>
      <c r="AD17" s="293">
        <f ca="1">VLOOKUP($B17,KOMBI!$A:$ADS,AD$3,FALSE)</f>
        <v>8.68530937302436</v>
      </c>
      <c r="AE17" s="293">
        <f ca="1">VLOOKUP($B17,KOMBI!$A:$ADS,AE$3,FALSE)</f>
        <v>13.780000000000001</v>
      </c>
      <c r="AF17" s="293">
        <f ca="1">VLOOKUP($B17,KOMBI!$A:$ADS,AF$3,FALSE)-AE17</f>
        <v>9.7100000000000009</v>
      </c>
      <c r="AG17" s="293">
        <f ca="1">VLOOKUP($B17,KOMBI!$A:$ADS,AG$3,FALSE)</f>
        <v>8.1258333333333344</v>
      </c>
      <c r="AI17" s="293">
        <f t="array" aca="1" ref="AI17" ca="1">VLOOKUP($B17,KOMBI!$A:$ADS,MATCH(Tulem!AI$3,KOMBI!$A$1:$ADS$1,0),FALSE)</f>
        <v>11.64</v>
      </c>
      <c r="AJ17" s="293">
        <f t="array" aca="1" ref="AJ17" ca="1">VLOOKUP($B17,KOMBI!$A:$ADS,MATCH(Tulem!AJ$3,KOMBI!$A$1:$ADS$1,0),FALSE)</f>
        <v>2.3100000000000005</v>
      </c>
      <c r="AK17" s="293">
        <f t="array" aca="1" ref="AK17" ca="1">VLOOKUP($B17,KOMBI!$A:$ADS,MATCH(Tulem!AK$3,KOMBI!$A$1:$ADS$1,0),FALSE)</f>
        <v>9.25</v>
      </c>
      <c r="AL17" s="293">
        <f t="array" aca="1" ref="AL17" ca="1">VLOOKUP($B17,KOMBI!$A:$ADS,MATCH(Tulem!AL$3,KOMBI!$A$1:$ADS$1,0),FALSE)</f>
        <v>2.78</v>
      </c>
      <c r="AM17" s="293">
        <f t="array" aca="1" ref="AM17" ca="1">VLOOKUP($B17,KOMBI!$A:$ADS,MATCH(Tulem!AM$3,KOMBI!$A$1:$ADS$1,0),FALSE)</f>
        <v>7.1</v>
      </c>
      <c r="AN17" s="293">
        <f t="array" aca="1" ref="AN17" ca="1">VLOOKUP($B17,KOMBI!$A:$ADS,MATCH(Tulem!AN$3,KOMBI!$A$1:$ADS$1,0),FALSE)</f>
        <v>11.5</v>
      </c>
      <c r="AO17" s="293">
        <f t="array" aca="1" ref="AO17" ca="1">VLOOKUP($B17,KOMBI!$A:$ADS,MATCH(Tulem!AO$3,KOMBI!$A$1:$ADS$1,0),FALSE)</f>
        <v>4.0999999999999996</v>
      </c>
      <c r="AP17" s="293">
        <f t="array" aca="1" ref="AP17" ca="1">VLOOKUP($B17,KOMBI!$A:$ADS,MATCH(Tulem!AP$3,KOMBI!$A$1:$ADS$1,0),FALSE)</f>
        <v>5.7045296564339489</v>
      </c>
      <c r="AQ17" s="293">
        <f t="array" aca="1" ref="AQ17" ca="1">VLOOKUP($B17,KOMBI!$A:$ADS,MATCH(Tulem!AQ$3,KOMBI!$A$1:$ADS$1,0),FALSE)</f>
        <v>5.6837209302325586</v>
      </c>
      <c r="AR17" s="293">
        <f t="array" aca="1" ref="AR17" ca="1">VLOOKUP($B17,KOMBI!$A:$ADS,MATCH(Tulem!AR$3,KOMBI!$A$1:$ADS$1,0),FALSE)</f>
        <v>2.1219844082566364</v>
      </c>
      <c r="AS17" s="293">
        <f t="array" aca="1" ref="AS17" ca="1">VLOOKUP($B17,KOMBI!$A:$ADS,MATCH(Tulem!AS$3,KOMBI!$A$1:$ADS$1,0),FALSE)</f>
        <v>0</v>
      </c>
      <c r="AT17" s="293">
        <f t="array" aca="1" ref="AT17" ca="1">VLOOKUP($B17,KOMBI!$A:$ADS,MATCH(Tulem!AT$3,KOMBI!$A$1:$ADS$1,0),FALSE)</f>
        <v>0</v>
      </c>
      <c r="AU17" s="293">
        <f t="array" aca="1" ref="AU17" ca="1">VLOOKUP($B17,KOMBI!$A:$ADS,MATCH(Tulem!AU$3,KOMBI!$A$1:$ADS$1,0),FALSE)</f>
        <v>2.1219844082566364</v>
      </c>
      <c r="AV17" s="293">
        <f t="shared" ca="1" si="1"/>
        <v>2.78</v>
      </c>
      <c r="AW17" s="293">
        <f t="shared" ca="1" si="2"/>
        <v>0</v>
      </c>
      <c r="AX17" s="291">
        <f ca="1">VLOOKUP($B17,KOMBI!$A:$ACA,MATCH(AX$5,KOMBI!$10:$10,0),FALSE)</f>
        <v>0.55310343520865646</v>
      </c>
      <c r="AY17" s="292">
        <f t="array" aca="1" ref="AY17" ca="1">VLOOKUP($B17,KOMBI!$A:$ADS,MATCH(Tulem!AY$3,KOMBI!$A$1:$ADS$1,0),FALSE)</f>
        <v>6.08</v>
      </c>
      <c r="AZ17" s="292">
        <f t="array" aca="1" ref="AZ17" ca="1">VLOOKUP($B17,KOMBI!$A:$ADS,MATCH(Tulem!AZ$3,KOMBI!$A$1:$ADS$1,0),FALSE)</f>
        <v>0.447957193299102</v>
      </c>
      <c r="BA17" s="292">
        <f t="array" aca="1" ref="BA17" ca="1">VLOOKUP($B17,KOMBI!$A:$ADS,MATCH(Tulem!BA$3,KOMBI!$A$1:$ADS$1,0),FALSE)</f>
        <v>2.5620074329845279E-2</v>
      </c>
      <c r="BB17" s="292">
        <f t="array" aca="1" ref="BB17" ca="1">VLOOKUP($B17,KOMBI!$A:$ADS,MATCH(Tulem!BB$3,KOMBI!$A$1:$ADS$1,0),FALSE)</f>
        <v>43.312900516795864</v>
      </c>
      <c r="BC17" s="292">
        <f t="array" aca="1" ref="BC17" ca="1">VLOOKUP($B17,KOMBI!$A:$ADS,MATCH(Tulem!BC$3,KOMBI!$A$1:$ADS$1,0),FALSE)</f>
        <v>4.9379999999999997</v>
      </c>
      <c r="BD17" s="292">
        <f t="array" aca="1" ref="BD17" ca="1">VLOOKUP($B17,KOMBI!$A:$ADS,MATCH(Tulem!BD$3,KOMBI!$A$1:$ADS$1,0),FALSE)</f>
        <v>1.03788499063732</v>
      </c>
      <c r="BE17" s="292">
        <f t="array" aca="1" ref="BE17" ca="1">VLOOKUP($B17,KOMBI!$A:$ADS,MATCH(Tulem!BE$3,KOMBI!$A$1:$ADS$1,0),FALSE)</f>
        <v>16.462578011574536</v>
      </c>
      <c r="BF17" s="292">
        <f t="array" aca="1" ref="BF17" ca="1">VLOOKUP($B17,KOMBI!$A:$ADS,MATCH(Tulem!BF$3,KOMBI!$A$1:$ADS$1,0),FALSE)</f>
        <v>11.219077976340797</v>
      </c>
      <c r="BG17" s="292">
        <f t="array" aca="1" ref="BG17" ca="1">VLOOKUP($B17,KOMBI!$A:$ADS,MATCH(Tulem!BG$3,KOMBI!$A$1:$ADS$1,0),FALSE)</f>
        <v>7.1831111109201009</v>
      </c>
      <c r="BH17" s="292">
        <f t="array" aca="1" ref="BH17" ca="1">VLOOKUP($B17,KOMBI!$A:$ADS,MATCH(Tulem!BH$3,KOMBI!$A$1:$ADS$1,0),FALSE)</f>
        <v>7.5717605777489068</v>
      </c>
      <c r="BI17" s="292">
        <f t="array" aca="1" ref="BI17" ca="1">VLOOKUP($B17,KOMBI!$A:$ADS,MATCH(Tulem!BI$3,KOMBI!$A$1:$ADS$1,0),FALSE)</f>
        <v>2.7810000000000001</v>
      </c>
      <c r="BJ17" s="292">
        <f t="array" aca="1" ref="BJ17" ca="1">VLOOKUP($B17,KOMBI!$A:$ADS,MATCH(Tulem!BJ$3,KOMBI!$A$1:$ADS$1,0),FALSE)</f>
        <v>0.19900000000000001</v>
      </c>
      <c r="BK17" s="292">
        <f t="array" aca="1" ref="BK17" ca="1">VLOOKUP($B17,KOMBI!$A:$ADS,MATCH(Tulem!BK$3,KOMBI!$A$1:$ADS$1,0),FALSE)</f>
        <v>0.72299999999999998</v>
      </c>
      <c r="BL17" s="292">
        <f t="array" aca="1" ref="BL17" ca="1">VLOOKUP($B17,KOMBI!$A:$ADS,MATCH(Tulem!BL$3,KOMBI!$A$1:$ADS$1,0),FALSE)</f>
        <v>3.4398849906373199</v>
      </c>
      <c r="BM17" s="292">
        <f t="array" aca="1" ref="BM17" ca="1">VLOOKUP($B17,KOMBI!$A:$ADS,MATCH(Tulem!BM$3,KOMBI!$A$1:$ADS$1,0),FALSE)</f>
        <v>90</v>
      </c>
      <c r="BN17" s="292">
        <f t="array" aca="1" ref="BN17" ca="1">VLOOKUP($B17,KOMBI!$A:$ADS,MATCH(Tulem!BN$3,KOMBI!$A$1:$ADS$1,0),FALSE)</f>
        <v>0.27911646586345373</v>
      </c>
      <c r="BO17" s="292">
        <f t="array" aca="1" ref="BO17" ca="1">VLOOKUP($B17,KOMBI!$A:$ADS,MATCH(Tulem!BO$3,KOMBI!$A$1:$ADS$1,0),FALSE)</f>
        <v>1</v>
      </c>
      <c r="BP17" s="291"/>
      <c r="BQ17" s="292">
        <f t="array" aca="1" ref="BQ17" ca="1">VLOOKUP($B17,KOMBI!$A:$ADS,MATCH(Tulem!BQ$3,KOMBI!$A$1:$ADS$1,0),FALSE)</f>
        <v>9.68</v>
      </c>
      <c r="BR17" s="292">
        <f t="array" aca="1" ref="BR17" ca="1">VLOOKUP($B17,KOMBI!$A:$ADS,MATCH(Tulem!BR$3,KOMBI!$A$1:$ADS$1,0),FALSE)</f>
        <v>67</v>
      </c>
      <c r="BS17" s="292">
        <f t="array" aca="1" ref="BS17" ca="1">VLOOKUP($B17,KOMBI!$A:$ADS,MATCH(Tulem!BS$3,KOMBI!$A$1:$ADS$1,0),FALSE)</f>
        <v>12.635</v>
      </c>
      <c r="BT17" s="292">
        <f t="array" aca="1" ref="BT17" ca="1">VLOOKUP($B17,KOMBI!$A:$ADS,MATCH(Tulem!BT$3,KOMBI!$A$1:$ADS$1,0),FALSE)</f>
        <v>57.006666666666661</v>
      </c>
      <c r="BU17" s="292">
        <f t="array" aca="1" ref="BU17" ca="1">VLOOKUP($B17,KOMBI!$A:$ADS,MATCH(Tulem!BU$3,KOMBI!$A$1:$ADS$1,0),FALSE)</f>
        <v>4.5926130000000001</v>
      </c>
      <c r="BV17" s="291"/>
      <c r="BW17" s="292">
        <f t="array" aca="1" ref="BW17" ca="1">VLOOKUP($B17,KOMBI!$A:$ADS,MATCH(Tulem!BW$3,KOMBI!$A$1:$ADS$1,0),FALSE)</f>
        <v>285</v>
      </c>
      <c r="BX17" s="291"/>
      <c r="BY17" s="291"/>
      <c r="BZ17" s="292">
        <f t="array" aca="1" ref="BZ17" ca="1">VLOOKUP($B17,KOMBI!$A:$ADS,MATCH(Tulem!BZ$3,KOMBI!$A$1:$ADS$1,0),FALSE)</f>
        <v>11.910937220493992</v>
      </c>
      <c r="CA17" s="292">
        <f t="array" aca="1" ref="CA17" ca="1">VLOOKUP($B17,KOMBI!$A:$ADS,MATCH(Tulem!CA$3,KOMBI!$A$1:$ADS$1,0),FALSE)</f>
        <v>-162.95750000000001</v>
      </c>
      <c r="CB17" s="292">
        <f t="array" aca="1" ref="CB17" ca="1">VLOOKUP($B17,KOMBI!$A:$ADS,MATCH(Tulem!CB$3,KOMBI!$A$1:$ADS$1,0),FALSE)</f>
        <v>0</v>
      </c>
      <c r="CC17" s="292">
        <f t="array" aca="1" ref="CC17" ca="1">VLOOKUP($B17,KOMBI!$A:$ADS,MATCH(Tulem!CC$3,KOMBI!$A$1:$ADS$1,0),FALSE)</f>
        <v>174.868437220494</v>
      </c>
      <c r="CD17" s="292">
        <f t="array" aca="1" ref="CD17" ca="1">VLOOKUP($B17,KOMBI!$A:$ADS,MATCH(Tulem!CD$3,KOMBI!$A$1:$ADS$1,0),FALSE)</f>
        <v>784</v>
      </c>
      <c r="CF17" s="51">
        <f ca="1">VLOOKUP($B17,KOMBI!$A:$ACG,MATCH(CF$5,KOMBI!$10:$10,0),FALSE)</f>
        <v>0.3678346224372237</v>
      </c>
    </row>
    <row r="18" spans="1:84" s="51" customFormat="1" x14ac:dyDescent="0.2">
      <c r="A18" s="51">
        <v>13</v>
      </c>
      <c r="B18" s="51">
        <f ca="1">KOMBI!GI23</f>
        <v>134</v>
      </c>
      <c r="C18" s="51">
        <f t="shared" si="0"/>
        <v>13</v>
      </c>
      <c r="D18" s="290" t="str">
        <f ca="1">VLOOKUP(VLOOKUP($B18,KOMBI!$A:$H,3,FALSE),data!$I$27:$J$29,2,FALSE)</f>
        <v>Sekkuv/EÜ</v>
      </c>
      <c r="E18" s="290" t="str">
        <f ca="1">VLOOKUP(VLOOKUP($B18,KOMBI!$A:$H,2,FALSE),data!$I$21:$J$23,2,FALSE)</f>
        <v>Sekkuv</v>
      </c>
      <c r="F18" s="290" t="str">
        <f ca="1">VLOOKUP(VLOOKUP($B18,KOMBI!$A:$H,5,FALSE),data!$I$39:$J$41,2,FALSE)</f>
        <v>Vähe-sekkuv</v>
      </c>
      <c r="G18" s="290" t="str">
        <f ca="1">VLOOKUP(VLOOKUP($B18,KOMBI!$A:$H,4,FALSE),data!$I$32:$J$36,2,FALSE)</f>
        <v>PK &amp; UG</v>
      </c>
      <c r="I18" s="51">
        <f ca="1">VLOOKUP($B18,KOMBI!$A:$Z,MATCH(I$5,KOMBI!$10:$10,0),FALSE)</f>
        <v>8.1406618480060722</v>
      </c>
      <c r="J18" s="291">
        <f ca="1">VLOOKUP($B18,KOMBI!$A:$ADS,J$3,FALSE)</f>
        <v>3.4508054034342074E-2</v>
      </c>
      <c r="K18" s="291">
        <f ca="1">VLOOKUP($B18,KOMBI!$A:$ADS,K$3,FALSE)</f>
        <v>1.1526219885666359E-2</v>
      </c>
      <c r="L18" s="291">
        <f ca="1">VLOOKUP($B18,KOMBI!$A:$ADS,L$3,FALSE)</f>
        <v>1.2868830726977393E-2</v>
      </c>
      <c r="M18" s="291">
        <f ca="1">VLOOKUP($B18,KOMBI!$A:$ADS,M$3,FALSE)</f>
        <v>2.2048146655314422E-2</v>
      </c>
      <c r="N18" s="291">
        <f ca="1">VLOOKUP($B18,KOMBI!$A:$ADS,N$3,FALSE)</f>
        <v>-3.8802982007739094E-2</v>
      </c>
      <c r="O18" s="291">
        <f ca="1">VLOOKUP($B18,KOMBI!$A:$ADS,O$3,FALSE)</f>
        <v>3.0058036881336778E-2</v>
      </c>
      <c r="P18" s="291">
        <f ca="1">VLOOKUP($B18,KOMBI!$A:$ADS,P$3,FALSE)</f>
        <v>1.2877363069877093E-2</v>
      </c>
      <c r="Q18" s="292">
        <f t="array" aca="1" ref="Q18" ca="1">VLOOKUP($B18,KOMBI!$A:$ADS,MATCH(Tulem!Q$3,KOMBI!$A$1:$ADS$1,0),FALSE)</f>
        <v>924.83808695228879</v>
      </c>
      <c r="S18" s="332">
        <f t="array" aca="1" ref="S18" ca="1">VLOOKUP($B18,KOMBI!$A:$ADS,MATCH(Tulem!S$3,KOMBI!$A$1:$ADS$1,0),FALSE)</f>
        <v>12835.009545498606</v>
      </c>
      <c r="T18" s="293">
        <f ca="1">VLOOKUP($B18,KOMBI!$A:$ADS,T$3,FALSE)</f>
        <v>4727</v>
      </c>
      <c r="U18" s="293">
        <f ca="1">VLOOKUP($B18,KOMBI!$A:$ADS,U$3,FALSE)</f>
        <v>1177</v>
      </c>
      <c r="V18" s="293">
        <f ca="1">VLOOKUP($B18,KOMBI!$A:$ADS,V$3,FALSE)</f>
        <v>2346</v>
      </c>
      <c r="W18" s="293"/>
      <c r="X18" s="293">
        <f ca="1">VLOOKUP($B18,KOMBI!$A:$ADS,X$3,FALSE)</f>
        <v>530.88499063732002</v>
      </c>
      <c r="Y18" s="293">
        <f ca="1">VLOOKUP($B18,KOMBI!$A:$ADS,Y$3,FALSE)</f>
        <v>507</v>
      </c>
      <c r="Z18" s="293">
        <f ca="1">VLOOKUP($B18,KOMBI!$A:$ADS,Z$3,FALSE)</f>
        <v>377.5</v>
      </c>
      <c r="AA18" s="293"/>
      <c r="AB18" s="293">
        <f ca="1">VLOOKUP($B18,KOMBI!$A:$ADS,AB$3,FALSE)</f>
        <v>15.25</v>
      </c>
      <c r="AC18" s="293">
        <f ca="1">VLOOKUP($B18,KOMBI!$A:$ADS,AC$3,FALSE)-AB18</f>
        <v>8.5</v>
      </c>
      <c r="AD18" s="293">
        <f ca="1">VLOOKUP($B18,KOMBI!$A:$ADS,AD$3,FALSE)</f>
        <v>8.68530937302436</v>
      </c>
      <c r="AE18" s="293">
        <f ca="1">VLOOKUP($B18,KOMBI!$A:$ADS,AE$3,FALSE)</f>
        <v>13.780000000000001</v>
      </c>
      <c r="AF18" s="293">
        <f ca="1">VLOOKUP($B18,KOMBI!$A:$ADS,AF$3,FALSE)-AE18</f>
        <v>9.7100000000000009</v>
      </c>
      <c r="AG18" s="293">
        <f ca="1">VLOOKUP($B18,KOMBI!$A:$ADS,AG$3,FALSE)</f>
        <v>8.1258333333333344</v>
      </c>
      <c r="AI18" s="293">
        <f t="array" aca="1" ref="AI18" ca="1">VLOOKUP($B18,KOMBI!$A:$ADS,MATCH(Tulem!AI$3,KOMBI!$A$1:$ADS$1,0),FALSE)</f>
        <v>17.400000000000002</v>
      </c>
      <c r="AJ18" s="293">
        <f t="array" aca="1" ref="AJ18" ca="1">VLOOKUP($B18,KOMBI!$A:$ADS,MATCH(Tulem!AJ$3,KOMBI!$A$1:$ADS$1,0),FALSE)</f>
        <v>2.3100000000000005</v>
      </c>
      <c r="AK18" s="293">
        <f t="array" aca="1" ref="AK18" ca="1">VLOOKUP($B18,KOMBI!$A:$ADS,MATCH(Tulem!AK$3,KOMBI!$A$1:$ADS$1,0),FALSE)</f>
        <v>4.59</v>
      </c>
      <c r="AL18" s="293">
        <f t="array" aca="1" ref="AL18" ca="1">VLOOKUP($B18,KOMBI!$A:$ADS,MATCH(Tulem!AL$3,KOMBI!$A$1:$ADS$1,0),FALSE)</f>
        <v>-0.41</v>
      </c>
      <c r="AM18" s="293">
        <f t="array" aca="1" ref="AM18" ca="1">VLOOKUP($B18,KOMBI!$A:$ADS,MATCH(Tulem!AM$3,KOMBI!$A$1:$ADS$1,0),FALSE)</f>
        <v>7.1</v>
      </c>
      <c r="AN18" s="293">
        <f t="array" aca="1" ref="AN18" ca="1">VLOOKUP($B18,KOMBI!$A:$ADS,MATCH(Tulem!AN$3,KOMBI!$A$1:$ADS$1,0),FALSE)</f>
        <v>11.5</v>
      </c>
      <c r="AO18" s="293">
        <f t="array" aca="1" ref="AO18" ca="1">VLOOKUP($B18,KOMBI!$A:$ADS,MATCH(Tulem!AO$3,KOMBI!$A$1:$ADS$1,0),FALSE)</f>
        <v>4.0999999999999996</v>
      </c>
      <c r="AP18" s="293">
        <f t="array" aca="1" ref="AP18" ca="1">VLOOKUP($B18,KOMBI!$A:$ADS,MATCH(Tulem!AP$3,KOMBI!$A$1:$ADS$1,0),FALSE)</f>
        <v>5.7045296564339489</v>
      </c>
      <c r="AQ18" s="293">
        <f t="array" aca="1" ref="AQ18" ca="1">VLOOKUP($B18,KOMBI!$A:$ADS,MATCH(Tulem!AQ$3,KOMBI!$A$1:$ADS$1,0),FALSE)</f>
        <v>29.428043680118964</v>
      </c>
      <c r="AR18" s="293">
        <f t="array" aca="1" ref="AR18" ca="1">VLOOKUP($B18,KOMBI!$A:$ADS,MATCH(Tulem!AR$3,KOMBI!$A$1:$ADS$1,0),FALSE)</f>
        <v>2.1219844082566364</v>
      </c>
      <c r="AS18" s="293">
        <f t="array" aca="1" ref="AS18" ca="1">VLOOKUP($B18,KOMBI!$A:$ADS,MATCH(Tulem!AS$3,KOMBI!$A$1:$ADS$1,0),FALSE)</f>
        <v>2.141</v>
      </c>
      <c r="AT18" s="293">
        <f t="array" aca="1" ref="AT18" ca="1">VLOOKUP($B18,KOMBI!$A:$ADS,MATCH(Tulem!AT$3,KOMBI!$A$1:$ADS$1,0),FALSE)</f>
        <v>1.9015591743363647E-2</v>
      </c>
      <c r="AU18" s="293">
        <f t="array" aca="1" ref="AU18" ca="1">VLOOKUP($B18,KOMBI!$A:$ADS,MATCH(Tulem!AU$3,KOMBI!$A$1:$ADS$1,0),FALSE)</f>
        <v>0</v>
      </c>
      <c r="AV18" s="293">
        <f t="shared" ca="1" si="1"/>
        <v>0</v>
      </c>
      <c r="AW18" s="293">
        <f t="shared" ca="1" si="2"/>
        <v>-0.41</v>
      </c>
      <c r="AX18" s="291">
        <f ca="1">VLOOKUP($B18,KOMBI!$A:$ACA,MATCH(AX$5,KOMBI!$10:$10,0),FALSE)</f>
        <v>0.24932063212336691</v>
      </c>
      <c r="AY18" s="292">
        <f t="array" aca="1" ref="AY18" ca="1">VLOOKUP($B18,KOMBI!$A:$ADS,MATCH(Tulem!AY$3,KOMBI!$A$1:$ADS$1,0),FALSE)</f>
        <v>6.08</v>
      </c>
      <c r="AZ18" s="292">
        <f t="array" aca="1" ref="AZ18" ca="1">VLOOKUP($B18,KOMBI!$A:$ADS,MATCH(Tulem!AZ$3,KOMBI!$A$1:$ADS$1,0),FALSE)</f>
        <v>0.44890608494094819</v>
      </c>
      <c r="BA18" s="292">
        <f t="array" aca="1" ref="BA18" ca="1">VLOOKUP($B18,KOMBI!$A:$ADS,MATCH(Tulem!BA$3,KOMBI!$A$1:$ADS$1,0),FALSE)</f>
        <v>2.5620074329845279E-2</v>
      </c>
      <c r="BB18" s="292">
        <f t="array" aca="1" ref="BB18" ca="1">VLOOKUP($B18,KOMBI!$A:$ADS,MATCH(Tulem!BB$3,KOMBI!$A$1:$ADS$1,0),FALSE)</f>
        <v>57.735011875436605</v>
      </c>
      <c r="BC18" s="292">
        <f t="array" aca="1" ref="BC18" ca="1">VLOOKUP($B18,KOMBI!$A:$ADS,MATCH(Tulem!BC$3,KOMBI!$A$1:$ADS$1,0),FALSE)</f>
        <v>5.9039999999999999</v>
      </c>
      <c r="BD18" s="292">
        <f t="array" aca="1" ref="BD18" ca="1">VLOOKUP($B18,KOMBI!$A:$ADS,MATCH(Tulem!BD$3,KOMBI!$A$1:$ADS$1,0),FALSE)</f>
        <v>1.4153849906373199</v>
      </c>
      <c r="BE18" s="292">
        <f t="array" aca="1" ref="BE18" ca="1">VLOOKUP($B18,KOMBI!$A:$ADS,MATCH(Tulem!BE$3,KOMBI!$A$1:$ADS$1,0),FALSE)</f>
        <v>20.928000000000001</v>
      </c>
      <c r="BF18" s="292">
        <f t="array" aca="1" ref="BF18" ca="1">VLOOKUP($B18,KOMBI!$A:$ADS,MATCH(Tulem!BF$3,KOMBI!$A$1:$ADS$1,0),FALSE)</f>
        <v>37.837669554234019</v>
      </c>
      <c r="BG18" s="292">
        <f t="array" aca="1" ref="BG18" ca="1">VLOOKUP($B18,KOMBI!$A:$ADS,MATCH(Tulem!BG$3,KOMBI!$A$1:$ADS$1,0),FALSE)</f>
        <v>10.488630311598682</v>
      </c>
      <c r="BH18" s="292">
        <f t="array" aca="1" ref="BH18" ca="1">VLOOKUP($B18,KOMBI!$A:$ADS,MATCH(Tulem!BH$3,KOMBI!$A$1:$ADS$1,0),FALSE)</f>
        <v>7.5199896156049162</v>
      </c>
      <c r="BI18" s="292">
        <f t="array" aca="1" ref="BI18" ca="1">VLOOKUP($B18,KOMBI!$A:$ADS,MATCH(Tulem!BI$3,KOMBI!$A$1:$ADS$1,0),FALSE)</f>
        <v>2.7810000000000001</v>
      </c>
      <c r="BJ18" s="292">
        <f t="array" aca="1" ref="BJ18" ca="1">VLOOKUP($B18,KOMBI!$A:$ADS,MATCH(Tulem!BJ$3,KOMBI!$A$1:$ADS$1,0),FALSE)</f>
        <v>0.19900000000000001</v>
      </c>
      <c r="BK18" s="292">
        <f t="array" aca="1" ref="BK18" ca="1">VLOOKUP($B18,KOMBI!$A:$ADS,MATCH(Tulem!BK$3,KOMBI!$A$1:$ADS$1,0),FALSE)</f>
        <v>0.72299999999999998</v>
      </c>
      <c r="BL18" s="292">
        <f t="array" aca="1" ref="BL18" ca="1">VLOOKUP($B18,KOMBI!$A:$ADS,MATCH(Tulem!BL$3,KOMBI!$A$1:$ADS$1,0),FALSE)</f>
        <v>7.2238849906373197</v>
      </c>
      <c r="BM18" s="292">
        <f t="array" aca="1" ref="BM18" ca="1">VLOOKUP($B18,KOMBI!$A:$ADS,MATCH(Tulem!BM$3,KOMBI!$A$1:$ADS$1,0),FALSE)</f>
        <v>90</v>
      </c>
      <c r="BN18" s="292">
        <f t="array" aca="1" ref="BN18" ca="1">VLOOKUP($B18,KOMBI!$A:$ADS,MATCH(Tulem!BN$3,KOMBI!$A$1:$ADS$1,0),FALSE)</f>
        <v>0</v>
      </c>
      <c r="BO18" s="292">
        <f t="array" aca="1" ref="BO18" ca="1">VLOOKUP($B18,KOMBI!$A:$ADS,MATCH(Tulem!BO$3,KOMBI!$A$1:$ADS$1,0),FALSE)</f>
        <v>0.72887234460741657</v>
      </c>
      <c r="BP18" s="291"/>
      <c r="BQ18" s="292">
        <f t="array" aca="1" ref="BQ18" ca="1">VLOOKUP($B18,KOMBI!$A:$ADS,MATCH(Tulem!BQ$3,KOMBI!$A$1:$ADS$1,0),FALSE)</f>
        <v>10.805999999999999</v>
      </c>
      <c r="BR18" s="292">
        <f t="array" aca="1" ref="BR18" ca="1">VLOOKUP($B18,KOMBI!$A:$ADS,MATCH(Tulem!BR$3,KOMBI!$A$1:$ADS$1,0),FALSE)</f>
        <v>91.4</v>
      </c>
      <c r="BS18" s="292">
        <f t="array" aca="1" ref="BS18" ca="1">VLOOKUP($B18,KOMBI!$A:$ADS,MATCH(Tulem!BS$3,KOMBI!$A$1:$ADS$1,0),FALSE)</f>
        <v>15.28</v>
      </c>
      <c r="BT18" s="292">
        <f t="array" aca="1" ref="BT18" ca="1">VLOOKUP($B18,KOMBI!$A:$ADS,MATCH(Tulem!BT$3,KOMBI!$A$1:$ADS$1,0),FALSE)</f>
        <v>131.07388888888889</v>
      </c>
      <c r="BU18" s="292">
        <f t="array" aca="1" ref="BU18" ca="1">VLOOKUP($B18,KOMBI!$A:$ADS,MATCH(Tulem!BU$3,KOMBI!$A$1:$ADS$1,0),FALSE)</f>
        <v>6.9897299999999998</v>
      </c>
      <c r="BV18" s="291"/>
      <c r="BW18" s="292">
        <f t="array" aca="1" ref="BW18" ca="1">VLOOKUP($B18,KOMBI!$A:$ADS,MATCH(Tulem!BW$3,KOMBI!$A$1:$ADS$1,0),FALSE)</f>
        <v>284.90000000000003</v>
      </c>
      <c r="BX18" s="291"/>
      <c r="BY18" s="291"/>
      <c r="BZ18" s="292">
        <f t="array" aca="1" ref="BZ18" ca="1">VLOOKUP($B18,KOMBI!$A:$ADS,MATCH(Tulem!BZ$3,KOMBI!$A$1:$ADS$1,0),FALSE)</f>
        <v>147.10913619100427</v>
      </c>
      <c r="CA18" s="292">
        <f t="array" aca="1" ref="CA18" ca="1">VLOOKUP($B18,KOMBI!$A:$ADS,MATCH(Tulem!CA$3,KOMBI!$A$1:$ADS$1,0),FALSE)</f>
        <v>-178.19071988063212</v>
      </c>
      <c r="CB18" s="292">
        <f t="array" aca="1" ref="CB18" ca="1">VLOOKUP($B18,KOMBI!$A:$ADS,MATCH(Tulem!CB$3,KOMBI!$A$1:$ADS$1,0),FALSE)</f>
        <v>0</v>
      </c>
      <c r="CC18" s="292">
        <f t="array" aca="1" ref="CC18" ca="1">VLOOKUP($B18,KOMBI!$A:$ADS,MATCH(Tulem!CC$3,KOMBI!$A$1:$ADS$1,0),FALSE)</f>
        <v>325.29985607163638</v>
      </c>
      <c r="CD18" s="292">
        <f t="array" aca="1" ref="CD18" ca="1">VLOOKUP($B18,KOMBI!$A:$ADS,MATCH(Tulem!CD$3,KOMBI!$A$1:$ADS$1,0),FALSE)</f>
        <v>1007</v>
      </c>
      <c r="CF18" s="51">
        <f ca="1">VLOOKUP($B18,KOMBI!$A:$ACG,MATCH(CF$5,KOMBI!$10:$10,0),FALSE)</f>
        <v>0.27595013650694178</v>
      </c>
    </row>
    <row r="19" spans="1:84" s="51" customFormat="1" x14ac:dyDescent="0.2">
      <c r="A19" s="51">
        <v>14</v>
      </c>
      <c r="B19" s="51">
        <f ca="1">KOMBI!GI24</f>
        <v>135</v>
      </c>
      <c r="C19" s="51">
        <f t="shared" si="0"/>
        <v>14</v>
      </c>
      <c r="D19" s="290" t="str">
        <f ca="1">VLOOKUP(VLOOKUP($B19,KOMBI!$A:$H,3,FALSE),data!$I$27:$J$29,2,FALSE)</f>
        <v>Sekkuv/EÜ</v>
      </c>
      <c r="E19" s="290" t="str">
        <f ca="1">VLOOKUP(VLOOKUP($B19,KOMBI!$A:$H,2,FALSE),data!$I$21:$J$23,2,FALSE)</f>
        <v>Sekkuv</v>
      </c>
      <c r="F19" s="290" t="str">
        <f ca="1">VLOOKUP(VLOOKUP($B19,KOMBI!$A:$H,5,FALSE),data!$I$39:$J$41,2,FALSE)</f>
        <v>Sekkuv</v>
      </c>
      <c r="G19" s="290" t="str">
        <f ca="1">VLOOKUP(VLOOKUP($B19,KOMBI!$A:$H,4,FALSE),data!$I$32:$J$36,2,FALSE)</f>
        <v>PK &amp; UG</v>
      </c>
      <c r="I19" s="51">
        <f ca="1">VLOOKUP($B19,KOMBI!$A:$Z,MATCH(I$5,KOMBI!$10:$10,0),FALSE)</f>
        <v>9.0457615702475991</v>
      </c>
      <c r="J19" s="291">
        <f ca="1">VLOOKUP($B19,KOMBI!$A:$ADS,J$3,FALSE)</f>
        <v>3.9159109412588593E-2</v>
      </c>
      <c r="K19" s="291">
        <f ca="1">VLOOKUP($B19,KOMBI!$A:$ADS,K$3,FALSE)</f>
        <v>1.1538985612707746E-2</v>
      </c>
      <c r="L19" s="291">
        <f ca="1">VLOOKUP($B19,KOMBI!$A:$ADS,L$3,FALSE)</f>
        <v>1.4199620563024123E-2</v>
      </c>
      <c r="M19" s="291">
        <f ca="1">VLOOKUP($B19,KOMBI!$A:$ADS,M$3,FALSE)</f>
        <v>2.5442010103479275E-2</v>
      </c>
      <c r="N19" s="291">
        <f ca="1">VLOOKUP($B19,KOMBI!$A:$ADS,N$3,FALSE)</f>
        <v>-3.4823494877293193E-2</v>
      </c>
      <c r="O19" s="291">
        <f ca="1">VLOOKUP($B19,KOMBI!$A:$ADS,O$3,FALSE)</f>
        <v>3.1317196797625221E-2</v>
      </c>
      <c r="P19" s="291">
        <f ca="1">VLOOKUP($B19,KOMBI!$A:$ADS,P$3,FALSE)</f>
        <v>1.4338082043103342E-2</v>
      </c>
      <c r="Q19" s="292">
        <f t="array" aca="1" ref="Q19" ca="1">VLOOKUP($B19,KOMBI!$A:$ADS,MATCH(Tulem!Q$3,KOMBI!$A$1:$ADS$1,0),FALSE)</f>
        <v>1041.4488779697681</v>
      </c>
      <c r="S19" s="332">
        <f t="array" aca="1" ref="S19" ca="1">VLOOKUP($B19,KOMBI!$A:$ADS,MATCH(Tulem!S$3,KOMBI!$A$1:$ADS$1,0),FALSE)</f>
        <v>15906.599486697454</v>
      </c>
      <c r="T19" s="293">
        <f ca="1">VLOOKUP($B19,KOMBI!$A:$ADS,T$3,FALSE)</f>
        <v>4727</v>
      </c>
      <c r="U19" s="293">
        <f ca="1">VLOOKUP($B19,KOMBI!$A:$ADS,U$3,FALSE)</f>
        <v>1177</v>
      </c>
      <c r="V19" s="293">
        <f ca="1">VLOOKUP($B19,KOMBI!$A:$ADS,V$3,FALSE)</f>
        <v>2346</v>
      </c>
      <c r="W19" s="293"/>
      <c r="X19" s="293">
        <f ca="1">VLOOKUP($B19,KOMBI!$A:$ADS,X$3,FALSE)</f>
        <v>530.88499063732002</v>
      </c>
      <c r="Y19" s="293">
        <f ca="1">VLOOKUP($B19,KOMBI!$A:$ADS,Y$3,FALSE)</f>
        <v>507</v>
      </c>
      <c r="Z19" s="293">
        <f ca="1">VLOOKUP($B19,KOMBI!$A:$ADS,Z$3,FALSE)</f>
        <v>586.20000000000005</v>
      </c>
      <c r="AA19" s="293"/>
      <c r="AB19" s="293">
        <f ca="1">VLOOKUP($B19,KOMBI!$A:$ADS,AB$3,FALSE)</f>
        <v>15.25</v>
      </c>
      <c r="AC19" s="293">
        <f ca="1">VLOOKUP($B19,KOMBI!$A:$ADS,AC$3,FALSE)-AB19</f>
        <v>8.5</v>
      </c>
      <c r="AD19" s="293">
        <f ca="1">VLOOKUP($B19,KOMBI!$A:$ADS,AD$3,FALSE)</f>
        <v>8.68530937302436</v>
      </c>
      <c r="AE19" s="293">
        <f ca="1">VLOOKUP($B19,KOMBI!$A:$ADS,AE$3,FALSE)</f>
        <v>13.780000000000001</v>
      </c>
      <c r="AF19" s="293">
        <f ca="1">VLOOKUP($B19,KOMBI!$A:$ADS,AF$3,FALSE)-AE19</f>
        <v>9.7100000000000009</v>
      </c>
      <c r="AG19" s="293">
        <f ca="1">VLOOKUP($B19,KOMBI!$A:$ADS,AG$3,FALSE)</f>
        <v>8.1258333333333344</v>
      </c>
      <c r="AI19" s="293">
        <f t="array" aca="1" ref="AI19" ca="1">VLOOKUP($B19,KOMBI!$A:$ADS,MATCH(Tulem!AI$3,KOMBI!$A$1:$ADS$1,0),FALSE)</f>
        <v>17.400000000000002</v>
      </c>
      <c r="AJ19" s="293">
        <f t="array" aca="1" ref="AJ19" ca="1">VLOOKUP($B19,KOMBI!$A:$ADS,MATCH(Tulem!AJ$3,KOMBI!$A$1:$ADS$1,0),FALSE)</f>
        <v>2.3100000000000005</v>
      </c>
      <c r="AK19" s="293">
        <f t="array" aca="1" ref="AK19" ca="1">VLOOKUP($B19,KOMBI!$A:$ADS,MATCH(Tulem!AK$3,KOMBI!$A$1:$ADS$1,0),FALSE)</f>
        <v>4.59</v>
      </c>
      <c r="AL19" s="293">
        <f t="array" aca="1" ref="AL19" ca="1">VLOOKUP($B19,KOMBI!$A:$ADS,MATCH(Tulem!AL$3,KOMBI!$A$1:$ADS$1,0),FALSE)</f>
        <v>-0.41</v>
      </c>
      <c r="AM19" s="293">
        <f t="array" aca="1" ref="AM19" ca="1">VLOOKUP($B19,KOMBI!$A:$ADS,MATCH(Tulem!AM$3,KOMBI!$A$1:$ADS$1,0),FALSE)</f>
        <v>7.1</v>
      </c>
      <c r="AN19" s="293">
        <f t="array" aca="1" ref="AN19" ca="1">VLOOKUP($B19,KOMBI!$A:$ADS,MATCH(Tulem!AN$3,KOMBI!$A$1:$ADS$1,0),FALSE)</f>
        <v>11.5</v>
      </c>
      <c r="AO19" s="293">
        <f t="array" aca="1" ref="AO19" ca="1">VLOOKUP($B19,KOMBI!$A:$ADS,MATCH(Tulem!AO$3,KOMBI!$A$1:$ADS$1,0),FALSE)</f>
        <v>4.0999999999999996</v>
      </c>
      <c r="AP19" s="293">
        <f t="array" aca="1" ref="AP19" ca="1">VLOOKUP($B19,KOMBI!$A:$ADS,MATCH(Tulem!AP$3,KOMBI!$A$1:$ADS$1,0),FALSE)</f>
        <v>5.7045296564339489</v>
      </c>
      <c r="AQ19" s="293">
        <f t="array" aca="1" ref="AQ19" ca="1">VLOOKUP($B19,KOMBI!$A:$ADS,MATCH(Tulem!AQ$3,KOMBI!$A$1:$ADS$1,0),FALSE)</f>
        <v>29.428043680118964</v>
      </c>
      <c r="AR19" s="293">
        <f t="array" aca="1" ref="AR19" ca="1">VLOOKUP($B19,KOMBI!$A:$ADS,MATCH(Tulem!AR$3,KOMBI!$A$1:$ADS$1,0),FALSE)</f>
        <v>2.1219844082566364</v>
      </c>
      <c r="AS19" s="293">
        <f t="array" aca="1" ref="AS19" ca="1">VLOOKUP($B19,KOMBI!$A:$ADS,MATCH(Tulem!AS$3,KOMBI!$A$1:$ADS$1,0),FALSE)</f>
        <v>4.2799999999999994</v>
      </c>
      <c r="AT19" s="293">
        <f t="array" aca="1" ref="AT19" ca="1">VLOOKUP($B19,KOMBI!$A:$ADS,MATCH(Tulem!AT$3,KOMBI!$A$1:$ADS$1,0),FALSE)</f>
        <v>2.158015591743363</v>
      </c>
      <c r="AU19" s="293">
        <f t="array" aca="1" ref="AU19" ca="1">VLOOKUP($B19,KOMBI!$A:$ADS,MATCH(Tulem!AU$3,KOMBI!$A$1:$ADS$1,0),FALSE)</f>
        <v>0</v>
      </c>
      <c r="AV19" s="293">
        <f t="shared" ca="1" si="1"/>
        <v>0</v>
      </c>
      <c r="AW19" s="293">
        <f t="shared" ca="1" si="2"/>
        <v>-0.41</v>
      </c>
      <c r="AX19" s="291">
        <f ca="1">VLOOKUP($B19,KOMBI!$A:$ACA,MATCH(AX$5,KOMBI!$10:$10,0),FALSE)</f>
        <v>0.24932063212336694</v>
      </c>
      <c r="AY19" s="292">
        <f t="array" aca="1" ref="AY19" ca="1">VLOOKUP($B19,KOMBI!$A:$ADS,MATCH(Tulem!AY$3,KOMBI!$A$1:$ADS$1,0),FALSE)</f>
        <v>6.08</v>
      </c>
      <c r="AZ19" s="292">
        <f t="array" aca="1" ref="AZ19" ca="1">VLOOKUP($B19,KOMBI!$A:$ADS,MATCH(Tulem!AZ$3,KOMBI!$A$1:$ADS$1,0),FALSE)</f>
        <v>0.44890608494094819</v>
      </c>
      <c r="BA19" s="292">
        <f t="array" aca="1" ref="BA19" ca="1">VLOOKUP($B19,KOMBI!$A:$ADS,MATCH(Tulem!BA$3,KOMBI!$A$1:$ADS$1,0),FALSE)</f>
        <v>2.5620074329845279E-2</v>
      </c>
      <c r="BB19" s="292">
        <f t="array" aca="1" ref="BB19" ca="1">VLOOKUP($B19,KOMBI!$A:$ADS,MATCH(Tulem!BB$3,KOMBI!$A$1:$ADS$1,0),FALSE)</f>
        <v>57.735011875436598</v>
      </c>
      <c r="BC19" s="292">
        <f t="array" aca="1" ref="BC19" ca="1">VLOOKUP($B19,KOMBI!$A:$ADS,MATCH(Tulem!BC$3,KOMBI!$A$1:$ADS$1,0),FALSE)</f>
        <v>5.9039999999999999</v>
      </c>
      <c r="BD19" s="292">
        <f t="array" aca="1" ref="BD19" ca="1">VLOOKUP($B19,KOMBI!$A:$ADS,MATCH(Tulem!BD$3,KOMBI!$A$1:$ADS$1,0),FALSE)</f>
        <v>1.62408499063732</v>
      </c>
      <c r="BE19" s="292">
        <f t="array" aca="1" ref="BE19" ca="1">VLOOKUP($B19,KOMBI!$A:$ADS,MATCH(Tulem!BE$3,KOMBI!$A$1:$ADS$1,0),FALSE)</f>
        <v>20.928000000000001</v>
      </c>
      <c r="BF19" s="292">
        <f t="array" aca="1" ref="BF19" ca="1">VLOOKUP($B19,KOMBI!$A:$ADS,MATCH(Tulem!BF$3,KOMBI!$A$1:$ADS$1,0),FALSE)</f>
        <v>37.837669554234019</v>
      </c>
      <c r="BG19" s="292">
        <f t="array" aca="1" ref="BG19" ca="1">VLOOKUP($B19,KOMBI!$A:$ADS,MATCH(Tulem!BG$3,KOMBI!$A$1:$ADS$1,0),FALSE)</f>
        <v>10.488630311598682</v>
      </c>
      <c r="BH19" s="292">
        <f t="array" aca="1" ref="BH19" ca="1">VLOOKUP($B19,KOMBI!$A:$ADS,MATCH(Tulem!BH$3,KOMBI!$A$1:$ADS$1,0),FALSE)</f>
        <v>7.5199896156049162</v>
      </c>
      <c r="BI19" s="292">
        <f t="array" aca="1" ref="BI19" ca="1">VLOOKUP($B19,KOMBI!$A:$ADS,MATCH(Tulem!BI$3,KOMBI!$A$1:$ADS$1,0),FALSE)</f>
        <v>2.7810000000000001</v>
      </c>
      <c r="BJ19" s="292">
        <f t="array" aca="1" ref="BJ19" ca="1">VLOOKUP($B19,KOMBI!$A:$ADS,MATCH(Tulem!BJ$3,KOMBI!$A$1:$ADS$1,0),FALSE)</f>
        <v>0.19900000000000001</v>
      </c>
      <c r="BK19" s="292">
        <f t="array" aca="1" ref="BK19" ca="1">VLOOKUP($B19,KOMBI!$A:$ADS,MATCH(Tulem!BK$3,KOMBI!$A$1:$ADS$1,0),FALSE)</f>
        <v>0.72299999999999998</v>
      </c>
      <c r="BL19" s="292">
        <f t="array" aca="1" ref="BL19" ca="1">VLOOKUP($B19,KOMBI!$A:$ADS,MATCH(Tulem!BL$3,KOMBI!$A$1:$ADS$1,0),FALSE)</f>
        <v>7.2238849906373197</v>
      </c>
      <c r="BM19" s="292">
        <f t="array" aca="1" ref="BM19" ca="1">VLOOKUP($B19,KOMBI!$A:$ADS,MATCH(Tulem!BM$3,KOMBI!$A$1:$ADS$1,0),FALSE)</f>
        <v>90</v>
      </c>
      <c r="BN19" s="292">
        <f t="array" aca="1" ref="BN19" ca="1">VLOOKUP($B19,KOMBI!$A:$ADS,MATCH(Tulem!BN$3,KOMBI!$A$1:$ADS$1,0),FALSE)</f>
        <v>0</v>
      </c>
      <c r="BO19" s="292">
        <f t="array" aca="1" ref="BO19" ca="1">VLOOKUP($B19,KOMBI!$A:$ADS,MATCH(Tulem!BO$3,KOMBI!$A$1:$ADS$1,0),FALSE)</f>
        <v>0.72887234460741646</v>
      </c>
      <c r="BP19" s="291"/>
      <c r="BQ19" s="292">
        <f t="array" aca="1" ref="BQ19" ca="1">VLOOKUP($B19,KOMBI!$A:$ADS,MATCH(Tulem!BQ$3,KOMBI!$A$1:$ADS$1,0),FALSE)</f>
        <v>11.03</v>
      </c>
      <c r="BR19" s="292">
        <f t="array" aca="1" ref="BR19" ca="1">VLOOKUP($B19,KOMBI!$A:$ADS,MATCH(Tulem!BR$3,KOMBI!$A$1:$ADS$1,0),FALSE)</f>
        <v>93</v>
      </c>
      <c r="BS19" s="292">
        <f t="array" aca="1" ref="BS19" ca="1">VLOOKUP($B19,KOMBI!$A:$ADS,MATCH(Tulem!BS$3,KOMBI!$A$1:$ADS$1,0),FALSE)</f>
        <v>15.532</v>
      </c>
      <c r="BT19" s="292">
        <f t="array" aca="1" ref="BT19" ca="1">VLOOKUP($B19,KOMBI!$A:$ADS,MATCH(Tulem!BT$3,KOMBI!$A$1:$ADS$1,0),FALSE)</f>
        <v>131.98194444444445</v>
      </c>
      <c r="BU19" s="292">
        <f t="array" aca="1" ref="BU19" ca="1">VLOOKUP($B19,KOMBI!$A:$ADS,MATCH(Tulem!BU$3,KOMBI!$A$1:$ADS$1,0),FALSE)</f>
        <v>7.083075</v>
      </c>
      <c r="BV19" s="291"/>
      <c r="BW19" s="292">
        <f t="array" aca="1" ref="BW19" ca="1">VLOOKUP($B19,KOMBI!$A:$ADS,MATCH(Tulem!BW$3,KOMBI!$A$1:$ADS$1,0),FALSE)</f>
        <v>284.90000000000003</v>
      </c>
      <c r="BX19" s="291"/>
      <c r="BY19" s="291"/>
      <c r="BZ19" s="292">
        <f t="array" aca="1" ref="BZ19" ca="1">VLOOKUP($B19,KOMBI!$A:$ADS,MATCH(Tulem!BZ$3,KOMBI!$A$1:$ADS$1,0),FALSE)</f>
        <v>163.66355055008918</v>
      </c>
      <c r="CA19" s="292">
        <f t="array" aca="1" ref="CA19" ca="1">VLOOKUP($B19,KOMBI!$A:$ADS,MATCH(Tulem!CA$3,KOMBI!$A$1:$ADS$1,0),FALSE)</f>
        <v>-197.29831369909104</v>
      </c>
      <c r="CB19" s="292">
        <f t="array" aca="1" ref="CB19" ca="1">VLOOKUP($B19,KOMBI!$A:$ADS,MATCH(Tulem!CB$3,KOMBI!$A$1:$ADS$1,0),FALSE)</f>
        <v>0</v>
      </c>
      <c r="CC19" s="292">
        <f t="array" aca="1" ref="CC19" ca="1">VLOOKUP($B19,KOMBI!$A:$ADS,MATCH(Tulem!CC$3,KOMBI!$A$1:$ADS$1,0),FALSE)</f>
        <v>360.96186424918022</v>
      </c>
      <c r="CD19" s="292">
        <f t="array" aca="1" ref="CD19" ca="1">VLOOKUP($B19,KOMBI!$A:$ADS,MATCH(Tulem!CD$3,KOMBI!$A$1:$ADS$1,0),FALSE)</f>
        <v>1020</v>
      </c>
      <c r="CF19" s="51">
        <f ca="1">VLOOKUP($B19,KOMBI!$A:$ACG,MATCH(CF$5,KOMBI!$10:$10,0),FALSE)</f>
        <v>0.27595013650694183</v>
      </c>
    </row>
    <row r="20" spans="1:84" s="51" customFormat="1" x14ac:dyDescent="0.2">
      <c r="A20" s="51">
        <v>15</v>
      </c>
      <c r="B20" s="51">
        <f ca="1">KOMBI!GI25</f>
        <v>133</v>
      </c>
      <c r="C20" s="51">
        <f t="shared" si="0"/>
        <v>15</v>
      </c>
      <c r="D20" s="290" t="str">
        <f ca="1">VLOOKUP(VLOOKUP($B20,KOMBI!$A:$H,3,FALSE),data!$I$27:$J$29,2,FALSE)</f>
        <v>Sekkuv/EÜ</v>
      </c>
      <c r="E20" s="290" t="str">
        <f ca="1">VLOOKUP(VLOOKUP($B20,KOMBI!$A:$H,2,FALSE),data!$I$21:$J$23,2,FALSE)</f>
        <v>Sekkuv</v>
      </c>
      <c r="F20" s="290" t="str">
        <f ca="1">VLOOKUP(VLOOKUP($B20,KOMBI!$A:$H,5,FALSE),data!$I$39:$J$41,2,FALSE)</f>
        <v>Mittesekkuv</v>
      </c>
      <c r="G20" s="290" t="str">
        <f ca="1">VLOOKUP(VLOOKUP($B20,KOMBI!$A:$H,4,FALSE),data!$I$32:$J$36,2,FALSE)</f>
        <v>PK &amp; UG</v>
      </c>
      <c r="I20" s="51">
        <f ca="1">VLOOKUP($B20,KOMBI!$A:$Z,MATCH(I$5,KOMBI!$10:$10,0),FALSE)</f>
        <v>7.2247501993602317</v>
      </c>
      <c r="J20" s="291">
        <f ca="1">VLOOKUP($B20,KOMBI!$A:$ADS,J$3,FALSE)</f>
        <v>2.8225660947919749E-2</v>
      </c>
      <c r="K20" s="291">
        <f ca="1">VLOOKUP($B20,KOMBI!$A:$ADS,K$3,FALSE)</f>
        <v>1.4219272735081974E-2</v>
      </c>
      <c r="L20" s="291">
        <f ca="1">VLOOKUP($B20,KOMBI!$A:$ADS,L$3,FALSE)</f>
        <v>1.0375960865619566E-2</v>
      </c>
      <c r="M20" s="291">
        <f ca="1">VLOOKUP($B20,KOMBI!$A:$ADS,M$3,FALSE)</f>
        <v>1.8223260111437593E-2</v>
      </c>
      <c r="N20" s="291">
        <f ca="1">VLOOKUP($B20,KOMBI!$A:$ADS,N$3,FALSE)</f>
        <v>-4.3036781019003816E-2</v>
      </c>
      <c r="O20" s="291">
        <f ca="1">VLOOKUP($B20,KOMBI!$A:$ADS,O$3,FALSE)</f>
        <v>2.8724424661701213E-2</v>
      </c>
      <c r="P20" s="291">
        <f ca="1">VLOOKUP($B20,KOMBI!$A:$ADS,P$3,FALSE)</f>
        <v>1.177840027048313E-2</v>
      </c>
      <c r="Q20" s="292">
        <f t="array" aca="1" ref="Q20" ca="1">VLOOKUP($B20,KOMBI!$A:$ADS,MATCH(Tulem!Q$3,KOMBI!$A$1:$ADS$1,0),FALSE)</f>
        <v>764.35805468302556</v>
      </c>
      <c r="S20" s="332">
        <f t="array" aca="1" ref="S20" ca="1">VLOOKUP($B20,KOMBI!$A:$ADS,MATCH(Tulem!S$3,KOMBI!$A$1:$ADS$1,0),FALSE)</f>
        <v>9721.5202996777352</v>
      </c>
      <c r="T20" s="293">
        <f ca="1">VLOOKUP($B20,KOMBI!$A:$ADS,T$3,FALSE)</f>
        <v>4727</v>
      </c>
      <c r="U20" s="293">
        <f ca="1">VLOOKUP($B20,KOMBI!$A:$ADS,U$3,FALSE)</f>
        <v>1177</v>
      </c>
      <c r="V20" s="293">
        <f ca="1">VLOOKUP($B20,KOMBI!$A:$ADS,V$3,FALSE)</f>
        <v>2346</v>
      </c>
      <c r="W20" s="293"/>
      <c r="X20" s="293">
        <f ca="1">VLOOKUP($B20,KOMBI!$A:$ADS,X$3,FALSE)</f>
        <v>530.88499063732002</v>
      </c>
      <c r="Y20" s="293">
        <f ca="1">VLOOKUP($B20,KOMBI!$A:$ADS,Y$3,FALSE)</f>
        <v>507</v>
      </c>
      <c r="Z20" s="293">
        <f ca="1">VLOOKUP($B20,KOMBI!$A:$ADS,Z$3,FALSE)</f>
        <v>0</v>
      </c>
      <c r="AA20" s="293"/>
      <c r="AB20" s="293">
        <f ca="1">VLOOKUP($B20,KOMBI!$A:$ADS,AB$3,FALSE)</f>
        <v>15.25</v>
      </c>
      <c r="AC20" s="293">
        <f ca="1">VLOOKUP($B20,KOMBI!$A:$ADS,AC$3,FALSE)-AB20</f>
        <v>8.5</v>
      </c>
      <c r="AD20" s="293">
        <f ca="1">VLOOKUP($B20,KOMBI!$A:$ADS,AD$3,FALSE)</f>
        <v>8.68530937302436</v>
      </c>
      <c r="AE20" s="293">
        <f ca="1">VLOOKUP($B20,KOMBI!$A:$ADS,AE$3,FALSE)</f>
        <v>13.780000000000001</v>
      </c>
      <c r="AF20" s="293">
        <f ca="1">VLOOKUP($B20,KOMBI!$A:$ADS,AF$3,FALSE)-AE20</f>
        <v>9.7100000000000009</v>
      </c>
      <c r="AG20" s="293">
        <f ca="1">VLOOKUP($B20,KOMBI!$A:$ADS,AG$3,FALSE)</f>
        <v>8.1258333333333344</v>
      </c>
      <c r="AI20" s="293">
        <f t="array" aca="1" ref="AI20" ca="1">VLOOKUP($B20,KOMBI!$A:$ADS,MATCH(Tulem!AI$3,KOMBI!$A$1:$ADS$1,0),FALSE)</f>
        <v>17.400000000000002</v>
      </c>
      <c r="AJ20" s="293">
        <f t="array" aca="1" ref="AJ20" ca="1">VLOOKUP($B20,KOMBI!$A:$ADS,MATCH(Tulem!AJ$3,KOMBI!$A$1:$ADS$1,0),FALSE)</f>
        <v>2.3100000000000005</v>
      </c>
      <c r="AK20" s="293">
        <f t="array" aca="1" ref="AK20" ca="1">VLOOKUP($B20,KOMBI!$A:$ADS,MATCH(Tulem!AK$3,KOMBI!$A$1:$ADS$1,0),FALSE)</f>
        <v>4.59</v>
      </c>
      <c r="AL20" s="293">
        <f t="array" aca="1" ref="AL20" ca="1">VLOOKUP($B20,KOMBI!$A:$ADS,MATCH(Tulem!AL$3,KOMBI!$A$1:$ADS$1,0),FALSE)</f>
        <v>-0.41</v>
      </c>
      <c r="AM20" s="293">
        <f t="array" aca="1" ref="AM20" ca="1">VLOOKUP($B20,KOMBI!$A:$ADS,MATCH(Tulem!AM$3,KOMBI!$A$1:$ADS$1,0),FALSE)</f>
        <v>7.1</v>
      </c>
      <c r="AN20" s="293">
        <f t="array" aca="1" ref="AN20" ca="1">VLOOKUP($B20,KOMBI!$A:$ADS,MATCH(Tulem!AN$3,KOMBI!$A$1:$ADS$1,0),FALSE)</f>
        <v>11.5</v>
      </c>
      <c r="AO20" s="293">
        <f t="array" aca="1" ref="AO20" ca="1">VLOOKUP($B20,KOMBI!$A:$ADS,MATCH(Tulem!AO$3,KOMBI!$A$1:$ADS$1,0),FALSE)</f>
        <v>4.0999999999999996</v>
      </c>
      <c r="AP20" s="293">
        <f t="array" aca="1" ref="AP20" ca="1">VLOOKUP($B20,KOMBI!$A:$ADS,MATCH(Tulem!AP$3,KOMBI!$A$1:$ADS$1,0),FALSE)</f>
        <v>5.7045296564339489</v>
      </c>
      <c r="AQ20" s="293">
        <f t="array" aca="1" ref="AQ20" ca="1">VLOOKUP($B20,KOMBI!$A:$ADS,MATCH(Tulem!AQ$3,KOMBI!$A$1:$ADS$1,0),FALSE)</f>
        <v>29.428043680118964</v>
      </c>
      <c r="AR20" s="293">
        <f t="array" aca="1" ref="AR20" ca="1">VLOOKUP($B20,KOMBI!$A:$ADS,MATCH(Tulem!AR$3,KOMBI!$A$1:$ADS$1,0),FALSE)</f>
        <v>2.1219844082566364</v>
      </c>
      <c r="AS20" s="293">
        <f t="array" aca="1" ref="AS20" ca="1">VLOOKUP($B20,KOMBI!$A:$ADS,MATCH(Tulem!AS$3,KOMBI!$A$1:$ADS$1,0),FALSE)</f>
        <v>0</v>
      </c>
      <c r="AT20" s="293">
        <f t="array" aca="1" ref="AT20" ca="1">VLOOKUP($B20,KOMBI!$A:$ADS,MATCH(Tulem!AT$3,KOMBI!$A$1:$ADS$1,0),FALSE)</f>
        <v>0</v>
      </c>
      <c r="AU20" s="293">
        <f t="array" aca="1" ref="AU20" ca="1">VLOOKUP($B20,KOMBI!$A:$ADS,MATCH(Tulem!AU$3,KOMBI!$A$1:$ADS$1,0),FALSE)</f>
        <v>2.1219844082566364</v>
      </c>
      <c r="AV20" s="293">
        <f t="shared" ca="1" si="1"/>
        <v>0</v>
      </c>
      <c r="AW20" s="293">
        <f t="shared" ca="1" si="2"/>
        <v>-0.41</v>
      </c>
      <c r="AX20" s="291">
        <f ca="1">VLOOKUP($B20,KOMBI!$A:$ACA,MATCH(AX$5,KOMBI!$10:$10,0),FALSE)</f>
        <v>0.28607448977970246</v>
      </c>
      <c r="AY20" s="292">
        <f t="array" aca="1" ref="AY20" ca="1">VLOOKUP($B20,KOMBI!$A:$ADS,MATCH(Tulem!AY$3,KOMBI!$A$1:$ADS$1,0),FALSE)</f>
        <v>6.08</v>
      </c>
      <c r="AZ20" s="292">
        <f t="array" aca="1" ref="AZ20" ca="1">VLOOKUP($B20,KOMBI!$A:$ADS,MATCH(Tulem!AZ$3,KOMBI!$A$1:$ADS$1,0),FALSE)</f>
        <v>0.44890608494094819</v>
      </c>
      <c r="BA20" s="292">
        <f t="array" aca="1" ref="BA20" ca="1">VLOOKUP($B20,KOMBI!$A:$ADS,MATCH(Tulem!BA$3,KOMBI!$A$1:$ADS$1,0),FALSE)</f>
        <v>2.5620074329845279E-2</v>
      </c>
      <c r="BB20" s="292">
        <f t="array" aca="1" ref="BB20" ca="1">VLOOKUP($B20,KOMBI!$A:$ADS,MATCH(Tulem!BB$3,KOMBI!$A$1:$ADS$1,0),FALSE)</f>
        <v>57.735011875436598</v>
      </c>
      <c r="BC20" s="292">
        <f t="array" aca="1" ref="BC20" ca="1">VLOOKUP($B20,KOMBI!$A:$ADS,MATCH(Tulem!BC$3,KOMBI!$A$1:$ADS$1,0),FALSE)</f>
        <v>5.9039999999999999</v>
      </c>
      <c r="BD20" s="292">
        <f t="array" aca="1" ref="BD20" ca="1">VLOOKUP($B20,KOMBI!$A:$ADS,MATCH(Tulem!BD$3,KOMBI!$A$1:$ADS$1,0),FALSE)</f>
        <v>1.03788499063732</v>
      </c>
      <c r="BE20" s="292">
        <f t="array" aca="1" ref="BE20" ca="1">VLOOKUP($B20,KOMBI!$A:$ADS,MATCH(Tulem!BE$3,KOMBI!$A$1:$ADS$1,0),FALSE)</f>
        <v>20.928000000000001</v>
      </c>
      <c r="BF20" s="292">
        <f t="array" aca="1" ref="BF20" ca="1">VLOOKUP($B20,KOMBI!$A:$ADS,MATCH(Tulem!BF$3,KOMBI!$A$1:$ADS$1,0),FALSE)</f>
        <v>37.837669554234019</v>
      </c>
      <c r="BG20" s="292">
        <f t="array" aca="1" ref="BG20" ca="1">VLOOKUP($B20,KOMBI!$A:$ADS,MATCH(Tulem!BG$3,KOMBI!$A$1:$ADS$1,0),FALSE)</f>
        <v>10.488630311598682</v>
      </c>
      <c r="BH20" s="292">
        <f t="array" aca="1" ref="BH20" ca="1">VLOOKUP($B20,KOMBI!$A:$ADS,MATCH(Tulem!BH$3,KOMBI!$A$1:$ADS$1,0),FALSE)</f>
        <v>7.5199896156049162</v>
      </c>
      <c r="BI20" s="292">
        <f t="array" aca="1" ref="BI20" ca="1">VLOOKUP($B20,KOMBI!$A:$ADS,MATCH(Tulem!BI$3,KOMBI!$A$1:$ADS$1,0),FALSE)</f>
        <v>2.7810000000000001</v>
      </c>
      <c r="BJ20" s="292">
        <f t="array" aca="1" ref="BJ20" ca="1">VLOOKUP($B20,KOMBI!$A:$ADS,MATCH(Tulem!BJ$3,KOMBI!$A$1:$ADS$1,0),FALSE)</f>
        <v>0.19900000000000001</v>
      </c>
      <c r="BK20" s="292">
        <f t="array" aca="1" ref="BK20" ca="1">VLOOKUP($B20,KOMBI!$A:$ADS,MATCH(Tulem!BK$3,KOMBI!$A$1:$ADS$1,0),FALSE)</f>
        <v>0.72299999999999998</v>
      </c>
      <c r="BL20" s="292">
        <f t="array" aca="1" ref="BL20" ca="1">VLOOKUP($B20,KOMBI!$A:$ADS,MATCH(Tulem!BL$3,KOMBI!$A$1:$ADS$1,0),FALSE)</f>
        <v>7.2238849906373197</v>
      </c>
      <c r="BM20" s="292">
        <f t="array" aca="1" ref="BM20" ca="1">VLOOKUP($B20,KOMBI!$A:$ADS,MATCH(Tulem!BM$3,KOMBI!$A$1:$ADS$1,0),FALSE)</f>
        <v>90</v>
      </c>
      <c r="BN20" s="292">
        <f t="array" aca="1" ref="BN20" ca="1">VLOOKUP($B20,KOMBI!$A:$ADS,MATCH(Tulem!BN$3,KOMBI!$A$1:$ADS$1,0),FALSE)</f>
        <v>0</v>
      </c>
      <c r="BO20" s="292">
        <f t="array" aca="1" ref="BO20" ca="1">VLOOKUP($B20,KOMBI!$A:$ADS,MATCH(Tulem!BO$3,KOMBI!$A$1:$ADS$1,0),FALSE)</f>
        <v>1</v>
      </c>
      <c r="BP20" s="291"/>
      <c r="BQ20" s="292">
        <f t="array" aca="1" ref="BQ20" ca="1">VLOOKUP($B20,KOMBI!$A:$ADS,MATCH(Tulem!BQ$3,KOMBI!$A$1:$ADS$1,0),FALSE)</f>
        <v>10.715</v>
      </c>
      <c r="BR20" s="292">
        <f t="array" aca="1" ref="BR20" ca="1">VLOOKUP($B20,KOMBI!$A:$ADS,MATCH(Tulem!BR$3,KOMBI!$A$1:$ADS$1,0),FALSE)</f>
        <v>91</v>
      </c>
      <c r="BS20" s="292">
        <f t="array" aca="1" ref="BS20" ca="1">VLOOKUP($B20,KOMBI!$A:$ADS,MATCH(Tulem!BS$3,KOMBI!$A$1:$ADS$1,0),FALSE)</f>
        <v>15.191000000000001</v>
      </c>
      <c r="BT20" s="292">
        <f t="array" aca="1" ref="BT20" ca="1">VLOOKUP($B20,KOMBI!$A:$ADS,MATCH(Tulem!BT$3,KOMBI!$A$1:$ADS$1,0),FALSE)</f>
        <v>130.73361111111112</v>
      </c>
      <c r="BU20" s="292">
        <f t="array" aca="1" ref="BU20" ca="1">VLOOKUP($B20,KOMBI!$A:$ADS,MATCH(Tulem!BU$3,KOMBI!$A$1:$ADS$1,0),FALSE)</f>
        <v>6.9564380000000003</v>
      </c>
      <c r="BV20" s="291"/>
      <c r="BW20" s="292">
        <f t="array" aca="1" ref="BW20" ca="1">VLOOKUP($B20,KOMBI!$A:$ADS,MATCH(Tulem!BW$3,KOMBI!$A$1:$ADS$1,0),FALSE)</f>
        <v>284.90000000000003</v>
      </c>
      <c r="BX20" s="291"/>
      <c r="BY20" s="291"/>
      <c r="BZ20" s="292">
        <f t="array" aca="1" ref="BZ20" ca="1">VLOOKUP($B20,KOMBI!$A:$ADS,MATCH(Tulem!BZ$3,KOMBI!$A$1:$ADS$1,0),FALSE)</f>
        <v>117.94381416246918</v>
      </c>
      <c r="CA20" s="292">
        <f t="array" aca="1" ref="CA20" ca="1">VLOOKUP($B20,KOMBI!$A:$ADS,MATCH(Tulem!CA$3,KOMBI!$A$1:$ADS$1,0),FALSE)</f>
        <v>-162.95750000000001</v>
      </c>
      <c r="CB20" s="292">
        <f t="array" aca="1" ref="CB20" ca="1">VLOOKUP($B20,KOMBI!$A:$ADS,MATCH(Tulem!CB$3,KOMBI!$A$1:$ADS$1,0),FALSE)</f>
        <v>0</v>
      </c>
      <c r="CC20" s="292">
        <f t="array" aca="1" ref="CC20" ca="1">VLOOKUP($B20,KOMBI!$A:$ADS,MATCH(Tulem!CC$3,KOMBI!$A$1:$ADS$1,0),FALSE)</f>
        <v>280.90131416246919</v>
      </c>
      <c r="CD20" s="292">
        <f t="array" aca="1" ref="CD20" ca="1">VLOOKUP($B20,KOMBI!$A:$ADS,MATCH(Tulem!CD$3,KOMBI!$A$1:$ADS$1,0),FALSE)</f>
        <v>1025</v>
      </c>
      <c r="CF20" s="51">
        <f ca="1">VLOOKUP($B20,KOMBI!$A:$ACG,MATCH(CF$5,KOMBI!$10:$10,0),FALSE)</f>
        <v>0.27595013650694183</v>
      </c>
    </row>
    <row r="21" spans="1:84" s="51" customFormat="1" x14ac:dyDescent="0.2">
      <c r="A21" s="51">
        <v>16</v>
      </c>
      <c r="B21" s="51" t="e">
        <f ca="1">KOMBI!GI26</f>
        <v>#NUM!</v>
      </c>
      <c r="C21" s="51">
        <f t="shared" si="0"/>
        <v>16</v>
      </c>
      <c r="D21" s="290" t="e">
        <f ca="1">VLOOKUP(VLOOKUP($B21,KOMBI!$A:$H,3,FALSE),data!$I$27:$J$29,2,FALSE)</f>
        <v>#NUM!</v>
      </c>
      <c r="E21" s="290" t="e">
        <f ca="1">VLOOKUP(VLOOKUP($B21,KOMBI!$A:$H,2,FALSE),data!$I$21:$J$23,2,FALSE)</f>
        <v>#NUM!</v>
      </c>
      <c r="F21" s="290" t="e">
        <f ca="1">VLOOKUP(VLOOKUP($B21,KOMBI!$A:$H,5,FALSE),data!$I$39:$J$41,2,FALSE)</f>
        <v>#NUM!</v>
      </c>
      <c r="G21" s="290" t="e">
        <f ca="1">VLOOKUP(VLOOKUP($B21,KOMBI!$A:$H,4,FALSE),data!$I$32:$J$36,2,FALSE)</f>
        <v>#NUM!</v>
      </c>
      <c r="I21" s="51" t="e">
        <f ca="1">VLOOKUP($B21,KOMBI!$A:$Z,MATCH(I$5,KOMBI!$10:$10,0),FALSE)</f>
        <v>#NUM!</v>
      </c>
      <c r="J21" s="291" t="e">
        <f ca="1">VLOOKUP($B21,KOMBI!$A:$ADS,J$3,FALSE)</f>
        <v>#NUM!</v>
      </c>
      <c r="K21" s="291" t="e">
        <f ca="1">VLOOKUP($B21,KOMBI!$A:$ADS,K$3,FALSE)</f>
        <v>#NUM!</v>
      </c>
      <c r="L21" s="291" t="e">
        <f ca="1">VLOOKUP($B21,KOMBI!$A:$ADS,L$3,FALSE)</f>
        <v>#NUM!</v>
      </c>
      <c r="M21" s="291" t="e">
        <f ca="1">VLOOKUP($B21,KOMBI!$A:$ADS,M$3,FALSE)</f>
        <v>#NUM!</v>
      </c>
      <c r="N21" s="291" t="e">
        <f ca="1">VLOOKUP($B21,KOMBI!$A:$ADS,N$3,FALSE)</f>
        <v>#NUM!</v>
      </c>
      <c r="O21" s="291" t="e">
        <f ca="1">VLOOKUP($B21,KOMBI!$A:$ADS,O$3,FALSE)</f>
        <v>#NUM!</v>
      </c>
      <c r="P21" s="291" t="e">
        <f ca="1">VLOOKUP($B21,KOMBI!$A:$ADS,P$3,FALSE)</f>
        <v>#NUM!</v>
      </c>
      <c r="Q21" s="292" t="e">
        <f t="array" aca="1" ref="Q21" ca="1">VLOOKUP($B21,KOMBI!$A:$ADS,MATCH(Tulem!Q$3,KOMBI!$A$1:$ADS$1,0),FALSE)</f>
        <v>#NUM!</v>
      </c>
      <c r="S21" s="332" t="e">
        <f t="array" aca="1" ref="S21" ca="1">VLOOKUP($B21,KOMBI!$A:$ADS,MATCH(Tulem!S$3,KOMBI!$A$1:$ADS$1,0),FALSE)</f>
        <v>#NUM!</v>
      </c>
      <c r="T21" s="293" t="e">
        <f ca="1">VLOOKUP($B21,KOMBI!$A:$ADS,T$3,FALSE)</f>
        <v>#NUM!</v>
      </c>
      <c r="U21" s="293" t="e">
        <f ca="1">VLOOKUP($B21,KOMBI!$A:$ADS,U$3,FALSE)</f>
        <v>#NUM!</v>
      </c>
      <c r="V21" s="293" t="e">
        <f ca="1">VLOOKUP($B21,KOMBI!$A:$ADS,V$3,FALSE)</f>
        <v>#NUM!</v>
      </c>
      <c r="W21" s="293"/>
      <c r="X21" s="293" t="e">
        <f ca="1">VLOOKUP($B21,KOMBI!$A:$ADS,X$3,FALSE)</f>
        <v>#NUM!</v>
      </c>
      <c r="Y21" s="293" t="e">
        <f ca="1">VLOOKUP($B21,KOMBI!$A:$ADS,Y$3,FALSE)</f>
        <v>#NUM!</v>
      </c>
      <c r="Z21" s="293" t="e">
        <f ca="1">VLOOKUP($B21,KOMBI!$A:$ADS,Z$3,FALSE)</f>
        <v>#NUM!</v>
      </c>
      <c r="AA21" s="293"/>
      <c r="AB21" s="293" t="e">
        <f ca="1">VLOOKUP($B21,KOMBI!$A:$ADS,AB$3,FALSE)</f>
        <v>#NUM!</v>
      </c>
      <c r="AC21" s="293" t="e">
        <f ca="1">VLOOKUP($B21,KOMBI!$A:$ADS,AC$3,FALSE)-AB21</f>
        <v>#NUM!</v>
      </c>
      <c r="AD21" s="293" t="e">
        <f ca="1">VLOOKUP($B21,KOMBI!$A:$ADS,AD$3,FALSE)</f>
        <v>#NUM!</v>
      </c>
      <c r="AE21" s="293" t="e">
        <f ca="1">VLOOKUP($B21,KOMBI!$A:$ADS,AE$3,FALSE)</f>
        <v>#NUM!</v>
      </c>
      <c r="AF21" s="293" t="e">
        <f ca="1">VLOOKUP($B21,KOMBI!$A:$ADS,AF$3,FALSE)-AE21</f>
        <v>#NUM!</v>
      </c>
      <c r="AG21" s="293" t="e">
        <f ca="1">VLOOKUP($B21,KOMBI!$A:$ADS,AG$3,FALSE)</f>
        <v>#NUM!</v>
      </c>
      <c r="AI21" s="293" t="e">
        <f t="array" aca="1" ref="AI21" ca="1">VLOOKUP($B21,KOMBI!$A:$ADS,MATCH(Tulem!AI$3,KOMBI!$A$1:$ADS$1,0),FALSE)</f>
        <v>#NUM!</v>
      </c>
      <c r="AJ21" s="293" t="e">
        <f t="array" aca="1" ref="AJ21" ca="1">VLOOKUP($B21,KOMBI!$A:$ADS,MATCH(Tulem!AJ$3,KOMBI!$A$1:$ADS$1,0),FALSE)</f>
        <v>#NUM!</v>
      </c>
      <c r="AK21" s="293" t="e">
        <f t="array" aca="1" ref="AK21" ca="1">VLOOKUP($B21,KOMBI!$A:$ADS,MATCH(Tulem!AK$3,KOMBI!$A$1:$ADS$1,0),FALSE)</f>
        <v>#NUM!</v>
      </c>
      <c r="AL21" s="293" t="e">
        <f t="array" aca="1" ref="AL21" ca="1">VLOOKUP($B21,KOMBI!$A:$ADS,MATCH(Tulem!AL$3,KOMBI!$A$1:$ADS$1,0),FALSE)</f>
        <v>#NUM!</v>
      </c>
      <c r="AM21" s="293" t="e">
        <f t="array" aca="1" ref="AM21" ca="1">VLOOKUP($B21,KOMBI!$A:$ADS,MATCH(Tulem!AM$3,KOMBI!$A$1:$ADS$1,0),FALSE)</f>
        <v>#NUM!</v>
      </c>
      <c r="AN21" s="293" t="e">
        <f t="array" aca="1" ref="AN21" ca="1">VLOOKUP($B21,KOMBI!$A:$ADS,MATCH(Tulem!AN$3,KOMBI!$A$1:$ADS$1,0),FALSE)</f>
        <v>#NUM!</v>
      </c>
      <c r="AO21" s="293" t="e">
        <f t="array" aca="1" ref="AO21" ca="1">VLOOKUP($B21,KOMBI!$A:$ADS,MATCH(Tulem!AO$3,KOMBI!$A$1:$ADS$1,0),FALSE)</f>
        <v>#NUM!</v>
      </c>
      <c r="AP21" s="293" t="e">
        <f t="array" aca="1" ref="AP21" ca="1">VLOOKUP($B21,KOMBI!$A:$ADS,MATCH(Tulem!AP$3,KOMBI!$A$1:$ADS$1,0),FALSE)</f>
        <v>#NUM!</v>
      </c>
      <c r="AQ21" s="293" t="e">
        <f t="array" aca="1" ref="AQ21" ca="1">VLOOKUP($B21,KOMBI!$A:$ADS,MATCH(Tulem!AQ$3,KOMBI!$A$1:$ADS$1,0),FALSE)</f>
        <v>#NUM!</v>
      </c>
      <c r="AR21" s="293" t="e">
        <f t="array" aca="1" ref="AR21" ca="1">VLOOKUP($B21,KOMBI!$A:$ADS,MATCH(Tulem!AR$3,KOMBI!$A$1:$ADS$1,0),FALSE)</f>
        <v>#NUM!</v>
      </c>
      <c r="AS21" s="293" t="e">
        <f t="array" aca="1" ref="AS21" ca="1">VLOOKUP($B21,KOMBI!$A:$ADS,MATCH(Tulem!AS$3,KOMBI!$A$1:$ADS$1,0),FALSE)</f>
        <v>#NUM!</v>
      </c>
      <c r="AT21" s="293" t="e">
        <f t="array" aca="1" ref="AT21" ca="1">VLOOKUP($B21,KOMBI!$A:$ADS,MATCH(Tulem!AT$3,KOMBI!$A$1:$ADS$1,0),FALSE)</f>
        <v>#NUM!</v>
      </c>
      <c r="AU21" s="293" t="e">
        <f t="array" aca="1" ref="AU21" ca="1">VLOOKUP($B21,KOMBI!$A:$ADS,MATCH(Tulem!AU$3,KOMBI!$A$1:$ADS$1,0),FALSE)</f>
        <v>#NUM!</v>
      </c>
      <c r="AV21" s="293" t="e">
        <f t="shared" ca="1" si="1"/>
        <v>#NUM!</v>
      </c>
      <c r="AW21" s="293" t="e">
        <f t="shared" ca="1" si="2"/>
        <v>#NUM!</v>
      </c>
      <c r="AX21" s="291" t="e">
        <f ca="1">VLOOKUP($B21,KOMBI!$A:$ACA,MATCH(AX$5,KOMBI!$10:$10,0),FALSE)</f>
        <v>#NUM!</v>
      </c>
      <c r="AY21" s="292" t="e">
        <f t="array" aca="1" ref="AY21" ca="1">VLOOKUP($B21,KOMBI!$A:$ADS,MATCH(Tulem!AY$3,KOMBI!$A$1:$ADS$1,0),FALSE)</f>
        <v>#NUM!</v>
      </c>
      <c r="AZ21" s="292" t="e">
        <f t="array" aca="1" ref="AZ21" ca="1">VLOOKUP($B21,KOMBI!$A:$ADS,MATCH(Tulem!AZ$3,KOMBI!$A$1:$ADS$1,0),FALSE)</f>
        <v>#NUM!</v>
      </c>
      <c r="BA21" s="292" t="e">
        <f t="array" aca="1" ref="BA21" ca="1">VLOOKUP($B21,KOMBI!$A:$ADS,MATCH(Tulem!BA$3,KOMBI!$A$1:$ADS$1,0),FALSE)</f>
        <v>#NUM!</v>
      </c>
      <c r="BB21" s="292" t="e">
        <f t="array" aca="1" ref="BB21" ca="1">VLOOKUP($B21,KOMBI!$A:$ADS,MATCH(Tulem!BB$3,KOMBI!$A$1:$ADS$1,0),FALSE)</f>
        <v>#NUM!</v>
      </c>
      <c r="BC21" s="292" t="e">
        <f t="array" aca="1" ref="BC21" ca="1">VLOOKUP($B21,KOMBI!$A:$ADS,MATCH(Tulem!BC$3,KOMBI!$A$1:$ADS$1,0),FALSE)</f>
        <v>#NUM!</v>
      </c>
      <c r="BD21" s="292" t="e">
        <f t="array" aca="1" ref="BD21" ca="1">VLOOKUP($B21,KOMBI!$A:$ADS,MATCH(Tulem!BD$3,KOMBI!$A$1:$ADS$1,0),FALSE)</f>
        <v>#NUM!</v>
      </c>
      <c r="BE21" s="292" t="e">
        <f t="array" aca="1" ref="BE21" ca="1">VLOOKUP($B21,KOMBI!$A:$ADS,MATCH(Tulem!BE$3,KOMBI!$A$1:$ADS$1,0),FALSE)</f>
        <v>#NUM!</v>
      </c>
      <c r="BF21" s="292" t="e">
        <f t="array" aca="1" ref="BF21" ca="1">VLOOKUP($B21,KOMBI!$A:$ADS,MATCH(Tulem!BF$3,KOMBI!$A$1:$ADS$1,0),FALSE)</f>
        <v>#NUM!</v>
      </c>
      <c r="BG21" s="292" t="e">
        <f t="array" aca="1" ref="BG21" ca="1">VLOOKUP($B21,KOMBI!$A:$ADS,MATCH(Tulem!BG$3,KOMBI!$A$1:$ADS$1,0),FALSE)</f>
        <v>#NUM!</v>
      </c>
      <c r="BH21" s="292" t="e">
        <f t="array" aca="1" ref="BH21" ca="1">VLOOKUP($B21,KOMBI!$A:$ADS,MATCH(Tulem!BH$3,KOMBI!$A$1:$ADS$1,0),FALSE)</f>
        <v>#NUM!</v>
      </c>
      <c r="BI21" s="292" t="e">
        <f t="array" aca="1" ref="BI21" ca="1">VLOOKUP($B21,KOMBI!$A:$ADS,MATCH(Tulem!BI$3,KOMBI!$A$1:$ADS$1,0),FALSE)</f>
        <v>#NUM!</v>
      </c>
      <c r="BJ21" s="292" t="e">
        <f t="array" aca="1" ref="BJ21" ca="1">VLOOKUP($B21,KOMBI!$A:$ADS,MATCH(Tulem!BJ$3,KOMBI!$A$1:$ADS$1,0),FALSE)</f>
        <v>#NUM!</v>
      </c>
      <c r="BK21" s="292" t="e">
        <f t="array" aca="1" ref="BK21" ca="1">VLOOKUP($B21,KOMBI!$A:$ADS,MATCH(Tulem!BK$3,KOMBI!$A$1:$ADS$1,0),FALSE)</f>
        <v>#NUM!</v>
      </c>
      <c r="BL21" s="292" t="e">
        <f t="array" aca="1" ref="BL21" ca="1">VLOOKUP($B21,KOMBI!$A:$ADS,MATCH(Tulem!BL$3,KOMBI!$A$1:$ADS$1,0),FALSE)</f>
        <v>#NUM!</v>
      </c>
      <c r="BM21" s="292" t="e">
        <f t="array" aca="1" ref="BM21" ca="1">VLOOKUP($B21,KOMBI!$A:$ADS,MATCH(Tulem!BM$3,KOMBI!$A$1:$ADS$1,0),FALSE)</f>
        <v>#NUM!</v>
      </c>
      <c r="BN21" s="292" t="e">
        <f t="array" aca="1" ref="BN21" ca="1">VLOOKUP($B21,KOMBI!$A:$ADS,MATCH(Tulem!BN$3,KOMBI!$A$1:$ADS$1,0),FALSE)</f>
        <v>#NUM!</v>
      </c>
      <c r="BO21" s="292" t="e">
        <f t="array" aca="1" ref="BO21" ca="1">VLOOKUP($B21,KOMBI!$A:$ADS,MATCH(Tulem!BO$3,KOMBI!$A$1:$ADS$1,0),FALSE)</f>
        <v>#NUM!</v>
      </c>
      <c r="BP21" s="291"/>
      <c r="BQ21" s="292" t="e">
        <f t="array" aca="1" ref="BQ21" ca="1">VLOOKUP($B21,KOMBI!$A:$ADS,MATCH(Tulem!BQ$3,KOMBI!$A$1:$ADS$1,0),FALSE)</f>
        <v>#NUM!</v>
      </c>
      <c r="BR21" s="292" t="e">
        <f t="array" aca="1" ref="BR21" ca="1">VLOOKUP($B21,KOMBI!$A:$ADS,MATCH(Tulem!BR$3,KOMBI!$A$1:$ADS$1,0),FALSE)</f>
        <v>#NUM!</v>
      </c>
      <c r="BS21" s="292" t="e">
        <f t="array" aca="1" ref="BS21" ca="1">VLOOKUP($B21,KOMBI!$A:$ADS,MATCH(Tulem!BS$3,KOMBI!$A$1:$ADS$1,0),FALSE)</f>
        <v>#NUM!</v>
      </c>
      <c r="BT21" s="292" t="e">
        <f t="array" aca="1" ref="BT21" ca="1">VLOOKUP($B21,KOMBI!$A:$ADS,MATCH(Tulem!BT$3,KOMBI!$A$1:$ADS$1,0),FALSE)</f>
        <v>#NUM!</v>
      </c>
      <c r="BU21" s="292" t="e">
        <f t="array" aca="1" ref="BU21" ca="1">VLOOKUP($B21,KOMBI!$A:$ADS,MATCH(Tulem!BU$3,KOMBI!$A$1:$ADS$1,0),FALSE)</f>
        <v>#NUM!</v>
      </c>
      <c r="BV21" s="291"/>
      <c r="BW21" s="292" t="e">
        <f t="array" aca="1" ref="BW21" ca="1">VLOOKUP($B21,KOMBI!$A:$ADS,MATCH(Tulem!BW$3,KOMBI!$A$1:$ADS$1,0),FALSE)</f>
        <v>#NUM!</v>
      </c>
      <c r="BX21" s="291"/>
      <c r="BY21" s="291"/>
      <c r="BZ21" s="292" t="e">
        <f t="array" aca="1" ref="BZ21" ca="1">VLOOKUP($B21,KOMBI!$A:$ADS,MATCH(Tulem!BZ$3,KOMBI!$A$1:$ADS$1,0),FALSE)</f>
        <v>#NUM!</v>
      </c>
      <c r="CA21" s="292" t="e">
        <f t="array" aca="1" ref="CA21" ca="1">VLOOKUP($B21,KOMBI!$A:$ADS,MATCH(Tulem!CA$3,KOMBI!$A$1:$ADS$1,0),FALSE)</f>
        <v>#NUM!</v>
      </c>
      <c r="CB21" s="292" t="e">
        <f t="array" aca="1" ref="CB21" ca="1">VLOOKUP($B21,KOMBI!$A:$ADS,MATCH(Tulem!CB$3,KOMBI!$A$1:$ADS$1,0),FALSE)</f>
        <v>#NUM!</v>
      </c>
      <c r="CC21" s="292" t="e">
        <f t="array" aca="1" ref="CC21" ca="1">VLOOKUP($B21,KOMBI!$A:$ADS,MATCH(Tulem!CC$3,KOMBI!$A$1:$ADS$1,0),FALSE)</f>
        <v>#NUM!</v>
      </c>
      <c r="CD21" s="292" t="e">
        <f t="array" aca="1" ref="CD21" ca="1">VLOOKUP($B21,KOMBI!$A:$ADS,MATCH(Tulem!CD$3,KOMBI!$A$1:$ADS$1,0),FALSE)</f>
        <v>#NUM!</v>
      </c>
      <c r="CF21" s="51" t="e">
        <f ca="1">VLOOKUP($B21,KOMBI!$A:$ACG,MATCH(CF$5,KOMBI!$10:$10,0),FALSE)</f>
        <v>#NUM!</v>
      </c>
    </row>
    <row r="22" spans="1:84" s="51" customFormat="1" x14ac:dyDescent="0.2">
      <c r="A22" s="51">
        <v>17</v>
      </c>
      <c r="B22" s="51" t="e">
        <f ca="1">KOMBI!GI27</f>
        <v>#NUM!</v>
      </c>
      <c r="C22" s="51">
        <f t="shared" si="0"/>
        <v>17</v>
      </c>
      <c r="D22" s="290" t="e">
        <f ca="1">VLOOKUP(VLOOKUP($B22,KOMBI!$A:$H,3,FALSE),data!$I$27:$J$29,2,FALSE)</f>
        <v>#NUM!</v>
      </c>
      <c r="E22" s="290" t="e">
        <f ca="1">VLOOKUP(VLOOKUP($B22,KOMBI!$A:$H,2,FALSE),data!$I$21:$J$23,2,FALSE)</f>
        <v>#NUM!</v>
      </c>
      <c r="F22" s="290" t="e">
        <f ca="1">VLOOKUP(VLOOKUP($B22,KOMBI!$A:$H,5,FALSE),data!$I$39:$J$41,2,FALSE)</f>
        <v>#NUM!</v>
      </c>
      <c r="G22" s="290" t="e">
        <f ca="1">VLOOKUP(VLOOKUP($B22,KOMBI!$A:$H,4,FALSE),data!$I$32:$J$36,2,FALSE)</f>
        <v>#NUM!</v>
      </c>
      <c r="I22" s="51" t="e">
        <f ca="1">VLOOKUP($B22,KOMBI!$A:$Z,MATCH(I$5,KOMBI!$10:$10,0),FALSE)</f>
        <v>#NUM!</v>
      </c>
      <c r="J22" s="291" t="e">
        <f ca="1">VLOOKUP($B22,KOMBI!$A:$ADS,J$3,FALSE)</f>
        <v>#NUM!</v>
      </c>
      <c r="K22" s="291" t="e">
        <f ca="1">VLOOKUP($B22,KOMBI!$A:$ADS,K$3,FALSE)</f>
        <v>#NUM!</v>
      </c>
      <c r="L22" s="291" t="e">
        <f ca="1">VLOOKUP($B22,KOMBI!$A:$ADS,L$3,FALSE)</f>
        <v>#NUM!</v>
      </c>
      <c r="M22" s="291" t="e">
        <f ca="1">VLOOKUP($B22,KOMBI!$A:$ADS,M$3,FALSE)</f>
        <v>#NUM!</v>
      </c>
      <c r="N22" s="291" t="e">
        <f ca="1">VLOOKUP($B22,KOMBI!$A:$ADS,N$3,FALSE)</f>
        <v>#NUM!</v>
      </c>
      <c r="O22" s="291" t="e">
        <f ca="1">VLOOKUP($B22,KOMBI!$A:$ADS,O$3,FALSE)</f>
        <v>#NUM!</v>
      </c>
      <c r="P22" s="291" t="e">
        <f ca="1">VLOOKUP($B22,KOMBI!$A:$ADS,P$3,FALSE)</f>
        <v>#NUM!</v>
      </c>
      <c r="Q22" s="292" t="e">
        <f t="array" aca="1" ref="Q22" ca="1">VLOOKUP($B22,KOMBI!$A:$ADS,MATCH(Tulem!Q$3,KOMBI!$A$1:$ADS$1,0),FALSE)</f>
        <v>#NUM!</v>
      </c>
      <c r="S22" s="332" t="e">
        <f t="array" aca="1" ref="S22" ca="1">VLOOKUP($B22,KOMBI!$A:$ADS,MATCH(Tulem!S$3,KOMBI!$A$1:$ADS$1,0),FALSE)</f>
        <v>#NUM!</v>
      </c>
      <c r="T22" s="293" t="e">
        <f ca="1">VLOOKUP($B22,KOMBI!$A:$ADS,T$3,FALSE)</f>
        <v>#NUM!</v>
      </c>
      <c r="U22" s="293" t="e">
        <f ca="1">VLOOKUP($B22,KOMBI!$A:$ADS,U$3,FALSE)</f>
        <v>#NUM!</v>
      </c>
      <c r="V22" s="293" t="e">
        <f ca="1">VLOOKUP($B22,KOMBI!$A:$ADS,V$3,FALSE)</f>
        <v>#NUM!</v>
      </c>
      <c r="W22" s="293"/>
      <c r="X22" s="293" t="e">
        <f ca="1">VLOOKUP($B22,KOMBI!$A:$ADS,X$3,FALSE)</f>
        <v>#NUM!</v>
      </c>
      <c r="Y22" s="293" t="e">
        <f ca="1">VLOOKUP($B22,KOMBI!$A:$ADS,Y$3,FALSE)</f>
        <v>#NUM!</v>
      </c>
      <c r="Z22" s="293" t="e">
        <f ca="1">VLOOKUP($B22,KOMBI!$A:$ADS,Z$3,FALSE)</f>
        <v>#NUM!</v>
      </c>
      <c r="AA22" s="293"/>
      <c r="AB22" s="293" t="e">
        <f ca="1">VLOOKUP($B22,KOMBI!$A:$ADS,AB$3,FALSE)</f>
        <v>#NUM!</v>
      </c>
      <c r="AC22" s="293" t="e">
        <f ca="1">VLOOKUP($B22,KOMBI!$A:$ADS,AC$3,FALSE)-AB22</f>
        <v>#NUM!</v>
      </c>
      <c r="AD22" s="293" t="e">
        <f ca="1">VLOOKUP($B22,KOMBI!$A:$ADS,AD$3,FALSE)</f>
        <v>#NUM!</v>
      </c>
      <c r="AE22" s="293" t="e">
        <f ca="1">VLOOKUP($B22,KOMBI!$A:$ADS,AE$3,FALSE)</f>
        <v>#NUM!</v>
      </c>
      <c r="AF22" s="293" t="e">
        <f ca="1">VLOOKUP($B22,KOMBI!$A:$ADS,AF$3,FALSE)-AE22</f>
        <v>#NUM!</v>
      </c>
      <c r="AG22" s="293" t="e">
        <f ca="1">VLOOKUP($B22,KOMBI!$A:$ADS,AG$3,FALSE)</f>
        <v>#NUM!</v>
      </c>
      <c r="AI22" s="293" t="e">
        <f t="array" aca="1" ref="AI22" ca="1">VLOOKUP($B22,KOMBI!$A:$ADS,MATCH(Tulem!AI$3,KOMBI!$A$1:$ADS$1,0),FALSE)</f>
        <v>#NUM!</v>
      </c>
      <c r="AJ22" s="293" t="e">
        <f t="array" aca="1" ref="AJ22" ca="1">VLOOKUP($B22,KOMBI!$A:$ADS,MATCH(Tulem!AJ$3,KOMBI!$A$1:$ADS$1,0),FALSE)</f>
        <v>#NUM!</v>
      </c>
      <c r="AK22" s="293" t="e">
        <f t="array" aca="1" ref="AK22" ca="1">VLOOKUP($B22,KOMBI!$A:$ADS,MATCH(Tulem!AK$3,KOMBI!$A$1:$ADS$1,0),FALSE)</f>
        <v>#NUM!</v>
      </c>
      <c r="AL22" s="293" t="e">
        <f t="array" aca="1" ref="AL22" ca="1">VLOOKUP($B22,KOMBI!$A:$ADS,MATCH(Tulem!AL$3,KOMBI!$A$1:$ADS$1,0),FALSE)</f>
        <v>#NUM!</v>
      </c>
      <c r="AM22" s="293" t="e">
        <f t="array" aca="1" ref="AM22" ca="1">VLOOKUP($B22,KOMBI!$A:$ADS,MATCH(Tulem!AM$3,KOMBI!$A$1:$ADS$1,0),FALSE)</f>
        <v>#NUM!</v>
      </c>
      <c r="AN22" s="293" t="e">
        <f t="array" aca="1" ref="AN22" ca="1">VLOOKUP($B22,KOMBI!$A:$ADS,MATCH(Tulem!AN$3,KOMBI!$A$1:$ADS$1,0),FALSE)</f>
        <v>#NUM!</v>
      </c>
      <c r="AO22" s="293" t="e">
        <f t="array" aca="1" ref="AO22" ca="1">VLOOKUP($B22,KOMBI!$A:$ADS,MATCH(Tulem!AO$3,KOMBI!$A$1:$ADS$1,0),FALSE)</f>
        <v>#NUM!</v>
      </c>
      <c r="AP22" s="293" t="e">
        <f t="array" aca="1" ref="AP22" ca="1">VLOOKUP($B22,KOMBI!$A:$ADS,MATCH(Tulem!AP$3,KOMBI!$A$1:$ADS$1,0),FALSE)</f>
        <v>#NUM!</v>
      </c>
      <c r="AQ22" s="293" t="e">
        <f t="array" aca="1" ref="AQ22" ca="1">VLOOKUP($B22,KOMBI!$A:$ADS,MATCH(Tulem!AQ$3,KOMBI!$A$1:$ADS$1,0),FALSE)</f>
        <v>#NUM!</v>
      </c>
      <c r="AR22" s="293" t="e">
        <f t="array" aca="1" ref="AR22" ca="1">VLOOKUP($B22,KOMBI!$A:$ADS,MATCH(Tulem!AR$3,KOMBI!$A$1:$ADS$1,0),FALSE)</f>
        <v>#NUM!</v>
      </c>
      <c r="AS22" s="293" t="e">
        <f t="array" aca="1" ref="AS22" ca="1">VLOOKUP($B22,KOMBI!$A:$ADS,MATCH(Tulem!AS$3,KOMBI!$A$1:$ADS$1,0),FALSE)</f>
        <v>#NUM!</v>
      </c>
      <c r="AT22" s="293" t="e">
        <f t="array" aca="1" ref="AT22" ca="1">VLOOKUP($B22,KOMBI!$A:$ADS,MATCH(Tulem!AT$3,KOMBI!$A$1:$ADS$1,0),FALSE)</f>
        <v>#NUM!</v>
      </c>
      <c r="AU22" s="293" t="e">
        <f t="array" aca="1" ref="AU22" ca="1">VLOOKUP($B22,KOMBI!$A:$ADS,MATCH(Tulem!AU$3,KOMBI!$A$1:$ADS$1,0),FALSE)</f>
        <v>#NUM!</v>
      </c>
      <c r="AV22" s="293" t="e">
        <f t="shared" ca="1" si="1"/>
        <v>#NUM!</v>
      </c>
      <c r="AW22" s="293" t="e">
        <f t="shared" ca="1" si="2"/>
        <v>#NUM!</v>
      </c>
      <c r="AX22" s="291" t="e">
        <f ca="1">VLOOKUP($B22,KOMBI!$A:$ACA,MATCH(AX$5,KOMBI!$10:$10,0),FALSE)</f>
        <v>#NUM!</v>
      </c>
      <c r="AY22" s="292" t="e">
        <f t="array" aca="1" ref="AY22" ca="1">VLOOKUP($B22,KOMBI!$A:$ADS,MATCH(Tulem!AY$3,KOMBI!$A$1:$ADS$1,0),FALSE)</f>
        <v>#NUM!</v>
      </c>
      <c r="AZ22" s="292" t="e">
        <f t="array" aca="1" ref="AZ22" ca="1">VLOOKUP($B22,KOMBI!$A:$ADS,MATCH(Tulem!AZ$3,KOMBI!$A$1:$ADS$1,0),FALSE)</f>
        <v>#NUM!</v>
      </c>
      <c r="BA22" s="292" t="e">
        <f t="array" aca="1" ref="BA22" ca="1">VLOOKUP($B22,KOMBI!$A:$ADS,MATCH(Tulem!BA$3,KOMBI!$A$1:$ADS$1,0),FALSE)</f>
        <v>#NUM!</v>
      </c>
      <c r="BB22" s="292" t="e">
        <f t="array" aca="1" ref="BB22" ca="1">VLOOKUP($B22,KOMBI!$A:$ADS,MATCH(Tulem!BB$3,KOMBI!$A$1:$ADS$1,0),FALSE)</f>
        <v>#NUM!</v>
      </c>
      <c r="BC22" s="292" t="e">
        <f t="array" aca="1" ref="BC22" ca="1">VLOOKUP($B22,KOMBI!$A:$ADS,MATCH(Tulem!BC$3,KOMBI!$A$1:$ADS$1,0),FALSE)</f>
        <v>#NUM!</v>
      </c>
      <c r="BD22" s="292" t="e">
        <f t="array" aca="1" ref="BD22" ca="1">VLOOKUP($B22,KOMBI!$A:$ADS,MATCH(Tulem!BD$3,KOMBI!$A$1:$ADS$1,0),FALSE)</f>
        <v>#NUM!</v>
      </c>
      <c r="BE22" s="292" t="e">
        <f t="array" aca="1" ref="BE22" ca="1">VLOOKUP($B22,KOMBI!$A:$ADS,MATCH(Tulem!BE$3,KOMBI!$A$1:$ADS$1,0),FALSE)</f>
        <v>#NUM!</v>
      </c>
      <c r="BF22" s="292" t="e">
        <f t="array" aca="1" ref="BF22" ca="1">VLOOKUP($B22,KOMBI!$A:$ADS,MATCH(Tulem!BF$3,KOMBI!$A$1:$ADS$1,0),FALSE)</f>
        <v>#NUM!</v>
      </c>
      <c r="BG22" s="292" t="e">
        <f t="array" aca="1" ref="BG22" ca="1">VLOOKUP($B22,KOMBI!$A:$ADS,MATCH(Tulem!BG$3,KOMBI!$A$1:$ADS$1,0),FALSE)</f>
        <v>#NUM!</v>
      </c>
      <c r="BH22" s="292" t="e">
        <f t="array" aca="1" ref="BH22" ca="1">VLOOKUP($B22,KOMBI!$A:$ADS,MATCH(Tulem!BH$3,KOMBI!$A$1:$ADS$1,0),FALSE)</f>
        <v>#NUM!</v>
      </c>
      <c r="BI22" s="292" t="e">
        <f t="array" aca="1" ref="BI22" ca="1">VLOOKUP($B22,KOMBI!$A:$ADS,MATCH(Tulem!BI$3,KOMBI!$A$1:$ADS$1,0),FALSE)</f>
        <v>#NUM!</v>
      </c>
      <c r="BJ22" s="292" t="e">
        <f t="array" aca="1" ref="BJ22" ca="1">VLOOKUP($B22,KOMBI!$A:$ADS,MATCH(Tulem!BJ$3,KOMBI!$A$1:$ADS$1,0),FALSE)</f>
        <v>#NUM!</v>
      </c>
      <c r="BK22" s="292" t="e">
        <f t="array" aca="1" ref="BK22" ca="1">VLOOKUP($B22,KOMBI!$A:$ADS,MATCH(Tulem!BK$3,KOMBI!$A$1:$ADS$1,0),FALSE)</f>
        <v>#NUM!</v>
      </c>
      <c r="BL22" s="292" t="e">
        <f t="array" aca="1" ref="BL22" ca="1">VLOOKUP($B22,KOMBI!$A:$ADS,MATCH(Tulem!BL$3,KOMBI!$A$1:$ADS$1,0),FALSE)</f>
        <v>#NUM!</v>
      </c>
      <c r="BM22" s="292" t="e">
        <f t="array" aca="1" ref="BM22" ca="1">VLOOKUP($B22,KOMBI!$A:$ADS,MATCH(Tulem!BM$3,KOMBI!$A$1:$ADS$1,0),FALSE)</f>
        <v>#NUM!</v>
      </c>
      <c r="BN22" s="292" t="e">
        <f t="array" aca="1" ref="BN22" ca="1">VLOOKUP($B22,KOMBI!$A:$ADS,MATCH(Tulem!BN$3,KOMBI!$A$1:$ADS$1,0),FALSE)</f>
        <v>#NUM!</v>
      </c>
      <c r="BO22" s="292" t="e">
        <f t="array" aca="1" ref="BO22" ca="1">VLOOKUP($B22,KOMBI!$A:$ADS,MATCH(Tulem!BO$3,KOMBI!$A$1:$ADS$1,0),FALSE)</f>
        <v>#NUM!</v>
      </c>
      <c r="BP22" s="291"/>
      <c r="BQ22" s="292" t="e">
        <f t="array" aca="1" ref="BQ22" ca="1">VLOOKUP($B22,KOMBI!$A:$ADS,MATCH(Tulem!BQ$3,KOMBI!$A$1:$ADS$1,0),FALSE)</f>
        <v>#NUM!</v>
      </c>
      <c r="BR22" s="292" t="e">
        <f t="array" aca="1" ref="BR22" ca="1">VLOOKUP($B22,KOMBI!$A:$ADS,MATCH(Tulem!BR$3,KOMBI!$A$1:$ADS$1,0),FALSE)</f>
        <v>#NUM!</v>
      </c>
      <c r="BS22" s="292" t="e">
        <f t="array" aca="1" ref="BS22" ca="1">VLOOKUP($B22,KOMBI!$A:$ADS,MATCH(Tulem!BS$3,KOMBI!$A$1:$ADS$1,0),FALSE)</f>
        <v>#NUM!</v>
      </c>
      <c r="BT22" s="292" t="e">
        <f t="array" aca="1" ref="BT22" ca="1">VLOOKUP($B22,KOMBI!$A:$ADS,MATCH(Tulem!BT$3,KOMBI!$A$1:$ADS$1,0),FALSE)</f>
        <v>#NUM!</v>
      </c>
      <c r="BU22" s="292" t="e">
        <f t="array" aca="1" ref="BU22" ca="1">VLOOKUP($B22,KOMBI!$A:$ADS,MATCH(Tulem!BU$3,KOMBI!$A$1:$ADS$1,0),FALSE)</f>
        <v>#NUM!</v>
      </c>
      <c r="BV22" s="291"/>
      <c r="BW22" s="292" t="e">
        <f t="array" aca="1" ref="BW22" ca="1">VLOOKUP($B22,KOMBI!$A:$ADS,MATCH(Tulem!BW$3,KOMBI!$A$1:$ADS$1,0),FALSE)</f>
        <v>#NUM!</v>
      </c>
      <c r="BX22" s="291"/>
      <c r="BY22" s="291"/>
      <c r="BZ22" s="292" t="e">
        <f t="array" aca="1" ref="BZ22" ca="1">VLOOKUP($B22,KOMBI!$A:$ADS,MATCH(Tulem!BZ$3,KOMBI!$A$1:$ADS$1,0),FALSE)</f>
        <v>#NUM!</v>
      </c>
      <c r="CA22" s="292" t="e">
        <f t="array" aca="1" ref="CA22" ca="1">VLOOKUP($B22,KOMBI!$A:$ADS,MATCH(Tulem!CA$3,KOMBI!$A$1:$ADS$1,0),FALSE)</f>
        <v>#NUM!</v>
      </c>
      <c r="CB22" s="292" t="e">
        <f t="array" aca="1" ref="CB22" ca="1">VLOOKUP($B22,KOMBI!$A:$ADS,MATCH(Tulem!CB$3,KOMBI!$A$1:$ADS$1,0),FALSE)</f>
        <v>#NUM!</v>
      </c>
      <c r="CC22" s="292" t="e">
        <f t="array" aca="1" ref="CC22" ca="1">VLOOKUP($B22,KOMBI!$A:$ADS,MATCH(Tulem!CC$3,KOMBI!$A$1:$ADS$1,0),FALSE)</f>
        <v>#NUM!</v>
      </c>
      <c r="CD22" s="292" t="e">
        <f t="array" aca="1" ref="CD22" ca="1">VLOOKUP($B22,KOMBI!$A:$ADS,MATCH(Tulem!CD$3,KOMBI!$A$1:$ADS$1,0),FALSE)</f>
        <v>#NUM!</v>
      </c>
      <c r="CF22" s="51" t="e">
        <f ca="1">VLOOKUP($B22,KOMBI!$A:$ACG,MATCH(CF$5,KOMBI!$10:$10,0),FALSE)</f>
        <v>#NUM!</v>
      </c>
    </row>
    <row r="23" spans="1:84" s="51" customFormat="1" x14ac:dyDescent="0.2">
      <c r="A23" s="51">
        <v>18</v>
      </c>
      <c r="B23" s="51" t="e">
        <f ca="1">KOMBI!GI28</f>
        <v>#NUM!</v>
      </c>
      <c r="C23" s="51">
        <f t="shared" si="0"/>
        <v>18</v>
      </c>
      <c r="D23" s="290" t="e">
        <f ca="1">VLOOKUP(VLOOKUP($B23,KOMBI!$A:$H,3,FALSE),data!$I$27:$J$29,2,FALSE)</f>
        <v>#NUM!</v>
      </c>
      <c r="E23" s="290" t="e">
        <f ca="1">VLOOKUP(VLOOKUP($B23,KOMBI!$A:$H,2,FALSE),data!$I$21:$J$23,2,FALSE)</f>
        <v>#NUM!</v>
      </c>
      <c r="F23" s="290" t="e">
        <f ca="1">VLOOKUP(VLOOKUP($B23,KOMBI!$A:$H,5,FALSE),data!$I$39:$J$41,2,FALSE)</f>
        <v>#NUM!</v>
      </c>
      <c r="G23" s="290" t="e">
        <f ca="1">VLOOKUP(VLOOKUP($B23,KOMBI!$A:$H,4,FALSE),data!$I$32:$J$36,2,FALSE)</f>
        <v>#NUM!</v>
      </c>
      <c r="I23" s="51" t="e">
        <f ca="1">VLOOKUP($B23,KOMBI!$A:$Z,MATCH(I$5,KOMBI!$10:$10,0),FALSE)</f>
        <v>#NUM!</v>
      </c>
      <c r="J23" s="291" t="e">
        <f ca="1">VLOOKUP($B23,KOMBI!$A:$ADS,J$3,FALSE)</f>
        <v>#NUM!</v>
      </c>
      <c r="K23" s="291" t="e">
        <f ca="1">VLOOKUP($B23,KOMBI!$A:$ADS,K$3,FALSE)</f>
        <v>#NUM!</v>
      </c>
      <c r="L23" s="291" t="e">
        <f ca="1">VLOOKUP($B23,KOMBI!$A:$ADS,L$3,FALSE)</f>
        <v>#NUM!</v>
      </c>
      <c r="M23" s="291" t="e">
        <f ca="1">VLOOKUP($B23,KOMBI!$A:$ADS,M$3,FALSE)</f>
        <v>#NUM!</v>
      </c>
      <c r="N23" s="291" t="e">
        <f ca="1">VLOOKUP($B23,KOMBI!$A:$ADS,N$3,FALSE)</f>
        <v>#NUM!</v>
      </c>
      <c r="O23" s="291" t="e">
        <f ca="1">VLOOKUP($B23,KOMBI!$A:$ADS,O$3,FALSE)</f>
        <v>#NUM!</v>
      </c>
      <c r="P23" s="291" t="e">
        <f ca="1">VLOOKUP($B23,KOMBI!$A:$ADS,P$3,FALSE)</f>
        <v>#NUM!</v>
      </c>
      <c r="Q23" s="292" t="e">
        <f t="array" aca="1" ref="Q23" ca="1">VLOOKUP($B23,KOMBI!$A:$ADS,MATCH(Tulem!Q$3,KOMBI!$A$1:$ADS$1,0),FALSE)</f>
        <v>#NUM!</v>
      </c>
      <c r="S23" s="332" t="e">
        <f t="array" aca="1" ref="S23" ca="1">VLOOKUP($B23,KOMBI!$A:$ADS,MATCH(Tulem!S$3,KOMBI!$A$1:$ADS$1,0),FALSE)</f>
        <v>#NUM!</v>
      </c>
      <c r="T23" s="293" t="e">
        <f ca="1">VLOOKUP($B23,KOMBI!$A:$ADS,T$3,FALSE)</f>
        <v>#NUM!</v>
      </c>
      <c r="U23" s="293" t="e">
        <f ca="1">VLOOKUP($B23,KOMBI!$A:$ADS,U$3,FALSE)</f>
        <v>#NUM!</v>
      </c>
      <c r="V23" s="293" t="e">
        <f ca="1">VLOOKUP($B23,KOMBI!$A:$ADS,V$3,FALSE)</f>
        <v>#NUM!</v>
      </c>
      <c r="W23" s="293"/>
      <c r="X23" s="293" t="e">
        <f ca="1">VLOOKUP($B23,KOMBI!$A:$ADS,X$3,FALSE)</f>
        <v>#NUM!</v>
      </c>
      <c r="Y23" s="293" t="e">
        <f ca="1">VLOOKUP($B23,KOMBI!$A:$ADS,Y$3,FALSE)</f>
        <v>#NUM!</v>
      </c>
      <c r="Z23" s="293" t="e">
        <f ca="1">VLOOKUP($B23,KOMBI!$A:$ADS,Z$3,FALSE)</f>
        <v>#NUM!</v>
      </c>
      <c r="AA23" s="293"/>
      <c r="AB23" s="293" t="e">
        <f ca="1">VLOOKUP($B23,KOMBI!$A:$ADS,AB$3,FALSE)</f>
        <v>#NUM!</v>
      </c>
      <c r="AC23" s="293" t="e">
        <f ca="1">VLOOKUP($B23,KOMBI!$A:$ADS,AC$3,FALSE)-AB23</f>
        <v>#NUM!</v>
      </c>
      <c r="AD23" s="293" t="e">
        <f ca="1">VLOOKUP($B23,KOMBI!$A:$ADS,AD$3,FALSE)</f>
        <v>#NUM!</v>
      </c>
      <c r="AE23" s="293" t="e">
        <f ca="1">VLOOKUP($B23,KOMBI!$A:$ADS,AE$3,FALSE)</f>
        <v>#NUM!</v>
      </c>
      <c r="AF23" s="293" t="e">
        <f ca="1">VLOOKUP($B23,KOMBI!$A:$ADS,AF$3,FALSE)-AE23</f>
        <v>#NUM!</v>
      </c>
      <c r="AG23" s="293" t="e">
        <f ca="1">VLOOKUP($B23,KOMBI!$A:$ADS,AG$3,FALSE)</f>
        <v>#NUM!</v>
      </c>
      <c r="AI23" s="293" t="e">
        <f t="array" aca="1" ref="AI23" ca="1">VLOOKUP($B23,KOMBI!$A:$ADS,MATCH(Tulem!AI$3,KOMBI!$A$1:$ADS$1,0),FALSE)</f>
        <v>#NUM!</v>
      </c>
      <c r="AJ23" s="293" t="e">
        <f t="array" aca="1" ref="AJ23" ca="1">VLOOKUP($B23,KOMBI!$A:$ADS,MATCH(Tulem!AJ$3,KOMBI!$A$1:$ADS$1,0),FALSE)</f>
        <v>#NUM!</v>
      </c>
      <c r="AK23" s="293" t="e">
        <f t="array" aca="1" ref="AK23" ca="1">VLOOKUP($B23,KOMBI!$A:$ADS,MATCH(Tulem!AK$3,KOMBI!$A$1:$ADS$1,0),FALSE)</f>
        <v>#NUM!</v>
      </c>
      <c r="AL23" s="293" t="e">
        <f t="array" aca="1" ref="AL23" ca="1">VLOOKUP($B23,KOMBI!$A:$ADS,MATCH(Tulem!AL$3,KOMBI!$A$1:$ADS$1,0),FALSE)</f>
        <v>#NUM!</v>
      </c>
      <c r="AM23" s="293" t="e">
        <f t="array" aca="1" ref="AM23" ca="1">VLOOKUP($B23,KOMBI!$A:$ADS,MATCH(Tulem!AM$3,KOMBI!$A$1:$ADS$1,0),FALSE)</f>
        <v>#NUM!</v>
      </c>
      <c r="AN23" s="293" t="e">
        <f t="array" aca="1" ref="AN23" ca="1">VLOOKUP($B23,KOMBI!$A:$ADS,MATCH(Tulem!AN$3,KOMBI!$A$1:$ADS$1,0),FALSE)</f>
        <v>#NUM!</v>
      </c>
      <c r="AO23" s="293" t="e">
        <f t="array" aca="1" ref="AO23" ca="1">VLOOKUP($B23,KOMBI!$A:$ADS,MATCH(Tulem!AO$3,KOMBI!$A$1:$ADS$1,0),FALSE)</f>
        <v>#NUM!</v>
      </c>
      <c r="AP23" s="293" t="e">
        <f t="array" aca="1" ref="AP23" ca="1">VLOOKUP($B23,KOMBI!$A:$ADS,MATCH(Tulem!AP$3,KOMBI!$A$1:$ADS$1,0),FALSE)</f>
        <v>#NUM!</v>
      </c>
      <c r="AQ23" s="293" t="e">
        <f t="array" aca="1" ref="AQ23" ca="1">VLOOKUP($B23,KOMBI!$A:$ADS,MATCH(Tulem!AQ$3,KOMBI!$A$1:$ADS$1,0),FALSE)</f>
        <v>#NUM!</v>
      </c>
      <c r="AR23" s="293" t="e">
        <f t="array" aca="1" ref="AR23" ca="1">VLOOKUP($B23,KOMBI!$A:$ADS,MATCH(Tulem!AR$3,KOMBI!$A$1:$ADS$1,0),FALSE)</f>
        <v>#NUM!</v>
      </c>
      <c r="AS23" s="293" t="e">
        <f t="array" aca="1" ref="AS23" ca="1">VLOOKUP($B23,KOMBI!$A:$ADS,MATCH(Tulem!AS$3,KOMBI!$A$1:$ADS$1,0),FALSE)</f>
        <v>#NUM!</v>
      </c>
      <c r="AT23" s="293" t="e">
        <f t="array" aca="1" ref="AT23" ca="1">VLOOKUP($B23,KOMBI!$A:$ADS,MATCH(Tulem!AT$3,KOMBI!$A$1:$ADS$1,0),FALSE)</f>
        <v>#NUM!</v>
      </c>
      <c r="AU23" s="293" t="e">
        <f t="array" aca="1" ref="AU23" ca="1">VLOOKUP($B23,KOMBI!$A:$ADS,MATCH(Tulem!AU$3,KOMBI!$A$1:$ADS$1,0),FALSE)</f>
        <v>#NUM!</v>
      </c>
      <c r="AV23" s="293" t="e">
        <f t="shared" ca="1" si="1"/>
        <v>#NUM!</v>
      </c>
      <c r="AW23" s="293" t="e">
        <f t="shared" ca="1" si="2"/>
        <v>#NUM!</v>
      </c>
      <c r="AX23" s="291" t="e">
        <f ca="1">VLOOKUP($B23,KOMBI!$A:$ACA,MATCH(AX$5,KOMBI!$10:$10,0),FALSE)</f>
        <v>#NUM!</v>
      </c>
      <c r="AY23" s="292" t="e">
        <f t="array" aca="1" ref="AY23" ca="1">VLOOKUP($B23,KOMBI!$A:$ADS,MATCH(Tulem!AY$3,KOMBI!$A$1:$ADS$1,0),FALSE)</f>
        <v>#NUM!</v>
      </c>
      <c r="AZ23" s="292" t="e">
        <f t="array" aca="1" ref="AZ23" ca="1">VLOOKUP($B23,KOMBI!$A:$ADS,MATCH(Tulem!AZ$3,KOMBI!$A$1:$ADS$1,0),FALSE)</f>
        <v>#NUM!</v>
      </c>
      <c r="BA23" s="292" t="e">
        <f t="array" aca="1" ref="BA23" ca="1">VLOOKUP($B23,KOMBI!$A:$ADS,MATCH(Tulem!BA$3,KOMBI!$A$1:$ADS$1,0),FALSE)</f>
        <v>#NUM!</v>
      </c>
      <c r="BB23" s="292" t="e">
        <f t="array" aca="1" ref="BB23" ca="1">VLOOKUP($B23,KOMBI!$A:$ADS,MATCH(Tulem!BB$3,KOMBI!$A$1:$ADS$1,0),FALSE)</f>
        <v>#NUM!</v>
      </c>
      <c r="BC23" s="292" t="e">
        <f t="array" aca="1" ref="BC23" ca="1">VLOOKUP($B23,KOMBI!$A:$ADS,MATCH(Tulem!BC$3,KOMBI!$A$1:$ADS$1,0),FALSE)</f>
        <v>#NUM!</v>
      </c>
      <c r="BD23" s="292" t="e">
        <f t="array" aca="1" ref="BD23" ca="1">VLOOKUP($B23,KOMBI!$A:$ADS,MATCH(Tulem!BD$3,KOMBI!$A$1:$ADS$1,0),FALSE)</f>
        <v>#NUM!</v>
      </c>
      <c r="BE23" s="292" t="e">
        <f t="array" aca="1" ref="BE23" ca="1">VLOOKUP($B23,KOMBI!$A:$ADS,MATCH(Tulem!BE$3,KOMBI!$A$1:$ADS$1,0),FALSE)</f>
        <v>#NUM!</v>
      </c>
      <c r="BF23" s="292" t="e">
        <f t="array" aca="1" ref="BF23" ca="1">VLOOKUP($B23,KOMBI!$A:$ADS,MATCH(Tulem!BF$3,KOMBI!$A$1:$ADS$1,0),FALSE)</f>
        <v>#NUM!</v>
      </c>
      <c r="BG23" s="292" t="e">
        <f t="array" aca="1" ref="BG23" ca="1">VLOOKUP($B23,KOMBI!$A:$ADS,MATCH(Tulem!BG$3,KOMBI!$A$1:$ADS$1,0),FALSE)</f>
        <v>#NUM!</v>
      </c>
      <c r="BH23" s="292" t="e">
        <f t="array" aca="1" ref="BH23" ca="1">VLOOKUP($B23,KOMBI!$A:$ADS,MATCH(Tulem!BH$3,KOMBI!$A$1:$ADS$1,0),FALSE)</f>
        <v>#NUM!</v>
      </c>
      <c r="BI23" s="292" t="e">
        <f t="array" aca="1" ref="BI23" ca="1">VLOOKUP($B23,KOMBI!$A:$ADS,MATCH(Tulem!BI$3,KOMBI!$A$1:$ADS$1,0),FALSE)</f>
        <v>#NUM!</v>
      </c>
      <c r="BJ23" s="292" t="e">
        <f t="array" aca="1" ref="BJ23" ca="1">VLOOKUP($B23,KOMBI!$A:$ADS,MATCH(Tulem!BJ$3,KOMBI!$A$1:$ADS$1,0),FALSE)</f>
        <v>#NUM!</v>
      </c>
      <c r="BK23" s="292" t="e">
        <f t="array" aca="1" ref="BK23" ca="1">VLOOKUP($B23,KOMBI!$A:$ADS,MATCH(Tulem!BK$3,KOMBI!$A$1:$ADS$1,0),FALSE)</f>
        <v>#NUM!</v>
      </c>
      <c r="BL23" s="292" t="e">
        <f t="array" aca="1" ref="BL23" ca="1">VLOOKUP($B23,KOMBI!$A:$ADS,MATCH(Tulem!BL$3,KOMBI!$A$1:$ADS$1,0),FALSE)</f>
        <v>#NUM!</v>
      </c>
      <c r="BM23" s="292" t="e">
        <f t="array" aca="1" ref="BM23" ca="1">VLOOKUP($B23,KOMBI!$A:$ADS,MATCH(Tulem!BM$3,KOMBI!$A$1:$ADS$1,0),FALSE)</f>
        <v>#NUM!</v>
      </c>
      <c r="BN23" s="292" t="e">
        <f t="array" aca="1" ref="BN23" ca="1">VLOOKUP($B23,KOMBI!$A:$ADS,MATCH(Tulem!BN$3,KOMBI!$A$1:$ADS$1,0),FALSE)</f>
        <v>#NUM!</v>
      </c>
      <c r="BO23" s="292" t="e">
        <f t="array" aca="1" ref="BO23" ca="1">VLOOKUP($B23,KOMBI!$A:$ADS,MATCH(Tulem!BO$3,KOMBI!$A$1:$ADS$1,0),FALSE)</f>
        <v>#NUM!</v>
      </c>
      <c r="BP23" s="291"/>
      <c r="BQ23" s="292" t="e">
        <f t="array" aca="1" ref="BQ23" ca="1">VLOOKUP($B23,KOMBI!$A:$ADS,MATCH(Tulem!BQ$3,KOMBI!$A$1:$ADS$1,0),FALSE)</f>
        <v>#NUM!</v>
      </c>
      <c r="BR23" s="292" t="e">
        <f t="array" aca="1" ref="BR23" ca="1">VLOOKUP($B23,KOMBI!$A:$ADS,MATCH(Tulem!BR$3,KOMBI!$A$1:$ADS$1,0),FALSE)</f>
        <v>#NUM!</v>
      </c>
      <c r="BS23" s="292" t="e">
        <f t="array" aca="1" ref="BS23" ca="1">VLOOKUP($B23,KOMBI!$A:$ADS,MATCH(Tulem!BS$3,KOMBI!$A$1:$ADS$1,0),FALSE)</f>
        <v>#NUM!</v>
      </c>
      <c r="BT23" s="292" t="e">
        <f t="array" aca="1" ref="BT23" ca="1">VLOOKUP($B23,KOMBI!$A:$ADS,MATCH(Tulem!BT$3,KOMBI!$A$1:$ADS$1,0),FALSE)</f>
        <v>#NUM!</v>
      </c>
      <c r="BU23" s="292" t="e">
        <f t="array" aca="1" ref="BU23" ca="1">VLOOKUP($B23,KOMBI!$A:$ADS,MATCH(Tulem!BU$3,KOMBI!$A$1:$ADS$1,0),FALSE)</f>
        <v>#NUM!</v>
      </c>
      <c r="BV23" s="291"/>
      <c r="BW23" s="292" t="e">
        <f t="array" aca="1" ref="BW23" ca="1">VLOOKUP($B23,KOMBI!$A:$ADS,MATCH(Tulem!BW$3,KOMBI!$A$1:$ADS$1,0),FALSE)</f>
        <v>#NUM!</v>
      </c>
      <c r="BX23" s="291"/>
      <c r="BY23" s="291"/>
      <c r="BZ23" s="292" t="e">
        <f t="array" aca="1" ref="BZ23" ca="1">VLOOKUP($B23,KOMBI!$A:$ADS,MATCH(Tulem!BZ$3,KOMBI!$A$1:$ADS$1,0),FALSE)</f>
        <v>#NUM!</v>
      </c>
      <c r="CA23" s="292" t="e">
        <f t="array" aca="1" ref="CA23" ca="1">VLOOKUP($B23,KOMBI!$A:$ADS,MATCH(Tulem!CA$3,KOMBI!$A$1:$ADS$1,0),FALSE)</f>
        <v>#NUM!</v>
      </c>
      <c r="CB23" s="292" t="e">
        <f t="array" aca="1" ref="CB23" ca="1">VLOOKUP($B23,KOMBI!$A:$ADS,MATCH(Tulem!CB$3,KOMBI!$A$1:$ADS$1,0),FALSE)</f>
        <v>#NUM!</v>
      </c>
      <c r="CC23" s="292" t="e">
        <f t="array" aca="1" ref="CC23" ca="1">VLOOKUP($B23,KOMBI!$A:$ADS,MATCH(Tulem!CC$3,KOMBI!$A$1:$ADS$1,0),FALSE)</f>
        <v>#NUM!</v>
      </c>
      <c r="CD23" s="292" t="e">
        <f t="array" aca="1" ref="CD23" ca="1">VLOOKUP($B23,KOMBI!$A:$ADS,MATCH(Tulem!CD$3,KOMBI!$A$1:$ADS$1,0),FALSE)</f>
        <v>#NUM!</v>
      </c>
      <c r="CF23" s="51" t="e">
        <f ca="1">VLOOKUP($B23,KOMBI!$A:$ACG,MATCH(CF$5,KOMBI!$10:$10,0),FALSE)</f>
        <v>#NUM!</v>
      </c>
    </row>
    <row r="24" spans="1:84" s="51" customFormat="1" x14ac:dyDescent="0.2">
      <c r="A24" s="51">
        <v>19</v>
      </c>
      <c r="B24" s="51" t="e">
        <f ca="1">KOMBI!GI29</f>
        <v>#NUM!</v>
      </c>
      <c r="C24" s="51">
        <f t="shared" si="0"/>
        <v>19</v>
      </c>
      <c r="D24" s="290" t="e">
        <f ca="1">VLOOKUP(VLOOKUP($B24,KOMBI!$A:$H,3,FALSE),data!$I$27:$J$29,2,FALSE)</f>
        <v>#NUM!</v>
      </c>
      <c r="E24" s="290" t="e">
        <f ca="1">VLOOKUP(VLOOKUP($B24,KOMBI!$A:$H,2,FALSE),data!$I$21:$J$23,2,FALSE)</f>
        <v>#NUM!</v>
      </c>
      <c r="F24" s="290" t="e">
        <f ca="1">VLOOKUP(VLOOKUP($B24,KOMBI!$A:$H,5,FALSE),data!$I$39:$J$41,2,FALSE)</f>
        <v>#NUM!</v>
      </c>
      <c r="G24" s="290" t="e">
        <f ca="1">VLOOKUP(VLOOKUP($B24,KOMBI!$A:$H,4,FALSE),data!$I$32:$J$36,2,FALSE)</f>
        <v>#NUM!</v>
      </c>
      <c r="I24" s="51" t="e">
        <f ca="1">VLOOKUP($B24,KOMBI!$A:$Z,MATCH(I$5,KOMBI!$10:$10,0),FALSE)</f>
        <v>#NUM!</v>
      </c>
      <c r="J24" s="291" t="e">
        <f ca="1">VLOOKUP($B24,KOMBI!$A:$ADS,J$3,FALSE)</f>
        <v>#NUM!</v>
      </c>
      <c r="K24" s="291" t="e">
        <f ca="1">VLOOKUP($B24,KOMBI!$A:$ADS,K$3,FALSE)</f>
        <v>#NUM!</v>
      </c>
      <c r="L24" s="291" t="e">
        <f ca="1">VLOOKUP($B24,KOMBI!$A:$ADS,L$3,FALSE)</f>
        <v>#NUM!</v>
      </c>
      <c r="M24" s="291" t="e">
        <f ca="1">VLOOKUP($B24,KOMBI!$A:$ADS,M$3,FALSE)</f>
        <v>#NUM!</v>
      </c>
      <c r="N24" s="291" t="e">
        <f ca="1">VLOOKUP($B24,KOMBI!$A:$ADS,N$3,FALSE)</f>
        <v>#NUM!</v>
      </c>
      <c r="O24" s="291" t="e">
        <f ca="1">VLOOKUP($B24,KOMBI!$A:$ADS,O$3,FALSE)</f>
        <v>#NUM!</v>
      </c>
      <c r="P24" s="291" t="e">
        <f ca="1">VLOOKUP($B24,KOMBI!$A:$ADS,P$3,FALSE)</f>
        <v>#NUM!</v>
      </c>
      <c r="Q24" s="292" t="e">
        <f t="array" aca="1" ref="Q24" ca="1">VLOOKUP($B24,KOMBI!$A:$ADS,MATCH(Tulem!Q$3,KOMBI!$A$1:$ADS$1,0),FALSE)</f>
        <v>#NUM!</v>
      </c>
      <c r="S24" s="332" t="e">
        <f t="array" aca="1" ref="S24" ca="1">VLOOKUP($B24,KOMBI!$A:$ADS,MATCH(Tulem!S$3,KOMBI!$A$1:$ADS$1,0),FALSE)</f>
        <v>#NUM!</v>
      </c>
      <c r="T24" s="293" t="e">
        <f ca="1">VLOOKUP($B24,KOMBI!$A:$ADS,T$3,FALSE)</f>
        <v>#NUM!</v>
      </c>
      <c r="U24" s="293" t="e">
        <f ca="1">VLOOKUP($B24,KOMBI!$A:$ADS,U$3,FALSE)</f>
        <v>#NUM!</v>
      </c>
      <c r="V24" s="293" t="e">
        <f ca="1">VLOOKUP($B24,KOMBI!$A:$ADS,V$3,FALSE)</f>
        <v>#NUM!</v>
      </c>
      <c r="W24" s="293"/>
      <c r="X24" s="293" t="e">
        <f ca="1">VLOOKUP($B24,KOMBI!$A:$ADS,X$3,FALSE)</f>
        <v>#NUM!</v>
      </c>
      <c r="Y24" s="293" t="e">
        <f ca="1">VLOOKUP($B24,KOMBI!$A:$ADS,Y$3,FALSE)</f>
        <v>#NUM!</v>
      </c>
      <c r="Z24" s="293" t="e">
        <f ca="1">VLOOKUP($B24,KOMBI!$A:$ADS,Z$3,FALSE)</f>
        <v>#NUM!</v>
      </c>
      <c r="AA24" s="293"/>
      <c r="AB24" s="293" t="e">
        <f ca="1">VLOOKUP($B24,KOMBI!$A:$ADS,AB$3,FALSE)</f>
        <v>#NUM!</v>
      </c>
      <c r="AC24" s="293" t="e">
        <f ca="1">VLOOKUP($B24,KOMBI!$A:$ADS,AC$3,FALSE)-AB24</f>
        <v>#NUM!</v>
      </c>
      <c r="AD24" s="293" t="e">
        <f ca="1">VLOOKUP($B24,KOMBI!$A:$ADS,AD$3,FALSE)</f>
        <v>#NUM!</v>
      </c>
      <c r="AE24" s="293" t="e">
        <f ca="1">VLOOKUP($B24,KOMBI!$A:$ADS,AE$3,FALSE)</f>
        <v>#NUM!</v>
      </c>
      <c r="AF24" s="293" t="e">
        <f ca="1">VLOOKUP($B24,KOMBI!$A:$ADS,AF$3,FALSE)-AE24</f>
        <v>#NUM!</v>
      </c>
      <c r="AG24" s="293" t="e">
        <f ca="1">VLOOKUP($B24,KOMBI!$A:$ADS,AG$3,FALSE)</f>
        <v>#NUM!</v>
      </c>
      <c r="AI24" s="293" t="e">
        <f t="array" aca="1" ref="AI24" ca="1">VLOOKUP($B24,KOMBI!$A:$ADS,MATCH(Tulem!AI$3,KOMBI!$A$1:$ADS$1,0),FALSE)</f>
        <v>#NUM!</v>
      </c>
      <c r="AJ24" s="293" t="e">
        <f t="array" aca="1" ref="AJ24" ca="1">VLOOKUP($B24,KOMBI!$A:$ADS,MATCH(Tulem!AJ$3,KOMBI!$A$1:$ADS$1,0),FALSE)</f>
        <v>#NUM!</v>
      </c>
      <c r="AK24" s="293" t="e">
        <f t="array" aca="1" ref="AK24" ca="1">VLOOKUP($B24,KOMBI!$A:$ADS,MATCH(Tulem!AK$3,KOMBI!$A$1:$ADS$1,0),FALSE)</f>
        <v>#NUM!</v>
      </c>
      <c r="AL24" s="293" t="e">
        <f t="array" aca="1" ref="AL24" ca="1">VLOOKUP($B24,KOMBI!$A:$ADS,MATCH(Tulem!AL$3,KOMBI!$A$1:$ADS$1,0),FALSE)</f>
        <v>#NUM!</v>
      </c>
      <c r="AM24" s="293" t="e">
        <f t="array" aca="1" ref="AM24" ca="1">VLOOKUP($B24,KOMBI!$A:$ADS,MATCH(Tulem!AM$3,KOMBI!$A$1:$ADS$1,0),FALSE)</f>
        <v>#NUM!</v>
      </c>
      <c r="AN24" s="293" t="e">
        <f t="array" aca="1" ref="AN24" ca="1">VLOOKUP($B24,KOMBI!$A:$ADS,MATCH(Tulem!AN$3,KOMBI!$A$1:$ADS$1,0),FALSE)</f>
        <v>#NUM!</v>
      </c>
      <c r="AO24" s="293" t="e">
        <f t="array" aca="1" ref="AO24" ca="1">VLOOKUP($B24,KOMBI!$A:$ADS,MATCH(Tulem!AO$3,KOMBI!$A$1:$ADS$1,0),FALSE)</f>
        <v>#NUM!</v>
      </c>
      <c r="AP24" s="293" t="e">
        <f t="array" aca="1" ref="AP24" ca="1">VLOOKUP($B24,KOMBI!$A:$ADS,MATCH(Tulem!AP$3,KOMBI!$A$1:$ADS$1,0),FALSE)</f>
        <v>#NUM!</v>
      </c>
      <c r="AQ24" s="293" t="e">
        <f t="array" aca="1" ref="AQ24" ca="1">VLOOKUP($B24,KOMBI!$A:$ADS,MATCH(Tulem!AQ$3,KOMBI!$A$1:$ADS$1,0),FALSE)</f>
        <v>#NUM!</v>
      </c>
      <c r="AR24" s="293" t="e">
        <f t="array" aca="1" ref="AR24" ca="1">VLOOKUP($B24,KOMBI!$A:$ADS,MATCH(Tulem!AR$3,KOMBI!$A$1:$ADS$1,0),FALSE)</f>
        <v>#NUM!</v>
      </c>
      <c r="AS24" s="293" t="e">
        <f t="array" aca="1" ref="AS24" ca="1">VLOOKUP($B24,KOMBI!$A:$ADS,MATCH(Tulem!AS$3,KOMBI!$A$1:$ADS$1,0),FALSE)</f>
        <v>#NUM!</v>
      </c>
      <c r="AT24" s="293" t="e">
        <f t="array" aca="1" ref="AT24" ca="1">VLOOKUP($B24,KOMBI!$A:$ADS,MATCH(Tulem!AT$3,KOMBI!$A$1:$ADS$1,0),FALSE)</f>
        <v>#NUM!</v>
      </c>
      <c r="AU24" s="293" t="e">
        <f t="array" aca="1" ref="AU24" ca="1">VLOOKUP($B24,KOMBI!$A:$ADS,MATCH(Tulem!AU$3,KOMBI!$A$1:$ADS$1,0),FALSE)</f>
        <v>#NUM!</v>
      </c>
      <c r="AV24" s="293" t="e">
        <f t="shared" ca="1" si="1"/>
        <v>#NUM!</v>
      </c>
      <c r="AW24" s="293" t="e">
        <f t="shared" ca="1" si="2"/>
        <v>#NUM!</v>
      </c>
      <c r="AX24" s="291" t="e">
        <f ca="1">VLOOKUP($B24,KOMBI!$A:$ACA,MATCH(AX$5,KOMBI!$10:$10,0),FALSE)</f>
        <v>#NUM!</v>
      </c>
      <c r="AY24" s="292" t="e">
        <f t="array" aca="1" ref="AY24" ca="1">VLOOKUP($B24,KOMBI!$A:$ADS,MATCH(Tulem!AY$3,KOMBI!$A$1:$ADS$1,0),FALSE)</f>
        <v>#NUM!</v>
      </c>
      <c r="AZ24" s="292" t="e">
        <f t="array" aca="1" ref="AZ24" ca="1">VLOOKUP($B24,KOMBI!$A:$ADS,MATCH(Tulem!AZ$3,KOMBI!$A$1:$ADS$1,0),FALSE)</f>
        <v>#NUM!</v>
      </c>
      <c r="BA24" s="292" t="e">
        <f t="array" aca="1" ref="BA24" ca="1">VLOOKUP($B24,KOMBI!$A:$ADS,MATCH(Tulem!BA$3,KOMBI!$A$1:$ADS$1,0),FALSE)</f>
        <v>#NUM!</v>
      </c>
      <c r="BB24" s="292" t="e">
        <f t="array" aca="1" ref="BB24" ca="1">VLOOKUP($B24,KOMBI!$A:$ADS,MATCH(Tulem!BB$3,KOMBI!$A$1:$ADS$1,0),FALSE)</f>
        <v>#NUM!</v>
      </c>
      <c r="BC24" s="292" t="e">
        <f t="array" aca="1" ref="BC24" ca="1">VLOOKUP($B24,KOMBI!$A:$ADS,MATCH(Tulem!BC$3,KOMBI!$A$1:$ADS$1,0),FALSE)</f>
        <v>#NUM!</v>
      </c>
      <c r="BD24" s="292" t="e">
        <f t="array" aca="1" ref="BD24" ca="1">VLOOKUP($B24,KOMBI!$A:$ADS,MATCH(Tulem!BD$3,KOMBI!$A$1:$ADS$1,0),FALSE)</f>
        <v>#NUM!</v>
      </c>
      <c r="BE24" s="292" t="e">
        <f t="array" aca="1" ref="BE24" ca="1">VLOOKUP($B24,KOMBI!$A:$ADS,MATCH(Tulem!BE$3,KOMBI!$A$1:$ADS$1,0),FALSE)</f>
        <v>#NUM!</v>
      </c>
      <c r="BF24" s="292" t="e">
        <f t="array" aca="1" ref="BF24" ca="1">VLOOKUP($B24,KOMBI!$A:$ADS,MATCH(Tulem!BF$3,KOMBI!$A$1:$ADS$1,0),FALSE)</f>
        <v>#NUM!</v>
      </c>
      <c r="BG24" s="292" t="e">
        <f t="array" aca="1" ref="BG24" ca="1">VLOOKUP($B24,KOMBI!$A:$ADS,MATCH(Tulem!BG$3,KOMBI!$A$1:$ADS$1,0),FALSE)</f>
        <v>#NUM!</v>
      </c>
      <c r="BH24" s="292" t="e">
        <f t="array" aca="1" ref="BH24" ca="1">VLOOKUP($B24,KOMBI!$A:$ADS,MATCH(Tulem!BH$3,KOMBI!$A$1:$ADS$1,0),FALSE)</f>
        <v>#NUM!</v>
      </c>
      <c r="BI24" s="292" t="e">
        <f t="array" aca="1" ref="BI24" ca="1">VLOOKUP($B24,KOMBI!$A:$ADS,MATCH(Tulem!BI$3,KOMBI!$A$1:$ADS$1,0),FALSE)</f>
        <v>#NUM!</v>
      </c>
      <c r="BJ24" s="292" t="e">
        <f t="array" aca="1" ref="BJ24" ca="1">VLOOKUP($B24,KOMBI!$A:$ADS,MATCH(Tulem!BJ$3,KOMBI!$A$1:$ADS$1,0),FALSE)</f>
        <v>#NUM!</v>
      </c>
      <c r="BK24" s="292" t="e">
        <f t="array" aca="1" ref="BK24" ca="1">VLOOKUP($B24,KOMBI!$A:$ADS,MATCH(Tulem!BK$3,KOMBI!$A$1:$ADS$1,0),FALSE)</f>
        <v>#NUM!</v>
      </c>
      <c r="BL24" s="292" t="e">
        <f t="array" aca="1" ref="BL24" ca="1">VLOOKUP($B24,KOMBI!$A:$ADS,MATCH(Tulem!BL$3,KOMBI!$A$1:$ADS$1,0),FALSE)</f>
        <v>#NUM!</v>
      </c>
      <c r="BM24" s="292" t="e">
        <f t="array" aca="1" ref="BM24" ca="1">VLOOKUP($B24,KOMBI!$A:$ADS,MATCH(Tulem!BM$3,KOMBI!$A$1:$ADS$1,0),FALSE)</f>
        <v>#NUM!</v>
      </c>
      <c r="BN24" s="292" t="e">
        <f t="array" aca="1" ref="BN24" ca="1">VLOOKUP($B24,KOMBI!$A:$ADS,MATCH(Tulem!BN$3,KOMBI!$A$1:$ADS$1,0),FALSE)</f>
        <v>#NUM!</v>
      </c>
      <c r="BO24" s="292" t="e">
        <f t="array" aca="1" ref="BO24" ca="1">VLOOKUP($B24,KOMBI!$A:$ADS,MATCH(Tulem!BO$3,KOMBI!$A$1:$ADS$1,0),FALSE)</f>
        <v>#NUM!</v>
      </c>
      <c r="BP24" s="291"/>
      <c r="BQ24" s="292" t="e">
        <f t="array" aca="1" ref="BQ24" ca="1">VLOOKUP($B24,KOMBI!$A:$ADS,MATCH(Tulem!BQ$3,KOMBI!$A$1:$ADS$1,0),FALSE)</f>
        <v>#NUM!</v>
      </c>
      <c r="BR24" s="292" t="e">
        <f t="array" aca="1" ref="BR24" ca="1">VLOOKUP($B24,KOMBI!$A:$ADS,MATCH(Tulem!BR$3,KOMBI!$A$1:$ADS$1,0),FALSE)</f>
        <v>#NUM!</v>
      </c>
      <c r="BS24" s="292" t="e">
        <f t="array" aca="1" ref="BS24" ca="1">VLOOKUP($B24,KOMBI!$A:$ADS,MATCH(Tulem!BS$3,KOMBI!$A$1:$ADS$1,0),FALSE)</f>
        <v>#NUM!</v>
      </c>
      <c r="BT24" s="292" t="e">
        <f t="array" aca="1" ref="BT24" ca="1">VLOOKUP($B24,KOMBI!$A:$ADS,MATCH(Tulem!BT$3,KOMBI!$A$1:$ADS$1,0),FALSE)</f>
        <v>#NUM!</v>
      </c>
      <c r="BU24" s="292" t="e">
        <f t="array" aca="1" ref="BU24" ca="1">VLOOKUP($B24,KOMBI!$A:$ADS,MATCH(Tulem!BU$3,KOMBI!$A$1:$ADS$1,0),FALSE)</f>
        <v>#NUM!</v>
      </c>
      <c r="BV24" s="291"/>
      <c r="BW24" s="292" t="e">
        <f t="array" aca="1" ref="BW24" ca="1">VLOOKUP($B24,KOMBI!$A:$ADS,MATCH(Tulem!BW$3,KOMBI!$A$1:$ADS$1,0),FALSE)</f>
        <v>#NUM!</v>
      </c>
      <c r="BX24" s="291"/>
      <c r="BY24" s="291"/>
      <c r="BZ24" s="292" t="e">
        <f t="array" aca="1" ref="BZ24" ca="1">VLOOKUP($B24,KOMBI!$A:$ADS,MATCH(Tulem!BZ$3,KOMBI!$A$1:$ADS$1,0),FALSE)</f>
        <v>#NUM!</v>
      </c>
      <c r="CA24" s="292" t="e">
        <f t="array" aca="1" ref="CA24" ca="1">VLOOKUP($B24,KOMBI!$A:$ADS,MATCH(Tulem!CA$3,KOMBI!$A$1:$ADS$1,0),FALSE)</f>
        <v>#NUM!</v>
      </c>
      <c r="CB24" s="292" t="e">
        <f t="array" aca="1" ref="CB24" ca="1">VLOOKUP($B24,KOMBI!$A:$ADS,MATCH(Tulem!CB$3,KOMBI!$A$1:$ADS$1,0),FALSE)</f>
        <v>#NUM!</v>
      </c>
      <c r="CC24" s="292" t="e">
        <f t="array" aca="1" ref="CC24" ca="1">VLOOKUP($B24,KOMBI!$A:$ADS,MATCH(Tulem!CC$3,KOMBI!$A$1:$ADS$1,0),FALSE)</f>
        <v>#NUM!</v>
      </c>
      <c r="CD24" s="292" t="e">
        <f t="array" aca="1" ref="CD24" ca="1">VLOOKUP($B24,KOMBI!$A:$ADS,MATCH(Tulem!CD$3,KOMBI!$A$1:$ADS$1,0),FALSE)</f>
        <v>#NUM!</v>
      </c>
      <c r="CF24" s="51" t="e">
        <f ca="1">VLOOKUP($B24,KOMBI!$A:$ACG,MATCH(CF$5,KOMBI!$10:$10,0),FALSE)</f>
        <v>#NUM!</v>
      </c>
    </row>
    <row r="25" spans="1:84" s="51" customFormat="1" x14ac:dyDescent="0.2">
      <c r="A25" s="51">
        <v>20</v>
      </c>
      <c r="B25" s="51" t="e">
        <f ca="1">KOMBI!GI30</f>
        <v>#NUM!</v>
      </c>
      <c r="C25" s="51">
        <f t="shared" si="0"/>
        <v>20</v>
      </c>
      <c r="D25" s="290" t="e">
        <f ca="1">VLOOKUP(VLOOKUP($B25,KOMBI!$A:$H,3,FALSE),data!$I$27:$J$29,2,FALSE)</f>
        <v>#NUM!</v>
      </c>
      <c r="E25" s="290" t="e">
        <f ca="1">VLOOKUP(VLOOKUP($B25,KOMBI!$A:$H,2,FALSE),data!$I$21:$J$23,2,FALSE)</f>
        <v>#NUM!</v>
      </c>
      <c r="F25" s="290" t="e">
        <f ca="1">VLOOKUP(VLOOKUP($B25,KOMBI!$A:$H,5,FALSE),data!$I$39:$J$41,2,FALSE)</f>
        <v>#NUM!</v>
      </c>
      <c r="G25" s="290" t="e">
        <f ca="1">VLOOKUP(VLOOKUP($B25,KOMBI!$A:$H,4,FALSE),data!$I$32:$J$36,2,FALSE)</f>
        <v>#NUM!</v>
      </c>
      <c r="I25" s="51" t="e">
        <f ca="1">VLOOKUP($B25,KOMBI!$A:$Z,MATCH(I$5,KOMBI!$10:$10,0),FALSE)</f>
        <v>#NUM!</v>
      </c>
      <c r="J25" s="291" t="e">
        <f ca="1">VLOOKUP($B25,KOMBI!$A:$ADS,J$3,FALSE)</f>
        <v>#NUM!</v>
      </c>
      <c r="K25" s="291" t="e">
        <f ca="1">VLOOKUP($B25,KOMBI!$A:$ADS,K$3,FALSE)</f>
        <v>#NUM!</v>
      </c>
      <c r="L25" s="291" t="e">
        <f ca="1">VLOOKUP($B25,KOMBI!$A:$ADS,L$3,FALSE)</f>
        <v>#NUM!</v>
      </c>
      <c r="M25" s="291" t="e">
        <f ca="1">VLOOKUP($B25,KOMBI!$A:$ADS,M$3,FALSE)</f>
        <v>#NUM!</v>
      </c>
      <c r="N25" s="291" t="e">
        <f ca="1">VLOOKUP($B25,KOMBI!$A:$ADS,N$3,FALSE)</f>
        <v>#NUM!</v>
      </c>
      <c r="O25" s="291" t="e">
        <f ca="1">VLOOKUP($B25,KOMBI!$A:$ADS,O$3,FALSE)</f>
        <v>#NUM!</v>
      </c>
      <c r="P25" s="291" t="e">
        <f ca="1">VLOOKUP($B25,KOMBI!$A:$ADS,P$3,FALSE)</f>
        <v>#NUM!</v>
      </c>
      <c r="Q25" s="292" t="e">
        <f t="array" aca="1" ref="Q25" ca="1">VLOOKUP($B25,KOMBI!$A:$ADS,MATCH(Tulem!Q$3,KOMBI!$A$1:$ADS$1,0),FALSE)</f>
        <v>#NUM!</v>
      </c>
      <c r="S25" s="332" t="e">
        <f t="array" aca="1" ref="S25" ca="1">VLOOKUP($B25,KOMBI!$A:$ADS,MATCH(Tulem!S$3,KOMBI!$A$1:$ADS$1,0),FALSE)</f>
        <v>#NUM!</v>
      </c>
      <c r="T25" s="293" t="e">
        <f ca="1">VLOOKUP($B25,KOMBI!$A:$ADS,T$3,FALSE)</f>
        <v>#NUM!</v>
      </c>
      <c r="U25" s="293" t="e">
        <f ca="1">VLOOKUP($B25,KOMBI!$A:$ADS,U$3,FALSE)</f>
        <v>#NUM!</v>
      </c>
      <c r="V25" s="293" t="e">
        <f ca="1">VLOOKUP($B25,KOMBI!$A:$ADS,V$3,FALSE)</f>
        <v>#NUM!</v>
      </c>
      <c r="W25" s="293"/>
      <c r="X25" s="293" t="e">
        <f ca="1">VLOOKUP($B25,KOMBI!$A:$ADS,X$3,FALSE)</f>
        <v>#NUM!</v>
      </c>
      <c r="Y25" s="293" t="e">
        <f ca="1">VLOOKUP($B25,KOMBI!$A:$ADS,Y$3,FALSE)</f>
        <v>#NUM!</v>
      </c>
      <c r="Z25" s="293" t="e">
        <f ca="1">VLOOKUP($B25,KOMBI!$A:$ADS,Z$3,FALSE)</f>
        <v>#NUM!</v>
      </c>
      <c r="AA25" s="293"/>
      <c r="AB25" s="293" t="e">
        <f ca="1">VLOOKUP($B25,KOMBI!$A:$ADS,AB$3,FALSE)</f>
        <v>#NUM!</v>
      </c>
      <c r="AC25" s="293" t="e">
        <f ca="1">VLOOKUP($B25,KOMBI!$A:$ADS,AC$3,FALSE)-AB25</f>
        <v>#NUM!</v>
      </c>
      <c r="AD25" s="293" t="e">
        <f ca="1">VLOOKUP($B25,KOMBI!$A:$ADS,AD$3,FALSE)</f>
        <v>#NUM!</v>
      </c>
      <c r="AE25" s="293" t="e">
        <f ca="1">VLOOKUP($B25,KOMBI!$A:$ADS,AE$3,FALSE)</f>
        <v>#NUM!</v>
      </c>
      <c r="AF25" s="293" t="e">
        <f ca="1">VLOOKUP($B25,KOMBI!$A:$ADS,AF$3,FALSE)-AE25</f>
        <v>#NUM!</v>
      </c>
      <c r="AG25" s="293" t="e">
        <f ca="1">VLOOKUP($B25,KOMBI!$A:$ADS,AG$3,FALSE)</f>
        <v>#NUM!</v>
      </c>
      <c r="AI25" s="293" t="e">
        <f t="array" aca="1" ref="AI25" ca="1">VLOOKUP($B25,KOMBI!$A:$ADS,MATCH(Tulem!AI$3,KOMBI!$A$1:$ADS$1,0),FALSE)</f>
        <v>#NUM!</v>
      </c>
      <c r="AJ25" s="293" t="e">
        <f t="array" aca="1" ref="AJ25" ca="1">VLOOKUP($B25,KOMBI!$A:$ADS,MATCH(Tulem!AJ$3,KOMBI!$A$1:$ADS$1,0),FALSE)</f>
        <v>#NUM!</v>
      </c>
      <c r="AK25" s="293" t="e">
        <f t="array" aca="1" ref="AK25" ca="1">VLOOKUP($B25,KOMBI!$A:$ADS,MATCH(Tulem!AK$3,KOMBI!$A$1:$ADS$1,0),FALSE)</f>
        <v>#NUM!</v>
      </c>
      <c r="AL25" s="293" t="e">
        <f t="array" aca="1" ref="AL25" ca="1">VLOOKUP($B25,KOMBI!$A:$ADS,MATCH(Tulem!AL$3,KOMBI!$A$1:$ADS$1,0),FALSE)</f>
        <v>#NUM!</v>
      </c>
      <c r="AM25" s="293" t="e">
        <f t="array" aca="1" ref="AM25" ca="1">VLOOKUP($B25,KOMBI!$A:$ADS,MATCH(Tulem!AM$3,KOMBI!$A$1:$ADS$1,0),FALSE)</f>
        <v>#NUM!</v>
      </c>
      <c r="AN25" s="293" t="e">
        <f t="array" aca="1" ref="AN25" ca="1">VLOOKUP($B25,KOMBI!$A:$ADS,MATCH(Tulem!AN$3,KOMBI!$A$1:$ADS$1,0),FALSE)</f>
        <v>#NUM!</v>
      </c>
      <c r="AO25" s="293" t="e">
        <f t="array" aca="1" ref="AO25" ca="1">VLOOKUP($B25,KOMBI!$A:$ADS,MATCH(Tulem!AO$3,KOMBI!$A$1:$ADS$1,0),FALSE)</f>
        <v>#NUM!</v>
      </c>
      <c r="AP25" s="293" t="e">
        <f t="array" aca="1" ref="AP25" ca="1">VLOOKUP($B25,KOMBI!$A:$ADS,MATCH(Tulem!AP$3,KOMBI!$A$1:$ADS$1,0),FALSE)</f>
        <v>#NUM!</v>
      </c>
      <c r="AQ25" s="293" t="e">
        <f t="array" aca="1" ref="AQ25" ca="1">VLOOKUP($B25,KOMBI!$A:$ADS,MATCH(Tulem!AQ$3,KOMBI!$A$1:$ADS$1,0),FALSE)</f>
        <v>#NUM!</v>
      </c>
      <c r="AR25" s="293" t="e">
        <f t="array" aca="1" ref="AR25" ca="1">VLOOKUP($B25,KOMBI!$A:$ADS,MATCH(Tulem!AR$3,KOMBI!$A$1:$ADS$1,0),FALSE)</f>
        <v>#NUM!</v>
      </c>
      <c r="AS25" s="293" t="e">
        <f t="array" aca="1" ref="AS25" ca="1">VLOOKUP($B25,KOMBI!$A:$ADS,MATCH(Tulem!AS$3,KOMBI!$A$1:$ADS$1,0),FALSE)</f>
        <v>#NUM!</v>
      </c>
      <c r="AT25" s="293" t="e">
        <f t="array" aca="1" ref="AT25" ca="1">VLOOKUP($B25,KOMBI!$A:$ADS,MATCH(Tulem!AT$3,KOMBI!$A$1:$ADS$1,0),FALSE)</f>
        <v>#NUM!</v>
      </c>
      <c r="AU25" s="293" t="e">
        <f t="array" aca="1" ref="AU25" ca="1">VLOOKUP($B25,KOMBI!$A:$ADS,MATCH(Tulem!AU$3,KOMBI!$A$1:$ADS$1,0),FALSE)</f>
        <v>#NUM!</v>
      </c>
      <c r="AV25" s="293" t="e">
        <f t="shared" ca="1" si="1"/>
        <v>#NUM!</v>
      </c>
      <c r="AW25" s="293" t="e">
        <f t="shared" ca="1" si="2"/>
        <v>#NUM!</v>
      </c>
      <c r="AX25" s="291" t="e">
        <f ca="1">VLOOKUP($B25,KOMBI!$A:$ACA,MATCH(AX$5,KOMBI!$10:$10,0),FALSE)</f>
        <v>#NUM!</v>
      </c>
      <c r="AY25" s="292" t="e">
        <f t="array" aca="1" ref="AY25" ca="1">VLOOKUP($B25,KOMBI!$A:$ADS,MATCH(Tulem!AY$3,KOMBI!$A$1:$ADS$1,0),FALSE)</f>
        <v>#NUM!</v>
      </c>
      <c r="AZ25" s="292" t="e">
        <f t="array" aca="1" ref="AZ25" ca="1">VLOOKUP($B25,KOMBI!$A:$ADS,MATCH(Tulem!AZ$3,KOMBI!$A$1:$ADS$1,0),FALSE)</f>
        <v>#NUM!</v>
      </c>
      <c r="BA25" s="292" t="e">
        <f t="array" aca="1" ref="BA25" ca="1">VLOOKUP($B25,KOMBI!$A:$ADS,MATCH(Tulem!BA$3,KOMBI!$A$1:$ADS$1,0),FALSE)</f>
        <v>#NUM!</v>
      </c>
      <c r="BB25" s="292" t="e">
        <f t="array" aca="1" ref="BB25" ca="1">VLOOKUP($B25,KOMBI!$A:$ADS,MATCH(Tulem!BB$3,KOMBI!$A$1:$ADS$1,0),FALSE)</f>
        <v>#NUM!</v>
      </c>
      <c r="BC25" s="292" t="e">
        <f t="array" aca="1" ref="BC25" ca="1">VLOOKUP($B25,KOMBI!$A:$ADS,MATCH(Tulem!BC$3,KOMBI!$A$1:$ADS$1,0),FALSE)</f>
        <v>#NUM!</v>
      </c>
      <c r="BD25" s="292" t="e">
        <f t="array" aca="1" ref="BD25" ca="1">VLOOKUP($B25,KOMBI!$A:$ADS,MATCH(Tulem!BD$3,KOMBI!$A$1:$ADS$1,0),FALSE)</f>
        <v>#NUM!</v>
      </c>
      <c r="BE25" s="292" t="e">
        <f t="array" aca="1" ref="BE25" ca="1">VLOOKUP($B25,KOMBI!$A:$ADS,MATCH(Tulem!BE$3,KOMBI!$A$1:$ADS$1,0),FALSE)</f>
        <v>#NUM!</v>
      </c>
      <c r="BF25" s="292" t="e">
        <f t="array" aca="1" ref="BF25" ca="1">VLOOKUP($B25,KOMBI!$A:$ADS,MATCH(Tulem!BF$3,KOMBI!$A$1:$ADS$1,0),FALSE)</f>
        <v>#NUM!</v>
      </c>
      <c r="BG25" s="292" t="e">
        <f t="array" aca="1" ref="BG25" ca="1">VLOOKUP($B25,KOMBI!$A:$ADS,MATCH(Tulem!BG$3,KOMBI!$A$1:$ADS$1,0),FALSE)</f>
        <v>#NUM!</v>
      </c>
      <c r="BH25" s="292" t="e">
        <f t="array" aca="1" ref="BH25" ca="1">VLOOKUP($B25,KOMBI!$A:$ADS,MATCH(Tulem!BH$3,KOMBI!$A$1:$ADS$1,0),FALSE)</f>
        <v>#NUM!</v>
      </c>
      <c r="BI25" s="292" t="e">
        <f t="array" aca="1" ref="BI25" ca="1">VLOOKUP($B25,KOMBI!$A:$ADS,MATCH(Tulem!BI$3,KOMBI!$A$1:$ADS$1,0),FALSE)</f>
        <v>#NUM!</v>
      </c>
      <c r="BJ25" s="292" t="e">
        <f t="array" aca="1" ref="BJ25" ca="1">VLOOKUP($B25,KOMBI!$A:$ADS,MATCH(Tulem!BJ$3,KOMBI!$A$1:$ADS$1,0),FALSE)</f>
        <v>#NUM!</v>
      </c>
      <c r="BK25" s="292" t="e">
        <f t="array" aca="1" ref="BK25" ca="1">VLOOKUP($B25,KOMBI!$A:$ADS,MATCH(Tulem!BK$3,KOMBI!$A$1:$ADS$1,0),FALSE)</f>
        <v>#NUM!</v>
      </c>
      <c r="BL25" s="292" t="e">
        <f t="array" aca="1" ref="BL25" ca="1">VLOOKUP($B25,KOMBI!$A:$ADS,MATCH(Tulem!BL$3,KOMBI!$A$1:$ADS$1,0),FALSE)</f>
        <v>#NUM!</v>
      </c>
      <c r="BM25" s="292" t="e">
        <f t="array" aca="1" ref="BM25" ca="1">VLOOKUP($B25,KOMBI!$A:$ADS,MATCH(Tulem!BM$3,KOMBI!$A$1:$ADS$1,0),FALSE)</f>
        <v>#NUM!</v>
      </c>
      <c r="BN25" s="292" t="e">
        <f t="array" aca="1" ref="BN25" ca="1">VLOOKUP($B25,KOMBI!$A:$ADS,MATCH(Tulem!BN$3,KOMBI!$A$1:$ADS$1,0),FALSE)</f>
        <v>#NUM!</v>
      </c>
      <c r="BO25" s="292" t="e">
        <f t="array" aca="1" ref="BO25" ca="1">VLOOKUP($B25,KOMBI!$A:$ADS,MATCH(Tulem!BO$3,KOMBI!$A$1:$ADS$1,0),FALSE)</f>
        <v>#NUM!</v>
      </c>
      <c r="BP25" s="291"/>
      <c r="BQ25" s="292" t="e">
        <f t="array" aca="1" ref="BQ25" ca="1">VLOOKUP($B25,KOMBI!$A:$ADS,MATCH(Tulem!BQ$3,KOMBI!$A$1:$ADS$1,0),FALSE)</f>
        <v>#NUM!</v>
      </c>
      <c r="BR25" s="292" t="e">
        <f t="array" aca="1" ref="BR25" ca="1">VLOOKUP($B25,KOMBI!$A:$ADS,MATCH(Tulem!BR$3,KOMBI!$A$1:$ADS$1,0),FALSE)</f>
        <v>#NUM!</v>
      </c>
      <c r="BS25" s="292" t="e">
        <f t="array" aca="1" ref="BS25" ca="1">VLOOKUP($B25,KOMBI!$A:$ADS,MATCH(Tulem!BS$3,KOMBI!$A$1:$ADS$1,0),FALSE)</f>
        <v>#NUM!</v>
      </c>
      <c r="BT25" s="292" t="e">
        <f t="array" aca="1" ref="BT25" ca="1">VLOOKUP($B25,KOMBI!$A:$ADS,MATCH(Tulem!BT$3,KOMBI!$A$1:$ADS$1,0),FALSE)</f>
        <v>#NUM!</v>
      </c>
      <c r="BU25" s="292" t="e">
        <f t="array" aca="1" ref="BU25" ca="1">VLOOKUP($B25,KOMBI!$A:$ADS,MATCH(Tulem!BU$3,KOMBI!$A$1:$ADS$1,0),FALSE)</f>
        <v>#NUM!</v>
      </c>
      <c r="BV25" s="291"/>
      <c r="BW25" s="292" t="e">
        <f t="array" aca="1" ref="BW25" ca="1">VLOOKUP($B25,KOMBI!$A:$ADS,MATCH(Tulem!BW$3,KOMBI!$A$1:$ADS$1,0),FALSE)</f>
        <v>#NUM!</v>
      </c>
      <c r="BX25" s="291"/>
      <c r="BY25" s="291"/>
      <c r="BZ25" s="292" t="e">
        <f t="array" aca="1" ref="BZ25" ca="1">VLOOKUP($B25,KOMBI!$A:$ADS,MATCH(Tulem!BZ$3,KOMBI!$A$1:$ADS$1,0),FALSE)</f>
        <v>#NUM!</v>
      </c>
      <c r="CA25" s="292" t="e">
        <f t="array" aca="1" ref="CA25" ca="1">VLOOKUP($B25,KOMBI!$A:$ADS,MATCH(Tulem!CA$3,KOMBI!$A$1:$ADS$1,0),FALSE)</f>
        <v>#NUM!</v>
      </c>
      <c r="CB25" s="292" t="e">
        <f t="array" aca="1" ref="CB25" ca="1">VLOOKUP($B25,KOMBI!$A:$ADS,MATCH(Tulem!CB$3,KOMBI!$A$1:$ADS$1,0),FALSE)</f>
        <v>#NUM!</v>
      </c>
      <c r="CC25" s="292" t="e">
        <f t="array" aca="1" ref="CC25" ca="1">VLOOKUP($B25,KOMBI!$A:$ADS,MATCH(Tulem!CC$3,KOMBI!$A$1:$ADS$1,0),FALSE)</f>
        <v>#NUM!</v>
      </c>
      <c r="CD25" s="292" t="e">
        <f t="array" aca="1" ref="CD25" ca="1">VLOOKUP($B25,KOMBI!$A:$ADS,MATCH(Tulem!CD$3,KOMBI!$A$1:$ADS$1,0),FALSE)</f>
        <v>#NUM!</v>
      </c>
      <c r="CF25" s="51" t="e">
        <f ca="1">VLOOKUP($B25,KOMBI!$A:$ACG,MATCH(CF$5,KOMBI!$10:$10,0),FALSE)</f>
        <v>#NUM!</v>
      </c>
    </row>
    <row r="26" spans="1:84" x14ac:dyDescent="0.2">
      <c r="A26" s="51">
        <v>21</v>
      </c>
      <c r="B26" s="51" t="e">
        <f ca="1">KOMBI!GI31</f>
        <v>#NUM!</v>
      </c>
      <c r="C26" s="51">
        <f t="shared" si="0"/>
        <v>21</v>
      </c>
      <c r="D26" s="290" t="e">
        <f ca="1">VLOOKUP(VLOOKUP($B26,KOMBI!$A:$H,3,FALSE),data!$I$27:$J$29,2,FALSE)</f>
        <v>#NUM!</v>
      </c>
      <c r="E26" s="290" t="e">
        <f ca="1">VLOOKUP(VLOOKUP($B26,KOMBI!$A:$H,2,FALSE),data!$I$21:$J$23,2,FALSE)</f>
        <v>#NUM!</v>
      </c>
      <c r="F26" s="290" t="e">
        <f ca="1">VLOOKUP(VLOOKUP($B26,KOMBI!$A:$H,5,FALSE),data!$I$39:$J$41,2,FALSE)</f>
        <v>#NUM!</v>
      </c>
      <c r="G26" s="290" t="e">
        <f ca="1">VLOOKUP(VLOOKUP($B26,KOMBI!$A:$H,4,FALSE),data!$I$32:$J$36,2,FALSE)</f>
        <v>#NUM!</v>
      </c>
      <c r="I26" s="51" t="e">
        <f ca="1">VLOOKUP($B26,KOMBI!$A:$Z,MATCH(I$5,KOMBI!$10:$10,0),FALSE)</f>
        <v>#NUM!</v>
      </c>
      <c r="J26" s="291" t="e">
        <f ca="1">VLOOKUP($B26,KOMBI!$A:$ADS,J$3,FALSE)</f>
        <v>#NUM!</v>
      </c>
      <c r="K26" s="291" t="e">
        <f ca="1">VLOOKUP($B26,KOMBI!$A:$ADS,K$3,FALSE)</f>
        <v>#NUM!</v>
      </c>
      <c r="L26" s="291" t="e">
        <f ca="1">VLOOKUP($B26,KOMBI!$A:$ADS,L$3,FALSE)</f>
        <v>#NUM!</v>
      </c>
      <c r="M26" s="291" t="e">
        <f ca="1">VLOOKUP($B26,KOMBI!$A:$ADS,M$3,FALSE)</f>
        <v>#NUM!</v>
      </c>
      <c r="N26" s="291" t="e">
        <f ca="1">VLOOKUP($B26,KOMBI!$A:$ADS,N$3,FALSE)</f>
        <v>#NUM!</v>
      </c>
      <c r="O26" s="291" t="e">
        <f ca="1">VLOOKUP($B26,KOMBI!$A:$ADS,O$3,FALSE)</f>
        <v>#NUM!</v>
      </c>
      <c r="P26" s="291" t="e">
        <f ca="1">VLOOKUP($B26,KOMBI!$A:$ADS,P$3,FALSE)</f>
        <v>#NUM!</v>
      </c>
      <c r="Q26" s="292" t="e">
        <f t="array" aca="1" ref="Q26" ca="1">VLOOKUP($B26,KOMBI!$A:$ADS,MATCH(Tulem!Q$3,KOMBI!$A$1:$ADS$1,0),FALSE)</f>
        <v>#NUM!</v>
      </c>
      <c r="S26" s="332" t="e">
        <f t="array" aca="1" ref="S26" ca="1">VLOOKUP($B26,KOMBI!$A:$ADS,MATCH(Tulem!S$3,KOMBI!$A$1:$ADS$1,0),FALSE)</f>
        <v>#NUM!</v>
      </c>
      <c r="T26" s="293" t="e">
        <f ca="1">VLOOKUP($B26,KOMBI!$A:$ADS,T$3,FALSE)</f>
        <v>#NUM!</v>
      </c>
      <c r="U26" s="293" t="e">
        <f ca="1">VLOOKUP($B26,KOMBI!$A:$ADS,U$3,FALSE)</f>
        <v>#NUM!</v>
      </c>
      <c r="V26" s="293" t="e">
        <f ca="1">VLOOKUP($B26,KOMBI!$A:$ADS,V$3,FALSE)</f>
        <v>#NUM!</v>
      </c>
      <c r="W26" s="293"/>
      <c r="X26" s="293" t="e">
        <f ca="1">VLOOKUP($B26,KOMBI!$A:$ADS,X$3,FALSE)</f>
        <v>#NUM!</v>
      </c>
      <c r="Y26" s="293" t="e">
        <f ca="1">VLOOKUP($B26,KOMBI!$A:$ADS,Y$3,FALSE)</f>
        <v>#NUM!</v>
      </c>
      <c r="Z26" s="293" t="e">
        <f ca="1">VLOOKUP($B26,KOMBI!$A:$ADS,Z$3,FALSE)</f>
        <v>#NUM!</v>
      </c>
      <c r="AA26" s="294"/>
      <c r="AB26" s="293" t="e">
        <f ca="1">VLOOKUP($B26,KOMBI!$A:$ADS,AB$3,FALSE)</f>
        <v>#NUM!</v>
      </c>
      <c r="AC26" s="293" t="e">
        <f ca="1">VLOOKUP($B26,KOMBI!$A:$ADS,AC$3,FALSE)-AB26</f>
        <v>#NUM!</v>
      </c>
      <c r="AD26" s="293" t="e">
        <f ca="1">VLOOKUP($B26,KOMBI!$A:$ADS,AD$3,FALSE)</f>
        <v>#NUM!</v>
      </c>
      <c r="AE26" s="293" t="e">
        <f ca="1">VLOOKUP($B26,KOMBI!$A:$ADS,AE$3,FALSE)</f>
        <v>#NUM!</v>
      </c>
      <c r="AF26" s="293" t="e">
        <f ca="1">VLOOKUP($B26,KOMBI!$A:$ADS,AF$3,FALSE)-AE26</f>
        <v>#NUM!</v>
      </c>
      <c r="AG26" s="293" t="e">
        <f ca="1">VLOOKUP($B26,KOMBI!$A:$ADS,AG$3,FALSE)</f>
        <v>#NUM!</v>
      </c>
      <c r="AI26" s="293" t="e">
        <f t="array" aca="1" ref="AI26" ca="1">VLOOKUP($B26,KOMBI!$A:$ADS,MATCH(Tulem!AI$3,KOMBI!$A$1:$ADS$1,0),FALSE)</f>
        <v>#NUM!</v>
      </c>
      <c r="AJ26" s="293" t="e">
        <f t="array" aca="1" ref="AJ26" ca="1">VLOOKUP($B26,KOMBI!$A:$ADS,MATCH(Tulem!AJ$3,KOMBI!$A$1:$ADS$1,0),FALSE)</f>
        <v>#NUM!</v>
      </c>
      <c r="AK26" s="293" t="e">
        <f t="array" aca="1" ref="AK26" ca="1">VLOOKUP($B26,KOMBI!$A:$ADS,MATCH(Tulem!AK$3,KOMBI!$A$1:$ADS$1,0),FALSE)</f>
        <v>#NUM!</v>
      </c>
      <c r="AL26" s="293" t="e">
        <f t="array" aca="1" ref="AL26" ca="1">VLOOKUP($B26,KOMBI!$A:$ADS,MATCH(Tulem!AL$3,KOMBI!$A$1:$ADS$1,0),FALSE)</f>
        <v>#NUM!</v>
      </c>
      <c r="AM26" s="293" t="e">
        <f t="array" aca="1" ref="AM26" ca="1">VLOOKUP($B26,KOMBI!$A:$ADS,MATCH(Tulem!AM$3,KOMBI!$A$1:$ADS$1,0),FALSE)</f>
        <v>#NUM!</v>
      </c>
      <c r="AN26" s="293" t="e">
        <f t="array" aca="1" ref="AN26" ca="1">VLOOKUP($B26,KOMBI!$A:$ADS,MATCH(Tulem!AN$3,KOMBI!$A$1:$ADS$1,0),FALSE)</f>
        <v>#NUM!</v>
      </c>
      <c r="AO26" s="293" t="e">
        <f t="array" aca="1" ref="AO26" ca="1">VLOOKUP($B26,KOMBI!$A:$ADS,MATCH(Tulem!AO$3,KOMBI!$A$1:$ADS$1,0),FALSE)</f>
        <v>#NUM!</v>
      </c>
      <c r="AP26" s="293" t="e">
        <f t="array" aca="1" ref="AP26" ca="1">VLOOKUP($B26,KOMBI!$A:$ADS,MATCH(Tulem!AP$3,KOMBI!$A$1:$ADS$1,0),FALSE)</f>
        <v>#NUM!</v>
      </c>
      <c r="AQ26" s="293" t="e">
        <f t="array" aca="1" ref="AQ26" ca="1">VLOOKUP($B26,KOMBI!$A:$ADS,MATCH(Tulem!AQ$3,KOMBI!$A$1:$ADS$1,0),FALSE)</f>
        <v>#NUM!</v>
      </c>
      <c r="AR26" s="293" t="e">
        <f t="array" aca="1" ref="AR26" ca="1">VLOOKUP($B26,KOMBI!$A:$ADS,MATCH(Tulem!AR$3,KOMBI!$A$1:$ADS$1,0),FALSE)</f>
        <v>#NUM!</v>
      </c>
      <c r="AS26" s="293" t="e">
        <f t="array" aca="1" ref="AS26" ca="1">VLOOKUP($B26,KOMBI!$A:$ADS,MATCH(Tulem!AS$3,KOMBI!$A$1:$ADS$1,0),FALSE)</f>
        <v>#NUM!</v>
      </c>
      <c r="AT26" s="293" t="e">
        <f t="array" aca="1" ref="AT26" ca="1">VLOOKUP($B26,KOMBI!$A:$ADS,MATCH(Tulem!AT$3,KOMBI!$A$1:$ADS$1,0),FALSE)</f>
        <v>#NUM!</v>
      </c>
      <c r="AU26" s="293" t="e">
        <f t="array" aca="1" ref="AU26" ca="1">VLOOKUP($B26,KOMBI!$A:$ADS,MATCH(Tulem!AU$3,KOMBI!$A$1:$ADS$1,0),FALSE)</f>
        <v>#NUM!</v>
      </c>
      <c r="AV26" s="293" t="e">
        <f t="shared" ca="1" si="1"/>
        <v>#NUM!</v>
      </c>
      <c r="AW26" s="293" t="e">
        <f t="shared" ca="1" si="2"/>
        <v>#NUM!</v>
      </c>
      <c r="AX26" s="291" t="e">
        <f ca="1">VLOOKUP($B26,KOMBI!$A:$ACA,MATCH(AX$5,KOMBI!$10:$10,0),FALSE)</f>
        <v>#NUM!</v>
      </c>
      <c r="AY26" s="292" t="e">
        <f t="array" aca="1" ref="AY26" ca="1">VLOOKUP($B26,KOMBI!$A:$ADS,MATCH(Tulem!AY$3,KOMBI!$A$1:$ADS$1,0),FALSE)</f>
        <v>#NUM!</v>
      </c>
      <c r="AZ26" s="292" t="e">
        <f t="array" aca="1" ref="AZ26" ca="1">VLOOKUP($B26,KOMBI!$A:$ADS,MATCH(Tulem!AZ$3,KOMBI!$A$1:$ADS$1,0),FALSE)</f>
        <v>#NUM!</v>
      </c>
      <c r="BA26" s="292" t="e">
        <f t="array" aca="1" ref="BA26" ca="1">VLOOKUP($B26,KOMBI!$A:$ADS,MATCH(Tulem!BA$3,KOMBI!$A$1:$ADS$1,0),FALSE)</f>
        <v>#NUM!</v>
      </c>
      <c r="BB26" s="292" t="e">
        <f t="array" aca="1" ref="BB26" ca="1">VLOOKUP($B26,KOMBI!$A:$ADS,MATCH(Tulem!BB$3,KOMBI!$A$1:$ADS$1,0),FALSE)</f>
        <v>#NUM!</v>
      </c>
      <c r="BC26" s="292" t="e">
        <f t="array" aca="1" ref="BC26" ca="1">VLOOKUP($B26,KOMBI!$A:$ADS,MATCH(Tulem!BC$3,KOMBI!$A$1:$ADS$1,0),FALSE)</f>
        <v>#NUM!</v>
      </c>
      <c r="BD26" s="292" t="e">
        <f t="array" aca="1" ref="BD26" ca="1">VLOOKUP($B26,KOMBI!$A:$ADS,MATCH(Tulem!BD$3,KOMBI!$A$1:$ADS$1,0),FALSE)</f>
        <v>#NUM!</v>
      </c>
      <c r="BE26" s="292" t="e">
        <f t="array" aca="1" ref="BE26" ca="1">VLOOKUP($B26,KOMBI!$A:$ADS,MATCH(Tulem!BE$3,KOMBI!$A$1:$ADS$1,0),FALSE)</f>
        <v>#NUM!</v>
      </c>
      <c r="BF26" s="292" t="e">
        <f t="array" aca="1" ref="BF26" ca="1">VLOOKUP($B26,KOMBI!$A:$ADS,MATCH(Tulem!BF$3,KOMBI!$A$1:$ADS$1,0),FALSE)</f>
        <v>#NUM!</v>
      </c>
      <c r="BG26" s="292" t="e">
        <f t="array" aca="1" ref="BG26" ca="1">VLOOKUP($B26,KOMBI!$A:$ADS,MATCH(Tulem!BG$3,KOMBI!$A$1:$ADS$1,0),FALSE)</f>
        <v>#NUM!</v>
      </c>
      <c r="BH26" s="292" t="e">
        <f t="array" aca="1" ref="BH26" ca="1">VLOOKUP($B26,KOMBI!$A:$ADS,MATCH(Tulem!BH$3,KOMBI!$A$1:$ADS$1,0),FALSE)</f>
        <v>#NUM!</v>
      </c>
      <c r="BI26" s="292" t="e">
        <f t="array" aca="1" ref="BI26" ca="1">VLOOKUP($B26,KOMBI!$A:$ADS,MATCH(Tulem!BI$3,KOMBI!$A$1:$ADS$1,0),FALSE)</f>
        <v>#NUM!</v>
      </c>
      <c r="BJ26" s="292" t="e">
        <f t="array" aca="1" ref="BJ26" ca="1">VLOOKUP($B26,KOMBI!$A:$ADS,MATCH(Tulem!BJ$3,KOMBI!$A$1:$ADS$1,0),FALSE)</f>
        <v>#NUM!</v>
      </c>
      <c r="BK26" s="292" t="e">
        <f t="array" aca="1" ref="BK26" ca="1">VLOOKUP($B26,KOMBI!$A:$ADS,MATCH(Tulem!BK$3,KOMBI!$A$1:$ADS$1,0),FALSE)</f>
        <v>#NUM!</v>
      </c>
      <c r="BL26" s="292" t="e">
        <f t="array" aca="1" ref="BL26" ca="1">VLOOKUP($B26,KOMBI!$A:$ADS,MATCH(Tulem!BL$3,KOMBI!$A$1:$ADS$1,0),FALSE)</f>
        <v>#NUM!</v>
      </c>
      <c r="BM26" s="292" t="e">
        <f t="array" aca="1" ref="BM26" ca="1">VLOOKUP($B26,KOMBI!$A:$ADS,MATCH(Tulem!BM$3,KOMBI!$A$1:$ADS$1,0),FALSE)</f>
        <v>#NUM!</v>
      </c>
      <c r="BN26" s="292" t="e">
        <f t="array" aca="1" ref="BN26" ca="1">VLOOKUP($B26,KOMBI!$A:$ADS,MATCH(Tulem!BN$3,KOMBI!$A$1:$ADS$1,0),FALSE)</f>
        <v>#NUM!</v>
      </c>
      <c r="BO26" s="292" t="e">
        <f t="array" aca="1" ref="BO26" ca="1">VLOOKUP($B26,KOMBI!$A:$ADS,MATCH(Tulem!BO$3,KOMBI!$A$1:$ADS$1,0),FALSE)</f>
        <v>#NUM!</v>
      </c>
      <c r="BP26" s="291"/>
      <c r="BQ26" s="292" t="e">
        <f t="array" aca="1" ref="BQ26" ca="1">VLOOKUP($B26,KOMBI!$A:$ADS,MATCH(Tulem!BQ$3,KOMBI!$A$1:$ADS$1,0),FALSE)</f>
        <v>#NUM!</v>
      </c>
      <c r="BR26" s="292" t="e">
        <f t="array" aca="1" ref="BR26" ca="1">VLOOKUP($B26,KOMBI!$A:$ADS,MATCH(Tulem!BR$3,KOMBI!$A$1:$ADS$1,0),FALSE)</f>
        <v>#NUM!</v>
      </c>
      <c r="BS26" s="292" t="e">
        <f t="array" aca="1" ref="BS26" ca="1">VLOOKUP($B26,KOMBI!$A:$ADS,MATCH(Tulem!BS$3,KOMBI!$A$1:$ADS$1,0),FALSE)</f>
        <v>#NUM!</v>
      </c>
      <c r="BT26" s="292" t="e">
        <f t="array" aca="1" ref="BT26" ca="1">VLOOKUP($B26,KOMBI!$A:$ADS,MATCH(Tulem!BT$3,KOMBI!$A$1:$ADS$1,0),FALSE)</f>
        <v>#NUM!</v>
      </c>
      <c r="BU26" s="292" t="e">
        <f t="array" aca="1" ref="BU26" ca="1">VLOOKUP($B26,KOMBI!$A:$ADS,MATCH(Tulem!BU$3,KOMBI!$A$1:$ADS$1,0),FALSE)</f>
        <v>#NUM!</v>
      </c>
      <c r="BV26" s="291"/>
      <c r="BW26" s="292" t="e">
        <f t="array" aca="1" ref="BW26" ca="1">VLOOKUP($B26,KOMBI!$A:$ADS,MATCH(Tulem!BW$3,KOMBI!$A$1:$ADS$1,0),FALSE)</f>
        <v>#NUM!</v>
      </c>
      <c r="BX26" s="291"/>
      <c r="BY26" s="291"/>
      <c r="BZ26" s="292" t="e">
        <f t="array" aca="1" ref="BZ26" ca="1">VLOOKUP($B26,KOMBI!$A:$ADS,MATCH(Tulem!BZ$3,KOMBI!$A$1:$ADS$1,0),FALSE)</f>
        <v>#NUM!</v>
      </c>
      <c r="CA26" s="292" t="e">
        <f t="array" aca="1" ref="CA26" ca="1">VLOOKUP($B26,KOMBI!$A:$ADS,MATCH(Tulem!CA$3,KOMBI!$A$1:$ADS$1,0),FALSE)</f>
        <v>#NUM!</v>
      </c>
      <c r="CB26" s="292" t="e">
        <f t="array" aca="1" ref="CB26" ca="1">VLOOKUP($B26,KOMBI!$A:$ADS,MATCH(Tulem!CB$3,KOMBI!$A$1:$ADS$1,0),FALSE)</f>
        <v>#NUM!</v>
      </c>
      <c r="CC26" s="292" t="e">
        <f t="array" aca="1" ref="CC26" ca="1">VLOOKUP($B26,KOMBI!$A:$ADS,MATCH(Tulem!CC$3,KOMBI!$A$1:$ADS$1,0),FALSE)</f>
        <v>#NUM!</v>
      </c>
      <c r="CD26" s="292" t="e">
        <f t="array" aca="1" ref="CD26" ca="1">VLOOKUP($B26,KOMBI!$A:$ADS,MATCH(Tulem!CD$3,KOMBI!$A$1:$ADS$1,0),FALSE)</f>
        <v>#NUM!</v>
      </c>
      <c r="CF26" s="51" t="e">
        <f ca="1">VLOOKUP($B26,KOMBI!$A:$ACG,MATCH(CF$5,KOMBI!$10:$10,0),FALSE)</f>
        <v>#NUM!</v>
      </c>
    </row>
    <row r="27" spans="1:84" x14ac:dyDescent="0.2">
      <c r="A27" s="51">
        <v>22</v>
      </c>
      <c r="B27" s="51" t="e">
        <f ca="1">KOMBI!GI32</f>
        <v>#NUM!</v>
      </c>
      <c r="C27" s="51">
        <f t="shared" si="0"/>
        <v>22</v>
      </c>
      <c r="D27" s="290" t="e">
        <f ca="1">VLOOKUP(VLOOKUP($B27,KOMBI!$A:$H,3,FALSE),data!$I$27:$J$29,2,FALSE)</f>
        <v>#NUM!</v>
      </c>
      <c r="E27" s="290" t="e">
        <f ca="1">VLOOKUP(VLOOKUP($B27,KOMBI!$A:$H,2,FALSE),data!$I$21:$J$23,2,FALSE)</f>
        <v>#NUM!</v>
      </c>
      <c r="F27" s="290" t="e">
        <f ca="1">VLOOKUP(VLOOKUP($B27,KOMBI!$A:$H,5,FALSE),data!$I$39:$J$41,2,FALSE)</f>
        <v>#NUM!</v>
      </c>
      <c r="G27" s="290" t="e">
        <f ca="1">VLOOKUP(VLOOKUP($B27,KOMBI!$A:$H,4,FALSE),data!$I$32:$J$36,2,FALSE)</f>
        <v>#NUM!</v>
      </c>
      <c r="I27" s="51" t="e">
        <f ca="1">VLOOKUP($B27,KOMBI!$A:$Z,MATCH(I$5,KOMBI!$10:$10,0),FALSE)</f>
        <v>#NUM!</v>
      </c>
      <c r="J27" s="291" t="e">
        <f ca="1">VLOOKUP($B27,KOMBI!$A:$ADS,J$3,FALSE)</f>
        <v>#NUM!</v>
      </c>
      <c r="K27" s="291" t="e">
        <f ca="1">VLOOKUP($B27,KOMBI!$A:$ADS,K$3,FALSE)</f>
        <v>#NUM!</v>
      </c>
      <c r="L27" s="291" t="e">
        <f ca="1">VLOOKUP($B27,KOMBI!$A:$ADS,L$3,FALSE)</f>
        <v>#NUM!</v>
      </c>
      <c r="M27" s="291" t="e">
        <f ca="1">VLOOKUP($B27,KOMBI!$A:$ADS,M$3,FALSE)</f>
        <v>#NUM!</v>
      </c>
      <c r="N27" s="291" t="e">
        <f ca="1">VLOOKUP($B27,KOMBI!$A:$ADS,N$3,FALSE)</f>
        <v>#NUM!</v>
      </c>
      <c r="O27" s="291" t="e">
        <f ca="1">VLOOKUP($B27,KOMBI!$A:$ADS,O$3,FALSE)</f>
        <v>#NUM!</v>
      </c>
      <c r="P27" s="291" t="e">
        <f ca="1">VLOOKUP($B27,KOMBI!$A:$ADS,P$3,FALSE)</f>
        <v>#NUM!</v>
      </c>
      <c r="Q27" s="292" t="e">
        <f t="array" aca="1" ref="Q27" ca="1">VLOOKUP($B27,KOMBI!$A:$ADS,MATCH(Tulem!Q$3,KOMBI!$A$1:$ADS$1,0),FALSE)</f>
        <v>#NUM!</v>
      </c>
      <c r="S27" s="332" t="e">
        <f t="array" aca="1" ref="S27" ca="1">VLOOKUP($B27,KOMBI!$A:$ADS,MATCH(Tulem!S$3,KOMBI!$A$1:$ADS$1,0),FALSE)</f>
        <v>#NUM!</v>
      </c>
      <c r="T27" s="293" t="e">
        <f ca="1">VLOOKUP($B27,KOMBI!$A:$ADS,T$3,FALSE)</f>
        <v>#NUM!</v>
      </c>
      <c r="U27" s="293" t="e">
        <f ca="1">VLOOKUP($B27,KOMBI!$A:$ADS,U$3,FALSE)</f>
        <v>#NUM!</v>
      </c>
      <c r="V27" s="293" t="e">
        <f ca="1">VLOOKUP($B27,KOMBI!$A:$ADS,V$3,FALSE)</f>
        <v>#NUM!</v>
      </c>
      <c r="W27" s="293"/>
      <c r="X27" s="293" t="e">
        <f ca="1">VLOOKUP($B27,KOMBI!$A:$ADS,X$3,FALSE)</f>
        <v>#NUM!</v>
      </c>
      <c r="Y27" s="293" t="e">
        <f ca="1">VLOOKUP($B27,KOMBI!$A:$ADS,Y$3,FALSE)</f>
        <v>#NUM!</v>
      </c>
      <c r="Z27" s="293" t="e">
        <f ca="1">VLOOKUP($B27,KOMBI!$A:$ADS,Z$3,FALSE)</f>
        <v>#NUM!</v>
      </c>
      <c r="AA27" s="294"/>
      <c r="AB27" s="293" t="e">
        <f ca="1">VLOOKUP($B27,KOMBI!$A:$ADS,AB$3,FALSE)</f>
        <v>#NUM!</v>
      </c>
      <c r="AC27" s="293" t="e">
        <f ca="1">VLOOKUP($B27,KOMBI!$A:$ADS,AC$3,FALSE)-AB27</f>
        <v>#NUM!</v>
      </c>
      <c r="AD27" s="293" t="e">
        <f ca="1">VLOOKUP($B27,KOMBI!$A:$ADS,AD$3,FALSE)</f>
        <v>#NUM!</v>
      </c>
      <c r="AE27" s="293" t="e">
        <f ca="1">VLOOKUP($B27,KOMBI!$A:$ADS,AE$3,FALSE)</f>
        <v>#NUM!</v>
      </c>
      <c r="AF27" s="293" t="e">
        <f ca="1">VLOOKUP($B27,KOMBI!$A:$ADS,AF$3,FALSE)-AE27</f>
        <v>#NUM!</v>
      </c>
      <c r="AG27" s="293" t="e">
        <f ca="1">VLOOKUP($B27,KOMBI!$A:$ADS,AG$3,FALSE)</f>
        <v>#NUM!</v>
      </c>
      <c r="AI27" s="293" t="e">
        <f t="array" aca="1" ref="AI27" ca="1">VLOOKUP($B27,KOMBI!$A:$ADS,MATCH(Tulem!AI$3,KOMBI!$A$1:$ADS$1,0),FALSE)</f>
        <v>#NUM!</v>
      </c>
      <c r="AJ27" s="293" t="e">
        <f t="array" aca="1" ref="AJ27" ca="1">VLOOKUP($B27,KOMBI!$A:$ADS,MATCH(Tulem!AJ$3,KOMBI!$A$1:$ADS$1,0),FALSE)</f>
        <v>#NUM!</v>
      </c>
      <c r="AK27" s="293" t="e">
        <f t="array" aca="1" ref="AK27" ca="1">VLOOKUP($B27,KOMBI!$A:$ADS,MATCH(Tulem!AK$3,KOMBI!$A$1:$ADS$1,0),FALSE)</f>
        <v>#NUM!</v>
      </c>
      <c r="AL27" s="293" t="e">
        <f t="array" aca="1" ref="AL27" ca="1">VLOOKUP($B27,KOMBI!$A:$ADS,MATCH(Tulem!AL$3,KOMBI!$A$1:$ADS$1,0),FALSE)</f>
        <v>#NUM!</v>
      </c>
      <c r="AM27" s="293" t="e">
        <f t="array" aca="1" ref="AM27" ca="1">VLOOKUP($B27,KOMBI!$A:$ADS,MATCH(Tulem!AM$3,KOMBI!$A$1:$ADS$1,0),FALSE)</f>
        <v>#NUM!</v>
      </c>
      <c r="AN27" s="293" t="e">
        <f t="array" aca="1" ref="AN27" ca="1">VLOOKUP($B27,KOMBI!$A:$ADS,MATCH(Tulem!AN$3,KOMBI!$A$1:$ADS$1,0),FALSE)</f>
        <v>#NUM!</v>
      </c>
      <c r="AO27" s="293" t="e">
        <f t="array" aca="1" ref="AO27" ca="1">VLOOKUP($B27,KOMBI!$A:$ADS,MATCH(Tulem!AO$3,KOMBI!$A$1:$ADS$1,0),FALSE)</f>
        <v>#NUM!</v>
      </c>
      <c r="AP27" s="293" t="e">
        <f t="array" aca="1" ref="AP27" ca="1">VLOOKUP($B27,KOMBI!$A:$ADS,MATCH(Tulem!AP$3,KOMBI!$A$1:$ADS$1,0),FALSE)</f>
        <v>#NUM!</v>
      </c>
      <c r="AQ27" s="293" t="e">
        <f t="array" aca="1" ref="AQ27" ca="1">VLOOKUP($B27,KOMBI!$A:$ADS,MATCH(Tulem!AQ$3,KOMBI!$A$1:$ADS$1,0),FALSE)</f>
        <v>#NUM!</v>
      </c>
      <c r="AR27" s="293" t="e">
        <f t="array" aca="1" ref="AR27" ca="1">VLOOKUP($B27,KOMBI!$A:$ADS,MATCH(Tulem!AR$3,KOMBI!$A$1:$ADS$1,0),FALSE)</f>
        <v>#NUM!</v>
      </c>
      <c r="AS27" s="293" t="e">
        <f t="array" aca="1" ref="AS27" ca="1">VLOOKUP($B27,KOMBI!$A:$ADS,MATCH(Tulem!AS$3,KOMBI!$A$1:$ADS$1,0),FALSE)</f>
        <v>#NUM!</v>
      </c>
      <c r="AT27" s="293" t="e">
        <f t="array" aca="1" ref="AT27" ca="1">VLOOKUP($B27,KOMBI!$A:$ADS,MATCH(Tulem!AT$3,KOMBI!$A$1:$ADS$1,0),FALSE)</f>
        <v>#NUM!</v>
      </c>
      <c r="AU27" s="293" t="e">
        <f t="array" aca="1" ref="AU27" ca="1">VLOOKUP($B27,KOMBI!$A:$ADS,MATCH(Tulem!AU$3,KOMBI!$A$1:$ADS$1,0),FALSE)</f>
        <v>#NUM!</v>
      </c>
      <c r="AV27" s="293" t="e">
        <f t="shared" ca="1" si="1"/>
        <v>#NUM!</v>
      </c>
      <c r="AW27" s="293" t="e">
        <f t="shared" ca="1" si="2"/>
        <v>#NUM!</v>
      </c>
      <c r="AX27" s="291" t="e">
        <f ca="1">VLOOKUP($B27,KOMBI!$A:$ACA,MATCH(AX$5,KOMBI!$10:$10,0),FALSE)</f>
        <v>#NUM!</v>
      </c>
      <c r="AY27" s="292" t="e">
        <f t="array" aca="1" ref="AY27" ca="1">VLOOKUP($B27,KOMBI!$A:$ADS,MATCH(Tulem!AY$3,KOMBI!$A$1:$ADS$1,0),FALSE)</f>
        <v>#NUM!</v>
      </c>
      <c r="AZ27" s="292" t="e">
        <f t="array" aca="1" ref="AZ27" ca="1">VLOOKUP($B27,KOMBI!$A:$ADS,MATCH(Tulem!AZ$3,KOMBI!$A$1:$ADS$1,0),FALSE)</f>
        <v>#NUM!</v>
      </c>
      <c r="BA27" s="292" t="e">
        <f t="array" aca="1" ref="BA27" ca="1">VLOOKUP($B27,KOMBI!$A:$ADS,MATCH(Tulem!BA$3,KOMBI!$A$1:$ADS$1,0),FALSE)</f>
        <v>#NUM!</v>
      </c>
      <c r="BB27" s="292" t="e">
        <f t="array" aca="1" ref="BB27" ca="1">VLOOKUP($B27,KOMBI!$A:$ADS,MATCH(Tulem!BB$3,KOMBI!$A$1:$ADS$1,0),FALSE)</f>
        <v>#NUM!</v>
      </c>
      <c r="BC27" s="292" t="e">
        <f t="array" aca="1" ref="BC27" ca="1">VLOOKUP($B27,KOMBI!$A:$ADS,MATCH(Tulem!BC$3,KOMBI!$A$1:$ADS$1,0),FALSE)</f>
        <v>#NUM!</v>
      </c>
      <c r="BD27" s="292" t="e">
        <f t="array" aca="1" ref="BD27" ca="1">VLOOKUP($B27,KOMBI!$A:$ADS,MATCH(Tulem!BD$3,KOMBI!$A$1:$ADS$1,0),FALSE)</f>
        <v>#NUM!</v>
      </c>
      <c r="BE27" s="292" t="e">
        <f t="array" aca="1" ref="BE27" ca="1">VLOOKUP($B27,KOMBI!$A:$ADS,MATCH(Tulem!BE$3,KOMBI!$A$1:$ADS$1,0),FALSE)</f>
        <v>#NUM!</v>
      </c>
      <c r="BF27" s="292" t="e">
        <f t="array" aca="1" ref="BF27" ca="1">VLOOKUP($B27,KOMBI!$A:$ADS,MATCH(Tulem!BF$3,KOMBI!$A$1:$ADS$1,0),FALSE)</f>
        <v>#NUM!</v>
      </c>
      <c r="BG27" s="292" t="e">
        <f t="array" aca="1" ref="BG27" ca="1">VLOOKUP($B27,KOMBI!$A:$ADS,MATCH(Tulem!BG$3,KOMBI!$A$1:$ADS$1,0),FALSE)</f>
        <v>#NUM!</v>
      </c>
      <c r="BH27" s="292" t="e">
        <f t="array" aca="1" ref="BH27" ca="1">VLOOKUP($B27,KOMBI!$A:$ADS,MATCH(Tulem!BH$3,KOMBI!$A$1:$ADS$1,0),FALSE)</f>
        <v>#NUM!</v>
      </c>
      <c r="BI27" s="292" t="e">
        <f t="array" aca="1" ref="BI27" ca="1">VLOOKUP($B27,KOMBI!$A:$ADS,MATCH(Tulem!BI$3,KOMBI!$A$1:$ADS$1,0),FALSE)</f>
        <v>#NUM!</v>
      </c>
      <c r="BJ27" s="292" t="e">
        <f t="array" aca="1" ref="BJ27" ca="1">VLOOKUP($B27,KOMBI!$A:$ADS,MATCH(Tulem!BJ$3,KOMBI!$A$1:$ADS$1,0),FALSE)</f>
        <v>#NUM!</v>
      </c>
      <c r="BK27" s="292" t="e">
        <f t="array" aca="1" ref="BK27" ca="1">VLOOKUP($B27,KOMBI!$A:$ADS,MATCH(Tulem!BK$3,KOMBI!$A$1:$ADS$1,0),FALSE)</f>
        <v>#NUM!</v>
      </c>
      <c r="BL27" s="292" t="e">
        <f t="array" aca="1" ref="BL27" ca="1">VLOOKUP($B27,KOMBI!$A:$ADS,MATCH(Tulem!BL$3,KOMBI!$A$1:$ADS$1,0),FALSE)</f>
        <v>#NUM!</v>
      </c>
      <c r="BM27" s="292" t="e">
        <f t="array" aca="1" ref="BM27" ca="1">VLOOKUP($B27,KOMBI!$A:$ADS,MATCH(Tulem!BM$3,KOMBI!$A$1:$ADS$1,0),FALSE)</f>
        <v>#NUM!</v>
      </c>
      <c r="BN27" s="292" t="e">
        <f t="array" aca="1" ref="BN27" ca="1">VLOOKUP($B27,KOMBI!$A:$ADS,MATCH(Tulem!BN$3,KOMBI!$A$1:$ADS$1,0),FALSE)</f>
        <v>#NUM!</v>
      </c>
      <c r="BO27" s="292" t="e">
        <f t="array" aca="1" ref="BO27" ca="1">VLOOKUP($B27,KOMBI!$A:$ADS,MATCH(Tulem!BO$3,KOMBI!$A$1:$ADS$1,0),FALSE)</f>
        <v>#NUM!</v>
      </c>
      <c r="BP27" s="291"/>
      <c r="BQ27" s="292" t="e">
        <f t="array" aca="1" ref="BQ27" ca="1">VLOOKUP($B27,KOMBI!$A:$ADS,MATCH(Tulem!BQ$3,KOMBI!$A$1:$ADS$1,0),FALSE)</f>
        <v>#NUM!</v>
      </c>
      <c r="BR27" s="292" t="e">
        <f t="array" aca="1" ref="BR27" ca="1">VLOOKUP($B27,KOMBI!$A:$ADS,MATCH(Tulem!BR$3,KOMBI!$A$1:$ADS$1,0),FALSE)</f>
        <v>#NUM!</v>
      </c>
      <c r="BS27" s="292" t="e">
        <f t="array" aca="1" ref="BS27" ca="1">VLOOKUP($B27,KOMBI!$A:$ADS,MATCH(Tulem!BS$3,KOMBI!$A$1:$ADS$1,0),FALSE)</f>
        <v>#NUM!</v>
      </c>
      <c r="BT27" s="292" t="e">
        <f t="array" aca="1" ref="BT27" ca="1">VLOOKUP($B27,KOMBI!$A:$ADS,MATCH(Tulem!BT$3,KOMBI!$A$1:$ADS$1,0),FALSE)</f>
        <v>#NUM!</v>
      </c>
      <c r="BU27" s="292" t="e">
        <f t="array" aca="1" ref="BU27" ca="1">VLOOKUP($B27,KOMBI!$A:$ADS,MATCH(Tulem!BU$3,KOMBI!$A$1:$ADS$1,0),FALSE)</f>
        <v>#NUM!</v>
      </c>
      <c r="BV27" s="291"/>
      <c r="BW27" s="292" t="e">
        <f t="array" aca="1" ref="BW27" ca="1">VLOOKUP($B27,KOMBI!$A:$ADS,MATCH(Tulem!BW$3,KOMBI!$A$1:$ADS$1,0),FALSE)</f>
        <v>#NUM!</v>
      </c>
      <c r="BX27" s="291"/>
      <c r="BY27" s="291"/>
      <c r="BZ27" s="292" t="e">
        <f t="array" aca="1" ref="BZ27" ca="1">VLOOKUP($B27,KOMBI!$A:$ADS,MATCH(Tulem!BZ$3,KOMBI!$A$1:$ADS$1,0),FALSE)</f>
        <v>#NUM!</v>
      </c>
      <c r="CA27" s="292" t="e">
        <f t="array" aca="1" ref="CA27" ca="1">VLOOKUP($B27,KOMBI!$A:$ADS,MATCH(Tulem!CA$3,KOMBI!$A$1:$ADS$1,0),FALSE)</f>
        <v>#NUM!</v>
      </c>
      <c r="CB27" s="292" t="e">
        <f t="array" aca="1" ref="CB27" ca="1">VLOOKUP($B27,KOMBI!$A:$ADS,MATCH(Tulem!CB$3,KOMBI!$A$1:$ADS$1,0),FALSE)</f>
        <v>#NUM!</v>
      </c>
      <c r="CC27" s="292" t="e">
        <f t="array" aca="1" ref="CC27" ca="1">VLOOKUP($B27,KOMBI!$A:$ADS,MATCH(Tulem!CC$3,KOMBI!$A$1:$ADS$1,0),FALSE)</f>
        <v>#NUM!</v>
      </c>
      <c r="CD27" s="292" t="e">
        <f t="array" aca="1" ref="CD27" ca="1">VLOOKUP($B27,KOMBI!$A:$ADS,MATCH(Tulem!CD$3,KOMBI!$A$1:$ADS$1,0),FALSE)</f>
        <v>#NUM!</v>
      </c>
      <c r="CF27" s="51" t="e">
        <f ca="1">VLOOKUP($B27,KOMBI!$A:$ACG,MATCH(CF$5,KOMBI!$10:$10,0),FALSE)</f>
        <v>#NUM!</v>
      </c>
    </row>
    <row r="28" spans="1:84" x14ac:dyDescent="0.2">
      <c r="A28" s="51">
        <v>23</v>
      </c>
      <c r="B28" s="51" t="e">
        <f ca="1">KOMBI!GI33</f>
        <v>#NUM!</v>
      </c>
      <c r="C28" s="51">
        <f t="shared" si="0"/>
        <v>23</v>
      </c>
      <c r="D28" s="290" t="e">
        <f ca="1">VLOOKUP(VLOOKUP($B28,KOMBI!$A:$H,3,FALSE),data!$I$27:$J$29,2,FALSE)</f>
        <v>#NUM!</v>
      </c>
      <c r="E28" s="290" t="e">
        <f ca="1">VLOOKUP(VLOOKUP($B28,KOMBI!$A:$H,2,FALSE),data!$I$21:$J$23,2,FALSE)</f>
        <v>#NUM!</v>
      </c>
      <c r="F28" s="290" t="e">
        <f ca="1">VLOOKUP(VLOOKUP($B28,KOMBI!$A:$H,5,FALSE),data!$I$39:$J$41,2,FALSE)</f>
        <v>#NUM!</v>
      </c>
      <c r="G28" s="290" t="e">
        <f ca="1">VLOOKUP(VLOOKUP($B28,KOMBI!$A:$H,4,FALSE),data!$I$32:$J$36,2,FALSE)</f>
        <v>#NUM!</v>
      </c>
      <c r="I28" s="51" t="e">
        <f ca="1">VLOOKUP($B28,KOMBI!$A:$Z,MATCH(I$5,KOMBI!$10:$10,0),FALSE)</f>
        <v>#NUM!</v>
      </c>
      <c r="J28" s="291" t="e">
        <f ca="1">VLOOKUP($B28,KOMBI!$A:$ADS,J$3,FALSE)</f>
        <v>#NUM!</v>
      </c>
      <c r="K28" s="291" t="e">
        <f ca="1">VLOOKUP($B28,KOMBI!$A:$ADS,K$3,FALSE)</f>
        <v>#NUM!</v>
      </c>
      <c r="L28" s="291" t="e">
        <f ca="1">VLOOKUP($B28,KOMBI!$A:$ADS,L$3,FALSE)</f>
        <v>#NUM!</v>
      </c>
      <c r="M28" s="291" t="e">
        <f ca="1">VLOOKUP($B28,KOMBI!$A:$ADS,M$3,FALSE)</f>
        <v>#NUM!</v>
      </c>
      <c r="N28" s="291" t="e">
        <f ca="1">VLOOKUP($B28,KOMBI!$A:$ADS,N$3,FALSE)</f>
        <v>#NUM!</v>
      </c>
      <c r="O28" s="291" t="e">
        <f ca="1">VLOOKUP($B28,KOMBI!$A:$ADS,O$3,FALSE)</f>
        <v>#NUM!</v>
      </c>
      <c r="P28" s="291" t="e">
        <f ca="1">VLOOKUP($B28,KOMBI!$A:$ADS,P$3,FALSE)</f>
        <v>#NUM!</v>
      </c>
      <c r="Q28" s="292" t="e">
        <f t="array" aca="1" ref="Q28" ca="1">VLOOKUP($B28,KOMBI!$A:$ADS,MATCH(Tulem!Q$3,KOMBI!$A$1:$ADS$1,0),FALSE)</f>
        <v>#NUM!</v>
      </c>
      <c r="S28" s="332" t="e">
        <f t="array" aca="1" ref="S28" ca="1">VLOOKUP($B28,KOMBI!$A:$ADS,MATCH(Tulem!S$3,KOMBI!$A$1:$ADS$1,0),FALSE)</f>
        <v>#NUM!</v>
      </c>
      <c r="T28" s="293" t="e">
        <f ca="1">VLOOKUP($B28,KOMBI!$A:$ADS,T$3,FALSE)</f>
        <v>#NUM!</v>
      </c>
      <c r="U28" s="293" t="e">
        <f ca="1">VLOOKUP($B28,KOMBI!$A:$ADS,U$3,FALSE)</f>
        <v>#NUM!</v>
      </c>
      <c r="V28" s="293" t="e">
        <f ca="1">VLOOKUP($B28,KOMBI!$A:$ADS,V$3,FALSE)</f>
        <v>#NUM!</v>
      </c>
      <c r="W28" s="293"/>
      <c r="X28" s="293" t="e">
        <f ca="1">VLOOKUP($B28,KOMBI!$A:$ADS,X$3,FALSE)</f>
        <v>#NUM!</v>
      </c>
      <c r="Y28" s="293" t="e">
        <f ca="1">VLOOKUP($B28,KOMBI!$A:$ADS,Y$3,FALSE)</f>
        <v>#NUM!</v>
      </c>
      <c r="Z28" s="293" t="e">
        <f ca="1">VLOOKUP($B28,KOMBI!$A:$ADS,Z$3,FALSE)</f>
        <v>#NUM!</v>
      </c>
      <c r="AA28" s="294"/>
      <c r="AB28" s="293" t="e">
        <f ca="1">VLOOKUP($B28,KOMBI!$A:$ADS,AB$3,FALSE)</f>
        <v>#NUM!</v>
      </c>
      <c r="AC28" s="293" t="e">
        <f ca="1">VLOOKUP($B28,KOMBI!$A:$ADS,AC$3,FALSE)-AB28</f>
        <v>#NUM!</v>
      </c>
      <c r="AD28" s="293" t="e">
        <f ca="1">VLOOKUP($B28,KOMBI!$A:$ADS,AD$3,FALSE)</f>
        <v>#NUM!</v>
      </c>
      <c r="AE28" s="293" t="e">
        <f ca="1">VLOOKUP($B28,KOMBI!$A:$ADS,AE$3,FALSE)</f>
        <v>#NUM!</v>
      </c>
      <c r="AF28" s="293" t="e">
        <f ca="1">VLOOKUP($B28,KOMBI!$A:$ADS,AF$3,FALSE)-AE28</f>
        <v>#NUM!</v>
      </c>
      <c r="AG28" s="293" t="e">
        <f ca="1">VLOOKUP($B28,KOMBI!$A:$ADS,AG$3,FALSE)</f>
        <v>#NUM!</v>
      </c>
      <c r="AI28" s="293" t="e">
        <f t="array" aca="1" ref="AI28" ca="1">VLOOKUP($B28,KOMBI!$A:$ADS,MATCH(Tulem!AI$3,KOMBI!$A$1:$ADS$1,0),FALSE)</f>
        <v>#NUM!</v>
      </c>
      <c r="AJ28" s="293" t="e">
        <f t="array" aca="1" ref="AJ28" ca="1">VLOOKUP($B28,KOMBI!$A:$ADS,MATCH(Tulem!AJ$3,KOMBI!$A$1:$ADS$1,0),FALSE)</f>
        <v>#NUM!</v>
      </c>
      <c r="AK28" s="293" t="e">
        <f t="array" aca="1" ref="AK28" ca="1">VLOOKUP($B28,KOMBI!$A:$ADS,MATCH(Tulem!AK$3,KOMBI!$A$1:$ADS$1,0),FALSE)</f>
        <v>#NUM!</v>
      </c>
      <c r="AL28" s="293" t="e">
        <f t="array" aca="1" ref="AL28" ca="1">VLOOKUP($B28,KOMBI!$A:$ADS,MATCH(Tulem!AL$3,KOMBI!$A$1:$ADS$1,0),FALSE)</f>
        <v>#NUM!</v>
      </c>
      <c r="AM28" s="293" t="e">
        <f t="array" aca="1" ref="AM28" ca="1">VLOOKUP($B28,KOMBI!$A:$ADS,MATCH(Tulem!AM$3,KOMBI!$A$1:$ADS$1,0),FALSE)</f>
        <v>#NUM!</v>
      </c>
      <c r="AN28" s="293" t="e">
        <f t="array" aca="1" ref="AN28" ca="1">VLOOKUP($B28,KOMBI!$A:$ADS,MATCH(Tulem!AN$3,KOMBI!$A$1:$ADS$1,0),FALSE)</f>
        <v>#NUM!</v>
      </c>
      <c r="AO28" s="293" t="e">
        <f t="array" aca="1" ref="AO28" ca="1">VLOOKUP($B28,KOMBI!$A:$ADS,MATCH(Tulem!AO$3,KOMBI!$A$1:$ADS$1,0),FALSE)</f>
        <v>#NUM!</v>
      </c>
      <c r="AP28" s="293" t="e">
        <f t="array" aca="1" ref="AP28" ca="1">VLOOKUP($B28,KOMBI!$A:$ADS,MATCH(Tulem!AP$3,KOMBI!$A$1:$ADS$1,0),FALSE)</f>
        <v>#NUM!</v>
      </c>
      <c r="AQ28" s="293" t="e">
        <f t="array" aca="1" ref="AQ28" ca="1">VLOOKUP($B28,KOMBI!$A:$ADS,MATCH(Tulem!AQ$3,KOMBI!$A$1:$ADS$1,0),FALSE)</f>
        <v>#NUM!</v>
      </c>
      <c r="AR28" s="293" t="e">
        <f t="array" aca="1" ref="AR28" ca="1">VLOOKUP($B28,KOMBI!$A:$ADS,MATCH(Tulem!AR$3,KOMBI!$A$1:$ADS$1,0),FALSE)</f>
        <v>#NUM!</v>
      </c>
      <c r="AS28" s="293" t="e">
        <f t="array" aca="1" ref="AS28" ca="1">VLOOKUP($B28,KOMBI!$A:$ADS,MATCH(Tulem!AS$3,KOMBI!$A$1:$ADS$1,0),FALSE)</f>
        <v>#NUM!</v>
      </c>
      <c r="AT28" s="293" t="e">
        <f t="array" aca="1" ref="AT28" ca="1">VLOOKUP($B28,KOMBI!$A:$ADS,MATCH(Tulem!AT$3,KOMBI!$A$1:$ADS$1,0),FALSE)</f>
        <v>#NUM!</v>
      </c>
      <c r="AU28" s="293" t="e">
        <f t="array" aca="1" ref="AU28" ca="1">VLOOKUP($B28,KOMBI!$A:$ADS,MATCH(Tulem!AU$3,KOMBI!$A$1:$ADS$1,0),FALSE)</f>
        <v>#NUM!</v>
      </c>
      <c r="AV28" s="293" t="e">
        <f t="shared" ca="1" si="1"/>
        <v>#NUM!</v>
      </c>
      <c r="AW28" s="293" t="e">
        <f t="shared" ca="1" si="2"/>
        <v>#NUM!</v>
      </c>
      <c r="AX28" s="291" t="e">
        <f ca="1">VLOOKUP($B28,KOMBI!$A:$ACA,MATCH(AX$5,KOMBI!$10:$10,0),FALSE)</f>
        <v>#NUM!</v>
      </c>
      <c r="AY28" s="292" t="e">
        <f t="array" aca="1" ref="AY28" ca="1">VLOOKUP($B28,KOMBI!$A:$ADS,MATCH(Tulem!AY$3,KOMBI!$A$1:$ADS$1,0),FALSE)</f>
        <v>#NUM!</v>
      </c>
      <c r="AZ28" s="292" t="e">
        <f t="array" aca="1" ref="AZ28" ca="1">VLOOKUP($B28,KOMBI!$A:$ADS,MATCH(Tulem!AZ$3,KOMBI!$A$1:$ADS$1,0),FALSE)</f>
        <v>#NUM!</v>
      </c>
      <c r="BA28" s="292" t="e">
        <f t="array" aca="1" ref="BA28" ca="1">VLOOKUP($B28,KOMBI!$A:$ADS,MATCH(Tulem!BA$3,KOMBI!$A$1:$ADS$1,0),FALSE)</f>
        <v>#NUM!</v>
      </c>
      <c r="BB28" s="292" t="e">
        <f t="array" aca="1" ref="BB28" ca="1">VLOOKUP($B28,KOMBI!$A:$ADS,MATCH(Tulem!BB$3,KOMBI!$A$1:$ADS$1,0),FALSE)</f>
        <v>#NUM!</v>
      </c>
      <c r="BC28" s="292" t="e">
        <f t="array" aca="1" ref="BC28" ca="1">VLOOKUP($B28,KOMBI!$A:$ADS,MATCH(Tulem!BC$3,KOMBI!$A$1:$ADS$1,0),FALSE)</f>
        <v>#NUM!</v>
      </c>
      <c r="BD28" s="292" t="e">
        <f t="array" aca="1" ref="BD28" ca="1">VLOOKUP($B28,KOMBI!$A:$ADS,MATCH(Tulem!BD$3,KOMBI!$A$1:$ADS$1,0),FALSE)</f>
        <v>#NUM!</v>
      </c>
      <c r="BE28" s="292" t="e">
        <f t="array" aca="1" ref="BE28" ca="1">VLOOKUP($B28,KOMBI!$A:$ADS,MATCH(Tulem!BE$3,KOMBI!$A$1:$ADS$1,0),FALSE)</f>
        <v>#NUM!</v>
      </c>
      <c r="BF28" s="292" t="e">
        <f t="array" aca="1" ref="BF28" ca="1">VLOOKUP($B28,KOMBI!$A:$ADS,MATCH(Tulem!BF$3,KOMBI!$A$1:$ADS$1,0),FALSE)</f>
        <v>#NUM!</v>
      </c>
      <c r="BG28" s="292" t="e">
        <f t="array" aca="1" ref="BG28" ca="1">VLOOKUP($B28,KOMBI!$A:$ADS,MATCH(Tulem!BG$3,KOMBI!$A$1:$ADS$1,0),FALSE)</f>
        <v>#NUM!</v>
      </c>
      <c r="BH28" s="292" t="e">
        <f t="array" aca="1" ref="BH28" ca="1">VLOOKUP($B28,KOMBI!$A:$ADS,MATCH(Tulem!BH$3,KOMBI!$A$1:$ADS$1,0),FALSE)</f>
        <v>#NUM!</v>
      </c>
      <c r="BI28" s="292" t="e">
        <f t="array" aca="1" ref="BI28" ca="1">VLOOKUP($B28,KOMBI!$A:$ADS,MATCH(Tulem!BI$3,KOMBI!$A$1:$ADS$1,0),FALSE)</f>
        <v>#NUM!</v>
      </c>
      <c r="BJ28" s="292" t="e">
        <f t="array" aca="1" ref="BJ28" ca="1">VLOOKUP($B28,KOMBI!$A:$ADS,MATCH(Tulem!BJ$3,KOMBI!$A$1:$ADS$1,0),FALSE)</f>
        <v>#NUM!</v>
      </c>
      <c r="BK28" s="292" t="e">
        <f t="array" aca="1" ref="BK28" ca="1">VLOOKUP($B28,KOMBI!$A:$ADS,MATCH(Tulem!BK$3,KOMBI!$A$1:$ADS$1,0),FALSE)</f>
        <v>#NUM!</v>
      </c>
      <c r="BL28" s="292" t="e">
        <f t="array" aca="1" ref="BL28" ca="1">VLOOKUP($B28,KOMBI!$A:$ADS,MATCH(Tulem!BL$3,KOMBI!$A$1:$ADS$1,0),FALSE)</f>
        <v>#NUM!</v>
      </c>
      <c r="BM28" s="292" t="e">
        <f t="array" aca="1" ref="BM28" ca="1">VLOOKUP($B28,KOMBI!$A:$ADS,MATCH(Tulem!BM$3,KOMBI!$A$1:$ADS$1,0),FALSE)</f>
        <v>#NUM!</v>
      </c>
      <c r="BN28" s="292" t="e">
        <f t="array" aca="1" ref="BN28" ca="1">VLOOKUP($B28,KOMBI!$A:$ADS,MATCH(Tulem!BN$3,KOMBI!$A$1:$ADS$1,0),FALSE)</f>
        <v>#NUM!</v>
      </c>
      <c r="BO28" s="292" t="e">
        <f t="array" aca="1" ref="BO28" ca="1">VLOOKUP($B28,KOMBI!$A:$ADS,MATCH(Tulem!BO$3,KOMBI!$A$1:$ADS$1,0),FALSE)</f>
        <v>#NUM!</v>
      </c>
      <c r="BP28" s="291"/>
      <c r="BQ28" s="292" t="e">
        <f t="array" aca="1" ref="BQ28" ca="1">VLOOKUP($B28,KOMBI!$A:$ADS,MATCH(Tulem!BQ$3,KOMBI!$A$1:$ADS$1,0),FALSE)</f>
        <v>#NUM!</v>
      </c>
      <c r="BR28" s="292" t="e">
        <f t="array" aca="1" ref="BR28" ca="1">VLOOKUP($B28,KOMBI!$A:$ADS,MATCH(Tulem!BR$3,KOMBI!$A$1:$ADS$1,0),FALSE)</f>
        <v>#NUM!</v>
      </c>
      <c r="BS28" s="292" t="e">
        <f t="array" aca="1" ref="BS28" ca="1">VLOOKUP($B28,KOMBI!$A:$ADS,MATCH(Tulem!BS$3,KOMBI!$A$1:$ADS$1,0),FALSE)</f>
        <v>#NUM!</v>
      </c>
      <c r="BT28" s="292" t="e">
        <f t="array" aca="1" ref="BT28" ca="1">VLOOKUP($B28,KOMBI!$A:$ADS,MATCH(Tulem!BT$3,KOMBI!$A$1:$ADS$1,0),FALSE)</f>
        <v>#NUM!</v>
      </c>
      <c r="BU28" s="292" t="e">
        <f t="array" aca="1" ref="BU28" ca="1">VLOOKUP($B28,KOMBI!$A:$ADS,MATCH(Tulem!BU$3,KOMBI!$A$1:$ADS$1,0),FALSE)</f>
        <v>#NUM!</v>
      </c>
      <c r="BV28" s="291"/>
      <c r="BW28" s="292" t="e">
        <f t="array" aca="1" ref="BW28" ca="1">VLOOKUP($B28,KOMBI!$A:$ADS,MATCH(Tulem!BW$3,KOMBI!$A$1:$ADS$1,0),FALSE)</f>
        <v>#NUM!</v>
      </c>
      <c r="BX28" s="291"/>
      <c r="BY28" s="291"/>
      <c r="BZ28" s="292" t="e">
        <f t="array" aca="1" ref="BZ28" ca="1">VLOOKUP($B28,KOMBI!$A:$ADS,MATCH(Tulem!BZ$3,KOMBI!$A$1:$ADS$1,0),FALSE)</f>
        <v>#NUM!</v>
      </c>
      <c r="CA28" s="292" t="e">
        <f t="array" aca="1" ref="CA28" ca="1">VLOOKUP($B28,KOMBI!$A:$ADS,MATCH(Tulem!CA$3,KOMBI!$A$1:$ADS$1,0),FALSE)</f>
        <v>#NUM!</v>
      </c>
      <c r="CB28" s="292" t="e">
        <f t="array" aca="1" ref="CB28" ca="1">VLOOKUP($B28,KOMBI!$A:$ADS,MATCH(Tulem!CB$3,KOMBI!$A$1:$ADS$1,0),FALSE)</f>
        <v>#NUM!</v>
      </c>
      <c r="CC28" s="292" t="e">
        <f t="array" aca="1" ref="CC28" ca="1">VLOOKUP($B28,KOMBI!$A:$ADS,MATCH(Tulem!CC$3,KOMBI!$A$1:$ADS$1,0),FALSE)</f>
        <v>#NUM!</v>
      </c>
      <c r="CD28" s="292" t="e">
        <f t="array" aca="1" ref="CD28" ca="1">VLOOKUP($B28,KOMBI!$A:$ADS,MATCH(Tulem!CD$3,KOMBI!$A$1:$ADS$1,0),FALSE)</f>
        <v>#NUM!</v>
      </c>
      <c r="CF28" s="51" t="e">
        <f ca="1">VLOOKUP($B28,KOMBI!$A:$ACG,MATCH(CF$5,KOMBI!$10:$10,0),FALSE)</f>
        <v>#NUM!</v>
      </c>
    </row>
    <row r="29" spans="1:84" x14ac:dyDescent="0.2">
      <c r="A29" s="51">
        <v>24</v>
      </c>
      <c r="B29" s="51" t="e">
        <f ca="1">KOMBI!GI34</f>
        <v>#NUM!</v>
      </c>
      <c r="C29" s="51">
        <f t="shared" si="0"/>
        <v>24</v>
      </c>
      <c r="D29" s="290" t="e">
        <f ca="1">VLOOKUP(VLOOKUP($B29,KOMBI!$A:$H,3,FALSE),data!$I$27:$J$29,2,FALSE)</f>
        <v>#NUM!</v>
      </c>
      <c r="E29" s="290" t="e">
        <f ca="1">VLOOKUP(VLOOKUP($B29,KOMBI!$A:$H,2,FALSE),data!$I$21:$J$23,2,FALSE)</f>
        <v>#NUM!</v>
      </c>
      <c r="F29" s="290" t="e">
        <f ca="1">VLOOKUP(VLOOKUP($B29,KOMBI!$A:$H,5,FALSE),data!$I$39:$J$41,2,FALSE)</f>
        <v>#NUM!</v>
      </c>
      <c r="G29" s="290" t="e">
        <f ca="1">VLOOKUP(VLOOKUP($B29,KOMBI!$A:$H,4,FALSE),data!$I$32:$J$36,2,FALSE)</f>
        <v>#NUM!</v>
      </c>
      <c r="I29" s="51" t="e">
        <f ca="1">VLOOKUP($B29,KOMBI!$A:$Z,MATCH(I$5,KOMBI!$10:$10,0),FALSE)</f>
        <v>#NUM!</v>
      </c>
      <c r="J29" s="291" t="e">
        <f ca="1">VLOOKUP($B29,KOMBI!$A:$ADS,J$3,FALSE)</f>
        <v>#NUM!</v>
      </c>
      <c r="K29" s="291" t="e">
        <f ca="1">VLOOKUP($B29,KOMBI!$A:$ADS,K$3,FALSE)</f>
        <v>#NUM!</v>
      </c>
      <c r="L29" s="291" t="e">
        <f ca="1">VLOOKUP($B29,KOMBI!$A:$ADS,L$3,FALSE)</f>
        <v>#NUM!</v>
      </c>
      <c r="M29" s="291" t="e">
        <f ca="1">VLOOKUP($B29,KOMBI!$A:$ADS,M$3,FALSE)</f>
        <v>#NUM!</v>
      </c>
      <c r="N29" s="291" t="e">
        <f ca="1">VLOOKUP($B29,KOMBI!$A:$ADS,N$3,FALSE)</f>
        <v>#NUM!</v>
      </c>
      <c r="O29" s="291" t="e">
        <f ca="1">VLOOKUP($B29,KOMBI!$A:$ADS,O$3,FALSE)</f>
        <v>#NUM!</v>
      </c>
      <c r="P29" s="291" t="e">
        <f ca="1">VLOOKUP($B29,KOMBI!$A:$ADS,P$3,FALSE)</f>
        <v>#NUM!</v>
      </c>
      <c r="Q29" s="292" t="e">
        <f t="array" aca="1" ref="Q29" ca="1">VLOOKUP($B29,KOMBI!$A:$ADS,MATCH(Tulem!Q$3,KOMBI!$A$1:$ADS$1,0),FALSE)</f>
        <v>#NUM!</v>
      </c>
      <c r="S29" s="332" t="e">
        <f t="array" aca="1" ref="S29" ca="1">VLOOKUP($B29,KOMBI!$A:$ADS,MATCH(Tulem!S$3,KOMBI!$A$1:$ADS$1,0),FALSE)</f>
        <v>#NUM!</v>
      </c>
      <c r="T29" s="293" t="e">
        <f ca="1">VLOOKUP($B29,KOMBI!$A:$ADS,T$3,FALSE)</f>
        <v>#NUM!</v>
      </c>
      <c r="U29" s="293" t="e">
        <f ca="1">VLOOKUP($B29,KOMBI!$A:$ADS,U$3,FALSE)</f>
        <v>#NUM!</v>
      </c>
      <c r="V29" s="293" t="e">
        <f ca="1">VLOOKUP($B29,KOMBI!$A:$ADS,V$3,FALSE)</f>
        <v>#NUM!</v>
      </c>
      <c r="W29" s="293"/>
      <c r="X29" s="293" t="e">
        <f ca="1">VLOOKUP($B29,KOMBI!$A:$ADS,X$3,FALSE)</f>
        <v>#NUM!</v>
      </c>
      <c r="Y29" s="293" t="e">
        <f ca="1">VLOOKUP($B29,KOMBI!$A:$ADS,Y$3,FALSE)</f>
        <v>#NUM!</v>
      </c>
      <c r="Z29" s="293" t="e">
        <f ca="1">VLOOKUP($B29,KOMBI!$A:$ADS,Z$3,FALSE)</f>
        <v>#NUM!</v>
      </c>
      <c r="AA29" s="294"/>
      <c r="AB29" s="293" t="e">
        <f ca="1">VLOOKUP($B29,KOMBI!$A:$ADS,AB$3,FALSE)</f>
        <v>#NUM!</v>
      </c>
      <c r="AC29" s="293" t="e">
        <f ca="1">VLOOKUP($B29,KOMBI!$A:$ADS,AC$3,FALSE)-AB29</f>
        <v>#NUM!</v>
      </c>
      <c r="AD29" s="293" t="e">
        <f ca="1">VLOOKUP($B29,KOMBI!$A:$ADS,AD$3,FALSE)</f>
        <v>#NUM!</v>
      </c>
      <c r="AE29" s="293" t="e">
        <f ca="1">VLOOKUP($B29,KOMBI!$A:$ADS,AE$3,FALSE)</f>
        <v>#NUM!</v>
      </c>
      <c r="AF29" s="293" t="e">
        <f ca="1">VLOOKUP($B29,KOMBI!$A:$ADS,AF$3,FALSE)-AE29</f>
        <v>#NUM!</v>
      </c>
      <c r="AG29" s="293" t="e">
        <f ca="1">VLOOKUP($B29,KOMBI!$A:$ADS,AG$3,FALSE)</f>
        <v>#NUM!</v>
      </c>
      <c r="AI29" s="293" t="e">
        <f t="array" aca="1" ref="AI29" ca="1">VLOOKUP($B29,KOMBI!$A:$ADS,MATCH(Tulem!AI$3,KOMBI!$A$1:$ADS$1,0),FALSE)</f>
        <v>#NUM!</v>
      </c>
      <c r="AJ29" s="293" t="e">
        <f t="array" aca="1" ref="AJ29" ca="1">VLOOKUP($B29,KOMBI!$A:$ADS,MATCH(Tulem!AJ$3,KOMBI!$A$1:$ADS$1,0),FALSE)</f>
        <v>#NUM!</v>
      </c>
      <c r="AK29" s="293" t="e">
        <f t="array" aca="1" ref="AK29" ca="1">VLOOKUP($B29,KOMBI!$A:$ADS,MATCH(Tulem!AK$3,KOMBI!$A$1:$ADS$1,0),FALSE)</f>
        <v>#NUM!</v>
      </c>
      <c r="AL29" s="293" t="e">
        <f t="array" aca="1" ref="AL29" ca="1">VLOOKUP($B29,KOMBI!$A:$ADS,MATCH(Tulem!AL$3,KOMBI!$A$1:$ADS$1,0),FALSE)</f>
        <v>#NUM!</v>
      </c>
      <c r="AM29" s="293" t="e">
        <f t="array" aca="1" ref="AM29" ca="1">VLOOKUP($B29,KOMBI!$A:$ADS,MATCH(Tulem!AM$3,KOMBI!$A$1:$ADS$1,0),FALSE)</f>
        <v>#NUM!</v>
      </c>
      <c r="AN29" s="293" t="e">
        <f t="array" aca="1" ref="AN29" ca="1">VLOOKUP($B29,KOMBI!$A:$ADS,MATCH(Tulem!AN$3,KOMBI!$A$1:$ADS$1,0),FALSE)</f>
        <v>#NUM!</v>
      </c>
      <c r="AO29" s="293" t="e">
        <f t="array" aca="1" ref="AO29" ca="1">VLOOKUP($B29,KOMBI!$A:$ADS,MATCH(Tulem!AO$3,KOMBI!$A$1:$ADS$1,0),FALSE)</f>
        <v>#NUM!</v>
      </c>
      <c r="AP29" s="293" t="e">
        <f t="array" aca="1" ref="AP29" ca="1">VLOOKUP($B29,KOMBI!$A:$ADS,MATCH(Tulem!AP$3,KOMBI!$A$1:$ADS$1,0),FALSE)</f>
        <v>#NUM!</v>
      </c>
      <c r="AQ29" s="293" t="e">
        <f t="array" aca="1" ref="AQ29" ca="1">VLOOKUP($B29,KOMBI!$A:$ADS,MATCH(Tulem!AQ$3,KOMBI!$A$1:$ADS$1,0),FALSE)</f>
        <v>#NUM!</v>
      </c>
      <c r="AR29" s="293" t="e">
        <f t="array" aca="1" ref="AR29" ca="1">VLOOKUP($B29,KOMBI!$A:$ADS,MATCH(Tulem!AR$3,KOMBI!$A$1:$ADS$1,0),FALSE)</f>
        <v>#NUM!</v>
      </c>
      <c r="AS29" s="293" t="e">
        <f t="array" aca="1" ref="AS29" ca="1">VLOOKUP($B29,KOMBI!$A:$ADS,MATCH(Tulem!AS$3,KOMBI!$A$1:$ADS$1,0),FALSE)</f>
        <v>#NUM!</v>
      </c>
      <c r="AT29" s="293" t="e">
        <f t="array" aca="1" ref="AT29" ca="1">VLOOKUP($B29,KOMBI!$A:$ADS,MATCH(Tulem!AT$3,KOMBI!$A$1:$ADS$1,0),FALSE)</f>
        <v>#NUM!</v>
      </c>
      <c r="AU29" s="293" t="e">
        <f t="array" aca="1" ref="AU29" ca="1">VLOOKUP($B29,KOMBI!$A:$ADS,MATCH(Tulem!AU$3,KOMBI!$A$1:$ADS$1,0),FALSE)</f>
        <v>#NUM!</v>
      </c>
      <c r="AV29" s="293" t="e">
        <f t="shared" ca="1" si="1"/>
        <v>#NUM!</v>
      </c>
      <c r="AW29" s="293" t="e">
        <f t="shared" ca="1" si="2"/>
        <v>#NUM!</v>
      </c>
      <c r="AX29" s="291" t="e">
        <f ca="1">VLOOKUP($B29,KOMBI!$A:$ACA,MATCH(AX$5,KOMBI!$10:$10,0),FALSE)</f>
        <v>#NUM!</v>
      </c>
      <c r="AY29" s="292" t="e">
        <f t="array" aca="1" ref="AY29" ca="1">VLOOKUP($B29,KOMBI!$A:$ADS,MATCH(Tulem!AY$3,KOMBI!$A$1:$ADS$1,0),FALSE)</f>
        <v>#NUM!</v>
      </c>
      <c r="AZ29" s="292" t="e">
        <f t="array" aca="1" ref="AZ29" ca="1">VLOOKUP($B29,KOMBI!$A:$ADS,MATCH(Tulem!AZ$3,KOMBI!$A$1:$ADS$1,0),FALSE)</f>
        <v>#NUM!</v>
      </c>
      <c r="BA29" s="292" t="e">
        <f t="array" aca="1" ref="BA29" ca="1">VLOOKUP($B29,KOMBI!$A:$ADS,MATCH(Tulem!BA$3,KOMBI!$A$1:$ADS$1,0),FALSE)</f>
        <v>#NUM!</v>
      </c>
      <c r="BB29" s="292" t="e">
        <f t="array" aca="1" ref="BB29" ca="1">VLOOKUP($B29,KOMBI!$A:$ADS,MATCH(Tulem!BB$3,KOMBI!$A$1:$ADS$1,0),FALSE)</f>
        <v>#NUM!</v>
      </c>
      <c r="BC29" s="292" t="e">
        <f t="array" aca="1" ref="BC29" ca="1">VLOOKUP($B29,KOMBI!$A:$ADS,MATCH(Tulem!BC$3,KOMBI!$A$1:$ADS$1,0),FALSE)</f>
        <v>#NUM!</v>
      </c>
      <c r="BD29" s="292" t="e">
        <f t="array" aca="1" ref="BD29" ca="1">VLOOKUP($B29,KOMBI!$A:$ADS,MATCH(Tulem!BD$3,KOMBI!$A$1:$ADS$1,0),FALSE)</f>
        <v>#NUM!</v>
      </c>
      <c r="BE29" s="292" t="e">
        <f t="array" aca="1" ref="BE29" ca="1">VLOOKUP($B29,KOMBI!$A:$ADS,MATCH(Tulem!BE$3,KOMBI!$A$1:$ADS$1,0),FALSE)</f>
        <v>#NUM!</v>
      </c>
      <c r="BF29" s="292" t="e">
        <f t="array" aca="1" ref="BF29" ca="1">VLOOKUP($B29,KOMBI!$A:$ADS,MATCH(Tulem!BF$3,KOMBI!$A$1:$ADS$1,0),FALSE)</f>
        <v>#NUM!</v>
      </c>
      <c r="BG29" s="292" t="e">
        <f t="array" aca="1" ref="BG29" ca="1">VLOOKUP($B29,KOMBI!$A:$ADS,MATCH(Tulem!BG$3,KOMBI!$A$1:$ADS$1,0),FALSE)</f>
        <v>#NUM!</v>
      </c>
      <c r="BH29" s="292" t="e">
        <f t="array" aca="1" ref="BH29" ca="1">VLOOKUP($B29,KOMBI!$A:$ADS,MATCH(Tulem!BH$3,KOMBI!$A$1:$ADS$1,0),FALSE)</f>
        <v>#NUM!</v>
      </c>
      <c r="BI29" s="292" t="e">
        <f t="array" aca="1" ref="BI29" ca="1">VLOOKUP($B29,KOMBI!$A:$ADS,MATCH(Tulem!BI$3,KOMBI!$A$1:$ADS$1,0),FALSE)</f>
        <v>#NUM!</v>
      </c>
      <c r="BJ29" s="292" t="e">
        <f t="array" aca="1" ref="BJ29" ca="1">VLOOKUP($B29,KOMBI!$A:$ADS,MATCH(Tulem!BJ$3,KOMBI!$A$1:$ADS$1,0),FALSE)</f>
        <v>#NUM!</v>
      </c>
      <c r="BK29" s="292" t="e">
        <f t="array" aca="1" ref="BK29" ca="1">VLOOKUP($B29,KOMBI!$A:$ADS,MATCH(Tulem!BK$3,KOMBI!$A$1:$ADS$1,0),FALSE)</f>
        <v>#NUM!</v>
      </c>
      <c r="BL29" s="292" t="e">
        <f t="array" aca="1" ref="BL29" ca="1">VLOOKUP($B29,KOMBI!$A:$ADS,MATCH(Tulem!BL$3,KOMBI!$A$1:$ADS$1,0),FALSE)</f>
        <v>#NUM!</v>
      </c>
      <c r="BM29" s="292" t="e">
        <f t="array" aca="1" ref="BM29" ca="1">VLOOKUP($B29,KOMBI!$A:$ADS,MATCH(Tulem!BM$3,KOMBI!$A$1:$ADS$1,0),FALSE)</f>
        <v>#NUM!</v>
      </c>
      <c r="BN29" s="292" t="e">
        <f t="array" aca="1" ref="BN29" ca="1">VLOOKUP($B29,KOMBI!$A:$ADS,MATCH(Tulem!BN$3,KOMBI!$A$1:$ADS$1,0),FALSE)</f>
        <v>#NUM!</v>
      </c>
      <c r="BO29" s="292" t="e">
        <f t="array" aca="1" ref="BO29" ca="1">VLOOKUP($B29,KOMBI!$A:$ADS,MATCH(Tulem!BO$3,KOMBI!$A$1:$ADS$1,0),FALSE)</f>
        <v>#NUM!</v>
      </c>
      <c r="BP29" s="291"/>
      <c r="BQ29" s="292" t="e">
        <f t="array" aca="1" ref="BQ29" ca="1">VLOOKUP($B29,KOMBI!$A:$ADS,MATCH(Tulem!BQ$3,KOMBI!$A$1:$ADS$1,0),FALSE)</f>
        <v>#NUM!</v>
      </c>
      <c r="BR29" s="292" t="e">
        <f t="array" aca="1" ref="BR29" ca="1">VLOOKUP($B29,KOMBI!$A:$ADS,MATCH(Tulem!BR$3,KOMBI!$A$1:$ADS$1,0),FALSE)</f>
        <v>#NUM!</v>
      </c>
      <c r="BS29" s="292" t="e">
        <f t="array" aca="1" ref="BS29" ca="1">VLOOKUP($B29,KOMBI!$A:$ADS,MATCH(Tulem!BS$3,KOMBI!$A$1:$ADS$1,0),FALSE)</f>
        <v>#NUM!</v>
      </c>
      <c r="BT29" s="292" t="e">
        <f t="array" aca="1" ref="BT29" ca="1">VLOOKUP($B29,KOMBI!$A:$ADS,MATCH(Tulem!BT$3,KOMBI!$A$1:$ADS$1,0),FALSE)</f>
        <v>#NUM!</v>
      </c>
      <c r="BU29" s="292" t="e">
        <f t="array" aca="1" ref="BU29" ca="1">VLOOKUP($B29,KOMBI!$A:$ADS,MATCH(Tulem!BU$3,KOMBI!$A$1:$ADS$1,0),FALSE)</f>
        <v>#NUM!</v>
      </c>
      <c r="BV29" s="291"/>
      <c r="BW29" s="292" t="e">
        <f t="array" aca="1" ref="BW29" ca="1">VLOOKUP($B29,KOMBI!$A:$ADS,MATCH(Tulem!BW$3,KOMBI!$A$1:$ADS$1,0),FALSE)</f>
        <v>#NUM!</v>
      </c>
      <c r="BX29" s="291"/>
      <c r="BY29" s="291"/>
      <c r="BZ29" s="292" t="e">
        <f t="array" aca="1" ref="BZ29" ca="1">VLOOKUP($B29,KOMBI!$A:$ADS,MATCH(Tulem!BZ$3,KOMBI!$A$1:$ADS$1,0),FALSE)</f>
        <v>#NUM!</v>
      </c>
      <c r="CA29" s="292" t="e">
        <f t="array" aca="1" ref="CA29" ca="1">VLOOKUP($B29,KOMBI!$A:$ADS,MATCH(Tulem!CA$3,KOMBI!$A$1:$ADS$1,0),FALSE)</f>
        <v>#NUM!</v>
      </c>
      <c r="CB29" s="292" t="e">
        <f t="array" aca="1" ref="CB29" ca="1">VLOOKUP($B29,KOMBI!$A:$ADS,MATCH(Tulem!CB$3,KOMBI!$A$1:$ADS$1,0),FALSE)</f>
        <v>#NUM!</v>
      </c>
      <c r="CC29" s="292" t="e">
        <f t="array" aca="1" ref="CC29" ca="1">VLOOKUP($B29,KOMBI!$A:$ADS,MATCH(Tulem!CC$3,KOMBI!$A$1:$ADS$1,0),FALSE)</f>
        <v>#NUM!</v>
      </c>
      <c r="CD29" s="292" t="e">
        <f t="array" aca="1" ref="CD29" ca="1">VLOOKUP($B29,KOMBI!$A:$ADS,MATCH(Tulem!CD$3,KOMBI!$A$1:$ADS$1,0),FALSE)</f>
        <v>#NUM!</v>
      </c>
      <c r="CF29" s="51" t="e">
        <f ca="1">VLOOKUP($B29,KOMBI!$A:$ACG,MATCH(CF$5,KOMBI!$10:$10,0),FALSE)</f>
        <v>#NUM!</v>
      </c>
    </row>
    <row r="30" spans="1:84" x14ac:dyDescent="0.2">
      <c r="A30" s="51">
        <v>25</v>
      </c>
      <c r="B30" s="51" t="e">
        <f ca="1">KOMBI!GI35</f>
        <v>#NUM!</v>
      </c>
      <c r="C30" s="51">
        <f t="shared" si="0"/>
        <v>25</v>
      </c>
      <c r="D30" s="290" t="e">
        <f ca="1">VLOOKUP(VLOOKUP($B30,KOMBI!$A:$H,3,FALSE),data!$I$27:$J$29,2,FALSE)</f>
        <v>#NUM!</v>
      </c>
      <c r="E30" s="290" t="e">
        <f ca="1">VLOOKUP(VLOOKUP($B30,KOMBI!$A:$H,2,FALSE),data!$I$21:$J$23,2,FALSE)</f>
        <v>#NUM!</v>
      </c>
      <c r="F30" s="290" t="e">
        <f ca="1">VLOOKUP(VLOOKUP($B30,KOMBI!$A:$H,5,FALSE),data!$I$39:$J$41,2,FALSE)</f>
        <v>#NUM!</v>
      </c>
      <c r="G30" s="290" t="e">
        <f ca="1">VLOOKUP(VLOOKUP($B30,KOMBI!$A:$H,4,FALSE),data!$I$32:$J$36,2,FALSE)</f>
        <v>#NUM!</v>
      </c>
      <c r="I30" s="51" t="e">
        <f ca="1">VLOOKUP($B30,KOMBI!$A:$Z,MATCH(I$5,KOMBI!$10:$10,0),FALSE)</f>
        <v>#NUM!</v>
      </c>
      <c r="J30" s="291" t="e">
        <f ca="1">VLOOKUP($B30,KOMBI!$A:$ADS,J$3,FALSE)</f>
        <v>#NUM!</v>
      </c>
      <c r="K30" s="291" t="e">
        <f ca="1">VLOOKUP($B30,KOMBI!$A:$ADS,K$3,FALSE)</f>
        <v>#NUM!</v>
      </c>
      <c r="L30" s="291" t="e">
        <f ca="1">VLOOKUP($B30,KOMBI!$A:$ADS,L$3,FALSE)</f>
        <v>#NUM!</v>
      </c>
      <c r="M30" s="291" t="e">
        <f ca="1">VLOOKUP($B30,KOMBI!$A:$ADS,M$3,FALSE)</f>
        <v>#NUM!</v>
      </c>
      <c r="N30" s="291" t="e">
        <f ca="1">VLOOKUP($B30,KOMBI!$A:$ADS,N$3,FALSE)</f>
        <v>#NUM!</v>
      </c>
      <c r="O30" s="291" t="e">
        <f ca="1">VLOOKUP($B30,KOMBI!$A:$ADS,O$3,FALSE)</f>
        <v>#NUM!</v>
      </c>
      <c r="P30" s="291" t="e">
        <f ca="1">VLOOKUP($B30,KOMBI!$A:$ADS,P$3,FALSE)</f>
        <v>#NUM!</v>
      </c>
      <c r="Q30" s="292" t="e">
        <f t="array" aca="1" ref="Q30" ca="1">VLOOKUP($B30,KOMBI!$A:$ADS,MATCH(Tulem!Q$3,KOMBI!$A$1:$ADS$1,0),FALSE)</f>
        <v>#NUM!</v>
      </c>
      <c r="S30" s="332" t="e">
        <f t="array" aca="1" ref="S30" ca="1">VLOOKUP($B30,KOMBI!$A:$ADS,MATCH(Tulem!S$3,KOMBI!$A$1:$ADS$1,0),FALSE)</f>
        <v>#NUM!</v>
      </c>
      <c r="T30" s="293" t="e">
        <f ca="1">VLOOKUP($B30,KOMBI!$A:$ADS,T$3,FALSE)</f>
        <v>#NUM!</v>
      </c>
      <c r="U30" s="293" t="e">
        <f ca="1">VLOOKUP($B30,KOMBI!$A:$ADS,U$3,FALSE)</f>
        <v>#NUM!</v>
      </c>
      <c r="V30" s="293" t="e">
        <f ca="1">VLOOKUP($B30,KOMBI!$A:$ADS,V$3,FALSE)</f>
        <v>#NUM!</v>
      </c>
      <c r="W30" s="293"/>
      <c r="X30" s="293" t="e">
        <f ca="1">VLOOKUP($B30,KOMBI!$A:$ADS,X$3,FALSE)</f>
        <v>#NUM!</v>
      </c>
      <c r="Y30" s="293" t="e">
        <f ca="1">VLOOKUP($B30,KOMBI!$A:$ADS,Y$3,FALSE)</f>
        <v>#NUM!</v>
      </c>
      <c r="Z30" s="293" t="e">
        <f ca="1">VLOOKUP($B30,KOMBI!$A:$ADS,Z$3,FALSE)</f>
        <v>#NUM!</v>
      </c>
      <c r="AA30" s="294"/>
      <c r="AB30" s="293" t="e">
        <f ca="1">VLOOKUP($B30,KOMBI!$A:$ADS,AB$3,FALSE)</f>
        <v>#NUM!</v>
      </c>
      <c r="AC30" s="293" t="e">
        <f ca="1">VLOOKUP($B30,KOMBI!$A:$ADS,AC$3,FALSE)-AB30</f>
        <v>#NUM!</v>
      </c>
      <c r="AD30" s="293" t="e">
        <f ca="1">VLOOKUP($B30,KOMBI!$A:$ADS,AD$3,FALSE)</f>
        <v>#NUM!</v>
      </c>
      <c r="AE30" s="293" t="e">
        <f ca="1">VLOOKUP($B30,KOMBI!$A:$ADS,AE$3,FALSE)</f>
        <v>#NUM!</v>
      </c>
      <c r="AF30" s="293" t="e">
        <f ca="1">VLOOKUP($B30,KOMBI!$A:$ADS,AF$3,FALSE)-AE30</f>
        <v>#NUM!</v>
      </c>
      <c r="AG30" s="293" t="e">
        <f ca="1">VLOOKUP($B30,KOMBI!$A:$ADS,AG$3,FALSE)</f>
        <v>#NUM!</v>
      </c>
      <c r="AI30" s="293" t="e">
        <f t="array" aca="1" ref="AI30" ca="1">VLOOKUP($B30,KOMBI!$A:$ADS,MATCH(Tulem!AI$3,KOMBI!$A$1:$ADS$1,0),FALSE)</f>
        <v>#NUM!</v>
      </c>
      <c r="AJ30" s="293" t="e">
        <f t="array" aca="1" ref="AJ30" ca="1">VLOOKUP($B30,KOMBI!$A:$ADS,MATCH(Tulem!AJ$3,KOMBI!$A$1:$ADS$1,0),FALSE)</f>
        <v>#NUM!</v>
      </c>
      <c r="AK30" s="293" t="e">
        <f t="array" aca="1" ref="AK30" ca="1">VLOOKUP($B30,KOMBI!$A:$ADS,MATCH(Tulem!AK$3,KOMBI!$A$1:$ADS$1,0),FALSE)</f>
        <v>#NUM!</v>
      </c>
      <c r="AL30" s="293" t="e">
        <f t="array" aca="1" ref="AL30" ca="1">VLOOKUP($B30,KOMBI!$A:$ADS,MATCH(Tulem!AL$3,KOMBI!$A$1:$ADS$1,0),FALSE)</f>
        <v>#NUM!</v>
      </c>
      <c r="AM30" s="293" t="e">
        <f t="array" aca="1" ref="AM30" ca="1">VLOOKUP($B30,KOMBI!$A:$ADS,MATCH(Tulem!AM$3,KOMBI!$A$1:$ADS$1,0),FALSE)</f>
        <v>#NUM!</v>
      </c>
      <c r="AN30" s="293" t="e">
        <f t="array" aca="1" ref="AN30" ca="1">VLOOKUP($B30,KOMBI!$A:$ADS,MATCH(Tulem!AN$3,KOMBI!$A$1:$ADS$1,0),FALSE)</f>
        <v>#NUM!</v>
      </c>
      <c r="AO30" s="293" t="e">
        <f t="array" aca="1" ref="AO30" ca="1">VLOOKUP($B30,KOMBI!$A:$ADS,MATCH(Tulem!AO$3,KOMBI!$A$1:$ADS$1,0),FALSE)</f>
        <v>#NUM!</v>
      </c>
      <c r="AP30" s="293" t="e">
        <f t="array" aca="1" ref="AP30" ca="1">VLOOKUP($B30,KOMBI!$A:$ADS,MATCH(Tulem!AP$3,KOMBI!$A$1:$ADS$1,0),FALSE)</f>
        <v>#NUM!</v>
      </c>
      <c r="AQ30" s="293" t="e">
        <f t="array" aca="1" ref="AQ30" ca="1">VLOOKUP($B30,KOMBI!$A:$ADS,MATCH(Tulem!AQ$3,KOMBI!$A$1:$ADS$1,0),FALSE)</f>
        <v>#NUM!</v>
      </c>
      <c r="AR30" s="293" t="e">
        <f t="array" aca="1" ref="AR30" ca="1">VLOOKUP($B30,KOMBI!$A:$ADS,MATCH(Tulem!AR$3,KOMBI!$A$1:$ADS$1,0),FALSE)</f>
        <v>#NUM!</v>
      </c>
      <c r="AS30" s="293" t="e">
        <f t="array" aca="1" ref="AS30" ca="1">VLOOKUP($B30,KOMBI!$A:$ADS,MATCH(Tulem!AS$3,KOMBI!$A$1:$ADS$1,0),FALSE)</f>
        <v>#NUM!</v>
      </c>
      <c r="AT30" s="293" t="e">
        <f t="array" aca="1" ref="AT30" ca="1">VLOOKUP($B30,KOMBI!$A:$ADS,MATCH(Tulem!AT$3,KOMBI!$A$1:$ADS$1,0),FALSE)</f>
        <v>#NUM!</v>
      </c>
      <c r="AU30" s="293" t="e">
        <f t="array" aca="1" ref="AU30" ca="1">VLOOKUP($B30,KOMBI!$A:$ADS,MATCH(Tulem!AU$3,KOMBI!$A$1:$ADS$1,0),FALSE)</f>
        <v>#NUM!</v>
      </c>
      <c r="AV30" s="293" t="e">
        <f t="shared" ca="1" si="1"/>
        <v>#NUM!</v>
      </c>
      <c r="AW30" s="293" t="e">
        <f t="shared" ca="1" si="2"/>
        <v>#NUM!</v>
      </c>
      <c r="AX30" s="291" t="e">
        <f ca="1">VLOOKUP($B30,KOMBI!$A:$ACA,MATCH(AX$5,KOMBI!$10:$10,0),FALSE)</f>
        <v>#NUM!</v>
      </c>
      <c r="AY30" s="292" t="e">
        <f t="array" aca="1" ref="AY30" ca="1">VLOOKUP($B30,KOMBI!$A:$ADS,MATCH(Tulem!AY$3,KOMBI!$A$1:$ADS$1,0),FALSE)</f>
        <v>#NUM!</v>
      </c>
      <c r="AZ30" s="292" t="e">
        <f t="array" aca="1" ref="AZ30" ca="1">VLOOKUP($B30,KOMBI!$A:$ADS,MATCH(Tulem!AZ$3,KOMBI!$A$1:$ADS$1,0),FALSE)</f>
        <v>#NUM!</v>
      </c>
      <c r="BA30" s="292" t="e">
        <f t="array" aca="1" ref="BA30" ca="1">VLOOKUP($B30,KOMBI!$A:$ADS,MATCH(Tulem!BA$3,KOMBI!$A$1:$ADS$1,0),FALSE)</f>
        <v>#NUM!</v>
      </c>
      <c r="BB30" s="292" t="e">
        <f t="array" aca="1" ref="BB30" ca="1">VLOOKUP($B30,KOMBI!$A:$ADS,MATCH(Tulem!BB$3,KOMBI!$A$1:$ADS$1,0),FALSE)</f>
        <v>#NUM!</v>
      </c>
      <c r="BC30" s="292" t="e">
        <f t="array" aca="1" ref="BC30" ca="1">VLOOKUP($B30,KOMBI!$A:$ADS,MATCH(Tulem!BC$3,KOMBI!$A$1:$ADS$1,0),FALSE)</f>
        <v>#NUM!</v>
      </c>
      <c r="BD30" s="292" t="e">
        <f t="array" aca="1" ref="BD30" ca="1">VLOOKUP($B30,KOMBI!$A:$ADS,MATCH(Tulem!BD$3,KOMBI!$A$1:$ADS$1,0),FALSE)</f>
        <v>#NUM!</v>
      </c>
      <c r="BE30" s="292" t="e">
        <f t="array" aca="1" ref="BE30" ca="1">VLOOKUP($B30,KOMBI!$A:$ADS,MATCH(Tulem!BE$3,KOMBI!$A$1:$ADS$1,0),FALSE)</f>
        <v>#NUM!</v>
      </c>
      <c r="BF30" s="292" t="e">
        <f t="array" aca="1" ref="BF30" ca="1">VLOOKUP($B30,KOMBI!$A:$ADS,MATCH(Tulem!BF$3,KOMBI!$A$1:$ADS$1,0),FALSE)</f>
        <v>#NUM!</v>
      </c>
      <c r="BG30" s="292" t="e">
        <f t="array" aca="1" ref="BG30" ca="1">VLOOKUP($B30,KOMBI!$A:$ADS,MATCH(Tulem!BG$3,KOMBI!$A$1:$ADS$1,0),FALSE)</f>
        <v>#NUM!</v>
      </c>
      <c r="BH30" s="292" t="e">
        <f t="array" aca="1" ref="BH30" ca="1">VLOOKUP($B30,KOMBI!$A:$ADS,MATCH(Tulem!BH$3,KOMBI!$A$1:$ADS$1,0),FALSE)</f>
        <v>#NUM!</v>
      </c>
      <c r="BI30" s="292" t="e">
        <f t="array" aca="1" ref="BI30" ca="1">VLOOKUP($B30,KOMBI!$A:$ADS,MATCH(Tulem!BI$3,KOMBI!$A$1:$ADS$1,0),FALSE)</f>
        <v>#NUM!</v>
      </c>
      <c r="BJ30" s="292" t="e">
        <f t="array" aca="1" ref="BJ30" ca="1">VLOOKUP($B30,KOMBI!$A:$ADS,MATCH(Tulem!BJ$3,KOMBI!$A$1:$ADS$1,0),FALSE)</f>
        <v>#NUM!</v>
      </c>
      <c r="BK30" s="292" t="e">
        <f t="array" aca="1" ref="BK30" ca="1">VLOOKUP($B30,KOMBI!$A:$ADS,MATCH(Tulem!BK$3,KOMBI!$A$1:$ADS$1,0),FALSE)</f>
        <v>#NUM!</v>
      </c>
      <c r="BL30" s="292" t="e">
        <f t="array" aca="1" ref="BL30" ca="1">VLOOKUP($B30,KOMBI!$A:$ADS,MATCH(Tulem!BL$3,KOMBI!$A$1:$ADS$1,0),FALSE)</f>
        <v>#NUM!</v>
      </c>
      <c r="BM30" s="292" t="e">
        <f t="array" aca="1" ref="BM30" ca="1">VLOOKUP($B30,KOMBI!$A:$ADS,MATCH(Tulem!BM$3,KOMBI!$A$1:$ADS$1,0),FALSE)</f>
        <v>#NUM!</v>
      </c>
      <c r="BN30" s="292" t="e">
        <f t="array" aca="1" ref="BN30" ca="1">VLOOKUP($B30,KOMBI!$A:$ADS,MATCH(Tulem!BN$3,KOMBI!$A$1:$ADS$1,0),FALSE)</f>
        <v>#NUM!</v>
      </c>
      <c r="BO30" s="292" t="e">
        <f t="array" aca="1" ref="BO30" ca="1">VLOOKUP($B30,KOMBI!$A:$ADS,MATCH(Tulem!BO$3,KOMBI!$A$1:$ADS$1,0),FALSE)</f>
        <v>#NUM!</v>
      </c>
      <c r="BP30" s="291"/>
      <c r="BQ30" s="292" t="e">
        <f t="array" aca="1" ref="BQ30" ca="1">VLOOKUP($B30,KOMBI!$A:$ADS,MATCH(Tulem!BQ$3,KOMBI!$A$1:$ADS$1,0),FALSE)</f>
        <v>#NUM!</v>
      </c>
      <c r="BR30" s="292" t="e">
        <f t="array" aca="1" ref="BR30" ca="1">VLOOKUP($B30,KOMBI!$A:$ADS,MATCH(Tulem!BR$3,KOMBI!$A$1:$ADS$1,0),FALSE)</f>
        <v>#NUM!</v>
      </c>
      <c r="BS30" s="292" t="e">
        <f t="array" aca="1" ref="BS30" ca="1">VLOOKUP($B30,KOMBI!$A:$ADS,MATCH(Tulem!BS$3,KOMBI!$A$1:$ADS$1,0),FALSE)</f>
        <v>#NUM!</v>
      </c>
      <c r="BT30" s="292" t="e">
        <f t="array" aca="1" ref="BT30" ca="1">VLOOKUP($B30,KOMBI!$A:$ADS,MATCH(Tulem!BT$3,KOMBI!$A$1:$ADS$1,0),FALSE)</f>
        <v>#NUM!</v>
      </c>
      <c r="BU30" s="292" t="e">
        <f t="array" aca="1" ref="BU30" ca="1">VLOOKUP($B30,KOMBI!$A:$ADS,MATCH(Tulem!BU$3,KOMBI!$A$1:$ADS$1,0),FALSE)</f>
        <v>#NUM!</v>
      </c>
      <c r="BV30" s="291"/>
      <c r="BW30" s="292" t="e">
        <f t="array" aca="1" ref="BW30" ca="1">VLOOKUP($B30,KOMBI!$A:$ADS,MATCH(Tulem!BW$3,KOMBI!$A$1:$ADS$1,0),FALSE)</f>
        <v>#NUM!</v>
      </c>
      <c r="BX30" s="291"/>
      <c r="BY30" s="291"/>
      <c r="BZ30" s="292" t="e">
        <f t="array" aca="1" ref="BZ30" ca="1">VLOOKUP($B30,KOMBI!$A:$ADS,MATCH(Tulem!BZ$3,KOMBI!$A$1:$ADS$1,0),FALSE)</f>
        <v>#NUM!</v>
      </c>
      <c r="CA30" s="292" t="e">
        <f t="array" aca="1" ref="CA30" ca="1">VLOOKUP($B30,KOMBI!$A:$ADS,MATCH(Tulem!CA$3,KOMBI!$A$1:$ADS$1,0),FALSE)</f>
        <v>#NUM!</v>
      </c>
      <c r="CB30" s="292" t="e">
        <f t="array" aca="1" ref="CB30" ca="1">VLOOKUP($B30,KOMBI!$A:$ADS,MATCH(Tulem!CB$3,KOMBI!$A$1:$ADS$1,0),FALSE)</f>
        <v>#NUM!</v>
      </c>
      <c r="CC30" s="292" t="e">
        <f t="array" aca="1" ref="CC30" ca="1">VLOOKUP($B30,KOMBI!$A:$ADS,MATCH(Tulem!CC$3,KOMBI!$A$1:$ADS$1,0),FALSE)</f>
        <v>#NUM!</v>
      </c>
      <c r="CD30" s="292" t="e">
        <f t="array" aca="1" ref="CD30" ca="1">VLOOKUP($B30,KOMBI!$A:$ADS,MATCH(Tulem!CD$3,KOMBI!$A$1:$ADS$1,0),FALSE)</f>
        <v>#NUM!</v>
      </c>
      <c r="CF30" s="51" t="e">
        <f ca="1">VLOOKUP($B30,KOMBI!$A:$ACG,MATCH(CF$5,KOMBI!$10:$10,0),FALSE)</f>
        <v>#NUM!</v>
      </c>
    </row>
    <row r="31" spans="1:84" x14ac:dyDescent="0.2">
      <c r="A31" s="51">
        <v>26</v>
      </c>
      <c r="B31" s="51" t="e">
        <f ca="1">KOMBI!GI36</f>
        <v>#NUM!</v>
      </c>
      <c r="C31" s="51">
        <f t="shared" si="0"/>
        <v>26</v>
      </c>
      <c r="D31" s="290" t="e">
        <f ca="1">VLOOKUP(VLOOKUP($B31,KOMBI!$A:$H,3,FALSE),data!$I$27:$J$29,2,FALSE)</f>
        <v>#NUM!</v>
      </c>
      <c r="E31" s="290" t="e">
        <f ca="1">VLOOKUP(VLOOKUP($B31,KOMBI!$A:$H,2,FALSE),data!$I$21:$J$23,2,FALSE)</f>
        <v>#NUM!</v>
      </c>
      <c r="F31" s="290" t="e">
        <f ca="1">VLOOKUP(VLOOKUP($B31,KOMBI!$A:$H,5,FALSE),data!$I$39:$J$41,2,FALSE)</f>
        <v>#NUM!</v>
      </c>
      <c r="G31" s="290" t="e">
        <f ca="1">VLOOKUP(VLOOKUP($B31,KOMBI!$A:$H,4,FALSE),data!$I$32:$J$36,2,FALSE)</f>
        <v>#NUM!</v>
      </c>
      <c r="I31" s="51" t="e">
        <f ca="1">VLOOKUP($B31,KOMBI!$A:$Z,MATCH(I$5,KOMBI!$10:$10,0),FALSE)</f>
        <v>#NUM!</v>
      </c>
      <c r="J31" s="291" t="e">
        <f ca="1">VLOOKUP($B31,KOMBI!$A:$ADS,J$3,FALSE)</f>
        <v>#NUM!</v>
      </c>
      <c r="K31" s="291" t="e">
        <f ca="1">VLOOKUP($B31,KOMBI!$A:$ADS,K$3,FALSE)</f>
        <v>#NUM!</v>
      </c>
      <c r="L31" s="291" t="e">
        <f ca="1">VLOOKUP($B31,KOMBI!$A:$ADS,L$3,FALSE)</f>
        <v>#NUM!</v>
      </c>
      <c r="M31" s="291" t="e">
        <f ca="1">VLOOKUP($B31,KOMBI!$A:$ADS,M$3,FALSE)</f>
        <v>#NUM!</v>
      </c>
      <c r="N31" s="291" t="e">
        <f ca="1">VLOOKUP($B31,KOMBI!$A:$ADS,N$3,FALSE)</f>
        <v>#NUM!</v>
      </c>
      <c r="O31" s="291" t="e">
        <f ca="1">VLOOKUP($B31,KOMBI!$A:$ADS,O$3,FALSE)</f>
        <v>#NUM!</v>
      </c>
      <c r="P31" s="291" t="e">
        <f ca="1">VLOOKUP($B31,KOMBI!$A:$ADS,P$3,FALSE)</f>
        <v>#NUM!</v>
      </c>
      <c r="Q31" s="292" t="e">
        <f t="array" aca="1" ref="Q31" ca="1">VLOOKUP($B31,KOMBI!$A:$ADS,MATCH(Tulem!Q$3,KOMBI!$A$1:$ADS$1,0),FALSE)</f>
        <v>#NUM!</v>
      </c>
      <c r="S31" s="332" t="e">
        <f t="array" aca="1" ref="S31" ca="1">VLOOKUP($B31,KOMBI!$A:$ADS,MATCH(Tulem!S$3,KOMBI!$A$1:$ADS$1,0),FALSE)</f>
        <v>#NUM!</v>
      </c>
      <c r="T31" s="293" t="e">
        <f ca="1">VLOOKUP($B31,KOMBI!$A:$ADS,T$3,FALSE)</f>
        <v>#NUM!</v>
      </c>
      <c r="U31" s="293" t="e">
        <f ca="1">VLOOKUP($B31,KOMBI!$A:$ADS,U$3,FALSE)</f>
        <v>#NUM!</v>
      </c>
      <c r="V31" s="293" t="e">
        <f ca="1">VLOOKUP($B31,KOMBI!$A:$ADS,V$3,FALSE)</f>
        <v>#NUM!</v>
      </c>
      <c r="W31" s="293"/>
      <c r="X31" s="293" t="e">
        <f ca="1">VLOOKUP($B31,KOMBI!$A:$ADS,X$3,FALSE)</f>
        <v>#NUM!</v>
      </c>
      <c r="Y31" s="293" t="e">
        <f ca="1">VLOOKUP($B31,KOMBI!$A:$ADS,Y$3,FALSE)</f>
        <v>#NUM!</v>
      </c>
      <c r="Z31" s="293" t="e">
        <f ca="1">VLOOKUP($B31,KOMBI!$A:$ADS,Z$3,FALSE)</f>
        <v>#NUM!</v>
      </c>
      <c r="AA31" s="294"/>
      <c r="AB31" s="293" t="e">
        <f ca="1">VLOOKUP($B31,KOMBI!$A:$ADS,AB$3,FALSE)</f>
        <v>#NUM!</v>
      </c>
      <c r="AC31" s="293" t="e">
        <f ca="1">VLOOKUP($B31,KOMBI!$A:$ADS,AC$3,FALSE)-AB31</f>
        <v>#NUM!</v>
      </c>
      <c r="AD31" s="293" t="e">
        <f ca="1">VLOOKUP($B31,KOMBI!$A:$ADS,AD$3,FALSE)</f>
        <v>#NUM!</v>
      </c>
      <c r="AE31" s="293" t="e">
        <f ca="1">VLOOKUP($B31,KOMBI!$A:$ADS,AE$3,FALSE)</f>
        <v>#NUM!</v>
      </c>
      <c r="AF31" s="293" t="e">
        <f ca="1">VLOOKUP($B31,KOMBI!$A:$ADS,AF$3,FALSE)-AE31</f>
        <v>#NUM!</v>
      </c>
      <c r="AG31" s="293" t="e">
        <f ca="1">VLOOKUP($B31,KOMBI!$A:$ADS,AG$3,FALSE)</f>
        <v>#NUM!</v>
      </c>
      <c r="AI31" s="293" t="e">
        <f t="array" aca="1" ref="AI31" ca="1">VLOOKUP($B31,KOMBI!$A:$ADS,MATCH(Tulem!AI$3,KOMBI!$A$1:$ADS$1,0),FALSE)</f>
        <v>#NUM!</v>
      </c>
      <c r="AJ31" s="293" t="e">
        <f t="array" aca="1" ref="AJ31" ca="1">VLOOKUP($B31,KOMBI!$A:$ADS,MATCH(Tulem!AJ$3,KOMBI!$A$1:$ADS$1,0),FALSE)</f>
        <v>#NUM!</v>
      </c>
      <c r="AK31" s="293" t="e">
        <f t="array" aca="1" ref="AK31" ca="1">VLOOKUP($B31,KOMBI!$A:$ADS,MATCH(Tulem!AK$3,KOMBI!$A$1:$ADS$1,0),FALSE)</f>
        <v>#NUM!</v>
      </c>
      <c r="AL31" s="293" t="e">
        <f t="array" aca="1" ref="AL31" ca="1">VLOOKUP($B31,KOMBI!$A:$ADS,MATCH(Tulem!AL$3,KOMBI!$A$1:$ADS$1,0),FALSE)</f>
        <v>#NUM!</v>
      </c>
      <c r="AM31" s="293" t="e">
        <f t="array" aca="1" ref="AM31" ca="1">VLOOKUP($B31,KOMBI!$A:$ADS,MATCH(Tulem!AM$3,KOMBI!$A$1:$ADS$1,0),FALSE)</f>
        <v>#NUM!</v>
      </c>
      <c r="AN31" s="293" t="e">
        <f t="array" aca="1" ref="AN31" ca="1">VLOOKUP($B31,KOMBI!$A:$ADS,MATCH(Tulem!AN$3,KOMBI!$A$1:$ADS$1,0),FALSE)</f>
        <v>#NUM!</v>
      </c>
      <c r="AO31" s="293" t="e">
        <f t="array" aca="1" ref="AO31" ca="1">VLOOKUP($B31,KOMBI!$A:$ADS,MATCH(Tulem!AO$3,KOMBI!$A$1:$ADS$1,0),FALSE)</f>
        <v>#NUM!</v>
      </c>
      <c r="AP31" s="293" t="e">
        <f t="array" aca="1" ref="AP31" ca="1">VLOOKUP($B31,KOMBI!$A:$ADS,MATCH(Tulem!AP$3,KOMBI!$A$1:$ADS$1,0),FALSE)</f>
        <v>#NUM!</v>
      </c>
      <c r="AQ31" s="293" t="e">
        <f t="array" aca="1" ref="AQ31" ca="1">VLOOKUP($B31,KOMBI!$A:$ADS,MATCH(Tulem!AQ$3,KOMBI!$A$1:$ADS$1,0),FALSE)</f>
        <v>#NUM!</v>
      </c>
      <c r="AR31" s="293" t="e">
        <f t="array" aca="1" ref="AR31" ca="1">VLOOKUP($B31,KOMBI!$A:$ADS,MATCH(Tulem!AR$3,KOMBI!$A$1:$ADS$1,0),FALSE)</f>
        <v>#NUM!</v>
      </c>
      <c r="AS31" s="293" t="e">
        <f t="array" aca="1" ref="AS31" ca="1">VLOOKUP($B31,KOMBI!$A:$ADS,MATCH(Tulem!AS$3,KOMBI!$A$1:$ADS$1,0),FALSE)</f>
        <v>#NUM!</v>
      </c>
      <c r="AT31" s="293" t="e">
        <f t="array" aca="1" ref="AT31" ca="1">VLOOKUP($B31,KOMBI!$A:$ADS,MATCH(Tulem!AT$3,KOMBI!$A$1:$ADS$1,0),FALSE)</f>
        <v>#NUM!</v>
      </c>
      <c r="AU31" s="293" t="e">
        <f t="array" aca="1" ref="AU31" ca="1">VLOOKUP($B31,KOMBI!$A:$ADS,MATCH(Tulem!AU$3,KOMBI!$A$1:$ADS$1,0),FALSE)</f>
        <v>#NUM!</v>
      </c>
      <c r="AV31" s="293" t="e">
        <f t="shared" ca="1" si="1"/>
        <v>#NUM!</v>
      </c>
      <c r="AW31" s="293" t="e">
        <f t="shared" ca="1" si="2"/>
        <v>#NUM!</v>
      </c>
      <c r="AX31" s="291" t="e">
        <f ca="1">VLOOKUP($B31,KOMBI!$A:$ACA,MATCH(AX$5,KOMBI!$10:$10,0),FALSE)</f>
        <v>#NUM!</v>
      </c>
      <c r="AY31" s="292" t="e">
        <f t="array" aca="1" ref="AY31" ca="1">VLOOKUP($B31,KOMBI!$A:$ADS,MATCH(Tulem!AY$3,KOMBI!$A$1:$ADS$1,0),FALSE)</f>
        <v>#NUM!</v>
      </c>
      <c r="AZ31" s="292" t="e">
        <f t="array" aca="1" ref="AZ31" ca="1">VLOOKUP($B31,KOMBI!$A:$ADS,MATCH(Tulem!AZ$3,KOMBI!$A$1:$ADS$1,0),FALSE)</f>
        <v>#NUM!</v>
      </c>
      <c r="BA31" s="292" t="e">
        <f t="array" aca="1" ref="BA31" ca="1">VLOOKUP($B31,KOMBI!$A:$ADS,MATCH(Tulem!BA$3,KOMBI!$A$1:$ADS$1,0),FALSE)</f>
        <v>#NUM!</v>
      </c>
      <c r="BB31" s="292" t="e">
        <f t="array" aca="1" ref="BB31" ca="1">VLOOKUP($B31,KOMBI!$A:$ADS,MATCH(Tulem!BB$3,KOMBI!$A$1:$ADS$1,0),FALSE)</f>
        <v>#NUM!</v>
      </c>
      <c r="BC31" s="292" t="e">
        <f t="array" aca="1" ref="BC31" ca="1">VLOOKUP($B31,KOMBI!$A:$ADS,MATCH(Tulem!BC$3,KOMBI!$A$1:$ADS$1,0),FALSE)</f>
        <v>#NUM!</v>
      </c>
      <c r="BD31" s="292" t="e">
        <f t="array" aca="1" ref="BD31" ca="1">VLOOKUP($B31,KOMBI!$A:$ADS,MATCH(Tulem!BD$3,KOMBI!$A$1:$ADS$1,0),FALSE)</f>
        <v>#NUM!</v>
      </c>
      <c r="BE31" s="292" t="e">
        <f t="array" aca="1" ref="BE31" ca="1">VLOOKUP($B31,KOMBI!$A:$ADS,MATCH(Tulem!BE$3,KOMBI!$A$1:$ADS$1,0),FALSE)</f>
        <v>#NUM!</v>
      </c>
      <c r="BF31" s="292" t="e">
        <f t="array" aca="1" ref="BF31" ca="1">VLOOKUP($B31,KOMBI!$A:$ADS,MATCH(Tulem!BF$3,KOMBI!$A$1:$ADS$1,0),FALSE)</f>
        <v>#NUM!</v>
      </c>
      <c r="BG31" s="292" t="e">
        <f t="array" aca="1" ref="BG31" ca="1">VLOOKUP($B31,KOMBI!$A:$ADS,MATCH(Tulem!BG$3,KOMBI!$A$1:$ADS$1,0),FALSE)</f>
        <v>#NUM!</v>
      </c>
      <c r="BH31" s="292" t="e">
        <f t="array" aca="1" ref="BH31" ca="1">VLOOKUP($B31,KOMBI!$A:$ADS,MATCH(Tulem!BH$3,KOMBI!$A$1:$ADS$1,0),FALSE)</f>
        <v>#NUM!</v>
      </c>
      <c r="BI31" s="292" t="e">
        <f t="array" aca="1" ref="BI31" ca="1">VLOOKUP($B31,KOMBI!$A:$ADS,MATCH(Tulem!BI$3,KOMBI!$A$1:$ADS$1,0),FALSE)</f>
        <v>#NUM!</v>
      </c>
      <c r="BJ31" s="292" t="e">
        <f t="array" aca="1" ref="BJ31" ca="1">VLOOKUP($B31,KOMBI!$A:$ADS,MATCH(Tulem!BJ$3,KOMBI!$A$1:$ADS$1,0),FALSE)</f>
        <v>#NUM!</v>
      </c>
      <c r="BK31" s="292" t="e">
        <f t="array" aca="1" ref="BK31" ca="1">VLOOKUP($B31,KOMBI!$A:$ADS,MATCH(Tulem!BK$3,KOMBI!$A$1:$ADS$1,0),FALSE)</f>
        <v>#NUM!</v>
      </c>
      <c r="BL31" s="292" t="e">
        <f t="array" aca="1" ref="BL31" ca="1">VLOOKUP($B31,KOMBI!$A:$ADS,MATCH(Tulem!BL$3,KOMBI!$A$1:$ADS$1,0),FALSE)</f>
        <v>#NUM!</v>
      </c>
      <c r="BM31" s="292" t="e">
        <f t="array" aca="1" ref="BM31" ca="1">VLOOKUP($B31,KOMBI!$A:$ADS,MATCH(Tulem!BM$3,KOMBI!$A$1:$ADS$1,0),FALSE)</f>
        <v>#NUM!</v>
      </c>
      <c r="BN31" s="292" t="e">
        <f t="array" aca="1" ref="BN31" ca="1">VLOOKUP($B31,KOMBI!$A:$ADS,MATCH(Tulem!BN$3,KOMBI!$A$1:$ADS$1,0),FALSE)</f>
        <v>#NUM!</v>
      </c>
      <c r="BO31" s="292" t="e">
        <f t="array" aca="1" ref="BO31" ca="1">VLOOKUP($B31,KOMBI!$A:$ADS,MATCH(Tulem!BO$3,KOMBI!$A$1:$ADS$1,0),FALSE)</f>
        <v>#NUM!</v>
      </c>
      <c r="BP31" s="291"/>
      <c r="BQ31" s="292" t="e">
        <f t="array" aca="1" ref="BQ31" ca="1">VLOOKUP($B31,KOMBI!$A:$ADS,MATCH(Tulem!BQ$3,KOMBI!$A$1:$ADS$1,0),FALSE)</f>
        <v>#NUM!</v>
      </c>
      <c r="BR31" s="292" t="e">
        <f t="array" aca="1" ref="BR31" ca="1">VLOOKUP($B31,KOMBI!$A:$ADS,MATCH(Tulem!BR$3,KOMBI!$A$1:$ADS$1,0),FALSE)</f>
        <v>#NUM!</v>
      </c>
      <c r="BS31" s="292" t="e">
        <f t="array" aca="1" ref="BS31" ca="1">VLOOKUP($B31,KOMBI!$A:$ADS,MATCH(Tulem!BS$3,KOMBI!$A$1:$ADS$1,0),FALSE)</f>
        <v>#NUM!</v>
      </c>
      <c r="BT31" s="292" t="e">
        <f t="array" aca="1" ref="BT31" ca="1">VLOOKUP($B31,KOMBI!$A:$ADS,MATCH(Tulem!BT$3,KOMBI!$A$1:$ADS$1,0),FALSE)</f>
        <v>#NUM!</v>
      </c>
      <c r="BU31" s="292" t="e">
        <f t="array" aca="1" ref="BU31" ca="1">VLOOKUP($B31,KOMBI!$A:$ADS,MATCH(Tulem!BU$3,KOMBI!$A$1:$ADS$1,0),FALSE)</f>
        <v>#NUM!</v>
      </c>
      <c r="BV31" s="291"/>
      <c r="BW31" s="292" t="e">
        <f t="array" aca="1" ref="BW31" ca="1">VLOOKUP($B31,KOMBI!$A:$ADS,MATCH(Tulem!BW$3,KOMBI!$A$1:$ADS$1,0),FALSE)</f>
        <v>#NUM!</v>
      </c>
      <c r="BX31" s="291"/>
      <c r="BY31" s="291"/>
      <c r="BZ31" s="292" t="e">
        <f t="array" aca="1" ref="BZ31" ca="1">VLOOKUP($B31,KOMBI!$A:$ADS,MATCH(Tulem!BZ$3,KOMBI!$A$1:$ADS$1,0),FALSE)</f>
        <v>#NUM!</v>
      </c>
      <c r="CA31" s="292" t="e">
        <f t="array" aca="1" ref="CA31" ca="1">VLOOKUP($B31,KOMBI!$A:$ADS,MATCH(Tulem!CA$3,KOMBI!$A$1:$ADS$1,0),FALSE)</f>
        <v>#NUM!</v>
      </c>
      <c r="CB31" s="292" t="e">
        <f t="array" aca="1" ref="CB31" ca="1">VLOOKUP($B31,KOMBI!$A:$ADS,MATCH(Tulem!CB$3,KOMBI!$A$1:$ADS$1,0),FALSE)</f>
        <v>#NUM!</v>
      </c>
      <c r="CC31" s="292" t="e">
        <f t="array" aca="1" ref="CC31" ca="1">VLOOKUP($B31,KOMBI!$A:$ADS,MATCH(Tulem!CC$3,KOMBI!$A$1:$ADS$1,0),FALSE)</f>
        <v>#NUM!</v>
      </c>
      <c r="CD31" s="292" t="e">
        <f t="array" aca="1" ref="CD31" ca="1">VLOOKUP($B31,KOMBI!$A:$ADS,MATCH(Tulem!CD$3,KOMBI!$A$1:$ADS$1,0),FALSE)</f>
        <v>#NUM!</v>
      </c>
      <c r="CF31" s="51" t="e">
        <f ca="1">VLOOKUP($B31,KOMBI!$A:$ACG,MATCH(CF$5,KOMBI!$10:$10,0),FALSE)</f>
        <v>#NUM!</v>
      </c>
    </row>
    <row r="32" spans="1:84" x14ac:dyDescent="0.2">
      <c r="A32" s="51">
        <v>27</v>
      </c>
      <c r="B32" s="51" t="e">
        <f ca="1">KOMBI!GI37</f>
        <v>#NUM!</v>
      </c>
      <c r="C32" s="51">
        <f t="shared" si="0"/>
        <v>27</v>
      </c>
      <c r="D32" s="290" t="e">
        <f ca="1">VLOOKUP(VLOOKUP($B32,KOMBI!$A:$H,3,FALSE),data!$I$27:$J$29,2,FALSE)</f>
        <v>#NUM!</v>
      </c>
      <c r="E32" s="290" t="e">
        <f ca="1">VLOOKUP(VLOOKUP($B32,KOMBI!$A:$H,2,FALSE),data!$I$21:$J$23,2,FALSE)</f>
        <v>#NUM!</v>
      </c>
      <c r="F32" s="290" t="e">
        <f ca="1">VLOOKUP(VLOOKUP($B32,KOMBI!$A:$H,5,FALSE),data!$I$39:$J$41,2,FALSE)</f>
        <v>#NUM!</v>
      </c>
      <c r="G32" s="290" t="e">
        <f ca="1">VLOOKUP(VLOOKUP($B32,KOMBI!$A:$H,4,FALSE),data!$I$32:$J$36,2,FALSE)</f>
        <v>#NUM!</v>
      </c>
      <c r="I32" s="51" t="e">
        <f ca="1">VLOOKUP($B32,KOMBI!$A:$Z,MATCH(I$5,KOMBI!$10:$10,0),FALSE)</f>
        <v>#NUM!</v>
      </c>
      <c r="J32" s="291" t="e">
        <f ca="1">VLOOKUP($B32,KOMBI!$A:$ADS,J$3,FALSE)</f>
        <v>#NUM!</v>
      </c>
      <c r="K32" s="291" t="e">
        <f ca="1">VLOOKUP($B32,KOMBI!$A:$ADS,K$3,FALSE)</f>
        <v>#NUM!</v>
      </c>
      <c r="L32" s="291" t="e">
        <f ca="1">VLOOKUP($B32,KOMBI!$A:$ADS,L$3,FALSE)</f>
        <v>#NUM!</v>
      </c>
      <c r="M32" s="291" t="e">
        <f ca="1">VLOOKUP($B32,KOMBI!$A:$ADS,M$3,FALSE)</f>
        <v>#NUM!</v>
      </c>
      <c r="N32" s="291" t="e">
        <f ca="1">VLOOKUP($B32,KOMBI!$A:$ADS,N$3,FALSE)</f>
        <v>#NUM!</v>
      </c>
      <c r="O32" s="291" t="e">
        <f ca="1">VLOOKUP($B32,KOMBI!$A:$ADS,O$3,FALSE)</f>
        <v>#NUM!</v>
      </c>
      <c r="P32" s="291" t="e">
        <f ca="1">VLOOKUP($B32,KOMBI!$A:$ADS,P$3,FALSE)</f>
        <v>#NUM!</v>
      </c>
      <c r="Q32" s="292" t="e">
        <f t="array" aca="1" ref="Q32" ca="1">VLOOKUP($B32,KOMBI!$A:$ADS,MATCH(Tulem!Q$3,KOMBI!$A$1:$ADS$1,0),FALSE)</f>
        <v>#NUM!</v>
      </c>
      <c r="S32" s="332" t="e">
        <f t="array" aca="1" ref="S32" ca="1">VLOOKUP($B32,KOMBI!$A:$ADS,MATCH(Tulem!S$3,KOMBI!$A$1:$ADS$1,0),FALSE)</f>
        <v>#NUM!</v>
      </c>
      <c r="T32" s="293" t="e">
        <f ca="1">VLOOKUP($B32,KOMBI!$A:$ADS,T$3,FALSE)</f>
        <v>#NUM!</v>
      </c>
      <c r="U32" s="293" t="e">
        <f ca="1">VLOOKUP($B32,KOMBI!$A:$ADS,U$3,FALSE)</f>
        <v>#NUM!</v>
      </c>
      <c r="V32" s="293" t="e">
        <f ca="1">VLOOKUP($B32,KOMBI!$A:$ADS,V$3,FALSE)</f>
        <v>#NUM!</v>
      </c>
      <c r="W32" s="293"/>
      <c r="X32" s="293" t="e">
        <f ca="1">VLOOKUP($B32,KOMBI!$A:$ADS,X$3,FALSE)</f>
        <v>#NUM!</v>
      </c>
      <c r="Y32" s="293" t="e">
        <f ca="1">VLOOKUP($B32,KOMBI!$A:$ADS,Y$3,FALSE)</f>
        <v>#NUM!</v>
      </c>
      <c r="Z32" s="293" t="e">
        <f ca="1">VLOOKUP($B32,KOMBI!$A:$ADS,Z$3,FALSE)</f>
        <v>#NUM!</v>
      </c>
      <c r="AA32" s="294"/>
      <c r="AB32" s="293" t="e">
        <f ca="1">VLOOKUP($B32,KOMBI!$A:$ADS,AB$3,FALSE)</f>
        <v>#NUM!</v>
      </c>
      <c r="AC32" s="293" t="e">
        <f ca="1">VLOOKUP($B32,KOMBI!$A:$ADS,AC$3,FALSE)-AB32</f>
        <v>#NUM!</v>
      </c>
      <c r="AD32" s="293" t="e">
        <f ca="1">VLOOKUP($B32,KOMBI!$A:$ADS,AD$3,FALSE)</f>
        <v>#NUM!</v>
      </c>
      <c r="AE32" s="293" t="e">
        <f ca="1">VLOOKUP($B32,KOMBI!$A:$ADS,AE$3,FALSE)</f>
        <v>#NUM!</v>
      </c>
      <c r="AF32" s="293" t="e">
        <f ca="1">VLOOKUP($B32,KOMBI!$A:$ADS,AF$3,FALSE)-AE32</f>
        <v>#NUM!</v>
      </c>
      <c r="AG32" s="293" t="e">
        <f ca="1">VLOOKUP($B32,KOMBI!$A:$ADS,AG$3,FALSE)</f>
        <v>#NUM!</v>
      </c>
      <c r="AI32" s="293" t="e">
        <f t="array" aca="1" ref="AI32" ca="1">VLOOKUP($B32,KOMBI!$A:$ADS,MATCH(Tulem!AI$3,KOMBI!$A$1:$ADS$1,0),FALSE)</f>
        <v>#NUM!</v>
      </c>
      <c r="AJ32" s="293" t="e">
        <f t="array" aca="1" ref="AJ32" ca="1">VLOOKUP($B32,KOMBI!$A:$ADS,MATCH(Tulem!AJ$3,KOMBI!$A$1:$ADS$1,0),FALSE)</f>
        <v>#NUM!</v>
      </c>
      <c r="AK32" s="293" t="e">
        <f t="array" aca="1" ref="AK32" ca="1">VLOOKUP($B32,KOMBI!$A:$ADS,MATCH(Tulem!AK$3,KOMBI!$A$1:$ADS$1,0),FALSE)</f>
        <v>#NUM!</v>
      </c>
      <c r="AL32" s="293" t="e">
        <f t="array" aca="1" ref="AL32" ca="1">VLOOKUP($B32,KOMBI!$A:$ADS,MATCH(Tulem!AL$3,KOMBI!$A$1:$ADS$1,0),FALSE)</f>
        <v>#NUM!</v>
      </c>
      <c r="AM32" s="293" t="e">
        <f t="array" aca="1" ref="AM32" ca="1">VLOOKUP($B32,KOMBI!$A:$ADS,MATCH(Tulem!AM$3,KOMBI!$A$1:$ADS$1,0),FALSE)</f>
        <v>#NUM!</v>
      </c>
      <c r="AN32" s="293" t="e">
        <f t="array" aca="1" ref="AN32" ca="1">VLOOKUP($B32,KOMBI!$A:$ADS,MATCH(Tulem!AN$3,KOMBI!$A$1:$ADS$1,0),FALSE)</f>
        <v>#NUM!</v>
      </c>
      <c r="AO32" s="293" t="e">
        <f t="array" aca="1" ref="AO32" ca="1">VLOOKUP($B32,KOMBI!$A:$ADS,MATCH(Tulem!AO$3,KOMBI!$A$1:$ADS$1,0),FALSE)</f>
        <v>#NUM!</v>
      </c>
      <c r="AP32" s="293" t="e">
        <f t="array" aca="1" ref="AP32" ca="1">VLOOKUP($B32,KOMBI!$A:$ADS,MATCH(Tulem!AP$3,KOMBI!$A$1:$ADS$1,0),FALSE)</f>
        <v>#NUM!</v>
      </c>
      <c r="AQ32" s="293" t="e">
        <f t="array" aca="1" ref="AQ32" ca="1">VLOOKUP($B32,KOMBI!$A:$ADS,MATCH(Tulem!AQ$3,KOMBI!$A$1:$ADS$1,0),FALSE)</f>
        <v>#NUM!</v>
      </c>
      <c r="AR32" s="293" t="e">
        <f t="array" aca="1" ref="AR32" ca="1">VLOOKUP($B32,KOMBI!$A:$ADS,MATCH(Tulem!AR$3,KOMBI!$A$1:$ADS$1,0),FALSE)</f>
        <v>#NUM!</v>
      </c>
      <c r="AS32" s="293" t="e">
        <f t="array" aca="1" ref="AS32" ca="1">VLOOKUP($B32,KOMBI!$A:$ADS,MATCH(Tulem!AS$3,KOMBI!$A$1:$ADS$1,0),FALSE)</f>
        <v>#NUM!</v>
      </c>
      <c r="AT32" s="293" t="e">
        <f t="array" aca="1" ref="AT32" ca="1">VLOOKUP($B32,KOMBI!$A:$ADS,MATCH(Tulem!AT$3,KOMBI!$A$1:$ADS$1,0),FALSE)</f>
        <v>#NUM!</v>
      </c>
      <c r="AU32" s="293" t="e">
        <f t="array" aca="1" ref="AU32" ca="1">VLOOKUP($B32,KOMBI!$A:$ADS,MATCH(Tulem!AU$3,KOMBI!$A$1:$ADS$1,0),FALSE)</f>
        <v>#NUM!</v>
      </c>
      <c r="AV32" s="293" t="e">
        <f t="shared" ca="1" si="1"/>
        <v>#NUM!</v>
      </c>
      <c r="AW32" s="293" t="e">
        <f t="shared" ca="1" si="2"/>
        <v>#NUM!</v>
      </c>
      <c r="AX32" s="291" t="e">
        <f ca="1">VLOOKUP($B32,KOMBI!$A:$ACA,MATCH(AX$5,KOMBI!$10:$10,0),FALSE)</f>
        <v>#NUM!</v>
      </c>
      <c r="AY32" s="292" t="e">
        <f t="array" aca="1" ref="AY32" ca="1">VLOOKUP($B32,KOMBI!$A:$ADS,MATCH(Tulem!AY$3,KOMBI!$A$1:$ADS$1,0),FALSE)</f>
        <v>#NUM!</v>
      </c>
      <c r="AZ32" s="292" t="e">
        <f t="array" aca="1" ref="AZ32" ca="1">VLOOKUP($B32,KOMBI!$A:$ADS,MATCH(Tulem!AZ$3,KOMBI!$A$1:$ADS$1,0),FALSE)</f>
        <v>#NUM!</v>
      </c>
      <c r="BA32" s="292" t="e">
        <f t="array" aca="1" ref="BA32" ca="1">VLOOKUP($B32,KOMBI!$A:$ADS,MATCH(Tulem!BA$3,KOMBI!$A$1:$ADS$1,0),FALSE)</f>
        <v>#NUM!</v>
      </c>
      <c r="BB32" s="292" t="e">
        <f t="array" aca="1" ref="BB32" ca="1">VLOOKUP($B32,KOMBI!$A:$ADS,MATCH(Tulem!BB$3,KOMBI!$A$1:$ADS$1,0),FALSE)</f>
        <v>#NUM!</v>
      </c>
      <c r="BC32" s="292" t="e">
        <f t="array" aca="1" ref="BC32" ca="1">VLOOKUP($B32,KOMBI!$A:$ADS,MATCH(Tulem!BC$3,KOMBI!$A$1:$ADS$1,0),FALSE)</f>
        <v>#NUM!</v>
      </c>
      <c r="BD32" s="292" t="e">
        <f t="array" aca="1" ref="BD32" ca="1">VLOOKUP($B32,KOMBI!$A:$ADS,MATCH(Tulem!BD$3,KOMBI!$A$1:$ADS$1,0),FALSE)</f>
        <v>#NUM!</v>
      </c>
      <c r="BE32" s="292" t="e">
        <f t="array" aca="1" ref="BE32" ca="1">VLOOKUP($B32,KOMBI!$A:$ADS,MATCH(Tulem!BE$3,KOMBI!$A$1:$ADS$1,0),FALSE)</f>
        <v>#NUM!</v>
      </c>
      <c r="BF32" s="292" t="e">
        <f t="array" aca="1" ref="BF32" ca="1">VLOOKUP($B32,KOMBI!$A:$ADS,MATCH(Tulem!BF$3,KOMBI!$A$1:$ADS$1,0),FALSE)</f>
        <v>#NUM!</v>
      </c>
      <c r="BG32" s="292" t="e">
        <f t="array" aca="1" ref="BG32" ca="1">VLOOKUP($B32,KOMBI!$A:$ADS,MATCH(Tulem!BG$3,KOMBI!$A$1:$ADS$1,0),FALSE)</f>
        <v>#NUM!</v>
      </c>
      <c r="BH32" s="292" t="e">
        <f t="array" aca="1" ref="BH32" ca="1">VLOOKUP($B32,KOMBI!$A:$ADS,MATCH(Tulem!BH$3,KOMBI!$A$1:$ADS$1,0),FALSE)</f>
        <v>#NUM!</v>
      </c>
      <c r="BI32" s="292" t="e">
        <f t="array" aca="1" ref="BI32" ca="1">VLOOKUP($B32,KOMBI!$A:$ADS,MATCH(Tulem!BI$3,KOMBI!$A$1:$ADS$1,0),FALSE)</f>
        <v>#NUM!</v>
      </c>
      <c r="BJ32" s="292" t="e">
        <f t="array" aca="1" ref="BJ32" ca="1">VLOOKUP($B32,KOMBI!$A:$ADS,MATCH(Tulem!BJ$3,KOMBI!$A$1:$ADS$1,0),FALSE)</f>
        <v>#NUM!</v>
      </c>
      <c r="BK32" s="292" t="e">
        <f t="array" aca="1" ref="BK32" ca="1">VLOOKUP($B32,KOMBI!$A:$ADS,MATCH(Tulem!BK$3,KOMBI!$A$1:$ADS$1,0),FALSE)</f>
        <v>#NUM!</v>
      </c>
      <c r="BL32" s="292" t="e">
        <f t="array" aca="1" ref="BL32" ca="1">VLOOKUP($B32,KOMBI!$A:$ADS,MATCH(Tulem!BL$3,KOMBI!$A$1:$ADS$1,0),FALSE)</f>
        <v>#NUM!</v>
      </c>
      <c r="BM32" s="292" t="e">
        <f t="array" aca="1" ref="BM32" ca="1">VLOOKUP($B32,KOMBI!$A:$ADS,MATCH(Tulem!BM$3,KOMBI!$A$1:$ADS$1,0),FALSE)</f>
        <v>#NUM!</v>
      </c>
      <c r="BN32" s="292" t="e">
        <f t="array" aca="1" ref="BN32" ca="1">VLOOKUP($B32,KOMBI!$A:$ADS,MATCH(Tulem!BN$3,KOMBI!$A$1:$ADS$1,0),FALSE)</f>
        <v>#NUM!</v>
      </c>
      <c r="BO32" s="292" t="e">
        <f t="array" aca="1" ref="BO32" ca="1">VLOOKUP($B32,KOMBI!$A:$ADS,MATCH(Tulem!BO$3,KOMBI!$A$1:$ADS$1,0),FALSE)</f>
        <v>#NUM!</v>
      </c>
      <c r="BP32" s="291"/>
      <c r="BQ32" s="292" t="e">
        <f t="array" aca="1" ref="BQ32" ca="1">VLOOKUP($B32,KOMBI!$A:$ADS,MATCH(Tulem!BQ$3,KOMBI!$A$1:$ADS$1,0),FALSE)</f>
        <v>#NUM!</v>
      </c>
      <c r="BR32" s="292" t="e">
        <f t="array" aca="1" ref="BR32" ca="1">VLOOKUP($B32,KOMBI!$A:$ADS,MATCH(Tulem!BR$3,KOMBI!$A$1:$ADS$1,0),FALSE)</f>
        <v>#NUM!</v>
      </c>
      <c r="BS32" s="292" t="e">
        <f t="array" aca="1" ref="BS32" ca="1">VLOOKUP($B32,KOMBI!$A:$ADS,MATCH(Tulem!BS$3,KOMBI!$A$1:$ADS$1,0),FALSE)</f>
        <v>#NUM!</v>
      </c>
      <c r="BT32" s="292" t="e">
        <f t="array" aca="1" ref="BT32" ca="1">VLOOKUP($B32,KOMBI!$A:$ADS,MATCH(Tulem!BT$3,KOMBI!$A$1:$ADS$1,0),FALSE)</f>
        <v>#NUM!</v>
      </c>
      <c r="BU32" s="292" t="e">
        <f t="array" aca="1" ref="BU32" ca="1">VLOOKUP($B32,KOMBI!$A:$ADS,MATCH(Tulem!BU$3,KOMBI!$A$1:$ADS$1,0),FALSE)</f>
        <v>#NUM!</v>
      </c>
      <c r="BV32" s="291"/>
      <c r="BW32" s="292" t="e">
        <f t="array" aca="1" ref="BW32" ca="1">VLOOKUP($B32,KOMBI!$A:$ADS,MATCH(Tulem!BW$3,KOMBI!$A$1:$ADS$1,0),FALSE)</f>
        <v>#NUM!</v>
      </c>
      <c r="BX32" s="291"/>
      <c r="BY32" s="291"/>
      <c r="BZ32" s="292" t="e">
        <f t="array" aca="1" ref="BZ32" ca="1">VLOOKUP($B32,KOMBI!$A:$ADS,MATCH(Tulem!BZ$3,KOMBI!$A$1:$ADS$1,0),FALSE)</f>
        <v>#NUM!</v>
      </c>
      <c r="CA32" s="292" t="e">
        <f t="array" aca="1" ref="CA32" ca="1">VLOOKUP($B32,KOMBI!$A:$ADS,MATCH(Tulem!CA$3,KOMBI!$A$1:$ADS$1,0),FALSE)</f>
        <v>#NUM!</v>
      </c>
      <c r="CB32" s="292" t="e">
        <f t="array" aca="1" ref="CB32" ca="1">VLOOKUP($B32,KOMBI!$A:$ADS,MATCH(Tulem!CB$3,KOMBI!$A$1:$ADS$1,0),FALSE)</f>
        <v>#NUM!</v>
      </c>
      <c r="CC32" s="292" t="e">
        <f t="array" aca="1" ref="CC32" ca="1">VLOOKUP($B32,KOMBI!$A:$ADS,MATCH(Tulem!CC$3,KOMBI!$A$1:$ADS$1,0),FALSE)</f>
        <v>#NUM!</v>
      </c>
      <c r="CD32" s="292" t="e">
        <f t="array" aca="1" ref="CD32" ca="1">VLOOKUP($B32,KOMBI!$A:$ADS,MATCH(Tulem!CD$3,KOMBI!$A$1:$ADS$1,0),FALSE)</f>
        <v>#NUM!</v>
      </c>
      <c r="CF32" s="51" t="e">
        <f ca="1">VLOOKUP($B32,KOMBI!$A:$ACG,MATCH(CF$5,KOMBI!$10:$10,0),FALSE)</f>
        <v>#NUM!</v>
      </c>
    </row>
    <row r="33" spans="1:84" x14ac:dyDescent="0.2">
      <c r="A33" s="51">
        <v>28</v>
      </c>
      <c r="B33" s="51" t="e">
        <f ca="1">KOMBI!GI38</f>
        <v>#NUM!</v>
      </c>
      <c r="C33" s="51">
        <f t="shared" si="0"/>
        <v>28</v>
      </c>
      <c r="D33" s="290" t="e">
        <f ca="1">VLOOKUP(VLOOKUP($B33,KOMBI!$A:$H,3,FALSE),data!$I$27:$J$29,2,FALSE)</f>
        <v>#NUM!</v>
      </c>
      <c r="E33" s="290" t="e">
        <f ca="1">VLOOKUP(VLOOKUP($B33,KOMBI!$A:$H,2,FALSE),data!$I$21:$J$23,2,FALSE)</f>
        <v>#NUM!</v>
      </c>
      <c r="F33" s="290" t="e">
        <f ca="1">VLOOKUP(VLOOKUP($B33,KOMBI!$A:$H,5,FALSE),data!$I$39:$J$41,2,FALSE)</f>
        <v>#NUM!</v>
      </c>
      <c r="G33" s="290" t="e">
        <f ca="1">VLOOKUP(VLOOKUP($B33,KOMBI!$A:$H,4,FALSE),data!$I$32:$J$36,2,FALSE)</f>
        <v>#NUM!</v>
      </c>
      <c r="I33" s="51" t="e">
        <f ca="1">VLOOKUP($B33,KOMBI!$A:$Z,MATCH(I$5,KOMBI!$10:$10,0),FALSE)</f>
        <v>#NUM!</v>
      </c>
      <c r="J33" s="291" t="e">
        <f ca="1">VLOOKUP($B33,KOMBI!$A:$ADS,J$3,FALSE)</f>
        <v>#NUM!</v>
      </c>
      <c r="K33" s="291" t="e">
        <f ca="1">VLOOKUP($B33,KOMBI!$A:$ADS,K$3,FALSE)</f>
        <v>#NUM!</v>
      </c>
      <c r="L33" s="291" t="e">
        <f ca="1">VLOOKUP($B33,KOMBI!$A:$ADS,L$3,FALSE)</f>
        <v>#NUM!</v>
      </c>
      <c r="M33" s="291" t="e">
        <f ca="1">VLOOKUP($B33,KOMBI!$A:$ADS,M$3,FALSE)</f>
        <v>#NUM!</v>
      </c>
      <c r="N33" s="291" t="e">
        <f ca="1">VLOOKUP($B33,KOMBI!$A:$ADS,N$3,FALSE)</f>
        <v>#NUM!</v>
      </c>
      <c r="O33" s="291" t="e">
        <f ca="1">VLOOKUP($B33,KOMBI!$A:$ADS,O$3,FALSE)</f>
        <v>#NUM!</v>
      </c>
      <c r="P33" s="291" t="e">
        <f ca="1">VLOOKUP($B33,KOMBI!$A:$ADS,P$3,FALSE)</f>
        <v>#NUM!</v>
      </c>
      <c r="Q33" s="292" t="e">
        <f t="array" aca="1" ref="Q33" ca="1">VLOOKUP($B33,KOMBI!$A:$ADS,MATCH(Tulem!Q$3,KOMBI!$A$1:$ADS$1,0),FALSE)</f>
        <v>#NUM!</v>
      </c>
      <c r="S33" s="332" t="e">
        <f t="array" aca="1" ref="S33" ca="1">VLOOKUP($B33,KOMBI!$A:$ADS,MATCH(Tulem!S$3,KOMBI!$A$1:$ADS$1,0),FALSE)</f>
        <v>#NUM!</v>
      </c>
      <c r="T33" s="293" t="e">
        <f ca="1">VLOOKUP($B33,KOMBI!$A:$ADS,T$3,FALSE)</f>
        <v>#NUM!</v>
      </c>
      <c r="U33" s="293" t="e">
        <f ca="1">VLOOKUP($B33,KOMBI!$A:$ADS,U$3,FALSE)</f>
        <v>#NUM!</v>
      </c>
      <c r="V33" s="293" t="e">
        <f ca="1">VLOOKUP($B33,KOMBI!$A:$ADS,V$3,FALSE)</f>
        <v>#NUM!</v>
      </c>
      <c r="W33" s="293"/>
      <c r="X33" s="293" t="e">
        <f ca="1">VLOOKUP($B33,KOMBI!$A:$ADS,X$3,FALSE)</f>
        <v>#NUM!</v>
      </c>
      <c r="Y33" s="293" t="e">
        <f ca="1">VLOOKUP($B33,KOMBI!$A:$ADS,Y$3,FALSE)</f>
        <v>#NUM!</v>
      </c>
      <c r="Z33" s="293" t="e">
        <f ca="1">VLOOKUP($B33,KOMBI!$A:$ADS,Z$3,FALSE)</f>
        <v>#NUM!</v>
      </c>
      <c r="AA33" s="294"/>
      <c r="AB33" s="293" t="e">
        <f ca="1">VLOOKUP($B33,KOMBI!$A:$ADS,AB$3,FALSE)</f>
        <v>#NUM!</v>
      </c>
      <c r="AC33" s="293" t="e">
        <f ca="1">VLOOKUP($B33,KOMBI!$A:$ADS,AC$3,FALSE)-AB33</f>
        <v>#NUM!</v>
      </c>
      <c r="AD33" s="293" t="e">
        <f ca="1">VLOOKUP($B33,KOMBI!$A:$ADS,AD$3,FALSE)</f>
        <v>#NUM!</v>
      </c>
      <c r="AE33" s="293" t="e">
        <f ca="1">VLOOKUP($B33,KOMBI!$A:$ADS,AE$3,FALSE)</f>
        <v>#NUM!</v>
      </c>
      <c r="AF33" s="293" t="e">
        <f ca="1">VLOOKUP($B33,KOMBI!$A:$ADS,AF$3,FALSE)-AE33</f>
        <v>#NUM!</v>
      </c>
      <c r="AG33" s="293" t="e">
        <f ca="1">VLOOKUP($B33,KOMBI!$A:$ADS,AG$3,FALSE)</f>
        <v>#NUM!</v>
      </c>
      <c r="AI33" s="293" t="e">
        <f t="array" aca="1" ref="AI33" ca="1">VLOOKUP($B33,KOMBI!$A:$ADS,MATCH(Tulem!AI$3,KOMBI!$A$1:$ADS$1,0),FALSE)</f>
        <v>#NUM!</v>
      </c>
      <c r="AJ33" s="293" t="e">
        <f t="array" aca="1" ref="AJ33" ca="1">VLOOKUP($B33,KOMBI!$A:$ADS,MATCH(Tulem!AJ$3,KOMBI!$A$1:$ADS$1,0),FALSE)</f>
        <v>#NUM!</v>
      </c>
      <c r="AK33" s="293" t="e">
        <f t="array" aca="1" ref="AK33" ca="1">VLOOKUP($B33,KOMBI!$A:$ADS,MATCH(Tulem!AK$3,KOMBI!$A$1:$ADS$1,0),FALSE)</f>
        <v>#NUM!</v>
      </c>
      <c r="AL33" s="293" t="e">
        <f t="array" aca="1" ref="AL33" ca="1">VLOOKUP($B33,KOMBI!$A:$ADS,MATCH(Tulem!AL$3,KOMBI!$A$1:$ADS$1,0),FALSE)</f>
        <v>#NUM!</v>
      </c>
      <c r="AM33" s="293" t="e">
        <f t="array" aca="1" ref="AM33" ca="1">VLOOKUP($B33,KOMBI!$A:$ADS,MATCH(Tulem!AM$3,KOMBI!$A$1:$ADS$1,0),FALSE)</f>
        <v>#NUM!</v>
      </c>
      <c r="AN33" s="293" t="e">
        <f t="array" aca="1" ref="AN33" ca="1">VLOOKUP($B33,KOMBI!$A:$ADS,MATCH(Tulem!AN$3,KOMBI!$A$1:$ADS$1,0),FALSE)</f>
        <v>#NUM!</v>
      </c>
      <c r="AO33" s="293" t="e">
        <f t="array" aca="1" ref="AO33" ca="1">VLOOKUP($B33,KOMBI!$A:$ADS,MATCH(Tulem!AO$3,KOMBI!$A$1:$ADS$1,0),FALSE)</f>
        <v>#NUM!</v>
      </c>
      <c r="AP33" s="293" t="e">
        <f t="array" aca="1" ref="AP33" ca="1">VLOOKUP($B33,KOMBI!$A:$ADS,MATCH(Tulem!AP$3,KOMBI!$A$1:$ADS$1,0),FALSE)</f>
        <v>#NUM!</v>
      </c>
      <c r="AQ33" s="293" t="e">
        <f t="array" aca="1" ref="AQ33" ca="1">VLOOKUP($B33,KOMBI!$A:$ADS,MATCH(Tulem!AQ$3,KOMBI!$A$1:$ADS$1,0),FALSE)</f>
        <v>#NUM!</v>
      </c>
      <c r="AR33" s="293" t="e">
        <f t="array" aca="1" ref="AR33" ca="1">VLOOKUP($B33,KOMBI!$A:$ADS,MATCH(Tulem!AR$3,KOMBI!$A$1:$ADS$1,0),FALSE)</f>
        <v>#NUM!</v>
      </c>
      <c r="AS33" s="293" t="e">
        <f t="array" aca="1" ref="AS33" ca="1">VLOOKUP($B33,KOMBI!$A:$ADS,MATCH(Tulem!AS$3,KOMBI!$A$1:$ADS$1,0),FALSE)</f>
        <v>#NUM!</v>
      </c>
      <c r="AT33" s="293" t="e">
        <f t="array" aca="1" ref="AT33" ca="1">VLOOKUP($B33,KOMBI!$A:$ADS,MATCH(Tulem!AT$3,KOMBI!$A$1:$ADS$1,0),FALSE)</f>
        <v>#NUM!</v>
      </c>
      <c r="AU33" s="293" t="e">
        <f t="array" aca="1" ref="AU33" ca="1">VLOOKUP($B33,KOMBI!$A:$ADS,MATCH(Tulem!AU$3,KOMBI!$A$1:$ADS$1,0),FALSE)</f>
        <v>#NUM!</v>
      </c>
      <c r="AV33" s="293" t="e">
        <f t="shared" ca="1" si="1"/>
        <v>#NUM!</v>
      </c>
      <c r="AW33" s="293" t="e">
        <f t="shared" ca="1" si="2"/>
        <v>#NUM!</v>
      </c>
      <c r="AX33" s="291" t="e">
        <f ca="1">VLOOKUP($B33,KOMBI!$A:$ACA,MATCH(AX$5,KOMBI!$10:$10,0),FALSE)</f>
        <v>#NUM!</v>
      </c>
      <c r="AY33" s="292" t="e">
        <f t="array" aca="1" ref="AY33" ca="1">VLOOKUP($B33,KOMBI!$A:$ADS,MATCH(Tulem!AY$3,KOMBI!$A$1:$ADS$1,0),FALSE)</f>
        <v>#NUM!</v>
      </c>
      <c r="AZ33" s="292" t="e">
        <f t="array" aca="1" ref="AZ33" ca="1">VLOOKUP($B33,KOMBI!$A:$ADS,MATCH(Tulem!AZ$3,KOMBI!$A$1:$ADS$1,0),FALSE)</f>
        <v>#NUM!</v>
      </c>
      <c r="BA33" s="292" t="e">
        <f t="array" aca="1" ref="BA33" ca="1">VLOOKUP($B33,KOMBI!$A:$ADS,MATCH(Tulem!BA$3,KOMBI!$A$1:$ADS$1,0),FALSE)</f>
        <v>#NUM!</v>
      </c>
      <c r="BB33" s="292" t="e">
        <f t="array" aca="1" ref="BB33" ca="1">VLOOKUP($B33,KOMBI!$A:$ADS,MATCH(Tulem!BB$3,KOMBI!$A$1:$ADS$1,0),FALSE)</f>
        <v>#NUM!</v>
      </c>
      <c r="BC33" s="292" t="e">
        <f t="array" aca="1" ref="BC33" ca="1">VLOOKUP($B33,KOMBI!$A:$ADS,MATCH(Tulem!BC$3,KOMBI!$A$1:$ADS$1,0),FALSE)</f>
        <v>#NUM!</v>
      </c>
      <c r="BD33" s="292" t="e">
        <f t="array" aca="1" ref="BD33" ca="1">VLOOKUP($B33,KOMBI!$A:$ADS,MATCH(Tulem!BD$3,KOMBI!$A$1:$ADS$1,0),FALSE)</f>
        <v>#NUM!</v>
      </c>
      <c r="BE33" s="292" t="e">
        <f t="array" aca="1" ref="BE33" ca="1">VLOOKUP($B33,KOMBI!$A:$ADS,MATCH(Tulem!BE$3,KOMBI!$A$1:$ADS$1,0),FALSE)</f>
        <v>#NUM!</v>
      </c>
      <c r="BF33" s="292" t="e">
        <f t="array" aca="1" ref="BF33" ca="1">VLOOKUP($B33,KOMBI!$A:$ADS,MATCH(Tulem!BF$3,KOMBI!$A$1:$ADS$1,0),FALSE)</f>
        <v>#NUM!</v>
      </c>
      <c r="BG33" s="292" t="e">
        <f t="array" aca="1" ref="BG33" ca="1">VLOOKUP($B33,KOMBI!$A:$ADS,MATCH(Tulem!BG$3,KOMBI!$A$1:$ADS$1,0),FALSE)</f>
        <v>#NUM!</v>
      </c>
      <c r="BH33" s="292" t="e">
        <f t="array" aca="1" ref="BH33" ca="1">VLOOKUP($B33,KOMBI!$A:$ADS,MATCH(Tulem!BH$3,KOMBI!$A$1:$ADS$1,0),FALSE)</f>
        <v>#NUM!</v>
      </c>
      <c r="BI33" s="292" t="e">
        <f t="array" aca="1" ref="BI33" ca="1">VLOOKUP($B33,KOMBI!$A:$ADS,MATCH(Tulem!BI$3,KOMBI!$A$1:$ADS$1,0),FALSE)</f>
        <v>#NUM!</v>
      </c>
      <c r="BJ33" s="292" t="e">
        <f t="array" aca="1" ref="BJ33" ca="1">VLOOKUP($B33,KOMBI!$A:$ADS,MATCH(Tulem!BJ$3,KOMBI!$A$1:$ADS$1,0),FALSE)</f>
        <v>#NUM!</v>
      </c>
      <c r="BK33" s="292" t="e">
        <f t="array" aca="1" ref="BK33" ca="1">VLOOKUP($B33,KOMBI!$A:$ADS,MATCH(Tulem!BK$3,KOMBI!$A$1:$ADS$1,0),FALSE)</f>
        <v>#NUM!</v>
      </c>
      <c r="BL33" s="292" t="e">
        <f t="array" aca="1" ref="BL33" ca="1">VLOOKUP($B33,KOMBI!$A:$ADS,MATCH(Tulem!BL$3,KOMBI!$A$1:$ADS$1,0),FALSE)</f>
        <v>#NUM!</v>
      </c>
      <c r="BM33" s="292" t="e">
        <f t="array" aca="1" ref="BM33" ca="1">VLOOKUP($B33,KOMBI!$A:$ADS,MATCH(Tulem!BM$3,KOMBI!$A$1:$ADS$1,0),FALSE)</f>
        <v>#NUM!</v>
      </c>
      <c r="BN33" s="292" t="e">
        <f t="array" aca="1" ref="BN33" ca="1">VLOOKUP($B33,KOMBI!$A:$ADS,MATCH(Tulem!BN$3,KOMBI!$A$1:$ADS$1,0),FALSE)</f>
        <v>#NUM!</v>
      </c>
      <c r="BO33" s="292" t="e">
        <f t="array" aca="1" ref="BO33" ca="1">VLOOKUP($B33,KOMBI!$A:$ADS,MATCH(Tulem!BO$3,KOMBI!$A$1:$ADS$1,0),FALSE)</f>
        <v>#NUM!</v>
      </c>
      <c r="BP33" s="291"/>
      <c r="BQ33" s="292" t="e">
        <f t="array" aca="1" ref="BQ33" ca="1">VLOOKUP($B33,KOMBI!$A:$ADS,MATCH(Tulem!BQ$3,KOMBI!$A$1:$ADS$1,0),FALSE)</f>
        <v>#NUM!</v>
      </c>
      <c r="BR33" s="292" t="e">
        <f t="array" aca="1" ref="BR33" ca="1">VLOOKUP($B33,KOMBI!$A:$ADS,MATCH(Tulem!BR$3,KOMBI!$A$1:$ADS$1,0),FALSE)</f>
        <v>#NUM!</v>
      </c>
      <c r="BS33" s="292" t="e">
        <f t="array" aca="1" ref="BS33" ca="1">VLOOKUP($B33,KOMBI!$A:$ADS,MATCH(Tulem!BS$3,KOMBI!$A$1:$ADS$1,0),FALSE)</f>
        <v>#NUM!</v>
      </c>
      <c r="BT33" s="292" t="e">
        <f t="array" aca="1" ref="BT33" ca="1">VLOOKUP($B33,KOMBI!$A:$ADS,MATCH(Tulem!BT$3,KOMBI!$A$1:$ADS$1,0),FALSE)</f>
        <v>#NUM!</v>
      </c>
      <c r="BU33" s="292" t="e">
        <f t="array" aca="1" ref="BU33" ca="1">VLOOKUP($B33,KOMBI!$A:$ADS,MATCH(Tulem!BU$3,KOMBI!$A$1:$ADS$1,0),FALSE)</f>
        <v>#NUM!</v>
      </c>
      <c r="BV33" s="291"/>
      <c r="BW33" s="292" t="e">
        <f t="array" aca="1" ref="BW33" ca="1">VLOOKUP($B33,KOMBI!$A:$ADS,MATCH(Tulem!BW$3,KOMBI!$A$1:$ADS$1,0),FALSE)</f>
        <v>#NUM!</v>
      </c>
      <c r="BX33" s="291"/>
      <c r="BY33" s="291"/>
      <c r="BZ33" s="292" t="e">
        <f t="array" aca="1" ref="BZ33" ca="1">VLOOKUP($B33,KOMBI!$A:$ADS,MATCH(Tulem!BZ$3,KOMBI!$A$1:$ADS$1,0),FALSE)</f>
        <v>#NUM!</v>
      </c>
      <c r="CA33" s="292" t="e">
        <f t="array" aca="1" ref="CA33" ca="1">VLOOKUP($B33,KOMBI!$A:$ADS,MATCH(Tulem!CA$3,KOMBI!$A$1:$ADS$1,0),FALSE)</f>
        <v>#NUM!</v>
      </c>
      <c r="CB33" s="292" t="e">
        <f t="array" aca="1" ref="CB33" ca="1">VLOOKUP($B33,KOMBI!$A:$ADS,MATCH(Tulem!CB$3,KOMBI!$A$1:$ADS$1,0),FALSE)</f>
        <v>#NUM!</v>
      </c>
      <c r="CC33" s="292" t="e">
        <f t="array" aca="1" ref="CC33" ca="1">VLOOKUP($B33,KOMBI!$A:$ADS,MATCH(Tulem!CC$3,KOMBI!$A$1:$ADS$1,0),FALSE)</f>
        <v>#NUM!</v>
      </c>
      <c r="CD33" s="292" t="e">
        <f t="array" aca="1" ref="CD33" ca="1">VLOOKUP($B33,KOMBI!$A:$ADS,MATCH(Tulem!CD$3,KOMBI!$A$1:$ADS$1,0),FALSE)</f>
        <v>#NUM!</v>
      </c>
      <c r="CF33" s="51" t="e">
        <f ca="1">VLOOKUP($B33,KOMBI!$A:$ACG,MATCH(CF$5,KOMBI!$10:$10,0),FALSE)</f>
        <v>#NUM!</v>
      </c>
    </row>
    <row r="34" spans="1:84" x14ac:dyDescent="0.2">
      <c r="A34" s="51">
        <v>29</v>
      </c>
      <c r="B34" s="51" t="e">
        <f ca="1">KOMBI!GI39</f>
        <v>#NUM!</v>
      </c>
      <c r="C34" s="51">
        <f t="shared" si="0"/>
        <v>29</v>
      </c>
      <c r="D34" s="290" t="e">
        <f ca="1">VLOOKUP(VLOOKUP($B34,KOMBI!$A:$H,3,FALSE),data!$I$27:$J$29,2,FALSE)</f>
        <v>#NUM!</v>
      </c>
      <c r="E34" s="290" t="e">
        <f ca="1">VLOOKUP(VLOOKUP($B34,KOMBI!$A:$H,2,FALSE),data!$I$21:$J$23,2,FALSE)</f>
        <v>#NUM!</v>
      </c>
      <c r="F34" s="290" t="e">
        <f ca="1">VLOOKUP(VLOOKUP($B34,KOMBI!$A:$H,5,FALSE),data!$I$39:$J$41,2,FALSE)</f>
        <v>#NUM!</v>
      </c>
      <c r="G34" s="290" t="e">
        <f ca="1">VLOOKUP(VLOOKUP($B34,KOMBI!$A:$H,4,FALSE),data!$I$32:$J$36,2,FALSE)</f>
        <v>#NUM!</v>
      </c>
      <c r="I34" s="51" t="e">
        <f ca="1">VLOOKUP($B34,KOMBI!$A:$Z,MATCH(I$5,KOMBI!$10:$10,0),FALSE)</f>
        <v>#NUM!</v>
      </c>
      <c r="J34" s="291" t="e">
        <f ca="1">VLOOKUP($B34,KOMBI!$A:$ADS,J$3,FALSE)</f>
        <v>#NUM!</v>
      </c>
      <c r="K34" s="291" t="e">
        <f ca="1">VLOOKUP($B34,KOMBI!$A:$ADS,K$3,FALSE)</f>
        <v>#NUM!</v>
      </c>
      <c r="L34" s="291" t="e">
        <f ca="1">VLOOKUP($B34,KOMBI!$A:$ADS,L$3,FALSE)</f>
        <v>#NUM!</v>
      </c>
      <c r="M34" s="291" t="e">
        <f ca="1">VLOOKUP($B34,KOMBI!$A:$ADS,M$3,FALSE)</f>
        <v>#NUM!</v>
      </c>
      <c r="N34" s="291" t="e">
        <f ca="1">VLOOKUP($B34,KOMBI!$A:$ADS,N$3,FALSE)</f>
        <v>#NUM!</v>
      </c>
      <c r="O34" s="291" t="e">
        <f ca="1">VLOOKUP($B34,KOMBI!$A:$ADS,O$3,FALSE)</f>
        <v>#NUM!</v>
      </c>
      <c r="P34" s="291" t="e">
        <f ca="1">VLOOKUP($B34,KOMBI!$A:$ADS,P$3,FALSE)</f>
        <v>#NUM!</v>
      </c>
      <c r="Q34" s="292" t="e">
        <f t="array" aca="1" ref="Q34" ca="1">VLOOKUP($B34,KOMBI!$A:$ADS,MATCH(Tulem!Q$3,KOMBI!$A$1:$ADS$1,0),FALSE)</f>
        <v>#NUM!</v>
      </c>
      <c r="S34" s="332" t="e">
        <f t="array" aca="1" ref="S34" ca="1">VLOOKUP($B34,KOMBI!$A:$ADS,MATCH(Tulem!S$3,KOMBI!$A$1:$ADS$1,0),FALSE)</f>
        <v>#NUM!</v>
      </c>
      <c r="T34" s="293" t="e">
        <f ca="1">VLOOKUP($B34,KOMBI!$A:$ADS,T$3,FALSE)</f>
        <v>#NUM!</v>
      </c>
      <c r="U34" s="293" t="e">
        <f ca="1">VLOOKUP($B34,KOMBI!$A:$ADS,U$3,FALSE)</f>
        <v>#NUM!</v>
      </c>
      <c r="V34" s="293" t="e">
        <f ca="1">VLOOKUP($B34,KOMBI!$A:$ADS,V$3,FALSE)</f>
        <v>#NUM!</v>
      </c>
      <c r="W34" s="293"/>
      <c r="X34" s="293" t="e">
        <f ca="1">VLOOKUP($B34,KOMBI!$A:$ADS,X$3,FALSE)</f>
        <v>#NUM!</v>
      </c>
      <c r="Y34" s="293" t="e">
        <f ca="1">VLOOKUP($B34,KOMBI!$A:$ADS,Y$3,FALSE)</f>
        <v>#NUM!</v>
      </c>
      <c r="Z34" s="293" t="e">
        <f ca="1">VLOOKUP($B34,KOMBI!$A:$ADS,Z$3,FALSE)</f>
        <v>#NUM!</v>
      </c>
      <c r="AA34" s="294"/>
      <c r="AB34" s="293" t="e">
        <f ca="1">VLOOKUP($B34,KOMBI!$A:$ADS,AB$3,FALSE)</f>
        <v>#NUM!</v>
      </c>
      <c r="AC34" s="293" t="e">
        <f ca="1">VLOOKUP($B34,KOMBI!$A:$ADS,AC$3,FALSE)-AB34</f>
        <v>#NUM!</v>
      </c>
      <c r="AD34" s="293" t="e">
        <f ca="1">VLOOKUP($B34,KOMBI!$A:$ADS,AD$3,FALSE)</f>
        <v>#NUM!</v>
      </c>
      <c r="AE34" s="293" t="e">
        <f ca="1">VLOOKUP($B34,KOMBI!$A:$ADS,AE$3,FALSE)</f>
        <v>#NUM!</v>
      </c>
      <c r="AF34" s="293" t="e">
        <f ca="1">VLOOKUP($B34,KOMBI!$A:$ADS,AF$3,FALSE)-AE34</f>
        <v>#NUM!</v>
      </c>
      <c r="AG34" s="293" t="e">
        <f ca="1">VLOOKUP($B34,KOMBI!$A:$ADS,AG$3,FALSE)</f>
        <v>#NUM!</v>
      </c>
      <c r="AI34" s="293" t="e">
        <f t="array" aca="1" ref="AI34" ca="1">VLOOKUP($B34,KOMBI!$A:$ADS,MATCH(Tulem!AI$3,KOMBI!$A$1:$ADS$1,0),FALSE)</f>
        <v>#NUM!</v>
      </c>
      <c r="AJ34" s="293" t="e">
        <f t="array" aca="1" ref="AJ34" ca="1">VLOOKUP($B34,KOMBI!$A:$ADS,MATCH(Tulem!AJ$3,KOMBI!$A$1:$ADS$1,0),FALSE)</f>
        <v>#NUM!</v>
      </c>
      <c r="AK34" s="293" t="e">
        <f t="array" aca="1" ref="AK34" ca="1">VLOOKUP($B34,KOMBI!$A:$ADS,MATCH(Tulem!AK$3,KOMBI!$A$1:$ADS$1,0),FALSE)</f>
        <v>#NUM!</v>
      </c>
      <c r="AL34" s="293" t="e">
        <f t="array" aca="1" ref="AL34" ca="1">VLOOKUP($B34,KOMBI!$A:$ADS,MATCH(Tulem!AL$3,KOMBI!$A$1:$ADS$1,0),FALSE)</f>
        <v>#NUM!</v>
      </c>
      <c r="AM34" s="293" t="e">
        <f t="array" aca="1" ref="AM34" ca="1">VLOOKUP($B34,KOMBI!$A:$ADS,MATCH(Tulem!AM$3,KOMBI!$A$1:$ADS$1,0),FALSE)</f>
        <v>#NUM!</v>
      </c>
      <c r="AN34" s="293" t="e">
        <f t="array" aca="1" ref="AN34" ca="1">VLOOKUP($B34,KOMBI!$A:$ADS,MATCH(Tulem!AN$3,KOMBI!$A$1:$ADS$1,0),FALSE)</f>
        <v>#NUM!</v>
      </c>
      <c r="AO34" s="293" t="e">
        <f t="array" aca="1" ref="AO34" ca="1">VLOOKUP($B34,KOMBI!$A:$ADS,MATCH(Tulem!AO$3,KOMBI!$A$1:$ADS$1,0),FALSE)</f>
        <v>#NUM!</v>
      </c>
      <c r="AP34" s="293" t="e">
        <f t="array" aca="1" ref="AP34" ca="1">VLOOKUP($B34,KOMBI!$A:$ADS,MATCH(Tulem!AP$3,KOMBI!$A$1:$ADS$1,0),FALSE)</f>
        <v>#NUM!</v>
      </c>
      <c r="AQ34" s="293" t="e">
        <f t="array" aca="1" ref="AQ34" ca="1">VLOOKUP($B34,KOMBI!$A:$ADS,MATCH(Tulem!AQ$3,KOMBI!$A$1:$ADS$1,0),FALSE)</f>
        <v>#NUM!</v>
      </c>
      <c r="AR34" s="293" t="e">
        <f t="array" aca="1" ref="AR34" ca="1">VLOOKUP($B34,KOMBI!$A:$ADS,MATCH(Tulem!AR$3,KOMBI!$A$1:$ADS$1,0),FALSE)</f>
        <v>#NUM!</v>
      </c>
      <c r="AS34" s="293" t="e">
        <f t="array" aca="1" ref="AS34" ca="1">VLOOKUP($B34,KOMBI!$A:$ADS,MATCH(Tulem!AS$3,KOMBI!$A$1:$ADS$1,0),FALSE)</f>
        <v>#NUM!</v>
      </c>
      <c r="AT34" s="293" t="e">
        <f t="array" aca="1" ref="AT34" ca="1">VLOOKUP($B34,KOMBI!$A:$ADS,MATCH(Tulem!AT$3,KOMBI!$A$1:$ADS$1,0),FALSE)</f>
        <v>#NUM!</v>
      </c>
      <c r="AU34" s="293" t="e">
        <f t="array" aca="1" ref="AU34" ca="1">VLOOKUP($B34,KOMBI!$A:$ADS,MATCH(Tulem!AU$3,KOMBI!$A$1:$ADS$1,0),FALSE)</f>
        <v>#NUM!</v>
      </c>
      <c r="AV34" s="293" t="e">
        <f t="shared" ca="1" si="1"/>
        <v>#NUM!</v>
      </c>
      <c r="AW34" s="293" t="e">
        <f t="shared" ca="1" si="2"/>
        <v>#NUM!</v>
      </c>
      <c r="AX34" s="291" t="e">
        <f ca="1">VLOOKUP($B34,KOMBI!$A:$ACA,MATCH(AX$5,KOMBI!$10:$10,0),FALSE)</f>
        <v>#NUM!</v>
      </c>
      <c r="AY34" s="292" t="e">
        <f t="array" aca="1" ref="AY34" ca="1">VLOOKUP($B34,KOMBI!$A:$ADS,MATCH(Tulem!AY$3,KOMBI!$A$1:$ADS$1,0),FALSE)</f>
        <v>#NUM!</v>
      </c>
      <c r="AZ34" s="292" t="e">
        <f t="array" aca="1" ref="AZ34" ca="1">VLOOKUP($B34,KOMBI!$A:$ADS,MATCH(Tulem!AZ$3,KOMBI!$A$1:$ADS$1,0),FALSE)</f>
        <v>#NUM!</v>
      </c>
      <c r="BA34" s="292" t="e">
        <f t="array" aca="1" ref="BA34" ca="1">VLOOKUP($B34,KOMBI!$A:$ADS,MATCH(Tulem!BA$3,KOMBI!$A$1:$ADS$1,0),FALSE)</f>
        <v>#NUM!</v>
      </c>
      <c r="BB34" s="292" t="e">
        <f t="array" aca="1" ref="BB34" ca="1">VLOOKUP($B34,KOMBI!$A:$ADS,MATCH(Tulem!BB$3,KOMBI!$A$1:$ADS$1,0),FALSE)</f>
        <v>#NUM!</v>
      </c>
      <c r="BC34" s="292" t="e">
        <f t="array" aca="1" ref="BC34" ca="1">VLOOKUP($B34,KOMBI!$A:$ADS,MATCH(Tulem!BC$3,KOMBI!$A$1:$ADS$1,0),FALSE)</f>
        <v>#NUM!</v>
      </c>
      <c r="BD34" s="292" t="e">
        <f t="array" aca="1" ref="BD34" ca="1">VLOOKUP($B34,KOMBI!$A:$ADS,MATCH(Tulem!BD$3,KOMBI!$A$1:$ADS$1,0),FALSE)</f>
        <v>#NUM!</v>
      </c>
      <c r="BE34" s="292" t="e">
        <f t="array" aca="1" ref="BE34" ca="1">VLOOKUP($B34,KOMBI!$A:$ADS,MATCH(Tulem!BE$3,KOMBI!$A$1:$ADS$1,0),FALSE)</f>
        <v>#NUM!</v>
      </c>
      <c r="BF34" s="292" t="e">
        <f t="array" aca="1" ref="BF34" ca="1">VLOOKUP($B34,KOMBI!$A:$ADS,MATCH(Tulem!BF$3,KOMBI!$A$1:$ADS$1,0),FALSE)</f>
        <v>#NUM!</v>
      </c>
      <c r="BG34" s="292" t="e">
        <f t="array" aca="1" ref="BG34" ca="1">VLOOKUP($B34,KOMBI!$A:$ADS,MATCH(Tulem!BG$3,KOMBI!$A$1:$ADS$1,0),FALSE)</f>
        <v>#NUM!</v>
      </c>
      <c r="BH34" s="292" t="e">
        <f t="array" aca="1" ref="BH34" ca="1">VLOOKUP($B34,KOMBI!$A:$ADS,MATCH(Tulem!BH$3,KOMBI!$A$1:$ADS$1,0),FALSE)</f>
        <v>#NUM!</v>
      </c>
      <c r="BI34" s="292" t="e">
        <f t="array" aca="1" ref="BI34" ca="1">VLOOKUP($B34,KOMBI!$A:$ADS,MATCH(Tulem!BI$3,KOMBI!$A$1:$ADS$1,0),FALSE)</f>
        <v>#NUM!</v>
      </c>
      <c r="BJ34" s="292" t="e">
        <f t="array" aca="1" ref="BJ34" ca="1">VLOOKUP($B34,KOMBI!$A:$ADS,MATCH(Tulem!BJ$3,KOMBI!$A$1:$ADS$1,0),FALSE)</f>
        <v>#NUM!</v>
      </c>
      <c r="BK34" s="292" t="e">
        <f t="array" aca="1" ref="BK34" ca="1">VLOOKUP($B34,KOMBI!$A:$ADS,MATCH(Tulem!BK$3,KOMBI!$A$1:$ADS$1,0),FALSE)</f>
        <v>#NUM!</v>
      </c>
      <c r="BL34" s="292" t="e">
        <f t="array" aca="1" ref="BL34" ca="1">VLOOKUP($B34,KOMBI!$A:$ADS,MATCH(Tulem!BL$3,KOMBI!$A$1:$ADS$1,0),FALSE)</f>
        <v>#NUM!</v>
      </c>
      <c r="BM34" s="292" t="e">
        <f t="array" aca="1" ref="BM34" ca="1">VLOOKUP($B34,KOMBI!$A:$ADS,MATCH(Tulem!BM$3,KOMBI!$A$1:$ADS$1,0),FALSE)</f>
        <v>#NUM!</v>
      </c>
      <c r="BN34" s="292" t="e">
        <f t="array" aca="1" ref="BN34" ca="1">VLOOKUP($B34,KOMBI!$A:$ADS,MATCH(Tulem!BN$3,KOMBI!$A$1:$ADS$1,0),FALSE)</f>
        <v>#NUM!</v>
      </c>
      <c r="BO34" s="292" t="e">
        <f t="array" aca="1" ref="BO34" ca="1">VLOOKUP($B34,KOMBI!$A:$ADS,MATCH(Tulem!BO$3,KOMBI!$A$1:$ADS$1,0),FALSE)</f>
        <v>#NUM!</v>
      </c>
      <c r="BP34" s="291"/>
      <c r="BQ34" s="292" t="e">
        <f t="array" aca="1" ref="BQ34" ca="1">VLOOKUP($B34,KOMBI!$A:$ADS,MATCH(Tulem!BQ$3,KOMBI!$A$1:$ADS$1,0),FALSE)</f>
        <v>#NUM!</v>
      </c>
      <c r="BR34" s="292" t="e">
        <f t="array" aca="1" ref="BR34" ca="1">VLOOKUP($B34,KOMBI!$A:$ADS,MATCH(Tulem!BR$3,KOMBI!$A$1:$ADS$1,0),FALSE)</f>
        <v>#NUM!</v>
      </c>
      <c r="BS34" s="292" t="e">
        <f t="array" aca="1" ref="BS34" ca="1">VLOOKUP($B34,KOMBI!$A:$ADS,MATCH(Tulem!BS$3,KOMBI!$A$1:$ADS$1,0),FALSE)</f>
        <v>#NUM!</v>
      </c>
      <c r="BT34" s="292" t="e">
        <f t="array" aca="1" ref="BT34" ca="1">VLOOKUP($B34,KOMBI!$A:$ADS,MATCH(Tulem!BT$3,KOMBI!$A$1:$ADS$1,0),FALSE)</f>
        <v>#NUM!</v>
      </c>
      <c r="BU34" s="292" t="e">
        <f t="array" aca="1" ref="BU34" ca="1">VLOOKUP($B34,KOMBI!$A:$ADS,MATCH(Tulem!BU$3,KOMBI!$A$1:$ADS$1,0),FALSE)</f>
        <v>#NUM!</v>
      </c>
      <c r="BV34" s="291"/>
      <c r="BW34" s="292" t="e">
        <f t="array" aca="1" ref="BW34" ca="1">VLOOKUP($B34,KOMBI!$A:$ADS,MATCH(Tulem!BW$3,KOMBI!$A$1:$ADS$1,0),FALSE)</f>
        <v>#NUM!</v>
      </c>
      <c r="BX34" s="291"/>
      <c r="BY34" s="291"/>
      <c r="BZ34" s="292" t="e">
        <f t="array" aca="1" ref="BZ34" ca="1">VLOOKUP($B34,KOMBI!$A:$ADS,MATCH(Tulem!BZ$3,KOMBI!$A$1:$ADS$1,0),FALSE)</f>
        <v>#NUM!</v>
      </c>
      <c r="CA34" s="292" t="e">
        <f t="array" aca="1" ref="CA34" ca="1">VLOOKUP($B34,KOMBI!$A:$ADS,MATCH(Tulem!CA$3,KOMBI!$A$1:$ADS$1,0),FALSE)</f>
        <v>#NUM!</v>
      </c>
      <c r="CB34" s="292" t="e">
        <f t="array" aca="1" ref="CB34" ca="1">VLOOKUP($B34,KOMBI!$A:$ADS,MATCH(Tulem!CB$3,KOMBI!$A$1:$ADS$1,0),FALSE)</f>
        <v>#NUM!</v>
      </c>
      <c r="CC34" s="292" t="e">
        <f t="array" aca="1" ref="CC34" ca="1">VLOOKUP($B34,KOMBI!$A:$ADS,MATCH(Tulem!CC$3,KOMBI!$A$1:$ADS$1,0),FALSE)</f>
        <v>#NUM!</v>
      </c>
      <c r="CD34" s="292" t="e">
        <f t="array" aca="1" ref="CD34" ca="1">VLOOKUP($B34,KOMBI!$A:$ADS,MATCH(Tulem!CD$3,KOMBI!$A$1:$ADS$1,0),FALSE)</f>
        <v>#NUM!</v>
      </c>
      <c r="CF34" s="51" t="e">
        <f ca="1">VLOOKUP($B34,KOMBI!$A:$ACG,MATCH(CF$5,KOMBI!$10:$10,0),FALSE)</f>
        <v>#NUM!</v>
      </c>
    </row>
    <row r="35" spans="1:84" x14ac:dyDescent="0.2">
      <c r="A35" s="51">
        <v>30</v>
      </c>
      <c r="B35" s="51" t="e">
        <f ca="1">KOMBI!GI40</f>
        <v>#NUM!</v>
      </c>
      <c r="C35" s="51">
        <f t="shared" si="0"/>
        <v>30</v>
      </c>
      <c r="D35" s="290" t="e">
        <f ca="1">VLOOKUP(VLOOKUP($B35,KOMBI!$A:$H,3,FALSE),data!$I$27:$J$29,2,FALSE)</f>
        <v>#NUM!</v>
      </c>
      <c r="E35" s="290" t="e">
        <f ca="1">VLOOKUP(VLOOKUP($B35,KOMBI!$A:$H,2,FALSE),data!$I$21:$J$23,2,FALSE)</f>
        <v>#NUM!</v>
      </c>
      <c r="F35" s="290" t="e">
        <f ca="1">VLOOKUP(VLOOKUP($B35,KOMBI!$A:$H,5,FALSE),data!$I$39:$J$41,2,FALSE)</f>
        <v>#NUM!</v>
      </c>
      <c r="G35" s="290" t="e">
        <f ca="1">VLOOKUP(VLOOKUP($B35,KOMBI!$A:$H,4,FALSE),data!$I$32:$J$36,2,FALSE)</f>
        <v>#NUM!</v>
      </c>
      <c r="I35" s="51" t="e">
        <f ca="1">VLOOKUP($B35,KOMBI!$A:$Z,MATCH(I$5,KOMBI!$10:$10,0),FALSE)</f>
        <v>#NUM!</v>
      </c>
      <c r="J35" s="291" t="e">
        <f ca="1">VLOOKUP($B35,KOMBI!$A:$ADS,J$3,FALSE)</f>
        <v>#NUM!</v>
      </c>
      <c r="K35" s="291" t="e">
        <f ca="1">VLOOKUP($B35,KOMBI!$A:$ADS,K$3,FALSE)</f>
        <v>#NUM!</v>
      </c>
      <c r="L35" s="291" t="e">
        <f ca="1">VLOOKUP($B35,KOMBI!$A:$ADS,L$3,FALSE)</f>
        <v>#NUM!</v>
      </c>
      <c r="M35" s="291" t="e">
        <f ca="1">VLOOKUP($B35,KOMBI!$A:$ADS,M$3,FALSE)</f>
        <v>#NUM!</v>
      </c>
      <c r="N35" s="291" t="e">
        <f ca="1">VLOOKUP($B35,KOMBI!$A:$ADS,N$3,FALSE)</f>
        <v>#NUM!</v>
      </c>
      <c r="O35" s="291" t="e">
        <f ca="1">VLOOKUP($B35,KOMBI!$A:$ADS,O$3,FALSE)</f>
        <v>#NUM!</v>
      </c>
      <c r="P35" s="291" t="e">
        <f ca="1">VLOOKUP($B35,KOMBI!$A:$ADS,P$3,FALSE)</f>
        <v>#NUM!</v>
      </c>
      <c r="Q35" s="292" t="e">
        <f t="array" aca="1" ref="Q35" ca="1">VLOOKUP($B35,KOMBI!$A:$ADS,MATCH(Tulem!Q$3,KOMBI!$A$1:$ADS$1,0),FALSE)</f>
        <v>#NUM!</v>
      </c>
      <c r="S35" s="332" t="e">
        <f t="array" aca="1" ref="S35" ca="1">VLOOKUP($B35,KOMBI!$A:$ADS,MATCH(Tulem!S$3,KOMBI!$A$1:$ADS$1,0),FALSE)</f>
        <v>#NUM!</v>
      </c>
      <c r="T35" s="293" t="e">
        <f ca="1">VLOOKUP($B35,KOMBI!$A:$ADS,T$3,FALSE)</f>
        <v>#NUM!</v>
      </c>
      <c r="U35" s="293" t="e">
        <f ca="1">VLOOKUP($B35,KOMBI!$A:$ADS,U$3,FALSE)</f>
        <v>#NUM!</v>
      </c>
      <c r="V35" s="293" t="e">
        <f ca="1">VLOOKUP($B35,KOMBI!$A:$ADS,V$3,FALSE)</f>
        <v>#NUM!</v>
      </c>
      <c r="W35" s="293"/>
      <c r="X35" s="293" t="e">
        <f ca="1">VLOOKUP($B35,KOMBI!$A:$ADS,X$3,FALSE)</f>
        <v>#NUM!</v>
      </c>
      <c r="Y35" s="293" t="e">
        <f ca="1">VLOOKUP($B35,KOMBI!$A:$ADS,Y$3,FALSE)</f>
        <v>#NUM!</v>
      </c>
      <c r="Z35" s="293" t="e">
        <f ca="1">VLOOKUP($B35,KOMBI!$A:$ADS,Z$3,FALSE)</f>
        <v>#NUM!</v>
      </c>
      <c r="AA35" s="294"/>
      <c r="AB35" s="293" t="e">
        <f ca="1">VLOOKUP($B35,KOMBI!$A:$ADS,AB$3,FALSE)</f>
        <v>#NUM!</v>
      </c>
      <c r="AC35" s="293" t="e">
        <f ca="1">VLOOKUP($B35,KOMBI!$A:$ADS,AC$3,FALSE)-AB35</f>
        <v>#NUM!</v>
      </c>
      <c r="AD35" s="293" t="e">
        <f ca="1">VLOOKUP($B35,KOMBI!$A:$ADS,AD$3,FALSE)</f>
        <v>#NUM!</v>
      </c>
      <c r="AE35" s="293" t="e">
        <f ca="1">VLOOKUP($B35,KOMBI!$A:$ADS,AE$3,FALSE)</f>
        <v>#NUM!</v>
      </c>
      <c r="AF35" s="293" t="e">
        <f ca="1">VLOOKUP($B35,KOMBI!$A:$ADS,AF$3,FALSE)-AE35</f>
        <v>#NUM!</v>
      </c>
      <c r="AG35" s="293" t="e">
        <f ca="1">VLOOKUP($B35,KOMBI!$A:$ADS,AG$3,FALSE)</f>
        <v>#NUM!</v>
      </c>
      <c r="AI35" s="293" t="e">
        <f t="array" aca="1" ref="AI35" ca="1">VLOOKUP($B35,KOMBI!$A:$ADS,MATCH(Tulem!AI$3,KOMBI!$A$1:$ADS$1,0),FALSE)</f>
        <v>#NUM!</v>
      </c>
      <c r="AJ35" s="293" t="e">
        <f t="array" aca="1" ref="AJ35" ca="1">VLOOKUP($B35,KOMBI!$A:$ADS,MATCH(Tulem!AJ$3,KOMBI!$A$1:$ADS$1,0),FALSE)</f>
        <v>#NUM!</v>
      </c>
      <c r="AK35" s="293" t="e">
        <f t="array" aca="1" ref="AK35" ca="1">VLOOKUP($B35,KOMBI!$A:$ADS,MATCH(Tulem!AK$3,KOMBI!$A$1:$ADS$1,0),FALSE)</f>
        <v>#NUM!</v>
      </c>
      <c r="AL35" s="293" t="e">
        <f t="array" aca="1" ref="AL35" ca="1">VLOOKUP($B35,KOMBI!$A:$ADS,MATCH(Tulem!AL$3,KOMBI!$A$1:$ADS$1,0),FALSE)</f>
        <v>#NUM!</v>
      </c>
      <c r="AM35" s="293" t="e">
        <f t="array" aca="1" ref="AM35" ca="1">VLOOKUP($B35,KOMBI!$A:$ADS,MATCH(Tulem!AM$3,KOMBI!$A$1:$ADS$1,0),FALSE)</f>
        <v>#NUM!</v>
      </c>
      <c r="AN35" s="293" t="e">
        <f t="array" aca="1" ref="AN35" ca="1">VLOOKUP($B35,KOMBI!$A:$ADS,MATCH(Tulem!AN$3,KOMBI!$A$1:$ADS$1,0),FALSE)</f>
        <v>#NUM!</v>
      </c>
      <c r="AO35" s="293" t="e">
        <f t="array" aca="1" ref="AO35" ca="1">VLOOKUP($B35,KOMBI!$A:$ADS,MATCH(Tulem!AO$3,KOMBI!$A$1:$ADS$1,0),FALSE)</f>
        <v>#NUM!</v>
      </c>
      <c r="AP35" s="293" t="e">
        <f t="array" aca="1" ref="AP35" ca="1">VLOOKUP($B35,KOMBI!$A:$ADS,MATCH(Tulem!AP$3,KOMBI!$A$1:$ADS$1,0),FALSE)</f>
        <v>#NUM!</v>
      </c>
      <c r="AQ35" s="293" t="e">
        <f t="array" aca="1" ref="AQ35" ca="1">VLOOKUP($B35,KOMBI!$A:$ADS,MATCH(Tulem!AQ$3,KOMBI!$A$1:$ADS$1,0),FALSE)</f>
        <v>#NUM!</v>
      </c>
      <c r="AR35" s="293" t="e">
        <f t="array" aca="1" ref="AR35" ca="1">VLOOKUP($B35,KOMBI!$A:$ADS,MATCH(Tulem!AR$3,KOMBI!$A$1:$ADS$1,0),FALSE)</f>
        <v>#NUM!</v>
      </c>
      <c r="AS35" s="293" t="e">
        <f t="array" aca="1" ref="AS35" ca="1">VLOOKUP($B35,KOMBI!$A:$ADS,MATCH(Tulem!AS$3,KOMBI!$A$1:$ADS$1,0),FALSE)</f>
        <v>#NUM!</v>
      </c>
      <c r="AT35" s="293" t="e">
        <f t="array" aca="1" ref="AT35" ca="1">VLOOKUP($B35,KOMBI!$A:$ADS,MATCH(Tulem!AT$3,KOMBI!$A$1:$ADS$1,0),FALSE)</f>
        <v>#NUM!</v>
      </c>
      <c r="AU35" s="293" t="e">
        <f t="array" aca="1" ref="AU35" ca="1">VLOOKUP($B35,KOMBI!$A:$ADS,MATCH(Tulem!AU$3,KOMBI!$A$1:$ADS$1,0),FALSE)</f>
        <v>#NUM!</v>
      </c>
      <c r="AV35" s="293" t="e">
        <f t="shared" ca="1" si="1"/>
        <v>#NUM!</v>
      </c>
      <c r="AW35" s="293" t="e">
        <f t="shared" ca="1" si="2"/>
        <v>#NUM!</v>
      </c>
      <c r="AX35" s="291" t="e">
        <f ca="1">VLOOKUP($B35,KOMBI!$A:$ACA,MATCH(AX$5,KOMBI!$10:$10,0),FALSE)</f>
        <v>#NUM!</v>
      </c>
      <c r="AY35" s="292" t="e">
        <f t="array" aca="1" ref="AY35" ca="1">VLOOKUP($B35,KOMBI!$A:$ADS,MATCH(Tulem!AY$3,KOMBI!$A$1:$ADS$1,0),FALSE)</f>
        <v>#NUM!</v>
      </c>
      <c r="AZ35" s="292" t="e">
        <f t="array" aca="1" ref="AZ35" ca="1">VLOOKUP($B35,KOMBI!$A:$ADS,MATCH(Tulem!AZ$3,KOMBI!$A$1:$ADS$1,0),FALSE)</f>
        <v>#NUM!</v>
      </c>
      <c r="BA35" s="292" t="e">
        <f t="array" aca="1" ref="BA35" ca="1">VLOOKUP($B35,KOMBI!$A:$ADS,MATCH(Tulem!BA$3,KOMBI!$A$1:$ADS$1,0),FALSE)</f>
        <v>#NUM!</v>
      </c>
      <c r="BB35" s="292" t="e">
        <f t="array" aca="1" ref="BB35" ca="1">VLOOKUP($B35,KOMBI!$A:$ADS,MATCH(Tulem!BB$3,KOMBI!$A$1:$ADS$1,0),FALSE)</f>
        <v>#NUM!</v>
      </c>
      <c r="BC35" s="292" t="e">
        <f t="array" aca="1" ref="BC35" ca="1">VLOOKUP($B35,KOMBI!$A:$ADS,MATCH(Tulem!BC$3,KOMBI!$A$1:$ADS$1,0),FALSE)</f>
        <v>#NUM!</v>
      </c>
      <c r="BD35" s="292" t="e">
        <f t="array" aca="1" ref="BD35" ca="1">VLOOKUP($B35,KOMBI!$A:$ADS,MATCH(Tulem!BD$3,KOMBI!$A$1:$ADS$1,0),FALSE)</f>
        <v>#NUM!</v>
      </c>
      <c r="BE35" s="292" t="e">
        <f t="array" aca="1" ref="BE35" ca="1">VLOOKUP($B35,KOMBI!$A:$ADS,MATCH(Tulem!BE$3,KOMBI!$A$1:$ADS$1,0),FALSE)</f>
        <v>#NUM!</v>
      </c>
      <c r="BF35" s="292" t="e">
        <f t="array" aca="1" ref="BF35" ca="1">VLOOKUP($B35,KOMBI!$A:$ADS,MATCH(Tulem!BF$3,KOMBI!$A$1:$ADS$1,0),FALSE)</f>
        <v>#NUM!</v>
      </c>
      <c r="BG35" s="292" t="e">
        <f t="array" aca="1" ref="BG35" ca="1">VLOOKUP($B35,KOMBI!$A:$ADS,MATCH(Tulem!BG$3,KOMBI!$A$1:$ADS$1,0),FALSE)</f>
        <v>#NUM!</v>
      </c>
      <c r="BH35" s="292" t="e">
        <f t="array" aca="1" ref="BH35" ca="1">VLOOKUP($B35,KOMBI!$A:$ADS,MATCH(Tulem!BH$3,KOMBI!$A$1:$ADS$1,0),FALSE)</f>
        <v>#NUM!</v>
      </c>
      <c r="BI35" s="292" t="e">
        <f t="array" aca="1" ref="BI35" ca="1">VLOOKUP($B35,KOMBI!$A:$ADS,MATCH(Tulem!BI$3,KOMBI!$A$1:$ADS$1,0),FALSE)</f>
        <v>#NUM!</v>
      </c>
      <c r="BJ35" s="292" t="e">
        <f t="array" aca="1" ref="BJ35" ca="1">VLOOKUP($B35,KOMBI!$A:$ADS,MATCH(Tulem!BJ$3,KOMBI!$A$1:$ADS$1,0),FALSE)</f>
        <v>#NUM!</v>
      </c>
      <c r="BK35" s="292" t="e">
        <f t="array" aca="1" ref="BK35" ca="1">VLOOKUP($B35,KOMBI!$A:$ADS,MATCH(Tulem!BK$3,KOMBI!$A$1:$ADS$1,0),FALSE)</f>
        <v>#NUM!</v>
      </c>
      <c r="BL35" s="292" t="e">
        <f t="array" aca="1" ref="BL35" ca="1">VLOOKUP($B35,KOMBI!$A:$ADS,MATCH(Tulem!BL$3,KOMBI!$A$1:$ADS$1,0),FALSE)</f>
        <v>#NUM!</v>
      </c>
      <c r="BM35" s="292" t="e">
        <f t="array" aca="1" ref="BM35" ca="1">VLOOKUP($B35,KOMBI!$A:$ADS,MATCH(Tulem!BM$3,KOMBI!$A$1:$ADS$1,0),FALSE)</f>
        <v>#NUM!</v>
      </c>
      <c r="BN35" s="292" t="e">
        <f t="array" aca="1" ref="BN35" ca="1">VLOOKUP($B35,KOMBI!$A:$ADS,MATCH(Tulem!BN$3,KOMBI!$A$1:$ADS$1,0),FALSE)</f>
        <v>#NUM!</v>
      </c>
      <c r="BO35" s="292" t="e">
        <f t="array" aca="1" ref="BO35" ca="1">VLOOKUP($B35,KOMBI!$A:$ADS,MATCH(Tulem!BO$3,KOMBI!$A$1:$ADS$1,0),FALSE)</f>
        <v>#NUM!</v>
      </c>
      <c r="BP35" s="291"/>
      <c r="BQ35" s="292" t="e">
        <f t="array" aca="1" ref="BQ35" ca="1">VLOOKUP($B35,KOMBI!$A:$ADS,MATCH(Tulem!BQ$3,KOMBI!$A$1:$ADS$1,0),FALSE)</f>
        <v>#NUM!</v>
      </c>
      <c r="BR35" s="292" t="e">
        <f t="array" aca="1" ref="BR35" ca="1">VLOOKUP($B35,KOMBI!$A:$ADS,MATCH(Tulem!BR$3,KOMBI!$A$1:$ADS$1,0),FALSE)</f>
        <v>#NUM!</v>
      </c>
      <c r="BS35" s="292" t="e">
        <f t="array" aca="1" ref="BS35" ca="1">VLOOKUP($B35,KOMBI!$A:$ADS,MATCH(Tulem!BS$3,KOMBI!$A$1:$ADS$1,0),FALSE)</f>
        <v>#NUM!</v>
      </c>
      <c r="BT35" s="292" t="e">
        <f t="array" aca="1" ref="BT35" ca="1">VLOOKUP($B35,KOMBI!$A:$ADS,MATCH(Tulem!BT$3,KOMBI!$A$1:$ADS$1,0),FALSE)</f>
        <v>#NUM!</v>
      </c>
      <c r="BU35" s="292" t="e">
        <f t="array" aca="1" ref="BU35" ca="1">VLOOKUP($B35,KOMBI!$A:$ADS,MATCH(Tulem!BU$3,KOMBI!$A$1:$ADS$1,0),FALSE)</f>
        <v>#NUM!</v>
      </c>
      <c r="BV35" s="291"/>
      <c r="BW35" s="292" t="e">
        <f t="array" aca="1" ref="BW35" ca="1">VLOOKUP($B35,KOMBI!$A:$ADS,MATCH(Tulem!BW$3,KOMBI!$A$1:$ADS$1,0),FALSE)</f>
        <v>#NUM!</v>
      </c>
      <c r="BX35" s="291"/>
      <c r="BY35" s="291"/>
      <c r="BZ35" s="292" t="e">
        <f t="array" aca="1" ref="BZ35" ca="1">VLOOKUP($B35,KOMBI!$A:$ADS,MATCH(Tulem!BZ$3,KOMBI!$A$1:$ADS$1,0),FALSE)</f>
        <v>#NUM!</v>
      </c>
      <c r="CA35" s="292" t="e">
        <f t="array" aca="1" ref="CA35" ca="1">VLOOKUP($B35,KOMBI!$A:$ADS,MATCH(Tulem!CA$3,KOMBI!$A$1:$ADS$1,0),FALSE)</f>
        <v>#NUM!</v>
      </c>
      <c r="CB35" s="292" t="e">
        <f t="array" aca="1" ref="CB35" ca="1">VLOOKUP($B35,KOMBI!$A:$ADS,MATCH(Tulem!CB$3,KOMBI!$A$1:$ADS$1,0),FALSE)</f>
        <v>#NUM!</v>
      </c>
      <c r="CC35" s="292" t="e">
        <f t="array" aca="1" ref="CC35" ca="1">VLOOKUP($B35,KOMBI!$A:$ADS,MATCH(Tulem!CC$3,KOMBI!$A$1:$ADS$1,0),FALSE)</f>
        <v>#NUM!</v>
      </c>
      <c r="CD35" s="292" t="e">
        <f t="array" aca="1" ref="CD35" ca="1">VLOOKUP($B35,KOMBI!$A:$ADS,MATCH(Tulem!CD$3,KOMBI!$A$1:$ADS$1,0),FALSE)</f>
        <v>#NUM!</v>
      </c>
      <c r="CF35" s="51" t="e">
        <f ca="1">VLOOKUP($B35,KOMBI!$A:$ACG,MATCH(CF$5,KOMBI!$10:$10,0),FALSE)</f>
        <v>#NUM!</v>
      </c>
    </row>
    <row r="36" spans="1:84" x14ac:dyDescent="0.2">
      <c r="A36" s="51">
        <v>31</v>
      </c>
      <c r="B36" s="51" t="e">
        <f ca="1">KOMBI!GI41</f>
        <v>#NUM!</v>
      </c>
      <c r="C36" s="51">
        <f t="shared" si="0"/>
        <v>31</v>
      </c>
      <c r="D36" s="290" t="e">
        <f ca="1">VLOOKUP(VLOOKUP($B36,KOMBI!$A:$H,3,FALSE),data!$I$27:$J$29,2,FALSE)</f>
        <v>#NUM!</v>
      </c>
      <c r="E36" s="290" t="e">
        <f ca="1">VLOOKUP(VLOOKUP($B36,KOMBI!$A:$H,2,FALSE),data!$I$21:$J$23,2,FALSE)</f>
        <v>#NUM!</v>
      </c>
      <c r="F36" s="290" t="e">
        <f ca="1">VLOOKUP(VLOOKUP($B36,KOMBI!$A:$H,5,FALSE),data!$I$39:$J$41,2,FALSE)</f>
        <v>#NUM!</v>
      </c>
      <c r="G36" s="290" t="e">
        <f ca="1">VLOOKUP(VLOOKUP($B36,KOMBI!$A:$H,4,FALSE),data!$I$32:$J$36,2,FALSE)</f>
        <v>#NUM!</v>
      </c>
      <c r="I36" s="51" t="e">
        <f ca="1">VLOOKUP($B36,KOMBI!$A:$Z,MATCH(I$5,KOMBI!$10:$10,0),FALSE)</f>
        <v>#NUM!</v>
      </c>
      <c r="J36" s="291" t="e">
        <f ca="1">VLOOKUP($B36,KOMBI!$A:$ADS,J$3,FALSE)</f>
        <v>#NUM!</v>
      </c>
      <c r="K36" s="291" t="e">
        <f ca="1">VLOOKUP($B36,KOMBI!$A:$ADS,K$3,FALSE)</f>
        <v>#NUM!</v>
      </c>
      <c r="L36" s="291" t="e">
        <f ca="1">VLOOKUP($B36,KOMBI!$A:$ADS,L$3,FALSE)</f>
        <v>#NUM!</v>
      </c>
      <c r="M36" s="291" t="e">
        <f ca="1">VLOOKUP($B36,KOMBI!$A:$ADS,M$3,FALSE)</f>
        <v>#NUM!</v>
      </c>
      <c r="N36" s="291" t="e">
        <f ca="1">VLOOKUP($B36,KOMBI!$A:$ADS,N$3,FALSE)</f>
        <v>#NUM!</v>
      </c>
      <c r="O36" s="291" t="e">
        <f ca="1">VLOOKUP($B36,KOMBI!$A:$ADS,O$3,FALSE)</f>
        <v>#NUM!</v>
      </c>
      <c r="P36" s="291" t="e">
        <f ca="1">VLOOKUP($B36,KOMBI!$A:$ADS,P$3,FALSE)</f>
        <v>#NUM!</v>
      </c>
      <c r="Q36" s="292" t="e">
        <f t="array" aca="1" ref="Q36" ca="1">VLOOKUP($B36,KOMBI!$A:$ADS,MATCH(Tulem!Q$3,KOMBI!$A$1:$ADS$1,0),FALSE)</f>
        <v>#NUM!</v>
      </c>
      <c r="S36" s="332" t="e">
        <f t="array" aca="1" ref="S36" ca="1">VLOOKUP($B36,KOMBI!$A:$ADS,MATCH(Tulem!S$3,KOMBI!$A$1:$ADS$1,0),FALSE)</f>
        <v>#NUM!</v>
      </c>
      <c r="T36" s="293" t="e">
        <f ca="1">VLOOKUP($B36,KOMBI!$A:$ADS,T$3,FALSE)</f>
        <v>#NUM!</v>
      </c>
      <c r="U36" s="293" t="e">
        <f ca="1">VLOOKUP($B36,KOMBI!$A:$ADS,U$3,FALSE)</f>
        <v>#NUM!</v>
      </c>
      <c r="V36" s="293" t="e">
        <f ca="1">VLOOKUP($B36,KOMBI!$A:$ADS,V$3,FALSE)</f>
        <v>#NUM!</v>
      </c>
      <c r="W36" s="293"/>
      <c r="X36" s="293" t="e">
        <f ca="1">VLOOKUP($B36,KOMBI!$A:$ADS,X$3,FALSE)</f>
        <v>#NUM!</v>
      </c>
      <c r="Y36" s="293" t="e">
        <f ca="1">VLOOKUP($B36,KOMBI!$A:$ADS,Y$3,FALSE)</f>
        <v>#NUM!</v>
      </c>
      <c r="Z36" s="293" t="e">
        <f ca="1">VLOOKUP($B36,KOMBI!$A:$ADS,Z$3,FALSE)</f>
        <v>#NUM!</v>
      </c>
      <c r="AA36" s="294"/>
      <c r="AB36" s="293" t="e">
        <f ca="1">VLOOKUP($B36,KOMBI!$A:$ADS,AB$3,FALSE)</f>
        <v>#NUM!</v>
      </c>
      <c r="AC36" s="293" t="e">
        <f ca="1">VLOOKUP($B36,KOMBI!$A:$ADS,AC$3,FALSE)-AB36</f>
        <v>#NUM!</v>
      </c>
      <c r="AD36" s="293" t="e">
        <f ca="1">VLOOKUP($B36,KOMBI!$A:$ADS,AD$3,FALSE)</f>
        <v>#NUM!</v>
      </c>
      <c r="AE36" s="293" t="e">
        <f ca="1">VLOOKUP($B36,KOMBI!$A:$ADS,AE$3,FALSE)</f>
        <v>#NUM!</v>
      </c>
      <c r="AF36" s="293" t="e">
        <f ca="1">VLOOKUP($B36,KOMBI!$A:$ADS,AF$3,FALSE)-AE36</f>
        <v>#NUM!</v>
      </c>
      <c r="AG36" s="293" t="e">
        <f ca="1">VLOOKUP($B36,KOMBI!$A:$ADS,AG$3,FALSE)</f>
        <v>#NUM!</v>
      </c>
      <c r="AI36" s="293" t="e">
        <f t="array" aca="1" ref="AI36" ca="1">VLOOKUP($B36,KOMBI!$A:$ADS,MATCH(Tulem!AI$3,KOMBI!$A$1:$ADS$1,0),FALSE)</f>
        <v>#NUM!</v>
      </c>
      <c r="AJ36" s="293" t="e">
        <f t="array" aca="1" ref="AJ36" ca="1">VLOOKUP($B36,KOMBI!$A:$ADS,MATCH(Tulem!AJ$3,KOMBI!$A$1:$ADS$1,0),FALSE)</f>
        <v>#NUM!</v>
      </c>
      <c r="AK36" s="293" t="e">
        <f t="array" aca="1" ref="AK36" ca="1">VLOOKUP($B36,KOMBI!$A:$ADS,MATCH(Tulem!AK$3,KOMBI!$A$1:$ADS$1,0),FALSE)</f>
        <v>#NUM!</v>
      </c>
      <c r="AL36" s="293" t="e">
        <f t="array" aca="1" ref="AL36" ca="1">VLOOKUP($B36,KOMBI!$A:$ADS,MATCH(Tulem!AL$3,KOMBI!$A$1:$ADS$1,0),FALSE)</f>
        <v>#NUM!</v>
      </c>
      <c r="AM36" s="293" t="e">
        <f t="array" aca="1" ref="AM36" ca="1">VLOOKUP($B36,KOMBI!$A:$ADS,MATCH(Tulem!AM$3,KOMBI!$A$1:$ADS$1,0),FALSE)</f>
        <v>#NUM!</v>
      </c>
      <c r="AN36" s="293" t="e">
        <f t="array" aca="1" ref="AN36" ca="1">VLOOKUP($B36,KOMBI!$A:$ADS,MATCH(Tulem!AN$3,KOMBI!$A$1:$ADS$1,0),FALSE)</f>
        <v>#NUM!</v>
      </c>
      <c r="AO36" s="293" t="e">
        <f t="array" aca="1" ref="AO36" ca="1">VLOOKUP($B36,KOMBI!$A:$ADS,MATCH(Tulem!AO$3,KOMBI!$A$1:$ADS$1,0),FALSE)</f>
        <v>#NUM!</v>
      </c>
      <c r="AP36" s="293" t="e">
        <f t="array" aca="1" ref="AP36" ca="1">VLOOKUP($B36,KOMBI!$A:$ADS,MATCH(Tulem!AP$3,KOMBI!$A$1:$ADS$1,0),FALSE)</f>
        <v>#NUM!</v>
      </c>
      <c r="AQ36" s="293" t="e">
        <f t="array" aca="1" ref="AQ36" ca="1">VLOOKUP($B36,KOMBI!$A:$ADS,MATCH(Tulem!AQ$3,KOMBI!$A$1:$ADS$1,0),FALSE)</f>
        <v>#NUM!</v>
      </c>
      <c r="AR36" s="293" t="e">
        <f t="array" aca="1" ref="AR36" ca="1">VLOOKUP($B36,KOMBI!$A:$ADS,MATCH(Tulem!AR$3,KOMBI!$A$1:$ADS$1,0),FALSE)</f>
        <v>#NUM!</v>
      </c>
      <c r="AS36" s="293" t="e">
        <f t="array" aca="1" ref="AS36" ca="1">VLOOKUP($B36,KOMBI!$A:$ADS,MATCH(Tulem!AS$3,KOMBI!$A$1:$ADS$1,0),FALSE)</f>
        <v>#NUM!</v>
      </c>
      <c r="AT36" s="293" t="e">
        <f t="array" aca="1" ref="AT36" ca="1">VLOOKUP($B36,KOMBI!$A:$ADS,MATCH(Tulem!AT$3,KOMBI!$A$1:$ADS$1,0),FALSE)</f>
        <v>#NUM!</v>
      </c>
      <c r="AU36" s="293" t="e">
        <f t="array" aca="1" ref="AU36" ca="1">VLOOKUP($B36,KOMBI!$A:$ADS,MATCH(Tulem!AU$3,KOMBI!$A$1:$ADS$1,0),FALSE)</f>
        <v>#NUM!</v>
      </c>
      <c r="AV36" s="293" t="e">
        <f t="shared" ca="1" si="1"/>
        <v>#NUM!</v>
      </c>
      <c r="AW36" s="293" t="e">
        <f t="shared" ca="1" si="2"/>
        <v>#NUM!</v>
      </c>
      <c r="AX36" s="291" t="e">
        <f ca="1">VLOOKUP($B36,KOMBI!$A:$ACA,MATCH(AX$5,KOMBI!$10:$10,0),FALSE)</f>
        <v>#NUM!</v>
      </c>
      <c r="AY36" s="292" t="e">
        <f t="array" aca="1" ref="AY36" ca="1">VLOOKUP($B36,KOMBI!$A:$ADS,MATCH(Tulem!AY$3,KOMBI!$A$1:$ADS$1,0),FALSE)</f>
        <v>#NUM!</v>
      </c>
      <c r="AZ36" s="292" t="e">
        <f t="array" aca="1" ref="AZ36" ca="1">VLOOKUP($B36,KOMBI!$A:$ADS,MATCH(Tulem!AZ$3,KOMBI!$A$1:$ADS$1,0),FALSE)</f>
        <v>#NUM!</v>
      </c>
      <c r="BA36" s="292" t="e">
        <f t="array" aca="1" ref="BA36" ca="1">VLOOKUP($B36,KOMBI!$A:$ADS,MATCH(Tulem!BA$3,KOMBI!$A$1:$ADS$1,0),FALSE)</f>
        <v>#NUM!</v>
      </c>
      <c r="BB36" s="292" t="e">
        <f t="array" aca="1" ref="BB36" ca="1">VLOOKUP($B36,KOMBI!$A:$ADS,MATCH(Tulem!BB$3,KOMBI!$A$1:$ADS$1,0),FALSE)</f>
        <v>#NUM!</v>
      </c>
      <c r="BC36" s="292" t="e">
        <f t="array" aca="1" ref="BC36" ca="1">VLOOKUP($B36,KOMBI!$A:$ADS,MATCH(Tulem!BC$3,KOMBI!$A$1:$ADS$1,0),FALSE)</f>
        <v>#NUM!</v>
      </c>
      <c r="BD36" s="292" t="e">
        <f t="array" aca="1" ref="BD36" ca="1">VLOOKUP($B36,KOMBI!$A:$ADS,MATCH(Tulem!BD$3,KOMBI!$A$1:$ADS$1,0),FALSE)</f>
        <v>#NUM!</v>
      </c>
      <c r="BE36" s="292" t="e">
        <f t="array" aca="1" ref="BE36" ca="1">VLOOKUP($B36,KOMBI!$A:$ADS,MATCH(Tulem!BE$3,KOMBI!$A$1:$ADS$1,0),FALSE)</f>
        <v>#NUM!</v>
      </c>
      <c r="BF36" s="292" t="e">
        <f t="array" aca="1" ref="BF36" ca="1">VLOOKUP($B36,KOMBI!$A:$ADS,MATCH(Tulem!BF$3,KOMBI!$A$1:$ADS$1,0),FALSE)</f>
        <v>#NUM!</v>
      </c>
      <c r="BG36" s="292" t="e">
        <f t="array" aca="1" ref="BG36" ca="1">VLOOKUP($B36,KOMBI!$A:$ADS,MATCH(Tulem!BG$3,KOMBI!$A$1:$ADS$1,0),FALSE)</f>
        <v>#NUM!</v>
      </c>
      <c r="BH36" s="292" t="e">
        <f t="array" aca="1" ref="BH36" ca="1">VLOOKUP($B36,KOMBI!$A:$ADS,MATCH(Tulem!BH$3,KOMBI!$A$1:$ADS$1,0),FALSE)</f>
        <v>#NUM!</v>
      </c>
      <c r="BI36" s="292" t="e">
        <f t="array" aca="1" ref="BI36" ca="1">VLOOKUP($B36,KOMBI!$A:$ADS,MATCH(Tulem!BI$3,KOMBI!$A$1:$ADS$1,0),FALSE)</f>
        <v>#NUM!</v>
      </c>
      <c r="BJ36" s="292" t="e">
        <f t="array" aca="1" ref="BJ36" ca="1">VLOOKUP($B36,KOMBI!$A:$ADS,MATCH(Tulem!BJ$3,KOMBI!$A$1:$ADS$1,0),FALSE)</f>
        <v>#NUM!</v>
      </c>
      <c r="BK36" s="292" t="e">
        <f t="array" aca="1" ref="BK36" ca="1">VLOOKUP($B36,KOMBI!$A:$ADS,MATCH(Tulem!BK$3,KOMBI!$A$1:$ADS$1,0),FALSE)</f>
        <v>#NUM!</v>
      </c>
      <c r="BL36" s="292" t="e">
        <f t="array" aca="1" ref="BL36" ca="1">VLOOKUP($B36,KOMBI!$A:$ADS,MATCH(Tulem!BL$3,KOMBI!$A$1:$ADS$1,0),FALSE)</f>
        <v>#NUM!</v>
      </c>
      <c r="BM36" s="292" t="e">
        <f t="array" aca="1" ref="BM36" ca="1">VLOOKUP($B36,KOMBI!$A:$ADS,MATCH(Tulem!BM$3,KOMBI!$A$1:$ADS$1,0),FALSE)</f>
        <v>#NUM!</v>
      </c>
      <c r="BN36" s="292" t="e">
        <f t="array" aca="1" ref="BN36" ca="1">VLOOKUP($B36,KOMBI!$A:$ADS,MATCH(Tulem!BN$3,KOMBI!$A$1:$ADS$1,0),FALSE)</f>
        <v>#NUM!</v>
      </c>
      <c r="BO36" s="292" t="e">
        <f t="array" aca="1" ref="BO36" ca="1">VLOOKUP($B36,KOMBI!$A:$ADS,MATCH(Tulem!BO$3,KOMBI!$A$1:$ADS$1,0),FALSE)</f>
        <v>#NUM!</v>
      </c>
      <c r="BP36" s="291"/>
      <c r="BQ36" s="292" t="e">
        <f t="array" aca="1" ref="BQ36" ca="1">VLOOKUP($B36,KOMBI!$A:$ADS,MATCH(Tulem!BQ$3,KOMBI!$A$1:$ADS$1,0),FALSE)</f>
        <v>#NUM!</v>
      </c>
      <c r="BR36" s="292" t="e">
        <f t="array" aca="1" ref="BR36" ca="1">VLOOKUP($B36,KOMBI!$A:$ADS,MATCH(Tulem!BR$3,KOMBI!$A$1:$ADS$1,0),FALSE)</f>
        <v>#NUM!</v>
      </c>
      <c r="BS36" s="292" t="e">
        <f t="array" aca="1" ref="BS36" ca="1">VLOOKUP($B36,KOMBI!$A:$ADS,MATCH(Tulem!BS$3,KOMBI!$A$1:$ADS$1,0),FALSE)</f>
        <v>#NUM!</v>
      </c>
      <c r="BT36" s="292" t="e">
        <f t="array" aca="1" ref="BT36" ca="1">VLOOKUP($B36,KOMBI!$A:$ADS,MATCH(Tulem!BT$3,KOMBI!$A$1:$ADS$1,0),FALSE)</f>
        <v>#NUM!</v>
      </c>
      <c r="BU36" s="292" t="e">
        <f t="array" aca="1" ref="BU36" ca="1">VLOOKUP($B36,KOMBI!$A:$ADS,MATCH(Tulem!BU$3,KOMBI!$A$1:$ADS$1,0),FALSE)</f>
        <v>#NUM!</v>
      </c>
      <c r="BV36" s="291"/>
      <c r="BW36" s="292" t="e">
        <f t="array" aca="1" ref="BW36" ca="1">VLOOKUP($B36,KOMBI!$A:$ADS,MATCH(Tulem!BW$3,KOMBI!$A$1:$ADS$1,0),FALSE)</f>
        <v>#NUM!</v>
      </c>
      <c r="BX36" s="291"/>
      <c r="BY36" s="291"/>
      <c r="BZ36" s="292" t="e">
        <f t="array" aca="1" ref="BZ36" ca="1">VLOOKUP($B36,KOMBI!$A:$ADS,MATCH(Tulem!BZ$3,KOMBI!$A$1:$ADS$1,0),FALSE)</f>
        <v>#NUM!</v>
      </c>
      <c r="CA36" s="292" t="e">
        <f t="array" aca="1" ref="CA36" ca="1">VLOOKUP($B36,KOMBI!$A:$ADS,MATCH(Tulem!CA$3,KOMBI!$A$1:$ADS$1,0),FALSE)</f>
        <v>#NUM!</v>
      </c>
      <c r="CB36" s="292" t="e">
        <f t="array" aca="1" ref="CB36" ca="1">VLOOKUP($B36,KOMBI!$A:$ADS,MATCH(Tulem!CB$3,KOMBI!$A$1:$ADS$1,0),FALSE)</f>
        <v>#NUM!</v>
      </c>
      <c r="CC36" s="292" t="e">
        <f t="array" aca="1" ref="CC36" ca="1">VLOOKUP($B36,KOMBI!$A:$ADS,MATCH(Tulem!CC$3,KOMBI!$A$1:$ADS$1,0),FALSE)</f>
        <v>#NUM!</v>
      </c>
      <c r="CD36" s="292" t="e">
        <f t="array" aca="1" ref="CD36" ca="1">VLOOKUP($B36,KOMBI!$A:$ADS,MATCH(Tulem!CD$3,KOMBI!$A$1:$ADS$1,0),FALSE)</f>
        <v>#NUM!</v>
      </c>
      <c r="CF36" s="51" t="e">
        <f ca="1">VLOOKUP($B36,KOMBI!$A:$ACG,MATCH(CF$5,KOMBI!$10:$10,0),FALSE)</f>
        <v>#NUM!</v>
      </c>
    </row>
    <row r="37" spans="1:84" x14ac:dyDescent="0.2">
      <c r="A37" s="51">
        <v>32</v>
      </c>
      <c r="B37" s="51" t="e">
        <f ca="1">KOMBI!GI42</f>
        <v>#NUM!</v>
      </c>
      <c r="C37" s="51">
        <f t="shared" si="0"/>
        <v>32</v>
      </c>
      <c r="D37" s="290" t="e">
        <f ca="1">VLOOKUP(VLOOKUP($B37,KOMBI!$A:$H,3,FALSE),data!$I$27:$J$29,2,FALSE)</f>
        <v>#NUM!</v>
      </c>
      <c r="E37" s="290" t="e">
        <f ca="1">VLOOKUP(VLOOKUP($B37,KOMBI!$A:$H,2,FALSE),data!$I$21:$J$23,2,FALSE)</f>
        <v>#NUM!</v>
      </c>
      <c r="F37" s="290" t="e">
        <f ca="1">VLOOKUP(VLOOKUP($B37,KOMBI!$A:$H,5,FALSE),data!$I$39:$J$41,2,FALSE)</f>
        <v>#NUM!</v>
      </c>
      <c r="G37" s="290" t="e">
        <f ca="1">VLOOKUP(VLOOKUP($B37,KOMBI!$A:$H,4,FALSE),data!$I$32:$J$36,2,FALSE)</f>
        <v>#NUM!</v>
      </c>
      <c r="I37" s="51" t="e">
        <f ca="1">VLOOKUP($B37,KOMBI!$A:$Z,MATCH(I$5,KOMBI!$10:$10,0),FALSE)</f>
        <v>#NUM!</v>
      </c>
      <c r="J37" s="291" t="e">
        <f ca="1">VLOOKUP($B37,KOMBI!$A:$ADS,J$3,FALSE)</f>
        <v>#NUM!</v>
      </c>
      <c r="K37" s="291" t="e">
        <f ca="1">VLOOKUP($B37,KOMBI!$A:$ADS,K$3,FALSE)</f>
        <v>#NUM!</v>
      </c>
      <c r="L37" s="291" t="e">
        <f ca="1">VLOOKUP($B37,KOMBI!$A:$ADS,L$3,FALSE)</f>
        <v>#NUM!</v>
      </c>
      <c r="M37" s="291" t="e">
        <f ca="1">VLOOKUP($B37,KOMBI!$A:$ADS,M$3,FALSE)</f>
        <v>#NUM!</v>
      </c>
      <c r="N37" s="291" t="e">
        <f ca="1">VLOOKUP($B37,KOMBI!$A:$ADS,N$3,FALSE)</f>
        <v>#NUM!</v>
      </c>
      <c r="O37" s="291" t="e">
        <f ca="1">VLOOKUP($B37,KOMBI!$A:$ADS,O$3,FALSE)</f>
        <v>#NUM!</v>
      </c>
      <c r="P37" s="291" t="e">
        <f ca="1">VLOOKUP($B37,KOMBI!$A:$ADS,P$3,FALSE)</f>
        <v>#NUM!</v>
      </c>
      <c r="Q37" s="292" t="e">
        <f t="array" aca="1" ref="Q37" ca="1">VLOOKUP($B37,KOMBI!$A:$ADS,MATCH(Tulem!Q$3,KOMBI!$A$1:$ADS$1,0),FALSE)</f>
        <v>#NUM!</v>
      </c>
      <c r="S37" s="332" t="e">
        <f t="array" aca="1" ref="S37" ca="1">VLOOKUP($B37,KOMBI!$A:$ADS,MATCH(Tulem!S$3,KOMBI!$A$1:$ADS$1,0),FALSE)</f>
        <v>#NUM!</v>
      </c>
      <c r="T37" s="293" t="e">
        <f ca="1">VLOOKUP($B37,KOMBI!$A:$ADS,T$3,FALSE)</f>
        <v>#NUM!</v>
      </c>
      <c r="U37" s="293" t="e">
        <f ca="1">VLOOKUP($B37,KOMBI!$A:$ADS,U$3,FALSE)</f>
        <v>#NUM!</v>
      </c>
      <c r="V37" s="293" t="e">
        <f ca="1">VLOOKUP($B37,KOMBI!$A:$ADS,V$3,FALSE)</f>
        <v>#NUM!</v>
      </c>
      <c r="W37" s="293"/>
      <c r="X37" s="293" t="e">
        <f ca="1">VLOOKUP($B37,KOMBI!$A:$ADS,X$3,FALSE)</f>
        <v>#NUM!</v>
      </c>
      <c r="Y37" s="293" t="e">
        <f ca="1">VLOOKUP($B37,KOMBI!$A:$ADS,Y$3,FALSE)</f>
        <v>#NUM!</v>
      </c>
      <c r="Z37" s="293" t="e">
        <f ca="1">VLOOKUP($B37,KOMBI!$A:$ADS,Z$3,FALSE)</f>
        <v>#NUM!</v>
      </c>
      <c r="AA37" s="294"/>
      <c r="AB37" s="293" t="e">
        <f ca="1">VLOOKUP($B37,KOMBI!$A:$ADS,AB$3,FALSE)</f>
        <v>#NUM!</v>
      </c>
      <c r="AC37" s="293" t="e">
        <f ca="1">VLOOKUP($B37,KOMBI!$A:$ADS,AC$3,FALSE)-AB37</f>
        <v>#NUM!</v>
      </c>
      <c r="AD37" s="293" t="e">
        <f ca="1">VLOOKUP($B37,KOMBI!$A:$ADS,AD$3,FALSE)</f>
        <v>#NUM!</v>
      </c>
      <c r="AE37" s="293" t="e">
        <f ca="1">VLOOKUP($B37,KOMBI!$A:$ADS,AE$3,FALSE)</f>
        <v>#NUM!</v>
      </c>
      <c r="AF37" s="293" t="e">
        <f ca="1">VLOOKUP($B37,KOMBI!$A:$ADS,AF$3,FALSE)-AE37</f>
        <v>#NUM!</v>
      </c>
      <c r="AG37" s="293" t="e">
        <f ca="1">VLOOKUP($B37,KOMBI!$A:$ADS,AG$3,FALSE)</f>
        <v>#NUM!</v>
      </c>
      <c r="AI37" s="293" t="e">
        <f t="array" aca="1" ref="AI37" ca="1">VLOOKUP($B37,KOMBI!$A:$ADS,MATCH(Tulem!AI$3,KOMBI!$A$1:$ADS$1,0),FALSE)</f>
        <v>#NUM!</v>
      </c>
      <c r="AJ37" s="293" t="e">
        <f t="array" aca="1" ref="AJ37" ca="1">VLOOKUP($B37,KOMBI!$A:$ADS,MATCH(Tulem!AJ$3,KOMBI!$A$1:$ADS$1,0),FALSE)</f>
        <v>#NUM!</v>
      </c>
      <c r="AK37" s="293" t="e">
        <f t="array" aca="1" ref="AK37" ca="1">VLOOKUP($B37,KOMBI!$A:$ADS,MATCH(Tulem!AK$3,KOMBI!$A$1:$ADS$1,0),FALSE)</f>
        <v>#NUM!</v>
      </c>
      <c r="AL37" s="293" t="e">
        <f t="array" aca="1" ref="AL37" ca="1">VLOOKUP($B37,KOMBI!$A:$ADS,MATCH(Tulem!AL$3,KOMBI!$A$1:$ADS$1,0),FALSE)</f>
        <v>#NUM!</v>
      </c>
      <c r="AM37" s="293" t="e">
        <f t="array" aca="1" ref="AM37" ca="1">VLOOKUP($B37,KOMBI!$A:$ADS,MATCH(Tulem!AM$3,KOMBI!$A$1:$ADS$1,0),FALSE)</f>
        <v>#NUM!</v>
      </c>
      <c r="AN37" s="293" t="e">
        <f t="array" aca="1" ref="AN37" ca="1">VLOOKUP($B37,KOMBI!$A:$ADS,MATCH(Tulem!AN$3,KOMBI!$A$1:$ADS$1,0),FALSE)</f>
        <v>#NUM!</v>
      </c>
      <c r="AO37" s="293" t="e">
        <f t="array" aca="1" ref="AO37" ca="1">VLOOKUP($B37,KOMBI!$A:$ADS,MATCH(Tulem!AO$3,KOMBI!$A$1:$ADS$1,0),FALSE)</f>
        <v>#NUM!</v>
      </c>
      <c r="AP37" s="293" t="e">
        <f t="array" aca="1" ref="AP37" ca="1">VLOOKUP($B37,KOMBI!$A:$ADS,MATCH(Tulem!AP$3,KOMBI!$A$1:$ADS$1,0),FALSE)</f>
        <v>#NUM!</v>
      </c>
      <c r="AQ37" s="293" t="e">
        <f t="array" aca="1" ref="AQ37" ca="1">VLOOKUP($B37,KOMBI!$A:$ADS,MATCH(Tulem!AQ$3,KOMBI!$A$1:$ADS$1,0),FALSE)</f>
        <v>#NUM!</v>
      </c>
      <c r="AR37" s="293" t="e">
        <f t="array" aca="1" ref="AR37" ca="1">VLOOKUP($B37,KOMBI!$A:$ADS,MATCH(Tulem!AR$3,KOMBI!$A$1:$ADS$1,0),FALSE)</f>
        <v>#NUM!</v>
      </c>
      <c r="AS37" s="293" t="e">
        <f t="array" aca="1" ref="AS37" ca="1">VLOOKUP($B37,KOMBI!$A:$ADS,MATCH(Tulem!AS$3,KOMBI!$A$1:$ADS$1,0),FALSE)</f>
        <v>#NUM!</v>
      </c>
      <c r="AT37" s="293" t="e">
        <f t="array" aca="1" ref="AT37" ca="1">VLOOKUP($B37,KOMBI!$A:$ADS,MATCH(Tulem!AT$3,KOMBI!$A$1:$ADS$1,0),FALSE)</f>
        <v>#NUM!</v>
      </c>
      <c r="AU37" s="293" t="e">
        <f t="array" aca="1" ref="AU37" ca="1">VLOOKUP($B37,KOMBI!$A:$ADS,MATCH(Tulem!AU$3,KOMBI!$A$1:$ADS$1,0),FALSE)</f>
        <v>#NUM!</v>
      </c>
      <c r="AV37" s="293" t="e">
        <f t="shared" ca="1" si="1"/>
        <v>#NUM!</v>
      </c>
      <c r="AW37" s="293" t="e">
        <f t="shared" ca="1" si="2"/>
        <v>#NUM!</v>
      </c>
      <c r="AX37" s="291" t="e">
        <f ca="1">VLOOKUP($B37,KOMBI!$A:$ACA,MATCH(AX$5,KOMBI!$10:$10,0),FALSE)</f>
        <v>#NUM!</v>
      </c>
      <c r="AY37" s="292" t="e">
        <f t="array" aca="1" ref="AY37" ca="1">VLOOKUP($B37,KOMBI!$A:$ADS,MATCH(Tulem!AY$3,KOMBI!$A$1:$ADS$1,0),FALSE)</f>
        <v>#NUM!</v>
      </c>
      <c r="AZ37" s="292" t="e">
        <f t="array" aca="1" ref="AZ37" ca="1">VLOOKUP($B37,KOMBI!$A:$ADS,MATCH(Tulem!AZ$3,KOMBI!$A$1:$ADS$1,0),FALSE)</f>
        <v>#NUM!</v>
      </c>
      <c r="BA37" s="292" t="e">
        <f t="array" aca="1" ref="BA37" ca="1">VLOOKUP($B37,KOMBI!$A:$ADS,MATCH(Tulem!BA$3,KOMBI!$A$1:$ADS$1,0),FALSE)</f>
        <v>#NUM!</v>
      </c>
      <c r="BB37" s="292" t="e">
        <f t="array" aca="1" ref="BB37" ca="1">VLOOKUP($B37,KOMBI!$A:$ADS,MATCH(Tulem!BB$3,KOMBI!$A$1:$ADS$1,0),FALSE)</f>
        <v>#NUM!</v>
      </c>
      <c r="BC37" s="292" t="e">
        <f t="array" aca="1" ref="BC37" ca="1">VLOOKUP($B37,KOMBI!$A:$ADS,MATCH(Tulem!BC$3,KOMBI!$A$1:$ADS$1,0),FALSE)</f>
        <v>#NUM!</v>
      </c>
      <c r="BD37" s="292" t="e">
        <f t="array" aca="1" ref="BD37" ca="1">VLOOKUP($B37,KOMBI!$A:$ADS,MATCH(Tulem!BD$3,KOMBI!$A$1:$ADS$1,0),FALSE)</f>
        <v>#NUM!</v>
      </c>
      <c r="BE37" s="292" t="e">
        <f t="array" aca="1" ref="BE37" ca="1">VLOOKUP($B37,KOMBI!$A:$ADS,MATCH(Tulem!BE$3,KOMBI!$A$1:$ADS$1,0),FALSE)</f>
        <v>#NUM!</v>
      </c>
      <c r="BF37" s="292" t="e">
        <f t="array" aca="1" ref="BF37" ca="1">VLOOKUP($B37,KOMBI!$A:$ADS,MATCH(Tulem!BF$3,KOMBI!$A$1:$ADS$1,0),FALSE)</f>
        <v>#NUM!</v>
      </c>
      <c r="BG37" s="292" t="e">
        <f t="array" aca="1" ref="BG37" ca="1">VLOOKUP($B37,KOMBI!$A:$ADS,MATCH(Tulem!BG$3,KOMBI!$A$1:$ADS$1,0),FALSE)</f>
        <v>#NUM!</v>
      </c>
      <c r="BH37" s="292" t="e">
        <f t="array" aca="1" ref="BH37" ca="1">VLOOKUP($B37,KOMBI!$A:$ADS,MATCH(Tulem!BH$3,KOMBI!$A$1:$ADS$1,0),FALSE)</f>
        <v>#NUM!</v>
      </c>
      <c r="BI37" s="292" t="e">
        <f t="array" aca="1" ref="BI37" ca="1">VLOOKUP($B37,KOMBI!$A:$ADS,MATCH(Tulem!BI$3,KOMBI!$A$1:$ADS$1,0),FALSE)</f>
        <v>#NUM!</v>
      </c>
      <c r="BJ37" s="292" t="e">
        <f t="array" aca="1" ref="BJ37" ca="1">VLOOKUP($B37,KOMBI!$A:$ADS,MATCH(Tulem!BJ$3,KOMBI!$A$1:$ADS$1,0),FALSE)</f>
        <v>#NUM!</v>
      </c>
      <c r="BK37" s="292" t="e">
        <f t="array" aca="1" ref="BK37" ca="1">VLOOKUP($B37,KOMBI!$A:$ADS,MATCH(Tulem!BK$3,KOMBI!$A$1:$ADS$1,0),FALSE)</f>
        <v>#NUM!</v>
      </c>
      <c r="BL37" s="292" t="e">
        <f t="array" aca="1" ref="BL37" ca="1">VLOOKUP($B37,KOMBI!$A:$ADS,MATCH(Tulem!BL$3,KOMBI!$A$1:$ADS$1,0),FALSE)</f>
        <v>#NUM!</v>
      </c>
      <c r="BM37" s="292" t="e">
        <f t="array" aca="1" ref="BM37" ca="1">VLOOKUP($B37,KOMBI!$A:$ADS,MATCH(Tulem!BM$3,KOMBI!$A$1:$ADS$1,0),FALSE)</f>
        <v>#NUM!</v>
      </c>
      <c r="BN37" s="292" t="e">
        <f t="array" aca="1" ref="BN37" ca="1">VLOOKUP($B37,KOMBI!$A:$ADS,MATCH(Tulem!BN$3,KOMBI!$A$1:$ADS$1,0),FALSE)</f>
        <v>#NUM!</v>
      </c>
      <c r="BO37" s="292" t="e">
        <f t="array" aca="1" ref="BO37" ca="1">VLOOKUP($B37,KOMBI!$A:$ADS,MATCH(Tulem!BO$3,KOMBI!$A$1:$ADS$1,0),FALSE)</f>
        <v>#NUM!</v>
      </c>
      <c r="BP37" s="291"/>
      <c r="BQ37" s="292" t="e">
        <f t="array" aca="1" ref="BQ37" ca="1">VLOOKUP($B37,KOMBI!$A:$ADS,MATCH(Tulem!BQ$3,KOMBI!$A$1:$ADS$1,0),FALSE)</f>
        <v>#NUM!</v>
      </c>
      <c r="BR37" s="292" t="e">
        <f t="array" aca="1" ref="BR37" ca="1">VLOOKUP($B37,KOMBI!$A:$ADS,MATCH(Tulem!BR$3,KOMBI!$A$1:$ADS$1,0),FALSE)</f>
        <v>#NUM!</v>
      </c>
      <c r="BS37" s="292" t="e">
        <f t="array" aca="1" ref="BS37" ca="1">VLOOKUP($B37,KOMBI!$A:$ADS,MATCH(Tulem!BS$3,KOMBI!$A$1:$ADS$1,0),FALSE)</f>
        <v>#NUM!</v>
      </c>
      <c r="BT37" s="292" t="e">
        <f t="array" aca="1" ref="BT37" ca="1">VLOOKUP($B37,KOMBI!$A:$ADS,MATCH(Tulem!BT$3,KOMBI!$A$1:$ADS$1,0),FALSE)</f>
        <v>#NUM!</v>
      </c>
      <c r="BU37" s="292" t="e">
        <f t="array" aca="1" ref="BU37" ca="1">VLOOKUP($B37,KOMBI!$A:$ADS,MATCH(Tulem!BU$3,KOMBI!$A$1:$ADS$1,0),FALSE)</f>
        <v>#NUM!</v>
      </c>
      <c r="BV37" s="291"/>
      <c r="BW37" s="292" t="e">
        <f t="array" aca="1" ref="BW37" ca="1">VLOOKUP($B37,KOMBI!$A:$ADS,MATCH(Tulem!BW$3,KOMBI!$A$1:$ADS$1,0),FALSE)</f>
        <v>#NUM!</v>
      </c>
      <c r="BX37" s="291"/>
      <c r="BY37" s="291"/>
      <c r="BZ37" s="292" t="e">
        <f t="array" aca="1" ref="BZ37" ca="1">VLOOKUP($B37,KOMBI!$A:$ADS,MATCH(Tulem!BZ$3,KOMBI!$A$1:$ADS$1,0),FALSE)</f>
        <v>#NUM!</v>
      </c>
      <c r="CA37" s="292" t="e">
        <f t="array" aca="1" ref="CA37" ca="1">VLOOKUP($B37,KOMBI!$A:$ADS,MATCH(Tulem!CA$3,KOMBI!$A$1:$ADS$1,0),FALSE)</f>
        <v>#NUM!</v>
      </c>
      <c r="CB37" s="292" t="e">
        <f t="array" aca="1" ref="CB37" ca="1">VLOOKUP($B37,KOMBI!$A:$ADS,MATCH(Tulem!CB$3,KOMBI!$A$1:$ADS$1,0),FALSE)</f>
        <v>#NUM!</v>
      </c>
      <c r="CC37" s="292" t="e">
        <f t="array" aca="1" ref="CC37" ca="1">VLOOKUP($B37,KOMBI!$A:$ADS,MATCH(Tulem!CC$3,KOMBI!$A$1:$ADS$1,0),FALSE)</f>
        <v>#NUM!</v>
      </c>
      <c r="CD37" s="292" t="e">
        <f t="array" aca="1" ref="CD37" ca="1">VLOOKUP($B37,KOMBI!$A:$ADS,MATCH(Tulem!CD$3,KOMBI!$A$1:$ADS$1,0),FALSE)</f>
        <v>#NUM!</v>
      </c>
      <c r="CF37" s="51" t="e">
        <f ca="1">VLOOKUP($B37,KOMBI!$A:$ACG,MATCH(CF$5,KOMBI!$10:$10,0),FALSE)</f>
        <v>#NUM!</v>
      </c>
    </row>
    <row r="38" spans="1:84" x14ac:dyDescent="0.2">
      <c r="A38" s="51">
        <v>33</v>
      </c>
      <c r="B38" s="51" t="e">
        <f ca="1">KOMBI!GI43</f>
        <v>#NUM!</v>
      </c>
      <c r="C38" s="51">
        <f t="shared" si="0"/>
        <v>33</v>
      </c>
      <c r="D38" s="290" t="e">
        <f ca="1">VLOOKUP(VLOOKUP($B38,KOMBI!$A:$H,3,FALSE),data!$I$27:$J$29,2,FALSE)</f>
        <v>#NUM!</v>
      </c>
      <c r="E38" s="290" t="e">
        <f ca="1">VLOOKUP(VLOOKUP($B38,KOMBI!$A:$H,2,FALSE),data!$I$21:$J$23,2,FALSE)</f>
        <v>#NUM!</v>
      </c>
      <c r="F38" s="290" t="e">
        <f ca="1">VLOOKUP(VLOOKUP($B38,KOMBI!$A:$H,5,FALSE),data!$I$39:$J$41,2,FALSE)</f>
        <v>#NUM!</v>
      </c>
      <c r="G38" s="290" t="e">
        <f ca="1">VLOOKUP(VLOOKUP($B38,KOMBI!$A:$H,4,FALSE),data!$I$32:$J$36,2,FALSE)</f>
        <v>#NUM!</v>
      </c>
      <c r="I38" s="51" t="e">
        <f ca="1">VLOOKUP($B38,KOMBI!$A:$Z,MATCH(I$5,KOMBI!$10:$10,0),FALSE)</f>
        <v>#NUM!</v>
      </c>
      <c r="J38" s="291" t="e">
        <f ca="1">VLOOKUP($B38,KOMBI!$A:$ADS,J$3,FALSE)</f>
        <v>#NUM!</v>
      </c>
      <c r="K38" s="291" t="e">
        <f ca="1">VLOOKUP($B38,KOMBI!$A:$ADS,K$3,FALSE)</f>
        <v>#NUM!</v>
      </c>
      <c r="L38" s="291" t="e">
        <f ca="1">VLOOKUP($B38,KOMBI!$A:$ADS,L$3,FALSE)</f>
        <v>#NUM!</v>
      </c>
      <c r="M38" s="291" t="e">
        <f ca="1">VLOOKUP($B38,KOMBI!$A:$ADS,M$3,FALSE)</f>
        <v>#NUM!</v>
      </c>
      <c r="N38" s="291" t="e">
        <f ca="1">VLOOKUP($B38,KOMBI!$A:$ADS,N$3,FALSE)</f>
        <v>#NUM!</v>
      </c>
      <c r="O38" s="291" t="e">
        <f ca="1">VLOOKUP($B38,KOMBI!$A:$ADS,O$3,FALSE)</f>
        <v>#NUM!</v>
      </c>
      <c r="P38" s="291" t="e">
        <f ca="1">VLOOKUP($B38,KOMBI!$A:$ADS,P$3,FALSE)</f>
        <v>#NUM!</v>
      </c>
      <c r="Q38" s="292" t="e">
        <f t="array" aca="1" ref="Q38" ca="1">VLOOKUP($B38,KOMBI!$A:$ADS,MATCH(Tulem!Q$3,KOMBI!$A$1:$ADS$1,0),FALSE)</f>
        <v>#NUM!</v>
      </c>
      <c r="S38" s="332" t="e">
        <f t="array" aca="1" ref="S38" ca="1">VLOOKUP($B38,KOMBI!$A:$ADS,MATCH(Tulem!S$3,KOMBI!$A$1:$ADS$1,0),FALSE)</f>
        <v>#NUM!</v>
      </c>
      <c r="T38" s="293" t="e">
        <f ca="1">VLOOKUP($B38,KOMBI!$A:$ADS,T$3,FALSE)</f>
        <v>#NUM!</v>
      </c>
      <c r="U38" s="293" t="e">
        <f ca="1">VLOOKUP($B38,KOMBI!$A:$ADS,U$3,FALSE)</f>
        <v>#NUM!</v>
      </c>
      <c r="V38" s="293" t="e">
        <f ca="1">VLOOKUP($B38,KOMBI!$A:$ADS,V$3,FALSE)</f>
        <v>#NUM!</v>
      </c>
      <c r="W38" s="293"/>
      <c r="X38" s="293" t="e">
        <f ca="1">VLOOKUP($B38,KOMBI!$A:$ADS,X$3,FALSE)</f>
        <v>#NUM!</v>
      </c>
      <c r="Y38" s="293" t="e">
        <f ca="1">VLOOKUP($B38,KOMBI!$A:$ADS,Y$3,FALSE)</f>
        <v>#NUM!</v>
      </c>
      <c r="Z38" s="293" t="e">
        <f ca="1">VLOOKUP($B38,KOMBI!$A:$ADS,Z$3,FALSE)</f>
        <v>#NUM!</v>
      </c>
      <c r="AA38" s="294"/>
      <c r="AB38" s="293" t="e">
        <f ca="1">VLOOKUP($B38,KOMBI!$A:$ADS,AB$3,FALSE)</f>
        <v>#NUM!</v>
      </c>
      <c r="AC38" s="293" t="e">
        <f ca="1">VLOOKUP($B38,KOMBI!$A:$ADS,AC$3,FALSE)-AB38</f>
        <v>#NUM!</v>
      </c>
      <c r="AD38" s="293" t="e">
        <f ca="1">VLOOKUP($B38,KOMBI!$A:$ADS,AD$3,FALSE)</f>
        <v>#NUM!</v>
      </c>
      <c r="AE38" s="293" t="e">
        <f ca="1">VLOOKUP($B38,KOMBI!$A:$ADS,AE$3,FALSE)</f>
        <v>#NUM!</v>
      </c>
      <c r="AF38" s="293" t="e">
        <f ca="1">VLOOKUP($B38,KOMBI!$A:$ADS,AF$3,FALSE)-AE38</f>
        <v>#NUM!</v>
      </c>
      <c r="AG38" s="293" t="e">
        <f ca="1">VLOOKUP($B38,KOMBI!$A:$ADS,AG$3,FALSE)</f>
        <v>#NUM!</v>
      </c>
      <c r="AI38" s="293" t="e">
        <f t="array" aca="1" ref="AI38" ca="1">VLOOKUP($B38,KOMBI!$A:$ADS,MATCH(Tulem!AI$3,KOMBI!$A$1:$ADS$1,0),FALSE)</f>
        <v>#NUM!</v>
      </c>
      <c r="AJ38" s="293" t="e">
        <f t="array" aca="1" ref="AJ38" ca="1">VLOOKUP($B38,KOMBI!$A:$ADS,MATCH(Tulem!AJ$3,KOMBI!$A$1:$ADS$1,0),FALSE)</f>
        <v>#NUM!</v>
      </c>
      <c r="AK38" s="293" t="e">
        <f t="array" aca="1" ref="AK38" ca="1">VLOOKUP($B38,KOMBI!$A:$ADS,MATCH(Tulem!AK$3,KOMBI!$A$1:$ADS$1,0),FALSE)</f>
        <v>#NUM!</v>
      </c>
      <c r="AL38" s="293" t="e">
        <f t="array" aca="1" ref="AL38" ca="1">VLOOKUP($B38,KOMBI!$A:$ADS,MATCH(Tulem!AL$3,KOMBI!$A$1:$ADS$1,0),FALSE)</f>
        <v>#NUM!</v>
      </c>
      <c r="AM38" s="293" t="e">
        <f t="array" aca="1" ref="AM38" ca="1">VLOOKUP($B38,KOMBI!$A:$ADS,MATCH(Tulem!AM$3,KOMBI!$A$1:$ADS$1,0),FALSE)</f>
        <v>#NUM!</v>
      </c>
      <c r="AN38" s="293" t="e">
        <f t="array" aca="1" ref="AN38" ca="1">VLOOKUP($B38,KOMBI!$A:$ADS,MATCH(Tulem!AN$3,KOMBI!$A$1:$ADS$1,0),FALSE)</f>
        <v>#NUM!</v>
      </c>
      <c r="AO38" s="293" t="e">
        <f t="array" aca="1" ref="AO38" ca="1">VLOOKUP($B38,KOMBI!$A:$ADS,MATCH(Tulem!AO$3,KOMBI!$A$1:$ADS$1,0),FALSE)</f>
        <v>#NUM!</v>
      </c>
      <c r="AP38" s="293" t="e">
        <f t="array" aca="1" ref="AP38" ca="1">VLOOKUP($B38,KOMBI!$A:$ADS,MATCH(Tulem!AP$3,KOMBI!$A$1:$ADS$1,0),FALSE)</f>
        <v>#NUM!</v>
      </c>
      <c r="AQ38" s="293" t="e">
        <f t="array" aca="1" ref="AQ38" ca="1">VLOOKUP($B38,KOMBI!$A:$ADS,MATCH(Tulem!AQ$3,KOMBI!$A$1:$ADS$1,0),FALSE)</f>
        <v>#NUM!</v>
      </c>
      <c r="AR38" s="293" t="e">
        <f t="array" aca="1" ref="AR38" ca="1">VLOOKUP($B38,KOMBI!$A:$ADS,MATCH(Tulem!AR$3,KOMBI!$A$1:$ADS$1,0),FALSE)</f>
        <v>#NUM!</v>
      </c>
      <c r="AS38" s="293" t="e">
        <f t="array" aca="1" ref="AS38" ca="1">VLOOKUP($B38,KOMBI!$A:$ADS,MATCH(Tulem!AS$3,KOMBI!$A$1:$ADS$1,0),FALSE)</f>
        <v>#NUM!</v>
      </c>
      <c r="AT38" s="293" t="e">
        <f t="array" aca="1" ref="AT38" ca="1">VLOOKUP($B38,KOMBI!$A:$ADS,MATCH(Tulem!AT$3,KOMBI!$A$1:$ADS$1,0),FALSE)</f>
        <v>#NUM!</v>
      </c>
      <c r="AU38" s="293" t="e">
        <f t="array" aca="1" ref="AU38" ca="1">VLOOKUP($B38,KOMBI!$A:$ADS,MATCH(Tulem!AU$3,KOMBI!$A$1:$ADS$1,0),FALSE)</f>
        <v>#NUM!</v>
      </c>
      <c r="AV38" s="293" t="e">
        <f t="shared" ca="1" si="1"/>
        <v>#NUM!</v>
      </c>
      <c r="AW38" s="293" t="e">
        <f t="shared" ca="1" si="2"/>
        <v>#NUM!</v>
      </c>
      <c r="AX38" s="291" t="e">
        <f ca="1">VLOOKUP($B38,KOMBI!$A:$ACA,MATCH(AX$5,KOMBI!$10:$10,0),FALSE)</f>
        <v>#NUM!</v>
      </c>
      <c r="AY38" s="292" t="e">
        <f t="array" aca="1" ref="AY38" ca="1">VLOOKUP($B38,KOMBI!$A:$ADS,MATCH(Tulem!AY$3,KOMBI!$A$1:$ADS$1,0),FALSE)</f>
        <v>#NUM!</v>
      </c>
      <c r="AZ38" s="292" t="e">
        <f t="array" aca="1" ref="AZ38" ca="1">VLOOKUP($B38,KOMBI!$A:$ADS,MATCH(Tulem!AZ$3,KOMBI!$A$1:$ADS$1,0),FALSE)</f>
        <v>#NUM!</v>
      </c>
      <c r="BA38" s="292" t="e">
        <f t="array" aca="1" ref="BA38" ca="1">VLOOKUP($B38,KOMBI!$A:$ADS,MATCH(Tulem!BA$3,KOMBI!$A$1:$ADS$1,0),FALSE)</f>
        <v>#NUM!</v>
      </c>
      <c r="BB38" s="292" t="e">
        <f t="array" aca="1" ref="BB38" ca="1">VLOOKUP($B38,KOMBI!$A:$ADS,MATCH(Tulem!BB$3,KOMBI!$A$1:$ADS$1,0),FALSE)</f>
        <v>#NUM!</v>
      </c>
      <c r="BC38" s="292" t="e">
        <f t="array" aca="1" ref="BC38" ca="1">VLOOKUP($B38,KOMBI!$A:$ADS,MATCH(Tulem!BC$3,KOMBI!$A$1:$ADS$1,0),FALSE)</f>
        <v>#NUM!</v>
      </c>
      <c r="BD38" s="292" t="e">
        <f t="array" aca="1" ref="BD38" ca="1">VLOOKUP($B38,KOMBI!$A:$ADS,MATCH(Tulem!BD$3,KOMBI!$A$1:$ADS$1,0),FALSE)</f>
        <v>#NUM!</v>
      </c>
      <c r="BE38" s="292" t="e">
        <f t="array" aca="1" ref="BE38" ca="1">VLOOKUP($B38,KOMBI!$A:$ADS,MATCH(Tulem!BE$3,KOMBI!$A$1:$ADS$1,0),FALSE)</f>
        <v>#NUM!</v>
      </c>
      <c r="BF38" s="292" t="e">
        <f t="array" aca="1" ref="BF38" ca="1">VLOOKUP($B38,KOMBI!$A:$ADS,MATCH(Tulem!BF$3,KOMBI!$A$1:$ADS$1,0),FALSE)</f>
        <v>#NUM!</v>
      </c>
      <c r="BG38" s="292" t="e">
        <f t="array" aca="1" ref="BG38" ca="1">VLOOKUP($B38,KOMBI!$A:$ADS,MATCH(Tulem!BG$3,KOMBI!$A$1:$ADS$1,0),FALSE)</f>
        <v>#NUM!</v>
      </c>
      <c r="BH38" s="292" t="e">
        <f t="array" aca="1" ref="BH38" ca="1">VLOOKUP($B38,KOMBI!$A:$ADS,MATCH(Tulem!BH$3,KOMBI!$A$1:$ADS$1,0),FALSE)</f>
        <v>#NUM!</v>
      </c>
      <c r="BI38" s="292" t="e">
        <f t="array" aca="1" ref="BI38" ca="1">VLOOKUP($B38,KOMBI!$A:$ADS,MATCH(Tulem!BI$3,KOMBI!$A$1:$ADS$1,0),FALSE)</f>
        <v>#NUM!</v>
      </c>
      <c r="BJ38" s="292" t="e">
        <f t="array" aca="1" ref="BJ38" ca="1">VLOOKUP($B38,KOMBI!$A:$ADS,MATCH(Tulem!BJ$3,KOMBI!$A$1:$ADS$1,0),FALSE)</f>
        <v>#NUM!</v>
      </c>
      <c r="BK38" s="292" t="e">
        <f t="array" aca="1" ref="BK38" ca="1">VLOOKUP($B38,KOMBI!$A:$ADS,MATCH(Tulem!BK$3,KOMBI!$A$1:$ADS$1,0),FALSE)</f>
        <v>#NUM!</v>
      </c>
      <c r="BL38" s="292" t="e">
        <f t="array" aca="1" ref="BL38" ca="1">VLOOKUP($B38,KOMBI!$A:$ADS,MATCH(Tulem!BL$3,KOMBI!$A$1:$ADS$1,0),FALSE)</f>
        <v>#NUM!</v>
      </c>
      <c r="BM38" s="292" t="e">
        <f t="array" aca="1" ref="BM38" ca="1">VLOOKUP($B38,KOMBI!$A:$ADS,MATCH(Tulem!BM$3,KOMBI!$A$1:$ADS$1,0),FALSE)</f>
        <v>#NUM!</v>
      </c>
      <c r="BN38" s="292" t="e">
        <f t="array" aca="1" ref="BN38" ca="1">VLOOKUP($B38,KOMBI!$A:$ADS,MATCH(Tulem!BN$3,KOMBI!$A$1:$ADS$1,0),FALSE)</f>
        <v>#NUM!</v>
      </c>
      <c r="BO38" s="292" t="e">
        <f t="array" aca="1" ref="BO38" ca="1">VLOOKUP($B38,KOMBI!$A:$ADS,MATCH(Tulem!BO$3,KOMBI!$A$1:$ADS$1,0),FALSE)</f>
        <v>#NUM!</v>
      </c>
      <c r="BP38" s="291"/>
      <c r="BQ38" s="292" t="e">
        <f t="array" aca="1" ref="BQ38" ca="1">VLOOKUP($B38,KOMBI!$A:$ADS,MATCH(Tulem!BQ$3,KOMBI!$A$1:$ADS$1,0),FALSE)</f>
        <v>#NUM!</v>
      </c>
      <c r="BR38" s="292" t="e">
        <f t="array" aca="1" ref="BR38" ca="1">VLOOKUP($B38,KOMBI!$A:$ADS,MATCH(Tulem!BR$3,KOMBI!$A$1:$ADS$1,0),FALSE)</f>
        <v>#NUM!</v>
      </c>
      <c r="BS38" s="292" t="e">
        <f t="array" aca="1" ref="BS38" ca="1">VLOOKUP($B38,KOMBI!$A:$ADS,MATCH(Tulem!BS$3,KOMBI!$A$1:$ADS$1,0),FALSE)</f>
        <v>#NUM!</v>
      </c>
      <c r="BT38" s="292" t="e">
        <f t="array" aca="1" ref="BT38" ca="1">VLOOKUP($B38,KOMBI!$A:$ADS,MATCH(Tulem!BT$3,KOMBI!$A$1:$ADS$1,0),FALSE)</f>
        <v>#NUM!</v>
      </c>
      <c r="BU38" s="292" t="e">
        <f t="array" aca="1" ref="BU38" ca="1">VLOOKUP($B38,KOMBI!$A:$ADS,MATCH(Tulem!BU$3,KOMBI!$A$1:$ADS$1,0),FALSE)</f>
        <v>#NUM!</v>
      </c>
      <c r="BV38" s="291"/>
      <c r="BW38" s="292" t="e">
        <f t="array" aca="1" ref="BW38" ca="1">VLOOKUP($B38,KOMBI!$A:$ADS,MATCH(Tulem!BW$3,KOMBI!$A$1:$ADS$1,0),FALSE)</f>
        <v>#NUM!</v>
      </c>
      <c r="BX38" s="291"/>
      <c r="BY38" s="291"/>
      <c r="BZ38" s="292" t="e">
        <f t="array" aca="1" ref="BZ38" ca="1">VLOOKUP($B38,KOMBI!$A:$ADS,MATCH(Tulem!BZ$3,KOMBI!$A$1:$ADS$1,0),FALSE)</f>
        <v>#NUM!</v>
      </c>
      <c r="CA38" s="292" t="e">
        <f t="array" aca="1" ref="CA38" ca="1">VLOOKUP($B38,KOMBI!$A:$ADS,MATCH(Tulem!CA$3,KOMBI!$A$1:$ADS$1,0),FALSE)</f>
        <v>#NUM!</v>
      </c>
      <c r="CB38" s="292" t="e">
        <f t="array" aca="1" ref="CB38" ca="1">VLOOKUP($B38,KOMBI!$A:$ADS,MATCH(Tulem!CB$3,KOMBI!$A$1:$ADS$1,0),FALSE)</f>
        <v>#NUM!</v>
      </c>
      <c r="CC38" s="292" t="e">
        <f t="array" aca="1" ref="CC38" ca="1">VLOOKUP($B38,KOMBI!$A:$ADS,MATCH(Tulem!CC$3,KOMBI!$A$1:$ADS$1,0),FALSE)</f>
        <v>#NUM!</v>
      </c>
      <c r="CD38" s="292" t="e">
        <f t="array" aca="1" ref="CD38" ca="1">VLOOKUP($B38,KOMBI!$A:$ADS,MATCH(Tulem!CD$3,KOMBI!$A$1:$ADS$1,0),FALSE)</f>
        <v>#NUM!</v>
      </c>
      <c r="CF38" s="51" t="e">
        <f ca="1">VLOOKUP($B38,KOMBI!$A:$ACG,MATCH(CF$5,KOMBI!$10:$10,0),FALSE)</f>
        <v>#NUM!</v>
      </c>
    </row>
    <row r="39" spans="1:84" x14ac:dyDescent="0.2">
      <c r="A39" s="51">
        <v>34</v>
      </c>
      <c r="B39" s="51" t="e">
        <f ca="1">KOMBI!GI44</f>
        <v>#NUM!</v>
      </c>
      <c r="C39" s="51">
        <f t="shared" si="0"/>
        <v>34</v>
      </c>
      <c r="D39" s="290" t="e">
        <f ca="1">VLOOKUP(VLOOKUP($B39,KOMBI!$A:$H,3,FALSE),data!$I$27:$J$29,2,FALSE)</f>
        <v>#NUM!</v>
      </c>
      <c r="E39" s="290" t="e">
        <f ca="1">VLOOKUP(VLOOKUP($B39,KOMBI!$A:$H,2,FALSE),data!$I$21:$J$23,2,FALSE)</f>
        <v>#NUM!</v>
      </c>
      <c r="F39" s="290" t="e">
        <f ca="1">VLOOKUP(VLOOKUP($B39,KOMBI!$A:$H,5,FALSE),data!$I$39:$J$41,2,FALSE)</f>
        <v>#NUM!</v>
      </c>
      <c r="G39" s="290" t="e">
        <f ca="1">VLOOKUP(VLOOKUP($B39,KOMBI!$A:$H,4,FALSE),data!$I$32:$J$36,2,FALSE)</f>
        <v>#NUM!</v>
      </c>
      <c r="I39" s="51" t="e">
        <f ca="1">VLOOKUP($B39,KOMBI!$A:$Z,MATCH(I$5,KOMBI!$10:$10,0),FALSE)</f>
        <v>#NUM!</v>
      </c>
      <c r="J39" s="291" t="e">
        <f ca="1">VLOOKUP($B39,KOMBI!$A:$ADS,J$3,FALSE)</f>
        <v>#NUM!</v>
      </c>
      <c r="K39" s="291" t="e">
        <f ca="1">VLOOKUP($B39,KOMBI!$A:$ADS,K$3,FALSE)</f>
        <v>#NUM!</v>
      </c>
      <c r="L39" s="291" t="e">
        <f ca="1">VLOOKUP($B39,KOMBI!$A:$ADS,L$3,FALSE)</f>
        <v>#NUM!</v>
      </c>
      <c r="M39" s="291" t="e">
        <f ca="1">VLOOKUP($B39,KOMBI!$A:$ADS,M$3,FALSE)</f>
        <v>#NUM!</v>
      </c>
      <c r="N39" s="291" t="e">
        <f ca="1">VLOOKUP($B39,KOMBI!$A:$ADS,N$3,FALSE)</f>
        <v>#NUM!</v>
      </c>
      <c r="O39" s="291" t="e">
        <f ca="1">VLOOKUP($B39,KOMBI!$A:$ADS,O$3,FALSE)</f>
        <v>#NUM!</v>
      </c>
      <c r="P39" s="291" t="e">
        <f ca="1">VLOOKUP($B39,KOMBI!$A:$ADS,P$3,FALSE)</f>
        <v>#NUM!</v>
      </c>
      <c r="Q39" s="292" t="e">
        <f t="array" aca="1" ref="Q39" ca="1">VLOOKUP($B39,KOMBI!$A:$ADS,MATCH(Tulem!Q$3,KOMBI!$A$1:$ADS$1,0),FALSE)</f>
        <v>#NUM!</v>
      </c>
      <c r="S39" s="332" t="e">
        <f t="array" aca="1" ref="S39" ca="1">VLOOKUP($B39,KOMBI!$A:$ADS,MATCH(Tulem!S$3,KOMBI!$A$1:$ADS$1,0),FALSE)</f>
        <v>#NUM!</v>
      </c>
      <c r="T39" s="293" t="e">
        <f ca="1">VLOOKUP($B39,KOMBI!$A:$ADS,T$3,FALSE)</f>
        <v>#NUM!</v>
      </c>
      <c r="U39" s="293" t="e">
        <f ca="1">VLOOKUP($B39,KOMBI!$A:$ADS,U$3,FALSE)</f>
        <v>#NUM!</v>
      </c>
      <c r="V39" s="293" t="e">
        <f ca="1">VLOOKUP($B39,KOMBI!$A:$ADS,V$3,FALSE)</f>
        <v>#NUM!</v>
      </c>
      <c r="W39" s="293"/>
      <c r="X39" s="293" t="e">
        <f ca="1">VLOOKUP($B39,KOMBI!$A:$ADS,X$3,FALSE)</f>
        <v>#NUM!</v>
      </c>
      <c r="Y39" s="293" t="e">
        <f ca="1">VLOOKUP($B39,KOMBI!$A:$ADS,Y$3,FALSE)</f>
        <v>#NUM!</v>
      </c>
      <c r="Z39" s="293" t="e">
        <f ca="1">VLOOKUP($B39,KOMBI!$A:$ADS,Z$3,FALSE)</f>
        <v>#NUM!</v>
      </c>
      <c r="AA39" s="294"/>
      <c r="AB39" s="293" t="e">
        <f ca="1">VLOOKUP($B39,KOMBI!$A:$ADS,AB$3,FALSE)</f>
        <v>#NUM!</v>
      </c>
      <c r="AC39" s="293" t="e">
        <f ca="1">VLOOKUP($B39,KOMBI!$A:$ADS,AC$3,FALSE)-AB39</f>
        <v>#NUM!</v>
      </c>
      <c r="AD39" s="293" t="e">
        <f ca="1">VLOOKUP($B39,KOMBI!$A:$ADS,AD$3,FALSE)</f>
        <v>#NUM!</v>
      </c>
      <c r="AE39" s="293" t="e">
        <f ca="1">VLOOKUP($B39,KOMBI!$A:$ADS,AE$3,FALSE)</f>
        <v>#NUM!</v>
      </c>
      <c r="AF39" s="293" t="e">
        <f ca="1">VLOOKUP($B39,KOMBI!$A:$ADS,AF$3,FALSE)-AE39</f>
        <v>#NUM!</v>
      </c>
      <c r="AG39" s="293" t="e">
        <f ca="1">VLOOKUP($B39,KOMBI!$A:$ADS,AG$3,FALSE)</f>
        <v>#NUM!</v>
      </c>
      <c r="AI39" s="293" t="e">
        <f t="array" aca="1" ref="AI39" ca="1">VLOOKUP($B39,KOMBI!$A:$ADS,MATCH(Tulem!AI$3,KOMBI!$A$1:$ADS$1,0),FALSE)</f>
        <v>#NUM!</v>
      </c>
      <c r="AJ39" s="293" t="e">
        <f t="array" aca="1" ref="AJ39" ca="1">VLOOKUP($B39,KOMBI!$A:$ADS,MATCH(Tulem!AJ$3,KOMBI!$A$1:$ADS$1,0),FALSE)</f>
        <v>#NUM!</v>
      </c>
      <c r="AK39" s="293" t="e">
        <f t="array" aca="1" ref="AK39" ca="1">VLOOKUP($B39,KOMBI!$A:$ADS,MATCH(Tulem!AK$3,KOMBI!$A$1:$ADS$1,0),FALSE)</f>
        <v>#NUM!</v>
      </c>
      <c r="AL39" s="293" t="e">
        <f t="array" aca="1" ref="AL39" ca="1">VLOOKUP($B39,KOMBI!$A:$ADS,MATCH(Tulem!AL$3,KOMBI!$A$1:$ADS$1,0),FALSE)</f>
        <v>#NUM!</v>
      </c>
      <c r="AM39" s="293" t="e">
        <f t="array" aca="1" ref="AM39" ca="1">VLOOKUP($B39,KOMBI!$A:$ADS,MATCH(Tulem!AM$3,KOMBI!$A$1:$ADS$1,0),FALSE)</f>
        <v>#NUM!</v>
      </c>
      <c r="AN39" s="293" t="e">
        <f t="array" aca="1" ref="AN39" ca="1">VLOOKUP($B39,KOMBI!$A:$ADS,MATCH(Tulem!AN$3,KOMBI!$A$1:$ADS$1,0),FALSE)</f>
        <v>#NUM!</v>
      </c>
      <c r="AO39" s="293" t="e">
        <f t="array" aca="1" ref="AO39" ca="1">VLOOKUP($B39,KOMBI!$A:$ADS,MATCH(Tulem!AO$3,KOMBI!$A$1:$ADS$1,0),FALSE)</f>
        <v>#NUM!</v>
      </c>
      <c r="AP39" s="293" t="e">
        <f t="array" aca="1" ref="AP39" ca="1">VLOOKUP($B39,KOMBI!$A:$ADS,MATCH(Tulem!AP$3,KOMBI!$A$1:$ADS$1,0),FALSE)</f>
        <v>#NUM!</v>
      </c>
      <c r="AQ39" s="293" t="e">
        <f t="array" aca="1" ref="AQ39" ca="1">VLOOKUP($B39,KOMBI!$A:$ADS,MATCH(Tulem!AQ$3,KOMBI!$A$1:$ADS$1,0),FALSE)</f>
        <v>#NUM!</v>
      </c>
      <c r="AR39" s="293" t="e">
        <f t="array" aca="1" ref="AR39" ca="1">VLOOKUP($B39,KOMBI!$A:$ADS,MATCH(Tulem!AR$3,KOMBI!$A$1:$ADS$1,0),FALSE)</f>
        <v>#NUM!</v>
      </c>
      <c r="AS39" s="293" t="e">
        <f t="array" aca="1" ref="AS39" ca="1">VLOOKUP($B39,KOMBI!$A:$ADS,MATCH(Tulem!AS$3,KOMBI!$A$1:$ADS$1,0),FALSE)</f>
        <v>#NUM!</v>
      </c>
      <c r="AT39" s="293" t="e">
        <f t="array" aca="1" ref="AT39" ca="1">VLOOKUP($B39,KOMBI!$A:$ADS,MATCH(Tulem!AT$3,KOMBI!$A$1:$ADS$1,0),FALSE)</f>
        <v>#NUM!</v>
      </c>
      <c r="AU39" s="293" t="e">
        <f t="array" aca="1" ref="AU39" ca="1">VLOOKUP($B39,KOMBI!$A:$ADS,MATCH(Tulem!AU$3,KOMBI!$A$1:$ADS$1,0),FALSE)</f>
        <v>#NUM!</v>
      </c>
      <c r="AV39" s="293" t="e">
        <f t="shared" ca="1" si="1"/>
        <v>#NUM!</v>
      </c>
      <c r="AW39" s="293" t="e">
        <f t="shared" ca="1" si="2"/>
        <v>#NUM!</v>
      </c>
      <c r="AX39" s="291" t="e">
        <f ca="1">VLOOKUP($B39,KOMBI!$A:$ACA,MATCH(AX$5,KOMBI!$10:$10,0),FALSE)</f>
        <v>#NUM!</v>
      </c>
      <c r="AY39" s="292" t="e">
        <f t="array" aca="1" ref="AY39" ca="1">VLOOKUP($B39,KOMBI!$A:$ADS,MATCH(Tulem!AY$3,KOMBI!$A$1:$ADS$1,0),FALSE)</f>
        <v>#NUM!</v>
      </c>
      <c r="AZ39" s="292" t="e">
        <f t="array" aca="1" ref="AZ39" ca="1">VLOOKUP($B39,KOMBI!$A:$ADS,MATCH(Tulem!AZ$3,KOMBI!$A$1:$ADS$1,0),FALSE)</f>
        <v>#NUM!</v>
      </c>
      <c r="BA39" s="292" t="e">
        <f t="array" aca="1" ref="BA39" ca="1">VLOOKUP($B39,KOMBI!$A:$ADS,MATCH(Tulem!BA$3,KOMBI!$A$1:$ADS$1,0),FALSE)</f>
        <v>#NUM!</v>
      </c>
      <c r="BB39" s="292" t="e">
        <f t="array" aca="1" ref="BB39" ca="1">VLOOKUP($B39,KOMBI!$A:$ADS,MATCH(Tulem!BB$3,KOMBI!$A$1:$ADS$1,0),FALSE)</f>
        <v>#NUM!</v>
      </c>
      <c r="BC39" s="292" t="e">
        <f t="array" aca="1" ref="BC39" ca="1">VLOOKUP($B39,KOMBI!$A:$ADS,MATCH(Tulem!BC$3,KOMBI!$A$1:$ADS$1,0),FALSE)</f>
        <v>#NUM!</v>
      </c>
      <c r="BD39" s="292" t="e">
        <f t="array" aca="1" ref="BD39" ca="1">VLOOKUP($B39,KOMBI!$A:$ADS,MATCH(Tulem!BD$3,KOMBI!$A$1:$ADS$1,0),FALSE)</f>
        <v>#NUM!</v>
      </c>
      <c r="BE39" s="292" t="e">
        <f t="array" aca="1" ref="BE39" ca="1">VLOOKUP($B39,KOMBI!$A:$ADS,MATCH(Tulem!BE$3,KOMBI!$A$1:$ADS$1,0),FALSE)</f>
        <v>#NUM!</v>
      </c>
      <c r="BF39" s="292" t="e">
        <f t="array" aca="1" ref="BF39" ca="1">VLOOKUP($B39,KOMBI!$A:$ADS,MATCH(Tulem!BF$3,KOMBI!$A$1:$ADS$1,0),FALSE)</f>
        <v>#NUM!</v>
      </c>
      <c r="BG39" s="292" t="e">
        <f t="array" aca="1" ref="BG39" ca="1">VLOOKUP($B39,KOMBI!$A:$ADS,MATCH(Tulem!BG$3,KOMBI!$A$1:$ADS$1,0),FALSE)</f>
        <v>#NUM!</v>
      </c>
      <c r="BH39" s="292" t="e">
        <f t="array" aca="1" ref="BH39" ca="1">VLOOKUP($B39,KOMBI!$A:$ADS,MATCH(Tulem!BH$3,KOMBI!$A$1:$ADS$1,0),FALSE)</f>
        <v>#NUM!</v>
      </c>
      <c r="BI39" s="292" t="e">
        <f t="array" aca="1" ref="BI39" ca="1">VLOOKUP($B39,KOMBI!$A:$ADS,MATCH(Tulem!BI$3,KOMBI!$A$1:$ADS$1,0),FALSE)</f>
        <v>#NUM!</v>
      </c>
      <c r="BJ39" s="292" t="e">
        <f t="array" aca="1" ref="BJ39" ca="1">VLOOKUP($B39,KOMBI!$A:$ADS,MATCH(Tulem!BJ$3,KOMBI!$A$1:$ADS$1,0),FALSE)</f>
        <v>#NUM!</v>
      </c>
      <c r="BK39" s="292" t="e">
        <f t="array" aca="1" ref="BK39" ca="1">VLOOKUP($B39,KOMBI!$A:$ADS,MATCH(Tulem!BK$3,KOMBI!$A$1:$ADS$1,0),FALSE)</f>
        <v>#NUM!</v>
      </c>
      <c r="BL39" s="292" t="e">
        <f t="array" aca="1" ref="BL39" ca="1">VLOOKUP($B39,KOMBI!$A:$ADS,MATCH(Tulem!BL$3,KOMBI!$A$1:$ADS$1,0),FALSE)</f>
        <v>#NUM!</v>
      </c>
      <c r="BM39" s="292" t="e">
        <f t="array" aca="1" ref="BM39" ca="1">VLOOKUP($B39,KOMBI!$A:$ADS,MATCH(Tulem!BM$3,KOMBI!$A$1:$ADS$1,0),FALSE)</f>
        <v>#NUM!</v>
      </c>
      <c r="BN39" s="292" t="e">
        <f t="array" aca="1" ref="BN39" ca="1">VLOOKUP($B39,KOMBI!$A:$ADS,MATCH(Tulem!BN$3,KOMBI!$A$1:$ADS$1,0),FALSE)</f>
        <v>#NUM!</v>
      </c>
      <c r="BO39" s="292" t="e">
        <f t="array" aca="1" ref="BO39" ca="1">VLOOKUP($B39,KOMBI!$A:$ADS,MATCH(Tulem!BO$3,KOMBI!$A$1:$ADS$1,0),FALSE)</f>
        <v>#NUM!</v>
      </c>
      <c r="BP39" s="291"/>
      <c r="BQ39" s="292" t="e">
        <f t="array" aca="1" ref="BQ39" ca="1">VLOOKUP($B39,KOMBI!$A:$ADS,MATCH(Tulem!BQ$3,KOMBI!$A$1:$ADS$1,0),FALSE)</f>
        <v>#NUM!</v>
      </c>
      <c r="BR39" s="292" t="e">
        <f t="array" aca="1" ref="BR39" ca="1">VLOOKUP($B39,KOMBI!$A:$ADS,MATCH(Tulem!BR$3,KOMBI!$A$1:$ADS$1,0),FALSE)</f>
        <v>#NUM!</v>
      </c>
      <c r="BS39" s="292" t="e">
        <f t="array" aca="1" ref="BS39" ca="1">VLOOKUP($B39,KOMBI!$A:$ADS,MATCH(Tulem!BS$3,KOMBI!$A$1:$ADS$1,0),FALSE)</f>
        <v>#NUM!</v>
      </c>
      <c r="BT39" s="292" t="e">
        <f t="array" aca="1" ref="BT39" ca="1">VLOOKUP($B39,KOMBI!$A:$ADS,MATCH(Tulem!BT$3,KOMBI!$A$1:$ADS$1,0),FALSE)</f>
        <v>#NUM!</v>
      </c>
      <c r="BU39" s="292" t="e">
        <f t="array" aca="1" ref="BU39" ca="1">VLOOKUP($B39,KOMBI!$A:$ADS,MATCH(Tulem!BU$3,KOMBI!$A$1:$ADS$1,0),FALSE)</f>
        <v>#NUM!</v>
      </c>
      <c r="BV39" s="291"/>
      <c r="BW39" s="292" t="e">
        <f t="array" aca="1" ref="BW39" ca="1">VLOOKUP($B39,KOMBI!$A:$ADS,MATCH(Tulem!BW$3,KOMBI!$A$1:$ADS$1,0),FALSE)</f>
        <v>#NUM!</v>
      </c>
      <c r="BX39" s="291"/>
      <c r="BY39" s="291"/>
      <c r="BZ39" s="292" t="e">
        <f t="array" aca="1" ref="BZ39" ca="1">VLOOKUP($B39,KOMBI!$A:$ADS,MATCH(Tulem!BZ$3,KOMBI!$A$1:$ADS$1,0),FALSE)</f>
        <v>#NUM!</v>
      </c>
      <c r="CA39" s="292" t="e">
        <f t="array" aca="1" ref="CA39" ca="1">VLOOKUP($B39,KOMBI!$A:$ADS,MATCH(Tulem!CA$3,KOMBI!$A$1:$ADS$1,0),FALSE)</f>
        <v>#NUM!</v>
      </c>
      <c r="CB39" s="292" t="e">
        <f t="array" aca="1" ref="CB39" ca="1">VLOOKUP($B39,KOMBI!$A:$ADS,MATCH(Tulem!CB$3,KOMBI!$A$1:$ADS$1,0),FALSE)</f>
        <v>#NUM!</v>
      </c>
      <c r="CC39" s="292" t="e">
        <f t="array" aca="1" ref="CC39" ca="1">VLOOKUP($B39,KOMBI!$A:$ADS,MATCH(Tulem!CC$3,KOMBI!$A$1:$ADS$1,0),FALSE)</f>
        <v>#NUM!</v>
      </c>
      <c r="CD39" s="292" t="e">
        <f t="array" aca="1" ref="CD39" ca="1">VLOOKUP($B39,KOMBI!$A:$ADS,MATCH(Tulem!CD$3,KOMBI!$A$1:$ADS$1,0),FALSE)</f>
        <v>#NUM!</v>
      </c>
      <c r="CF39" s="51" t="e">
        <f ca="1">VLOOKUP($B39,KOMBI!$A:$ACG,MATCH(CF$5,KOMBI!$10:$10,0),FALSE)</f>
        <v>#NUM!</v>
      </c>
    </row>
    <row r="40" spans="1:84" x14ac:dyDescent="0.2">
      <c r="A40" s="51">
        <v>35</v>
      </c>
      <c r="B40" s="51" t="e">
        <f ca="1">KOMBI!GI45</f>
        <v>#NUM!</v>
      </c>
      <c r="C40" s="51">
        <f t="shared" si="0"/>
        <v>35</v>
      </c>
      <c r="D40" s="290" t="e">
        <f ca="1">VLOOKUP(VLOOKUP($B40,KOMBI!$A:$H,3,FALSE),data!$I$27:$J$29,2,FALSE)</f>
        <v>#NUM!</v>
      </c>
      <c r="E40" s="290" t="e">
        <f ca="1">VLOOKUP(VLOOKUP($B40,KOMBI!$A:$H,2,FALSE),data!$I$21:$J$23,2,FALSE)</f>
        <v>#NUM!</v>
      </c>
      <c r="F40" s="290" t="e">
        <f ca="1">VLOOKUP(VLOOKUP($B40,KOMBI!$A:$H,5,FALSE),data!$I$39:$J$41,2,FALSE)</f>
        <v>#NUM!</v>
      </c>
      <c r="G40" s="290" t="e">
        <f ca="1">VLOOKUP(VLOOKUP($B40,KOMBI!$A:$H,4,FALSE),data!$I$32:$J$36,2,FALSE)</f>
        <v>#NUM!</v>
      </c>
      <c r="I40" s="51" t="e">
        <f ca="1">VLOOKUP($B40,KOMBI!$A:$Z,MATCH(I$5,KOMBI!$10:$10,0),FALSE)</f>
        <v>#NUM!</v>
      </c>
      <c r="J40" s="291" t="e">
        <f ca="1">VLOOKUP($B40,KOMBI!$A:$ADS,J$3,FALSE)</f>
        <v>#NUM!</v>
      </c>
      <c r="K40" s="291" t="e">
        <f ca="1">VLOOKUP($B40,KOMBI!$A:$ADS,K$3,FALSE)</f>
        <v>#NUM!</v>
      </c>
      <c r="L40" s="291" t="e">
        <f ca="1">VLOOKUP($B40,KOMBI!$A:$ADS,L$3,FALSE)</f>
        <v>#NUM!</v>
      </c>
      <c r="M40" s="291" t="e">
        <f ca="1">VLOOKUP($B40,KOMBI!$A:$ADS,M$3,FALSE)</f>
        <v>#NUM!</v>
      </c>
      <c r="N40" s="291" t="e">
        <f ca="1">VLOOKUP($B40,KOMBI!$A:$ADS,N$3,FALSE)</f>
        <v>#NUM!</v>
      </c>
      <c r="O40" s="291" t="e">
        <f ca="1">VLOOKUP($B40,KOMBI!$A:$ADS,O$3,FALSE)</f>
        <v>#NUM!</v>
      </c>
      <c r="P40" s="291" t="e">
        <f ca="1">VLOOKUP($B40,KOMBI!$A:$ADS,P$3,FALSE)</f>
        <v>#NUM!</v>
      </c>
      <c r="Q40" s="292" t="e">
        <f t="array" aca="1" ref="Q40" ca="1">VLOOKUP($B40,KOMBI!$A:$ADS,MATCH(Tulem!Q$3,KOMBI!$A$1:$ADS$1,0),FALSE)</f>
        <v>#NUM!</v>
      </c>
      <c r="S40" s="332" t="e">
        <f t="array" aca="1" ref="S40" ca="1">VLOOKUP($B40,KOMBI!$A:$ADS,MATCH(Tulem!S$3,KOMBI!$A$1:$ADS$1,0),FALSE)</f>
        <v>#NUM!</v>
      </c>
      <c r="T40" s="293" t="e">
        <f ca="1">VLOOKUP($B40,KOMBI!$A:$ADS,T$3,FALSE)</f>
        <v>#NUM!</v>
      </c>
      <c r="U40" s="293" t="e">
        <f ca="1">VLOOKUP($B40,KOMBI!$A:$ADS,U$3,FALSE)</f>
        <v>#NUM!</v>
      </c>
      <c r="V40" s="293" t="e">
        <f ca="1">VLOOKUP($B40,KOMBI!$A:$ADS,V$3,FALSE)</f>
        <v>#NUM!</v>
      </c>
      <c r="W40" s="293"/>
      <c r="X40" s="293" t="e">
        <f ca="1">VLOOKUP($B40,KOMBI!$A:$ADS,X$3,FALSE)</f>
        <v>#NUM!</v>
      </c>
      <c r="Y40" s="293" t="e">
        <f ca="1">VLOOKUP($B40,KOMBI!$A:$ADS,Y$3,FALSE)</f>
        <v>#NUM!</v>
      </c>
      <c r="Z40" s="293" t="e">
        <f ca="1">VLOOKUP($B40,KOMBI!$A:$ADS,Z$3,FALSE)</f>
        <v>#NUM!</v>
      </c>
      <c r="AA40" s="294"/>
      <c r="AB40" s="293" t="e">
        <f ca="1">VLOOKUP($B40,KOMBI!$A:$ADS,AB$3,FALSE)</f>
        <v>#NUM!</v>
      </c>
      <c r="AC40" s="293" t="e">
        <f ca="1">VLOOKUP($B40,KOMBI!$A:$ADS,AC$3,FALSE)-AB40</f>
        <v>#NUM!</v>
      </c>
      <c r="AD40" s="293" t="e">
        <f ca="1">VLOOKUP($B40,KOMBI!$A:$ADS,AD$3,FALSE)</f>
        <v>#NUM!</v>
      </c>
      <c r="AE40" s="293" t="e">
        <f ca="1">VLOOKUP($B40,KOMBI!$A:$ADS,AE$3,FALSE)</f>
        <v>#NUM!</v>
      </c>
      <c r="AF40" s="293" t="e">
        <f ca="1">VLOOKUP($B40,KOMBI!$A:$ADS,AF$3,FALSE)-AE40</f>
        <v>#NUM!</v>
      </c>
      <c r="AG40" s="293" t="e">
        <f ca="1">VLOOKUP($B40,KOMBI!$A:$ADS,AG$3,FALSE)</f>
        <v>#NUM!</v>
      </c>
      <c r="AI40" s="293" t="e">
        <f t="array" aca="1" ref="AI40" ca="1">VLOOKUP($B40,KOMBI!$A:$ADS,MATCH(Tulem!AI$3,KOMBI!$A$1:$ADS$1,0),FALSE)</f>
        <v>#NUM!</v>
      </c>
      <c r="AJ40" s="293" t="e">
        <f t="array" aca="1" ref="AJ40" ca="1">VLOOKUP($B40,KOMBI!$A:$ADS,MATCH(Tulem!AJ$3,KOMBI!$A$1:$ADS$1,0),FALSE)</f>
        <v>#NUM!</v>
      </c>
      <c r="AK40" s="293" t="e">
        <f t="array" aca="1" ref="AK40" ca="1">VLOOKUP($B40,KOMBI!$A:$ADS,MATCH(Tulem!AK$3,KOMBI!$A$1:$ADS$1,0),FALSE)</f>
        <v>#NUM!</v>
      </c>
      <c r="AL40" s="293" t="e">
        <f t="array" aca="1" ref="AL40" ca="1">VLOOKUP($B40,KOMBI!$A:$ADS,MATCH(Tulem!AL$3,KOMBI!$A$1:$ADS$1,0),FALSE)</f>
        <v>#NUM!</v>
      </c>
      <c r="AM40" s="293" t="e">
        <f t="array" aca="1" ref="AM40" ca="1">VLOOKUP($B40,KOMBI!$A:$ADS,MATCH(Tulem!AM$3,KOMBI!$A$1:$ADS$1,0),FALSE)</f>
        <v>#NUM!</v>
      </c>
      <c r="AN40" s="293" t="e">
        <f t="array" aca="1" ref="AN40" ca="1">VLOOKUP($B40,KOMBI!$A:$ADS,MATCH(Tulem!AN$3,KOMBI!$A$1:$ADS$1,0),FALSE)</f>
        <v>#NUM!</v>
      </c>
      <c r="AO40" s="293" t="e">
        <f t="array" aca="1" ref="AO40" ca="1">VLOOKUP($B40,KOMBI!$A:$ADS,MATCH(Tulem!AO$3,KOMBI!$A$1:$ADS$1,0),FALSE)</f>
        <v>#NUM!</v>
      </c>
      <c r="AP40" s="293" t="e">
        <f t="array" aca="1" ref="AP40" ca="1">VLOOKUP($B40,KOMBI!$A:$ADS,MATCH(Tulem!AP$3,KOMBI!$A$1:$ADS$1,0),FALSE)</f>
        <v>#NUM!</v>
      </c>
      <c r="AQ40" s="293" t="e">
        <f t="array" aca="1" ref="AQ40" ca="1">VLOOKUP($B40,KOMBI!$A:$ADS,MATCH(Tulem!AQ$3,KOMBI!$A$1:$ADS$1,0),FALSE)</f>
        <v>#NUM!</v>
      </c>
      <c r="AR40" s="293" t="e">
        <f t="array" aca="1" ref="AR40" ca="1">VLOOKUP($B40,KOMBI!$A:$ADS,MATCH(Tulem!AR$3,KOMBI!$A$1:$ADS$1,0),FALSE)</f>
        <v>#NUM!</v>
      </c>
      <c r="AS40" s="293" t="e">
        <f t="array" aca="1" ref="AS40" ca="1">VLOOKUP($B40,KOMBI!$A:$ADS,MATCH(Tulem!AS$3,KOMBI!$A$1:$ADS$1,0),FALSE)</f>
        <v>#NUM!</v>
      </c>
      <c r="AT40" s="293" t="e">
        <f t="array" aca="1" ref="AT40" ca="1">VLOOKUP($B40,KOMBI!$A:$ADS,MATCH(Tulem!AT$3,KOMBI!$A$1:$ADS$1,0),FALSE)</f>
        <v>#NUM!</v>
      </c>
      <c r="AU40" s="293" t="e">
        <f t="array" aca="1" ref="AU40" ca="1">VLOOKUP($B40,KOMBI!$A:$ADS,MATCH(Tulem!AU$3,KOMBI!$A$1:$ADS$1,0),FALSE)</f>
        <v>#NUM!</v>
      </c>
      <c r="AV40" s="293" t="e">
        <f t="shared" ca="1" si="1"/>
        <v>#NUM!</v>
      </c>
      <c r="AW40" s="293" t="e">
        <f t="shared" ca="1" si="2"/>
        <v>#NUM!</v>
      </c>
      <c r="AX40" s="291" t="e">
        <f ca="1">VLOOKUP($B40,KOMBI!$A:$ACA,MATCH(AX$5,KOMBI!$10:$10,0),FALSE)</f>
        <v>#NUM!</v>
      </c>
      <c r="AY40" s="292" t="e">
        <f t="array" aca="1" ref="AY40" ca="1">VLOOKUP($B40,KOMBI!$A:$ADS,MATCH(Tulem!AY$3,KOMBI!$A$1:$ADS$1,0),FALSE)</f>
        <v>#NUM!</v>
      </c>
      <c r="AZ40" s="292" t="e">
        <f t="array" aca="1" ref="AZ40" ca="1">VLOOKUP($B40,KOMBI!$A:$ADS,MATCH(Tulem!AZ$3,KOMBI!$A$1:$ADS$1,0),FALSE)</f>
        <v>#NUM!</v>
      </c>
      <c r="BA40" s="292" t="e">
        <f t="array" aca="1" ref="BA40" ca="1">VLOOKUP($B40,KOMBI!$A:$ADS,MATCH(Tulem!BA$3,KOMBI!$A$1:$ADS$1,0),FALSE)</f>
        <v>#NUM!</v>
      </c>
      <c r="BB40" s="292" t="e">
        <f t="array" aca="1" ref="BB40" ca="1">VLOOKUP($B40,KOMBI!$A:$ADS,MATCH(Tulem!BB$3,KOMBI!$A$1:$ADS$1,0),FALSE)</f>
        <v>#NUM!</v>
      </c>
      <c r="BC40" s="292" t="e">
        <f t="array" aca="1" ref="BC40" ca="1">VLOOKUP($B40,KOMBI!$A:$ADS,MATCH(Tulem!BC$3,KOMBI!$A$1:$ADS$1,0),FALSE)</f>
        <v>#NUM!</v>
      </c>
      <c r="BD40" s="292" t="e">
        <f t="array" aca="1" ref="BD40" ca="1">VLOOKUP($B40,KOMBI!$A:$ADS,MATCH(Tulem!BD$3,KOMBI!$A$1:$ADS$1,0),FALSE)</f>
        <v>#NUM!</v>
      </c>
      <c r="BE40" s="292" t="e">
        <f t="array" aca="1" ref="BE40" ca="1">VLOOKUP($B40,KOMBI!$A:$ADS,MATCH(Tulem!BE$3,KOMBI!$A$1:$ADS$1,0),FALSE)</f>
        <v>#NUM!</v>
      </c>
      <c r="BF40" s="292" t="e">
        <f t="array" aca="1" ref="BF40" ca="1">VLOOKUP($B40,KOMBI!$A:$ADS,MATCH(Tulem!BF$3,KOMBI!$A$1:$ADS$1,0),FALSE)</f>
        <v>#NUM!</v>
      </c>
      <c r="BG40" s="292" t="e">
        <f t="array" aca="1" ref="BG40" ca="1">VLOOKUP($B40,KOMBI!$A:$ADS,MATCH(Tulem!BG$3,KOMBI!$A$1:$ADS$1,0),FALSE)</f>
        <v>#NUM!</v>
      </c>
      <c r="BH40" s="292" t="e">
        <f t="array" aca="1" ref="BH40" ca="1">VLOOKUP($B40,KOMBI!$A:$ADS,MATCH(Tulem!BH$3,KOMBI!$A$1:$ADS$1,0),FALSE)</f>
        <v>#NUM!</v>
      </c>
      <c r="BI40" s="292" t="e">
        <f t="array" aca="1" ref="BI40" ca="1">VLOOKUP($B40,KOMBI!$A:$ADS,MATCH(Tulem!BI$3,KOMBI!$A$1:$ADS$1,0),FALSE)</f>
        <v>#NUM!</v>
      </c>
      <c r="BJ40" s="292" t="e">
        <f t="array" aca="1" ref="BJ40" ca="1">VLOOKUP($B40,KOMBI!$A:$ADS,MATCH(Tulem!BJ$3,KOMBI!$A$1:$ADS$1,0),FALSE)</f>
        <v>#NUM!</v>
      </c>
      <c r="BK40" s="292" t="e">
        <f t="array" aca="1" ref="BK40" ca="1">VLOOKUP($B40,KOMBI!$A:$ADS,MATCH(Tulem!BK$3,KOMBI!$A$1:$ADS$1,0),FALSE)</f>
        <v>#NUM!</v>
      </c>
      <c r="BL40" s="292" t="e">
        <f t="array" aca="1" ref="BL40" ca="1">VLOOKUP($B40,KOMBI!$A:$ADS,MATCH(Tulem!BL$3,KOMBI!$A$1:$ADS$1,0),FALSE)</f>
        <v>#NUM!</v>
      </c>
      <c r="BM40" s="292" t="e">
        <f t="array" aca="1" ref="BM40" ca="1">VLOOKUP($B40,KOMBI!$A:$ADS,MATCH(Tulem!BM$3,KOMBI!$A$1:$ADS$1,0),FALSE)</f>
        <v>#NUM!</v>
      </c>
      <c r="BN40" s="292" t="e">
        <f t="array" aca="1" ref="BN40" ca="1">VLOOKUP($B40,KOMBI!$A:$ADS,MATCH(Tulem!BN$3,KOMBI!$A$1:$ADS$1,0),FALSE)</f>
        <v>#NUM!</v>
      </c>
      <c r="BO40" s="292" t="e">
        <f t="array" aca="1" ref="BO40" ca="1">VLOOKUP($B40,KOMBI!$A:$ADS,MATCH(Tulem!BO$3,KOMBI!$A$1:$ADS$1,0),FALSE)</f>
        <v>#NUM!</v>
      </c>
      <c r="BP40" s="291"/>
      <c r="BQ40" s="292" t="e">
        <f t="array" aca="1" ref="BQ40" ca="1">VLOOKUP($B40,KOMBI!$A:$ADS,MATCH(Tulem!BQ$3,KOMBI!$A$1:$ADS$1,0),FALSE)</f>
        <v>#NUM!</v>
      </c>
      <c r="BR40" s="292" t="e">
        <f t="array" aca="1" ref="BR40" ca="1">VLOOKUP($B40,KOMBI!$A:$ADS,MATCH(Tulem!BR$3,KOMBI!$A$1:$ADS$1,0),FALSE)</f>
        <v>#NUM!</v>
      </c>
      <c r="BS40" s="292" t="e">
        <f t="array" aca="1" ref="BS40" ca="1">VLOOKUP($B40,KOMBI!$A:$ADS,MATCH(Tulem!BS$3,KOMBI!$A$1:$ADS$1,0),FALSE)</f>
        <v>#NUM!</v>
      </c>
      <c r="BT40" s="292" t="e">
        <f t="array" aca="1" ref="BT40" ca="1">VLOOKUP($B40,KOMBI!$A:$ADS,MATCH(Tulem!BT$3,KOMBI!$A$1:$ADS$1,0),FALSE)</f>
        <v>#NUM!</v>
      </c>
      <c r="BU40" s="292" t="e">
        <f t="array" aca="1" ref="BU40" ca="1">VLOOKUP($B40,KOMBI!$A:$ADS,MATCH(Tulem!BU$3,KOMBI!$A$1:$ADS$1,0),FALSE)</f>
        <v>#NUM!</v>
      </c>
      <c r="BV40" s="291"/>
      <c r="BW40" s="292" t="e">
        <f t="array" aca="1" ref="BW40" ca="1">VLOOKUP($B40,KOMBI!$A:$ADS,MATCH(Tulem!BW$3,KOMBI!$A$1:$ADS$1,0),FALSE)</f>
        <v>#NUM!</v>
      </c>
      <c r="BX40" s="291"/>
      <c r="BY40" s="291"/>
      <c r="BZ40" s="292" t="e">
        <f t="array" aca="1" ref="BZ40" ca="1">VLOOKUP($B40,KOMBI!$A:$ADS,MATCH(Tulem!BZ$3,KOMBI!$A$1:$ADS$1,0),FALSE)</f>
        <v>#NUM!</v>
      </c>
      <c r="CA40" s="292" t="e">
        <f t="array" aca="1" ref="CA40" ca="1">VLOOKUP($B40,KOMBI!$A:$ADS,MATCH(Tulem!CA$3,KOMBI!$A$1:$ADS$1,0),FALSE)</f>
        <v>#NUM!</v>
      </c>
      <c r="CB40" s="292" t="e">
        <f t="array" aca="1" ref="CB40" ca="1">VLOOKUP($B40,KOMBI!$A:$ADS,MATCH(Tulem!CB$3,KOMBI!$A$1:$ADS$1,0),FALSE)</f>
        <v>#NUM!</v>
      </c>
      <c r="CC40" s="292" t="e">
        <f t="array" aca="1" ref="CC40" ca="1">VLOOKUP($B40,KOMBI!$A:$ADS,MATCH(Tulem!CC$3,KOMBI!$A$1:$ADS$1,0),FALSE)</f>
        <v>#NUM!</v>
      </c>
      <c r="CD40" s="292" t="e">
        <f t="array" aca="1" ref="CD40" ca="1">VLOOKUP($B40,KOMBI!$A:$ADS,MATCH(Tulem!CD$3,KOMBI!$A$1:$ADS$1,0),FALSE)</f>
        <v>#NUM!</v>
      </c>
      <c r="CF40" s="51" t="e">
        <f ca="1">VLOOKUP($B40,KOMBI!$A:$ACG,MATCH(CF$5,KOMBI!$10:$10,0),FALSE)</f>
        <v>#NUM!</v>
      </c>
    </row>
    <row r="41" spans="1:84" x14ac:dyDescent="0.2">
      <c r="A41" s="51">
        <v>36</v>
      </c>
      <c r="B41" s="51" t="e">
        <f ca="1">KOMBI!GI46</f>
        <v>#NUM!</v>
      </c>
      <c r="C41" s="51">
        <f t="shared" si="0"/>
        <v>36</v>
      </c>
      <c r="D41" s="290" t="e">
        <f ca="1">VLOOKUP(VLOOKUP($B41,KOMBI!$A:$H,3,FALSE),data!$I$27:$J$29,2,FALSE)</f>
        <v>#NUM!</v>
      </c>
      <c r="E41" s="290" t="e">
        <f ca="1">VLOOKUP(VLOOKUP($B41,KOMBI!$A:$H,2,FALSE),data!$I$21:$J$23,2,FALSE)</f>
        <v>#NUM!</v>
      </c>
      <c r="F41" s="290" t="e">
        <f ca="1">VLOOKUP(VLOOKUP($B41,KOMBI!$A:$H,5,FALSE),data!$I$39:$J$41,2,FALSE)</f>
        <v>#NUM!</v>
      </c>
      <c r="G41" s="290" t="e">
        <f ca="1">VLOOKUP(VLOOKUP($B41,KOMBI!$A:$H,4,FALSE),data!$I$32:$J$36,2,FALSE)</f>
        <v>#NUM!</v>
      </c>
      <c r="I41" s="51" t="e">
        <f ca="1">VLOOKUP($B41,KOMBI!$A:$Z,MATCH(I$5,KOMBI!$10:$10,0),FALSE)</f>
        <v>#NUM!</v>
      </c>
      <c r="J41" s="291" t="e">
        <f ca="1">VLOOKUP($B41,KOMBI!$A:$ADS,J$3,FALSE)</f>
        <v>#NUM!</v>
      </c>
      <c r="K41" s="291" t="e">
        <f ca="1">VLOOKUP($B41,KOMBI!$A:$ADS,K$3,FALSE)</f>
        <v>#NUM!</v>
      </c>
      <c r="L41" s="291" t="e">
        <f ca="1">VLOOKUP($B41,KOMBI!$A:$ADS,L$3,FALSE)</f>
        <v>#NUM!</v>
      </c>
      <c r="M41" s="291" t="e">
        <f ca="1">VLOOKUP($B41,KOMBI!$A:$ADS,M$3,FALSE)</f>
        <v>#NUM!</v>
      </c>
      <c r="N41" s="291" t="e">
        <f ca="1">VLOOKUP($B41,KOMBI!$A:$ADS,N$3,FALSE)</f>
        <v>#NUM!</v>
      </c>
      <c r="O41" s="291" t="e">
        <f ca="1">VLOOKUP($B41,KOMBI!$A:$ADS,O$3,FALSE)</f>
        <v>#NUM!</v>
      </c>
      <c r="P41" s="291" t="e">
        <f ca="1">VLOOKUP($B41,KOMBI!$A:$ADS,P$3,FALSE)</f>
        <v>#NUM!</v>
      </c>
      <c r="Q41" s="292" t="e">
        <f t="array" aca="1" ref="Q41" ca="1">VLOOKUP($B41,KOMBI!$A:$ADS,MATCH(Tulem!Q$3,KOMBI!$A$1:$ADS$1,0),FALSE)</f>
        <v>#NUM!</v>
      </c>
      <c r="S41" s="332" t="e">
        <f t="array" aca="1" ref="S41" ca="1">VLOOKUP($B41,KOMBI!$A:$ADS,MATCH(Tulem!S$3,KOMBI!$A$1:$ADS$1,0),FALSE)</f>
        <v>#NUM!</v>
      </c>
      <c r="T41" s="293" t="e">
        <f ca="1">VLOOKUP($B41,KOMBI!$A:$ADS,T$3,FALSE)</f>
        <v>#NUM!</v>
      </c>
      <c r="U41" s="293" t="e">
        <f ca="1">VLOOKUP($B41,KOMBI!$A:$ADS,U$3,FALSE)</f>
        <v>#NUM!</v>
      </c>
      <c r="V41" s="293" t="e">
        <f ca="1">VLOOKUP($B41,KOMBI!$A:$ADS,V$3,FALSE)</f>
        <v>#NUM!</v>
      </c>
      <c r="W41" s="293"/>
      <c r="X41" s="293" t="e">
        <f ca="1">VLOOKUP($B41,KOMBI!$A:$ADS,X$3,FALSE)</f>
        <v>#NUM!</v>
      </c>
      <c r="Y41" s="293" t="e">
        <f ca="1">VLOOKUP($B41,KOMBI!$A:$ADS,Y$3,FALSE)</f>
        <v>#NUM!</v>
      </c>
      <c r="Z41" s="293" t="e">
        <f ca="1">VLOOKUP($B41,KOMBI!$A:$ADS,Z$3,FALSE)</f>
        <v>#NUM!</v>
      </c>
      <c r="AA41" s="294"/>
      <c r="AB41" s="293" t="e">
        <f ca="1">VLOOKUP($B41,KOMBI!$A:$ADS,AB$3,FALSE)</f>
        <v>#NUM!</v>
      </c>
      <c r="AC41" s="293" t="e">
        <f ca="1">VLOOKUP($B41,KOMBI!$A:$ADS,AC$3,FALSE)-AB41</f>
        <v>#NUM!</v>
      </c>
      <c r="AD41" s="293" t="e">
        <f ca="1">VLOOKUP($B41,KOMBI!$A:$ADS,AD$3,FALSE)</f>
        <v>#NUM!</v>
      </c>
      <c r="AE41" s="293" t="e">
        <f ca="1">VLOOKUP($B41,KOMBI!$A:$ADS,AE$3,FALSE)</f>
        <v>#NUM!</v>
      </c>
      <c r="AF41" s="293" t="e">
        <f ca="1">VLOOKUP($B41,KOMBI!$A:$ADS,AF$3,FALSE)-AE41</f>
        <v>#NUM!</v>
      </c>
      <c r="AG41" s="293" t="e">
        <f ca="1">VLOOKUP($B41,KOMBI!$A:$ADS,AG$3,FALSE)</f>
        <v>#NUM!</v>
      </c>
      <c r="AI41" s="293" t="e">
        <f t="array" aca="1" ref="AI41" ca="1">VLOOKUP($B41,KOMBI!$A:$ADS,MATCH(Tulem!AI$3,KOMBI!$A$1:$ADS$1,0),FALSE)</f>
        <v>#NUM!</v>
      </c>
      <c r="AJ41" s="293" t="e">
        <f t="array" aca="1" ref="AJ41" ca="1">VLOOKUP($B41,KOMBI!$A:$ADS,MATCH(Tulem!AJ$3,KOMBI!$A$1:$ADS$1,0),FALSE)</f>
        <v>#NUM!</v>
      </c>
      <c r="AK41" s="293" t="e">
        <f t="array" aca="1" ref="AK41" ca="1">VLOOKUP($B41,KOMBI!$A:$ADS,MATCH(Tulem!AK$3,KOMBI!$A$1:$ADS$1,0),FALSE)</f>
        <v>#NUM!</v>
      </c>
      <c r="AL41" s="293" t="e">
        <f t="array" aca="1" ref="AL41" ca="1">VLOOKUP($B41,KOMBI!$A:$ADS,MATCH(Tulem!AL$3,KOMBI!$A$1:$ADS$1,0),FALSE)</f>
        <v>#NUM!</v>
      </c>
      <c r="AM41" s="293" t="e">
        <f t="array" aca="1" ref="AM41" ca="1">VLOOKUP($B41,KOMBI!$A:$ADS,MATCH(Tulem!AM$3,KOMBI!$A$1:$ADS$1,0),FALSE)</f>
        <v>#NUM!</v>
      </c>
      <c r="AN41" s="293" t="e">
        <f t="array" aca="1" ref="AN41" ca="1">VLOOKUP($B41,KOMBI!$A:$ADS,MATCH(Tulem!AN$3,KOMBI!$A$1:$ADS$1,0),FALSE)</f>
        <v>#NUM!</v>
      </c>
      <c r="AO41" s="293" t="e">
        <f t="array" aca="1" ref="AO41" ca="1">VLOOKUP($B41,KOMBI!$A:$ADS,MATCH(Tulem!AO$3,KOMBI!$A$1:$ADS$1,0),FALSE)</f>
        <v>#NUM!</v>
      </c>
      <c r="AP41" s="293" t="e">
        <f t="array" aca="1" ref="AP41" ca="1">VLOOKUP($B41,KOMBI!$A:$ADS,MATCH(Tulem!AP$3,KOMBI!$A$1:$ADS$1,0),FALSE)</f>
        <v>#NUM!</v>
      </c>
      <c r="AQ41" s="293" t="e">
        <f t="array" aca="1" ref="AQ41" ca="1">VLOOKUP($B41,KOMBI!$A:$ADS,MATCH(Tulem!AQ$3,KOMBI!$A$1:$ADS$1,0),FALSE)</f>
        <v>#NUM!</v>
      </c>
      <c r="AR41" s="293" t="e">
        <f t="array" aca="1" ref="AR41" ca="1">VLOOKUP($B41,KOMBI!$A:$ADS,MATCH(Tulem!AR$3,KOMBI!$A$1:$ADS$1,0),FALSE)</f>
        <v>#NUM!</v>
      </c>
      <c r="AS41" s="293" t="e">
        <f t="array" aca="1" ref="AS41" ca="1">VLOOKUP($B41,KOMBI!$A:$ADS,MATCH(Tulem!AS$3,KOMBI!$A$1:$ADS$1,0),FALSE)</f>
        <v>#NUM!</v>
      </c>
      <c r="AT41" s="293" t="e">
        <f t="array" aca="1" ref="AT41" ca="1">VLOOKUP($B41,KOMBI!$A:$ADS,MATCH(Tulem!AT$3,KOMBI!$A$1:$ADS$1,0),FALSE)</f>
        <v>#NUM!</v>
      </c>
      <c r="AU41" s="293" t="e">
        <f t="array" aca="1" ref="AU41" ca="1">VLOOKUP($B41,KOMBI!$A:$ADS,MATCH(Tulem!AU$3,KOMBI!$A$1:$ADS$1,0),FALSE)</f>
        <v>#NUM!</v>
      </c>
      <c r="AV41" s="293" t="e">
        <f t="shared" ca="1" si="1"/>
        <v>#NUM!</v>
      </c>
      <c r="AW41" s="293" t="e">
        <f t="shared" ca="1" si="2"/>
        <v>#NUM!</v>
      </c>
      <c r="AX41" s="291" t="e">
        <f ca="1">VLOOKUP($B41,KOMBI!$A:$ACA,MATCH(AX$5,KOMBI!$10:$10,0),FALSE)</f>
        <v>#NUM!</v>
      </c>
      <c r="AY41" s="292" t="e">
        <f t="array" aca="1" ref="AY41" ca="1">VLOOKUP($B41,KOMBI!$A:$ADS,MATCH(Tulem!AY$3,KOMBI!$A$1:$ADS$1,0),FALSE)</f>
        <v>#NUM!</v>
      </c>
      <c r="AZ41" s="292" t="e">
        <f t="array" aca="1" ref="AZ41" ca="1">VLOOKUP($B41,KOMBI!$A:$ADS,MATCH(Tulem!AZ$3,KOMBI!$A$1:$ADS$1,0),FALSE)</f>
        <v>#NUM!</v>
      </c>
      <c r="BA41" s="292" t="e">
        <f t="array" aca="1" ref="BA41" ca="1">VLOOKUP($B41,KOMBI!$A:$ADS,MATCH(Tulem!BA$3,KOMBI!$A$1:$ADS$1,0),FALSE)</f>
        <v>#NUM!</v>
      </c>
      <c r="BB41" s="292" t="e">
        <f t="array" aca="1" ref="BB41" ca="1">VLOOKUP($B41,KOMBI!$A:$ADS,MATCH(Tulem!BB$3,KOMBI!$A$1:$ADS$1,0),FALSE)</f>
        <v>#NUM!</v>
      </c>
      <c r="BC41" s="292" t="e">
        <f t="array" aca="1" ref="BC41" ca="1">VLOOKUP($B41,KOMBI!$A:$ADS,MATCH(Tulem!BC$3,KOMBI!$A$1:$ADS$1,0),FALSE)</f>
        <v>#NUM!</v>
      </c>
      <c r="BD41" s="292" t="e">
        <f t="array" aca="1" ref="BD41" ca="1">VLOOKUP($B41,KOMBI!$A:$ADS,MATCH(Tulem!BD$3,KOMBI!$A$1:$ADS$1,0),FALSE)</f>
        <v>#NUM!</v>
      </c>
      <c r="BE41" s="292" t="e">
        <f t="array" aca="1" ref="BE41" ca="1">VLOOKUP($B41,KOMBI!$A:$ADS,MATCH(Tulem!BE$3,KOMBI!$A$1:$ADS$1,0),FALSE)</f>
        <v>#NUM!</v>
      </c>
      <c r="BF41" s="292" t="e">
        <f t="array" aca="1" ref="BF41" ca="1">VLOOKUP($B41,KOMBI!$A:$ADS,MATCH(Tulem!BF$3,KOMBI!$A$1:$ADS$1,0),FALSE)</f>
        <v>#NUM!</v>
      </c>
      <c r="BG41" s="292" t="e">
        <f t="array" aca="1" ref="BG41" ca="1">VLOOKUP($B41,KOMBI!$A:$ADS,MATCH(Tulem!BG$3,KOMBI!$A$1:$ADS$1,0),FALSE)</f>
        <v>#NUM!</v>
      </c>
      <c r="BH41" s="292" t="e">
        <f t="array" aca="1" ref="BH41" ca="1">VLOOKUP($B41,KOMBI!$A:$ADS,MATCH(Tulem!BH$3,KOMBI!$A$1:$ADS$1,0),FALSE)</f>
        <v>#NUM!</v>
      </c>
      <c r="BI41" s="292" t="e">
        <f t="array" aca="1" ref="BI41" ca="1">VLOOKUP($B41,KOMBI!$A:$ADS,MATCH(Tulem!BI$3,KOMBI!$A$1:$ADS$1,0),FALSE)</f>
        <v>#NUM!</v>
      </c>
      <c r="BJ41" s="292" t="e">
        <f t="array" aca="1" ref="BJ41" ca="1">VLOOKUP($B41,KOMBI!$A:$ADS,MATCH(Tulem!BJ$3,KOMBI!$A$1:$ADS$1,0),FALSE)</f>
        <v>#NUM!</v>
      </c>
      <c r="BK41" s="292" t="e">
        <f t="array" aca="1" ref="BK41" ca="1">VLOOKUP($B41,KOMBI!$A:$ADS,MATCH(Tulem!BK$3,KOMBI!$A$1:$ADS$1,0),FALSE)</f>
        <v>#NUM!</v>
      </c>
      <c r="BL41" s="292" t="e">
        <f t="array" aca="1" ref="BL41" ca="1">VLOOKUP($B41,KOMBI!$A:$ADS,MATCH(Tulem!BL$3,KOMBI!$A$1:$ADS$1,0),FALSE)</f>
        <v>#NUM!</v>
      </c>
      <c r="BM41" s="292" t="e">
        <f t="array" aca="1" ref="BM41" ca="1">VLOOKUP($B41,KOMBI!$A:$ADS,MATCH(Tulem!BM$3,KOMBI!$A$1:$ADS$1,0),FALSE)</f>
        <v>#NUM!</v>
      </c>
      <c r="BN41" s="292" t="e">
        <f t="array" aca="1" ref="BN41" ca="1">VLOOKUP($B41,KOMBI!$A:$ADS,MATCH(Tulem!BN$3,KOMBI!$A$1:$ADS$1,0),FALSE)</f>
        <v>#NUM!</v>
      </c>
      <c r="BO41" s="292" t="e">
        <f t="array" aca="1" ref="BO41" ca="1">VLOOKUP($B41,KOMBI!$A:$ADS,MATCH(Tulem!BO$3,KOMBI!$A$1:$ADS$1,0),FALSE)</f>
        <v>#NUM!</v>
      </c>
      <c r="BP41" s="291"/>
      <c r="BQ41" s="292" t="e">
        <f t="array" aca="1" ref="BQ41" ca="1">VLOOKUP($B41,KOMBI!$A:$ADS,MATCH(Tulem!BQ$3,KOMBI!$A$1:$ADS$1,0),FALSE)</f>
        <v>#NUM!</v>
      </c>
      <c r="BR41" s="292" t="e">
        <f t="array" aca="1" ref="BR41" ca="1">VLOOKUP($B41,KOMBI!$A:$ADS,MATCH(Tulem!BR$3,KOMBI!$A$1:$ADS$1,0),FALSE)</f>
        <v>#NUM!</v>
      </c>
      <c r="BS41" s="292" t="e">
        <f t="array" aca="1" ref="BS41" ca="1">VLOOKUP($B41,KOMBI!$A:$ADS,MATCH(Tulem!BS$3,KOMBI!$A$1:$ADS$1,0),FALSE)</f>
        <v>#NUM!</v>
      </c>
      <c r="BT41" s="292" t="e">
        <f t="array" aca="1" ref="BT41" ca="1">VLOOKUP($B41,KOMBI!$A:$ADS,MATCH(Tulem!BT$3,KOMBI!$A$1:$ADS$1,0),FALSE)</f>
        <v>#NUM!</v>
      </c>
      <c r="BU41" s="292" t="e">
        <f t="array" aca="1" ref="BU41" ca="1">VLOOKUP($B41,KOMBI!$A:$ADS,MATCH(Tulem!BU$3,KOMBI!$A$1:$ADS$1,0),FALSE)</f>
        <v>#NUM!</v>
      </c>
      <c r="BV41" s="291"/>
      <c r="BW41" s="292" t="e">
        <f t="array" aca="1" ref="BW41" ca="1">VLOOKUP($B41,KOMBI!$A:$ADS,MATCH(Tulem!BW$3,KOMBI!$A$1:$ADS$1,0),FALSE)</f>
        <v>#NUM!</v>
      </c>
      <c r="BX41" s="291"/>
      <c r="BY41" s="291"/>
      <c r="BZ41" s="292" t="e">
        <f t="array" aca="1" ref="BZ41" ca="1">VLOOKUP($B41,KOMBI!$A:$ADS,MATCH(Tulem!BZ$3,KOMBI!$A$1:$ADS$1,0),FALSE)</f>
        <v>#NUM!</v>
      </c>
      <c r="CA41" s="292" t="e">
        <f t="array" aca="1" ref="CA41" ca="1">VLOOKUP($B41,KOMBI!$A:$ADS,MATCH(Tulem!CA$3,KOMBI!$A$1:$ADS$1,0),FALSE)</f>
        <v>#NUM!</v>
      </c>
      <c r="CB41" s="292" t="e">
        <f t="array" aca="1" ref="CB41" ca="1">VLOOKUP($B41,KOMBI!$A:$ADS,MATCH(Tulem!CB$3,KOMBI!$A$1:$ADS$1,0),FALSE)</f>
        <v>#NUM!</v>
      </c>
      <c r="CC41" s="292" t="e">
        <f t="array" aca="1" ref="CC41" ca="1">VLOOKUP($B41,KOMBI!$A:$ADS,MATCH(Tulem!CC$3,KOMBI!$A$1:$ADS$1,0),FALSE)</f>
        <v>#NUM!</v>
      </c>
      <c r="CD41" s="292" t="e">
        <f t="array" aca="1" ref="CD41" ca="1">VLOOKUP($B41,KOMBI!$A:$ADS,MATCH(Tulem!CD$3,KOMBI!$A$1:$ADS$1,0),FALSE)</f>
        <v>#NUM!</v>
      </c>
      <c r="CF41" s="51" t="e">
        <f ca="1">VLOOKUP($B41,KOMBI!$A:$ACG,MATCH(CF$5,KOMBI!$10:$10,0),FALSE)</f>
        <v>#NUM!</v>
      </c>
    </row>
    <row r="42" spans="1:84" x14ac:dyDescent="0.2">
      <c r="A42" s="51">
        <v>37</v>
      </c>
      <c r="B42" s="51" t="e">
        <f ca="1">KOMBI!GI47</f>
        <v>#NUM!</v>
      </c>
      <c r="C42" s="51">
        <f t="shared" si="0"/>
        <v>37</v>
      </c>
      <c r="D42" s="290" t="e">
        <f ca="1">VLOOKUP(VLOOKUP($B42,KOMBI!$A:$H,3,FALSE),data!$I$27:$J$29,2,FALSE)</f>
        <v>#NUM!</v>
      </c>
      <c r="E42" s="290" t="e">
        <f ca="1">VLOOKUP(VLOOKUP($B42,KOMBI!$A:$H,2,FALSE),data!$I$21:$J$23,2,FALSE)</f>
        <v>#NUM!</v>
      </c>
      <c r="F42" s="290" t="e">
        <f ca="1">VLOOKUP(VLOOKUP($B42,KOMBI!$A:$H,5,FALSE),data!$I$39:$J$41,2,FALSE)</f>
        <v>#NUM!</v>
      </c>
      <c r="G42" s="290" t="e">
        <f ca="1">VLOOKUP(VLOOKUP($B42,KOMBI!$A:$H,4,FALSE),data!$I$32:$J$36,2,FALSE)</f>
        <v>#NUM!</v>
      </c>
      <c r="I42" s="51" t="e">
        <f ca="1">VLOOKUP($B42,KOMBI!$A:$Z,MATCH(I$5,KOMBI!$10:$10,0),FALSE)</f>
        <v>#NUM!</v>
      </c>
      <c r="J42" s="291" t="e">
        <f ca="1">VLOOKUP($B42,KOMBI!$A:$ADS,J$3,FALSE)</f>
        <v>#NUM!</v>
      </c>
      <c r="K42" s="291" t="e">
        <f ca="1">VLOOKUP($B42,KOMBI!$A:$ADS,K$3,FALSE)</f>
        <v>#NUM!</v>
      </c>
      <c r="L42" s="291" t="e">
        <f ca="1">VLOOKUP($B42,KOMBI!$A:$ADS,L$3,FALSE)</f>
        <v>#NUM!</v>
      </c>
      <c r="M42" s="291" t="e">
        <f ca="1">VLOOKUP($B42,KOMBI!$A:$ADS,M$3,FALSE)</f>
        <v>#NUM!</v>
      </c>
      <c r="N42" s="291" t="e">
        <f ca="1">VLOOKUP($B42,KOMBI!$A:$ADS,N$3,FALSE)</f>
        <v>#NUM!</v>
      </c>
      <c r="O42" s="291" t="e">
        <f ca="1">VLOOKUP($B42,KOMBI!$A:$ADS,O$3,FALSE)</f>
        <v>#NUM!</v>
      </c>
      <c r="P42" s="291" t="e">
        <f ca="1">VLOOKUP($B42,KOMBI!$A:$ADS,P$3,FALSE)</f>
        <v>#NUM!</v>
      </c>
      <c r="Q42" s="292" t="e">
        <f t="array" aca="1" ref="Q42" ca="1">VLOOKUP($B42,KOMBI!$A:$ADS,MATCH(Tulem!Q$3,KOMBI!$A$1:$ADS$1,0),FALSE)</f>
        <v>#NUM!</v>
      </c>
      <c r="S42" s="332" t="e">
        <f t="array" aca="1" ref="S42" ca="1">VLOOKUP($B42,KOMBI!$A:$ADS,MATCH(Tulem!S$3,KOMBI!$A$1:$ADS$1,0),FALSE)</f>
        <v>#NUM!</v>
      </c>
      <c r="T42" s="293" t="e">
        <f ca="1">VLOOKUP($B42,KOMBI!$A:$ADS,T$3,FALSE)</f>
        <v>#NUM!</v>
      </c>
      <c r="U42" s="293" t="e">
        <f ca="1">VLOOKUP($B42,KOMBI!$A:$ADS,U$3,FALSE)</f>
        <v>#NUM!</v>
      </c>
      <c r="V42" s="293" t="e">
        <f ca="1">VLOOKUP($B42,KOMBI!$A:$ADS,V$3,FALSE)</f>
        <v>#NUM!</v>
      </c>
      <c r="W42" s="293"/>
      <c r="X42" s="293" t="e">
        <f ca="1">VLOOKUP($B42,KOMBI!$A:$ADS,X$3,FALSE)</f>
        <v>#NUM!</v>
      </c>
      <c r="Y42" s="293" t="e">
        <f ca="1">VLOOKUP($B42,KOMBI!$A:$ADS,Y$3,FALSE)</f>
        <v>#NUM!</v>
      </c>
      <c r="Z42" s="293" t="e">
        <f ca="1">VLOOKUP($B42,KOMBI!$A:$ADS,Z$3,FALSE)</f>
        <v>#NUM!</v>
      </c>
      <c r="AA42" s="294"/>
      <c r="AB42" s="293" t="e">
        <f ca="1">VLOOKUP($B42,KOMBI!$A:$ADS,AB$3,FALSE)</f>
        <v>#NUM!</v>
      </c>
      <c r="AC42" s="293" t="e">
        <f ca="1">VLOOKUP($B42,KOMBI!$A:$ADS,AC$3,FALSE)-AB42</f>
        <v>#NUM!</v>
      </c>
      <c r="AD42" s="293" t="e">
        <f ca="1">VLOOKUP($B42,KOMBI!$A:$ADS,AD$3,FALSE)</f>
        <v>#NUM!</v>
      </c>
      <c r="AE42" s="293" t="e">
        <f ca="1">VLOOKUP($B42,KOMBI!$A:$ADS,AE$3,FALSE)</f>
        <v>#NUM!</v>
      </c>
      <c r="AF42" s="293" t="e">
        <f ca="1">VLOOKUP($B42,KOMBI!$A:$ADS,AF$3,FALSE)-AE42</f>
        <v>#NUM!</v>
      </c>
      <c r="AG42" s="293" t="e">
        <f ca="1">VLOOKUP($B42,KOMBI!$A:$ADS,AG$3,FALSE)</f>
        <v>#NUM!</v>
      </c>
      <c r="AI42" s="293" t="e">
        <f t="array" aca="1" ref="AI42" ca="1">VLOOKUP($B42,KOMBI!$A:$ADS,MATCH(Tulem!AI$3,KOMBI!$A$1:$ADS$1,0),FALSE)</f>
        <v>#NUM!</v>
      </c>
      <c r="AJ42" s="293" t="e">
        <f t="array" aca="1" ref="AJ42" ca="1">VLOOKUP($B42,KOMBI!$A:$ADS,MATCH(Tulem!AJ$3,KOMBI!$A$1:$ADS$1,0),FALSE)</f>
        <v>#NUM!</v>
      </c>
      <c r="AK42" s="293" t="e">
        <f t="array" aca="1" ref="AK42" ca="1">VLOOKUP($B42,KOMBI!$A:$ADS,MATCH(Tulem!AK$3,KOMBI!$A$1:$ADS$1,0),FALSE)</f>
        <v>#NUM!</v>
      </c>
      <c r="AL42" s="293" t="e">
        <f t="array" aca="1" ref="AL42" ca="1">VLOOKUP($B42,KOMBI!$A:$ADS,MATCH(Tulem!AL$3,KOMBI!$A$1:$ADS$1,0),FALSE)</f>
        <v>#NUM!</v>
      </c>
      <c r="AM42" s="293" t="e">
        <f t="array" aca="1" ref="AM42" ca="1">VLOOKUP($B42,KOMBI!$A:$ADS,MATCH(Tulem!AM$3,KOMBI!$A$1:$ADS$1,0),FALSE)</f>
        <v>#NUM!</v>
      </c>
      <c r="AN42" s="293" t="e">
        <f t="array" aca="1" ref="AN42" ca="1">VLOOKUP($B42,KOMBI!$A:$ADS,MATCH(Tulem!AN$3,KOMBI!$A$1:$ADS$1,0),FALSE)</f>
        <v>#NUM!</v>
      </c>
      <c r="AO42" s="293" t="e">
        <f t="array" aca="1" ref="AO42" ca="1">VLOOKUP($B42,KOMBI!$A:$ADS,MATCH(Tulem!AO$3,KOMBI!$A$1:$ADS$1,0),FALSE)</f>
        <v>#NUM!</v>
      </c>
      <c r="AP42" s="293" t="e">
        <f t="array" aca="1" ref="AP42" ca="1">VLOOKUP($B42,KOMBI!$A:$ADS,MATCH(Tulem!AP$3,KOMBI!$A$1:$ADS$1,0),FALSE)</f>
        <v>#NUM!</v>
      </c>
      <c r="AQ42" s="293" t="e">
        <f t="array" aca="1" ref="AQ42" ca="1">VLOOKUP($B42,KOMBI!$A:$ADS,MATCH(Tulem!AQ$3,KOMBI!$A$1:$ADS$1,0),FALSE)</f>
        <v>#NUM!</v>
      </c>
      <c r="AR42" s="293" t="e">
        <f t="array" aca="1" ref="AR42" ca="1">VLOOKUP($B42,KOMBI!$A:$ADS,MATCH(Tulem!AR$3,KOMBI!$A$1:$ADS$1,0),FALSE)</f>
        <v>#NUM!</v>
      </c>
      <c r="AS42" s="293" t="e">
        <f t="array" aca="1" ref="AS42" ca="1">VLOOKUP($B42,KOMBI!$A:$ADS,MATCH(Tulem!AS$3,KOMBI!$A$1:$ADS$1,0),FALSE)</f>
        <v>#NUM!</v>
      </c>
      <c r="AT42" s="293" t="e">
        <f t="array" aca="1" ref="AT42" ca="1">VLOOKUP($B42,KOMBI!$A:$ADS,MATCH(Tulem!AT$3,KOMBI!$A$1:$ADS$1,0),FALSE)</f>
        <v>#NUM!</v>
      </c>
      <c r="AU42" s="293" t="e">
        <f t="array" aca="1" ref="AU42" ca="1">VLOOKUP($B42,KOMBI!$A:$ADS,MATCH(Tulem!AU$3,KOMBI!$A$1:$ADS$1,0),FALSE)</f>
        <v>#NUM!</v>
      </c>
      <c r="AV42" s="293" t="e">
        <f t="shared" ca="1" si="1"/>
        <v>#NUM!</v>
      </c>
      <c r="AW42" s="293" t="e">
        <f t="shared" ca="1" si="2"/>
        <v>#NUM!</v>
      </c>
      <c r="AX42" s="291" t="e">
        <f ca="1">VLOOKUP($B42,KOMBI!$A:$ACA,MATCH(AX$5,KOMBI!$10:$10,0),FALSE)</f>
        <v>#NUM!</v>
      </c>
      <c r="AY42" s="292" t="e">
        <f t="array" aca="1" ref="AY42" ca="1">VLOOKUP($B42,KOMBI!$A:$ADS,MATCH(Tulem!AY$3,KOMBI!$A$1:$ADS$1,0),FALSE)</f>
        <v>#NUM!</v>
      </c>
      <c r="AZ42" s="292" t="e">
        <f t="array" aca="1" ref="AZ42" ca="1">VLOOKUP($B42,KOMBI!$A:$ADS,MATCH(Tulem!AZ$3,KOMBI!$A$1:$ADS$1,0),FALSE)</f>
        <v>#NUM!</v>
      </c>
      <c r="BA42" s="292" t="e">
        <f t="array" aca="1" ref="BA42" ca="1">VLOOKUP($B42,KOMBI!$A:$ADS,MATCH(Tulem!BA$3,KOMBI!$A$1:$ADS$1,0),FALSE)</f>
        <v>#NUM!</v>
      </c>
      <c r="BB42" s="292" t="e">
        <f t="array" aca="1" ref="BB42" ca="1">VLOOKUP($B42,KOMBI!$A:$ADS,MATCH(Tulem!BB$3,KOMBI!$A$1:$ADS$1,0),FALSE)</f>
        <v>#NUM!</v>
      </c>
      <c r="BC42" s="292" t="e">
        <f t="array" aca="1" ref="BC42" ca="1">VLOOKUP($B42,KOMBI!$A:$ADS,MATCH(Tulem!BC$3,KOMBI!$A$1:$ADS$1,0),FALSE)</f>
        <v>#NUM!</v>
      </c>
      <c r="BD42" s="292" t="e">
        <f t="array" aca="1" ref="BD42" ca="1">VLOOKUP($B42,KOMBI!$A:$ADS,MATCH(Tulem!BD$3,KOMBI!$A$1:$ADS$1,0),FALSE)</f>
        <v>#NUM!</v>
      </c>
      <c r="BE42" s="292" t="e">
        <f t="array" aca="1" ref="BE42" ca="1">VLOOKUP($B42,KOMBI!$A:$ADS,MATCH(Tulem!BE$3,KOMBI!$A$1:$ADS$1,0),FALSE)</f>
        <v>#NUM!</v>
      </c>
      <c r="BF42" s="292" t="e">
        <f t="array" aca="1" ref="BF42" ca="1">VLOOKUP($B42,KOMBI!$A:$ADS,MATCH(Tulem!BF$3,KOMBI!$A$1:$ADS$1,0),FALSE)</f>
        <v>#NUM!</v>
      </c>
      <c r="BG42" s="292" t="e">
        <f t="array" aca="1" ref="BG42" ca="1">VLOOKUP($B42,KOMBI!$A:$ADS,MATCH(Tulem!BG$3,KOMBI!$A$1:$ADS$1,0),FALSE)</f>
        <v>#NUM!</v>
      </c>
      <c r="BH42" s="292" t="e">
        <f t="array" aca="1" ref="BH42" ca="1">VLOOKUP($B42,KOMBI!$A:$ADS,MATCH(Tulem!BH$3,KOMBI!$A$1:$ADS$1,0),FALSE)</f>
        <v>#NUM!</v>
      </c>
      <c r="BI42" s="292" t="e">
        <f t="array" aca="1" ref="BI42" ca="1">VLOOKUP($B42,KOMBI!$A:$ADS,MATCH(Tulem!BI$3,KOMBI!$A$1:$ADS$1,0),FALSE)</f>
        <v>#NUM!</v>
      </c>
      <c r="BJ42" s="292" t="e">
        <f t="array" aca="1" ref="BJ42" ca="1">VLOOKUP($B42,KOMBI!$A:$ADS,MATCH(Tulem!BJ$3,KOMBI!$A$1:$ADS$1,0),FALSE)</f>
        <v>#NUM!</v>
      </c>
      <c r="BK42" s="292" t="e">
        <f t="array" aca="1" ref="BK42" ca="1">VLOOKUP($B42,KOMBI!$A:$ADS,MATCH(Tulem!BK$3,KOMBI!$A$1:$ADS$1,0),FALSE)</f>
        <v>#NUM!</v>
      </c>
      <c r="BL42" s="292" t="e">
        <f t="array" aca="1" ref="BL42" ca="1">VLOOKUP($B42,KOMBI!$A:$ADS,MATCH(Tulem!BL$3,KOMBI!$A$1:$ADS$1,0),FALSE)</f>
        <v>#NUM!</v>
      </c>
      <c r="BM42" s="292" t="e">
        <f t="array" aca="1" ref="BM42" ca="1">VLOOKUP($B42,KOMBI!$A:$ADS,MATCH(Tulem!BM$3,KOMBI!$A$1:$ADS$1,0),FALSE)</f>
        <v>#NUM!</v>
      </c>
      <c r="BN42" s="292" t="e">
        <f t="array" aca="1" ref="BN42" ca="1">VLOOKUP($B42,KOMBI!$A:$ADS,MATCH(Tulem!BN$3,KOMBI!$A$1:$ADS$1,0),FALSE)</f>
        <v>#NUM!</v>
      </c>
      <c r="BO42" s="292" t="e">
        <f t="array" aca="1" ref="BO42" ca="1">VLOOKUP($B42,KOMBI!$A:$ADS,MATCH(Tulem!BO$3,KOMBI!$A$1:$ADS$1,0),FALSE)</f>
        <v>#NUM!</v>
      </c>
      <c r="BP42" s="291"/>
      <c r="BQ42" s="292" t="e">
        <f t="array" aca="1" ref="BQ42" ca="1">VLOOKUP($B42,KOMBI!$A:$ADS,MATCH(Tulem!BQ$3,KOMBI!$A$1:$ADS$1,0),FALSE)</f>
        <v>#NUM!</v>
      </c>
      <c r="BR42" s="292" t="e">
        <f t="array" aca="1" ref="BR42" ca="1">VLOOKUP($B42,KOMBI!$A:$ADS,MATCH(Tulem!BR$3,KOMBI!$A$1:$ADS$1,0),FALSE)</f>
        <v>#NUM!</v>
      </c>
      <c r="BS42" s="292" t="e">
        <f t="array" aca="1" ref="BS42" ca="1">VLOOKUP($B42,KOMBI!$A:$ADS,MATCH(Tulem!BS$3,KOMBI!$A$1:$ADS$1,0),FALSE)</f>
        <v>#NUM!</v>
      </c>
      <c r="BT42" s="292" t="e">
        <f t="array" aca="1" ref="BT42" ca="1">VLOOKUP($B42,KOMBI!$A:$ADS,MATCH(Tulem!BT$3,KOMBI!$A$1:$ADS$1,0),FALSE)</f>
        <v>#NUM!</v>
      </c>
      <c r="BU42" s="292" t="e">
        <f t="array" aca="1" ref="BU42" ca="1">VLOOKUP($B42,KOMBI!$A:$ADS,MATCH(Tulem!BU$3,KOMBI!$A$1:$ADS$1,0),FALSE)</f>
        <v>#NUM!</v>
      </c>
      <c r="BV42" s="291"/>
      <c r="BW42" s="292" t="e">
        <f t="array" aca="1" ref="BW42" ca="1">VLOOKUP($B42,KOMBI!$A:$ADS,MATCH(Tulem!BW$3,KOMBI!$A$1:$ADS$1,0),FALSE)</f>
        <v>#NUM!</v>
      </c>
      <c r="BX42" s="291"/>
      <c r="BY42" s="291"/>
      <c r="BZ42" s="292" t="e">
        <f t="array" aca="1" ref="BZ42" ca="1">VLOOKUP($B42,KOMBI!$A:$ADS,MATCH(Tulem!BZ$3,KOMBI!$A$1:$ADS$1,0),FALSE)</f>
        <v>#NUM!</v>
      </c>
      <c r="CA42" s="292" t="e">
        <f t="array" aca="1" ref="CA42" ca="1">VLOOKUP($B42,KOMBI!$A:$ADS,MATCH(Tulem!CA$3,KOMBI!$A$1:$ADS$1,0),FALSE)</f>
        <v>#NUM!</v>
      </c>
      <c r="CB42" s="292" t="e">
        <f t="array" aca="1" ref="CB42" ca="1">VLOOKUP($B42,KOMBI!$A:$ADS,MATCH(Tulem!CB$3,KOMBI!$A$1:$ADS$1,0),FALSE)</f>
        <v>#NUM!</v>
      </c>
      <c r="CC42" s="292" t="e">
        <f t="array" aca="1" ref="CC42" ca="1">VLOOKUP($B42,KOMBI!$A:$ADS,MATCH(Tulem!CC$3,KOMBI!$A$1:$ADS$1,0),FALSE)</f>
        <v>#NUM!</v>
      </c>
      <c r="CD42" s="292" t="e">
        <f t="array" aca="1" ref="CD42" ca="1">VLOOKUP($B42,KOMBI!$A:$ADS,MATCH(Tulem!CD$3,KOMBI!$A$1:$ADS$1,0),FALSE)</f>
        <v>#NUM!</v>
      </c>
      <c r="CF42" s="51" t="e">
        <f ca="1">VLOOKUP($B42,KOMBI!$A:$ACG,MATCH(CF$5,KOMBI!$10:$10,0),FALSE)</f>
        <v>#NUM!</v>
      </c>
    </row>
    <row r="43" spans="1:84" x14ac:dyDescent="0.2">
      <c r="A43" s="51">
        <v>38</v>
      </c>
      <c r="B43" s="51" t="e">
        <f ca="1">KOMBI!GI48</f>
        <v>#NUM!</v>
      </c>
      <c r="C43" s="51">
        <f t="shared" si="0"/>
        <v>38</v>
      </c>
      <c r="D43" s="290" t="e">
        <f ca="1">VLOOKUP(VLOOKUP($B43,KOMBI!$A:$H,3,FALSE),data!$I$27:$J$29,2,FALSE)</f>
        <v>#NUM!</v>
      </c>
      <c r="E43" s="290" t="e">
        <f ca="1">VLOOKUP(VLOOKUP($B43,KOMBI!$A:$H,2,FALSE),data!$I$21:$J$23,2,FALSE)</f>
        <v>#NUM!</v>
      </c>
      <c r="F43" s="290" t="e">
        <f ca="1">VLOOKUP(VLOOKUP($B43,KOMBI!$A:$H,5,FALSE),data!$I$39:$J$41,2,FALSE)</f>
        <v>#NUM!</v>
      </c>
      <c r="G43" s="290" t="e">
        <f ca="1">VLOOKUP(VLOOKUP($B43,KOMBI!$A:$H,4,FALSE),data!$I$32:$J$36,2,FALSE)</f>
        <v>#NUM!</v>
      </c>
      <c r="I43" s="51" t="e">
        <f ca="1">VLOOKUP($B43,KOMBI!$A:$Z,MATCH(I$5,KOMBI!$10:$10,0),FALSE)</f>
        <v>#NUM!</v>
      </c>
      <c r="J43" s="291" t="e">
        <f ca="1">VLOOKUP($B43,KOMBI!$A:$ADS,J$3,FALSE)</f>
        <v>#NUM!</v>
      </c>
      <c r="K43" s="291" t="e">
        <f ca="1">VLOOKUP($B43,KOMBI!$A:$ADS,K$3,FALSE)</f>
        <v>#NUM!</v>
      </c>
      <c r="L43" s="291" t="e">
        <f ca="1">VLOOKUP($B43,KOMBI!$A:$ADS,L$3,FALSE)</f>
        <v>#NUM!</v>
      </c>
      <c r="M43" s="291" t="e">
        <f ca="1">VLOOKUP($B43,KOMBI!$A:$ADS,M$3,FALSE)</f>
        <v>#NUM!</v>
      </c>
      <c r="N43" s="291" t="e">
        <f ca="1">VLOOKUP($B43,KOMBI!$A:$ADS,N$3,FALSE)</f>
        <v>#NUM!</v>
      </c>
      <c r="O43" s="291" t="e">
        <f ca="1">VLOOKUP($B43,KOMBI!$A:$ADS,O$3,FALSE)</f>
        <v>#NUM!</v>
      </c>
      <c r="P43" s="291" t="e">
        <f ca="1">VLOOKUP($B43,KOMBI!$A:$ADS,P$3,FALSE)</f>
        <v>#NUM!</v>
      </c>
      <c r="Q43" s="292" t="e">
        <f t="array" aca="1" ref="Q43" ca="1">VLOOKUP($B43,KOMBI!$A:$ADS,MATCH(Tulem!Q$3,KOMBI!$A$1:$ADS$1,0),FALSE)</f>
        <v>#NUM!</v>
      </c>
      <c r="S43" s="332" t="e">
        <f t="array" aca="1" ref="S43" ca="1">VLOOKUP($B43,KOMBI!$A:$ADS,MATCH(Tulem!S$3,KOMBI!$A$1:$ADS$1,0),FALSE)</f>
        <v>#NUM!</v>
      </c>
      <c r="T43" s="293" t="e">
        <f ca="1">VLOOKUP($B43,KOMBI!$A:$ADS,T$3,FALSE)</f>
        <v>#NUM!</v>
      </c>
      <c r="U43" s="293" t="e">
        <f ca="1">VLOOKUP($B43,KOMBI!$A:$ADS,U$3,FALSE)</f>
        <v>#NUM!</v>
      </c>
      <c r="V43" s="293" t="e">
        <f ca="1">VLOOKUP($B43,KOMBI!$A:$ADS,V$3,FALSE)</f>
        <v>#NUM!</v>
      </c>
      <c r="W43" s="293"/>
      <c r="X43" s="293" t="e">
        <f ca="1">VLOOKUP($B43,KOMBI!$A:$ADS,X$3,FALSE)</f>
        <v>#NUM!</v>
      </c>
      <c r="Y43" s="293" t="e">
        <f ca="1">VLOOKUP($B43,KOMBI!$A:$ADS,Y$3,FALSE)</f>
        <v>#NUM!</v>
      </c>
      <c r="Z43" s="293" t="e">
        <f ca="1">VLOOKUP($B43,KOMBI!$A:$ADS,Z$3,FALSE)</f>
        <v>#NUM!</v>
      </c>
      <c r="AA43" s="294"/>
      <c r="AB43" s="293" t="e">
        <f ca="1">VLOOKUP($B43,KOMBI!$A:$ADS,AB$3,FALSE)</f>
        <v>#NUM!</v>
      </c>
      <c r="AC43" s="293" t="e">
        <f ca="1">VLOOKUP($B43,KOMBI!$A:$ADS,AC$3,FALSE)-AB43</f>
        <v>#NUM!</v>
      </c>
      <c r="AD43" s="293" t="e">
        <f ca="1">VLOOKUP($B43,KOMBI!$A:$ADS,AD$3,FALSE)</f>
        <v>#NUM!</v>
      </c>
      <c r="AE43" s="293" t="e">
        <f ca="1">VLOOKUP($B43,KOMBI!$A:$ADS,AE$3,FALSE)</f>
        <v>#NUM!</v>
      </c>
      <c r="AF43" s="293" t="e">
        <f ca="1">VLOOKUP($B43,KOMBI!$A:$ADS,AF$3,FALSE)-AE43</f>
        <v>#NUM!</v>
      </c>
      <c r="AG43" s="293" t="e">
        <f ca="1">VLOOKUP($B43,KOMBI!$A:$ADS,AG$3,FALSE)</f>
        <v>#NUM!</v>
      </c>
      <c r="AI43" s="293" t="e">
        <f t="array" aca="1" ref="AI43" ca="1">VLOOKUP($B43,KOMBI!$A:$ADS,MATCH(Tulem!AI$3,KOMBI!$A$1:$ADS$1,0),FALSE)</f>
        <v>#NUM!</v>
      </c>
      <c r="AJ43" s="293" t="e">
        <f t="array" aca="1" ref="AJ43" ca="1">VLOOKUP($B43,KOMBI!$A:$ADS,MATCH(Tulem!AJ$3,KOMBI!$A$1:$ADS$1,0),FALSE)</f>
        <v>#NUM!</v>
      </c>
      <c r="AK43" s="293" t="e">
        <f t="array" aca="1" ref="AK43" ca="1">VLOOKUP($B43,KOMBI!$A:$ADS,MATCH(Tulem!AK$3,KOMBI!$A$1:$ADS$1,0),FALSE)</f>
        <v>#NUM!</v>
      </c>
      <c r="AL43" s="293" t="e">
        <f t="array" aca="1" ref="AL43" ca="1">VLOOKUP($B43,KOMBI!$A:$ADS,MATCH(Tulem!AL$3,KOMBI!$A$1:$ADS$1,0),FALSE)</f>
        <v>#NUM!</v>
      </c>
      <c r="AM43" s="293" t="e">
        <f t="array" aca="1" ref="AM43" ca="1">VLOOKUP($B43,KOMBI!$A:$ADS,MATCH(Tulem!AM$3,KOMBI!$A$1:$ADS$1,0),FALSE)</f>
        <v>#NUM!</v>
      </c>
      <c r="AN43" s="293" t="e">
        <f t="array" aca="1" ref="AN43" ca="1">VLOOKUP($B43,KOMBI!$A:$ADS,MATCH(Tulem!AN$3,KOMBI!$A$1:$ADS$1,0),FALSE)</f>
        <v>#NUM!</v>
      </c>
      <c r="AO43" s="293" t="e">
        <f t="array" aca="1" ref="AO43" ca="1">VLOOKUP($B43,KOMBI!$A:$ADS,MATCH(Tulem!AO$3,KOMBI!$A$1:$ADS$1,0),FALSE)</f>
        <v>#NUM!</v>
      </c>
      <c r="AP43" s="293" t="e">
        <f t="array" aca="1" ref="AP43" ca="1">VLOOKUP($B43,KOMBI!$A:$ADS,MATCH(Tulem!AP$3,KOMBI!$A$1:$ADS$1,0),FALSE)</f>
        <v>#NUM!</v>
      </c>
      <c r="AQ43" s="293" t="e">
        <f t="array" aca="1" ref="AQ43" ca="1">VLOOKUP($B43,KOMBI!$A:$ADS,MATCH(Tulem!AQ$3,KOMBI!$A$1:$ADS$1,0),FALSE)</f>
        <v>#NUM!</v>
      </c>
      <c r="AR43" s="293" t="e">
        <f t="array" aca="1" ref="AR43" ca="1">VLOOKUP($B43,KOMBI!$A:$ADS,MATCH(Tulem!AR$3,KOMBI!$A$1:$ADS$1,0),FALSE)</f>
        <v>#NUM!</v>
      </c>
      <c r="AS43" s="293" t="e">
        <f t="array" aca="1" ref="AS43" ca="1">VLOOKUP($B43,KOMBI!$A:$ADS,MATCH(Tulem!AS$3,KOMBI!$A$1:$ADS$1,0),FALSE)</f>
        <v>#NUM!</v>
      </c>
      <c r="AT43" s="293" t="e">
        <f t="array" aca="1" ref="AT43" ca="1">VLOOKUP($B43,KOMBI!$A:$ADS,MATCH(Tulem!AT$3,KOMBI!$A$1:$ADS$1,0),FALSE)</f>
        <v>#NUM!</v>
      </c>
      <c r="AU43" s="293" t="e">
        <f t="array" aca="1" ref="AU43" ca="1">VLOOKUP($B43,KOMBI!$A:$ADS,MATCH(Tulem!AU$3,KOMBI!$A$1:$ADS$1,0),FALSE)</f>
        <v>#NUM!</v>
      </c>
      <c r="AV43" s="293" t="e">
        <f t="shared" ca="1" si="1"/>
        <v>#NUM!</v>
      </c>
      <c r="AW43" s="293" t="e">
        <f t="shared" ca="1" si="2"/>
        <v>#NUM!</v>
      </c>
      <c r="AX43" s="291" t="e">
        <f ca="1">VLOOKUP($B43,KOMBI!$A:$ACA,MATCH(AX$5,KOMBI!$10:$10,0),FALSE)</f>
        <v>#NUM!</v>
      </c>
      <c r="AY43" s="292" t="e">
        <f t="array" aca="1" ref="AY43" ca="1">VLOOKUP($B43,KOMBI!$A:$ADS,MATCH(Tulem!AY$3,KOMBI!$A$1:$ADS$1,0),FALSE)</f>
        <v>#NUM!</v>
      </c>
      <c r="AZ43" s="292" t="e">
        <f t="array" aca="1" ref="AZ43" ca="1">VLOOKUP($B43,KOMBI!$A:$ADS,MATCH(Tulem!AZ$3,KOMBI!$A$1:$ADS$1,0),FALSE)</f>
        <v>#NUM!</v>
      </c>
      <c r="BA43" s="292" t="e">
        <f t="array" aca="1" ref="BA43" ca="1">VLOOKUP($B43,KOMBI!$A:$ADS,MATCH(Tulem!BA$3,KOMBI!$A$1:$ADS$1,0),FALSE)</f>
        <v>#NUM!</v>
      </c>
      <c r="BB43" s="292" t="e">
        <f t="array" aca="1" ref="BB43" ca="1">VLOOKUP($B43,KOMBI!$A:$ADS,MATCH(Tulem!BB$3,KOMBI!$A$1:$ADS$1,0),FALSE)</f>
        <v>#NUM!</v>
      </c>
      <c r="BC43" s="292" t="e">
        <f t="array" aca="1" ref="BC43" ca="1">VLOOKUP($B43,KOMBI!$A:$ADS,MATCH(Tulem!BC$3,KOMBI!$A$1:$ADS$1,0),FALSE)</f>
        <v>#NUM!</v>
      </c>
      <c r="BD43" s="292" t="e">
        <f t="array" aca="1" ref="BD43" ca="1">VLOOKUP($B43,KOMBI!$A:$ADS,MATCH(Tulem!BD$3,KOMBI!$A$1:$ADS$1,0),FALSE)</f>
        <v>#NUM!</v>
      </c>
      <c r="BE43" s="292" t="e">
        <f t="array" aca="1" ref="BE43" ca="1">VLOOKUP($B43,KOMBI!$A:$ADS,MATCH(Tulem!BE$3,KOMBI!$A$1:$ADS$1,0),FALSE)</f>
        <v>#NUM!</v>
      </c>
      <c r="BF43" s="292" t="e">
        <f t="array" aca="1" ref="BF43" ca="1">VLOOKUP($B43,KOMBI!$A:$ADS,MATCH(Tulem!BF$3,KOMBI!$A$1:$ADS$1,0),FALSE)</f>
        <v>#NUM!</v>
      </c>
      <c r="BG43" s="292" t="e">
        <f t="array" aca="1" ref="BG43" ca="1">VLOOKUP($B43,KOMBI!$A:$ADS,MATCH(Tulem!BG$3,KOMBI!$A$1:$ADS$1,0),FALSE)</f>
        <v>#NUM!</v>
      </c>
      <c r="BH43" s="292" t="e">
        <f t="array" aca="1" ref="BH43" ca="1">VLOOKUP($B43,KOMBI!$A:$ADS,MATCH(Tulem!BH$3,KOMBI!$A$1:$ADS$1,0),FALSE)</f>
        <v>#NUM!</v>
      </c>
      <c r="BI43" s="292" t="e">
        <f t="array" aca="1" ref="BI43" ca="1">VLOOKUP($B43,KOMBI!$A:$ADS,MATCH(Tulem!BI$3,KOMBI!$A$1:$ADS$1,0),FALSE)</f>
        <v>#NUM!</v>
      </c>
      <c r="BJ43" s="292" t="e">
        <f t="array" aca="1" ref="BJ43" ca="1">VLOOKUP($B43,KOMBI!$A:$ADS,MATCH(Tulem!BJ$3,KOMBI!$A$1:$ADS$1,0),FALSE)</f>
        <v>#NUM!</v>
      </c>
      <c r="BK43" s="292" t="e">
        <f t="array" aca="1" ref="BK43" ca="1">VLOOKUP($B43,KOMBI!$A:$ADS,MATCH(Tulem!BK$3,KOMBI!$A$1:$ADS$1,0),FALSE)</f>
        <v>#NUM!</v>
      </c>
      <c r="BL43" s="292" t="e">
        <f t="array" aca="1" ref="BL43" ca="1">VLOOKUP($B43,KOMBI!$A:$ADS,MATCH(Tulem!BL$3,KOMBI!$A$1:$ADS$1,0),FALSE)</f>
        <v>#NUM!</v>
      </c>
      <c r="BM43" s="292" t="e">
        <f t="array" aca="1" ref="BM43" ca="1">VLOOKUP($B43,KOMBI!$A:$ADS,MATCH(Tulem!BM$3,KOMBI!$A$1:$ADS$1,0),FALSE)</f>
        <v>#NUM!</v>
      </c>
      <c r="BN43" s="292" t="e">
        <f t="array" aca="1" ref="BN43" ca="1">VLOOKUP($B43,KOMBI!$A:$ADS,MATCH(Tulem!BN$3,KOMBI!$A$1:$ADS$1,0),FALSE)</f>
        <v>#NUM!</v>
      </c>
      <c r="BO43" s="292" t="e">
        <f t="array" aca="1" ref="BO43" ca="1">VLOOKUP($B43,KOMBI!$A:$ADS,MATCH(Tulem!BO$3,KOMBI!$A$1:$ADS$1,0),FALSE)</f>
        <v>#NUM!</v>
      </c>
      <c r="BP43" s="291"/>
      <c r="BQ43" s="292" t="e">
        <f t="array" aca="1" ref="BQ43" ca="1">VLOOKUP($B43,KOMBI!$A:$ADS,MATCH(Tulem!BQ$3,KOMBI!$A$1:$ADS$1,0),FALSE)</f>
        <v>#NUM!</v>
      </c>
      <c r="BR43" s="292" t="e">
        <f t="array" aca="1" ref="BR43" ca="1">VLOOKUP($B43,KOMBI!$A:$ADS,MATCH(Tulem!BR$3,KOMBI!$A$1:$ADS$1,0),FALSE)</f>
        <v>#NUM!</v>
      </c>
      <c r="BS43" s="292" t="e">
        <f t="array" aca="1" ref="BS43" ca="1">VLOOKUP($B43,KOMBI!$A:$ADS,MATCH(Tulem!BS$3,KOMBI!$A$1:$ADS$1,0),FALSE)</f>
        <v>#NUM!</v>
      </c>
      <c r="BT43" s="292" t="e">
        <f t="array" aca="1" ref="BT43" ca="1">VLOOKUP($B43,KOMBI!$A:$ADS,MATCH(Tulem!BT$3,KOMBI!$A$1:$ADS$1,0),FALSE)</f>
        <v>#NUM!</v>
      </c>
      <c r="BU43" s="292" t="e">
        <f t="array" aca="1" ref="BU43" ca="1">VLOOKUP($B43,KOMBI!$A:$ADS,MATCH(Tulem!BU$3,KOMBI!$A$1:$ADS$1,0),FALSE)</f>
        <v>#NUM!</v>
      </c>
      <c r="BV43" s="291"/>
      <c r="BW43" s="292" t="e">
        <f t="array" aca="1" ref="BW43" ca="1">VLOOKUP($B43,KOMBI!$A:$ADS,MATCH(Tulem!BW$3,KOMBI!$A$1:$ADS$1,0),FALSE)</f>
        <v>#NUM!</v>
      </c>
      <c r="BX43" s="291"/>
      <c r="BY43" s="291"/>
      <c r="BZ43" s="292" t="e">
        <f t="array" aca="1" ref="BZ43" ca="1">VLOOKUP($B43,KOMBI!$A:$ADS,MATCH(Tulem!BZ$3,KOMBI!$A$1:$ADS$1,0),FALSE)</f>
        <v>#NUM!</v>
      </c>
      <c r="CA43" s="292" t="e">
        <f t="array" aca="1" ref="CA43" ca="1">VLOOKUP($B43,KOMBI!$A:$ADS,MATCH(Tulem!CA$3,KOMBI!$A$1:$ADS$1,0),FALSE)</f>
        <v>#NUM!</v>
      </c>
      <c r="CB43" s="292" t="e">
        <f t="array" aca="1" ref="CB43" ca="1">VLOOKUP($B43,KOMBI!$A:$ADS,MATCH(Tulem!CB$3,KOMBI!$A$1:$ADS$1,0),FALSE)</f>
        <v>#NUM!</v>
      </c>
      <c r="CC43" s="292" t="e">
        <f t="array" aca="1" ref="CC43" ca="1">VLOOKUP($B43,KOMBI!$A:$ADS,MATCH(Tulem!CC$3,KOMBI!$A$1:$ADS$1,0),FALSE)</f>
        <v>#NUM!</v>
      </c>
      <c r="CD43" s="292" t="e">
        <f t="array" aca="1" ref="CD43" ca="1">VLOOKUP($B43,KOMBI!$A:$ADS,MATCH(Tulem!CD$3,KOMBI!$A$1:$ADS$1,0),FALSE)</f>
        <v>#NUM!</v>
      </c>
      <c r="CF43" s="51" t="e">
        <f ca="1">VLOOKUP($B43,KOMBI!$A:$ACG,MATCH(CF$5,KOMBI!$10:$10,0),FALSE)</f>
        <v>#NUM!</v>
      </c>
    </row>
    <row r="44" spans="1:84" x14ac:dyDescent="0.2">
      <c r="A44" s="51">
        <v>39</v>
      </c>
      <c r="B44" s="51" t="e">
        <f ca="1">KOMBI!GI49</f>
        <v>#NUM!</v>
      </c>
      <c r="C44" s="51">
        <f t="shared" si="0"/>
        <v>39</v>
      </c>
      <c r="D44" s="290" t="e">
        <f ca="1">VLOOKUP(VLOOKUP($B44,KOMBI!$A:$H,3,FALSE),data!$I$27:$J$29,2,FALSE)</f>
        <v>#NUM!</v>
      </c>
      <c r="E44" s="290" t="e">
        <f ca="1">VLOOKUP(VLOOKUP($B44,KOMBI!$A:$H,2,FALSE),data!$I$21:$J$23,2,FALSE)</f>
        <v>#NUM!</v>
      </c>
      <c r="F44" s="290" t="e">
        <f ca="1">VLOOKUP(VLOOKUP($B44,KOMBI!$A:$H,5,FALSE),data!$I$39:$J$41,2,FALSE)</f>
        <v>#NUM!</v>
      </c>
      <c r="G44" s="290" t="e">
        <f ca="1">VLOOKUP(VLOOKUP($B44,KOMBI!$A:$H,4,FALSE),data!$I$32:$J$36,2,FALSE)</f>
        <v>#NUM!</v>
      </c>
      <c r="I44" s="51" t="e">
        <f ca="1">VLOOKUP($B44,KOMBI!$A:$Z,MATCH(I$5,KOMBI!$10:$10,0),FALSE)</f>
        <v>#NUM!</v>
      </c>
      <c r="J44" s="291" t="e">
        <f ca="1">VLOOKUP($B44,KOMBI!$A:$ADS,J$3,FALSE)</f>
        <v>#NUM!</v>
      </c>
      <c r="K44" s="291" t="e">
        <f ca="1">VLOOKUP($B44,KOMBI!$A:$ADS,K$3,FALSE)</f>
        <v>#NUM!</v>
      </c>
      <c r="L44" s="291" t="e">
        <f ca="1">VLOOKUP($B44,KOMBI!$A:$ADS,L$3,FALSE)</f>
        <v>#NUM!</v>
      </c>
      <c r="M44" s="291" t="e">
        <f ca="1">VLOOKUP($B44,KOMBI!$A:$ADS,M$3,FALSE)</f>
        <v>#NUM!</v>
      </c>
      <c r="N44" s="291" t="e">
        <f ca="1">VLOOKUP($B44,KOMBI!$A:$ADS,N$3,FALSE)</f>
        <v>#NUM!</v>
      </c>
      <c r="O44" s="291" t="e">
        <f ca="1">VLOOKUP($B44,KOMBI!$A:$ADS,O$3,FALSE)</f>
        <v>#NUM!</v>
      </c>
      <c r="P44" s="291" t="e">
        <f ca="1">VLOOKUP($B44,KOMBI!$A:$ADS,P$3,FALSE)</f>
        <v>#NUM!</v>
      </c>
      <c r="Q44" s="292" t="e">
        <f t="array" aca="1" ref="Q44" ca="1">VLOOKUP($B44,KOMBI!$A:$ADS,MATCH(Tulem!Q$3,KOMBI!$A$1:$ADS$1,0),FALSE)</f>
        <v>#NUM!</v>
      </c>
      <c r="S44" s="332" t="e">
        <f t="array" aca="1" ref="S44" ca="1">VLOOKUP($B44,KOMBI!$A:$ADS,MATCH(Tulem!S$3,KOMBI!$A$1:$ADS$1,0),FALSE)</f>
        <v>#NUM!</v>
      </c>
      <c r="T44" s="293" t="e">
        <f ca="1">VLOOKUP($B44,KOMBI!$A:$ADS,T$3,FALSE)</f>
        <v>#NUM!</v>
      </c>
      <c r="U44" s="293" t="e">
        <f ca="1">VLOOKUP($B44,KOMBI!$A:$ADS,U$3,FALSE)</f>
        <v>#NUM!</v>
      </c>
      <c r="V44" s="293" t="e">
        <f ca="1">VLOOKUP($B44,KOMBI!$A:$ADS,V$3,FALSE)</f>
        <v>#NUM!</v>
      </c>
      <c r="W44" s="293"/>
      <c r="X44" s="293" t="e">
        <f ca="1">VLOOKUP($B44,KOMBI!$A:$ADS,X$3,FALSE)</f>
        <v>#NUM!</v>
      </c>
      <c r="Y44" s="293" t="e">
        <f ca="1">VLOOKUP($B44,KOMBI!$A:$ADS,Y$3,FALSE)</f>
        <v>#NUM!</v>
      </c>
      <c r="Z44" s="293" t="e">
        <f ca="1">VLOOKUP($B44,KOMBI!$A:$ADS,Z$3,FALSE)</f>
        <v>#NUM!</v>
      </c>
      <c r="AA44" s="294"/>
      <c r="AB44" s="293" t="e">
        <f ca="1">VLOOKUP($B44,KOMBI!$A:$ADS,AB$3,FALSE)</f>
        <v>#NUM!</v>
      </c>
      <c r="AC44" s="293" t="e">
        <f ca="1">VLOOKUP($B44,KOMBI!$A:$ADS,AC$3,FALSE)-AB44</f>
        <v>#NUM!</v>
      </c>
      <c r="AD44" s="293" t="e">
        <f ca="1">VLOOKUP($B44,KOMBI!$A:$ADS,AD$3,FALSE)</f>
        <v>#NUM!</v>
      </c>
      <c r="AE44" s="293" t="e">
        <f ca="1">VLOOKUP($B44,KOMBI!$A:$ADS,AE$3,FALSE)</f>
        <v>#NUM!</v>
      </c>
      <c r="AF44" s="293" t="e">
        <f ca="1">VLOOKUP($B44,KOMBI!$A:$ADS,AF$3,FALSE)-AE44</f>
        <v>#NUM!</v>
      </c>
      <c r="AG44" s="293" t="e">
        <f ca="1">VLOOKUP($B44,KOMBI!$A:$ADS,AG$3,FALSE)</f>
        <v>#NUM!</v>
      </c>
      <c r="AI44" s="293" t="e">
        <f t="array" aca="1" ref="AI44" ca="1">VLOOKUP($B44,KOMBI!$A:$ADS,MATCH(Tulem!AI$3,KOMBI!$A$1:$ADS$1,0),FALSE)</f>
        <v>#NUM!</v>
      </c>
      <c r="AJ44" s="293" t="e">
        <f t="array" aca="1" ref="AJ44" ca="1">VLOOKUP($B44,KOMBI!$A:$ADS,MATCH(Tulem!AJ$3,KOMBI!$A$1:$ADS$1,0),FALSE)</f>
        <v>#NUM!</v>
      </c>
      <c r="AK44" s="293" t="e">
        <f t="array" aca="1" ref="AK44" ca="1">VLOOKUP($B44,KOMBI!$A:$ADS,MATCH(Tulem!AK$3,KOMBI!$A$1:$ADS$1,0),FALSE)</f>
        <v>#NUM!</v>
      </c>
      <c r="AL44" s="293" t="e">
        <f t="array" aca="1" ref="AL44" ca="1">VLOOKUP($B44,KOMBI!$A:$ADS,MATCH(Tulem!AL$3,KOMBI!$A$1:$ADS$1,0),FALSE)</f>
        <v>#NUM!</v>
      </c>
      <c r="AM44" s="293" t="e">
        <f t="array" aca="1" ref="AM44" ca="1">VLOOKUP($B44,KOMBI!$A:$ADS,MATCH(Tulem!AM$3,KOMBI!$A$1:$ADS$1,0),FALSE)</f>
        <v>#NUM!</v>
      </c>
      <c r="AN44" s="293" t="e">
        <f t="array" aca="1" ref="AN44" ca="1">VLOOKUP($B44,KOMBI!$A:$ADS,MATCH(Tulem!AN$3,KOMBI!$A$1:$ADS$1,0),FALSE)</f>
        <v>#NUM!</v>
      </c>
      <c r="AO44" s="293" t="e">
        <f t="array" aca="1" ref="AO44" ca="1">VLOOKUP($B44,KOMBI!$A:$ADS,MATCH(Tulem!AO$3,KOMBI!$A$1:$ADS$1,0),FALSE)</f>
        <v>#NUM!</v>
      </c>
      <c r="AP44" s="293" t="e">
        <f t="array" aca="1" ref="AP44" ca="1">VLOOKUP($B44,KOMBI!$A:$ADS,MATCH(Tulem!AP$3,KOMBI!$A$1:$ADS$1,0),FALSE)</f>
        <v>#NUM!</v>
      </c>
      <c r="AQ44" s="293" t="e">
        <f t="array" aca="1" ref="AQ44" ca="1">VLOOKUP($B44,KOMBI!$A:$ADS,MATCH(Tulem!AQ$3,KOMBI!$A$1:$ADS$1,0),FALSE)</f>
        <v>#NUM!</v>
      </c>
      <c r="AR44" s="293" t="e">
        <f t="array" aca="1" ref="AR44" ca="1">VLOOKUP($B44,KOMBI!$A:$ADS,MATCH(Tulem!AR$3,KOMBI!$A$1:$ADS$1,0),FALSE)</f>
        <v>#NUM!</v>
      </c>
      <c r="AS44" s="293" t="e">
        <f t="array" aca="1" ref="AS44" ca="1">VLOOKUP($B44,KOMBI!$A:$ADS,MATCH(Tulem!AS$3,KOMBI!$A$1:$ADS$1,0),FALSE)</f>
        <v>#NUM!</v>
      </c>
      <c r="AT44" s="293" t="e">
        <f t="array" aca="1" ref="AT44" ca="1">VLOOKUP($B44,KOMBI!$A:$ADS,MATCH(Tulem!AT$3,KOMBI!$A$1:$ADS$1,0),FALSE)</f>
        <v>#NUM!</v>
      </c>
      <c r="AU44" s="293" t="e">
        <f t="array" aca="1" ref="AU44" ca="1">VLOOKUP($B44,KOMBI!$A:$ADS,MATCH(Tulem!AU$3,KOMBI!$A$1:$ADS$1,0),FALSE)</f>
        <v>#NUM!</v>
      </c>
      <c r="AV44" s="293" t="e">
        <f t="shared" ca="1" si="1"/>
        <v>#NUM!</v>
      </c>
      <c r="AW44" s="293" t="e">
        <f t="shared" ca="1" si="2"/>
        <v>#NUM!</v>
      </c>
      <c r="AX44" s="291" t="e">
        <f ca="1">VLOOKUP($B44,KOMBI!$A:$ACA,MATCH(AX$5,KOMBI!$10:$10,0),FALSE)</f>
        <v>#NUM!</v>
      </c>
      <c r="AY44" s="292" t="e">
        <f t="array" aca="1" ref="AY44" ca="1">VLOOKUP($B44,KOMBI!$A:$ADS,MATCH(Tulem!AY$3,KOMBI!$A$1:$ADS$1,0),FALSE)</f>
        <v>#NUM!</v>
      </c>
      <c r="AZ44" s="292" t="e">
        <f t="array" aca="1" ref="AZ44" ca="1">VLOOKUP($B44,KOMBI!$A:$ADS,MATCH(Tulem!AZ$3,KOMBI!$A$1:$ADS$1,0),FALSE)</f>
        <v>#NUM!</v>
      </c>
      <c r="BA44" s="292" t="e">
        <f t="array" aca="1" ref="BA44" ca="1">VLOOKUP($B44,KOMBI!$A:$ADS,MATCH(Tulem!BA$3,KOMBI!$A$1:$ADS$1,0),FALSE)</f>
        <v>#NUM!</v>
      </c>
      <c r="BB44" s="292" t="e">
        <f t="array" aca="1" ref="BB44" ca="1">VLOOKUP($B44,KOMBI!$A:$ADS,MATCH(Tulem!BB$3,KOMBI!$A$1:$ADS$1,0),FALSE)</f>
        <v>#NUM!</v>
      </c>
      <c r="BC44" s="292" t="e">
        <f t="array" aca="1" ref="BC44" ca="1">VLOOKUP($B44,KOMBI!$A:$ADS,MATCH(Tulem!BC$3,KOMBI!$A$1:$ADS$1,0),FALSE)</f>
        <v>#NUM!</v>
      </c>
      <c r="BD44" s="292" t="e">
        <f t="array" aca="1" ref="BD44" ca="1">VLOOKUP($B44,KOMBI!$A:$ADS,MATCH(Tulem!BD$3,KOMBI!$A$1:$ADS$1,0),FALSE)</f>
        <v>#NUM!</v>
      </c>
      <c r="BE44" s="292" t="e">
        <f t="array" aca="1" ref="BE44" ca="1">VLOOKUP($B44,KOMBI!$A:$ADS,MATCH(Tulem!BE$3,KOMBI!$A$1:$ADS$1,0),FALSE)</f>
        <v>#NUM!</v>
      </c>
      <c r="BF44" s="292" t="e">
        <f t="array" aca="1" ref="BF44" ca="1">VLOOKUP($B44,KOMBI!$A:$ADS,MATCH(Tulem!BF$3,KOMBI!$A$1:$ADS$1,0),FALSE)</f>
        <v>#NUM!</v>
      </c>
      <c r="BG44" s="292" t="e">
        <f t="array" aca="1" ref="BG44" ca="1">VLOOKUP($B44,KOMBI!$A:$ADS,MATCH(Tulem!BG$3,KOMBI!$A$1:$ADS$1,0),FALSE)</f>
        <v>#NUM!</v>
      </c>
      <c r="BH44" s="292" t="e">
        <f t="array" aca="1" ref="BH44" ca="1">VLOOKUP($B44,KOMBI!$A:$ADS,MATCH(Tulem!BH$3,KOMBI!$A$1:$ADS$1,0),FALSE)</f>
        <v>#NUM!</v>
      </c>
      <c r="BI44" s="292" t="e">
        <f t="array" aca="1" ref="BI44" ca="1">VLOOKUP($B44,KOMBI!$A:$ADS,MATCH(Tulem!BI$3,KOMBI!$A$1:$ADS$1,0),FALSE)</f>
        <v>#NUM!</v>
      </c>
      <c r="BJ44" s="292" t="e">
        <f t="array" aca="1" ref="BJ44" ca="1">VLOOKUP($B44,KOMBI!$A:$ADS,MATCH(Tulem!BJ$3,KOMBI!$A$1:$ADS$1,0),FALSE)</f>
        <v>#NUM!</v>
      </c>
      <c r="BK44" s="292" t="e">
        <f t="array" aca="1" ref="BK44" ca="1">VLOOKUP($B44,KOMBI!$A:$ADS,MATCH(Tulem!BK$3,KOMBI!$A$1:$ADS$1,0),FALSE)</f>
        <v>#NUM!</v>
      </c>
      <c r="BL44" s="292" t="e">
        <f t="array" aca="1" ref="BL44" ca="1">VLOOKUP($B44,KOMBI!$A:$ADS,MATCH(Tulem!BL$3,KOMBI!$A$1:$ADS$1,0),FALSE)</f>
        <v>#NUM!</v>
      </c>
      <c r="BM44" s="292" t="e">
        <f t="array" aca="1" ref="BM44" ca="1">VLOOKUP($B44,KOMBI!$A:$ADS,MATCH(Tulem!BM$3,KOMBI!$A$1:$ADS$1,0),FALSE)</f>
        <v>#NUM!</v>
      </c>
      <c r="BN44" s="292" t="e">
        <f t="array" aca="1" ref="BN44" ca="1">VLOOKUP($B44,KOMBI!$A:$ADS,MATCH(Tulem!BN$3,KOMBI!$A$1:$ADS$1,0),FALSE)</f>
        <v>#NUM!</v>
      </c>
      <c r="BO44" s="292" t="e">
        <f t="array" aca="1" ref="BO44" ca="1">VLOOKUP($B44,KOMBI!$A:$ADS,MATCH(Tulem!BO$3,KOMBI!$A$1:$ADS$1,0),FALSE)</f>
        <v>#NUM!</v>
      </c>
      <c r="BP44" s="291"/>
      <c r="BQ44" s="292" t="e">
        <f t="array" aca="1" ref="BQ44" ca="1">VLOOKUP($B44,KOMBI!$A:$ADS,MATCH(Tulem!BQ$3,KOMBI!$A$1:$ADS$1,0),FALSE)</f>
        <v>#NUM!</v>
      </c>
      <c r="BR44" s="292" t="e">
        <f t="array" aca="1" ref="BR44" ca="1">VLOOKUP($B44,KOMBI!$A:$ADS,MATCH(Tulem!BR$3,KOMBI!$A$1:$ADS$1,0),FALSE)</f>
        <v>#NUM!</v>
      </c>
      <c r="BS44" s="292" t="e">
        <f t="array" aca="1" ref="BS44" ca="1">VLOOKUP($B44,KOMBI!$A:$ADS,MATCH(Tulem!BS$3,KOMBI!$A$1:$ADS$1,0),FALSE)</f>
        <v>#NUM!</v>
      </c>
      <c r="BT44" s="292" t="e">
        <f t="array" aca="1" ref="BT44" ca="1">VLOOKUP($B44,KOMBI!$A:$ADS,MATCH(Tulem!BT$3,KOMBI!$A$1:$ADS$1,0),FALSE)</f>
        <v>#NUM!</v>
      </c>
      <c r="BU44" s="292" t="e">
        <f t="array" aca="1" ref="BU44" ca="1">VLOOKUP($B44,KOMBI!$A:$ADS,MATCH(Tulem!BU$3,KOMBI!$A$1:$ADS$1,0),FALSE)</f>
        <v>#NUM!</v>
      </c>
      <c r="BV44" s="291"/>
      <c r="BW44" s="292" t="e">
        <f t="array" aca="1" ref="BW44" ca="1">VLOOKUP($B44,KOMBI!$A:$ADS,MATCH(Tulem!BW$3,KOMBI!$A$1:$ADS$1,0),FALSE)</f>
        <v>#NUM!</v>
      </c>
      <c r="BX44" s="291"/>
      <c r="BY44" s="291"/>
      <c r="BZ44" s="292" t="e">
        <f t="array" aca="1" ref="BZ44" ca="1">VLOOKUP($B44,KOMBI!$A:$ADS,MATCH(Tulem!BZ$3,KOMBI!$A$1:$ADS$1,0),FALSE)</f>
        <v>#NUM!</v>
      </c>
      <c r="CA44" s="292" t="e">
        <f t="array" aca="1" ref="CA44" ca="1">VLOOKUP($B44,KOMBI!$A:$ADS,MATCH(Tulem!CA$3,KOMBI!$A$1:$ADS$1,0),FALSE)</f>
        <v>#NUM!</v>
      </c>
      <c r="CB44" s="292" t="e">
        <f t="array" aca="1" ref="CB44" ca="1">VLOOKUP($B44,KOMBI!$A:$ADS,MATCH(Tulem!CB$3,KOMBI!$A$1:$ADS$1,0),FALSE)</f>
        <v>#NUM!</v>
      </c>
      <c r="CC44" s="292" t="e">
        <f t="array" aca="1" ref="CC44" ca="1">VLOOKUP($B44,KOMBI!$A:$ADS,MATCH(Tulem!CC$3,KOMBI!$A$1:$ADS$1,0),FALSE)</f>
        <v>#NUM!</v>
      </c>
      <c r="CD44" s="292" t="e">
        <f t="array" aca="1" ref="CD44" ca="1">VLOOKUP($B44,KOMBI!$A:$ADS,MATCH(Tulem!CD$3,KOMBI!$A$1:$ADS$1,0),FALSE)</f>
        <v>#NUM!</v>
      </c>
      <c r="CF44" s="51" t="e">
        <f ca="1">VLOOKUP($B44,KOMBI!$A:$ACG,MATCH(CF$5,KOMBI!$10:$10,0),FALSE)</f>
        <v>#NUM!</v>
      </c>
    </row>
    <row r="45" spans="1:84" x14ac:dyDescent="0.2">
      <c r="A45" s="51">
        <v>40</v>
      </c>
      <c r="B45" s="51" t="e">
        <f ca="1">KOMBI!GI50</f>
        <v>#NUM!</v>
      </c>
      <c r="C45" s="51">
        <f t="shared" si="0"/>
        <v>40</v>
      </c>
      <c r="D45" s="290" t="e">
        <f ca="1">VLOOKUP(VLOOKUP($B45,KOMBI!$A:$H,3,FALSE),data!$I$27:$J$29,2,FALSE)</f>
        <v>#NUM!</v>
      </c>
      <c r="E45" s="290" t="e">
        <f ca="1">VLOOKUP(VLOOKUP($B45,KOMBI!$A:$H,2,FALSE),data!$I$21:$J$23,2,FALSE)</f>
        <v>#NUM!</v>
      </c>
      <c r="F45" s="290" t="e">
        <f ca="1">VLOOKUP(VLOOKUP($B45,KOMBI!$A:$H,5,FALSE),data!$I$39:$J$41,2,FALSE)</f>
        <v>#NUM!</v>
      </c>
      <c r="G45" s="290" t="e">
        <f ca="1">VLOOKUP(VLOOKUP($B45,KOMBI!$A:$H,4,FALSE),data!$I$32:$J$36,2,FALSE)</f>
        <v>#NUM!</v>
      </c>
      <c r="I45" s="51" t="e">
        <f ca="1">VLOOKUP($B45,KOMBI!$A:$Z,MATCH(I$5,KOMBI!$10:$10,0),FALSE)</f>
        <v>#NUM!</v>
      </c>
      <c r="J45" s="291" t="e">
        <f ca="1">VLOOKUP($B45,KOMBI!$A:$ADS,J$3,FALSE)</f>
        <v>#NUM!</v>
      </c>
      <c r="K45" s="291" t="e">
        <f ca="1">VLOOKUP($B45,KOMBI!$A:$ADS,K$3,FALSE)</f>
        <v>#NUM!</v>
      </c>
      <c r="L45" s="291" t="e">
        <f ca="1">VLOOKUP($B45,KOMBI!$A:$ADS,L$3,FALSE)</f>
        <v>#NUM!</v>
      </c>
      <c r="M45" s="291" t="e">
        <f ca="1">VLOOKUP($B45,KOMBI!$A:$ADS,M$3,FALSE)</f>
        <v>#NUM!</v>
      </c>
      <c r="N45" s="291" t="e">
        <f ca="1">VLOOKUP($B45,KOMBI!$A:$ADS,N$3,FALSE)</f>
        <v>#NUM!</v>
      </c>
      <c r="O45" s="291" t="e">
        <f ca="1">VLOOKUP($B45,KOMBI!$A:$ADS,O$3,FALSE)</f>
        <v>#NUM!</v>
      </c>
      <c r="P45" s="291" t="e">
        <f ca="1">VLOOKUP($B45,KOMBI!$A:$ADS,P$3,FALSE)</f>
        <v>#NUM!</v>
      </c>
      <c r="Q45" s="292" t="e">
        <f t="array" aca="1" ref="Q45" ca="1">VLOOKUP($B45,KOMBI!$A:$ADS,MATCH(Tulem!Q$3,KOMBI!$A$1:$ADS$1,0),FALSE)</f>
        <v>#NUM!</v>
      </c>
      <c r="S45" s="332" t="e">
        <f t="array" aca="1" ref="S45" ca="1">VLOOKUP($B45,KOMBI!$A:$ADS,MATCH(Tulem!S$3,KOMBI!$A$1:$ADS$1,0),FALSE)</f>
        <v>#NUM!</v>
      </c>
      <c r="T45" s="293" t="e">
        <f ca="1">VLOOKUP($B45,KOMBI!$A:$ADS,T$3,FALSE)</f>
        <v>#NUM!</v>
      </c>
      <c r="U45" s="293" t="e">
        <f ca="1">VLOOKUP($B45,KOMBI!$A:$ADS,U$3,FALSE)</f>
        <v>#NUM!</v>
      </c>
      <c r="V45" s="293" t="e">
        <f ca="1">VLOOKUP($B45,KOMBI!$A:$ADS,V$3,FALSE)</f>
        <v>#NUM!</v>
      </c>
      <c r="W45" s="293"/>
      <c r="X45" s="293" t="e">
        <f ca="1">VLOOKUP($B45,KOMBI!$A:$ADS,X$3,FALSE)</f>
        <v>#NUM!</v>
      </c>
      <c r="Y45" s="293" t="e">
        <f ca="1">VLOOKUP($B45,KOMBI!$A:$ADS,Y$3,FALSE)</f>
        <v>#NUM!</v>
      </c>
      <c r="Z45" s="293" t="e">
        <f ca="1">VLOOKUP($B45,KOMBI!$A:$ADS,Z$3,FALSE)</f>
        <v>#NUM!</v>
      </c>
      <c r="AA45" s="294"/>
      <c r="AB45" s="293" t="e">
        <f ca="1">VLOOKUP($B45,KOMBI!$A:$ADS,AB$3,FALSE)</f>
        <v>#NUM!</v>
      </c>
      <c r="AC45" s="293" t="e">
        <f ca="1">VLOOKUP($B45,KOMBI!$A:$ADS,AC$3,FALSE)-AB45</f>
        <v>#NUM!</v>
      </c>
      <c r="AD45" s="293" t="e">
        <f ca="1">VLOOKUP($B45,KOMBI!$A:$ADS,AD$3,FALSE)</f>
        <v>#NUM!</v>
      </c>
      <c r="AE45" s="293" t="e">
        <f ca="1">VLOOKUP($B45,KOMBI!$A:$ADS,AE$3,FALSE)</f>
        <v>#NUM!</v>
      </c>
      <c r="AF45" s="293" t="e">
        <f ca="1">VLOOKUP($B45,KOMBI!$A:$ADS,AF$3,FALSE)-AE45</f>
        <v>#NUM!</v>
      </c>
      <c r="AG45" s="293" t="e">
        <f ca="1">VLOOKUP($B45,KOMBI!$A:$ADS,AG$3,FALSE)</f>
        <v>#NUM!</v>
      </c>
      <c r="AI45" s="293" t="e">
        <f t="array" aca="1" ref="AI45" ca="1">VLOOKUP($B45,KOMBI!$A:$ADS,MATCH(Tulem!AI$3,KOMBI!$A$1:$ADS$1,0),FALSE)</f>
        <v>#NUM!</v>
      </c>
      <c r="AJ45" s="293" t="e">
        <f t="array" aca="1" ref="AJ45" ca="1">VLOOKUP($B45,KOMBI!$A:$ADS,MATCH(Tulem!AJ$3,KOMBI!$A$1:$ADS$1,0),FALSE)</f>
        <v>#NUM!</v>
      </c>
      <c r="AK45" s="293" t="e">
        <f t="array" aca="1" ref="AK45" ca="1">VLOOKUP($B45,KOMBI!$A:$ADS,MATCH(Tulem!AK$3,KOMBI!$A$1:$ADS$1,0),FALSE)</f>
        <v>#NUM!</v>
      </c>
      <c r="AL45" s="293" t="e">
        <f t="array" aca="1" ref="AL45" ca="1">VLOOKUP($B45,KOMBI!$A:$ADS,MATCH(Tulem!AL$3,KOMBI!$A$1:$ADS$1,0),FALSE)</f>
        <v>#NUM!</v>
      </c>
      <c r="AM45" s="293" t="e">
        <f t="array" aca="1" ref="AM45" ca="1">VLOOKUP($B45,KOMBI!$A:$ADS,MATCH(Tulem!AM$3,KOMBI!$A$1:$ADS$1,0),FALSE)</f>
        <v>#NUM!</v>
      </c>
      <c r="AN45" s="293" t="e">
        <f t="array" aca="1" ref="AN45" ca="1">VLOOKUP($B45,KOMBI!$A:$ADS,MATCH(Tulem!AN$3,KOMBI!$A$1:$ADS$1,0),FALSE)</f>
        <v>#NUM!</v>
      </c>
      <c r="AO45" s="293" t="e">
        <f t="array" aca="1" ref="AO45" ca="1">VLOOKUP($B45,KOMBI!$A:$ADS,MATCH(Tulem!AO$3,KOMBI!$A$1:$ADS$1,0),FALSE)</f>
        <v>#NUM!</v>
      </c>
      <c r="AP45" s="293" t="e">
        <f t="array" aca="1" ref="AP45" ca="1">VLOOKUP($B45,KOMBI!$A:$ADS,MATCH(Tulem!AP$3,KOMBI!$A$1:$ADS$1,0),FALSE)</f>
        <v>#NUM!</v>
      </c>
      <c r="AQ45" s="293" t="e">
        <f t="array" aca="1" ref="AQ45" ca="1">VLOOKUP($B45,KOMBI!$A:$ADS,MATCH(Tulem!AQ$3,KOMBI!$A$1:$ADS$1,0),FALSE)</f>
        <v>#NUM!</v>
      </c>
      <c r="AR45" s="293" t="e">
        <f t="array" aca="1" ref="AR45" ca="1">VLOOKUP($B45,KOMBI!$A:$ADS,MATCH(Tulem!AR$3,KOMBI!$A$1:$ADS$1,0),FALSE)</f>
        <v>#NUM!</v>
      </c>
      <c r="AS45" s="293" t="e">
        <f t="array" aca="1" ref="AS45" ca="1">VLOOKUP($B45,KOMBI!$A:$ADS,MATCH(Tulem!AS$3,KOMBI!$A$1:$ADS$1,0),FALSE)</f>
        <v>#NUM!</v>
      </c>
      <c r="AT45" s="293" t="e">
        <f t="array" aca="1" ref="AT45" ca="1">VLOOKUP($B45,KOMBI!$A:$ADS,MATCH(Tulem!AT$3,KOMBI!$A$1:$ADS$1,0),FALSE)</f>
        <v>#NUM!</v>
      </c>
      <c r="AU45" s="293" t="e">
        <f t="array" aca="1" ref="AU45" ca="1">VLOOKUP($B45,KOMBI!$A:$ADS,MATCH(Tulem!AU$3,KOMBI!$A$1:$ADS$1,0),FALSE)</f>
        <v>#NUM!</v>
      </c>
      <c r="AV45" s="293" t="e">
        <f t="shared" ca="1" si="1"/>
        <v>#NUM!</v>
      </c>
      <c r="AW45" s="293" t="e">
        <f t="shared" ca="1" si="2"/>
        <v>#NUM!</v>
      </c>
      <c r="AX45" s="291" t="e">
        <f ca="1">VLOOKUP($B45,KOMBI!$A:$ACA,MATCH(AX$5,KOMBI!$10:$10,0),FALSE)</f>
        <v>#NUM!</v>
      </c>
      <c r="AY45" s="292" t="e">
        <f t="array" aca="1" ref="AY45" ca="1">VLOOKUP($B45,KOMBI!$A:$ADS,MATCH(Tulem!AY$3,KOMBI!$A$1:$ADS$1,0),FALSE)</f>
        <v>#NUM!</v>
      </c>
      <c r="AZ45" s="292" t="e">
        <f t="array" aca="1" ref="AZ45" ca="1">VLOOKUP($B45,KOMBI!$A:$ADS,MATCH(Tulem!AZ$3,KOMBI!$A$1:$ADS$1,0),FALSE)</f>
        <v>#NUM!</v>
      </c>
      <c r="BA45" s="292" t="e">
        <f t="array" aca="1" ref="BA45" ca="1">VLOOKUP($B45,KOMBI!$A:$ADS,MATCH(Tulem!BA$3,KOMBI!$A$1:$ADS$1,0),FALSE)</f>
        <v>#NUM!</v>
      </c>
      <c r="BB45" s="292" t="e">
        <f t="array" aca="1" ref="BB45" ca="1">VLOOKUP($B45,KOMBI!$A:$ADS,MATCH(Tulem!BB$3,KOMBI!$A$1:$ADS$1,0),FALSE)</f>
        <v>#NUM!</v>
      </c>
      <c r="BC45" s="292" t="e">
        <f t="array" aca="1" ref="BC45" ca="1">VLOOKUP($B45,KOMBI!$A:$ADS,MATCH(Tulem!BC$3,KOMBI!$A$1:$ADS$1,0),FALSE)</f>
        <v>#NUM!</v>
      </c>
      <c r="BD45" s="292" t="e">
        <f t="array" aca="1" ref="BD45" ca="1">VLOOKUP($B45,KOMBI!$A:$ADS,MATCH(Tulem!BD$3,KOMBI!$A$1:$ADS$1,0),FALSE)</f>
        <v>#NUM!</v>
      </c>
      <c r="BE45" s="292" t="e">
        <f t="array" aca="1" ref="BE45" ca="1">VLOOKUP($B45,KOMBI!$A:$ADS,MATCH(Tulem!BE$3,KOMBI!$A$1:$ADS$1,0),FALSE)</f>
        <v>#NUM!</v>
      </c>
      <c r="BF45" s="292" t="e">
        <f t="array" aca="1" ref="BF45" ca="1">VLOOKUP($B45,KOMBI!$A:$ADS,MATCH(Tulem!BF$3,KOMBI!$A$1:$ADS$1,0),FALSE)</f>
        <v>#NUM!</v>
      </c>
      <c r="BG45" s="292" t="e">
        <f t="array" aca="1" ref="BG45" ca="1">VLOOKUP($B45,KOMBI!$A:$ADS,MATCH(Tulem!BG$3,KOMBI!$A$1:$ADS$1,0),FALSE)</f>
        <v>#NUM!</v>
      </c>
      <c r="BH45" s="292" t="e">
        <f t="array" aca="1" ref="BH45" ca="1">VLOOKUP($B45,KOMBI!$A:$ADS,MATCH(Tulem!BH$3,KOMBI!$A$1:$ADS$1,0),FALSE)</f>
        <v>#NUM!</v>
      </c>
      <c r="BI45" s="292" t="e">
        <f t="array" aca="1" ref="BI45" ca="1">VLOOKUP($B45,KOMBI!$A:$ADS,MATCH(Tulem!BI$3,KOMBI!$A$1:$ADS$1,0),FALSE)</f>
        <v>#NUM!</v>
      </c>
      <c r="BJ45" s="292" t="e">
        <f t="array" aca="1" ref="BJ45" ca="1">VLOOKUP($B45,KOMBI!$A:$ADS,MATCH(Tulem!BJ$3,KOMBI!$A$1:$ADS$1,0),FALSE)</f>
        <v>#NUM!</v>
      </c>
      <c r="BK45" s="292" t="e">
        <f t="array" aca="1" ref="BK45" ca="1">VLOOKUP($B45,KOMBI!$A:$ADS,MATCH(Tulem!BK$3,KOMBI!$A$1:$ADS$1,0),FALSE)</f>
        <v>#NUM!</v>
      </c>
      <c r="BL45" s="292" t="e">
        <f t="array" aca="1" ref="BL45" ca="1">VLOOKUP($B45,KOMBI!$A:$ADS,MATCH(Tulem!BL$3,KOMBI!$A$1:$ADS$1,0),FALSE)</f>
        <v>#NUM!</v>
      </c>
      <c r="BM45" s="292" t="e">
        <f t="array" aca="1" ref="BM45" ca="1">VLOOKUP($B45,KOMBI!$A:$ADS,MATCH(Tulem!BM$3,KOMBI!$A$1:$ADS$1,0),FALSE)</f>
        <v>#NUM!</v>
      </c>
      <c r="BN45" s="292" t="e">
        <f t="array" aca="1" ref="BN45" ca="1">VLOOKUP($B45,KOMBI!$A:$ADS,MATCH(Tulem!BN$3,KOMBI!$A$1:$ADS$1,0),FALSE)</f>
        <v>#NUM!</v>
      </c>
      <c r="BO45" s="292" t="e">
        <f t="array" aca="1" ref="BO45" ca="1">VLOOKUP($B45,KOMBI!$A:$ADS,MATCH(Tulem!BO$3,KOMBI!$A$1:$ADS$1,0),FALSE)</f>
        <v>#NUM!</v>
      </c>
      <c r="BP45" s="291"/>
      <c r="BQ45" s="292" t="e">
        <f t="array" aca="1" ref="BQ45" ca="1">VLOOKUP($B45,KOMBI!$A:$ADS,MATCH(Tulem!BQ$3,KOMBI!$A$1:$ADS$1,0),FALSE)</f>
        <v>#NUM!</v>
      </c>
      <c r="BR45" s="292" t="e">
        <f t="array" aca="1" ref="BR45" ca="1">VLOOKUP($B45,KOMBI!$A:$ADS,MATCH(Tulem!BR$3,KOMBI!$A$1:$ADS$1,0),FALSE)</f>
        <v>#NUM!</v>
      </c>
      <c r="BS45" s="292" t="e">
        <f t="array" aca="1" ref="BS45" ca="1">VLOOKUP($B45,KOMBI!$A:$ADS,MATCH(Tulem!BS$3,KOMBI!$A$1:$ADS$1,0),FALSE)</f>
        <v>#NUM!</v>
      </c>
      <c r="BT45" s="292" t="e">
        <f t="array" aca="1" ref="BT45" ca="1">VLOOKUP($B45,KOMBI!$A:$ADS,MATCH(Tulem!BT$3,KOMBI!$A$1:$ADS$1,0),FALSE)</f>
        <v>#NUM!</v>
      </c>
      <c r="BU45" s="292" t="e">
        <f t="array" aca="1" ref="BU45" ca="1">VLOOKUP($B45,KOMBI!$A:$ADS,MATCH(Tulem!BU$3,KOMBI!$A$1:$ADS$1,0),FALSE)</f>
        <v>#NUM!</v>
      </c>
      <c r="BV45" s="291"/>
      <c r="BW45" s="292" t="e">
        <f t="array" aca="1" ref="BW45" ca="1">VLOOKUP($B45,KOMBI!$A:$ADS,MATCH(Tulem!BW$3,KOMBI!$A$1:$ADS$1,0),FALSE)</f>
        <v>#NUM!</v>
      </c>
      <c r="BX45" s="291"/>
      <c r="BY45" s="291"/>
      <c r="BZ45" s="292" t="e">
        <f t="array" aca="1" ref="BZ45" ca="1">VLOOKUP($B45,KOMBI!$A:$ADS,MATCH(Tulem!BZ$3,KOMBI!$A$1:$ADS$1,0),FALSE)</f>
        <v>#NUM!</v>
      </c>
      <c r="CA45" s="292" t="e">
        <f t="array" aca="1" ref="CA45" ca="1">VLOOKUP($B45,KOMBI!$A:$ADS,MATCH(Tulem!CA$3,KOMBI!$A$1:$ADS$1,0),FALSE)</f>
        <v>#NUM!</v>
      </c>
      <c r="CB45" s="292" t="e">
        <f t="array" aca="1" ref="CB45" ca="1">VLOOKUP($B45,KOMBI!$A:$ADS,MATCH(Tulem!CB$3,KOMBI!$A$1:$ADS$1,0),FALSE)</f>
        <v>#NUM!</v>
      </c>
      <c r="CC45" s="292" t="e">
        <f t="array" aca="1" ref="CC45" ca="1">VLOOKUP($B45,KOMBI!$A:$ADS,MATCH(Tulem!CC$3,KOMBI!$A$1:$ADS$1,0),FALSE)</f>
        <v>#NUM!</v>
      </c>
      <c r="CD45" s="292" t="e">
        <f t="array" aca="1" ref="CD45" ca="1">VLOOKUP($B45,KOMBI!$A:$ADS,MATCH(Tulem!CD$3,KOMBI!$A$1:$ADS$1,0),FALSE)</f>
        <v>#NUM!</v>
      </c>
      <c r="CF45" s="51" t="e">
        <f ca="1">VLOOKUP($B45,KOMBI!$A:$ACG,MATCH(CF$5,KOMBI!$10:$10,0),FALSE)</f>
        <v>#NUM!</v>
      </c>
    </row>
    <row r="46" spans="1:84" x14ac:dyDescent="0.2">
      <c r="A46" s="51">
        <v>41</v>
      </c>
      <c r="B46" s="51" t="e">
        <f ca="1">KOMBI!GI51</f>
        <v>#NUM!</v>
      </c>
      <c r="C46" s="51">
        <f t="shared" si="0"/>
        <v>41</v>
      </c>
      <c r="D46" s="290" t="e">
        <f ca="1">VLOOKUP(VLOOKUP($B46,KOMBI!$A:$H,3,FALSE),data!$I$27:$J$29,2,FALSE)</f>
        <v>#NUM!</v>
      </c>
      <c r="E46" s="290" t="e">
        <f ca="1">VLOOKUP(VLOOKUP($B46,KOMBI!$A:$H,2,FALSE),data!$I$21:$J$23,2,FALSE)</f>
        <v>#NUM!</v>
      </c>
      <c r="F46" s="290" t="e">
        <f ca="1">VLOOKUP(VLOOKUP($B46,KOMBI!$A:$H,5,FALSE),data!$I$39:$J$41,2,FALSE)</f>
        <v>#NUM!</v>
      </c>
      <c r="G46" s="290" t="e">
        <f ca="1">VLOOKUP(VLOOKUP($B46,KOMBI!$A:$H,4,FALSE),data!$I$32:$J$36,2,FALSE)</f>
        <v>#NUM!</v>
      </c>
      <c r="I46" s="51" t="e">
        <f ca="1">VLOOKUP($B46,KOMBI!$A:$Z,MATCH(I$5,KOMBI!$10:$10,0),FALSE)</f>
        <v>#NUM!</v>
      </c>
      <c r="J46" s="291" t="e">
        <f ca="1">VLOOKUP($B46,KOMBI!$A:$ADS,J$3,FALSE)</f>
        <v>#NUM!</v>
      </c>
      <c r="K46" s="291" t="e">
        <f ca="1">VLOOKUP($B46,KOMBI!$A:$ADS,K$3,FALSE)</f>
        <v>#NUM!</v>
      </c>
      <c r="L46" s="291" t="e">
        <f ca="1">VLOOKUP($B46,KOMBI!$A:$ADS,L$3,FALSE)</f>
        <v>#NUM!</v>
      </c>
      <c r="M46" s="291" t="e">
        <f ca="1">VLOOKUP($B46,KOMBI!$A:$ADS,M$3,FALSE)</f>
        <v>#NUM!</v>
      </c>
      <c r="N46" s="291" t="e">
        <f ca="1">VLOOKUP($B46,KOMBI!$A:$ADS,N$3,FALSE)</f>
        <v>#NUM!</v>
      </c>
      <c r="O46" s="291" t="e">
        <f ca="1">VLOOKUP($B46,KOMBI!$A:$ADS,O$3,FALSE)</f>
        <v>#NUM!</v>
      </c>
      <c r="P46" s="291" t="e">
        <f ca="1">VLOOKUP($B46,KOMBI!$A:$ADS,P$3,FALSE)</f>
        <v>#NUM!</v>
      </c>
      <c r="Q46" s="292" t="e">
        <f t="array" aca="1" ref="Q46" ca="1">VLOOKUP($B46,KOMBI!$A:$ADS,MATCH(Tulem!Q$3,KOMBI!$A$1:$ADS$1,0),FALSE)</f>
        <v>#NUM!</v>
      </c>
      <c r="S46" s="332" t="e">
        <f t="array" aca="1" ref="S46" ca="1">VLOOKUP($B46,KOMBI!$A:$ADS,MATCH(Tulem!S$3,KOMBI!$A$1:$ADS$1,0),FALSE)</f>
        <v>#NUM!</v>
      </c>
      <c r="T46" s="293" t="e">
        <f ca="1">VLOOKUP($B46,KOMBI!$A:$ADS,T$3,FALSE)</f>
        <v>#NUM!</v>
      </c>
      <c r="U46" s="293" t="e">
        <f ca="1">VLOOKUP($B46,KOMBI!$A:$ADS,U$3,FALSE)</f>
        <v>#NUM!</v>
      </c>
      <c r="V46" s="293" t="e">
        <f ca="1">VLOOKUP($B46,KOMBI!$A:$ADS,V$3,FALSE)</f>
        <v>#NUM!</v>
      </c>
      <c r="W46" s="293"/>
      <c r="X46" s="293" t="e">
        <f ca="1">VLOOKUP($B46,KOMBI!$A:$ADS,X$3,FALSE)</f>
        <v>#NUM!</v>
      </c>
      <c r="Y46" s="293" t="e">
        <f ca="1">VLOOKUP($B46,KOMBI!$A:$ADS,Y$3,FALSE)</f>
        <v>#NUM!</v>
      </c>
      <c r="Z46" s="293" t="e">
        <f ca="1">VLOOKUP($B46,KOMBI!$A:$ADS,Z$3,FALSE)</f>
        <v>#NUM!</v>
      </c>
      <c r="AA46" s="294"/>
      <c r="AB46" s="293" t="e">
        <f ca="1">VLOOKUP($B46,KOMBI!$A:$ADS,AB$3,FALSE)</f>
        <v>#NUM!</v>
      </c>
      <c r="AC46" s="293" t="e">
        <f ca="1">VLOOKUP($B46,KOMBI!$A:$ADS,AC$3,FALSE)-AB46</f>
        <v>#NUM!</v>
      </c>
      <c r="AD46" s="293" t="e">
        <f ca="1">VLOOKUP($B46,KOMBI!$A:$ADS,AD$3,FALSE)</f>
        <v>#NUM!</v>
      </c>
      <c r="AE46" s="293" t="e">
        <f ca="1">VLOOKUP($B46,KOMBI!$A:$ADS,AE$3,FALSE)</f>
        <v>#NUM!</v>
      </c>
      <c r="AF46" s="293" t="e">
        <f ca="1">VLOOKUP($B46,KOMBI!$A:$ADS,AF$3,FALSE)-AE46</f>
        <v>#NUM!</v>
      </c>
      <c r="AG46" s="293" t="e">
        <f ca="1">VLOOKUP($B46,KOMBI!$A:$ADS,AG$3,FALSE)</f>
        <v>#NUM!</v>
      </c>
      <c r="AI46" s="293" t="e">
        <f t="array" aca="1" ref="AI46" ca="1">VLOOKUP($B46,KOMBI!$A:$ADS,MATCH(Tulem!AI$3,KOMBI!$A$1:$ADS$1,0),FALSE)</f>
        <v>#NUM!</v>
      </c>
      <c r="AJ46" s="293" t="e">
        <f t="array" aca="1" ref="AJ46" ca="1">VLOOKUP($B46,KOMBI!$A:$ADS,MATCH(Tulem!AJ$3,KOMBI!$A$1:$ADS$1,0),FALSE)</f>
        <v>#NUM!</v>
      </c>
      <c r="AK46" s="293" t="e">
        <f t="array" aca="1" ref="AK46" ca="1">VLOOKUP($B46,KOMBI!$A:$ADS,MATCH(Tulem!AK$3,KOMBI!$A$1:$ADS$1,0),FALSE)</f>
        <v>#NUM!</v>
      </c>
      <c r="AL46" s="293" t="e">
        <f t="array" aca="1" ref="AL46" ca="1">VLOOKUP($B46,KOMBI!$A:$ADS,MATCH(Tulem!AL$3,KOMBI!$A$1:$ADS$1,0),FALSE)</f>
        <v>#NUM!</v>
      </c>
      <c r="AM46" s="293" t="e">
        <f t="array" aca="1" ref="AM46" ca="1">VLOOKUP($B46,KOMBI!$A:$ADS,MATCH(Tulem!AM$3,KOMBI!$A$1:$ADS$1,0),FALSE)</f>
        <v>#NUM!</v>
      </c>
      <c r="AN46" s="293" t="e">
        <f t="array" aca="1" ref="AN46" ca="1">VLOOKUP($B46,KOMBI!$A:$ADS,MATCH(Tulem!AN$3,KOMBI!$A$1:$ADS$1,0),FALSE)</f>
        <v>#NUM!</v>
      </c>
      <c r="AO46" s="293" t="e">
        <f t="array" aca="1" ref="AO46" ca="1">VLOOKUP($B46,KOMBI!$A:$ADS,MATCH(Tulem!AO$3,KOMBI!$A$1:$ADS$1,0),FALSE)</f>
        <v>#NUM!</v>
      </c>
      <c r="AP46" s="293" t="e">
        <f t="array" aca="1" ref="AP46" ca="1">VLOOKUP($B46,KOMBI!$A:$ADS,MATCH(Tulem!AP$3,KOMBI!$A$1:$ADS$1,0),FALSE)</f>
        <v>#NUM!</v>
      </c>
      <c r="AQ46" s="293" t="e">
        <f t="array" aca="1" ref="AQ46" ca="1">VLOOKUP($B46,KOMBI!$A:$ADS,MATCH(Tulem!AQ$3,KOMBI!$A$1:$ADS$1,0),FALSE)</f>
        <v>#NUM!</v>
      </c>
      <c r="AR46" s="293" t="e">
        <f t="array" aca="1" ref="AR46" ca="1">VLOOKUP($B46,KOMBI!$A:$ADS,MATCH(Tulem!AR$3,KOMBI!$A$1:$ADS$1,0),FALSE)</f>
        <v>#NUM!</v>
      </c>
      <c r="AS46" s="293" t="e">
        <f t="array" aca="1" ref="AS46" ca="1">VLOOKUP($B46,KOMBI!$A:$ADS,MATCH(Tulem!AS$3,KOMBI!$A$1:$ADS$1,0),FALSE)</f>
        <v>#NUM!</v>
      </c>
      <c r="AT46" s="293" t="e">
        <f t="array" aca="1" ref="AT46" ca="1">VLOOKUP($B46,KOMBI!$A:$ADS,MATCH(Tulem!AT$3,KOMBI!$A$1:$ADS$1,0),FALSE)</f>
        <v>#NUM!</v>
      </c>
      <c r="AU46" s="293" t="e">
        <f t="array" aca="1" ref="AU46" ca="1">VLOOKUP($B46,KOMBI!$A:$ADS,MATCH(Tulem!AU$3,KOMBI!$A$1:$ADS$1,0),FALSE)</f>
        <v>#NUM!</v>
      </c>
      <c r="AV46" s="293" t="e">
        <f t="shared" ca="1" si="1"/>
        <v>#NUM!</v>
      </c>
      <c r="AW46" s="293" t="e">
        <f t="shared" ca="1" si="2"/>
        <v>#NUM!</v>
      </c>
      <c r="AX46" s="291" t="e">
        <f ca="1">VLOOKUP($B46,KOMBI!$A:$ACA,MATCH(AX$5,KOMBI!$10:$10,0),FALSE)</f>
        <v>#NUM!</v>
      </c>
      <c r="AY46" s="292" t="e">
        <f t="array" aca="1" ref="AY46" ca="1">VLOOKUP($B46,KOMBI!$A:$ADS,MATCH(Tulem!AY$3,KOMBI!$A$1:$ADS$1,0),FALSE)</f>
        <v>#NUM!</v>
      </c>
      <c r="AZ46" s="292" t="e">
        <f t="array" aca="1" ref="AZ46" ca="1">VLOOKUP($B46,KOMBI!$A:$ADS,MATCH(Tulem!AZ$3,KOMBI!$A$1:$ADS$1,0),FALSE)</f>
        <v>#NUM!</v>
      </c>
      <c r="BA46" s="292" t="e">
        <f t="array" aca="1" ref="BA46" ca="1">VLOOKUP($B46,KOMBI!$A:$ADS,MATCH(Tulem!BA$3,KOMBI!$A$1:$ADS$1,0),FALSE)</f>
        <v>#NUM!</v>
      </c>
      <c r="BB46" s="292" t="e">
        <f t="array" aca="1" ref="BB46" ca="1">VLOOKUP($B46,KOMBI!$A:$ADS,MATCH(Tulem!BB$3,KOMBI!$A$1:$ADS$1,0),FALSE)</f>
        <v>#NUM!</v>
      </c>
      <c r="BC46" s="292" t="e">
        <f t="array" aca="1" ref="BC46" ca="1">VLOOKUP($B46,KOMBI!$A:$ADS,MATCH(Tulem!BC$3,KOMBI!$A$1:$ADS$1,0),FALSE)</f>
        <v>#NUM!</v>
      </c>
      <c r="BD46" s="292" t="e">
        <f t="array" aca="1" ref="BD46" ca="1">VLOOKUP($B46,KOMBI!$A:$ADS,MATCH(Tulem!BD$3,KOMBI!$A$1:$ADS$1,0),FALSE)</f>
        <v>#NUM!</v>
      </c>
      <c r="BE46" s="292" t="e">
        <f t="array" aca="1" ref="BE46" ca="1">VLOOKUP($B46,KOMBI!$A:$ADS,MATCH(Tulem!BE$3,KOMBI!$A$1:$ADS$1,0),FALSE)</f>
        <v>#NUM!</v>
      </c>
      <c r="BF46" s="292" t="e">
        <f t="array" aca="1" ref="BF46" ca="1">VLOOKUP($B46,KOMBI!$A:$ADS,MATCH(Tulem!BF$3,KOMBI!$A$1:$ADS$1,0),FALSE)</f>
        <v>#NUM!</v>
      </c>
      <c r="BG46" s="292" t="e">
        <f t="array" aca="1" ref="BG46" ca="1">VLOOKUP($B46,KOMBI!$A:$ADS,MATCH(Tulem!BG$3,KOMBI!$A$1:$ADS$1,0),FALSE)</f>
        <v>#NUM!</v>
      </c>
      <c r="BH46" s="292" t="e">
        <f t="array" aca="1" ref="BH46" ca="1">VLOOKUP($B46,KOMBI!$A:$ADS,MATCH(Tulem!BH$3,KOMBI!$A$1:$ADS$1,0),FALSE)</f>
        <v>#NUM!</v>
      </c>
      <c r="BI46" s="292" t="e">
        <f t="array" aca="1" ref="BI46" ca="1">VLOOKUP($B46,KOMBI!$A:$ADS,MATCH(Tulem!BI$3,KOMBI!$A$1:$ADS$1,0),FALSE)</f>
        <v>#NUM!</v>
      </c>
      <c r="BJ46" s="292" t="e">
        <f t="array" aca="1" ref="BJ46" ca="1">VLOOKUP($B46,KOMBI!$A:$ADS,MATCH(Tulem!BJ$3,KOMBI!$A$1:$ADS$1,0),FALSE)</f>
        <v>#NUM!</v>
      </c>
      <c r="BK46" s="292" t="e">
        <f t="array" aca="1" ref="BK46" ca="1">VLOOKUP($B46,KOMBI!$A:$ADS,MATCH(Tulem!BK$3,KOMBI!$A$1:$ADS$1,0),FALSE)</f>
        <v>#NUM!</v>
      </c>
      <c r="BL46" s="292" t="e">
        <f t="array" aca="1" ref="BL46" ca="1">VLOOKUP($B46,KOMBI!$A:$ADS,MATCH(Tulem!BL$3,KOMBI!$A$1:$ADS$1,0),FALSE)</f>
        <v>#NUM!</v>
      </c>
      <c r="BM46" s="292" t="e">
        <f t="array" aca="1" ref="BM46" ca="1">VLOOKUP($B46,KOMBI!$A:$ADS,MATCH(Tulem!BM$3,KOMBI!$A$1:$ADS$1,0),FALSE)</f>
        <v>#NUM!</v>
      </c>
      <c r="BN46" s="292" t="e">
        <f t="array" aca="1" ref="BN46" ca="1">VLOOKUP($B46,KOMBI!$A:$ADS,MATCH(Tulem!BN$3,KOMBI!$A$1:$ADS$1,0),FALSE)</f>
        <v>#NUM!</v>
      </c>
      <c r="BO46" s="292" t="e">
        <f t="array" aca="1" ref="BO46" ca="1">VLOOKUP($B46,KOMBI!$A:$ADS,MATCH(Tulem!BO$3,KOMBI!$A$1:$ADS$1,0),FALSE)</f>
        <v>#NUM!</v>
      </c>
      <c r="BP46" s="291"/>
      <c r="BQ46" s="292" t="e">
        <f t="array" aca="1" ref="BQ46" ca="1">VLOOKUP($B46,KOMBI!$A:$ADS,MATCH(Tulem!BQ$3,KOMBI!$A$1:$ADS$1,0),FALSE)</f>
        <v>#NUM!</v>
      </c>
      <c r="BR46" s="292" t="e">
        <f t="array" aca="1" ref="BR46" ca="1">VLOOKUP($B46,KOMBI!$A:$ADS,MATCH(Tulem!BR$3,KOMBI!$A$1:$ADS$1,0),FALSE)</f>
        <v>#NUM!</v>
      </c>
      <c r="BS46" s="292" t="e">
        <f t="array" aca="1" ref="BS46" ca="1">VLOOKUP($B46,KOMBI!$A:$ADS,MATCH(Tulem!BS$3,KOMBI!$A$1:$ADS$1,0),FALSE)</f>
        <v>#NUM!</v>
      </c>
      <c r="BT46" s="292" t="e">
        <f t="array" aca="1" ref="BT46" ca="1">VLOOKUP($B46,KOMBI!$A:$ADS,MATCH(Tulem!BT$3,KOMBI!$A$1:$ADS$1,0),FALSE)</f>
        <v>#NUM!</v>
      </c>
      <c r="BU46" s="292" t="e">
        <f t="array" aca="1" ref="BU46" ca="1">VLOOKUP($B46,KOMBI!$A:$ADS,MATCH(Tulem!BU$3,KOMBI!$A$1:$ADS$1,0),FALSE)</f>
        <v>#NUM!</v>
      </c>
      <c r="BV46" s="291"/>
      <c r="BW46" s="292" t="e">
        <f t="array" aca="1" ref="BW46" ca="1">VLOOKUP($B46,KOMBI!$A:$ADS,MATCH(Tulem!BW$3,KOMBI!$A$1:$ADS$1,0),FALSE)</f>
        <v>#NUM!</v>
      </c>
      <c r="BX46" s="291"/>
      <c r="BY46" s="291"/>
      <c r="BZ46" s="292" t="e">
        <f t="array" aca="1" ref="BZ46" ca="1">VLOOKUP($B46,KOMBI!$A:$ADS,MATCH(Tulem!BZ$3,KOMBI!$A$1:$ADS$1,0),FALSE)</f>
        <v>#NUM!</v>
      </c>
      <c r="CA46" s="292" t="e">
        <f t="array" aca="1" ref="CA46" ca="1">VLOOKUP($B46,KOMBI!$A:$ADS,MATCH(Tulem!CA$3,KOMBI!$A$1:$ADS$1,0),FALSE)</f>
        <v>#NUM!</v>
      </c>
      <c r="CB46" s="292" t="e">
        <f t="array" aca="1" ref="CB46" ca="1">VLOOKUP($B46,KOMBI!$A:$ADS,MATCH(Tulem!CB$3,KOMBI!$A$1:$ADS$1,0),FALSE)</f>
        <v>#NUM!</v>
      </c>
      <c r="CC46" s="292" t="e">
        <f t="array" aca="1" ref="CC46" ca="1">VLOOKUP($B46,KOMBI!$A:$ADS,MATCH(Tulem!CC$3,KOMBI!$A$1:$ADS$1,0),FALSE)</f>
        <v>#NUM!</v>
      </c>
      <c r="CD46" s="292" t="e">
        <f t="array" aca="1" ref="CD46" ca="1">VLOOKUP($B46,KOMBI!$A:$ADS,MATCH(Tulem!CD$3,KOMBI!$A$1:$ADS$1,0),FALSE)</f>
        <v>#NUM!</v>
      </c>
      <c r="CF46" s="51" t="e">
        <f ca="1">VLOOKUP($B46,KOMBI!$A:$ACG,MATCH(CF$5,KOMBI!$10:$10,0),FALSE)</f>
        <v>#NUM!</v>
      </c>
    </row>
    <row r="47" spans="1:84" x14ac:dyDescent="0.2">
      <c r="A47" s="51">
        <v>42</v>
      </c>
      <c r="B47" s="51" t="e">
        <f ca="1">KOMBI!GI52</f>
        <v>#NUM!</v>
      </c>
      <c r="C47" s="51">
        <f t="shared" si="0"/>
        <v>42</v>
      </c>
      <c r="D47" s="290" t="e">
        <f ca="1">VLOOKUP(VLOOKUP($B47,KOMBI!$A:$H,3,FALSE),data!$I$27:$J$29,2,FALSE)</f>
        <v>#NUM!</v>
      </c>
      <c r="E47" s="290" t="e">
        <f ca="1">VLOOKUP(VLOOKUP($B47,KOMBI!$A:$H,2,FALSE),data!$I$21:$J$23,2,FALSE)</f>
        <v>#NUM!</v>
      </c>
      <c r="F47" s="290" t="e">
        <f ca="1">VLOOKUP(VLOOKUP($B47,KOMBI!$A:$H,5,FALSE),data!$I$39:$J$41,2,FALSE)</f>
        <v>#NUM!</v>
      </c>
      <c r="G47" s="290" t="e">
        <f ca="1">VLOOKUP(VLOOKUP($B47,KOMBI!$A:$H,4,FALSE),data!$I$32:$J$36,2,FALSE)</f>
        <v>#NUM!</v>
      </c>
      <c r="I47" s="51" t="e">
        <f ca="1">VLOOKUP($B47,KOMBI!$A:$Z,MATCH(I$5,KOMBI!$10:$10,0),FALSE)</f>
        <v>#NUM!</v>
      </c>
      <c r="J47" s="291" t="e">
        <f ca="1">VLOOKUP($B47,KOMBI!$A:$ADS,J$3,FALSE)</f>
        <v>#NUM!</v>
      </c>
      <c r="K47" s="291" t="e">
        <f ca="1">VLOOKUP($B47,KOMBI!$A:$ADS,K$3,FALSE)</f>
        <v>#NUM!</v>
      </c>
      <c r="L47" s="291" t="e">
        <f ca="1">VLOOKUP($B47,KOMBI!$A:$ADS,L$3,FALSE)</f>
        <v>#NUM!</v>
      </c>
      <c r="M47" s="291" t="e">
        <f ca="1">VLOOKUP($B47,KOMBI!$A:$ADS,M$3,FALSE)</f>
        <v>#NUM!</v>
      </c>
      <c r="N47" s="291" t="e">
        <f ca="1">VLOOKUP($B47,KOMBI!$A:$ADS,N$3,FALSE)</f>
        <v>#NUM!</v>
      </c>
      <c r="O47" s="291" t="e">
        <f ca="1">VLOOKUP($B47,KOMBI!$A:$ADS,O$3,FALSE)</f>
        <v>#NUM!</v>
      </c>
      <c r="P47" s="291" t="e">
        <f ca="1">VLOOKUP($B47,KOMBI!$A:$ADS,P$3,FALSE)</f>
        <v>#NUM!</v>
      </c>
      <c r="Q47" s="292" t="e">
        <f t="array" aca="1" ref="Q47" ca="1">VLOOKUP($B47,KOMBI!$A:$ADS,MATCH(Tulem!Q$3,KOMBI!$A$1:$ADS$1,0),FALSE)</f>
        <v>#NUM!</v>
      </c>
      <c r="S47" s="332" t="e">
        <f t="array" aca="1" ref="S47" ca="1">VLOOKUP($B47,KOMBI!$A:$ADS,MATCH(Tulem!S$3,KOMBI!$A$1:$ADS$1,0),FALSE)</f>
        <v>#NUM!</v>
      </c>
      <c r="T47" s="293" t="e">
        <f ca="1">VLOOKUP($B47,KOMBI!$A:$ADS,T$3,FALSE)</f>
        <v>#NUM!</v>
      </c>
      <c r="U47" s="293" t="e">
        <f ca="1">VLOOKUP($B47,KOMBI!$A:$ADS,U$3,FALSE)</f>
        <v>#NUM!</v>
      </c>
      <c r="V47" s="293" t="e">
        <f ca="1">VLOOKUP($B47,KOMBI!$A:$ADS,V$3,FALSE)</f>
        <v>#NUM!</v>
      </c>
      <c r="W47" s="293"/>
      <c r="X47" s="293" t="e">
        <f ca="1">VLOOKUP($B47,KOMBI!$A:$ADS,X$3,FALSE)</f>
        <v>#NUM!</v>
      </c>
      <c r="Y47" s="293" t="e">
        <f ca="1">VLOOKUP($B47,KOMBI!$A:$ADS,Y$3,FALSE)</f>
        <v>#NUM!</v>
      </c>
      <c r="Z47" s="293" t="e">
        <f ca="1">VLOOKUP($B47,KOMBI!$A:$ADS,Z$3,FALSE)</f>
        <v>#NUM!</v>
      </c>
      <c r="AA47" s="294"/>
      <c r="AB47" s="293" t="e">
        <f ca="1">VLOOKUP($B47,KOMBI!$A:$ADS,AB$3,FALSE)</f>
        <v>#NUM!</v>
      </c>
      <c r="AC47" s="293" t="e">
        <f ca="1">VLOOKUP($B47,KOMBI!$A:$ADS,AC$3,FALSE)-AB47</f>
        <v>#NUM!</v>
      </c>
      <c r="AD47" s="293" t="e">
        <f ca="1">VLOOKUP($B47,KOMBI!$A:$ADS,AD$3,FALSE)</f>
        <v>#NUM!</v>
      </c>
      <c r="AE47" s="293" t="e">
        <f ca="1">VLOOKUP($B47,KOMBI!$A:$ADS,AE$3,FALSE)</f>
        <v>#NUM!</v>
      </c>
      <c r="AF47" s="293" t="e">
        <f ca="1">VLOOKUP($B47,KOMBI!$A:$ADS,AF$3,FALSE)-AE47</f>
        <v>#NUM!</v>
      </c>
      <c r="AG47" s="293" t="e">
        <f ca="1">VLOOKUP($B47,KOMBI!$A:$ADS,AG$3,FALSE)</f>
        <v>#NUM!</v>
      </c>
      <c r="AI47" s="293" t="e">
        <f t="array" aca="1" ref="AI47" ca="1">VLOOKUP($B47,KOMBI!$A:$ADS,MATCH(Tulem!AI$3,KOMBI!$A$1:$ADS$1,0),FALSE)</f>
        <v>#NUM!</v>
      </c>
      <c r="AJ47" s="293" t="e">
        <f t="array" aca="1" ref="AJ47" ca="1">VLOOKUP($B47,KOMBI!$A:$ADS,MATCH(Tulem!AJ$3,KOMBI!$A$1:$ADS$1,0),FALSE)</f>
        <v>#NUM!</v>
      </c>
      <c r="AK47" s="293" t="e">
        <f t="array" aca="1" ref="AK47" ca="1">VLOOKUP($B47,KOMBI!$A:$ADS,MATCH(Tulem!AK$3,KOMBI!$A$1:$ADS$1,0),FALSE)</f>
        <v>#NUM!</v>
      </c>
      <c r="AL47" s="293" t="e">
        <f t="array" aca="1" ref="AL47" ca="1">VLOOKUP($B47,KOMBI!$A:$ADS,MATCH(Tulem!AL$3,KOMBI!$A$1:$ADS$1,0),FALSE)</f>
        <v>#NUM!</v>
      </c>
      <c r="AM47" s="293" t="e">
        <f t="array" aca="1" ref="AM47" ca="1">VLOOKUP($B47,KOMBI!$A:$ADS,MATCH(Tulem!AM$3,KOMBI!$A$1:$ADS$1,0),FALSE)</f>
        <v>#NUM!</v>
      </c>
      <c r="AN47" s="293" t="e">
        <f t="array" aca="1" ref="AN47" ca="1">VLOOKUP($B47,KOMBI!$A:$ADS,MATCH(Tulem!AN$3,KOMBI!$A$1:$ADS$1,0),FALSE)</f>
        <v>#NUM!</v>
      </c>
      <c r="AO47" s="293" t="e">
        <f t="array" aca="1" ref="AO47" ca="1">VLOOKUP($B47,KOMBI!$A:$ADS,MATCH(Tulem!AO$3,KOMBI!$A$1:$ADS$1,0),FALSE)</f>
        <v>#NUM!</v>
      </c>
      <c r="AP47" s="293" t="e">
        <f t="array" aca="1" ref="AP47" ca="1">VLOOKUP($B47,KOMBI!$A:$ADS,MATCH(Tulem!AP$3,KOMBI!$A$1:$ADS$1,0),FALSE)</f>
        <v>#NUM!</v>
      </c>
      <c r="AQ47" s="293" t="e">
        <f t="array" aca="1" ref="AQ47" ca="1">VLOOKUP($B47,KOMBI!$A:$ADS,MATCH(Tulem!AQ$3,KOMBI!$A$1:$ADS$1,0),FALSE)</f>
        <v>#NUM!</v>
      </c>
      <c r="AR47" s="293" t="e">
        <f t="array" aca="1" ref="AR47" ca="1">VLOOKUP($B47,KOMBI!$A:$ADS,MATCH(Tulem!AR$3,KOMBI!$A$1:$ADS$1,0),FALSE)</f>
        <v>#NUM!</v>
      </c>
      <c r="AS47" s="293" t="e">
        <f t="array" aca="1" ref="AS47" ca="1">VLOOKUP($B47,KOMBI!$A:$ADS,MATCH(Tulem!AS$3,KOMBI!$A$1:$ADS$1,0),FALSE)</f>
        <v>#NUM!</v>
      </c>
      <c r="AT47" s="293" t="e">
        <f t="array" aca="1" ref="AT47" ca="1">VLOOKUP($B47,KOMBI!$A:$ADS,MATCH(Tulem!AT$3,KOMBI!$A$1:$ADS$1,0),FALSE)</f>
        <v>#NUM!</v>
      </c>
      <c r="AU47" s="293" t="e">
        <f t="array" aca="1" ref="AU47" ca="1">VLOOKUP($B47,KOMBI!$A:$ADS,MATCH(Tulem!AU$3,KOMBI!$A$1:$ADS$1,0),FALSE)</f>
        <v>#NUM!</v>
      </c>
      <c r="AV47" s="293" t="e">
        <f t="shared" ca="1" si="1"/>
        <v>#NUM!</v>
      </c>
      <c r="AW47" s="293" t="e">
        <f t="shared" ca="1" si="2"/>
        <v>#NUM!</v>
      </c>
      <c r="AX47" s="291" t="e">
        <f ca="1">VLOOKUP($B47,KOMBI!$A:$ACA,MATCH(AX$5,KOMBI!$10:$10,0),FALSE)</f>
        <v>#NUM!</v>
      </c>
      <c r="AY47" s="292" t="e">
        <f t="array" aca="1" ref="AY47" ca="1">VLOOKUP($B47,KOMBI!$A:$ADS,MATCH(Tulem!AY$3,KOMBI!$A$1:$ADS$1,0),FALSE)</f>
        <v>#NUM!</v>
      </c>
      <c r="AZ47" s="292" t="e">
        <f t="array" aca="1" ref="AZ47" ca="1">VLOOKUP($B47,KOMBI!$A:$ADS,MATCH(Tulem!AZ$3,KOMBI!$A$1:$ADS$1,0),FALSE)</f>
        <v>#NUM!</v>
      </c>
      <c r="BA47" s="292" t="e">
        <f t="array" aca="1" ref="BA47" ca="1">VLOOKUP($B47,KOMBI!$A:$ADS,MATCH(Tulem!BA$3,KOMBI!$A$1:$ADS$1,0),FALSE)</f>
        <v>#NUM!</v>
      </c>
      <c r="BB47" s="292" t="e">
        <f t="array" aca="1" ref="BB47" ca="1">VLOOKUP($B47,KOMBI!$A:$ADS,MATCH(Tulem!BB$3,KOMBI!$A$1:$ADS$1,0),FALSE)</f>
        <v>#NUM!</v>
      </c>
      <c r="BC47" s="292" t="e">
        <f t="array" aca="1" ref="BC47" ca="1">VLOOKUP($B47,KOMBI!$A:$ADS,MATCH(Tulem!BC$3,KOMBI!$A$1:$ADS$1,0),FALSE)</f>
        <v>#NUM!</v>
      </c>
      <c r="BD47" s="292" t="e">
        <f t="array" aca="1" ref="BD47" ca="1">VLOOKUP($B47,KOMBI!$A:$ADS,MATCH(Tulem!BD$3,KOMBI!$A$1:$ADS$1,0),FALSE)</f>
        <v>#NUM!</v>
      </c>
      <c r="BE47" s="292" t="e">
        <f t="array" aca="1" ref="BE47" ca="1">VLOOKUP($B47,KOMBI!$A:$ADS,MATCH(Tulem!BE$3,KOMBI!$A$1:$ADS$1,0),FALSE)</f>
        <v>#NUM!</v>
      </c>
      <c r="BF47" s="292" t="e">
        <f t="array" aca="1" ref="BF47" ca="1">VLOOKUP($B47,KOMBI!$A:$ADS,MATCH(Tulem!BF$3,KOMBI!$A$1:$ADS$1,0),FALSE)</f>
        <v>#NUM!</v>
      </c>
      <c r="BG47" s="292" t="e">
        <f t="array" aca="1" ref="BG47" ca="1">VLOOKUP($B47,KOMBI!$A:$ADS,MATCH(Tulem!BG$3,KOMBI!$A$1:$ADS$1,0),FALSE)</f>
        <v>#NUM!</v>
      </c>
      <c r="BH47" s="292" t="e">
        <f t="array" aca="1" ref="BH47" ca="1">VLOOKUP($B47,KOMBI!$A:$ADS,MATCH(Tulem!BH$3,KOMBI!$A$1:$ADS$1,0),FALSE)</f>
        <v>#NUM!</v>
      </c>
      <c r="BI47" s="292" t="e">
        <f t="array" aca="1" ref="BI47" ca="1">VLOOKUP($B47,KOMBI!$A:$ADS,MATCH(Tulem!BI$3,KOMBI!$A$1:$ADS$1,0),FALSE)</f>
        <v>#NUM!</v>
      </c>
      <c r="BJ47" s="292" t="e">
        <f t="array" aca="1" ref="BJ47" ca="1">VLOOKUP($B47,KOMBI!$A:$ADS,MATCH(Tulem!BJ$3,KOMBI!$A$1:$ADS$1,0),FALSE)</f>
        <v>#NUM!</v>
      </c>
      <c r="BK47" s="292" t="e">
        <f t="array" aca="1" ref="BK47" ca="1">VLOOKUP($B47,KOMBI!$A:$ADS,MATCH(Tulem!BK$3,KOMBI!$A$1:$ADS$1,0),FALSE)</f>
        <v>#NUM!</v>
      </c>
      <c r="BL47" s="292" t="e">
        <f t="array" aca="1" ref="BL47" ca="1">VLOOKUP($B47,KOMBI!$A:$ADS,MATCH(Tulem!BL$3,KOMBI!$A$1:$ADS$1,0),FALSE)</f>
        <v>#NUM!</v>
      </c>
      <c r="BM47" s="292" t="e">
        <f t="array" aca="1" ref="BM47" ca="1">VLOOKUP($B47,KOMBI!$A:$ADS,MATCH(Tulem!BM$3,KOMBI!$A$1:$ADS$1,0),FALSE)</f>
        <v>#NUM!</v>
      </c>
      <c r="BN47" s="292" t="e">
        <f t="array" aca="1" ref="BN47" ca="1">VLOOKUP($B47,KOMBI!$A:$ADS,MATCH(Tulem!BN$3,KOMBI!$A$1:$ADS$1,0),FALSE)</f>
        <v>#NUM!</v>
      </c>
      <c r="BO47" s="292" t="e">
        <f t="array" aca="1" ref="BO47" ca="1">VLOOKUP($B47,KOMBI!$A:$ADS,MATCH(Tulem!BO$3,KOMBI!$A$1:$ADS$1,0),FALSE)</f>
        <v>#NUM!</v>
      </c>
      <c r="BP47" s="291"/>
      <c r="BQ47" s="292" t="e">
        <f t="array" aca="1" ref="BQ47" ca="1">VLOOKUP($B47,KOMBI!$A:$ADS,MATCH(Tulem!BQ$3,KOMBI!$A$1:$ADS$1,0),FALSE)</f>
        <v>#NUM!</v>
      </c>
      <c r="BR47" s="292" t="e">
        <f t="array" aca="1" ref="BR47" ca="1">VLOOKUP($B47,KOMBI!$A:$ADS,MATCH(Tulem!BR$3,KOMBI!$A$1:$ADS$1,0),FALSE)</f>
        <v>#NUM!</v>
      </c>
      <c r="BS47" s="292" t="e">
        <f t="array" aca="1" ref="BS47" ca="1">VLOOKUP($B47,KOMBI!$A:$ADS,MATCH(Tulem!BS$3,KOMBI!$A$1:$ADS$1,0),FALSE)</f>
        <v>#NUM!</v>
      </c>
      <c r="BT47" s="292" t="e">
        <f t="array" aca="1" ref="BT47" ca="1">VLOOKUP($B47,KOMBI!$A:$ADS,MATCH(Tulem!BT$3,KOMBI!$A$1:$ADS$1,0),FALSE)</f>
        <v>#NUM!</v>
      </c>
      <c r="BU47" s="292" t="e">
        <f t="array" aca="1" ref="BU47" ca="1">VLOOKUP($B47,KOMBI!$A:$ADS,MATCH(Tulem!BU$3,KOMBI!$A$1:$ADS$1,0),FALSE)</f>
        <v>#NUM!</v>
      </c>
      <c r="BV47" s="291"/>
      <c r="BW47" s="292" t="e">
        <f t="array" aca="1" ref="BW47" ca="1">VLOOKUP($B47,KOMBI!$A:$ADS,MATCH(Tulem!BW$3,KOMBI!$A$1:$ADS$1,0),FALSE)</f>
        <v>#NUM!</v>
      </c>
      <c r="BX47" s="291"/>
      <c r="BY47" s="291"/>
      <c r="BZ47" s="292" t="e">
        <f t="array" aca="1" ref="BZ47" ca="1">VLOOKUP($B47,KOMBI!$A:$ADS,MATCH(Tulem!BZ$3,KOMBI!$A$1:$ADS$1,0),FALSE)</f>
        <v>#NUM!</v>
      </c>
      <c r="CA47" s="292" t="e">
        <f t="array" aca="1" ref="CA47" ca="1">VLOOKUP($B47,KOMBI!$A:$ADS,MATCH(Tulem!CA$3,KOMBI!$A$1:$ADS$1,0),FALSE)</f>
        <v>#NUM!</v>
      </c>
      <c r="CB47" s="292" t="e">
        <f t="array" aca="1" ref="CB47" ca="1">VLOOKUP($B47,KOMBI!$A:$ADS,MATCH(Tulem!CB$3,KOMBI!$A$1:$ADS$1,0),FALSE)</f>
        <v>#NUM!</v>
      </c>
      <c r="CC47" s="292" t="e">
        <f t="array" aca="1" ref="CC47" ca="1">VLOOKUP($B47,KOMBI!$A:$ADS,MATCH(Tulem!CC$3,KOMBI!$A$1:$ADS$1,0),FALSE)</f>
        <v>#NUM!</v>
      </c>
      <c r="CD47" s="292" t="e">
        <f t="array" aca="1" ref="CD47" ca="1">VLOOKUP($B47,KOMBI!$A:$ADS,MATCH(Tulem!CD$3,KOMBI!$A$1:$ADS$1,0),FALSE)</f>
        <v>#NUM!</v>
      </c>
      <c r="CF47" s="51" t="e">
        <f ca="1">VLOOKUP($B47,KOMBI!$A:$ACG,MATCH(CF$5,KOMBI!$10:$10,0),FALSE)</f>
        <v>#NUM!</v>
      </c>
    </row>
    <row r="48" spans="1:84" x14ac:dyDescent="0.2">
      <c r="A48" s="51">
        <v>43</v>
      </c>
      <c r="B48" s="51" t="e">
        <f ca="1">KOMBI!GI53</f>
        <v>#NUM!</v>
      </c>
      <c r="C48" s="51">
        <f t="shared" si="0"/>
        <v>43</v>
      </c>
      <c r="D48" s="290" t="e">
        <f ca="1">VLOOKUP(VLOOKUP($B48,KOMBI!$A:$H,3,FALSE),data!$I$27:$J$29,2,FALSE)</f>
        <v>#NUM!</v>
      </c>
      <c r="E48" s="290" t="e">
        <f ca="1">VLOOKUP(VLOOKUP($B48,KOMBI!$A:$H,2,FALSE),data!$I$21:$J$23,2,FALSE)</f>
        <v>#NUM!</v>
      </c>
      <c r="F48" s="290" t="e">
        <f ca="1">VLOOKUP(VLOOKUP($B48,KOMBI!$A:$H,5,FALSE),data!$I$39:$J$41,2,FALSE)</f>
        <v>#NUM!</v>
      </c>
      <c r="G48" s="290" t="e">
        <f ca="1">VLOOKUP(VLOOKUP($B48,KOMBI!$A:$H,4,FALSE),data!$I$32:$J$36,2,FALSE)</f>
        <v>#NUM!</v>
      </c>
      <c r="I48" s="51" t="e">
        <f ca="1">VLOOKUP($B48,KOMBI!$A:$Z,MATCH(I$5,KOMBI!$10:$10,0),FALSE)</f>
        <v>#NUM!</v>
      </c>
      <c r="J48" s="291" t="e">
        <f ca="1">VLOOKUP($B48,KOMBI!$A:$ADS,J$3,FALSE)</f>
        <v>#NUM!</v>
      </c>
      <c r="K48" s="291" t="e">
        <f ca="1">VLOOKUP($B48,KOMBI!$A:$ADS,K$3,FALSE)</f>
        <v>#NUM!</v>
      </c>
      <c r="L48" s="291" t="e">
        <f ca="1">VLOOKUP($B48,KOMBI!$A:$ADS,L$3,FALSE)</f>
        <v>#NUM!</v>
      </c>
      <c r="M48" s="291" t="e">
        <f ca="1">VLOOKUP($B48,KOMBI!$A:$ADS,M$3,FALSE)</f>
        <v>#NUM!</v>
      </c>
      <c r="N48" s="291" t="e">
        <f ca="1">VLOOKUP($B48,KOMBI!$A:$ADS,N$3,FALSE)</f>
        <v>#NUM!</v>
      </c>
      <c r="O48" s="291" t="e">
        <f ca="1">VLOOKUP($B48,KOMBI!$A:$ADS,O$3,FALSE)</f>
        <v>#NUM!</v>
      </c>
      <c r="P48" s="291" t="e">
        <f ca="1">VLOOKUP($B48,KOMBI!$A:$ADS,P$3,FALSE)</f>
        <v>#NUM!</v>
      </c>
      <c r="Q48" s="292" t="e">
        <f t="array" aca="1" ref="Q48" ca="1">VLOOKUP($B48,KOMBI!$A:$ADS,MATCH(Tulem!Q$3,KOMBI!$A$1:$ADS$1,0),FALSE)</f>
        <v>#NUM!</v>
      </c>
      <c r="S48" s="332" t="e">
        <f t="array" aca="1" ref="S48" ca="1">VLOOKUP($B48,KOMBI!$A:$ADS,MATCH(Tulem!S$3,KOMBI!$A$1:$ADS$1,0),FALSE)</f>
        <v>#NUM!</v>
      </c>
      <c r="T48" s="293" t="e">
        <f ca="1">VLOOKUP($B48,KOMBI!$A:$ADS,T$3,FALSE)</f>
        <v>#NUM!</v>
      </c>
      <c r="U48" s="293" t="e">
        <f ca="1">VLOOKUP($B48,KOMBI!$A:$ADS,U$3,FALSE)</f>
        <v>#NUM!</v>
      </c>
      <c r="V48" s="293" t="e">
        <f ca="1">VLOOKUP($B48,KOMBI!$A:$ADS,V$3,FALSE)</f>
        <v>#NUM!</v>
      </c>
      <c r="W48" s="293"/>
      <c r="X48" s="293" t="e">
        <f ca="1">VLOOKUP($B48,KOMBI!$A:$ADS,X$3,FALSE)</f>
        <v>#NUM!</v>
      </c>
      <c r="Y48" s="293" t="e">
        <f ca="1">VLOOKUP($B48,KOMBI!$A:$ADS,Y$3,FALSE)</f>
        <v>#NUM!</v>
      </c>
      <c r="Z48" s="293" t="e">
        <f ca="1">VLOOKUP($B48,KOMBI!$A:$ADS,Z$3,FALSE)</f>
        <v>#NUM!</v>
      </c>
      <c r="AA48" s="294"/>
      <c r="AB48" s="293" t="e">
        <f ca="1">VLOOKUP($B48,KOMBI!$A:$ADS,AB$3,FALSE)</f>
        <v>#NUM!</v>
      </c>
      <c r="AC48" s="293" t="e">
        <f ca="1">VLOOKUP($B48,KOMBI!$A:$ADS,AC$3,FALSE)-AB48</f>
        <v>#NUM!</v>
      </c>
      <c r="AD48" s="293" t="e">
        <f ca="1">VLOOKUP($B48,KOMBI!$A:$ADS,AD$3,FALSE)</f>
        <v>#NUM!</v>
      </c>
      <c r="AE48" s="293" t="e">
        <f ca="1">VLOOKUP($B48,KOMBI!$A:$ADS,AE$3,FALSE)</f>
        <v>#NUM!</v>
      </c>
      <c r="AF48" s="293" t="e">
        <f ca="1">VLOOKUP($B48,KOMBI!$A:$ADS,AF$3,FALSE)-AE48</f>
        <v>#NUM!</v>
      </c>
      <c r="AG48" s="293" t="e">
        <f ca="1">VLOOKUP($B48,KOMBI!$A:$ADS,AG$3,FALSE)</f>
        <v>#NUM!</v>
      </c>
      <c r="AI48" s="293" t="e">
        <f t="array" aca="1" ref="AI48" ca="1">VLOOKUP($B48,KOMBI!$A:$ADS,MATCH(Tulem!AI$3,KOMBI!$A$1:$ADS$1,0),FALSE)</f>
        <v>#NUM!</v>
      </c>
      <c r="AJ48" s="293" t="e">
        <f t="array" aca="1" ref="AJ48" ca="1">VLOOKUP($B48,KOMBI!$A:$ADS,MATCH(Tulem!AJ$3,KOMBI!$A$1:$ADS$1,0),FALSE)</f>
        <v>#NUM!</v>
      </c>
      <c r="AK48" s="293" t="e">
        <f t="array" aca="1" ref="AK48" ca="1">VLOOKUP($B48,KOMBI!$A:$ADS,MATCH(Tulem!AK$3,KOMBI!$A$1:$ADS$1,0),FALSE)</f>
        <v>#NUM!</v>
      </c>
      <c r="AL48" s="293" t="e">
        <f t="array" aca="1" ref="AL48" ca="1">VLOOKUP($B48,KOMBI!$A:$ADS,MATCH(Tulem!AL$3,KOMBI!$A$1:$ADS$1,0),FALSE)</f>
        <v>#NUM!</v>
      </c>
      <c r="AM48" s="293" t="e">
        <f t="array" aca="1" ref="AM48" ca="1">VLOOKUP($B48,KOMBI!$A:$ADS,MATCH(Tulem!AM$3,KOMBI!$A$1:$ADS$1,0),FALSE)</f>
        <v>#NUM!</v>
      </c>
      <c r="AN48" s="293" t="e">
        <f t="array" aca="1" ref="AN48" ca="1">VLOOKUP($B48,KOMBI!$A:$ADS,MATCH(Tulem!AN$3,KOMBI!$A$1:$ADS$1,0),FALSE)</f>
        <v>#NUM!</v>
      </c>
      <c r="AO48" s="293" t="e">
        <f t="array" aca="1" ref="AO48" ca="1">VLOOKUP($B48,KOMBI!$A:$ADS,MATCH(Tulem!AO$3,KOMBI!$A$1:$ADS$1,0),FALSE)</f>
        <v>#NUM!</v>
      </c>
      <c r="AP48" s="293" t="e">
        <f t="array" aca="1" ref="AP48" ca="1">VLOOKUP($B48,KOMBI!$A:$ADS,MATCH(Tulem!AP$3,KOMBI!$A$1:$ADS$1,0),FALSE)</f>
        <v>#NUM!</v>
      </c>
      <c r="AQ48" s="293" t="e">
        <f t="array" aca="1" ref="AQ48" ca="1">VLOOKUP($B48,KOMBI!$A:$ADS,MATCH(Tulem!AQ$3,KOMBI!$A$1:$ADS$1,0),FALSE)</f>
        <v>#NUM!</v>
      </c>
      <c r="AR48" s="293" t="e">
        <f t="array" aca="1" ref="AR48" ca="1">VLOOKUP($B48,KOMBI!$A:$ADS,MATCH(Tulem!AR$3,KOMBI!$A$1:$ADS$1,0),FALSE)</f>
        <v>#NUM!</v>
      </c>
      <c r="AS48" s="293" t="e">
        <f t="array" aca="1" ref="AS48" ca="1">VLOOKUP($B48,KOMBI!$A:$ADS,MATCH(Tulem!AS$3,KOMBI!$A$1:$ADS$1,0),FALSE)</f>
        <v>#NUM!</v>
      </c>
      <c r="AT48" s="293" t="e">
        <f t="array" aca="1" ref="AT48" ca="1">VLOOKUP($B48,KOMBI!$A:$ADS,MATCH(Tulem!AT$3,KOMBI!$A$1:$ADS$1,0),FALSE)</f>
        <v>#NUM!</v>
      </c>
      <c r="AU48" s="293" t="e">
        <f t="array" aca="1" ref="AU48" ca="1">VLOOKUP($B48,KOMBI!$A:$ADS,MATCH(Tulem!AU$3,KOMBI!$A$1:$ADS$1,0),FALSE)</f>
        <v>#NUM!</v>
      </c>
      <c r="AV48" s="293" t="e">
        <f t="shared" ca="1" si="1"/>
        <v>#NUM!</v>
      </c>
      <c r="AW48" s="293" t="e">
        <f t="shared" ca="1" si="2"/>
        <v>#NUM!</v>
      </c>
      <c r="AX48" s="291" t="e">
        <f ca="1">VLOOKUP($B48,KOMBI!$A:$ACA,MATCH(AX$5,KOMBI!$10:$10,0),FALSE)</f>
        <v>#NUM!</v>
      </c>
      <c r="AY48" s="292" t="e">
        <f t="array" aca="1" ref="AY48" ca="1">VLOOKUP($B48,KOMBI!$A:$ADS,MATCH(Tulem!AY$3,KOMBI!$A$1:$ADS$1,0),FALSE)</f>
        <v>#NUM!</v>
      </c>
      <c r="AZ48" s="292" t="e">
        <f t="array" aca="1" ref="AZ48" ca="1">VLOOKUP($B48,KOMBI!$A:$ADS,MATCH(Tulem!AZ$3,KOMBI!$A$1:$ADS$1,0),FALSE)</f>
        <v>#NUM!</v>
      </c>
      <c r="BA48" s="292" t="e">
        <f t="array" aca="1" ref="BA48" ca="1">VLOOKUP($B48,KOMBI!$A:$ADS,MATCH(Tulem!BA$3,KOMBI!$A$1:$ADS$1,0),FALSE)</f>
        <v>#NUM!</v>
      </c>
      <c r="BB48" s="292" t="e">
        <f t="array" aca="1" ref="BB48" ca="1">VLOOKUP($B48,KOMBI!$A:$ADS,MATCH(Tulem!BB$3,KOMBI!$A$1:$ADS$1,0),FALSE)</f>
        <v>#NUM!</v>
      </c>
      <c r="BC48" s="292" t="e">
        <f t="array" aca="1" ref="BC48" ca="1">VLOOKUP($B48,KOMBI!$A:$ADS,MATCH(Tulem!BC$3,KOMBI!$A$1:$ADS$1,0),FALSE)</f>
        <v>#NUM!</v>
      </c>
      <c r="BD48" s="292" t="e">
        <f t="array" aca="1" ref="BD48" ca="1">VLOOKUP($B48,KOMBI!$A:$ADS,MATCH(Tulem!BD$3,KOMBI!$A$1:$ADS$1,0),FALSE)</f>
        <v>#NUM!</v>
      </c>
      <c r="BE48" s="292" t="e">
        <f t="array" aca="1" ref="BE48" ca="1">VLOOKUP($B48,KOMBI!$A:$ADS,MATCH(Tulem!BE$3,KOMBI!$A$1:$ADS$1,0),FALSE)</f>
        <v>#NUM!</v>
      </c>
      <c r="BF48" s="292" t="e">
        <f t="array" aca="1" ref="BF48" ca="1">VLOOKUP($B48,KOMBI!$A:$ADS,MATCH(Tulem!BF$3,KOMBI!$A$1:$ADS$1,0),FALSE)</f>
        <v>#NUM!</v>
      </c>
      <c r="BG48" s="292" t="e">
        <f t="array" aca="1" ref="BG48" ca="1">VLOOKUP($B48,KOMBI!$A:$ADS,MATCH(Tulem!BG$3,KOMBI!$A$1:$ADS$1,0),FALSE)</f>
        <v>#NUM!</v>
      </c>
      <c r="BH48" s="292" t="e">
        <f t="array" aca="1" ref="BH48" ca="1">VLOOKUP($B48,KOMBI!$A:$ADS,MATCH(Tulem!BH$3,KOMBI!$A$1:$ADS$1,0),FALSE)</f>
        <v>#NUM!</v>
      </c>
      <c r="BI48" s="292" t="e">
        <f t="array" aca="1" ref="BI48" ca="1">VLOOKUP($B48,KOMBI!$A:$ADS,MATCH(Tulem!BI$3,KOMBI!$A$1:$ADS$1,0),FALSE)</f>
        <v>#NUM!</v>
      </c>
      <c r="BJ48" s="292" t="e">
        <f t="array" aca="1" ref="BJ48" ca="1">VLOOKUP($B48,KOMBI!$A:$ADS,MATCH(Tulem!BJ$3,KOMBI!$A$1:$ADS$1,0),FALSE)</f>
        <v>#NUM!</v>
      </c>
      <c r="BK48" s="292" t="e">
        <f t="array" aca="1" ref="BK48" ca="1">VLOOKUP($B48,KOMBI!$A:$ADS,MATCH(Tulem!BK$3,KOMBI!$A$1:$ADS$1,0),FALSE)</f>
        <v>#NUM!</v>
      </c>
      <c r="BL48" s="292" t="e">
        <f t="array" aca="1" ref="BL48" ca="1">VLOOKUP($B48,KOMBI!$A:$ADS,MATCH(Tulem!BL$3,KOMBI!$A$1:$ADS$1,0),FALSE)</f>
        <v>#NUM!</v>
      </c>
      <c r="BM48" s="292" t="e">
        <f t="array" aca="1" ref="BM48" ca="1">VLOOKUP($B48,KOMBI!$A:$ADS,MATCH(Tulem!BM$3,KOMBI!$A$1:$ADS$1,0),FALSE)</f>
        <v>#NUM!</v>
      </c>
      <c r="BN48" s="292" t="e">
        <f t="array" aca="1" ref="BN48" ca="1">VLOOKUP($B48,KOMBI!$A:$ADS,MATCH(Tulem!BN$3,KOMBI!$A$1:$ADS$1,0),FALSE)</f>
        <v>#NUM!</v>
      </c>
      <c r="BO48" s="292" t="e">
        <f t="array" aca="1" ref="BO48" ca="1">VLOOKUP($B48,KOMBI!$A:$ADS,MATCH(Tulem!BO$3,KOMBI!$A$1:$ADS$1,0),FALSE)</f>
        <v>#NUM!</v>
      </c>
      <c r="BP48" s="291"/>
      <c r="BQ48" s="292" t="e">
        <f t="array" aca="1" ref="BQ48" ca="1">VLOOKUP($B48,KOMBI!$A:$ADS,MATCH(Tulem!BQ$3,KOMBI!$A$1:$ADS$1,0),FALSE)</f>
        <v>#NUM!</v>
      </c>
      <c r="BR48" s="292" t="e">
        <f t="array" aca="1" ref="BR48" ca="1">VLOOKUP($B48,KOMBI!$A:$ADS,MATCH(Tulem!BR$3,KOMBI!$A$1:$ADS$1,0),FALSE)</f>
        <v>#NUM!</v>
      </c>
      <c r="BS48" s="292" t="e">
        <f t="array" aca="1" ref="BS48" ca="1">VLOOKUP($B48,KOMBI!$A:$ADS,MATCH(Tulem!BS$3,KOMBI!$A$1:$ADS$1,0),FALSE)</f>
        <v>#NUM!</v>
      </c>
      <c r="BT48" s="292" t="e">
        <f t="array" aca="1" ref="BT48" ca="1">VLOOKUP($B48,KOMBI!$A:$ADS,MATCH(Tulem!BT$3,KOMBI!$A$1:$ADS$1,0),FALSE)</f>
        <v>#NUM!</v>
      </c>
      <c r="BU48" s="292" t="e">
        <f t="array" aca="1" ref="BU48" ca="1">VLOOKUP($B48,KOMBI!$A:$ADS,MATCH(Tulem!BU$3,KOMBI!$A$1:$ADS$1,0),FALSE)</f>
        <v>#NUM!</v>
      </c>
      <c r="BV48" s="291"/>
      <c r="BW48" s="292" t="e">
        <f t="array" aca="1" ref="BW48" ca="1">VLOOKUP($B48,KOMBI!$A:$ADS,MATCH(Tulem!BW$3,KOMBI!$A$1:$ADS$1,0),FALSE)</f>
        <v>#NUM!</v>
      </c>
      <c r="BX48" s="291"/>
      <c r="BY48" s="291"/>
      <c r="BZ48" s="292" t="e">
        <f t="array" aca="1" ref="BZ48" ca="1">VLOOKUP($B48,KOMBI!$A:$ADS,MATCH(Tulem!BZ$3,KOMBI!$A$1:$ADS$1,0),FALSE)</f>
        <v>#NUM!</v>
      </c>
      <c r="CA48" s="292" t="e">
        <f t="array" aca="1" ref="CA48" ca="1">VLOOKUP($B48,KOMBI!$A:$ADS,MATCH(Tulem!CA$3,KOMBI!$A$1:$ADS$1,0),FALSE)</f>
        <v>#NUM!</v>
      </c>
      <c r="CB48" s="292" t="e">
        <f t="array" aca="1" ref="CB48" ca="1">VLOOKUP($B48,KOMBI!$A:$ADS,MATCH(Tulem!CB$3,KOMBI!$A$1:$ADS$1,0),FALSE)</f>
        <v>#NUM!</v>
      </c>
      <c r="CC48" s="292" t="e">
        <f t="array" aca="1" ref="CC48" ca="1">VLOOKUP($B48,KOMBI!$A:$ADS,MATCH(Tulem!CC$3,KOMBI!$A$1:$ADS$1,0),FALSE)</f>
        <v>#NUM!</v>
      </c>
      <c r="CD48" s="292" t="e">
        <f t="array" aca="1" ref="CD48" ca="1">VLOOKUP($B48,KOMBI!$A:$ADS,MATCH(Tulem!CD$3,KOMBI!$A$1:$ADS$1,0),FALSE)</f>
        <v>#NUM!</v>
      </c>
      <c r="CF48" s="51" t="e">
        <f ca="1">VLOOKUP($B48,KOMBI!$A:$ACG,MATCH(CF$5,KOMBI!$10:$10,0),FALSE)</f>
        <v>#NUM!</v>
      </c>
    </row>
    <row r="49" spans="1:84" x14ac:dyDescent="0.2">
      <c r="A49" s="51">
        <v>44</v>
      </c>
      <c r="B49" s="51" t="e">
        <f ca="1">KOMBI!GI54</f>
        <v>#NUM!</v>
      </c>
      <c r="C49" s="51">
        <f t="shared" si="0"/>
        <v>44</v>
      </c>
      <c r="D49" s="290" t="e">
        <f ca="1">VLOOKUP(VLOOKUP($B49,KOMBI!$A:$H,3,FALSE),data!$I$27:$J$29,2,FALSE)</f>
        <v>#NUM!</v>
      </c>
      <c r="E49" s="290" t="e">
        <f ca="1">VLOOKUP(VLOOKUP($B49,KOMBI!$A:$H,2,FALSE),data!$I$21:$J$23,2,FALSE)</f>
        <v>#NUM!</v>
      </c>
      <c r="F49" s="290" t="e">
        <f ca="1">VLOOKUP(VLOOKUP($B49,KOMBI!$A:$H,5,FALSE),data!$I$39:$J$41,2,FALSE)</f>
        <v>#NUM!</v>
      </c>
      <c r="G49" s="290" t="e">
        <f ca="1">VLOOKUP(VLOOKUP($B49,KOMBI!$A:$H,4,FALSE),data!$I$32:$J$36,2,FALSE)</f>
        <v>#NUM!</v>
      </c>
      <c r="I49" s="51" t="e">
        <f ca="1">VLOOKUP($B49,KOMBI!$A:$Z,MATCH(I$5,KOMBI!$10:$10,0),FALSE)</f>
        <v>#NUM!</v>
      </c>
      <c r="J49" s="291" t="e">
        <f ca="1">VLOOKUP($B49,KOMBI!$A:$ADS,J$3,FALSE)</f>
        <v>#NUM!</v>
      </c>
      <c r="K49" s="291" t="e">
        <f ca="1">VLOOKUP($B49,KOMBI!$A:$ADS,K$3,FALSE)</f>
        <v>#NUM!</v>
      </c>
      <c r="L49" s="291" t="e">
        <f ca="1">VLOOKUP($B49,KOMBI!$A:$ADS,L$3,FALSE)</f>
        <v>#NUM!</v>
      </c>
      <c r="M49" s="291" t="e">
        <f ca="1">VLOOKUP($B49,KOMBI!$A:$ADS,M$3,FALSE)</f>
        <v>#NUM!</v>
      </c>
      <c r="N49" s="291" t="e">
        <f ca="1">VLOOKUP($B49,KOMBI!$A:$ADS,N$3,FALSE)</f>
        <v>#NUM!</v>
      </c>
      <c r="O49" s="291" t="e">
        <f ca="1">VLOOKUP($B49,KOMBI!$A:$ADS,O$3,FALSE)</f>
        <v>#NUM!</v>
      </c>
      <c r="P49" s="291" t="e">
        <f ca="1">VLOOKUP($B49,KOMBI!$A:$ADS,P$3,FALSE)</f>
        <v>#NUM!</v>
      </c>
      <c r="Q49" s="292" t="e">
        <f t="array" aca="1" ref="Q49" ca="1">VLOOKUP($B49,KOMBI!$A:$ADS,MATCH(Tulem!Q$3,KOMBI!$A$1:$ADS$1,0),FALSE)</f>
        <v>#NUM!</v>
      </c>
      <c r="S49" s="332" t="e">
        <f t="array" aca="1" ref="S49" ca="1">VLOOKUP($B49,KOMBI!$A:$ADS,MATCH(Tulem!S$3,KOMBI!$A$1:$ADS$1,0),FALSE)</f>
        <v>#NUM!</v>
      </c>
      <c r="T49" s="293" t="e">
        <f ca="1">VLOOKUP($B49,KOMBI!$A:$ADS,T$3,FALSE)</f>
        <v>#NUM!</v>
      </c>
      <c r="U49" s="293" t="e">
        <f ca="1">VLOOKUP($B49,KOMBI!$A:$ADS,U$3,FALSE)</f>
        <v>#NUM!</v>
      </c>
      <c r="V49" s="293" t="e">
        <f ca="1">VLOOKUP($B49,KOMBI!$A:$ADS,V$3,FALSE)</f>
        <v>#NUM!</v>
      </c>
      <c r="W49" s="293"/>
      <c r="X49" s="293" t="e">
        <f ca="1">VLOOKUP($B49,KOMBI!$A:$ADS,X$3,FALSE)</f>
        <v>#NUM!</v>
      </c>
      <c r="Y49" s="293" t="e">
        <f ca="1">VLOOKUP($B49,KOMBI!$A:$ADS,Y$3,FALSE)</f>
        <v>#NUM!</v>
      </c>
      <c r="Z49" s="293" t="e">
        <f ca="1">VLOOKUP($B49,KOMBI!$A:$ADS,Z$3,FALSE)</f>
        <v>#NUM!</v>
      </c>
      <c r="AA49" s="294"/>
      <c r="AB49" s="293" t="e">
        <f ca="1">VLOOKUP($B49,KOMBI!$A:$ADS,AB$3,FALSE)</f>
        <v>#NUM!</v>
      </c>
      <c r="AC49" s="293" t="e">
        <f ca="1">VLOOKUP($B49,KOMBI!$A:$ADS,AC$3,FALSE)-AB49</f>
        <v>#NUM!</v>
      </c>
      <c r="AD49" s="293" t="e">
        <f ca="1">VLOOKUP($B49,KOMBI!$A:$ADS,AD$3,FALSE)</f>
        <v>#NUM!</v>
      </c>
      <c r="AE49" s="293" t="e">
        <f ca="1">VLOOKUP($B49,KOMBI!$A:$ADS,AE$3,FALSE)</f>
        <v>#NUM!</v>
      </c>
      <c r="AF49" s="293" t="e">
        <f ca="1">VLOOKUP($B49,KOMBI!$A:$ADS,AF$3,FALSE)-AE49</f>
        <v>#NUM!</v>
      </c>
      <c r="AG49" s="293" t="e">
        <f ca="1">VLOOKUP($B49,KOMBI!$A:$ADS,AG$3,FALSE)</f>
        <v>#NUM!</v>
      </c>
      <c r="AI49" s="293" t="e">
        <f t="array" aca="1" ref="AI49" ca="1">VLOOKUP($B49,KOMBI!$A:$ADS,MATCH(Tulem!AI$3,KOMBI!$A$1:$ADS$1,0),FALSE)</f>
        <v>#NUM!</v>
      </c>
      <c r="AJ49" s="293" t="e">
        <f t="array" aca="1" ref="AJ49" ca="1">VLOOKUP($B49,KOMBI!$A:$ADS,MATCH(Tulem!AJ$3,KOMBI!$A$1:$ADS$1,0),FALSE)</f>
        <v>#NUM!</v>
      </c>
      <c r="AK49" s="293" t="e">
        <f t="array" aca="1" ref="AK49" ca="1">VLOOKUP($B49,KOMBI!$A:$ADS,MATCH(Tulem!AK$3,KOMBI!$A$1:$ADS$1,0),FALSE)</f>
        <v>#NUM!</v>
      </c>
      <c r="AL49" s="293" t="e">
        <f t="array" aca="1" ref="AL49" ca="1">VLOOKUP($B49,KOMBI!$A:$ADS,MATCH(Tulem!AL$3,KOMBI!$A$1:$ADS$1,0),FALSE)</f>
        <v>#NUM!</v>
      </c>
      <c r="AM49" s="293" t="e">
        <f t="array" aca="1" ref="AM49" ca="1">VLOOKUP($B49,KOMBI!$A:$ADS,MATCH(Tulem!AM$3,KOMBI!$A$1:$ADS$1,0),FALSE)</f>
        <v>#NUM!</v>
      </c>
      <c r="AN49" s="293" t="e">
        <f t="array" aca="1" ref="AN49" ca="1">VLOOKUP($B49,KOMBI!$A:$ADS,MATCH(Tulem!AN$3,KOMBI!$A$1:$ADS$1,0),FALSE)</f>
        <v>#NUM!</v>
      </c>
      <c r="AO49" s="293" t="e">
        <f t="array" aca="1" ref="AO49" ca="1">VLOOKUP($B49,KOMBI!$A:$ADS,MATCH(Tulem!AO$3,KOMBI!$A$1:$ADS$1,0),FALSE)</f>
        <v>#NUM!</v>
      </c>
      <c r="AP49" s="293" t="e">
        <f t="array" aca="1" ref="AP49" ca="1">VLOOKUP($B49,KOMBI!$A:$ADS,MATCH(Tulem!AP$3,KOMBI!$A$1:$ADS$1,0),FALSE)</f>
        <v>#NUM!</v>
      </c>
      <c r="AQ49" s="293" t="e">
        <f t="array" aca="1" ref="AQ49" ca="1">VLOOKUP($B49,KOMBI!$A:$ADS,MATCH(Tulem!AQ$3,KOMBI!$A$1:$ADS$1,0),FALSE)</f>
        <v>#NUM!</v>
      </c>
      <c r="AR49" s="293" t="e">
        <f t="array" aca="1" ref="AR49" ca="1">VLOOKUP($B49,KOMBI!$A:$ADS,MATCH(Tulem!AR$3,KOMBI!$A$1:$ADS$1,0),FALSE)</f>
        <v>#NUM!</v>
      </c>
      <c r="AS49" s="293" t="e">
        <f t="array" aca="1" ref="AS49" ca="1">VLOOKUP($B49,KOMBI!$A:$ADS,MATCH(Tulem!AS$3,KOMBI!$A$1:$ADS$1,0),FALSE)</f>
        <v>#NUM!</v>
      </c>
      <c r="AT49" s="293" t="e">
        <f t="array" aca="1" ref="AT49" ca="1">VLOOKUP($B49,KOMBI!$A:$ADS,MATCH(Tulem!AT$3,KOMBI!$A$1:$ADS$1,0),FALSE)</f>
        <v>#NUM!</v>
      </c>
      <c r="AU49" s="293" t="e">
        <f t="array" aca="1" ref="AU49" ca="1">VLOOKUP($B49,KOMBI!$A:$ADS,MATCH(Tulem!AU$3,KOMBI!$A$1:$ADS$1,0),FALSE)</f>
        <v>#NUM!</v>
      </c>
      <c r="AV49" s="293" t="e">
        <f t="shared" ca="1" si="1"/>
        <v>#NUM!</v>
      </c>
      <c r="AW49" s="293" t="e">
        <f t="shared" ca="1" si="2"/>
        <v>#NUM!</v>
      </c>
      <c r="AX49" s="291" t="e">
        <f ca="1">VLOOKUP($B49,KOMBI!$A:$ACA,MATCH(AX$5,KOMBI!$10:$10,0),FALSE)</f>
        <v>#NUM!</v>
      </c>
      <c r="AY49" s="292" t="e">
        <f t="array" aca="1" ref="AY49" ca="1">VLOOKUP($B49,KOMBI!$A:$ADS,MATCH(Tulem!AY$3,KOMBI!$A$1:$ADS$1,0),FALSE)</f>
        <v>#NUM!</v>
      </c>
      <c r="AZ49" s="292" t="e">
        <f t="array" aca="1" ref="AZ49" ca="1">VLOOKUP($B49,KOMBI!$A:$ADS,MATCH(Tulem!AZ$3,KOMBI!$A$1:$ADS$1,0),FALSE)</f>
        <v>#NUM!</v>
      </c>
      <c r="BA49" s="292" t="e">
        <f t="array" aca="1" ref="BA49" ca="1">VLOOKUP($B49,KOMBI!$A:$ADS,MATCH(Tulem!BA$3,KOMBI!$A$1:$ADS$1,0),FALSE)</f>
        <v>#NUM!</v>
      </c>
      <c r="BB49" s="292" t="e">
        <f t="array" aca="1" ref="BB49" ca="1">VLOOKUP($B49,KOMBI!$A:$ADS,MATCH(Tulem!BB$3,KOMBI!$A$1:$ADS$1,0),FALSE)</f>
        <v>#NUM!</v>
      </c>
      <c r="BC49" s="292" t="e">
        <f t="array" aca="1" ref="BC49" ca="1">VLOOKUP($B49,KOMBI!$A:$ADS,MATCH(Tulem!BC$3,KOMBI!$A$1:$ADS$1,0),FALSE)</f>
        <v>#NUM!</v>
      </c>
      <c r="BD49" s="292" t="e">
        <f t="array" aca="1" ref="BD49" ca="1">VLOOKUP($B49,KOMBI!$A:$ADS,MATCH(Tulem!BD$3,KOMBI!$A$1:$ADS$1,0),FALSE)</f>
        <v>#NUM!</v>
      </c>
      <c r="BE49" s="292" t="e">
        <f t="array" aca="1" ref="BE49" ca="1">VLOOKUP($B49,KOMBI!$A:$ADS,MATCH(Tulem!BE$3,KOMBI!$A$1:$ADS$1,0),FALSE)</f>
        <v>#NUM!</v>
      </c>
      <c r="BF49" s="292" t="e">
        <f t="array" aca="1" ref="BF49" ca="1">VLOOKUP($B49,KOMBI!$A:$ADS,MATCH(Tulem!BF$3,KOMBI!$A$1:$ADS$1,0),FALSE)</f>
        <v>#NUM!</v>
      </c>
      <c r="BG49" s="292" t="e">
        <f t="array" aca="1" ref="BG49" ca="1">VLOOKUP($B49,KOMBI!$A:$ADS,MATCH(Tulem!BG$3,KOMBI!$A$1:$ADS$1,0),FALSE)</f>
        <v>#NUM!</v>
      </c>
      <c r="BH49" s="292" t="e">
        <f t="array" aca="1" ref="BH49" ca="1">VLOOKUP($B49,KOMBI!$A:$ADS,MATCH(Tulem!BH$3,KOMBI!$A$1:$ADS$1,0),FALSE)</f>
        <v>#NUM!</v>
      </c>
      <c r="BI49" s="292" t="e">
        <f t="array" aca="1" ref="BI49" ca="1">VLOOKUP($B49,KOMBI!$A:$ADS,MATCH(Tulem!BI$3,KOMBI!$A$1:$ADS$1,0),FALSE)</f>
        <v>#NUM!</v>
      </c>
      <c r="BJ49" s="292" t="e">
        <f t="array" aca="1" ref="BJ49" ca="1">VLOOKUP($B49,KOMBI!$A:$ADS,MATCH(Tulem!BJ$3,KOMBI!$A$1:$ADS$1,0),FALSE)</f>
        <v>#NUM!</v>
      </c>
      <c r="BK49" s="292" t="e">
        <f t="array" aca="1" ref="BK49" ca="1">VLOOKUP($B49,KOMBI!$A:$ADS,MATCH(Tulem!BK$3,KOMBI!$A$1:$ADS$1,0),FALSE)</f>
        <v>#NUM!</v>
      </c>
      <c r="BL49" s="292" t="e">
        <f t="array" aca="1" ref="BL49" ca="1">VLOOKUP($B49,KOMBI!$A:$ADS,MATCH(Tulem!BL$3,KOMBI!$A$1:$ADS$1,0),FALSE)</f>
        <v>#NUM!</v>
      </c>
      <c r="BM49" s="292" t="e">
        <f t="array" aca="1" ref="BM49" ca="1">VLOOKUP($B49,KOMBI!$A:$ADS,MATCH(Tulem!BM$3,KOMBI!$A$1:$ADS$1,0),FALSE)</f>
        <v>#NUM!</v>
      </c>
      <c r="BN49" s="292" t="e">
        <f t="array" aca="1" ref="BN49" ca="1">VLOOKUP($B49,KOMBI!$A:$ADS,MATCH(Tulem!BN$3,KOMBI!$A$1:$ADS$1,0),FALSE)</f>
        <v>#NUM!</v>
      </c>
      <c r="BO49" s="292" t="e">
        <f t="array" aca="1" ref="BO49" ca="1">VLOOKUP($B49,KOMBI!$A:$ADS,MATCH(Tulem!BO$3,KOMBI!$A$1:$ADS$1,0),FALSE)</f>
        <v>#NUM!</v>
      </c>
      <c r="BP49" s="291"/>
      <c r="BQ49" s="292" t="e">
        <f t="array" aca="1" ref="BQ49" ca="1">VLOOKUP($B49,KOMBI!$A:$ADS,MATCH(Tulem!BQ$3,KOMBI!$A$1:$ADS$1,0),FALSE)</f>
        <v>#NUM!</v>
      </c>
      <c r="BR49" s="292" t="e">
        <f t="array" aca="1" ref="BR49" ca="1">VLOOKUP($B49,KOMBI!$A:$ADS,MATCH(Tulem!BR$3,KOMBI!$A$1:$ADS$1,0),FALSE)</f>
        <v>#NUM!</v>
      </c>
      <c r="BS49" s="292" t="e">
        <f t="array" aca="1" ref="BS49" ca="1">VLOOKUP($B49,KOMBI!$A:$ADS,MATCH(Tulem!BS$3,KOMBI!$A$1:$ADS$1,0),FALSE)</f>
        <v>#NUM!</v>
      </c>
      <c r="BT49" s="292" t="e">
        <f t="array" aca="1" ref="BT49" ca="1">VLOOKUP($B49,KOMBI!$A:$ADS,MATCH(Tulem!BT$3,KOMBI!$A$1:$ADS$1,0),FALSE)</f>
        <v>#NUM!</v>
      </c>
      <c r="BU49" s="292" t="e">
        <f t="array" aca="1" ref="BU49" ca="1">VLOOKUP($B49,KOMBI!$A:$ADS,MATCH(Tulem!BU$3,KOMBI!$A$1:$ADS$1,0),FALSE)</f>
        <v>#NUM!</v>
      </c>
      <c r="BV49" s="291"/>
      <c r="BW49" s="292" t="e">
        <f t="array" aca="1" ref="BW49" ca="1">VLOOKUP($B49,KOMBI!$A:$ADS,MATCH(Tulem!BW$3,KOMBI!$A$1:$ADS$1,0),FALSE)</f>
        <v>#NUM!</v>
      </c>
      <c r="BX49" s="291"/>
      <c r="BY49" s="291"/>
      <c r="BZ49" s="292" t="e">
        <f t="array" aca="1" ref="BZ49" ca="1">VLOOKUP($B49,KOMBI!$A:$ADS,MATCH(Tulem!BZ$3,KOMBI!$A$1:$ADS$1,0),FALSE)</f>
        <v>#NUM!</v>
      </c>
      <c r="CA49" s="292" t="e">
        <f t="array" aca="1" ref="CA49" ca="1">VLOOKUP($B49,KOMBI!$A:$ADS,MATCH(Tulem!CA$3,KOMBI!$A$1:$ADS$1,0),FALSE)</f>
        <v>#NUM!</v>
      </c>
      <c r="CB49" s="292" t="e">
        <f t="array" aca="1" ref="CB49" ca="1">VLOOKUP($B49,KOMBI!$A:$ADS,MATCH(Tulem!CB$3,KOMBI!$A$1:$ADS$1,0),FALSE)</f>
        <v>#NUM!</v>
      </c>
      <c r="CC49" s="292" t="e">
        <f t="array" aca="1" ref="CC49" ca="1">VLOOKUP($B49,KOMBI!$A:$ADS,MATCH(Tulem!CC$3,KOMBI!$A$1:$ADS$1,0),FALSE)</f>
        <v>#NUM!</v>
      </c>
      <c r="CD49" s="292" t="e">
        <f t="array" aca="1" ref="CD49" ca="1">VLOOKUP($B49,KOMBI!$A:$ADS,MATCH(Tulem!CD$3,KOMBI!$A$1:$ADS$1,0),FALSE)</f>
        <v>#NUM!</v>
      </c>
      <c r="CF49" s="51" t="e">
        <f ca="1">VLOOKUP($B49,KOMBI!$A:$ACG,MATCH(CF$5,KOMBI!$10:$10,0),FALSE)</f>
        <v>#NUM!</v>
      </c>
    </row>
    <row r="50" spans="1:84" x14ac:dyDescent="0.2">
      <c r="A50" s="51">
        <v>45</v>
      </c>
      <c r="B50" s="51" t="e">
        <f ca="1">KOMBI!GI55</f>
        <v>#NUM!</v>
      </c>
      <c r="C50" s="51">
        <f t="shared" si="0"/>
        <v>45</v>
      </c>
      <c r="D50" s="290" t="e">
        <f ca="1">VLOOKUP(VLOOKUP($B50,KOMBI!$A:$H,3,FALSE),data!$I$27:$J$29,2,FALSE)</f>
        <v>#NUM!</v>
      </c>
      <c r="E50" s="290" t="e">
        <f ca="1">VLOOKUP(VLOOKUP($B50,KOMBI!$A:$H,2,FALSE),data!$I$21:$J$23,2,FALSE)</f>
        <v>#NUM!</v>
      </c>
      <c r="F50" s="290" t="e">
        <f ca="1">VLOOKUP(VLOOKUP($B50,KOMBI!$A:$H,5,FALSE),data!$I$39:$J$41,2,FALSE)</f>
        <v>#NUM!</v>
      </c>
      <c r="G50" s="290" t="e">
        <f ca="1">VLOOKUP(VLOOKUP($B50,KOMBI!$A:$H,4,FALSE),data!$I$32:$J$36,2,FALSE)</f>
        <v>#NUM!</v>
      </c>
      <c r="I50" s="51" t="e">
        <f ca="1">VLOOKUP($B50,KOMBI!$A:$Z,MATCH(I$5,KOMBI!$10:$10,0),FALSE)</f>
        <v>#NUM!</v>
      </c>
      <c r="J50" s="291" t="e">
        <f ca="1">VLOOKUP($B50,KOMBI!$A:$ADS,J$3,FALSE)</f>
        <v>#NUM!</v>
      </c>
      <c r="K50" s="291" t="e">
        <f ca="1">VLOOKUP($B50,KOMBI!$A:$ADS,K$3,FALSE)</f>
        <v>#NUM!</v>
      </c>
      <c r="L50" s="291" t="e">
        <f ca="1">VLOOKUP($B50,KOMBI!$A:$ADS,L$3,FALSE)</f>
        <v>#NUM!</v>
      </c>
      <c r="M50" s="291" t="e">
        <f ca="1">VLOOKUP($B50,KOMBI!$A:$ADS,M$3,FALSE)</f>
        <v>#NUM!</v>
      </c>
      <c r="N50" s="291" t="e">
        <f ca="1">VLOOKUP($B50,KOMBI!$A:$ADS,N$3,FALSE)</f>
        <v>#NUM!</v>
      </c>
      <c r="O50" s="291" t="e">
        <f ca="1">VLOOKUP($B50,KOMBI!$A:$ADS,O$3,FALSE)</f>
        <v>#NUM!</v>
      </c>
      <c r="P50" s="291" t="e">
        <f ca="1">VLOOKUP($B50,KOMBI!$A:$ADS,P$3,FALSE)</f>
        <v>#NUM!</v>
      </c>
      <c r="Q50" s="292" t="e">
        <f t="array" aca="1" ref="Q50" ca="1">VLOOKUP($B50,KOMBI!$A:$ADS,MATCH(Tulem!Q$3,KOMBI!$A$1:$ADS$1,0),FALSE)</f>
        <v>#NUM!</v>
      </c>
      <c r="S50" s="332" t="e">
        <f t="array" aca="1" ref="S50" ca="1">VLOOKUP($B50,KOMBI!$A:$ADS,MATCH(Tulem!S$3,KOMBI!$A$1:$ADS$1,0),FALSE)</f>
        <v>#NUM!</v>
      </c>
      <c r="T50" s="293" t="e">
        <f ca="1">VLOOKUP($B50,KOMBI!$A:$ADS,T$3,FALSE)</f>
        <v>#NUM!</v>
      </c>
      <c r="U50" s="293" t="e">
        <f ca="1">VLOOKUP($B50,KOMBI!$A:$ADS,U$3,FALSE)</f>
        <v>#NUM!</v>
      </c>
      <c r="V50" s="293" t="e">
        <f ca="1">VLOOKUP($B50,KOMBI!$A:$ADS,V$3,FALSE)</f>
        <v>#NUM!</v>
      </c>
      <c r="W50" s="293"/>
      <c r="X50" s="293" t="e">
        <f ca="1">VLOOKUP($B50,KOMBI!$A:$ADS,X$3,FALSE)</f>
        <v>#NUM!</v>
      </c>
      <c r="Y50" s="293" t="e">
        <f ca="1">VLOOKUP($B50,KOMBI!$A:$ADS,Y$3,FALSE)</f>
        <v>#NUM!</v>
      </c>
      <c r="Z50" s="293" t="e">
        <f ca="1">VLOOKUP($B50,KOMBI!$A:$ADS,Z$3,FALSE)</f>
        <v>#NUM!</v>
      </c>
      <c r="AA50" s="294"/>
      <c r="AB50" s="293" t="e">
        <f ca="1">VLOOKUP($B50,KOMBI!$A:$ADS,AB$3,FALSE)</f>
        <v>#NUM!</v>
      </c>
      <c r="AC50" s="293" t="e">
        <f ca="1">VLOOKUP($B50,KOMBI!$A:$ADS,AC$3,FALSE)-AB50</f>
        <v>#NUM!</v>
      </c>
      <c r="AD50" s="293" t="e">
        <f ca="1">VLOOKUP($B50,KOMBI!$A:$ADS,AD$3,FALSE)</f>
        <v>#NUM!</v>
      </c>
      <c r="AE50" s="293" t="e">
        <f ca="1">VLOOKUP($B50,KOMBI!$A:$ADS,AE$3,FALSE)</f>
        <v>#NUM!</v>
      </c>
      <c r="AF50" s="293" t="e">
        <f ca="1">VLOOKUP($B50,KOMBI!$A:$ADS,AF$3,FALSE)-AE50</f>
        <v>#NUM!</v>
      </c>
      <c r="AG50" s="293" t="e">
        <f ca="1">VLOOKUP($B50,KOMBI!$A:$ADS,AG$3,FALSE)</f>
        <v>#NUM!</v>
      </c>
      <c r="AI50" s="293" t="e">
        <f t="array" aca="1" ref="AI50" ca="1">VLOOKUP($B50,KOMBI!$A:$ADS,MATCH(Tulem!AI$3,KOMBI!$A$1:$ADS$1,0),FALSE)</f>
        <v>#NUM!</v>
      </c>
      <c r="AJ50" s="293" t="e">
        <f t="array" aca="1" ref="AJ50" ca="1">VLOOKUP($B50,KOMBI!$A:$ADS,MATCH(Tulem!AJ$3,KOMBI!$A$1:$ADS$1,0),FALSE)</f>
        <v>#NUM!</v>
      </c>
      <c r="AK50" s="293" t="e">
        <f t="array" aca="1" ref="AK50" ca="1">VLOOKUP($B50,KOMBI!$A:$ADS,MATCH(Tulem!AK$3,KOMBI!$A$1:$ADS$1,0),FALSE)</f>
        <v>#NUM!</v>
      </c>
      <c r="AL50" s="293" t="e">
        <f t="array" aca="1" ref="AL50" ca="1">VLOOKUP($B50,KOMBI!$A:$ADS,MATCH(Tulem!AL$3,KOMBI!$A$1:$ADS$1,0),FALSE)</f>
        <v>#NUM!</v>
      </c>
      <c r="AM50" s="293" t="e">
        <f t="array" aca="1" ref="AM50" ca="1">VLOOKUP($B50,KOMBI!$A:$ADS,MATCH(Tulem!AM$3,KOMBI!$A$1:$ADS$1,0),FALSE)</f>
        <v>#NUM!</v>
      </c>
      <c r="AN50" s="293" t="e">
        <f t="array" aca="1" ref="AN50" ca="1">VLOOKUP($B50,KOMBI!$A:$ADS,MATCH(Tulem!AN$3,KOMBI!$A$1:$ADS$1,0),FALSE)</f>
        <v>#NUM!</v>
      </c>
      <c r="AO50" s="293" t="e">
        <f t="array" aca="1" ref="AO50" ca="1">VLOOKUP($B50,KOMBI!$A:$ADS,MATCH(Tulem!AO$3,KOMBI!$A$1:$ADS$1,0),FALSE)</f>
        <v>#NUM!</v>
      </c>
      <c r="AP50" s="293" t="e">
        <f t="array" aca="1" ref="AP50" ca="1">VLOOKUP($B50,KOMBI!$A:$ADS,MATCH(Tulem!AP$3,KOMBI!$A$1:$ADS$1,0),FALSE)</f>
        <v>#NUM!</v>
      </c>
      <c r="AQ50" s="293" t="e">
        <f t="array" aca="1" ref="AQ50" ca="1">VLOOKUP($B50,KOMBI!$A:$ADS,MATCH(Tulem!AQ$3,KOMBI!$A$1:$ADS$1,0),FALSE)</f>
        <v>#NUM!</v>
      </c>
      <c r="AR50" s="293" t="e">
        <f t="array" aca="1" ref="AR50" ca="1">VLOOKUP($B50,KOMBI!$A:$ADS,MATCH(Tulem!AR$3,KOMBI!$A$1:$ADS$1,0),FALSE)</f>
        <v>#NUM!</v>
      </c>
      <c r="AS50" s="293" t="e">
        <f t="array" aca="1" ref="AS50" ca="1">VLOOKUP($B50,KOMBI!$A:$ADS,MATCH(Tulem!AS$3,KOMBI!$A$1:$ADS$1,0),FALSE)</f>
        <v>#NUM!</v>
      </c>
      <c r="AT50" s="293" t="e">
        <f t="array" aca="1" ref="AT50" ca="1">VLOOKUP($B50,KOMBI!$A:$ADS,MATCH(Tulem!AT$3,KOMBI!$A$1:$ADS$1,0),FALSE)</f>
        <v>#NUM!</v>
      </c>
      <c r="AU50" s="293" t="e">
        <f t="array" aca="1" ref="AU50" ca="1">VLOOKUP($B50,KOMBI!$A:$ADS,MATCH(Tulem!AU$3,KOMBI!$A$1:$ADS$1,0),FALSE)</f>
        <v>#NUM!</v>
      </c>
      <c r="AV50" s="293" t="e">
        <f t="shared" ca="1" si="1"/>
        <v>#NUM!</v>
      </c>
      <c r="AW50" s="293" t="e">
        <f t="shared" ca="1" si="2"/>
        <v>#NUM!</v>
      </c>
      <c r="AX50" s="291" t="e">
        <f ca="1">VLOOKUP($B50,KOMBI!$A:$ACA,MATCH(AX$5,KOMBI!$10:$10,0),FALSE)</f>
        <v>#NUM!</v>
      </c>
      <c r="AY50" s="292" t="e">
        <f t="array" aca="1" ref="AY50" ca="1">VLOOKUP($B50,KOMBI!$A:$ADS,MATCH(Tulem!AY$3,KOMBI!$A$1:$ADS$1,0),FALSE)</f>
        <v>#NUM!</v>
      </c>
      <c r="AZ50" s="292" t="e">
        <f t="array" aca="1" ref="AZ50" ca="1">VLOOKUP($B50,KOMBI!$A:$ADS,MATCH(Tulem!AZ$3,KOMBI!$A$1:$ADS$1,0),FALSE)</f>
        <v>#NUM!</v>
      </c>
      <c r="BA50" s="292" t="e">
        <f t="array" aca="1" ref="BA50" ca="1">VLOOKUP($B50,KOMBI!$A:$ADS,MATCH(Tulem!BA$3,KOMBI!$A$1:$ADS$1,0),FALSE)</f>
        <v>#NUM!</v>
      </c>
      <c r="BB50" s="292" t="e">
        <f t="array" aca="1" ref="BB50" ca="1">VLOOKUP($B50,KOMBI!$A:$ADS,MATCH(Tulem!BB$3,KOMBI!$A$1:$ADS$1,0),FALSE)</f>
        <v>#NUM!</v>
      </c>
      <c r="BC50" s="292" t="e">
        <f t="array" aca="1" ref="BC50" ca="1">VLOOKUP($B50,KOMBI!$A:$ADS,MATCH(Tulem!BC$3,KOMBI!$A$1:$ADS$1,0),FALSE)</f>
        <v>#NUM!</v>
      </c>
      <c r="BD50" s="292" t="e">
        <f t="array" aca="1" ref="BD50" ca="1">VLOOKUP($B50,KOMBI!$A:$ADS,MATCH(Tulem!BD$3,KOMBI!$A$1:$ADS$1,0),FALSE)</f>
        <v>#NUM!</v>
      </c>
      <c r="BE50" s="292" t="e">
        <f t="array" aca="1" ref="BE50" ca="1">VLOOKUP($B50,KOMBI!$A:$ADS,MATCH(Tulem!BE$3,KOMBI!$A$1:$ADS$1,0),FALSE)</f>
        <v>#NUM!</v>
      </c>
      <c r="BF50" s="292" t="e">
        <f t="array" aca="1" ref="BF50" ca="1">VLOOKUP($B50,KOMBI!$A:$ADS,MATCH(Tulem!BF$3,KOMBI!$A$1:$ADS$1,0),FALSE)</f>
        <v>#NUM!</v>
      </c>
      <c r="BG50" s="292" t="e">
        <f t="array" aca="1" ref="BG50" ca="1">VLOOKUP($B50,KOMBI!$A:$ADS,MATCH(Tulem!BG$3,KOMBI!$A$1:$ADS$1,0),FALSE)</f>
        <v>#NUM!</v>
      </c>
      <c r="BH50" s="292" t="e">
        <f t="array" aca="1" ref="BH50" ca="1">VLOOKUP($B50,KOMBI!$A:$ADS,MATCH(Tulem!BH$3,KOMBI!$A$1:$ADS$1,0),FALSE)</f>
        <v>#NUM!</v>
      </c>
      <c r="BI50" s="292" t="e">
        <f t="array" aca="1" ref="BI50" ca="1">VLOOKUP($B50,KOMBI!$A:$ADS,MATCH(Tulem!BI$3,KOMBI!$A$1:$ADS$1,0),FALSE)</f>
        <v>#NUM!</v>
      </c>
      <c r="BJ50" s="292" t="e">
        <f t="array" aca="1" ref="BJ50" ca="1">VLOOKUP($B50,KOMBI!$A:$ADS,MATCH(Tulem!BJ$3,KOMBI!$A$1:$ADS$1,0),FALSE)</f>
        <v>#NUM!</v>
      </c>
      <c r="BK50" s="292" t="e">
        <f t="array" aca="1" ref="BK50" ca="1">VLOOKUP($B50,KOMBI!$A:$ADS,MATCH(Tulem!BK$3,KOMBI!$A$1:$ADS$1,0),FALSE)</f>
        <v>#NUM!</v>
      </c>
      <c r="BL50" s="292" t="e">
        <f t="array" aca="1" ref="BL50" ca="1">VLOOKUP($B50,KOMBI!$A:$ADS,MATCH(Tulem!BL$3,KOMBI!$A$1:$ADS$1,0),FALSE)</f>
        <v>#NUM!</v>
      </c>
      <c r="BM50" s="292" t="e">
        <f t="array" aca="1" ref="BM50" ca="1">VLOOKUP($B50,KOMBI!$A:$ADS,MATCH(Tulem!BM$3,KOMBI!$A$1:$ADS$1,0),FALSE)</f>
        <v>#NUM!</v>
      </c>
      <c r="BN50" s="292" t="e">
        <f t="array" aca="1" ref="BN50" ca="1">VLOOKUP($B50,KOMBI!$A:$ADS,MATCH(Tulem!BN$3,KOMBI!$A$1:$ADS$1,0),FALSE)</f>
        <v>#NUM!</v>
      </c>
      <c r="BO50" s="292" t="e">
        <f t="array" aca="1" ref="BO50" ca="1">VLOOKUP($B50,KOMBI!$A:$ADS,MATCH(Tulem!BO$3,KOMBI!$A$1:$ADS$1,0),FALSE)</f>
        <v>#NUM!</v>
      </c>
      <c r="BP50" s="291"/>
      <c r="BQ50" s="292" t="e">
        <f t="array" aca="1" ref="BQ50" ca="1">VLOOKUP($B50,KOMBI!$A:$ADS,MATCH(Tulem!BQ$3,KOMBI!$A$1:$ADS$1,0),FALSE)</f>
        <v>#NUM!</v>
      </c>
      <c r="BR50" s="292" t="e">
        <f t="array" aca="1" ref="BR50" ca="1">VLOOKUP($B50,KOMBI!$A:$ADS,MATCH(Tulem!BR$3,KOMBI!$A$1:$ADS$1,0),FALSE)</f>
        <v>#NUM!</v>
      </c>
      <c r="BS50" s="292" t="e">
        <f t="array" aca="1" ref="BS50" ca="1">VLOOKUP($B50,KOMBI!$A:$ADS,MATCH(Tulem!BS$3,KOMBI!$A$1:$ADS$1,0),FALSE)</f>
        <v>#NUM!</v>
      </c>
      <c r="BT50" s="292" t="e">
        <f t="array" aca="1" ref="BT50" ca="1">VLOOKUP($B50,KOMBI!$A:$ADS,MATCH(Tulem!BT$3,KOMBI!$A$1:$ADS$1,0),FALSE)</f>
        <v>#NUM!</v>
      </c>
      <c r="BU50" s="292" t="e">
        <f t="array" aca="1" ref="BU50" ca="1">VLOOKUP($B50,KOMBI!$A:$ADS,MATCH(Tulem!BU$3,KOMBI!$A$1:$ADS$1,0),FALSE)</f>
        <v>#NUM!</v>
      </c>
      <c r="BV50" s="291"/>
      <c r="BW50" s="292" t="e">
        <f t="array" aca="1" ref="BW50" ca="1">VLOOKUP($B50,KOMBI!$A:$ADS,MATCH(Tulem!BW$3,KOMBI!$A$1:$ADS$1,0),FALSE)</f>
        <v>#NUM!</v>
      </c>
      <c r="BX50" s="291"/>
      <c r="BY50" s="291"/>
      <c r="BZ50" s="292" t="e">
        <f t="array" aca="1" ref="BZ50" ca="1">VLOOKUP($B50,KOMBI!$A:$ADS,MATCH(Tulem!BZ$3,KOMBI!$A$1:$ADS$1,0),FALSE)</f>
        <v>#NUM!</v>
      </c>
      <c r="CA50" s="292" t="e">
        <f t="array" aca="1" ref="CA50" ca="1">VLOOKUP($B50,KOMBI!$A:$ADS,MATCH(Tulem!CA$3,KOMBI!$A$1:$ADS$1,0),FALSE)</f>
        <v>#NUM!</v>
      </c>
      <c r="CB50" s="292" t="e">
        <f t="array" aca="1" ref="CB50" ca="1">VLOOKUP($B50,KOMBI!$A:$ADS,MATCH(Tulem!CB$3,KOMBI!$A$1:$ADS$1,0),FALSE)</f>
        <v>#NUM!</v>
      </c>
      <c r="CC50" s="292" t="e">
        <f t="array" aca="1" ref="CC50" ca="1">VLOOKUP($B50,KOMBI!$A:$ADS,MATCH(Tulem!CC$3,KOMBI!$A$1:$ADS$1,0),FALSE)</f>
        <v>#NUM!</v>
      </c>
      <c r="CD50" s="292" t="e">
        <f t="array" aca="1" ref="CD50" ca="1">VLOOKUP($B50,KOMBI!$A:$ADS,MATCH(Tulem!CD$3,KOMBI!$A$1:$ADS$1,0),FALSE)</f>
        <v>#NUM!</v>
      </c>
      <c r="CF50" s="51" t="e">
        <f ca="1">VLOOKUP($B50,KOMBI!$A:$ACG,MATCH(CF$5,KOMBI!$10:$10,0),FALSE)</f>
        <v>#NUM!</v>
      </c>
    </row>
    <row r="51" spans="1:84" x14ac:dyDescent="0.2">
      <c r="A51" s="51">
        <v>46</v>
      </c>
      <c r="B51" s="51" t="e">
        <f ca="1">KOMBI!GI56</f>
        <v>#NUM!</v>
      </c>
      <c r="C51" s="51">
        <f t="shared" si="0"/>
        <v>46</v>
      </c>
      <c r="D51" s="290" t="e">
        <f ca="1">VLOOKUP(VLOOKUP($B51,KOMBI!$A:$H,3,FALSE),data!$I$27:$J$29,2,FALSE)</f>
        <v>#NUM!</v>
      </c>
      <c r="E51" s="290" t="e">
        <f ca="1">VLOOKUP(VLOOKUP($B51,KOMBI!$A:$H,2,FALSE),data!$I$21:$J$23,2,FALSE)</f>
        <v>#NUM!</v>
      </c>
      <c r="F51" s="290" t="e">
        <f ca="1">VLOOKUP(VLOOKUP($B51,KOMBI!$A:$H,5,FALSE),data!$I$39:$J$41,2,FALSE)</f>
        <v>#NUM!</v>
      </c>
      <c r="G51" s="290" t="e">
        <f ca="1">VLOOKUP(VLOOKUP($B51,KOMBI!$A:$H,4,FALSE),data!$I$32:$J$36,2,FALSE)</f>
        <v>#NUM!</v>
      </c>
      <c r="I51" s="51" t="e">
        <f ca="1">VLOOKUP($B51,KOMBI!$A:$Z,MATCH(I$5,KOMBI!$10:$10,0),FALSE)</f>
        <v>#NUM!</v>
      </c>
      <c r="J51" s="291" t="e">
        <f ca="1">VLOOKUP($B51,KOMBI!$A:$ADS,J$3,FALSE)</f>
        <v>#NUM!</v>
      </c>
      <c r="K51" s="291" t="e">
        <f ca="1">VLOOKUP($B51,KOMBI!$A:$ADS,K$3,FALSE)</f>
        <v>#NUM!</v>
      </c>
      <c r="L51" s="291" t="e">
        <f ca="1">VLOOKUP($B51,KOMBI!$A:$ADS,L$3,FALSE)</f>
        <v>#NUM!</v>
      </c>
      <c r="M51" s="291" t="e">
        <f ca="1">VLOOKUP($B51,KOMBI!$A:$ADS,M$3,FALSE)</f>
        <v>#NUM!</v>
      </c>
      <c r="N51" s="291" t="e">
        <f ca="1">VLOOKUP($B51,KOMBI!$A:$ADS,N$3,FALSE)</f>
        <v>#NUM!</v>
      </c>
      <c r="O51" s="291" t="e">
        <f ca="1">VLOOKUP($B51,KOMBI!$A:$ADS,O$3,FALSE)</f>
        <v>#NUM!</v>
      </c>
      <c r="P51" s="291" t="e">
        <f ca="1">VLOOKUP($B51,KOMBI!$A:$ADS,P$3,FALSE)</f>
        <v>#NUM!</v>
      </c>
      <c r="Q51" s="292" t="e">
        <f t="array" aca="1" ref="Q51" ca="1">VLOOKUP($B51,KOMBI!$A:$ADS,MATCH(Tulem!Q$3,KOMBI!$A$1:$ADS$1,0),FALSE)</f>
        <v>#NUM!</v>
      </c>
      <c r="S51" s="332" t="e">
        <f t="array" aca="1" ref="S51" ca="1">VLOOKUP($B51,KOMBI!$A:$ADS,MATCH(Tulem!S$3,KOMBI!$A$1:$ADS$1,0),FALSE)</f>
        <v>#NUM!</v>
      </c>
      <c r="T51" s="293" t="e">
        <f ca="1">VLOOKUP($B51,KOMBI!$A:$ADS,T$3,FALSE)</f>
        <v>#NUM!</v>
      </c>
      <c r="U51" s="293" t="e">
        <f ca="1">VLOOKUP($B51,KOMBI!$A:$ADS,U$3,FALSE)</f>
        <v>#NUM!</v>
      </c>
      <c r="V51" s="293" t="e">
        <f ca="1">VLOOKUP($B51,KOMBI!$A:$ADS,V$3,FALSE)</f>
        <v>#NUM!</v>
      </c>
      <c r="W51" s="293"/>
      <c r="X51" s="293" t="e">
        <f ca="1">VLOOKUP($B51,KOMBI!$A:$ADS,X$3,FALSE)</f>
        <v>#NUM!</v>
      </c>
      <c r="Y51" s="293" t="e">
        <f ca="1">VLOOKUP($B51,KOMBI!$A:$ADS,Y$3,FALSE)</f>
        <v>#NUM!</v>
      </c>
      <c r="Z51" s="293" t="e">
        <f ca="1">VLOOKUP($B51,KOMBI!$A:$ADS,Z$3,FALSE)</f>
        <v>#NUM!</v>
      </c>
      <c r="AA51" s="294"/>
      <c r="AB51" s="293" t="e">
        <f ca="1">VLOOKUP($B51,KOMBI!$A:$ADS,AB$3,FALSE)</f>
        <v>#NUM!</v>
      </c>
      <c r="AC51" s="293" t="e">
        <f ca="1">VLOOKUP($B51,KOMBI!$A:$ADS,AC$3,FALSE)-AB51</f>
        <v>#NUM!</v>
      </c>
      <c r="AD51" s="293" t="e">
        <f ca="1">VLOOKUP($B51,KOMBI!$A:$ADS,AD$3,FALSE)</f>
        <v>#NUM!</v>
      </c>
      <c r="AE51" s="293" t="e">
        <f ca="1">VLOOKUP($B51,KOMBI!$A:$ADS,AE$3,FALSE)</f>
        <v>#NUM!</v>
      </c>
      <c r="AF51" s="293" t="e">
        <f ca="1">VLOOKUP($B51,KOMBI!$A:$ADS,AF$3,FALSE)-AE51</f>
        <v>#NUM!</v>
      </c>
      <c r="AG51" s="293" t="e">
        <f ca="1">VLOOKUP($B51,KOMBI!$A:$ADS,AG$3,FALSE)</f>
        <v>#NUM!</v>
      </c>
      <c r="AI51" s="293" t="e">
        <f t="array" aca="1" ref="AI51" ca="1">VLOOKUP($B51,KOMBI!$A:$ADS,MATCH(Tulem!AI$3,KOMBI!$A$1:$ADS$1,0),FALSE)</f>
        <v>#NUM!</v>
      </c>
      <c r="AJ51" s="293" t="e">
        <f t="array" aca="1" ref="AJ51" ca="1">VLOOKUP($B51,KOMBI!$A:$ADS,MATCH(Tulem!AJ$3,KOMBI!$A$1:$ADS$1,0),FALSE)</f>
        <v>#NUM!</v>
      </c>
      <c r="AK51" s="293" t="e">
        <f t="array" aca="1" ref="AK51" ca="1">VLOOKUP($B51,KOMBI!$A:$ADS,MATCH(Tulem!AK$3,KOMBI!$A$1:$ADS$1,0),FALSE)</f>
        <v>#NUM!</v>
      </c>
      <c r="AL51" s="293" t="e">
        <f t="array" aca="1" ref="AL51" ca="1">VLOOKUP($B51,KOMBI!$A:$ADS,MATCH(Tulem!AL$3,KOMBI!$A$1:$ADS$1,0),FALSE)</f>
        <v>#NUM!</v>
      </c>
      <c r="AM51" s="293" t="e">
        <f t="array" aca="1" ref="AM51" ca="1">VLOOKUP($B51,KOMBI!$A:$ADS,MATCH(Tulem!AM$3,KOMBI!$A$1:$ADS$1,0),FALSE)</f>
        <v>#NUM!</v>
      </c>
      <c r="AN51" s="293" t="e">
        <f t="array" aca="1" ref="AN51" ca="1">VLOOKUP($B51,KOMBI!$A:$ADS,MATCH(Tulem!AN$3,KOMBI!$A$1:$ADS$1,0),FALSE)</f>
        <v>#NUM!</v>
      </c>
      <c r="AO51" s="293" t="e">
        <f t="array" aca="1" ref="AO51" ca="1">VLOOKUP($B51,KOMBI!$A:$ADS,MATCH(Tulem!AO$3,KOMBI!$A$1:$ADS$1,0),FALSE)</f>
        <v>#NUM!</v>
      </c>
      <c r="AP51" s="293" t="e">
        <f t="array" aca="1" ref="AP51" ca="1">VLOOKUP($B51,KOMBI!$A:$ADS,MATCH(Tulem!AP$3,KOMBI!$A$1:$ADS$1,0),FALSE)</f>
        <v>#NUM!</v>
      </c>
      <c r="AQ51" s="293" t="e">
        <f t="array" aca="1" ref="AQ51" ca="1">VLOOKUP($B51,KOMBI!$A:$ADS,MATCH(Tulem!AQ$3,KOMBI!$A$1:$ADS$1,0),FALSE)</f>
        <v>#NUM!</v>
      </c>
      <c r="AR51" s="293" t="e">
        <f t="array" aca="1" ref="AR51" ca="1">VLOOKUP($B51,KOMBI!$A:$ADS,MATCH(Tulem!AR$3,KOMBI!$A$1:$ADS$1,0),FALSE)</f>
        <v>#NUM!</v>
      </c>
      <c r="AS51" s="293" t="e">
        <f t="array" aca="1" ref="AS51" ca="1">VLOOKUP($B51,KOMBI!$A:$ADS,MATCH(Tulem!AS$3,KOMBI!$A$1:$ADS$1,0),FALSE)</f>
        <v>#NUM!</v>
      </c>
      <c r="AT51" s="293" t="e">
        <f t="array" aca="1" ref="AT51" ca="1">VLOOKUP($B51,KOMBI!$A:$ADS,MATCH(Tulem!AT$3,KOMBI!$A$1:$ADS$1,0),FALSE)</f>
        <v>#NUM!</v>
      </c>
      <c r="AU51" s="293" t="e">
        <f t="array" aca="1" ref="AU51" ca="1">VLOOKUP($B51,KOMBI!$A:$ADS,MATCH(Tulem!AU$3,KOMBI!$A$1:$ADS$1,0),FALSE)</f>
        <v>#NUM!</v>
      </c>
      <c r="AV51" s="293" t="e">
        <f t="shared" ca="1" si="1"/>
        <v>#NUM!</v>
      </c>
      <c r="AW51" s="293" t="e">
        <f t="shared" ca="1" si="2"/>
        <v>#NUM!</v>
      </c>
      <c r="AX51" s="291" t="e">
        <f ca="1">VLOOKUP($B51,KOMBI!$A:$ACA,MATCH(AX$5,KOMBI!$10:$10,0),FALSE)</f>
        <v>#NUM!</v>
      </c>
      <c r="AY51" s="292" t="e">
        <f t="array" aca="1" ref="AY51" ca="1">VLOOKUP($B51,KOMBI!$A:$ADS,MATCH(Tulem!AY$3,KOMBI!$A$1:$ADS$1,0),FALSE)</f>
        <v>#NUM!</v>
      </c>
      <c r="AZ51" s="292" t="e">
        <f t="array" aca="1" ref="AZ51" ca="1">VLOOKUP($B51,KOMBI!$A:$ADS,MATCH(Tulem!AZ$3,KOMBI!$A$1:$ADS$1,0),FALSE)</f>
        <v>#NUM!</v>
      </c>
      <c r="BA51" s="292" t="e">
        <f t="array" aca="1" ref="BA51" ca="1">VLOOKUP($B51,KOMBI!$A:$ADS,MATCH(Tulem!BA$3,KOMBI!$A$1:$ADS$1,0),FALSE)</f>
        <v>#NUM!</v>
      </c>
      <c r="BB51" s="292" t="e">
        <f t="array" aca="1" ref="BB51" ca="1">VLOOKUP($B51,KOMBI!$A:$ADS,MATCH(Tulem!BB$3,KOMBI!$A$1:$ADS$1,0),FALSE)</f>
        <v>#NUM!</v>
      </c>
      <c r="BC51" s="292" t="e">
        <f t="array" aca="1" ref="BC51" ca="1">VLOOKUP($B51,KOMBI!$A:$ADS,MATCH(Tulem!BC$3,KOMBI!$A$1:$ADS$1,0),FALSE)</f>
        <v>#NUM!</v>
      </c>
      <c r="BD51" s="292" t="e">
        <f t="array" aca="1" ref="BD51" ca="1">VLOOKUP($B51,KOMBI!$A:$ADS,MATCH(Tulem!BD$3,KOMBI!$A$1:$ADS$1,0),FALSE)</f>
        <v>#NUM!</v>
      </c>
      <c r="BE51" s="292" t="e">
        <f t="array" aca="1" ref="BE51" ca="1">VLOOKUP($B51,KOMBI!$A:$ADS,MATCH(Tulem!BE$3,KOMBI!$A$1:$ADS$1,0),FALSE)</f>
        <v>#NUM!</v>
      </c>
      <c r="BF51" s="292" t="e">
        <f t="array" aca="1" ref="BF51" ca="1">VLOOKUP($B51,KOMBI!$A:$ADS,MATCH(Tulem!BF$3,KOMBI!$A$1:$ADS$1,0),FALSE)</f>
        <v>#NUM!</v>
      </c>
      <c r="BG51" s="292" t="e">
        <f t="array" aca="1" ref="BG51" ca="1">VLOOKUP($B51,KOMBI!$A:$ADS,MATCH(Tulem!BG$3,KOMBI!$A$1:$ADS$1,0),FALSE)</f>
        <v>#NUM!</v>
      </c>
      <c r="BH51" s="292" t="e">
        <f t="array" aca="1" ref="BH51" ca="1">VLOOKUP($B51,KOMBI!$A:$ADS,MATCH(Tulem!BH$3,KOMBI!$A$1:$ADS$1,0),FALSE)</f>
        <v>#NUM!</v>
      </c>
      <c r="BI51" s="292" t="e">
        <f t="array" aca="1" ref="BI51" ca="1">VLOOKUP($B51,KOMBI!$A:$ADS,MATCH(Tulem!BI$3,KOMBI!$A$1:$ADS$1,0),FALSE)</f>
        <v>#NUM!</v>
      </c>
      <c r="BJ51" s="292" t="e">
        <f t="array" aca="1" ref="BJ51" ca="1">VLOOKUP($B51,KOMBI!$A:$ADS,MATCH(Tulem!BJ$3,KOMBI!$A$1:$ADS$1,0),FALSE)</f>
        <v>#NUM!</v>
      </c>
      <c r="BK51" s="292" t="e">
        <f t="array" aca="1" ref="BK51" ca="1">VLOOKUP($B51,KOMBI!$A:$ADS,MATCH(Tulem!BK$3,KOMBI!$A$1:$ADS$1,0),FALSE)</f>
        <v>#NUM!</v>
      </c>
      <c r="BL51" s="292" t="e">
        <f t="array" aca="1" ref="BL51" ca="1">VLOOKUP($B51,KOMBI!$A:$ADS,MATCH(Tulem!BL$3,KOMBI!$A$1:$ADS$1,0),FALSE)</f>
        <v>#NUM!</v>
      </c>
      <c r="BM51" s="292" t="e">
        <f t="array" aca="1" ref="BM51" ca="1">VLOOKUP($B51,KOMBI!$A:$ADS,MATCH(Tulem!BM$3,KOMBI!$A$1:$ADS$1,0),FALSE)</f>
        <v>#NUM!</v>
      </c>
      <c r="BN51" s="292" t="e">
        <f t="array" aca="1" ref="BN51" ca="1">VLOOKUP($B51,KOMBI!$A:$ADS,MATCH(Tulem!BN$3,KOMBI!$A$1:$ADS$1,0),FALSE)</f>
        <v>#NUM!</v>
      </c>
      <c r="BO51" s="292" t="e">
        <f t="array" aca="1" ref="BO51" ca="1">VLOOKUP($B51,KOMBI!$A:$ADS,MATCH(Tulem!BO$3,KOMBI!$A$1:$ADS$1,0),FALSE)</f>
        <v>#NUM!</v>
      </c>
      <c r="BP51" s="291"/>
      <c r="BQ51" s="292" t="e">
        <f t="array" aca="1" ref="BQ51" ca="1">VLOOKUP($B51,KOMBI!$A:$ADS,MATCH(Tulem!BQ$3,KOMBI!$A$1:$ADS$1,0),FALSE)</f>
        <v>#NUM!</v>
      </c>
      <c r="BR51" s="292" t="e">
        <f t="array" aca="1" ref="BR51" ca="1">VLOOKUP($B51,KOMBI!$A:$ADS,MATCH(Tulem!BR$3,KOMBI!$A$1:$ADS$1,0),FALSE)</f>
        <v>#NUM!</v>
      </c>
      <c r="BS51" s="292" t="e">
        <f t="array" aca="1" ref="BS51" ca="1">VLOOKUP($B51,KOMBI!$A:$ADS,MATCH(Tulem!BS$3,KOMBI!$A$1:$ADS$1,0),FALSE)</f>
        <v>#NUM!</v>
      </c>
      <c r="BT51" s="292" t="e">
        <f t="array" aca="1" ref="BT51" ca="1">VLOOKUP($B51,KOMBI!$A:$ADS,MATCH(Tulem!BT$3,KOMBI!$A$1:$ADS$1,0),FALSE)</f>
        <v>#NUM!</v>
      </c>
      <c r="BU51" s="292" t="e">
        <f t="array" aca="1" ref="BU51" ca="1">VLOOKUP($B51,KOMBI!$A:$ADS,MATCH(Tulem!BU$3,KOMBI!$A$1:$ADS$1,0),FALSE)</f>
        <v>#NUM!</v>
      </c>
      <c r="BV51" s="291"/>
      <c r="BW51" s="292" t="e">
        <f t="array" aca="1" ref="BW51" ca="1">VLOOKUP($B51,KOMBI!$A:$ADS,MATCH(Tulem!BW$3,KOMBI!$A$1:$ADS$1,0),FALSE)</f>
        <v>#NUM!</v>
      </c>
      <c r="BX51" s="291"/>
      <c r="BY51" s="291"/>
      <c r="BZ51" s="292" t="e">
        <f t="array" aca="1" ref="BZ51" ca="1">VLOOKUP($B51,KOMBI!$A:$ADS,MATCH(Tulem!BZ$3,KOMBI!$A$1:$ADS$1,0),FALSE)</f>
        <v>#NUM!</v>
      </c>
      <c r="CA51" s="292" t="e">
        <f t="array" aca="1" ref="CA51" ca="1">VLOOKUP($B51,KOMBI!$A:$ADS,MATCH(Tulem!CA$3,KOMBI!$A$1:$ADS$1,0),FALSE)</f>
        <v>#NUM!</v>
      </c>
      <c r="CB51" s="292" t="e">
        <f t="array" aca="1" ref="CB51" ca="1">VLOOKUP($B51,KOMBI!$A:$ADS,MATCH(Tulem!CB$3,KOMBI!$A$1:$ADS$1,0),FALSE)</f>
        <v>#NUM!</v>
      </c>
      <c r="CC51" s="292" t="e">
        <f t="array" aca="1" ref="CC51" ca="1">VLOOKUP($B51,KOMBI!$A:$ADS,MATCH(Tulem!CC$3,KOMBI!$A$1:$ADS$1,0),FALSE)</f>
        <v>#NUM!</v>
      </c>
      <c r="CD51" s="292" t="e">
        <f t="array" aca="1" ref="CD51" ca="1">VLOOKUP($B51,KOMBI!$A:$ADS,MATCH(Tulem!CD$3,KOMBI!$A$1:$ADS$1,0),FALSE)</f>
        <v>#NUM!</v>
      </c>
      <c r="CF51" s="51" t="e">
        <f ca="1">VLOOKUP($B51,KOMBI!$A:$ACG,MATCH(CF$5,KOMBI!$10:$10,0),FALSE)</f>
        <v>#NUM!</v>
      </c>
    </row>
    <row r="52" spans="1:84" x14ac:dyDescent="0.2">
      <c r="A52" s="51">
        <v>47</v>
      </c>
      <c r="B52" s="51" t="e">
        <f ca="1">KOMBI!GI57</f>
        <v>#NUM!</v>
      </c>
      <c r="C52" s="51">
        <f t="shared" si="0"/>
        <v>47</v>
      </c>
      <c r="D52" s="290" t="e">
        <f ca="1">VLOOKUP(VLOOKUP($B52,KOMBI!$A:$H,3,FALSE),data!$I$27:$J$29,2,FALSE)</f>
        <v>#NUM!</v>
      </c>
      <c r="E52" s="290" t="e">
        <f ca="1">VLOOKUP(VLOOKUP($B52,KOMBI!$A:$H,2,FALSE),data!$I$21:$J$23,2,FALSE)</f>
        <v>#NUM!</v>
      </c>
      <c r="F52" s="290" t="e">
        <f ca="1">VLOOKUP(VLOOKUP($B52,KOMBI!$A:$H,5,FALSE),data!$I$39:$J$41,2,FALSE)</f>
        <v>#NUM!</v>
      </c>
      <c r="G52" s="290" t="e">
        <f ca="1">VLOOKUP(VLOOKUP($B52,KOMBI!$A:$H,4,FALSE),data!$I$32:$J$36,2,FALSE)</f>
        <v>#NUM!</v>
      </c>
      <c r="I52" s="51" t="e">
        <f ca="1">VLOOKUP($B52,KOMBI!$A:$Z,MATCH(I$5,KOMBI!$10:$10,0),FALSE)</f>
        <v>#NUM!</v>
      </c>
      <c r="J52" s="291" t="e">
        <f ca="1">VLOOKUP($B52,KOMBI!$A:$ADS,J$3,FALSE)</f>
        <v>#NUM!</v>
      </c>
      <c r="K52" s="291" t="e">
        <f ca="1">VLOOKUP($B52,KOMBI!$A:$ADS,K$3,FALSE)</f>
        <v>#NUM!</v>
      </c>
      <c r="L52" s="291" t="e">
        <f ca="1">VLOOKUP($B52,KOMBI!$A:$ADS,L$3,FALSE)</f>
        <v>#NUM!</v>
      </c>
      <c r="M52" s="291" t="e">
        <f ca="1">VLOOKUP($B52,KOMBI!$A:$ADS,M$3,FALSE)</f>
        <v>#NUM!</v>
      </c>
      <c r="N52" s="291" t="e">
        <f ca="1">VLOOKUP($B52,KOMBI!$A:$ADS,N$3,FALSE)</f>
        <v>#NUM!</v>
      </c>
      <c r="O52" s="291" t="e">
        <f ca="1">VLOOKUP($B52,KOMBI!$A:$ADS,O$3,FALSE)</f>
        <v>#NUM!</v>
      </c>
      <c r="P52" s="291" t="e">
        <f ca="1">VLOOKUP($B52,KOMBI!$A:$ADS,P$3,FALSE)</f>
        <v>#NUM!</v>
      </c>
      <c r="Q52" s="292" t="e">
        <f t="array" aca="1" ref="Q52" ca="1">VLOOKUP($B52,KOMBI!$A:$ADS,MATCH(Tulem!Q$3,KOMBI!$A$1:$ADS$1,0),FALSE)</f>
        <v>#NUM!</v>
      </c>
      <c r="S52" s="332" t="e">
        <f t="array" aca="1" ref="S52" ca="1">VLOOKUP($B52,KOMBI!$A:$ADS,MATCH(Tulem!S$3,KOMBI!$A$1:$ADS$1,0),FALSE)</f>
        <v>#NUM!</v>
      </c>
      <c r="T52" s="293" t="e">
        <f ca="1">VLOOKUP($B52,KOMBI!$A:$ADS,T$3,FALSE)</f>
        <v>#NUM!</v>
      </c>
      <c r="U52" s="293" t="e">
        <f ca="1">VLOOKUP($B52,KOMBI!$A:$ADS,U$3,FALSE)</f>
        <v>#NUM!</v>
      </c>
      <c r="V52" s="293" t="e">
        <f ca="1">VLOOKUP($B52,KOMBI!$A:$ADS,V$3,FALSE)</f>
        <v>#NUM!</v>
      </c>
      <c r="W52" s="293"/>
      <c r="X52" s="293" t="e">
        <f ca="1">VLOOKUP($B52,KOMBI!$A:$ADS,X$3,FALSE)</f>
        <v>#NUM!</v>
      </c>
      <c r="Y52" s="293" t="e">
        <f ca="1">VLOOKUP($B52,KOMBI!$A:$ADS,Y$3,FALSE)</f>
        <v>#NUM!</v>
      </c>
      <c r="Z52" s="293" t="e">
        <f ca="1">VLOOKUP($B52,KOMBI!$A:$ADS,Z$3,FALSE)</f>
        <v>#NUM!</v>
      </c>
      <c r="AA52" s="294"/>
      <c r="AB52" s="293" t="e">
        <f ca="1">VLOOKUP($B52,KOMBI!$A:$ADS,AB$3,FALSE)</f>
        <v>#NUM!</v>
      </c>
      <c r="AC52" s="293" t="e">
        <f ca="1">VLOOKUP($B52,KOMBI!$A:$ADS,AC$3,FALSE)-AB52</f>
        <v>#NUM!</v>
      </c>
      <c r="AD52" s="293" t="e">
        <f ca="1">VLOOKUP($B52,KOMBI!$A:$ADS,AD$3,FALSE)</f>
        <v>#NUM!</v>
      </c>
      <c r="AE52" s="293" t="e">
        <f ca="1">VLOOKUP($B52,KOMBI!$A:$ADS,AE$3,FALSE)</f>
        <v>#NUM!</v>
      </c>
      <c r="AF52" s="293" t="e">
        <f ca="1">VLOOKUP($B52,KOMBI!$A:$ADS,AF$3,FALSE)-AE52</f>
        <v>#NUM!</v>
      </c>
      <c r="AG52" s="293" t="e">
        <f ca="1">VLOOKUP($B52,KOMBI!$A:$ADS,AG$3,FALSE)</f>
        <v>#NUM!</v>
      </c>
      <c r="AI52" s="293" t="e">
        <f t="array" aca="1" ref="AI52" ca="1">VLOOKUP($B52,KOMBI!$A:$ADS,MATCH(Tulem!AI$3,KOMBI!$A$1:$ADS$1,0),FALSE)</f>
        <v>#NUM!</v>
      </c>
      <c r="AJ52" s="293" t="e">
        <f t="array" aca="1" ref="AJ52" ca="1">VLOOKUP($B52,KOMBI!$A:$ADS,MATCH(Tulem!AJ$3,KOMBI!$A$1:$ADS$1,0),FALSE)</f>
        <v>#NUM!</v>
      </c>
      <c r="AK52" s="293" t="e">
        <f t="array" aca="1" ref="AK52" ca="1">VLOOKUP($B52,KOMBI!$A:$ADS,MATCH(Tulem!AK$3,KOMBI!$A$1:$ADS$1,0),FALSE)</f>
        <v>#NUM!</v>
      </c>
      <c r="AL52" s="293" t="e">
        <f t="array" aca="1" ref="AL52" ca="1">VLOOKUP($B52,KOMBI!$A:$ADS,MATCH(Tulem!AL$3,KOMBI!$A$1:$ADS$1,0),FALSE)</f>
        <v>#NUM!</v>
      </c>
      <c r="AM52" s="293" t="e">
        <f t="array" aca="1" ref="AM52" ca="1">VLOOKUP($B52,KOMBI!$A:$ADS,MATCH(Tulem!AM$3,KOMBI!$A$1:$ADS$1,0),FALSE)</f>
        <v>#NUM!</v>
      </c>
      <c r="AN52" s="293" t="e">
        <f t="array" aca="1" ref="AN52" ca="1">VLOOKUP($B52,KOMBI!$A:$ADS,MATCH(Tulem!AN$3,KOMBI!$A$1:$ADS$1,0),FALSE)</f>
        <v>#NUM!</v>
      </c>
      <c r="AO52" s="293" t="e">
        <f t="array" aca="1" ref="AO52" ca="1">VLOOKUP($B52,KOMBI!$A:$ADS,MATCH(Tulem!AO$3,KOMBI!$A$1:$ADS$1,0),FALSE)</f>
        <v>#NUM!</v>
      </c>
      <c r="AP52" s="293" t="e">
        <f t="array" aca="1" ref="AP52" ca="1">VLOOKUP($B52,KOMBI!$A:$ADS,MATCH(Tulem!AP$3,KOMBI!$A$1:$ADS$1,0),FALSE)</f>
        <v>#NUM!</v>
      </c>
      <c r="AQ52" s="293" t="e">
        <f t="array" aca="1" ref="AQ52" ca="1">VLOOKUP($B52,KOMBI!$A:$ADS,MATCH(Tulem!AQ$3,KOMBI!$A$1:$ADS$1,0),FALSE)</f>
        <v>#NUM!</v>
      </c>
      <c r="AR52" s="293" t="e">
        <f t="array" aca="1" ref="AR52" ca="1">VLOOKUP($B52,KOMBI!$A:$ADS,MATCH(Tulem!AR$3,KOMBI!$A$1:$ADS$1,0),FALSE)</f>
        <v>#NUM!</v>
      </c>
      <c r="AS52" s="293" t="e">
        <f t="array" aca="1" ref="AS52" ca="1">VLOOKUP($B52,KOMBI!$A:$ADS,MATCH(Tulem!AS$3,KOMBI!$A$1:$ADS$1,0),FALSE)</f>
        <v>#NUM!</v>
      </c>
      <c r="AT52" s="293" t="e">
        <f t="array" aca="1" ref="AT52" ca="1">VLOOKUP($B52,KOMBI!$A:$ADS,MATCH(Tulem!AT$3,KOMBI!$A$1:$ADS$1,0),FALSE)</f>
        <v>#NUM!</v>
      </c>
      <c r="AU52" s="293" t="e">
        <f t="array" aca="1" ref="AU52" ca="1">VLOOKUP($B52,KOMBI!$A:$ADS,MATCH(Tulem!AU$3,KOMBI!$A$1:$ADS$1,0),FALSE)</f>
        <v>#NUM!</v>
      </c>
      <c r="AV52" s="293" t="e">
        <f t="shared" ca="1" si="1"/>
        <v>#NUM!</v>
      </c>
      <c r="AW52" s="293" t="e">
        <f t="shared" ca="1" si="2"/>
        <v>#NUM!</v>
      </c>
      <c r="AX52" s="291" t="e">
        <f ca="1">VLOOKUP($B52,KOMBI!$A:$ACA,MATCH(AX$5,KOMBI!$10:$10,0),FALSE)</f>
        <v>#NUM!</v>
      </c>
      <c r="AY52" s="292" t="e">
        <f t="array" aca="1" ref="AY52" ca="1">VLOOKUP($B52,KOMBI!$A:$ADS,MATCH(Tulem!AY$3,KOMBI!$A$1:$ADS$1,0),FALSE)</f>
        <v>#NUM!</v>
      </c>
      <c r="AZ52" s="292" t="e">
        <f t="array" aca="1" ref="AZ52" ca="1">VLOOKUP($B52,KOMBI!$A:$ADS,MATCH(Tulem!AZ$3,KOMBI!$A$1:$ADS$1,0),FALSE)</f>
        <v>#NUM!</v>
      </c>
      <c r="BA52" s="292" t="e">
        <f t="array" aca="1" ref="BA52" ca="1">VLOOKUP($B52,KOMBI!$A:$ADS,MATCH(Tulem!BA$3,KOMBI!$A$1:$ADS$1,0),FALSE)</f>
        <v>#NUM!</v>
      </c>
      <c r="BB52" s="292" t="e">
        <f t="array" aca="1" ref="BB52" ca="1">VLOOKUP($B52,KOMBI!$A:$ADS,MATCH(Tulem!BB$3,KOMBI!$A$1:$ADS$1,0),FALSE)</f>
        <v>#NUM!</v>
      </c>
      <c r="BC52" s="292" t="e">
        <f t="array" aca="1" ref="BC52" ca="1">VLOOKUP($B52,KOMBI!$A:$ADS,MATCH(Tulem!BC$3,KOMBI!$A$1:$ADS$1,0),FALSE)</f>
        <v>#NUM!</v>
      </c>
      <c r="BD52" s="292" t="e">
        <f t="array" aca="1" ref="BD52" ca="1">VLOOKUP($B52,KOMBI!$A:$ADS,MATCH(Tulem!BD$3,KOMBI!$A$1:$ADS$1,0),FALSE)</f>
        <v>#NUM!</v>
      </c>
      <c r="BE52" s="292" t="e">
        <f t="array" aca="1" ref="BE52" ca="1">VLOOKUP($B52,KOMBI!$A:$ADS,MATCH(Tulem!BE$3,KOMBI!$A$1:$ADS$1,0),FALSE)</f>
        <v>#NUM!</v>
      </c>
      <c r="BF52" s="292" t="e">
        <f t="array" aca="1" ref="BF52" ca="1">VLOOKUP($B52,KOMBI!$A:$ADS,MATCH(Tulem!BF$3,KOMBI!$A$1:$ADS$1,0),FALSE)</f>
        <v>#NUM!</v>
      </c>
      <c r="BG52" s="292" t="e">
        <f t="array" aca="1" ref="BG52" ca="1">VLOOKUP($B52,KOMBI!$A:$ADS,MATCH(Tulem!BG$3,KOMBI!$A$1:$ADS$1,0),FALSE)</f>
        <v>#NUM!</v>
      </c>
      <c r="BH52" s="292" t="e">
        <f t="array" aca="1" ref="BH52" ca="1">VLOOKUP($B52,KOMBI!$A:$ADS,MATCH(Tulem!BH$3,KOMBI!$A$1:$ADS$1,0),FALSE)</f>
        <v>#NUM!</v>
      </c>
      <c r="BI52" s="292" t="e">
        <f t="array" aca="1" ref="BI52" ca="1">VLOOKUP($B52,KOMBI!$A:$ADS,MATCH(Tulem!BI$3,KOMBI!$A$1:$ADS$1,0),FALSE)</f>
        <v>#NUM!</v>
      </c>
      <c r="BJ52" s="292" t="e">
        <f t="array" aca="1" ref="BJ52" ca="1">VLOOKUP($B52,KOMBI!$A:$ADS,MATCH(Tulem!BJ$3,KOMBI!$A$1:$ADS$1,0),FALSE)</f>
        <v>#NUM!</v>
      </c>
      <c r="BK52" s="292" t="e">
        <f t="array" aca="1" ref="BK52" ca="1">VLOOKUP($B52,KOMBI!$A:$ADS,MATCH(Tulem!BK$3,KOMBI!$A$1:$ADS$1,0),FALSE)</f>
        <v>#NUM!</v>
      </c>
      <c r="BL52" s="292" t="e">
        <f t="array" aca="1" ref="BL52" ca="1">VLOOKUP($B52,KOMBI!$A:$ADS,MATCH(Tulem!BL$3,KOMBI!$A$1:$ADS$1,0),FALSE)</f>
        <v>#NUM!</v>
      </c>
      <c r="BM52" s="292" t="e">
        <f t="array" aca="1" ref="BM52" ca="1">VLOOKUP($B52,KOMBI!$A:$ADS,MATCH(Tulem!BM$3,KOMBI!$A$1:$ADS$1,0),FALSE)</f>
        <v>#NUM!</v>
      </c>
      <c r="BN52" s="292" t="e">
        <f t="array" aca="1" ref="BN52" ca="1">VLOOKUP($B52,KOMBI!$A:$ADS,MATCH(Tulem!BN$3,KOMBI!$A$1:$ADS$1,0),FALSE)</f>
        <v>#NUM!</v>
      </c>
      <c r="BO52" s="292" t="e">
        <f t="array" aca="1" ref="BO52" ca="1">VLOOKUP($B52,KOMBI!$A:$ADS,MATCH(Tulem!BO$3,KOMBI!$A$1:$ADS$1,0),FALSE)</f>
        <v>#NUM!</v>
      </c>
      <c r="BP52" s="291"/>
      <c r="BQ52" s="292" t="e">
        <f t="array" aca="1" ref="BQ52" ca="1">VLOOKUP($B52,KOMBI!$A:$ADS,MATCH(Tulem!BQ$3,KOMBI!$A$1:$ADS$1,0),FALSE)</f>
        <v>#NUM!</v>
      </c>
      <c r="BR52" s="292" t="e">
        <f t="array" aca="1" ref="BR52" ca="1">VLOOKUP($B52,KOMBI!$A:$ADS,MATCH(Tulem!BR$3,KOMBI!$A$1:$ADS$1,0),FALSE)</f>
        <v>#NUM!</v>
      </c>
      <c r="BS52" s="292" t="e">
        <f t="array" aca="1" ref="BS52" ca="1">VLOOKUP($B52,KOMBI!$A:$ADS,MATCH(Tulem!BS$3,KOMBI!$A$1:$ADS$1,0),FALSE)</f>
        <v>#NUM!</v>
      </c>
      <c r="BT52" s="292" t="e">
        <f t="array" aca="1" ref="BT52" ca="1">VLOOKUP($B52,KOMBI!$A:$ADS,MATCH(Tulem!BT$3,KOMBI!$A$1:$ADS$1,0),FALSE)</f>
        <v>#NUM!</v>
      </c>
      <c r="BU52" s="292" t="e">
        <f t="array" aca="1" ref="BU52" ca="1">VLOOKUP($B52,KOMBI!$A:$ADS,MATCH(Tulem!BU$3,KOMBI!$A$1:$ADS$1,0),FALSE)</f>
        <v>#NUM!</v>
      </c>
      <c r="BV52" s="291"/>
      <c r="BW52" s="292" t="e">
        <f t="array" aca="1" ref="BW52" ca="1">VLOOKUP($B52,KOMBI!$A:$ADS,MATCH(Tulem!BW$3,KOMBI!$A$1:$ADS$1,0),FALSE)</f>
        <v>#NUM!</v>
      </c>
      <c r="BX52" s="291"/>
      <c r="BY52" s="291"/>
      <c r="BZ52" s="292" t="e">
        <f t="array" aca="1" ref="BZ52" ca="1">VLOOKUP($B52,KOMBI!$A:$ADS,MATCH(Tulem!BZ$3,KOMBI!$A$1:$ADS$1,0),FALSE)</f>
        <v>#NUM!</v>
      </c>
      <c r="CA52" s="292" t="e">
        <f t="array" aca="1" ref="CA52" ca="1">VLOOKUP($B52,KOMBI!$A:$ADS,MATCH(Tulem!CA$3,KOMBI!$A$1:$ADS$1,0),FALSE)</f>
        <v>#NUM!</v>
      </c>
      <c r="CB52" s="292" t="e">
        <f t="array" aca="1" ref="CB52" ca="1">VLOOKUP($B52,KOMBI!$A:$ADS,MATCH(Tulem!CB$3,KOMBI!$A$1:$ADS$1,0),FALSE)</f>
        <v>#NUM!</v>
      </c>
      <c r="CC52" s="292" t="e">
        <f t="array" aca="1" ref="CC52" ca="1">VLOOKUP($B52,KOMBI!$A:$ADS,MATCH(Tulem!CC$3,KOMBI!$A$1:$ADS$1,0),FALSE)</f>
        <v>#NUM!</v>
      </c>
      <c r="CD52" s="292" t="e">
        <f t="array" aca="1" ref="CD52" ca="1">VLOOKUP($B52,KOMBI!$A:$ADS,MATCH(Tulem!CD$3,KOMBI!$A$1:$ADS$1,0),FALSE)</f>
        <v>#NUM!</v>
      </c>
      <c r="CF52" s="51" t="e">
        <f ca="1">VLOOKUP($B52,KOMBI!$A:$ACG,MATCH(CF$5,KOMBI!$10:$10,0),FALSE)</f>
        <v>#NUM!</v>
      </c>
    </row>
    <row r="53" spans="1:84" x14ac:dyDescent="0.2">
      <c r="A53" s="51">
        <v>48</v>
      </c>
      <c r="B53" s="51" t="e">
        <f ca="1">KOMBI!GI58</f>
        <v>#NUM!</v>
      </c>
      <c r="C53" s="51">
        <f t="shared" si="0"/>
        <v>48</v>
      </c>
      <c r="D53" s="290" t="e">
        <f ca="1">VLOOKUP(VLOOKUP($B53,KOMBI!$A:$H,3,FALSE),data!$I$27:$J$29,2,FALSE)</f>
        <v>#NUM!</v>
      </c>
      <c r="E53" s="290" t="e">
        <f ca="1">VLOOKUP(VLOOKUP($B53,KOMBI!$A:$H,2,FALSE),data!$I$21:$J$23,2,FALSE)</f>
        <v>#NUM!</v>
      </c>
      <c r="F53" s="290" t="e">
        <f ca="1">VLOOKUP(VLOOKUP($B53,KOMBI!$A:$H,5,FALSE),data!$I$39:$J$41,2,FALSE)</f>
        <v>#NUM!</v>
      </c>
      <c r="G53" s="290" t="e">
        <f ca="1">VLOOKUP(VLOOKUP($B53,KOMBI!$A:$H,4,FALSE),data!$I$32:$J$36,2,FALSE)</f>
        <v>#NUM!</v>
      </c>
      <c r="I53" s="51" t="e">
        <f ca="1">VLOOKUP($B53,KOMBI!$A:$Z,MATCH(I$5,KOMBI!$10:$10,0),FALSE)</f>
        <v>#NUM!</v>
      </c>
      <c r="J53" s="291" t="e">
        <f ca="1">VLOOKUP($B53,KOMBI!$A:$ADS,J$3,FALSE)</f>
        <v>#NUM!</v>
      </c>
      <c r="K53" s="291" t="e">
        <f ca="1">VLOOKUP($B53,KOMBI!$A:$ADS,K$3,FALSE)</f>
        <v>#NUM!</v>
      </c>
      <c r="L53" s="291" t="e">
        <f ca="1">VLOOKUP($B53,KOMBI!$A:$ADS,L$3,FALSE)</f>
        <v>#NUM!</v>
      </c>
      <c r="M53" s="291" t="e">
        <f ca="1">VLOOKUP($B53,KOMBI!$A:$ADS,M$3,FALSE)</f>
        <v>#NUM!</v>
      </c>
      <c r="N53" s="291" t="e">
        <f ca="1">VLOOKUP($B53,KOMBI!$A:$ADS,N$3,FALSE)</f>
        <v>#NUM!</v>
      </c>
      <c r="O53" s="291" t="e">
        <f ca="1">VLOOKUP($B53,KOMBI!$A:$ADS,O$3,FALSE)</f>
        <v>#NUM!</v>
      </c>
      <c r="P53" s="291" t="e">
        <f ca="1">VLOOKUP($B53,KOMBI!$A:$ADS,P$3,FALSE)</f>
        <v>#NUM!</v>
      </c>
      <c r="Q53" s="292" t="e">
        <f t="array" aca="1" ref="Q53" ca="1">VLOOKUP($B53,KOMBI!$A:$ADS,MATCH(Tulem!Q$3,KOMBI!$A$1:$ADS$1,0),FALSE)</f>
        <v>#NUM!</v>
      </c>
      <c r="S53" s="332" t="e">
        <f t="array" aca="1" ref="S53" ca="1">VLOOKUP($B53,KOMBI!$A:$ADS,MATCH(Tulem!S$3,KOMBI!$A$1:$ADS$1,0),FALSE)</f>
        <v>#NUM!</v>
      </c>
      <c r="T53" s="293" t="e">
        <f ca="1">VLOOKUP($B53,KOMBI!$A:$ADS,T$3,FALSE)</f>
        <v>#NUM!</v>
      </c>
      <c r="U53" s="293" t="e">
        <f ca="1">VLOOKUP($B53,KOMBI!$A:$ADS,U$3,FALSE)</f>
        <v>#NUM!</v>
      </c>
      <c r="V53" s="293" t="e">
        <f ca="1">VLOOKUP($B53,KOMBI!$A:$ADS,V$3,FALSE)</f>
        <v>#NUM!</v>
      </c>
      <c r="W53" s="293"/>
      <c r="X53" s="293" t="e">
        <f ca="1">VLOOKUP($B53,KOMBI!$A:$ADS,X$3,FALSE)</f>
        <v>#NUM!</v>
      </c>
      <c r="Y53" s="293" t="e">
        <f ca="1">VLOOKUP($B53,KOMBI!$A:$ADS,Y$3,FALSE)</f>
        <v>#NUM!</v>
      </c>
      <c r="Z53" s="293" t="e">
        <f ca="1">VLOOKUP($B53,KOMBI!$A:$ADS,Z$3,FALSE)</f>
        <v>#NUM!</v>
      </c>
      <c r="AA53" s="294"/>
      <c r="AB53" s="293" t="e">
        <f ca="1">VLOOKUP($B53,KOMBI!$A:$ADS,AB$3,FALSE)</f>
        <v>#NUM!</v>
      </c>
      <c r="AC53" s="293" t="e">
        <f ca="1">VLOOKUP($B53,KOMBI!$A:$ADS,AC$3,FALSE)-AB53</f>
        <v>#NUM!</v>
      </c>
      <c r="AD53" s="293" t="e">
        <f ca="1">VLOOKUP($B53,KOMBI!$A:$ADS,AD$3,FALSE)</f>
        <v>#NUM!</v>
      </c>
      <c r="AE53" s="293" t="e">
        <f ca="1">VLOOKUP($B53,KOMBI!$A:$ADS,AE$3,FALSE)</f>
        <v>#NUM!</v>
      </c>
      <c r="AF53" s="293" t="e">
        <f ca="1">VLOOKUP($B53,KOMBI!$A:$ADS,AF$3,FALSE)-AE53</f>
        <v>#NUM!</v>
      </c>
      <c r="AG53" s="293" t="e">
        <f ca="1">VLOOKUP($B53,KOMBI!$A:$ADS,AG$3,FALSE)</f>
        <v>#NUM!</v>
      </c>
      <c r="AI53" s="293" t="e">
        <f t="array" aca="1" ref="AI53" ca="1">VLOOKUP($B53,KOMBI!$A:$ADS,MATCH(Tulem!AI$3,KOMBI!$A$1:$ADS$1,0),FALSE)</f>
        <v>#NUM!</v>
      </c>
      <c r="AJ53" s="293" t="e">
        <f t="array" aca="1" ref="AJ53" ca="1">VLOOKUP($B53,KOMBI!$A:$ADS,MATCH(Tulem!AJ$3,KOMBI!$A$1:$ADS$1,0),FALSE)</f>
        <v>#NUM!</v>
      </c>
      <c r="AK53" s="293" t="e">
        <f t="array" aca="1" ref="AK53" ca="1">VLOOKUP($B53,KOMBI!$A:$ADS,MATCH(Tulem!AK$3,KOMBI!$A$1:$ADS$1,0),FALSE)</f>
        <v>#NUM!</v>
      </c>
      <c r="AL53" s="293" t="e">
        <f t="array" aca="1" ref="AL53" ca="1">VLOOKUP($B53,KOMBI!$A:$ADS,MATCH(Tulem!AL$3,KOMBI!$A$1:$ADS$1,0),FALSE)</f>
        <v>#NUM!</v>
      </c>
      <c r="AM53" s="293" t="e">
        <f t="array" aca="1" ref="AM53" ca="1">VLOOKUP($B53,KOMBI!$A:$ADS,MATCH(Tulem!AM$3,KOMBI!$A$1:$ADS$1,0),FALSE)</f>
        <v>#NUM!</v>
      </c>
      <c r="AN53" s="293" t="e">
        <f t="array" aca="1" ref="AN53" ca="1">VLOOKUP($B53,KOMBI!$A:$ADS,MATCH(Tulem!AN$3,KOMBI!$A$1:$ADS$1,0),FALSE)</f>
        <v>#NUM!</v>
      </c>
      <c r="AO53" s="293" t="e">
        <f t="array" aca="1" ref="AO53" ca="1">VLOOKUP($B53,KOMBI!$A:$ADS,MATCH(Tulem!AO$3,KOMBI!$A$1:$ADS$1,0),FALSE)</f>
        <v>#NUM!</v>
      </c>
      <c r="AP53" s="293" t="e">
        <f t="array" aca="1" ref="AP53" ca="1">VLOOKUP($B53,KOMBI!$A:$ADS,MATCH(Tulem!AP$3,KOMBI!$A$1:$ADS$1,0),FALSE)</f>
        <v>#NUM!</v>
      </c>
      <c r="AQ53" s="293" t="e">
        <f t="array" aca="1" ref="AQ53" ca="1">VLOOKUP($B53,KOMBI!$A:$ADS,MATCH(Tulem!AQ$3,KOMBI!$A$1:$ADS$1,0),FALSE)</f>
        <v>#NUM!</v>
      </c>
      <c r="AR53" s="293" t="e">
        <f t="array" aca="1" ref="AR53" ca="1">VLOOKUP($B53,KOMBI!$A:$ADS,MATCH(Tulem!AR$3,KOMBI!$A$1:$ADS$1,0),FALSE)</f>
        <v>#NUM!</v>
      </c>
      <c r="AS53" s="293" t="e">
        <f t="array" aca="1" ref="AS53" ca="1">VLOOKUP($B53,KOMBI!$A:$ADS,MATCH(Tulem!AS$3,KOMBI!$A$1:$ADS$1,0),FALSE)</f>
        <v>#NUM!</v>
      </c>
      <c r="AT53" s="293" t="e">
        <f t="array" aca="1" ref="AT53" ca="1">VLOOKUP($B53,KOMBI!$A:$ADS,MATCH(Tulem!AT$3,KOMBI!$A$1:$ADS$1,0),FALSE)</f>
        <v>#NUM!</v>
      </c>
      <c r="AU53" s="293" t="e">
        <f t="array" aca="1" ref="AU53" ca="1">VLOOKUP($B53,KOMBI!$A:$ADS,MATCH(Tulem!AU$3,KOMBI!$A$1:$ADS$1,0),FALSE)</f>
        <v>#NUM!</v>
      </c>
      <c r="AV53" s="293" t="e">
        <f t="shared" ca="1" si="1"/>
        <v>#NUM!</v>
      </c>
      <c r="AW53" s="293" t="e">
        <f t="shared" ca="1" si="2"/>
        <v>#NUM!</v>
      </c>
      <c r="AX53" s="291" t="e">
        <f ca="1">VLOOKUP($B53,KOMBI!$A:$ACA,MATCH(AX$5,KOMBI!$10:$10,0),FALSE)</f>
        <v>#NUM!</v>
      </c>
      <c r="AY53" s="292" t="e">
        <f t="array" aca="1" ref="AY53" ca="1">VLOOKUP($B53,KOMBI!$A:$ADS,MATCH(Tulem!AY$3,KOMBI!$A$1:$ADS$1,0),FALSE)</f>
        <v>#NUM!</v>
      </c>
      <c r="AZ53" s="292" t="e">
        <f t="array" aca="1" ref="AZ53" ca="1">VLOOKUP($B53,KOMBI!$A:$ADS,MATCH(Tulem!AZ$3,KOMBI!$A$1:$ADS$1,0),FALSE)</f>
        <v>#NUM!</v>
      </c>
      <c r="BA53" s="292" t="e">
        <f t="array" aca="1" ref="BA53" ca="1">VLOOKUP($B53,KOMBI!$A:$ADS,MATCH(Tulem!BA$3,KOMBI!$A$1:$ADS$1,0),FALSE)</f>
        <v>#NUM!</v>
      </c>
      <c r="BB53" s="292" t="e">
        <f t="array" aca="1" ref="BB53" ca="1">VLOOKUP($B53,KOMBI!$A:$ADS,MATCH(Tulem!BB$3,KOMBI!$A$1:$ADS$1,0),FALSE)</f>
        <v>#NUM!</v>
      </c>
      <c r="BC53" s="292" t="e">
        <f t="array" aca="1" ref="BC53" ca="1">VLOOKUP($B53,KOMBI!$A:$ADS,MATCH(Tulem!BC$3,KOMBI!$A$1:$ADS$1,0),FALSE)</f>
        <v>#NUM!</v>
      </c>
      <c r="BD53" s="292" t="e">
        <f t="array" aca="1" ref="BD53" ca="1">VLOOKUP($B53,KOMBI!$A:$ADS,MATCH(Tulem!BD$3,KOMBI!$A$1:$ADS$1,0),FALSE)</f>
        <v>#NUM!</v>
      </c>
      <c r="BE53" s="292" t="e">
        <f t="array" aca="1" ref="BE53" ca="1">VLOOKUP($B53,KOMBI!$A:$ADS,MATCH(Tulem!BE$3,KOMBI!$A$1:$ADS$1,0),FALSE)</f>
        <v>#NUM!</v>
      </c>
      <c r="BF53" s="292" t="e">
        <f t="array" aca="1" ref="BF53" ca="1">VLOOKUP($B53,KOMBI!$A:$ADS,MATCH(Tulem!BF$3,KOMBI!$A$1:$ADS$1,0),FALSE)</f>
        <v>#NUM!</v>
      </c>
      <c r="BG53" s="292" t="e">
        <f t="array" aca="1" ref="BG53" ca="1">VLOOKUP($B53,KOMBI!$A:$ADS,MATCH(Tulem!BG$3,KOMBI!$A$1:$ADS$1,0),FALSE)</f>
        <v>#NUM!</v>
      </c>
      <c r="BH53" s="292" t="e">
        <f t="array" aca="1" ref="BH53" ca="1">VLOOKUP($B53,KOMBI!$A:$ADS,MATCH(Tulem!BH$3,KOMBI!$A$1:$ADS$1,0),FALSE)</f>
        <v>#NUM!</v>
      </c>
      <c r="BI53" s="292" t="e">
        <f t="array" aca="1" ref="BI53" ca="1">VLOOKUP($B53,KOMBI!$A:$ADS,MATCH(Tulem!BI$3,KOMBI!$A$1:$ADS$1,0),FALSE)</f>
        <v>#NUM!</v>
      </c>
      <c r="BJ53" s="292" t="e">
        <f t="array" aca="1" ref="BJ53" ca="1">VLOOKUP($B53,KOMBI!$A:$ADS,MATCH(Tulem!BJ$3,KOMBI!$A$1:$ADS$1,0),FALSE)</f>
        <v>#NUM!</v>
      </c>
      <c r="BK53" s="292" t="e">
        <f t="array" aca="1" ref="BK53" ca="1">VLOOKUP($B53,KOMBI!$A:$ADS,MATCH(Tulem!BK$3,KOMBI!$A$1:$ADS$1,0),FALSE)</f>
        <v>#NUM!</v>
      </c>
      <c r="BL53" s="292" t="e">
        <f t="array" aca="1" ref="BL53" ca="1">VLOOKUP($B53,KOMBI!$A:$ADS,MATCH(Tulem!BL$3,KOMBI!$A$1:$ADS$1,0),FALSE)</f>
        <v>#NUM!</v>
      </c>
      <c r="BM53" s="292" t="e">
        <f t="array" aca="1" ref="BM53" ca="1">VLOOKUP($B53,KOMBI!$A:$ADS,MATCH(Tulem!BM$3,KOMBI!$A$1:$ADS$1,0),FALSE)</f>
        <v>#NUM!</v>
      </c>
      <c r="BN53" s="292" t="e">
        <f t="array" aca="1" ref="BN53" ca="1">VLOOKUP($B53,KOMBI!$A:$ADS,MATCH(Tulem!BN$3,KOMBI!$A$1:$ADS$1,0),FALSE)</f>
        <v>#NUM!</v>
      </c>
      <c r="BO53" s="292" t="e">
        <f t="array" aca="1" ref="BO53" ca="1">VLOOKUP($B53,KOMBI!$A:$ADS,MATCH(Tulem!BO$3,KOMBI!$A$1:$ADS$1,0),FALSE)</f>
        <v>#NUM!</v>
      </c>
      <c r="BP53" s="291"/>
      <c r="BQ53" s="292" t="e">
        <f t="array" aca="1" ref="BQ53" ca="1">VLOOKUP($B53,KOMBI!$A:$ADS,MATCH(Tulem!BQ$3,KOMBI!$A$1:$ADS$1,0),FALSE)</f>
        <v>#NUM!</v>
      </c>
      <c r="BR53" s="292" t="e">
        <f t="array" aca="1" ref="BR53" ca="1">VLOOKUP($B53,KOMBI!$A:$ADS,MATCH(Tulem!BR$3,KOMBI!$A$1:$ADS$1,0),FALSE)</f>
        <v>#NUM!</v>
      </c>
      <c r="BS53" s="292" t="e">
        <f t="array" aca="1" ref="BS53" ca="1">VLOOKUP($B53,KOMBI!$A:$ADS,MATCH(Tulem!BS$3,KOMBI!$A$1:$ADS$1,0),FALSE)</f>
        <v>#NUM!</v>
      </c>
      <c r="BT53" s="292" t="e">
        <f t="array" aca="1" ref="BT53" ca="1">VLOOKUP($B53,KOMBI!$A:$ADS,MATCH(Tulem!BT$3,KOMBI!$A$1:$ADS$1,0),FALSE)</f>
        <v>#NUM!</v>
      </c>
      <c r="BU53" s="292" t="e">
        <f t="array" aca="1" ref="BU53" ca="1">VLOOKUP($B53,KOMBI!$A:$ADS,MATCH(Tulem!BU$3,KOMBI!$A$1:$ADS$1,0),FALSE)</f>
        <v>#NUM!</v>
      </c>
      <c r="BV53" s="291"/>
      <c r="BW53" s="292" t="e">
        <f t="array" aca="1" ref="BW53" ca="1">VLOOKUP($B53,KOMBI!$A:$ADS,MATCH(Tulem!BW$3,KOMBI!$A$1:$ADS$1,0),FALSE)</f>
        <v>#NUM!</v>
      </c>
      <c r="BX53" s="291"/>
      <c r="BY53" s="291"/>
      <c r="BZ53" s="292" t="e">
        <f t="array" aca="1" ref="BZ53" ca="1">VLOOKUP($B53,KOMBI!$A:$ADS,MATCH(Tulem!BZ$3,KOMBI!$A$1:$ADS$1,0),FALSE)</f>
        <v>#NUM!</v>
      </c>
      <c r="CA53" s="292" t="e">
        <f t="array" aca="1" ref="CA53" ca="1">VLOOKUP($B53,KOMBI!$A:$ADS,MATCH(Tulem!CA$3,KOMBI!$A$1:$ADS$1,0),FALSE)</f>
        <v>#NUM!</v>
      </c>
      <c r="CB53" s="292" t="e">
        <f t="array" aca="1" ref="CB53" ca="1">VLOOKUP($B53,KOMBI!$A:$ADS,MATCH(Tulem!CB$3,KOMBI!$A$1:$ADS$1,0),FALSE)</f>
        <v>#NUM!</v>
      </c>
      <c r="CC53" s="292" t="e">
        <f t="array" aca="1" ref="CC53" ca="1">VLOOKUP($B53,KOMBI!$A:$ADS,MATCH(Tulem!CC$3,KOMBI!$A$1:$ADS$1,0),FALSE)</f>
        <v>#NUM!</v>
      </c>
      <c r="CD53" s="292" t="e">
        <f t="array" aca="1" ref="CD53" ca="1">VLOOKUP($B53,KOMBI!$A:$ADS,MATCH(Tulem!CD$3,KOMBI!$A$1:$ADS$1,0),FALSE)</f>
        <v>#NUM!</v>
      </c>
      <c r="CF53" s="51" t="e">
        <f ca="1">VLOOKUP($B53,KOMBI!$A:$ACG,MATCH(CF$5,KOMBI!$10:$10,0),FALSE)</f>
        <v>#NUM!</v>
      </c>
    </row>
    <row r="54" spans="1:84" x14ac:dyDescent="0.2">
      <c r="A54" s="51">
        <v>49</v>
      </c>
      <c r="B54" s="51" t="e">
        <f ca="1">KOMBI!GI59</f>
        <v>#NUM!</v>
      </c>
      <c r="C54" s="51">
        <f t="shared" si="0"/>
        <v>49</v>
      </c>
      <c r="D54" s="290" t="e">
        <f ca="1">VLOOKUP(VLOOKUP($B54,KOMBI!$A:$H,3,FALSE),data!$I$27:$J$29,2,FALSE)</f>
        <v>#NUM!</v>
      </c>
      <c r="E54" s="290" t="e">
        <f ca="1">VLOOKUP(VLOOKUP($B54,KOMBI!$A:$H,2,FALSE),data!$I$21:$J$23,2,FALSE)</f>
        <v>#NUM!</v>
      </c>
      <c r="F54" s="290" t="e">
        <f ca="1">VLOOKUP(VLOOKUP($B54,KOMBI!$A:$H,5,FALSE),data!$I$39:$J$41,2,FALSE)</f>
        <v>#NUM!</v>
      </c>
      <c r="G54" s="290" t="e">
        <f ca="1">VLOOKUP(VLOOKUP($B54,KOMBI!$A:$H,4,FALSE),data!$I$32:$J$36,2,FALSE)</f>
        <v>#NUM!</v>
      </c>
      <c r="I54" s="51" t="e">
        <f ca="1">VLOOKUP($B54,KOMBI!$A:$Z,MATCH(I$5,KOMBI!$10:$10,0),FALSE)</f>
        <v>#NUM!</v>
      </c>
      <c r="J54" s="291" t="e">
        <f ca="1">VLOOKUP($B54,KOMBI!$A:$ADS,J$3,FALSE)</f>
        <v>#NUM!</v>
      </c>
      <c r="K54" s="291" t="e">
        <f ca="1">VLOOKUP($B54,KOMBI!$A:$ADS,K$3,FALSE)</f>
        <v>#NUM!</v>
      </c>
      <c r="L54" s="291" t="e">
        <f ca="1">VLOOKUP($B54,KOMBI!$A:$ADS,L$3,FALSE)</f>
        <v>#NUM!</v>
      </c>
      <c r="M54" s="291" t="e">
        <f ca="1">VLOOKUP($B54,KOMBI!$A:$ADS,M$3,FALSE)</f>
        <v>#NUM!</v>
      </c>
      <c r="N54" s="291" t="e">
        <f ca="1">VLOOKUP($B54,KOMBI!$A:$ADS,N$3,FALSE)</f>
        <v>#NUM!</v>
      </c>
      <c r="O54" s="291" t="e">
        <f ca="1">VLOOKUP($B54,KOMBI!$A:$ADS,O$3,FALSE)</f>
        <v>#NUM!</v>
      </c>
      <c r="P54" s="291" t="e">
        <f ca="1">VLOOKUP($B54,KOMBI!$A:$ADS,P$3,FALSE)</f>
        <v>#NUM!</v>
      </c>
      <c r="Q54" s="292" t="e">
        <f t="array" aca="1" ref="Q54" ca="1">VLOOKUP($B54,KOMBI!$A:$ADS,MATCH(Tulem!Q$3,KOMBI!$A$1:$ADS$1,0),FALSE)</f>
        <v>#NUM!</v>
      </c>
      <c r="S54" s="332" t="e">
        <f t="array" aca="1" ref="S54" ca="1">VLOOKUP($B54,KOMBI!$A:$ADS,MATCH(Tulem!S$3,KOMBI!$A$1:$ADS$1,0),FALSE)</f>
        <v>#NUM!</v>
      </c>
      <c r="T54" s="293" t="e">
        <f ca="1">VLOOKUP($B54,KOMBI!$A:$ADS,T$3,FALSE)</f>
        <v>#NUM!</v>
      </c>
      <c r="U54" s="293" t="e">
        <f ca="1">VLOOKUP($B54,KOMBI!$A:$ADS,U$3,FALSE)</f>
        <v>#NUM!</v>
      </c>
      <c r="V54" s="293" t="e">
        <f ca="1">VLOOKUP($B54,KOMBI!$A:$ADS,V$3,FALSE)</f>
        <v>#NUM!</v>
      </c>
      <c r="W54" s="293"/>
      <c r="X54" s="293" t="e">
        <f ca="1">VLOOKUP($B54,KOMBI!$A:$ADS,X$3,FALSE)</f>
        <v>#NUM!</v>
      </c>
      <c r="Y54" s="293" t="e">
        <f ca="1">VLOOKUP($B54,KOMBI!$A:$ADS,Y$3,FALSE)</f>
        <v>#NUM!</v>
      </c>
      <c r="Z54" s="293" t="e">
        <f ca="1">VLOOKUP($B54,KOMBI!$A:$ADS,Z$3,FALSE)</f>
        <v>#NUM!</v>
      </c>
      <c r="AA54" s="294"/>
      <c r="AB54" s="293" t="e">
        <f ca="1">VLOOKUP($B54,KOMBI!$A:$ADS,AB$3,FALSE)</f>
        <v>#NUM!</v>
      </c>
      <c r="AC54" s="293" t="e">
        <f ca="1">VLOOKUP($B54,KOMBI!$A:$ADS,AC$3,FALSE)-AB54</f>
        <v>#NUM!</v>
      </c>
      <c r="AD54" s="293" t="e">
        <f ca="1">VLOOKUP($B54,KOMBI!$A:$ADS,AD$3,FALSE)</f>
        <v>#NUM!</v>
      </c>
      <c r="AE54" s="293" t="e">
        <f ca="1">VLOOKUP($B54,KOMBI!$A:$ADS,AE$3,FALSE)</f>
        <v>#NUM!</v>
      </c>
      <c r="AF54" s="293" t="e">
        <f ca="1">VLOOKUP($B54,KOMBI!$A:$ADS,AF$3,FALSE)-AE54</f>
        <v>#NUM!</v>
      </c>
      <c r="AG54" s="293" t="e">
        <f ca="1">VLOOKUP($B54,KOMBI!$A:$ADS,AG$3,FALSE)</f>
        <v>#NUM!</v>
      </c>
      <c r="AI54" s="293" t="e">
        <f t="array" aca="1" ref="AI54" ca="1">VLOOKUP($B54,KOMBI!$A:$ADS,MATCH(Tulem!AI$3,KOMBI!$A$1:$ADS$1,0),FALSE)</f>
        <v>#NUM!</v>
      </c>
      <c r="AJ54" s="293" t="e">
        <f t="array" aca="1" ref="AJ54" ca="1">VLOOKUP($B54,KOMBI!$A:$ADS,MATCH(Tulem!AJ$3,KOMBI!$A$1:$ADS$1,0),FALSE)</f>
        <v>#NUM!</v>
      </c>
      <c r="AK54" s="293" t="e">
        <f t="array" aca="1" ref="AK54" ca="1">VLOOKUP($B54,KOMBI!$A:$ADS,MATCH(Tulem!AK$3,KOMBI!$A$1:$ADS$1,0),FALSE)</f>
        <v>#NUM!</v>
      </c>
      <c r="AL54" s="293" t="e">
        <f t="array" aca="1" ref="AL54" ca="1">VLOOKUP($B54,KOMBI!$A:$ADS,MATCH(Tulem!AL$3,KOMBI!$A$1:$ADS$1,0),FALSE)</f>
        <v>#NUM!</v>
      </c>
      <c r="AM54" s="293" t="e">
        <f t="array" aca="1" ref="AM54" ca="1">VLOOKUP($B54,KOMBI!$A:$ADS,MATCH(Tulem!AM$3,KOMBI!$A$1:$ADS$1,0),FALSE)</f>
        <v>#NUM!</v>
      </c>
      <c r="AN54" s="293" t="e">
        <f t="array" aca="1" ref="AN54" ca="1">VLOOKUP($B54,KOMBI!$A:$ADS,MATCH(Tulem!AN$3,KOMBI!$A$1:$ADS$1,0),FALSE)</f>
        <v>#NUM!</v>
      </c>
      <c r="AO54" s="293" t="e">
        <f t="array" aca="1" ref="AO54" ca="1">VLOOKUP($B54,KOMBI!$A:$ADS,MATCH(Tulem!AO$3,KOMBI!$A$1:$ADS$1,0),FALSE)</f>
        <v>#NUM!</v>
      </c>
      <c r="AP54" s="293" t="e">
        <f t="array" aca="1" ref="AP54" ca="1">VLOOKUP($B54,KOMBI!$A:$ADS,MATCH(Tulem!AP$3,KOMBI!$A$1:$ADS$1,0),FALSE)</f>
        <v>#NUM!</v>
      </c>
      <c r="AQ54" s="293" t="e">
        <f t="array" aca="1" ref="AQ54" ca="1">VLOOKUP($B54,KOMBI!$A:$ADS,MATCH(Tulem!AQ$3,KOMBI!$A$1:$ADS$1,0),FALSE)</f>
        <v>#NUM!</v>
      </c>
      <c r="AR54" s="293" t="e">
        <f t="array" aca="1" ref="AR54" ca="1">VLOOKUP($B54,KOMBI!$A:$ADS,MATCH(Tulem!AR$3,KOMBI!$A$1:$ADS$1,0),FALSE)</f>
        <v>#NUM!</v>
      </c>
      <c r="AS54" s="293" t="e">
        <f t="array" aca="1" ref="AS54" ca="1">VLOOKUP($B54,KOMBI!$A:$ADS,MATCH(Tulem!AS$3,KOMBI!$A$1:$ADS$1,0),FALSE)</f>
        <v>#NUM!</v>
      </c>
      <c r="AT54" s="293" t="e">
        <f t="array" aca="1" ref="AT54" ca="1">VLOOKUP($B54,KOMBI!$A:$ADS,MATCH(Tulem!AT$3,KOMBI!$A$1:$ADS$1,0),FALSE)</f>
        <v>#NUM!</v>
      </c>
      <c r="AU54" s="293" t="e">
        <f t="array" aca="1" ref="AU54" ca="1">VLOOKUP($B54,KOMBI!$A:$ADS,MATCH(Tulem!AU$3,KOMBI!$A$1:$ADS$1,0),FALSE)</f>
        <v>#NUM!</v>
      </c>
      <c r="AV54" s="293" t="e">
        <f t="shared" ca="1" si="1"/>
        <v>#NUM!</v>
      </c>
      <c r="AW54" s="293" t="e">
        <f t="shared" ca="1" si="2"/>
        <v>#NUM!</v>
      </c>
      <c r="AX54" s="291" t="e">
        <f ca="1">VLOOKUP($B54,KOMBI!$A:$ACA,MATCH(AX$5,KOMBI!$10:$10,0),FALSE)</f>
        <v>#NUM!</v>
      </c>
      <c r="AY54" s="292" t="e">
        <f t="array" aca="1" ref="AY54" ca="1">VLOOKUP($B54,KOMBI!$A:$ADS,MATCH(Tulem!AY$3,KOMBI!$A$1:$ADS$1,0),FALSE)</f>
        <v>#NUM!</v>
      </c>
      <c r="AZ54" s="292" t="e">
        <f t="array" aca="1" ref="AZ54" ca="1">VLOOKUP($B54,KOMBI!$A:$ADS,MATCH(Tulem!AZ$3,KOMBI!$A$1:$ADS$1,0),FALSE)</f>
        <v>#NUM!</v>
      </c>
      <c r="BA54" s="292" t="e">
        <f t="array" aca="1" ref="BA54" ca="1">VLOOKUP($B54,KOMBI!$A:$ADS,MATCH(Tulem!BA$3,KOMBI!$A$1:$ADS$1,0),FALSE)</f>
        <v>#NUM!</v>
      </c>
      <c r="BB54" s="292" t="e">
        <f t="array" aca="1" ref="BB54" ca="1">VLOOKUP($B54,KOMBI!$A:$ADS,MATCH(Tulem!BB$3,KOMBI!$A$1:$ADS$1,0),FALSE)</f>
        <v>#NUM!</v>
      </c>
      <c r="BC54" s="292" t="e">
        <f t="array" aca="1" ref="BC54" ca="1">VLOOKUP($B54,KOMBI!$A:$ADS,MATCH(Tulem!BC$3,KOMBI!$A$1:$ADS$1,0),FALSE)</f>
        <v>#NUM!</v>
      </c>
      <c r="BD54" s="292" t="e">
        <f t="array" aca="1" ref="BD54" ca="1">VLOOKUP($B54,KOMBI!$A:$ADS,MATCH(Tulem!BD$3,KOMBI!$A$1:$ADS$1,0),FALSE)</f>
        <v>#NUM!</v>
      </c>
      <c r="BE54" s="292" t="e">
        <f t="array" aca="1" ref="BE54" ca="1">VLOOKUP($B54,KOMBI!$A:$ADS,MATCH(Tulem!BE$3,KOMBI!$A$1:$ADS$1,0),FALSE)</f>
        <v>#NUM!</v>
      </c>
      <c r="BF54" s="292" t="e">
        <f t="array" aca="1" ref="BF54" ca="1">VLOOKUP($B54,KOMBI!$A:$ADS,MATCH(Tulem!BF$3,KOMBI!$A$1:$ADS$1,0),FALSE)</f>
        <v>#NUM!</v>
      </c>
      <c r="BG54" s="292" t="e">
        <f t="array" aca="1" ref="BG54" ca="1">VLOOKUP($B54,KOMBI!$A:$ADS,MATCH(Tulem!BG$3,KOMBI!$A$1:$ADS$1,0),FALSE)</f>
        <v>#NUM!</v>
      </c>
      <c r="BH54" s="292" t="e">
        <f t="array" aca="1" ref="BH54" ca="1">VLOOKUP($B54,KOMBI!$A:$ADS,MATCH(Tulem!BH$3,KOMBI!$A$1:$ADS$1,0),FALSE)</f>
        <v>#NUM!</v>
      </c>
      <c r="BI54" s="292" t="e">
        <f t="array" aca="1" ref="BI54" ca="1">VLOOKUP($B54,KOMBI!$A:$ADS,MATCH(Tulem!BI$3,KOMBI!$A$1:$ADS$1,0),FALSE)</f>
        <v>#NUM!</v>
      </c>
      <c r="BJ54" s="292" t="e">
        <f t="array" aca="1" ref="BJ54" ca="1">VLOOKUP($B54,KOMBI!$A:$ADS,MATCH(Tulem!BJ$3,KOMBI!$A$1:$ADS$1,0),FALSE)</f>
        <v>#NUM!</v>
      </c>
      <c r="BK54" s="292" t="e">
        <f t="array" aca="1" ref="BK54" ca="1">VLOOKUP($B54,KOMBI!$A:$ADS,MATCH(Tulem!BK$3,KOMBI!$A$1:$ADS$1,0),FALSE)</f>
        <v>#NUM!</v>
      </c>
      <c r="BL54" s="292" t="e">
        <f t="array" aca="1" ref="BL54" ca="1">VLOOKUP($B54,KOMBI!$A:$ADS,MATCH(Tulem!BL$3,KOMBI!$A$1:$ADS$1,0),FALSE)</f>
        <v>#NUM!</v>
      </c>
      <c r="BM54" s="292" t="e">
        <f t="array" aca="1" ref="BM54" ca="1">VLOOKUP($B54,KOMBI!$A:$ADS,MATCH(Tulem!BM$3,KOMBI!$A$1:$ADS$1,0),FALSE)</f>
        <v>#NUM!</v>
      </c>
      <c r="BN54" s="292" t="e">
        <f t="array" aca="1" ref="BN54" ca="1">VLOOKUP($B54,KOMBI!$A:$ADS,MATCH(Tulem!BN$3,KOMBI!$A$1:$ADS$1,0),FALSE)</f>
        <v>#NUM!</v>
      </c>
      <c r="BO54" s="292" t="e">
        <f t="array" aca="1" ref="BO54" ca="1">VLOOKUP($B54,KOMBI!$A:$ADS,MATCH(Tulem!BO$3,KOMBI!$A$1:$ADS$1,0),FALSE)</f>
        <v>#NUM!</v>
      </c>
      <c r="BP54" s="291"/>
      <c r="BQ54" s="292" t="e">
        <f t="array" aca="1" ref="BQ54" ca="1">VLOOKUP($B54,KOMBI!$A:$ADS,MATCH(Tulem!BQ$3,KOMBI!$A$1:$ADS$1,0),FALSE)</f>
        <v>#NUM!</v>
      </c>
      <c r="BR54" s="292" t="e">
        <f t="array" aca="1" ref="BR54" ca="1">VLOOKUP($B54,KOMBI!$A:$ADS,MATCH(Tulem!BR$3,KOMBI!$A$1:$ADS$1,0),FALSE)</f>
        <v>#NUM!</v>
      </c>
      <c r="BS54" s="292" t="e">
        <f t="array" aca="1" ref="BS54" ca="1">VLOOKUP($B54,KOMBI!$A:$ADS,MATCH(Tulem!BS$3,KOMBI!$A$1:$ADS$1,0),FALSE)</f>
        <v>#NUM!</v>
      </c>
      <c r="BT54" s="292" t="e">
        <f t="array" aca="1" ref="BT54" ca="1">VLOOKUP($B54,KOMBI!$A:$ADS,MATCH(Tulem!BT$3,KOMBI!$A$1:$ADS$1,0),FALSE)</f>
        <v>#NUM!</v>
      </c>
      <c r="BU54" s="292" t="e">
        <f t="array" aca="1" ref="BU54" ca="1">VLOOKUP($B54,KOMBI!$A:$ADS,MATCH(Tulem!BU$3,KOMBI!$A$1:$ADS$1,0),FALSE)</f>
        <v>#NUM!</v>
      </c>
      <c r="BV54" s="291"/>
      <c r="BW54" s="292" t="e">
        <f t="array" aca="1" ref="BW54" ca="1">VLOOKUP($B54,KOMBI!$A:$ADS,MATCH(Tulem!BW$3,KOMBI!$A$1:$ADS$1,0),FALSE)</f>
        <v>#NUM!</v>
      </c>
      <c r="BX54" s="291"/>
      <c r="BY54" s="291"/>
      <c r="BZ54" s="292" t="e">
        <f t="array" aca="1" ref="BZ54" ca="1">VLOOKUP($B54,KOMBI!$A:$ADS,MATCH(Tulem!BZ$3,KOMBI!$A$1:$ADS$1,0),FALSE)</f>
        <v>#NUM!</v>
      </c>
      <c r="CA54" s="292" t="e">
        <f t="array" aca="1" ref="CA54" ca="1">VLOOKUP($B54,KOMBI!$A:$ADS,MATCH(Tulem!CA$3,KOMBI!$A$1:$ADS$1,0),FALSE)</f>
        <v>#NUM!</v>
      </c>
      <c r="CB54" s="292" t="e">
        <f t="array" aca="1" ref="CB54" ca="1">VLOOKUP($B54,KOMBI!$A:$ADS,MATCH(Tulem!CB$3,KOMBI!$A$1:$ADS$1,0),FALSE)</f>
        <v>#NUM!</v>
      </c>
      <c r="CC54" s="292" t="e">
        <f t="array" aca="1" ref="CC54" ca="1">VLOOKUP($B54,KOMBI!$A:$ADS,MATCH(Tulem!CC$3,KOMBI!$A$1:$ADS$1,0),FALSE)</f>
        <v>#NUM!</v>
      </c>
      <c r="CD54" s="292" t="e">
        <f t="array" aca="1" ref="CD54" ca="1">VLOOKUP($B54,KOMBI!$A:$ADS,MATCH(Tulem!CD$3,KOMBI!$A$1:$ADS$1,0),FALSE)</f>
        <v>#NUM!</v>
      </c>
      <c r="CF54" s="51" t="e">
        <f ca="1">VLOOKUP($B54,KOMBI!$A:$ACG,MATCH(CF$5,KOMBI!$10:$10,0),FALSE)</f>
        <v>#NUM!</v>
      </c>
    </row>
    <row r="55" spans="1:84" x14ac:dyDescent="0.2">
      <c r="A55" s="51">
        <v>50</v>
      </c>
      <c r="B55" s="51" t="e">
        <f ca="1">KOMBI!GI60</f>
        <v>#NUM!</v>
      </c>
      <c r="C55" s="51">
        <f t="shared" si="0"/>
        <v>50</v>
      </c>
      <c r="D55" s="290" t="e">
        <f ca="1">VLOOKUP(VLOOKUP($B55,KOMBI!$A:$H,3,FALSE),data!$I$27:$J$29,2,FALSE)</f>
        <v>#NUM!</v>
      </c>
      <c r="E55" s="290" t="e">
        <f ca="1">VLOOKUP(VLOOKUP($B55,KOMBI!$A:$H,2,FALSE),data!$I$21:$J$23,2,FALSE)</f>
        <v>#NUM!</v>
      </c>
      <c r="F55" s="290" t="e">
        <f ca="1">VLOOKUP(VLOOKUP($B55,KOMBI!$A:$H,5,FALSE),data!$I$39:$J$41,2,FALSE)</f>
        <v>#NUM!</v>
      </c>
      <c r="G55" s="290" t="e">
        <f ca="1">VLOOKUP(VLOOKUP($B55,KOMBI!$A:$H,4,FALSE),data!$I$32:$J$36,2,FALSE)</f>
        <v>#NUM!</v>
      </c>
      <c r="I55" s="51" t="e">
        <f ca="1">VLOOKUP($B55,KOMBI!$A:$Z,MATCH(I$5,KOMBI!$10:$10,0),FALSE)</f>
        <v>#NUM!</v>
      </c>
      <c r="J55" s="291" t="e">
        <f ca="1">VLOOKUP($B55,KOMBI!$A:$ADS,J$3,FALSE)</f>
        <v>#NUM!</v>
      </c>
      <c r="K55" s="291" t="e">
        <f ca="1">VLOOKUP($B55,KOMBI!$A:$ADS,K$3,FALSE)</f>
        <v>#NUM!</v>
      </c>
      <c r="L55" s="291" t="e">
        <f ca="1">VLOOKUP($B55,KOMBI!$A:$ADS,L$3,FALSE)</f>
        <v>#NUM!</v>
      </c>
      <c r="M55" s="291" t="e">
        <f ca="1">VLOOKUP($B55,KOMBI!$A:$ADS,M$3,FALSE)</f>
        <v>#NUM!</v>
      </c>
      <c r="N55" s="291" t="e">
        <f ca="1">VLOOKUP($B55,KOMBI!$A:$ADS,N$3,FALSE)</f>
        <v>#NUM!</v>
      </c>
      <c r="O55" s="291" t="e">
        <f ca="1">VLOOKUP($B55,KOMBI!$A:$ADS,O$3,FALSE)</f>
        <v>#NUM!</v>
      </c>
      <c r="P55" s="291" t="e">
        <f ca="1">VLOOKUP($B55,KOMBI!$A:$ADS,P$3,FALSE)</f>
        <v>#NUM!</v>
      </c>
      <c r="Q55" s="292" t="e">
        <f t="array" aca="1" ref="Q55" ca="1">VLOOKUP($B55,KOMBI!$A:$ADS,MATCH(Tulem!Q$3,KOMBI!$A$1:$ADS$1,0),FALSE)</f>
        <v>#NUM!</v>
      </c>
      <c r="S55" s="332" t="e">
        <f t="array" aca="1" ref="S55" ca="1">VLOOKUP($B55,KOMBI!$A:$ADS,MATCH(Tulem!S$3,KOMBI!$A$1:$ADS$1,0),FALSE)</f>
        <v>#NUM!</v>
      </c>
      <c r="T55" s="293" t="e">
        <f ca="1">VLOOKUP($B55,KOMBI!$A:$ADS,T$3,FALSE)</f>
        <v>#NUM!</v>
      </c>
      <c r="U55" s="293" t="e">
        <f ca="1">VLOOKUP($B55,KOMBI!$A:$ADS,U$3,FALSE)</f>
        <v>#NUM!</v>
      </c>
      <c r="V55" s="293" t="e">
        <f ca="1">VLOOKUP($B55,KOMBI!$A:$ADS,V$3,FALSE)</f>
        <v>#NUM!</v>
      </c>
      <c r="W55" s="293"/>
      <c r="X55" s="293" t="e">
        <f ca="1">VLOOKUP($B55,KOMBI!$A:$ADS,X$3,FALSE)</f>
        <v>#NUM!</v>
      </c>
      <c r="Y55" s="293" t="e">
        <f ca="1">VLOOKUP($B55,KOMBI!$A:$ADS,Y$3,FALSE)</f>
        <v>#NUM!</v>
      </c>
      <c r="Z55" s="293" t="e">
        <f ca="1">VLOOKUP($B55,KOMBI!$A:$ADS,Z$3,FALSE)</f>
        <v>#NUM!</v>
      </c>
      <c r="AA55" s="294"/>
      <c r="AB55" s="293" t="e">
        <f ca="1">VLOOKUP($B55,KOMBI!$A:$ADS,AB$3,FALSE)</f>
        <v>#NUM!</v>
      </c>
      <c r="AC55" s="293" t="e">
        <f ca="1">VLOOKUP($B55,KOMBI!$A:$ADS,AC$3,FALSE)-AB55</f>
        <v>#NUM!</v>
      </c>
      <c r="AD55" s="293" t="e">
        <f ca="1">VLOOKUP($B55,KOMBI!$A:$ADS,AD$3,FALSE)</f>
        <v>#NUM!</v>
      </c>
      <c r="AE55" s="293" t="e">
        <f ca="1">VLOOKUP($B55,KOMBI!$A:$ADS,AE$3,FALSE)</f>
        <v>#NUM!</v>
      </c>
      <c r="AF55" s="293" t="e">
        <f ca="1">VLOOKUP($B55,KOMBI!$A:$ADS,AF$3,FALSE)-AE55</f>
        <v>#NUM!</v>
      </c>
      <c r="AG55" s="293" t="e">
        <f ca="1">VLOOKUP($B55,KOMBI!$A:$ADS,AG$3,FALSE)</f>
        <v>#NUM!</v>
      </c>
      <c r="AI55" s="293" t="e">
        <f t="array" aca="1" ref="AI55" ca="1">VLOOKUP($B55,KOMBI!$A:$ADS,MATCH(Tulem!AI$3,KOMBI!$A$1:$ADS$1,0),FALSE)</f>
        <v>#NUM!</v>
      </c>
      <c r="AJ55" s="293" t="e">
        <f t="array" aca="1" ref="AJ55" ca="1">VLOOKUP($B55,KOMBI!$A:$ADS,MATCH(Tulem!AJ$3,KOMBI!$A$1:$ADS$1,0),FALSE)</f>
        <v>#NUM!</v>
      </c>
      <c r="AK55" s="293" t="e">
        <f t="array" aca="1" ref="AK55" ca="1">VLOOKUP($B55,KOMBI!$A:$ADS,MATCH(Tulem!AK$3,KOMBI!$A$1:$ADS$1,0),FALSE)</f>
        <v>#NUM!</v>
      </c>
      <c r="AL55" s="293" t="e">
        <f t="array" aca="1" ref="AL55" ca="1">VLOOKUP($B55,KOMBI!$A:$ADS,MATCH(Tulem!AL$3,KOMBI!$A$1:$ADS$1,0),FALSE)</f>
        <v>#NUM!</v>
      </c>
      <c r="AM55" s="293" t="e">
        <f t="array" aca="1" ref="AM55" ca="1">VLOOKUP($B55,KOMBI!$A:$ADS,MATCH(Tulem!AM$3,KOMBI!$A$1:$ADS$1,0),FALSE)</f>
        <v>#NUM!</v>
      </c>
      <c r="AN55" s="293" t="e">
        <f t="array" aca="1" ref="AN55" ca="1">VLOOKUP($B55,KOMBI!$A:$ADS,MATCH(Tulem!AN$3,KOMBI!$A$1:$ADS$1,0),FALSE)</f>
        <v>#NUM!</v>
      </c>
      <c r="AO55" s="293" t="e">
        <f t="array" aca="1" ref="AO55" ca="1">VLOOKUP($B55,KOMBI!$A:$ADS,MATCH(Tulem!AO$3,KOMBI!$A$1:$ADS$1,0),FALSE)</f>
        <v>#NUM!</v>
      </c>
      <c r="AP55" s="293" t="e">
        <f t="array" aca="1" ref="AP55" ca="1">VLOOKUP($B55,KOMBI!$A:$ADS,MATCH(Tulem!AP$3,KOMBI!$A$1:$ADS$1,0),FALSE)</f>
        <v>#NUM!</v>
      </c>
      <c r="AQ55" s="293" t="e">
        <f t="array" aca="1" ref="AQ55" ca="1">VLOOKUP($B55,KOMBI!$A:$ADS,MATCH(Tulem!AQ$3,KOMBI!$A$1:$ADS$1,0),FALSE)</f>
        <v>#NUM!</v>
      </c>
      <c r="AR55" s="293" t="e">
        <f t="array" aca="1" ref="AR55" ca="1">VLOOKUP($B55,KOMBI!$A:$ADS,MATCH(Tulem!AR$3,KOMBI!$A$1:$ADS$1,0),FALSE)</f>
        <v>#NUM!</v>
      </c>
      <c r="AS55" s="293" t="e">
        <f t="array" aca="1" ref="AS55" ca="1">VLOOKUP($B55,KOMBI!$A:$ADS,MATCH(Tulem!AS$3,KOMBI!$A$1:$ADS$1,0),FALSE)</f>
        <v>#NUM!</v>
      </c>
      <c r="AT55" s="293" t="e">
        <f t="array" aca="1" ref="AT55" ca="1">VLOOKUP($B55,KOMBI!$A:$ADS,MATCH(Tulem!AT$3,KOMBI!$A$1:$ADS$1,0),FALSE)</f>
        <v>#NUM!</v>
      </c>
      <c r="AU55" s="293" t="e">
        <f t="array" aca="1" ref="AU55" ca="1">VLOOKUP($B55,KOMBI!$A:$ADS,MATCH(Tulem!AU$3,KOMBI!$A$1:$ADS$1,0),FALSE)</f>
        <v>#NUM!</v>
      </c>
      <c r="AV55" s="293" t="e">
        <f t="shared" ca="1" si="1"/>
        <v>#NUM!</v>
      </c>
      <c r="AW55" s="293" t="e">
        <f t="shared" ca="1" si="2"/>
        <v>#NUM!</v>
      </c>
      <c r="AX55" s="291" t="e">
        <f ca="1">VLOOKUP($B55,KOMBI!$A:$ACA,MATCH(AX$5,KOMBI!$10:$10,0),FALSE)</f>
        <v>#NUM!</v>
      </c>
      <c r="AY55" s="292" t="e">
        <f t="array" aca="1" ref="AY55" ca="1">VLOOKUP($B55,KOMBI!$A:$ADS,MATCH(Tulem!AY$3,KOMBI!$A$1:$ADS$1,0),FALSE)</f>
        <v>#NUM!</v>
      </c>
      <c r="AZ55" s="292" t="e">
        <f t="array" aca="1" ref="AZ55" ca="1">VLOOKUP($B55,KOMBI!$A:$ADS,MATCH(Tulem!AZ$3,KOMBI!$A$1:$ADS$1,0),FALSE)</f>
        <v>#NUM!</v>
      </c>
      <c r="BA55" s="292" t="e">
        <f t="array" aca="1" ref="BA55" ca="1">VLOOKUP($B55,KOMBI!$A:$ADS,MATCH(Tulem!BA$3,KOMBI!$A$1:$ADS$1,0),FALSE)</f>
        <v>#NUM!</v>
      </c>
      <c r="BB55" s="292" t="e">
        <f t="array" aca="1" ref="BB55" ca="1">VLOOKUP($B55,KOMBI!$A:$ADS,MATCH(Tulem!BB$3,KOMBI!$A$1:$ADS$1,0),FALSE)</f>
        <v>#NUM!</v>
      </c>
      <c r="BC55" s="292" t="e">
        <f t="array" aca="1" ref="BC55" ca="1">VLOOKUP($B55,KOMBI!$A:$ADS,MATCH(Tulem!BC$3,KOMBI!$A$1:$ADS$1,0),FALSE)</f>
        <v>#NUM!</v>
      </c>
      <c r="BD55" s="292" t="e">
        <f t="array" aca="1" ref="BD55" ca="1">VLOOKUP($B55,KOMBI!$A:$ADS,MATCH(Tulem!BD$3,KOMBI!$A$1:$ADS$1,0),FALSE)</f>
        <v>#NUM!</v>
      </c>
      <c r="BE55" s="292" t="e">
        <f t="array" aca="1" ref="BE55" ca="1">VLOOKUP($B55,KOMBI!$A:$ADS,MATCH(Tulem!BE$3,KOMBI!$A$1:$ADS$1,0),FALSE)</f>
        <v>#NUM!</v>
      </c>
      <c r="BF55" s="292" t="e">
        <f t="array" aca="1" ref="BF55" ca="1">VLOOKUP($B55,KOMBI!$A:$ADS,MATCH(Tulem!BF$3,KOMBI!$A$1:$ADS$1,0),FALSE)</f>
        <v>#NUM!</v>
      </c>
      <c r="BG55" s="292" t="e">
        <f t="array" aca="1" ref="BG55" ca="1">VLOOKUP($B55,KOMBI!$A:$ADS,MATCH(Tulem!BG$3,KOMBI!$A$1:$ADS$1,0),FALSE)</f>
        <v>#NUM!</v>
      </c>
      <c r="BH55" s="292" t="e">
        <f t="array" aca="1" ref="BH55" ca="1">VLOOKUP($B55,KOMBI!$A:$ADS,MATCH(Tulem!BH$3,KOMBI!$A$1:$ADS$1,0),FALSE)</f>
        <v>#NUM!</v>
      </c>
      <c r="BI55" s="292" t="e">
        <f t="array" aca="1" ref="BI55" ca="1">VLOOKUP($B55,KOMBI!$A:$ADS,MATCH(Tulem!BI$3,KOMBI!$A$1:$ADS$1,0),FALSE)</f>
        <v>#NUM!</v>
      </c>
      <c r="BJ55" s="292" t="e">
        <f t="array" aca="1" ref="BJ55" ca="1">VLOOKUP($B55,KOMBI!$A:$ADS,MATCH(Tulem!BJ$3,KOMBI!$A$1:$ADS$1,0),FALSE)</f>
        <v>#NUM!</v>
      </c>
      <c r="BK55" s="292" t="e">
        <f t="array" aca="1" ref="BK55" ca="1">VLOOKUP($B55,KOMBI!$A:$ADS,MATCH(Tulem!BK$3,KOMBI!$A$1:$ADS$1,0),FALSE)</f>
        <v>#NUM!</v>
      </c>
      <c r="BL55" s="292" t="e">
        <f t="array" aca="1" ref="BL55" ca="1">VLOOKUP($B55,KOMBI!$A:$ADS,MATCH(Tulem!BL$3,KOMBI!$A$1:$ADS$1,0),FALSE)</f>
        <v>#NUM!</v>
      </c>
      <c r="BM55" s="292" t="e">
        <f t="array" aca="1" ref="BM55" ca="1">VLOOKUP($B55,KOMBI!$A:$ADS,MATCH(Tulem!BM$3,KOMBI!$A$1:$ADS$1,0),FALSE)</f>
        <v>#NUM!</v>
      </c>
      <c r="BN55" s="292" t="e">
        <f t="array" aca="1" ref="BN55" ca="1">VLOOKUP($B55,KOMBI!$A:$ADS,MATCH(Tulem!BN$3,KOMBI!$A$1:$ADS$1,0),FALSE)</f>
        <v>#NUM!</v>
      </c>
      <c r="BO55" s="292" t="e">
        <f t="array" aca="1" ref="BO55" ca="1">VLOOKUP($B55,KOMBI!$A:$ADS,MATCH(Tulem!BO$3,KOMBI!$A$1:$ADS$1,0),FALSE)</f>
        <v>#NUM!</v>
      </c>
      <c r="BP55" s="291"/>
      <c r="BQ55" s="292" t="e">
        <f t="array" aca="1" ref="BQ55" ca="1">VLOOKUP($B55,KOMBI!$A:$ADS,MATCH(Tulem!BQ$3,KOMBI!$A$1:$ADS$1,0),FALSE)</f>
        <v>#NUM!</v>
      </c>
      <c r="BR55" s="292" t="e">
        <f t="array" aca="1" ref="BR55" ca="1">VLOOKUP($B55,KOMBI!$A:$ADS,MATCH(Tulem!BR$3,KOMBI!$A$1:$ADS$1,0),FALSE)</f>
        <v>#NUM!</v>
      </c>
      <c r="BS55" s="292" t="e">
        <f t="array" aca="1" ref="BS55" ca="1">VLOOKUP($B55,KOMBI!$A:$ADS,MATCH(Tulem!BS$3,KOMBI!$A$1:$ADS$1,0),FALSE)</f>
        <v>#NUM!</v>
      </c>
      <c r="BT55" s="292" t="e">
        <f t="array" aca="1" ref="BT55" ca="1">VLOOKUP($B55,KOMBI!$A:$ADS,MATCH(Tulem!BT$3,KOMBI!$A$1:$ADS$1,0),FALSE)</f>
        <v>#NUM!</v>
      </c>
      <c r="BU55" s="292" t="e">
        <f t="array" aca="1" ref="BU55" ca="1">VLOOKUP($B55,KOMBI!$A:$ADS,MATCH(Tulem!BU$3,KOMBI!$A$1:$ADS$1,0),FALSE)</f>
        <v>#NUM!</v>
      </c>
      <c r="BV55" s="291"/>
      <c r="BW55" s="292" t="e">
        <f t="array" aca="1" ref="BW55" ca="1">VLOOKUP($B55,KOMBI!$A:$ADS,MATCH(Tulem!BW$3,KOMBI!$A$1:$ADS$1,0),FALSE)</f>
        <v>#NUM!</v>
      </c>
      <c r="BX55" s="291"/>
      <c r="BY55" s="291"/>
      <c r="BZ55" s="292" t="e">
        <f t="array" aca="1" ref="BZ55" ca="1">VLOOKUP($B55,KOMBI!$A:$ADS,MATCH(Tulem!BZ$3,KOMBI!$A$1:$ADS$1,0),FALSE)</f>
        <v>#NUM!</v>
      </c>
      <c r="CA55" s="292" t="e">
        <f t="array" aca="1" ref="CA55" ca="1">VLOOKUP($B55,KOMBI!$A:$ADS,MATCH(Tulem!CA$3,KOMBI!$A$1:$ADS$1,0),FALSE)</f>
        <v>#NUM!</v>
      </c>
      <c r="CB55" s="292" t="e">
        <f t="array" aca="1" ref="CB55" ca="1">VLOOKUP($B55,KOMBI!$A:$ADS,MATCH(Tulem!CB$3,KOMBI!$A$1:$ADS$1,0),FALSE)</f>
        <v>#NUM!</v>
      </c>
      <c r="CC55" s="292" t="e">
        <f t="array" aca="1" ref="CC55" ca="1">VLOOKUP($B55,KOMBI!$A:$ADS,MATCH(Tulem!CC$3,KOMBI!$A$1:$ADS$1,0),FALSE)</f>
        <v>#NUM!</v>
      </c>
      <c r="CD55" s="292" t="e">
        <f t="array" aca="1" ref="CD55" ca="1">VLOOKUP($B55,KOMBI!$A:$ADS,MATCH(Tulem!CD$3,KOMBI!$A$1:$ADS$1,0),FALSE)</f>
        <v>#NUM!</v>
      </c>
      <c r="CF55" s="51" t="e">
        <f ca="1">VLOOKUP($B55,KOMBI!$A:$ACG,MATCH(CF$5,KOMBI!$10:$10,0),FALSE)</f>
        <v>#NUM!</v>
      </c>
    </row>
    <row r="56" spans="1:84" x14ac:dyDescent="0.2">
      <c r="A56" s="51">
        <v>51</v>
      </c>
      <c r="B56" s="51" t="e">
        <f ca="1">KOMBI!GI61</f>
        <v>#NUM!</v>
      </c>
      <c r="C56" s="51">
        <f t="shared" si="0"/>
        <v>51</v>
      </c>
      <c r="D56" s="290" t="e">
        <f ca="1">VLOOKUP(VLOOKUP($B56,KOMBI!$A:$H,3,FALSE),data!$I$27:$J$29,2,FALSE)</f>
        <v>#NUM!</v>
      </c>
      <c r="E56" s="290" t="e">
        <f ca="1">VLOOKUP(VLOOKUP($B56,KOMBI!$A:$H,2,FALSE),data!$I$21:$J$23,2,FALSE)</f>
        <v>#NUM!</v>
      </c>
      <c r="F56" s="290" t="e">
        <f ca="1">VLOOKUP(VLOOKUP($B56,KOMBI!$A:$H,5,FALSE),data!$I$39:$J$41,2,FALSE)</f>
        <v>#NUM!</v>
      </c>
      <c r="G56" s="290" t="e">
        <f ca="1">VLOOKUP(VLOOKUP($B56,KOMBI!$A:$H,4,FALSE),data!$I$32:$J$36,2,FALSE)</f>
        <v>#NUM!</v>
      </c>
      <c r="I56" s="51" t="e">
        <f ca="1">VLOOKUP($B56,KOMBI!$A:$Z,MATCH(I$5,KOMBI!$10:$10,0),FALSE)</f>
        <v>#NUM!</v>
      </c>
      <c r="J56" s="291" t="e">
        <f ca="1">VLOOKUP($B56,KOMBI!$A:$ADS,J$3,FALSE)</f>
        <v>#NUM!</v>
      </c>
      <c r="K56" s="291" t="e">
        <f ca="1">VLOOKUP($B56,KOMBI!$A:$ADS,K$3,FALSE)</f>
        <v>#NUM!</v>
      </c>
      <c r="L56" s="291" t="e">
        <f ca="1">VLOOKUP($B56,KOMBI!$A:$ADS,L$3,FALSE)</f>
        <v>#NUM!</v>
      </c>
      <c r="M56" s="291" t="e">
        <f ca="1">VLOOKUP($B56,KOMBI!$A:$ADS,M$3,FALSE)</f>
        <v>#NUM!</v>
      </c>
      <c r="N56" s="291" t="e">
        <f ca="1">VLOOKUP($B56,KOMBI!$A:$ADS,N$3,FALSE)</f>
        <v>#NUM!</v>
      </c>
      <c r="O56" s="291" t="e">
        <f ca="1">VLOOKUP($B56,KOMBI!$A:$ADS,O$3,FALSE)</f>
        <v>#NUM!</v>
      </c>
      <c r="P56" s="291" t="e">
        <f ca="1">VLOOKUP($B56,KOMBI!$A:$ADS,P$3,FALSE)</f>
        <v>#NUM!</v>
      </c>
      <c r="Q56" s="292" t="e">
        <f t="array" aca="1" ref="Q56" ca="1">VLOOKUP($B56,KOMBI!$A:$ADS,MATCH(Tulem!Q$3,KOMBI!$A$1:$ADS$1,0),FALSE)</f>
        <v>#NUM!</v>
      </c>
      <c r="S56" s="332" t="e">
        <f t="array" aca="1" ref="S56" ca="1">VLOOKUP($B56,KOMBI!$A:$ADS,MATCH(Tulem!S$3,KOMBI!$A$1:$ADS$1,0),FALSE)</f>
        <v>#NUM!</v>
      </c>
      <c r="T56" s="293" t="e">
        <f ca="1">VLOOKUP($B56,KOMBI!$A:$ADS,T$3,FALSE)</f>
        <v>#NUM!</v>
      </c>
      <c r="U56" s="293" t="e">
        <f ca="1">VLOOKUP($B56,KOMBI!$A:$ADS,U$3,FALSE)</f>
        <v>#NUM!</v>
      </c>
      <c r="V56" s="293" t="e">
        <f ca="1">VLOOKUP($B56,KOMBI!$A:$ADS,V$3,FALSE)</f>
        <v>#NUM!</v>
      </c>
      <c r="W56" s="293"/>
      <c r="X56" s="293" t="e">
        <f ca="1">VLOOKUP($B56,KOMBI!$A:$ADS,X$3,FALSE)</f>
        <v>#NUM!</v>
      </c>
      <c r="Y56" s="293" t="e">
        <f ca="1">VLOOKUP($B56,KOMBI!$A:$ADS,Y$3,FALSE)</f>
        <v>#NUM!</v>
      </c>
      <c r="Z56" s="293" t="e">
        <f ca="1">VLOOKUP($B56,KOMBI!$A:$ADS,Z$3,FALSE)</f>
        <v>#NUM!</v>
      </c>
      <c r="AA56" s="294"/>
      <c r="AB56" s="293" t="e">
        <f ca="1">VLOOKUP($B56,KOMBI!$A:$ADS,AB$3,FALSE)</f>
        <v>#NUM!</v>
      </c>
      <c r="AC56" s="293" t="e">
        <f ca="1">VLOOKUP($B56,KOMBI!$A:$ADS,AC$3,FALSE)-AB56</f>
        <v>#NUM!</v>
      </c>
      <c r="AD56" s="293" t="e">
        <f ca="1">VLOOKUP($B56,KOMBI!$A:$ADS,AD$3,FALSE)</f>
        <v>#NUM!</v>
      </c>
      <c r="AE56" s="293" t="e">
        <f ca="1">VLOOKUP($B56,KOMBI!$A:$ADS,AE$3,FALSE)</f>
        <v>#NUM!</v>
      </c>
      <c r="AF56" s="293" t="e">
        <f ca="1">VLOOKUP($B56,KOMBI!$A:$ADS,AF$3,FALSE)-AE56</f>
        <v>#NUM!</v>
      </c>
      <c r="AG56" s="293" t="e">
        <f ca="1">VLOOKUP($B56,KOMBI!$A:$ADS,AG$3,FALSE)</f>
        <v>#NUM!</v>
      </c>
      <c r="AI56" s="293" t="e">
        <f t="array" aca="1" ref="AI56" ca="1">VLOOKUP($B56,KOMBI!$A:$ADS,MATCH(Tulem!AI$3,KOMBI!$A$1:$ADS$1,0),FALSE)</f>
        <v>#NUM!</v>
      </c>
      <c r="AJ56" s="293" t="e">
        <f t="array" aca="1" ref="AJ56" ca="1">VLOOKUP($B56,KOMBI!$A:$ADS,MATCH(Tulem!AJ$3,KOMBI!$A$1:$ADS$1,0),FALSE)</f>
        <v>#NUM!</v>
      </c>
      <c r="AK56" s="293" t="e">
        <f t="array" aca="1" ref="AK56" ca="1">VLOOKUP($B56,KOMBI!$A:$ADS,MATCH(Tulem!AK$3,KOMBI!$A$1:$ADS$1,0),FALSE)</f>
        <v>#NUM!</v>
      </c>
      <c r="AL56" s="293" t="e">
        <f t="array" aca="1" ref="AL56" ca="1">VLOOKUP($B56,KOMBI!$A:$ADS,MATCH(Tulem!AL$3,KOMBI!$A$1:$ADS$1,0),FALSE)</f>
        <v>#NUM!</v>
      </c>
      <c r="AM56" s="293" t="e">
        <f t="array" aca="1" ref="AM56" ca="1">VLOOKUP($B56,KOMBI!$A:$ADS,MATCH(Tulem!AM$3,KOMBI!$A$1:$ADS$1,0),FALSE)</f>
        <v>#NUM!</v>
      </c>
      <c r="AN56" s="293" t="e">
        <f t="array" aca="1" ref="AN56" ca="1">VLOOKUP($B56,KOMBI!$A:$ADS,MATCH(Tulem!AN$3,KOMBI!$A$1:$ADS$1,0),FALSE)</f>
        <v>#NUM!</v>
      </c>
      <c r="AO56" s="293" t="e">
        <f t="array" aca="1" ref="AO56" ca="1">VLOOKUP($B56,KOMBI!$A:$ADS,MATCH(Tulem!AO$3,KOMBI!$A$1:$ADS$1,0),FALSE)</f>
        <v>#NUM!</v>
      </c>
      <c r="AP56" s="293" t="e">
        <f t="array" aca="1" ref="AP56" ca="1">VLOOKUP($B56,KOMBI!$A:$ADS,MATCH(Tulem!AP$3,KOMBI!$A$1:$ADS$1,0),FALSE)</f>
        <v>#NUM!</v>
      </c>
      <c r="AQ56" s="293" t="e">
        <f t="array" aca="1" ref="AQ56" ca="1">VLOOKUP($B56,KOMBI!$A:$ADS,MATCH(Tulem!AQ$3,KOMBI!$A$1:$ADS$1,0),FALSE)</f>
        <v>#NUM!</v>
      </c>
      <c r="AR56" s="293" t="e">
        <f t="array" aca="1" ref="AR56" ca="1">VLOOKUP($B56,KOMBI!$A:$ADS,MATCH(Tulem!AR$3,KOMBI!$A$1:$ADS$1,0),FALSE)</f>
        <v>#NUM!</v>
      </c>
      <c r="AS56" s="293" t="e">
        <f t="array" aca="1" ref="AS56" ca="1">VLOOKUP($B56,KOMBI!$A:$ADS,MATCH(Tulem!AS$3,KOMBI!$A$1:$ADS$1,0),FALSE)</f>
        <v>#NUM!</v>
      </c>
      <c r="AT56" s="293" t="e">
        <f t="array" aca="1" ref="AT56" ca="1">VLOOKUP($B56,KOMBI!$A:$ADS,MATCH(Tulem!AT$3,KOMBI!$A$1:$ADS$1,0),FALSE)</f>
        <v>#NUM!</v>
      </c>
      <c r="AU56" s="293" t="e">
        <f t="array" aca="1" ref="AU56" ca="1">VLOOKUP($B56,KOMBI!$A:$ADS,MATCH(Tulem!AU$3,KOMBI!$A$1:$ADS$1,0),FALSE)</f>
        <v>#NUM!</v>
      </c>
      <c r="AV56" s="293" t="e">
        <f t="shared" ca="1" si="1"/>
        <v>#NUM!</v>
      </c>
      <c r="AW56" s="293" t="e">
        <f t="shared" ca="1" si="2"/>
        <v>#NUM!</v>
      </c>
      <c r="AX56" s="291" t="e">
        <f ca="1">VLOOKUP($B56,KOMBI!$A:$ACA,MATCH(AX$5,KOMBI!$10:$10,0),FALSE)</f>
        <v>#NUM!</v>
      </c>
      <c r="AY56" s="292" t="e">
        <f t="array" aca="1" ref="AY56" ca="1">VLOOKUP($B56,KOMBI!$A:$ADS,MATCH(Tulem!AY$3,KOMBI!$A$1:$ADS$1,0),FALSE)</f>
        <v>#NUM!</v>
      </c>
      <c r="AZ56" s="292" t="e">
        <f t="array" aca="1" ref="AZ56" ca="1">VLOOKUP($B56,KOMBI!$A:$ADS,MATCH(Tulem!AZ$3,KOMBI!$A$1:$ADS$1,0),FALSE)</f>
        <v>#NUM!</v>
      </c>
      <c r="BA56" s="292" t="e">
        <f t="array" aca="1" ref="BA56" ca="1">VLOOKUP($B56,KOMBI!$A:$ADS,MATCH(Tulem!BA$3,KOMBI!$A$1:$ADS$1,0),FALSE)</f>
        <v>#NUM!</v>
      </c>
      <c r="BB56" s="292" t="e">
        <f t="array" aca="1" ref="BB56" ca="1">VLOOKUP($B56,KOMBI!$A:$ADS,MATCH(Tulem!BB$3,KOMBI!$A$1:$ADS$1,0),FALSE)</f>
        <v>#NUM!</v>
      </c>
      <c r="BC56" s="292" t="e">
        <f t="array" aca="1" ref="BC56" ca="1">VLOOKUP($B56,KOMBI!$A:$ADS,MATCH(Tulem!BC$3,KOMBI!$A$1:$ADS$1,0),FALSE)</f>
        <v>#NUM!</v>
      </c>
      <c r="BD56" s="292" t="e">
        <f t="array" aca="1" ref="BD56" ca="1">VLOOKUP($B56,KOMBI!$A:$ADS,MATCH(Tulem!BD$3,KOMBI!$A$1:$ADS$1,0),FALSE)</f>
        <v>#NUM!</v>
      </c>
      <c r="BE56" s="292" t="e">
        <f t="array" aca="1" ref="BE56" ca="1">VLOOKUP($B56,KOMBI!$A:$ADS,MATCH(Tulem!BE$3,KOMBI!$A$1:$ADS$1,0),FALSE)</f>
        <v>#NUM!</v>
      </c>
      <c r="BF56" s="292" t="e">
        <f t="array" aca="1" ref="BF56" ca="1">VLOOKUP($B56,KOMBI!$A:$ADS,MATCH(Tulem!BF$3,KOMBI!$A$1:$ADS$1,0),FALSE)</f>
        <v>#NUM!</v>
      </c>
      <c r="BG56" s="292" t="e">
        <f t="array" aca="1" ref="BG56" ca="1">VLOOKUP($B56,KOMBI!$A:$ADS,MATCH(Tulem!BG$3,KOMBI!$A$1:$ADS$1,0),FALSE)</f>
        <v>#NUM!</v>
      </c>
      <c r="BH56" s="292" t="e">
        <f t="array" aca="1" ref="BH56" ca="1">VLOOKUP($B56,KOMBI!$A:$ADS,MATCH(Tulem!BH$3,KOMBI!$A$1:$ADS$1,0),FALSE)</f>
        <v>#NUM!</v>
      </c>
      <c r="BI56" s="292" t="e">
        <f t="array" aca="1" ref="BI56" ca="1">VLOOKUP($B56,KOMBI!$A:$ADS,MATCH(Tulem!BI$3,KOMBI!$A$1:$ADS$1,0),FALSE)</f>
        <v>#NUM!</v>
      </c>
      <c r="BJ56" s="292" t="e">
        <f t="array" aca="1" ref="BJ56" ca="1">VLOOKUP($B56,KOMBI!$A:$ADS,MATCH(Tulem!BJ$3,KOMBI!$A$1:$ADS$1,0),FALSE)</f>
        <v>#NUM!</v>
      </c>
      <c r="BK56" s="292" t="e">
        <f t="array" aca="1" ref="BK56" ca="1">VLOOKUP($B56,KOMBI!$A:$ADS,MATCH(Tulem!BK$3,KOMBI!$A$1:$ADS$1,0),FALSE)</f>
        <v>#NUM!</v>
      </c>
      <c r="BL56" s="292" t="e">
        <f t="array" aca="1" ref="BL56" ca="1">VLOOKUP($B56,KOMBI!$A:$ADS,MATCH(Tulem!BL$3,KOMBI!$A$1:$ADS$1,0),FALSE)</f>
        <v>#NUM!</v>
      </c>
      <c r="BM56" s="292" t="e">
        <f t="array" aca="1" ref="BM56" ca="1">VLOOKUP($B56,KOMBI!$A:$ADS,MATCH(Tulem!BM$3,KOMBI!$A$1:$ADS$1,0),FALSE)</f>
        <v>#NUM!</v>
      </c>
      <c r="BN56" s="292" t="e">
        <f t="array" aca="1" ref="BN56" ca="1">VLOOKUP($B56,KOMBI!$A:$ADS,MATCH(Tulem!BN$3,KOMBI!$A$1:$ADS$1,0),FALSE)</f>
        <v>#NUM!</v>
      </c>
      <c r="BO56" s="292" t="e">
        <f t="array" aca="1" ref="BO56" ca="1">VLOOKUP($B56,KOMBI!$A:$ADS,MATCH(Tulem!BO$3,KOMBI!$A$1:$ADS$1,0),FALSE)</f>
        <v>#NUM!</v>
      </c>
      <c r="BP56" s="291"/>
      <c r="BQ56" s="292" t="e">
        <f t="array" aca="1" ref="BQ56" ca="1">VLOOKUP($B56,KOMBI!$A:$ADS,MATCH(Tulem!BQ$3,KOMBI!$A$1:$ADS$1,0),FALSE)</f>
        <v>#NUM!</v>
      </c>
      <c r="BR56" s="292" t="e">
        <f t="array" aca="1" ref="BR56" ca="1">VLOOKUP($B56,KOMBI!$A:$ADS,MATCH(Tulem!BR$3,KOMBI!$A$1:$ADS$1,0),FALSE)</f>
        <v>#NUM!</v>
      </c>
      <c r="BS56" s="292" t="e">
        <f t="array" aca="1" ref="BS56" ca="1">VLOOKUP($B56,KOMBI!$A:$ADS,MATCH(Tulem!BS$3,KOMBI!$A$1:$ADS$1,0),FALSE)</f>
        <v>#NUM!</v>
      </c>
      <c r="BT56" s="292" t="e">
        <f t="array" aca="1" ref="BT56" ca="1">VLOOKUP($B56,KOMBI!$A:$ADS,MATCH(Tulem!BT$3,KOMBI!$A$1:$ADS$1,0),FALSE)</f>
        <v>#NUM!</v>
      </c>
      <c r="BU56" s="292" t="e">
        <f t="array" aca="1" ref="BU56" ca="1">VLOOKUP($B56,KOMBI!$A:$ADS,MATCH(Tulem!BU$3,KOMBI!$A$1:$ADS$1,0),FALSE)</f>
        <v>#NUM!</v>
      </c>
      <c r="BV56" s="291"/>
      <c r="BW56" s="292" t="e">
        <f t="array" aca="1" ref="BW56" ca="1">VLOOKUP($B56,KOMBI!$A:$ADS,MATCH(Tulem!BW$3,KOMBI!$A$1:$ADS$1,0),FALSE)</f>
        <v>#NUM!</v>
      </c>
      <c r="BX56" s="291"/>
      <c r="BY56" s="291"/>
      <c r="BZ56" s="292" t="e">
        <f t="array" aca="1" ref="BZ56" ca="1">VLOOKUP($B56,KOMBI!$A:$ADS,MATCH(Tulem!BZ$3,KOMBI!$A$1:$ADS$1,0),FALSE)</f>
        <v>#NUM!</v>
      </c>
      <c r="CA56" s="292" t="e">
        <f t="array" aca="1" ref="CA56" ca="1">VLOOKUP($B56,KOMBI!$A:$ADS,MATCH(Tulem!CA$3,KOMBI!$A$1:$ADS$1,0),FALSE)</f>
        <v>#NUM!</v>
      </c>
      <c r="CB56" s="292" t="e">
        <f t="array" aca="1" ref="CB56" ca="1">VLOOKUP($B56,KOMBI!$A:$ADS,MATCH(Tulem!CB$3,KOMBI!$A$1:$ADS$1,0),FALSE)</f>
        <v>#NUM!</v>
      </c>
      <c r="CC56" s="292" t="e">
        <f t="array" aca="1" ref="CC56" ca="1">VLOOKUP($B56,KOMBI!$A:$ADS,MATCH(Tulem!CC$3,KOMBI!$A$1:$ADS$1,0),FALSE)</f>
        <v>#NUM!</v>
      </c>
      <c r="CD56" s="292" t="e">
        <f t="array" aca="1" ref="CD56" ca="1">VLOOKUP($B56,KOMBI!$A:$ADS,MATCH(Tulem!CD$3,KOMBI!$A$1:$ADS$1,0),FALSE)</f>
        <v>#NUM!</v>
      </c>
      <c r="CF56" s="51" t="e">
        <f ca="1">VLOOKUP($B56,KOMBI!$A:$ACG,MATCH(CF$5,KOMBI!$10:$10,0),FALSE)</f>
        <v>#NUM!</v>
      </c>
    </row>
    <row r="57" spans="1:84" x14ac:dyDescent="0.2">
      <c r="A57" s="51">
        <v>52</v>
      </c>
      <c r="B57" s="51" t="e">
        <f ca="1">KOMBI!GI62</f>
        <v>#NUM!</v>
      </c>
      <c r="C57" s="51">
        <f t="shared" si="0"/>
        <v>52</v>
      </c>
      <c r="D57" s="290" t="e">
        <f ca="1">VLOOKUP(VLOOKUP($B57,KOMBI!$A:$H,3,FALSE),data!$I$27:$J$29,2,FALSE)</f>
        <v>#NUM!</v>
      </c>
      <c r="E57" s="290" t="e">
        <f ca="1">VLOOKUP(VLOOKUP($B57,KOMBI!$A:$H,2,FALSE),data!$I$21:$J$23,2,FALSE)</f>
        <v>#NUM!</v>
      </c>
      <c r="F57" s="290" t="e">
        <f ca="1">VLOOKUP(VLOOKUP($B57,KOMBI!$A:$H,5,FALSE),data!$I$39:$J$41,2,FALSE)</f>
        <v>#NUM!</v>
      </c>
      <c r="G57" s="290" t="e">
        <f ca="1">VLOOKUP(VLOOKUP($B57,KOMBI!$A:$H,4,FALSE),data!$I$32:$J$36,2,FALSE)</f>
        <v>#NUM!</v>
      </c>
      <c r="I57" s="51" t="e">
        <f ca="1">VLOOKUP($B57,KOMBI!$A:$Z,MATCH(I$5,KOMBI!$10:$10,0),FALSE)</f>
        <v>#NUM!</v>
      </c>
      <c r="J57" s="291" t="e">
        <f ca="1">VLOOKUP($B57,KOMBI!$A:$ADS,J$3,FALSE)</f>
        <v>#NUM!</v>
      </c>
      <c r="K57" s="291" t="e">
        <f ca="1">VLOOKUP($B57,KOMBI!$A:$ADS,K$3,FALSE)</f>
        <v>#NUM!</v>
      </c>
      <c r="L57" s="291" t="e">
        <f ca="1">VLOOKUP($B57,KOMBI!$A:$ADS,L$3,FALSE)</f>
        <v>#NUM!</v>
      </c>
      <c r="M57" s="291" t="e">
        <f ca="1">VLOOKUP($B57,KOMBI!$A:$ADS,M$3,FALSE)</f>
        <v>#NUM!</v>
      </c>
      <c r="N57" s="291" t="e">
        <f ca="1">VLOOKUP($B57,KOMBI!$A:$ADS,N$3,FALSE)</f>
        <v>#NUM!</v>
      </c>
      <c r="O57" s="291" t="e">
        <f ca="1">VLOOKUP($B57,KOMBI!$A:$ADS,O$3,FALSE)</f>
        <v>#NUM!</v>
      </c>
      <c r="P57" s="291" t="e">
        <f ca="1">VLOOKUP($B57,KOMBI!$A:$ADS,P$3,FALSE)</f>
        <v>#NUM!</v>
      </c>
      <c r="Q57" s="292" t="e">
        <f t="array" aca="1" ref="Q57" ca="1">VLOOKUP($B57,KOMBI!$A:$ADS,MATCH(Tulem!Q$3,KOMBI!$A$1:$ADS$1,0),FALSE)</f>
        <v>#NUM!</v>
      </c>
      <c r="S57" s="332" t="e">
        <f t="array" aca="1" ref="S57" ca="1">VLOOKUP($B57,KOMBI!$A:$ADS,MATCH(Tulem!S$3,KOMBI!$A$1:$ADS$1,0),FALSE)</f>
        <v>#NUM!</v>
      </c>
      <c r="T57" s="293" t="e">
        <f ca="1">VLOOKUP($B57,KOMBI!$A:$ADS,T$3,FALSE)</f>
        <v>#NUM!</v>
      </c>
      <c r="U57" s="293" t="e">
        <f ca="1">VLOOKUP($B57,KOMBI!$A:$ADS,U$3,FALSE)</f>
        <v>#NUM!</v>
      </c>
      <c r="V57" s="293" t="e">
        <f ca="1">VLOOKUP($B57,KOMBI!$A:$ADS,V$3,FALSE)</f>
        <v>#NUM!</v>
      </c>
      <c r="W57" s="293"/>
      <c r="X57" s="293" t="e">
        <f ca="1">VLOOKUP($B57,KOMBI!$A:$ADS,X$3,FALSE)</f>
        <v>#NUM!</v>
      </c>
      <c r="Y57" s="293" t="e">
        <f ca="1">VLOOKUP($B57,KOMBI!$A:$ADS,Y$3,FALSE)</f>
        <v>#NUM!</v>
      </c>
      <c r="Z57" s="293" t="e">
        <f ca="1">VLOOKUP($B57,KOMBI!$A:$ADS,Z$3,FALSE)</f>
        <v>#NUM!</v>
      </c>
      <c r="AA57" s="294"/>
      <c r="AB57" s="293" t="e">
        <f ca="1">VLOOKUP($B57,KOMBI!$A:$ADS,AB$3,FALSE)</f>
        <v>#NUM!</v>
      </c>
      <c r="AC57" s="293" t="e">
        <f ca="1">VLOOKUP($B57,KOMBI!$A:$ADS,AC$3,FALSE)-AB57</f>
        <v>#NUM!</v>
      </c>
      <c r="AD57" s="293" t="e">
        <f ca="1">VLOOKUP($B57,KOMBI!$A:$ADS,AD$3,FALSE)</f>
        <v>#NUM!</v>
      </c>
      <c r="AE57" s="293" t="e">
        <f ca="1">VLOOKUP($B57,KOMBI!$A:$ADS,AE$3,FALSE)</f>
        <v>#NUM!</v>
      </c>
      <c r="AF57" s="293" t="e">
        <f ca="1">VLOOKUP($B57,KOMBI!$A:$ADS,AF$3,FALSE)-AE57</f>
        <v>#NUM!</v>
      </c>
      <c r="AG57" s="293" t="e">
        <f ca="1">VLOOKUP($B57,KOMBI!$A:$ADS,AG$3,FALSE)</f>
        <v>#NUM!</v>
      </c>
      <c r="AI57" s="293" t="e">
        <f t="array" aca="1" ref="AI57" ca="1">VLOOKUP($B57,KOMBI!$A:$ADS,MATCH(Tulem!AI$3,KOMBI!$A$1:$ADS$1,0),FALSE)</f>
        <v>#NUM!</v>
      </c>
      <c r="AJ57" s="293" t="e">
        <f t="array" aca="1" ref="AJ57" ca="1">VLOOKUP($B57,KOMBI!$A:$ADS,MATCH(Tulem!AJ$3,KOMBI!$A$1:$ADS$1,0),FALSE)</f>
        <v>#NUM!</v>
      </c>
      <c r="AK57" s="293" t="e">
        <f t="array" aca="1" ref="AK57" ca="1">VLOOKUP($B57,KOMBI!$A:$ADS,MATCH(Tulem!AK$3,KOMBI!$A$1:$ADS$1,0),FALSE)</f>
        <v>#NUM!</v>
      </c>
      <c r="AL57" s="293" t="e">
        <f t="array" aca="1" ref="AL57" ca="1">VLOOKUP($B57,KOMBI!$A:$ADS,MATCH(Tulem!AL$3,KOMBI!$A$1:$ADS$1,0),FALSE)</f>
        <v>#NUM!</v>
      </c>
      <c r="AM57" s="293" t="e">
        <f t="array" aca="1" ref="AM57" ca="1">VLOOKUP($B57,KOMBI!$A:$ADS,MATCH(Tulem!AM$3,KOMBI!$A$1:$ADS$1,0),FALSE)</f>
        <v>#NUM!</v>
      </c>
      <c r="AN57" s="293" t="e">
        <f t="array" aca="1" ref="AN57" ca="1">VLOOKUP($B57,KOMBI!$A:$ADS,MATCH(Tulem!AN$3,KOMBI!$A$1:$ADS$1,0),FALSE)</f>
        <v>#NUM!</v>
      </c>
      <c r="AO57" s="293" t="e">
        <f t="array" aca="1" ref="AO57" ca="1">VLOOKUP($B57,KOMBI!$A:$ADS,MATCH(Tulem!AO$3,KOMBI!$A$1:$ADS$1,0),FALSE)</f>
        <v>#NUM!</v>
      </c>
      <c r="AP57" s="293" t="e">
        <f t="array" aca="1" ref="AP57" ca="1">VLOOKUP($B57,KOMBI!$A:$ADS,MATCH(Tulem!AP$3,KOMBI!$A$1:$ADS$1,0),FALSE)</f>
        <v>#NUM!</v>
      </c>
      <c r="AQ57" s="293" t="e">
        <f t="array" aca="1" ref="AQ57" ca="1">VLOOKUP($B57,KOMBI!$A:$ADS,MATCH(Tulem!AQ$3,KOMBI!$A$1:$ADS$1,0),FALSE)</f>
        <v>#NUM!</v>
      </c>
      <c r="AR57" s="293" t="e">
        <f t="array" aca="1" ref="AR57" ca="1">VLOOKUP($B57,KOMBI!$A:$ADS,MATCH(Tulem!AR$3,KOMBI!$A$1:$ADS$1,0),FALSE)</f>
        <v>#NUM!</v>
      </c>
      <c r="AS57" s="293" t="e">
        <f t="array" aca="1" ref="AS57" ca="1">VLOOKUP($B57,KOMBI!$A:$ADS,MATCH(Tulem!AS$3,KOMBI!$A$1:$ADS$1,0),FALSE)</f>
        <v>#NUM!</v>
      </c>
      <c r="AT57" s="293" t="e">
        <f t="array" aca="1" ref="AT57" ca="1">VLOOKUP($B57,KOMBI!$A:$ADS,MATCH(Tulem!AT$3,KOMBI!$A$1:$ADS$1,0),FALSE)</f>
        <v>#NUM!</v>
      </c>
      <c r="AU57" s="293" t="e">
        <f t="array" aca="1" ref="AU57" ca="1">VLOOKUP($B57,KOMBI!$A:$ADS,MATCH(Tulem!AU$3,KOMBI!$A$1:$ADS$1,0),FALSE)</f>
        <v>#NUM!</v>
      </c>
      <c r="AV57" s="293" t="e">
        <f t="shared" ca="1" si="1"/>
        <v>#NUM!</v>
      </c>
      <c r="AW57" s="293" t="e">
        <f t="shared" ca="1" si="2"/>
        <v>#NUM!</v>
      </c>
      <c r="AX57" s="291" t="e">
        <f ca="1">VLOOKUP($B57,KOMBI!$A:$ACA,MATCH(AX$5,KOMBI!$10:$10,0),FALSE)</f>
        <v>#NUM!</v>
      </c>
      <c r="AY57" s="292" t="e">
        <f t="array" aca="1" ref="AY57" ca="1">VLOOKUP($B57,KOMBI!$A:$ADS,MATCH(Tulem!AY$3,KOMBI!$A$1:$ADS$1,0),FALSE)</f>
        <v>#NUM!</v>
      </c>
      <c r="AZ57" s="292" t="e">
        <f t="array" aca="1" ref="AZ57" ca="1">VLOOKUP($B57,KOMBI!$A:$ADS,MATCH(Tulem!AZ$3,KOMBI!$A$1:$ADS$1,0),FALSE)</f>
        <v>#NUM!</v>
      </c>
      <c r="BA57" s="292" t="e">
        <f t="array" aca="1" ref="BA57" ca="1">VLOOKUP($B57,KOMBI!$A:$ADS,MATCH(Tulem!BA$3,KOMBI!$A$1:$ADS$1,0),FALSE)</f>
        <v>#NUM!</v>
      </c>
      <c r="BB57" s="292" t="e">
        <f t="array" aca="1" ref="BB57" ca="1">VLOOKUP($B57,KOMBI!$A:$ADS,MATCH(Tulem!BB$3,KOMBI!$A$1:$ADS$1,0),FALSE)</f>
        <v>#NUM!</v>
      </c>
      <c r="BC57" s="292" t="e">
        <f t="array" aca="1" ref="BC57" ca="1">VLOOKUP($B57,KOMBI!$A:$ADS,MATCH(Tulem!BC$3,KOMBI!$A$1:$ADS$1,0),FALSE)</f>
        <v>#NUM!</v>
      </c>
      <c r="BD57" s="292" t="e">
        <f t="array" aca="1" ref="BD57" ca="1">VLOOKUP($B57,KOMBI!$A:$ADS,MATCH(Tulem!BD$3,KOMBI!$A$1:$ADS$1,0),FALSE)</f>
        <v>#NUM!</v>
      </c>
      <c r="BE57" s="292" t="e">
        <f t="array" aca="1" ref="BE57" ca="1">VLOOKUP($B57,KOMBI!$A:$ADS,MATCH(Tulem!BE$3,KOMBI!$A$1:$ADS$1,0),FALSE)</f>
        <v>#NUM!</v>
      </c>
      <c r="BF57" s="292" t="e">
        <f t="array" aca="1" ref="BF57" ca="1">VLOOKUP($B57,KOMBI!$A:$ADS,MATCH(Tulem!BF$3,KOMBI!$A$1:$ADS$1,0),FALSE)</f>
        <v>#NUM!</v>
      </c>
      <c r="BG57" s="292" t="e">
        <f t="array" aca="1" ref="BG57" ca="1">VLOOKUP($B57,KOMBI!$A:$ADS,MATCH(Tulem!BG$3,KOMBI!$A$1:$ADS$1,0),FALSE)</f>
        <v>#NUM!</v>
      </c>
      <c r="BH57" s="292" t="e">
        <f t="array" aca="1" ref="BH57" ca="1">VLOOKUP($B57,KOMBI!$A:$ADS,MATCH(Tulem!BH$3,KOMBI!$A$1:$ADS$1,0),FALSE)</f>
        <v>#NUM!</v>
      </c>
      <c r="BI57" s="292" t="e">
        <f t="array" aca="1" ref="BI57" ca="1">VLOOKUP($B57,KOMBI!$A:$ADS,MATCH(Tulem!BI$3,KOMBI!$A$1:$ADS$1,0),FALSE)</f>
        <v>#NUM!</v>
      </c>
      <c r="BJ57" s="292" t="e">
        <f t="array" aca="1" ref="BJ57" ca="1">VLOOKUP($B57,KOMBI!$A:$ADS,MATCH(Tulem!BJ$3,KOMBI!$A$1:$ADS$1,0),FALSE)</f>
        <v>#NUM!</v>
      </c>
      <c r="BK57" s="292" t="e">
        <f t="array" aca="1" ref="BK57" ca="1">VLOOKUP($B57,KOMBI!$A:$ADS,MATCH(Tulem!BK$3,KOMBI!$A$1:$ADS$1,0),FALSE)</f>
        <v>#NUM!</v>
      </c>
      <c r="BL57" s="292" t="e">
        <f t="array" aca="1" ref="BL57" ca="1">VLOOKUP($B57,KOMBI!$A:$ADS,MATCH(Tulem!BL$3,KOMBI!$A$1:$ADS$1,0),FALSE)</f>
        <v>#NUM!</v>
      </c>
      <c r="BM57" s="292" t="e">
        <f t="array" aca="1" ref="BM57" ca="1">VLOOKUP($B57,KOMBI!$A:$ADS,MATCH(Tulem!BM$3,KOMBI!$A$1:$ADS$1,0),FALSE)</f>
        <v>#NUM!</v>
      </c>
      <c r="BN57" s="292" t="e">
        <f t="array" aca="1" ref="BN57" ca="1">VLOOKUP($B57,KOMBI!$A:$ADS,MATCH(Tulem!BN$3,KOMBI!$A$1:$ADS$1,0),FALSE)</f>
        <v>#NUM!</v>
      </c>
      <c r="BO57" s="292" t="e">
        <f t="array" aca="1" ref="BO57" ca="1">VLOOKUP($B57,KOMBI!$A:$ADS,MATCH(Tulem!BO$3,KOMBI!$A$1:$ADS$1,0),FALSE)</f>
        <v>#NUM!</v>
      </c>
      <c r="BP57" s="291"/>
      <c r="BQ57" s="292" t="e">
        <f t="array" aca="1" ref="BQ57" ca="1">VLOOKUP($B57,KOMBI!$A:$ADS,MATCH(Tulem!BQ$3,KOMBI!$A$1:$ADS$1,0),FALSE)</f>
        <v>#NUM!</v>
      </c>
      <c r="BR57" s="292" t="e">
        <f t="array" aca="1" ref="BR57" ca="1">VLOOKUP($B57,KOMBI!$A:$ADS,MATCH(Tulem!BR$3,KOMBI!$A$1:$ADS$1,0),FALSE)</f>
        <v>#NUM!</v>
      </c>
      <c r="BS57" s="292" t="e">
        <f t="array" aca="1" ref="BS57" ca="1">VLOOKUP($B57,KOMBI!$A:$ADS,MATCH(Tulem!BS$3,KOMBI!$A$1:$ADS$1,0),FALSE)</f>
        <v>#NUM!</v>
      </c>
      <c r="BT57" s="292" t="e">
        <f t="array" aca="1" ref="BT57" ca="1">VLOOKUP($B57,KOMBI!$A:$ADS,MATCH(Tulem!BT$3,KOMBI!$A$1:$ADS$1,0),FALSE)</f>
        <v>#NUM!</v>
      </c>
      <c r="BU57" s="292" t="e">
        <f t="array" aca="1" ref="BU57" ca="1">VLOOKUP($B57,KOMBI!$A:$ADS,MATCH(Tulem!BU$3,KOMBI!$A$1:$ADS$1,0),FALSE)</f>
        <v>#NUM!</v>
      </c>
      <c r="BV57" s="291"/>
      <c r="BW57" s="292" t="e">
        <f t="array" aca="1" ref="BW57" ca="1">VLOOKUP($B57,KOMBI!$A:$ADS,MATCH(Tulem!BW$3,KOMBI!$A$1:$ADS$1,0),FALSE)</f>
        <v>#NUM!</v>
      </c>
      <c r="BX57" s="291"/>
      <c r="BY57" s="291"/>
      <c r="BZ57" s="292" t="e">
        <f t="array" aca="1" ref="BZ57" ca="1">VLOOKUP($B57,KOMBI!$A:$ADS,MATCH(Tulem!BZ$3,KOMBI!$A$1:$ADS$1,0),FALSE)</f>
        <v>#NUM!</v>
      </c>
      <c r="CA57" s="292" t="e">
        <f t="array" aca="1" ref="CA57" ca="1">VLOOKUP($B57,KOMBI!$A:$ADS,MATCH(Tulem!CA$3,KOMBI!$A$1:$ADS$1,0),FALSE)</f>
        <v>#NUM!</v>
      </c>
      <c r="CB57" s="292" t="e">
        <f t="array" aca="1" ref="CB57" ca="1">VLOOKUP($B57,KOMBI!$A:$ADS,MATCH(Tulem!CB$3,KOMBI!$A$1:$ADS$1,0),FALSE)</f>
        <v>#NUM!</v>
      </c>
      <c r="CC57" s="292" t="e">
        <f t="array" aca="1" ref="CC57" ca="1">VLOOKUP($B57,KOMBI!$A:$ADS,MATCH(Tulem!CC$3,KOMBI!$A$1:$ADS$1,0),FALSE)</f>
        <v>#NUM!</v>
      </c>
      <c r="CD57" s="292" t="e">
        <f t="array" aca="1" ref="CD57" ca="1">VLOOKUP($B57,KOMBI!$A:$ADS,MATCH(Tulem!CD$3,KOMBI!$A$1:$ADS$1,0),FALSE)</f>
        <v>#NUM!</v>
      </c>
      <c r="CF57" s="51" t="e">
        <f ca="1">VLOOKUP($B57,KOMBI!$A:$ACG,MATCH(CF$5,KOMBI!$10:$10,0),FALSE)</f>
        <v>#NUM!</v>
      </c>
    </row>
    <row r="58" spans="1:84" x14ac:dyDescent="0.2">
      <c r="A58" s="51">
        <v>53</v>
      </c>
      <c r="B58" s="51" t="e">
        <f ca="1">KOMBI!GI63</f>
        <v>#NUM!</v>
      </c>
      <c r="C58" s="51">
        <f t="shared" si="0"/>
        <v>53</v>
      </c>
      <c r="D58" s="290" t="e">
        <f ca="1">VLOOKUP(VLOOKUP($B58,KOMBI!$A:$H,3,FALSE),data!$I$27:$J$29,2,FALSE)</f>
        <v>#NUM!</v>
      </c>
      <c r="E58" s="290" t="e">
        <f ca="1">VLOOKUP(VLOOKUP($B58,KOMBI!$A:$H,2,FALSE),data!$I$21:$J$23,2,FALSE)</f>
        <v>#NUM!</v>
      </c>
      <c r="F58" s="290" t="e">
        <f ca="1">VLOOKUP(VLOOKUP($B58,KOMBI!$A:$H,5,FALSE),data!$I$39:$J$41,2,FALSE)</f>
        <v>#NUM!</v>
      </c>
      <c r="G58" s="290" t="e">
        <f ca="1">VLOOKUP(VLOOKUP($B58,KOMBI!$A:$H,4,FALSE),data!$I$32:$J$36,2,FALSE)</f>
        <v>#NUM!</v>
      </c>
      <c r="I58" s="51" t="e">
        <f ca="1">VLOOKUP($B58,KOMBI!$A:$Z,MATCH(I$5,KOMBI!$10:$10,0),FALSE)</f>
        <v>#NUM!</v>
      </c>
      <c r="J58" s="291" t="e">
        <f ca="1">VLOOKUP($B58,KOMBI!$A:$ADS,J$3,FALSE)</f>
        <v>#NUM!</v>
      </c>
      <c r="K58" s="291" t="e">
        <f ca="1">VLOOKUP($B58,KOMBI!$A:$ADS,K$3,FALSE)</f>
        <v>#NUM!</v>
      </c>
      <c r="L58" s="291" t="e">
        <f ca="1">VLOOKUP($B58,KOMBI!$A:$ADS,L$3,FALSE)</f>
        <v>#NUM!</v>
      </c>
      <c r="M58" s="291" t="e">
        <f ca="1">VLOOKUP($B58,KOMBI!$A:$ADS,M$3,FALSE)</f>
        <v>#NUM!</v>
      </c>
      <c r="N58" s="291" t="e">
        <f ca="1">VLOOKUP($B58,KOMBI!$A:$ADS,N$3,FALSE)</f>
        <v>#NUM!</v>
      </c>
      <c r="O58" s="291" t="e">
        <f ca="1">VLOOKUP($B58,KOMBI!$A:$ADS,O$3,FALSE)</f>
        <v>#NUM!</v>
      </c>
      <c r="P58" s="291" t="e">
        <f ca="1">VLOOKUP($B58,KOMBI!$A:$ADS,P$3,FALSE)</f>
        <v>#NUM!</v>
      </c>
      <c r="Q58" s="292" t="e">
        <f t="array" aca="1" ref="Q58" ca="1">VLOOKUP($B58,KOMBI!$A:$ADS,MATCH(Tulem!Q$3,KOMBI!$A$1:$ADS$1,0),FALSE)</f>
        <v>#NUM!</v>
      </c>
      <c r="S58" s="332" t="e">
        <f t="array" aca="1" ref="S58" ca="1">VLOOKUP($B58,KOMBI!$A:$ADS,MATCH(Tulem!S$3,KOMBI!$A$1:$ADS$1,0),FALSE)</f>
        <v>#NUM!</v>
      </c>
      <c r="T58" s="293" t="e">
        <f ca="1">VLOOKUP($B58,KOMBI!$A:$ADS,T$3,FALSE)</f>
        <v>#NUM!</v>
      </c>
      <c r="U58" s="293" t="e">
        <f ca="1">VLOOKUP($B58,KOMBI!$A:$ADS,U$3,FALSE)</f>
        <v>#NUM!</v>
      </c>
      <c r="V58" s="293" t="e">
        <f ca="1">VLOOKUP($B58,KOMBI!$A:$ADS,V$3,FALSE)</f>
        <v>#NUM!</v>
      </c>
      <c r="W58" s="293"/>
      <c r="X58" s="293" t="e">
        <f ca="1">VLOOKUP($B58,KOMBI!$A:$ADS,X$3,FALSE)</f>
        <v>#NUM!</v>
      </c>
      <c r="Y58" s="293" t="e">
        <f ca="1">VLOOKUP($B58,KOMBI!$A:$ADS,Y$3,FALSE)</f>
        <v>#NUM!</v>
      </c>
      <c r="Z58" s="293" t="e">
        <f ca="1">VLOOKUP($B58,KOMBI!$A:$ADS,Z$3,FALSE)</f>
        <v>#NUM!</v>
      </c>
      <c r="AA58" s="294"/>
      <c r="AB58" s="293" t="e">
        <f ca="1">VLOOKUP($B58,KOMBI!$A:$ADS,AB$3,FALSE)</f>
        <v>#NUM!</v>
      </c>
      <c r="AC58" s="293" t="e">
        <f ca="1">VLOOKUP($B58,KOMBI!$A:$ADS,AC$3,FALSE)-AB58</f>
        <v>#NUM!</v>
      </c>
      <c r="AD58" s="293" t="e">
        <f ca="1">VLOOKUP($B58,KOMBI!$A:$ADS,AD$3,FALSE)</f>
        <v>#NUM!</v>
      </c>
      <c r="AE58" s="293" t="e">
        <f ca="1">VLOOKUP($B58,KOMBI!$A:$ADS,AE$3,FALSE)</f>
        <v>#NUM!</v>
      </c>
      <c r="AF58" s="293" t="e">
        <f ca="1">VLOOKUP($B58,KOMBI!$A:$ADS,AF$3,FALSE)-AE58</f>
        <v>#NUM!</v>
      </c>
      <c r="AG58" s="293" t="e">
        <f ca="1">VLOOKUP($B58,KOMBI!$A:$ADS,AG$3,FALSE)</f>
        <v>#NUM!</v>
      </c>
      <c r="AI58" s="293" t="e">
        <f t="array" aca="1" ref="AI58" ca="1">VLOOKUP($B58,KOMBI!$A:$ADS,MATCH(Tulem!AI$3,KOMBI!$A$1:$ADS$1,0),FALSE)</f>
        <v>#NUM!</v>
      </c>
      <c r="AJ58" s="293" t="e">
        <f t="array" aca="1" ref="AJ58" ca="1">VLOOKUP($B58,KOMBI!$A:$ADS,MATCH(Tulem!AJ$3,KOMBI!$A$1:$ADS$1,0),FALSE)</f>
        <v>#NUM!</v>
      </c>
      <c r="AK58" s="293" t="e">
        <f t="array" aca="1" ref="AK58" ca="1">VLOOKUP($B58,KOMBI!$A:$ADS,MATCH(Tulem!AK$3,KOMBI!$A$1:$ADS$1,0),FALSE)</f>
        <v>#NUM!</v>
      </c>
      <c r="AL58" s="293" t="e">
        <f t="array" aca="1" ref="AL58" ca="1">VLOOKUP($B58,KOMBI!$A:$ADS,MATCH(Tulem!AL$3,KOMBI!$A$1:$ADS$1,0),FALSE)</f>
        <v>#NUM!</v>
      </c>
      <c r="AM58" s="293" t="e">
        <f t="array" aca="1" ref="AM58" ca="1">VLOOKUP($B58,KOMBI!$A:$ADS,MATCH(Tulem!AM$3,KOMBI!$A$1:$ADS$1,0),FALSE)</f>
        <v>#NUM!</v>
      </c>
      <c r="AN58" s="293" t="e">
        <f t="array" aca="1" ref="AN58" ca="1">VLOOKUP($B58,KOMBI!$A:$ADS,MATCH(Tulem!AN$3,KOMBI!$A$1:$ADS$1,0),FALSE)</f>
        <v>#NUM!</v>
      </c>
      <c r="AO58" s="293" t="e">
        <f t="array" aca="1" ref="AO58" ca="1">VLOOKUP($B58,KOMBI!$A:$ADS,MATCH(Tulem!AO$3,KOMBI!$A$1:$ADS$1,0),FALSE)</f>
        <v>#NUM!</v>
      </c>
      <c r="AP58" s="293" t="e">
        <f t="array" aca="1" ref="AP58" ca="1">VLOOKUP($B58,KOMBI!$A:$ADS,MATCH(Tulem!AP$3,KOMBI!$A$1:$ADS$1,0),FALSE)</f>
        <v>#NUM!</v>
      </c>
      <c r="AQ58" s="293" t="e">
        <f t="array" aca="1" ref="AQ58" ca="1">VLOOKUP($B58,KOMBI!$A:$ADS,MATCH(Tulem!AQ$3,KOMBI!$A$1:$ADS$1,0),FALSE)</f>
        <v>#NUM!</v>
      </c>
      <c r="AR58" s="293" t="e">
        <f t="array" aca="1" ref="AR58" ca="1">VLOOKUP($B58,KOMBI!$A:$ADS,MATCH(Tulem!AR$3,KOMBI!$A$1:$ADS$1,0),FALSE)</f>
        <v>#NUM!</v>
      </c>
      <c r="AS58" s="293" t="e">
        <f t="array" aca="1" ref="AS58" ca="1">VLOOKUP($B58,KOMBI!$A:$ADS,MATCH(Tulem!AS$3,KOMBI!$A$1:$ADS$1,0),FALSE)</f>
        <v>#NUM!</v>
      </c>
      <c r="AT58" s="293" t="e">
        <f t="array" aca="1" ref="AT58" ca="1">VLOOKUP($B58,KOMBI!$A:$ADS,MATCH(Tulem!AT$3,KOMBI!$A$1:$ADS$1,0),FALSE)</f>
        <v>#NUM!</v>
      </c>
      <c r="AU58" s="293" t="e">
        <f t="array" aca="1" ref="AU58" ca="1">VLOOKUP($B58,KOMBI!$A:$ADS,MATCH(Tulem!AU$3,KOMBI!$A$1:$ADS$1,0),FALSE)</f>
        <v>#NUM!</v>
      </c>
      <c r="AV58" s="293" t="e">
        <f t="shared" ca="1" si="1"/>
        <v>#NUM!</v>
      </c>
      <c r="AW58" s="293" t="e">
        <f t="shared" ca="1" si="2"/>
        <v>#NUM!</v>
      </c>
      <c r="AX58" s="291" t="e">
        <f ca="1">VLOOKUP($B58,KOMBI!$A:$ACA,MATCH(AX$5,KOMBI!$10:$10,0),FALSE)</f>
        <v>#NUM!</v>
      </c>
      <c r="AY58" s="292" t="e">
        <f t="array" aca="1" ref="AY58" ca="1">VLOOKUP($B58,KOMBI!$A:$ADS,MATCH(Tulem!AY$3,KOMBI!$A$1:$ADS$1,0),FALSE)</f>
        <v>#NUM!</v>
      </c>
      <c r="AZ58" s="292" t="e">
        <f t="array" aca="1" ref="AZ58" ca="1">VLOOKUP($B58,KOMBI!$A:$ADS,MATCH(Tulem!AZ$3,KOMBI!$A$1:$ADS$1,0),FALSE)</f>
        <v>#NUM!</v>
      </c>
      <c r="BA58" s="292" t="e">
        <f t="array" aca="1" ref="BA58" ca="1">VLOOKUP($B58,KOMBI!$A:$ADS,MATCH(Tulem!BA$3,KOMBI!$A$1:$ADS$1,0),FALSE)</f>
        <v>#NUM!</v>
      </c>
      <c r="BB58" s="292" t="e">
        <f t="array" aca="1" ref="BB58" ca="1">VLOOKUP($B58,KOMBI!$A:$ADS,MATCH(Tulem!BB$3,KOMBI!$A$1:$ADS$1,0),FALSE)</f>
        <v>#NUM!</v>
      </c>
      <c r="BC58" s="292" t="e">
        <f t="array" aca="1" ref="BC58" ca="1">VLOOKUP($B58,KOMBI!$A:$ADS,MATCH(Tulem!BC$3,KOMBI!$A$1:$ADS$1,0),FALSE)</f>
        <v>#NUM!</v>
      </c>
      <c r="BD58" s="292" t="e">
        <f t="array" aca="1" ref="BD58" ca="1">VLOOKUP($B58,KOMBI!$A:$ADS,MATCH(Tulem!BD$3,KOMBI!$A$1:$ADS$1,0),FALSE)</f>
        <v>#NUM!</v>
      </c>
      <c r="BE58" s="292" t="e">
        <f t="array" aca="1" ref="BE58" ca="1">VLOOKUP($B58,KOMBI!$A:$ADS,MATCH(Tulem!BE$3,KOMBI!$A$1:$ADS$1,0),FALSE)</f>
        <v>#NUM!</v>
      </c>
      <c r="BF58" s="292" t="e">
        <f t="array" aca="1" ref="BF58" ca="1">VLOOKUP($B58,KOMBI!$A:$ADS,MATCH(Tulem!BF$3,KOMBI!$A$1:$ADS$1,0),FALSE)</f>
        <v>#NUM!</v>
      </c>
      <c r="BG58" s="292" t="e">
        <f t="array" aca="1" ref="BG58" ca="1">VLOOKUP($B58,KOMBI!$A:$ADS,MATCH(Tulem!BG$3,KOMBI!$A$1:$ADS$1,0),FALSE)</f>
        <v>#NUM!</v>
      </c>
      <c r="BH58" s="292" t="e">
        <f t="array" aca="1" ref="BH58" ca="1">VLOOKUP($B58,KOMBI!$A:$ADS,MATCH(Tulem!BH$3,KOMBI!$A$1:$ADS$1,0),FALSE)</f>
        <v>#NUM!</v>
      </c>
      <c r="BI58" s="292" t="e">
        <f t="array" aca="1" ref="BI58" ca="1">VLOOKUP($B58,KOMBI!$A:$ADS,MATCH(Tulem!BI$3,KOMBI!$A$1:$ADS$1,0),FALSE)</f>
        <v>#NUM!</v>
      </c>
      <c r="BJ58" s="292" t="e">
        <f t="array" aca="1" ref="BJ58" ca="1">VLOOKUP($B58,KOMBI!$A:$ADS,MATCH(Tulem!BJ$3,KOMBI!$A$1:$ADS$1,0),FALSE)</f>
        <v>#NUM!</v>
      </c>
      <c r="BK58" s="292" t="e">
        <f t="array" aca="1" ref="BK58" ca="1">VLOOKUP($B58,KOMBI!$A:$ADS,MATCH(Tulem!BK$3,KOMBI!$A$1:$ADS$1,0),FALSE)</f>
        <v>#NUM!</v>
      </c>
      <c r="BL58" s="292" t="e">
        <f t="array" aca="1" ref="BL58" ca="1">VLOOKUP($B58,KOMBI!$A:$ADS,MATCH(Tulem!BL$3,KOMBI!$A$1:$ADS$1,0),FALSE)</f>
        <v>#NUM!</v>
      </c>
      <c r="BM58" s="292" t="e">
        <f t="array" aca="1" ref="BM58" ca="1">VLOOKUP($B58,KOMBI!$A:$ADS,MATCH(Tulem!BM$3,KOMBI!$A$1:$ADS$1,0),FALSE)</f>
        <v>#NUM!</v>
      </c>
      <c r="BN58" s="292" t="e">
        <f t="array" aca="1" ref="BN58" ca="1">VLOOKUP($B58,KOMBI!$A:$ADS,MATCH(Tulem!BN$3,KOMBI!$A$1:$ADS$1,0),FALSE)</f>
        <v>#NUM!</v>
      </c>
      <c r="BO58" s="292" t="e">
        <f t="array" aca="1" ref="BO58" ca="1">VLOOKUP($B58,KOMBI!$A:$ADS,MATCH(Tulem!BO$3,KOMBI!$A$1:$ADS$1,0),FALSE)</f>
        <v>#NUM!</v>
      </c>
      <c r="BP58" s="291"/>
      <c r="BQ58" s="292" t="e">
        <f t="array" aca="1" ref="BQ58" ca="1">VLOOKUP($B58,KOMBI!$A:$ADS,MATCH(Tulem!BQ$3,KOMBI!$A$1:$ADS$1,0),FALSE)</f>
        <v>#NUM!</v>
      </c>
      <c r="BR58" s="292" t="e">
        <f t="array" aca="1" ref="BR58" ca="1">VLOOKUP($B58,KOMBI!$A:$ADS,MATCH(Tulem!BR$3,KOMBI!$A$1:$ADS$1,0),FALSE)</f>
        <v>#NUM!</v>
      </c>
      <c r="BS58" s="292" t="e">
        <f t="array" aca="1" ref="BS58" ca="1">VLOOKUP($B58,KOMBI!$A:$ADS,MATCH(Tulem!BS$3,KOMBI!$A$1:$ADS$1,0),FALSE)</f>
        <v>#NUM!</v>
      </c>
      <c r="BT58" s="292" t="e">
        <f t="array" aca="1" ref="BT58" ca="1">VLOOKUP($B58,KOMBI!$A:$ADS,MATCH(Tulem!BT$3,KOMBI!$A$1:$ADS$1,0),FALSE)</f>
        <v>#NUM!</v>
      </c>
      <c r="BU58" s="292" t="e">
        <f t="array" aca="1" ref="BU58" ca="1">VLOOKUP($B58,KOMBI!$A:$ADS,MATCH(Tulem!BU$3,KOMBI!$A$1:$ADS$1,0),FALSE)</f>
        <v>#NUM!</v>
      </c>
      <c r="BV58" s="291"/>
      <c r="BW58" s="292" t="e">
        <f t="array" aca="1" ref="BW58" ca="1">VLOOKUP($B58,KOMBI!$A:$ADS,MATCH(Tulem!BW$3,KOMBI!$A$1:$ADS$1,0),FALSE)</f>
        <v>#NUM!</v>
      </c>
      <c r="BX58" s="291"/>
      <c r="BY58" s="291"/>
      <c r="BZ58" s="292" t="e">
        <f t="array" aca="1" ref="BZ58" ca="1">VLOOKUP($B58,KOMBI!$A:$ADS,MATCH(Tulem!BZ$3,KOMBI!$A$1:$ADS$1,0),FALSE)</f>
        <v>#NUM!</v>
      </c>
      <c r="CA58" s="292" t="e">
        <f t="array" aca="1" ref="CA58" ca="1">VLOOKUP($B58,KOMBI!$A:$ADS,MATCH(Tulem!CA$3,KOMBI!$A$1:$ADS$1,0),FALSE)</f>
        <v>#NUM!</v>
      </c>
      <c r="CB58" s="292" t="e">
        <f t="array" aca="1" ref="CB58" ca="1">VLOOKUP($B58,KOMBI!$A:$ADS,MATCH(Tulem!CB$3,KOMBI!$A$1:$ADS$1,0),FALSE)</f>
        <v>#NUM!</v>
      </c>
      <c r="CC58" s="292" t="e">
        <f t="array" aca="1" ref="CC58" ca="1">VLOOKUP($B58,KOMBI!$A:$ADS,MATCH(Tulem!CC$3,KOMBI!$A$1:$ADS$1,0),FALSE)</f>
        <v>#NUM!</v>
      </c>
      <c r="CD58" s="292" t="e">
        <f t="array" aca="1" ref="CD58" ca="1">VLOOKUP($B58,KOMBI!$A:$ADS,MATCH(Tulem!CD$3,KOMBI!$A$1:$ADS$1,0),FALSE)</f>
        <v>#NUM!</v>
      </c>
      <c r="CF58" s="51" t="e">
        <f ca="1">VLOOKUP($B58,KOMBI!$A:$ACG,MATCH(CF$5,KOMBI!$10:$10,0),FALSE)</f>
        <v>#NUM!</v>
      </c>
    </row>
    <row r="59" spans="1:84" x14ac:dyDescent="0.2">
      <c r="A59" s="51">
        <v>54</v>
      </c>
      <c r="B59" s="51" t="e">
        <f ca="1">KOMBI!GI64</f>
        <v>#NUM!</v>
      </c>
      <c r="C59" s="51">
        <f t="shared" si="0"/>
        <v>54</v>
      </c>
      <c r="D59" s="290" t="e">
        <f ca="1">VLOOKUP(VLOOKUP($B59,KOMBI!$A:$H,3,FALSE),data!$I$27:$J$29,2,FALSE)</f>
        <v>#NUM!</v>
      </c>
      <c r="E59" s="290" t="e">
        <f ca="1">VLOOKUP(VLOOKUP($B59,KOMBI!$A:$H,2,FALSE),data!$I$21:$J$23,2,FALSE)</f>
        <v>#NUM!</v>
      </c>
      <c r="F59" s="290" t="e">
        <f ca="1">VLOOKUP(VLOOKUP($B59,KOMBI!$A:$H,5,FALSE),data!$I$39:$J$41,2,FALSE)</f>
        <v>#NUM!</v>
      </c>
      <c r="G59" s="290" t="e">
        <f ca="1">VLOOKUP(VLOOKUP($B59,KOMBI!$A:$H,4,FALSE),data!$I$32:$J$36,2,FALSE)</f>
        <v>#NUM!</v>
      </c>
      <c r="I59" s="51" t="e">
        <f ca="1">VLOOKUP($B59,KOMBI!$A:$Z,MATCH(I$5,KOMBI!$10:$10,0),FALSE)</f>
        <v>#NUM!</v>
      </c>
      <c r="J59" s="291" t="e">
        <f ca="1">VLOOKUP($B59,KOMBI!$A:$ADS,J$3,FALSE)</f>
        <v>#NUM!</v>
      </c>
      <c r="K59" s="291" t="e">
        <f ca="1">VLOOKUP($B59,KOMBI!$A:$ADS,K$3,FALSE)</f>
        <v>#NUM!</v>
      </c>
      <c r="L59" s="291" t="e">
        <f ca="1">VLOOKUP($B59,KOMBI!$A:$ADS,L$3,FALSE)</f>
        <v>#NUM!</v>
      </c>
      <c r="M59" s="291" t="e">
        <f ca="1">VLOOKUP($B59,KOMBI!$A:$ADS,M$3,FALSE)</f>
        <v>#NUM!</v>
      </c>
      <c r="N59" s="291" t="e">
        <f ca="1">VLOOKUP($B59,KOMBI!$A:$ADS,N$3,FALSE)</f>
        <v>#NUM!</v>
      </c>
      <c r="O59" s="291" t="e">
        <f ca="1">VLOOKUP($B59,KOMBI!$A:$ADS,O$3,FALSE)</f>
        <v>#NUM!</v>
      </c>
      <c r="P59" s="291" t="e">
        <f ca="1">VLOOKUP($B59,KOMBI!$A:$ADS,P$3,FALSE)</f>
        <v>#NUM!</v>
      </c>
      <c r="Q59" s="292" t="e">
        <f t="array" aca="1" ref="Q59" ca="1">VLOOKUP($B59,KOMBI!$A:$ADS,MATCH(Tulem!Q$3,KOMBI!$A$1:$ADS$1,0),FALSE)</f>
        <v>#NUM!</v>
      </c>
      <c r="S59" s="332" t="e">
        <f t="array" aca="1" ref="S59" ca="1">VLOOKUP($B59,KOMBI!$A:$ADS,MATCH(Tulem!S$3,KOMBI!$A$1:$ADS$1,0),FALSE)</f>
        <v>#NUM!</v>
      </c>
      <c r="T59" s="293" t="e">
        <f ca="1">VLOOKUP($B59,KOMBI!$A:$ADS,T$3,FALSE)</f>
        <v>#NUM!</v>
      </c>
      <c r="U59" s="293" t="e">
        <f ca="1">VLOOKUP($B59,KOMBI!$A:$ADS,U$3,FALSE)</f>
        <v>#NUM!</v>
      </c>
      <c r="V59" s="293" t="e">
        <f ca="1">VLOOKUP($B59,KOMBI!$A:$ADS,V$3,FALSE)</f>
        <v>#NUM!</v>
      </c>
      <c r="W59" s="293"/>
      <c r="X59" s="293" t="e">
        <f ca="1">VLOOKUP($B59,KOMBI!$A:$ADS,X$3,FALSE)</f>
        <v>#NUM!</v>
      </c>
      <c r="Y59" s="293" t="e">
        <f ca="1">VLOOKUP($B59,KOMBI!$A:$ADS,Y$3,FALSE)</f>
        <v>#NUM!</v>
      </c>
      <c r="Z59" s="293" t="e">
        <f ca="1">VLOOKUP($B59,KOMBI!$A:$ADS,Z$3,FALSE)</f>
        <v>#NUM!</v>
      </c>
      <c r="AA59" s="294"/>
      <c r="AB59" s="293" t="e">
        <f ca="1">VLOOKUP($B59,KOMBI!$A:$ADS,AB$3,FALSE)</f>
        <v>#NUM!</v>
      </c>
      <c r="AC59" s="293" t="e">
        <f ca="1">VLOOKUP($B59,KOMBI!$A:$ADS,AC$3,FALSE)-AB59</f>
        <v>#NUM!</v>
      </c>
      <c r="AD59" s="293" t="e">
        <f ca="1">VLOOKUP($B59,KOMBI!$A:$ADS,AD$3,FALSE)</f>
        <v>#NUM!</v>
      </c>
      <c r="AE59" s="293" t="e">
        <f ca="1">VLOOKUP($B59,KOMBI!$A:$ADS,AE$3,FALSE)</f>
        <v>#NUM!</v>
      </c>
      <c r="AF59" s="293" t="e">
        <f ca="1">VLOOKUP($B59,KOMBI!$A:$ADS,AF$3,FALSE)-AE59</f>
        <v>#NUM!</v>
      </c>
      <c r="AG59" s="293" t="e">
        <f ca="1">VLOOKUP($B59,KOMBI!$A:$ADS,AG$3,FALSE)</f>
        <v>#NUM!</v>
      </c>
      <c r="AI59" s="293" t="e">
        <f t="array" aca="1" ref="AI59" ca="1">VLOOKUP($B59,KOMBI!$A:$ADS,MATCH(Tulem!AI$3,KOMBI!$A$1:$ADS$1,0),FALSE)</f>
        <v>#NUM!</v>
      </c>
      <c r="AJ59" s="293" t="e">
        <f t="array" aca="1" ref="AJ59" ca="1">VLOOKUP($B59,KOMBI!$A:$ADS,MATCH(Tulem!AJ$3,KOMBI!$A$1:$ADS$1,0),FALSE)</f>
        <v>#NUM!</v>
      </c>
      <c r="AK59" s="293" t="e">
        <f t="array" aca="1" ref="AK59" ca="1">VLOOKUP($B59,KOMBI!$A:$ADS,MATCH(Tulem!AK$3,KOMBI!$A$1:$ADS$1,0),FALSE)</f>
        <v>#NUM!</v>
      </c>
      <c r="AL59" s="293" t="e">
        <f t="array" aca="1" ref="AL59" ca="1">VLOOKUP($B59,KOMBI!$A:$ADS,MATCH(Tulem!AL$3,KOMBI!$A$1:$ADS$1,0),FALSE)</f>
        <v>#NUM!</v>
      </c>
      <c r="AM59" s="293" t="e">
        <f t="array" aca="1" ref="AM59" ca="1">VLOOKUP($B59,KOMBI!$A:$ADS,MATCH(Tulem!AM$3,KOMBI!$A$1:$ADS$1,0),FALSE)</f>
        <v>#NUM!</v>
      </c>
      <c r="AN59" s="293" t="e">
        <f t="array" aca="1" ref="AN59" ca="1">VLOOKUP($B59,KOMBI!$A:$ADS,MATCH(Tulem!AN$3,KOMBI!$A$1:$ADS$1,0),FALSE)</f>
        <v>#NUM!</v>
      </c>
      <c r="AO59" s="293" t="e">
        <f t="array" aca="1" ref="AO59" ca="1">VLOOKUP($B59,KOMBI!$A:$ADS,MATCH(Tulem!AO$3,KOMBI!$A$1:$ADS$1,0),FALSE)</f>
        <v>#NUM!</v>
      </c>
      <c r="AP59" s="293" t="e">
        <f t="array" aca="1" ref="AP59" ca="1">VLOOKUP($B59,KOMBI!$A:$ADS,MATCH(Tulem!AP$3,KOMBI!$A$1:$ADS$1,0),FALSE)</f>
        <v>#NUM!</v>
      </c>
      <c r="AQ59" s="293" t="e">
        <f t="array" aca="1" ref="AQ59" ca="1">VLOOKUP($B59,KOMBI!$A:$ADS,MATCH(Tulem!AQ$3,KOMBI!$A$1:$ADS$1,0),FALSE)</f>
        <v>#NUM!</v>
      </c>
      <c r="AR59" s="293" t="e">
        <f t="array" aca="1" ref="AR59" ca="1">VLOOKUP($B59,KOMBI!$A:$ADS,MATCH(Tulem!AR$3,KOMBI!$A$1:$ADS$1,0),FALSE)</f>
        <v>#NUM!</v>
      </c>
      <c r="AS59" s="293" t="e">
        <f t="array" aca="1" ref="AS59" ca="1">VLOOKUP($B59,KOMBI!$A:$ADS,MATCH(Tulem!AS$3,KOMBI!$A$1:$ADS$1,0),FALSE)</f>
        <v>#NUM!</v>
      </c>
      <c r="AT59" s="293" t="e">
        <f t="array" aca="1" ref="AT59" ca="1">VLOOKUP($B59,KOMBI!$A:$ADS,MATCH(Tulem!AT$3,KOMBI!$A$1:$ADS$1,0),FALSE)</f>
        <v>#NUM!</v>
      </c>
      <c r="AU59" s="293" t="e">
        <f t="array" aca="1" ref="AU59" ca="1">VLOOKUP($B59,KOMBI!$A:$ADS,MATCH(Tulem!AU$3,KOMBI!$A$1:$ADS$1,0),FALSE)</f>
        <v>#NUM!</v>
      </c>
      <c r="AV59" s="293" t="e">
        <f t="shared" ca="1" si="1"/>
        <v>#NUM!</v>
      </c>
      <c r="AW59" s="293" t="e">
        <f t="shared" ca="1" si="2"/>
        <v>#NUM!</v>
      </c>
      <c r="AX59" s="291" t="e">
        <f ca="1">VLOOKUP($B59,KOMBI!$A:$ACA,MATCH(AX$5,KOMBI!$10:$10,0),FALSE)</f>
        <v>#NUM!</v>
      </c>
      <c r="AY59" s="292" t="e">
        <f t="array" aca="1" ref="AY59" ca="1">VLOOKUP($B59,KOMBI!$A:$ADS,MATCH(Tulem!AY$3,KOMBI!$A$1:$ADS$1,0),FALSE)</f>
        <v>#NUM!</v>
      </c>
      <c r="AZ59" s="292" t="e">
        <f t="array" aca="1" ref="AZ59" ca="1">VLOOKUP($B59,KOMBI!$A:$ADS,MATCH(Tulem!AZ$3,KOMBI!$A$1:$ADS$1,0),FALSE)</f>
        <v>#NUM!</v>
      </c>
      <c r="BA59" s="292" t="e">
        <f t="array" aca="1" ref="BA59" ca="1">VLOOKUP($B59,KOMBI!$A:$ADS,MATCH(Tulem!BA$3,KOMBI!$A$1:$ADS$1,0),FALSE)</f>
        <v>#NUM!</v>
      </c>
      <c r="BB59" s="292" t="e">
        <f t="array" aca="1" ref="BB59" ca="1">VLOOKUP($B59,KOMBI!$A:$ADS,MATCH(Tulem!BB$3,KOMBI!$A$1:$ADS$1,0),FALSE)</f>
        <v>#NUM!</v>
      </c>
      <c r="BC59" s="292" t="e">
        <f t="array" aca="1" ref="BC59" ca="1">VLOOKUP($B59,KOMBI!$A:$ADS,MATCH(Tulem!BC$3,KOMBI!$A$1:$ADS$1,0),FALSE)</f>
        <v>#NUM!</v>
      </c>
      <c r="BD59" s="292" t="e">
        <f t="array" aca="1" ref="BD59" ca="1">VLOOKUP($B59,KOMBI!$A:$ADS,MATCH(Tulem!BD$3,KOMBI!$A$1:$ADS$1,0),FALSE)</f>
        <v>#NUM!</v>
      </c>
      <c r="BE59" s="292" t="e">
        <f t="array" aca="1" ref="BE59" ca="1">VLOOKUP($B59,KOMBI!$A:$ADS,MATCH(Tulem!BE$3,KOMBI!$A$1:$ADS$1,0),FALSE)</f>
        <v>#NUM!</v>
      </c>
      <c r="BF59" s="292" t="e">
        <f t="array" aca="1" ref="BF59" ca="1">VLOOKUP($B59,KOMBI!$A:$ADS,MATCH(Tulem!BF$3,KOMBI!$A$1:$ADS$1,0),FALSE)</f>
        <v>#NUM!</v>
      </c>
      <c r="BG59" s="292" t="e">
        <f t="array" aca="1" ref="BG59" ca="1">VLOOKUP($B59,KOMBI!$A:$ADS,MATCH(Tulem!BG$3,KOMBI!$A$1:$ADS$1,0),FALSE)</f>
        <v>#NUM!</v>
      </c>
      <c r="BH59" s="292" t="e">
        <f t="array" aca="1" ref="BH59" ca="1">VLOOKUP($B59,KOMBI!$A:$ADS,MATCH(Tulem!BH$3,KOMBI!$A$1:$ADS$1,0),FALSE)</f>
        <v>#NUM!</v>
      </c>
      <c r="BI59" s="292" t="e">
        <f t="array" aca="1" ref="BI59" ca="1">VLOOKUP($B59,KOMBI!$A:$ADS,MATCH(Tulem!BI$3,KOMBI!$A$1:$ADS$1,0),FALSE)</f>
        <v>#NUM!</v>
      </c>
      <c r="BJ59" s="292" t="e">
        <f t="array" aca="1" ref="BJ59" ca="1">VLOOKUP($B59,KOMBI!$A:$ADS,MATCH(Tulem!BJ$3,KOMBI!$A$1:$ADS$1,0),FALSE)</f>
        <v>#NUM!</v>
      </c>
      <c r="BK59" s="292" t="e">
        <f t="array" aca="1" ref="BK59" ca="1">VLOOKUP($B59,KOMBI!$A:$ADS,MATCH(Tulem!BK$3,KOMBI!$A$1:$ADS$1,0),FALSE)</f>
        <v>#NUM!</v>
      </c>
      <c r="BL59" s="292" t="e">
        <f t="array" aca="1" ref="BL59" ca="1">VLOOKUP($B59,KOMBI!$A:$ADS,MATCH(Tulem!BL$3,KOMBI!$A$1:$ADS$1,0),FALSE)</f>
        <v>#NUM!</v>
      </c>
      <c r="BM59" s="292" t="e">
        <f t="array" aca="1" ref="BM59" ca="1">VLOOKUP($B59,KOMBI!$A:$ADS,MATCH(Tulem!BM$3,KOMBI!$A$1:$ADS$1,0),FALSE)</f>
        <v>#NUM!</v>
      </c>
      <c r="BN59" s="292" t="e">
        <f t="array" aca="1" ref="BN59" ca="1">VLOOKUP($B59,KOMBI!$A:$ADS,MATCH(Tulem!BN$3,KOMBI!$A$1:$ADS$1,0),FALSE)</f>
        <v>#NUM!</v>
      </c>
      <c r="BO59" s="292" t="e">
        <f t="array" aca="1" ref="BO59" ca="1">VLOOKUP($B59,KOMBI!$A:$ADS,MATCH(Tulem!BO$3,KOMBI!$A$1:$ADS$1,0),FALSE)</f>
        <v>#NUM!</v>
      </c>
      <c r="BP59" s="291"/>
      <c r="BQ59" s="292" t="e">
        <f t="array" aca="1" ref="BQ59" ca="1">VLOOKUP($B59,KOMBI!$A:$ADS,MATCH(Tulem!BQ$3,KOMBI!$A$1:$ADS$1,0),FALSE)</f>
        <v>#NUM!</v>
      </c>
      <c r="BR59" s="292" t="e">
        <f t="array" aca="1" ref="BR59" ca="1">VLOOKUP($B59,KOMBI!$A:$ADS,MATCH(Tulem!BR$3,KOMBI!$A$1:$ADS$1,0),FALSE)</f>
        <v>#NUM!</v>
      </c>
      <c r="BS59" s="292" t="e">
        <f t="array" aca="1" ref="BS59" ca="1">VLOOKUP($B59,KOMBI!$A:$ADS,MATCH(Tulem!BS$3,KOMBI!$A$1:$ADS$1,0),FALSE)</f>
        <v>#NUM!</v>
      </c>
      <c r="BT59" s="292" t="e">
        <f t="array" aca="1" ref="BT59" ca="1">VLOOKUP($B59,KOMBI!$A:$ADS,MATCH(Tulem!BT$3,KOMBI!$A$1:$ADS$1,0),FALSE)</f>
        <v>#NUM!</v>
      </c>
      <c r="BU59" s="292" t="e">
        <f t="array" aca="1" ref="BU59" ca="1">VLOOKUP($B59,KOMBI!$A:$ADS,MATCH(Tulem!BU$3,KOMBI!$A$1:$ADS$1,0),FALSE)</f>
        <v>#NUM!</v>
      </c>
      <c r="BV59" s="291"/>
      <c r="BW59" s="292" t="e">
        <f t="array" aca="1" ref="BW59" ca="1">VLOOKUP($B59,KOMBI!$A:$ADS,MATCH(Tulem!BW$3,KOMBI!$A$1:$ADS$1,0),FALSE)</f>
        <v>#NUM!</v>
      </c>
      <c r="BX59" s="291"/>
      <c r="BY59" s="291"/>
      <c r="BZ59" s="292" t="e">
        <f t="array" aca="1" ref="BZ59" ca="1">VLOOKUP($B59,KOMBI!$A:$ADS,MATCH(Tulem!BZ$3,KOMBI!$A$1:$ADS$1,0),FALSE)</f>
        <v>#NUM!</v>
      </c>
      <c r="CA59" s="292" t="e">
        <f t="array" aca="1" ref="CA59" ca="1">VLOOKUP($B59,KOMBI!$A:$ADS,MATCH(Tulem!CA$3,KOMBI!$A$1:$ADS$1,0),FALSE)</f>
        <v>#NUM!</v>
      </c>
      <c r="CB59" s="292" t="e">
        <f t="array" aca="1" ref="CB59" ca="1">VLOOKUP($B59,KOMBI!$A:$ADS,MATCH(Tulem!CB$3,KOMBI!$A$1:$ADS$1,0),FALSE)</f>
        <v>#NUM!</v>
      </c>
      <c r="CC59" s="292" t="e">
        <f t="array" aca="1" ref="CC59" ca="1">VLOOKUP($B59,KOMBI!$A:$ADS,MATCH(Tulem!CC$3,KOMBI!$A$1:$ADS$1,0),FALSE)</f>
        <v>#NUM!</v>
      </c>
      <c r="CD59" s="292" t="e">
        <f t="array" aca="1" ref="CD59" ca="1">VLOOKUP($B59,KOMBI!$A:$ADS,MATCH(Tulem!CD$3,KOMBI!$A$1:$ADS$1,0),FALSE)</f>
        <v>#NUM!</v>
      </c>
      <c r="CF59" s="51" t="e">
        <f ca="1">VLOOKUP($B59,KOMBI!$A:$ACG,MATCH(CF$5,KOMBI!$10:$10,0),FALSE)</f>
        <v>#NUM!</v>
      </c>
    </row>
    <row r="60" spans="1:84" x14ac:dyDescent="0.2">
      <c r="A60" s="51">
        <v>55</v>
      </c>
      <c r="B60" s="51" t="e">
        <f ca="1">KOMBI!GI65</f>
        <v>#NUM!</v>
      </c>
      <c r="C60" s="51">
        <f t="shared" si="0"/>
        <v>55</v>
      </c>
      <c r="D60" s="290" t="e">
        <f ca="1">VLOOKUP(VLOOKUP($B60,KOMBI!$A:$H,3,FALSE),data!$I$27:$J$29,2,FALSE)</f>
        <v>#NUM!</v>
      </c>
      <c r="E60" s="290" t="e">
        <f ca="1">VLOOKUP(VLOOKUP($B60,KOMBI!$A:$H,2,FALSE),data!$I$21:$J$23,2,FALSE)</f>
        <v>#NUM!</v>
      </c>
      <c r="F60" s="290" t="e">
        <f ca="1">VLOOKUP(VLOOKUP($B60,KOMBI!$A:$H,5,FALSE),data!$I$39:$J$41,2,FALSE)</f>
        <v>#NUM!</v>
      </c>
      <c r="G60" s="290" t="e">
        <f ca="1">VLOOKUP(VLOOKUP($B60,KOMBI!$A:$H,4,FALSE),data!$I$32:$J$36,2,FALSE)</f>
        <v>#NUM!</v>
      </c>
      <c r="I60" s="51" t="e">
        <f ca="1">VLOOKUP($B60,KOMBI!$A:$Z,MATCH(I$5,KOMBI!$10:$10,0),FALSE)</f>
        <v>#NUM!</v>
      </c>
      <c r="J60" s="291" t="e">
        <f ca="1">VLOOKUP($B60,KOMBI!$A:$ADS,J$3,FALSE)</f>
        <v>#NUM!</v>
      </c>
      <c r="K60" s="291" t="e">
        <f ca="1">VLOOKUP($B60,KOMBI!$A:$ADS,K$3,FALSE)</f>
        <v>#NUM!</v>
      </c>
      <c r="L60" s="291" t="e">
        <f ca="1">VLOOKUP($B60,KOMBI!$A:$ADS,L$3,FALSE)</f>
        <v>#NUM!</v>
      </c>
      <c r="M60" s="291" t="e">
        <f ca="1">VLOOKUP($B60,KOMBI!$A:$ADS,M$3,FALSE)</f>
        <v>#NUM!</v>
      </c>
      <c r="N60" s="291" t="e">
        <f ca="1">VLOOKUP($B60,KOMBI!$A:$ADS,N$3,FALSE)</f>
        <v>#NUM!</v>
      </c>
      <c r="O60" s="291" t="e">
        <f ca="1">VLOOKUP($B60,KOMBI!$A:$ADS,O$3,FALSE)</f>
        <v>#NUM!</v>
      </c>
      <c r="P60" s="291" t="e">
        <f ca="1">VLOOKUP($B60,KOMBI!$A:$ADS,P$3,FALSE)</f>
        <v>#NUM!</v>
      </c>
      <c r="Q60" s="292" t="e">
        <f t="array" aca="1" ref="Q60" ca="1">VLOOKUP($B60,KOMBI!$A:$ADS,MATCH(Tulem!Q$3,KOMBI!$A$1:$ADS$1,0),FALSE)</f>
        <v>#NUM!</v>
      </c>
      <c r="S60" s="332" t="e">
        <f t="array" aca="1" ref="S60" ca="1">VLOOKUP($B60,KOMBI!$A:$ADS,MATCH(Tulem!S$3,KOMBI!$A$1:$ADS$1,0),FALSE)</f>
        <v>#NUM!</v>
      </c>
      <c r="T60" s="293" t="e">
        <f ca="1">VLOOKUP($B60,KOMBI!$A:$ADS,T$3,FALSE)</f>
        <v>#NUM!</v>
      </c>
      <c r="U60" s="293" t="e">
        <f ca="1">VLOOKUP($B60,KOMBI!$A:$ADS,U$3,FALSE)</f>
        <v>#NUM!</v>
      </c>
      <c r="V60" s="293" t="e">
        <f ca="1">VLOOKUP($B60,KOMBI!$A:$ADS,V$3,FALSE)</f>
        <v>#NUM!</v>
      </c>
      <c r="W60" s="293"/>
      <c r="X60" s="293" t="e">
        <f ca="1">VLOOKUP($B60,KOMBI!$A:$ADS,X$3,FALSE)</f>
        <v>#NUM!</v>
      </c>
      <c r="Y60" s="293" t="e">
        <f ca="1">VLOOKUP($B60,KOMBI!$A:$ADS,Y$3,FALSE)</f>
        <v>#NUM!</v>
      </c>
      <c r="Z60" s="293" t="e">
        <f ca="1">VLOOKUP($B60,KOMBI!$A:$ADS,Z$3,FALSE)</f>
        <v>#NUM!</v>
      </c>
      <c r="AA60" s="294"/>
      <c r="AB60" s="293" t="e">
        <f ca="1">VLOOKUP($B60,KOMBI!$A:$ADS,AB$3,FALSE)</f>
        <v>#NUM!</v>
      </c>
      <c r="AC60" s="293" t="e">
        <f ca="1">VLOOKUP($B60,KOMBI!$A:$ADS,AC$3,FALSE)-AB60</f>
        <v>#NUM!</v>
      </c>
      <c r="AD60" s="293" t="e">
        <f ca="1">VLOOKUP($B60,KOMBI!$A:$ADS,AD$3,FALSE)</f>
        <v>#NUM!</v>
      </c>
      <c r="AE60" s="293" t="e">
        <f ca="1">VLOOKUP($B60,KOMBI!$A:$ADS,AE$3,FALSE)</f>
        <v>#NUM!</v>
      </c>
      <c r="AF60" s="293" t="e">
        <f ca="1">VLOOKUP($B60,KOMBI!$A:$ADS,AF$3,FALSE)-AE60</f>
        <v>#NUM!</v>
      </c>
      <c r="AG60" s="293" t="e">
        <f ca="1">VLOOKUP($B60,KOMBI!$A:$ADS,AG$3,FALSE)</f>
        <v>#NUM!</v>
      </c>
      <c r="AI60" s="293" t="e">
        <f t="array" aca="1" ref="AI60" ca="1">VLOOKUP($B60,KOMBI!$A:$ADS,MATCH(Tulem!AI$3,KOMBI!$A$1:$ADS$1,0),FALSE)</f>
        <v>#NUM!</v>
      </c>
      <c r="AJ60" s="293" t="e">
        <f t="array" aca="1" ref="AJ60" ca="1">VLOOKUP($B60,KOMBI!$A:$ADS,MATCH(Tulem!AJ$3,KOMBI!$A$1:$ADS$1,0),FALSE)</f>
        <v>#NUM!</v>
      </c>
      <c r="AK60" s="293" t="e">
        <f t="array" aca="1" ref="AK60" ca="1">VLOOKUP($B60,KOMBI!$A:$ADS,MATCH(Tulem!AK$3,KOMBI!$A$1:$ADS$1,0),FALSE)</f>
        <v>#NUM!</v>
      </c>
      <c r="AL60" s="293" t="e">
        <f t="array" aca="1" ref="AL60" ca="1">VLOOKUP($B60,KOMBI!$A:$ADS,MATCH(Tulem!AL$3,KOMBI!$A$1:$ADS$1,0),FALSE)</f>
        <v>#NUM!</v>
      </c>
      <c r="AM60" s="293" t="e">
        <f t="array" aca="1" ref="AM60" ca="1">VLOOKUP($B60,KOMBI!$A:$ADS,MATCH(Tulem!AM$3,KOMBI!$A$1:$ADS$1,0),FALSE)</f>
        <v>#NUM!</v>
      </c>
      <c r="AN60" s="293" t="e">
        <f t="array" aca="1" ref="AN60" ca="1">VLOOKUP($B60,KOMBI!$A:$ADS,MATCH(Tulem!AN$3,KOMBI!$A$1:$ADS$1,0),FALSE)</f>
        <v>#NUM!</v>
      </c>
      <c r="AO60" s="293" t="e">
        <f t="array" aca="1" ref="AO60" ca="1">VLOOKUP($B60,KOMBI!$A:$ADS,MATCH(Tulem!AO$3,KOMBI!$A$1:$ADS$1,0),FALSE)</f>
        <v>#NUM!</v>
      </c>
      <c r="AP60" s="293" t="e">
        <f t="array" aca="1" ref="AP60" ca="1">VLOOKUP($B60,KOMBI!$A:$ADS,MATCH(Tulem!AP$3,KOMBI!$A$1:$ADS$1,0),FALSE)</f>
        <v>#NUM!</v>
      </c>
      <c r="AQ60" s="293" t="e">
        <f t="array" aca="1" ref="AQ60" ca="1">VLOOKUP($B60,KOMBI!$A:$ADS,MATCH(Tulem!AQ$3,KOMBI!$A$1:$ADS$1,0),FALSE)</f>
        <v>#NUM!</v>
      </c>
      <c r="AR60" s="293" t="e">
        <f t="array" aca="1" ref="AR60" ca="1">VLOOKUP($B60,KOMBI!$A:$ADS,MATCH(Tulem!AR$3,KOMBI!$A$1:$ADS$1,0),FALSE)</f>
        <v>#NUM!</v>
      </c>
      <c r="AS60" s="293" t="e">
        <f t="array" aca="1" ref="AS60" ca="1">VLOOKUP($B60,KOMBI!$A:$ADS,MATCH(Tulem!AS$3,KOMBI!$A$1:$ADS$1,0),FALSE)</f>
        <v>#NUM!</v>
      </c>
      <c r="AT60" s="293" t="e">
        <f t="array" aca="1" ref="AT60" ca="1">VLOOKUP($B60,KOMBI!$A:$ADS,MATCH(Tulem!AT$3,KOMBI!$A$1:$ADS$1,0),FALSE)</f>
        <v>#NUM!</v>
      </c>
      <c r="AU60" s="293" t="e">
        <f t="array" aca="1" ref="AU60" ca="1">VLOOKUP($B60,KOMBI!$A:$ADS,MATCH(Tulem!AU$3,KOMBI!$A$1:$ADS$1,0),FALSE)</f>
        <v>#NUM!</v>
      </c>
      <c r="AV60" s="293" t="e">
        <f t="shared" ca="1" si="1"/>
        <v>#NUM!</v>
      </c>
      <c r="AW60" s="293" t="e">
        <f t="shared" ca="1" si="2"/>
        <v>#NUM!</v>
      </c>
      <c r="AX60" s="291" t="e">
        <f ca="1">VLOOKUP($B60,KOMBI!$A:$ACA,MATCH(AX$5,KOMBI!$10:$10,0),FALSE)</f>
        <v>#NUM!</v>
      </c>
      <c r="AY60" s="292" t="e">
        <f t="array" aca="1" ref="AY60" ca="1">VLOOKUP($B60,KOMBI!$A:$ADS,MATCH(Tulem!AY$3,KOMBI!$A$1:$ADS$1,0),FALSE)</f>
        <v>#NUM!</v>
      </c>
      <c r="AZ60" s="292" t="e">
        <f t="array" aca="1" ref="AZ60" ca="1">VLOOKUP($B60,KOMBI!$A:$ADS,MATCH(Tulem!AZ$3,KOMBI!$A$1:$ADS$1,0),FALSE)</f>
        <v>#NUM!</v>
      </c>
      <c r="BA60" s="292" t="e">
        <f t="array" aca="1" ref="BA60" ca="1">VLOOKUP($B60,KOMBI!$A:$ADS,MATCH(Tulem!BA$3,KOMBI!$A$1:$ADS$1,0),FALSE)</f>
        <v>#NUM!</v>
      </c>
      <c r="BB60" s="292" t="e">
        <f t="array" aca="1" ref="BB60" ca="1">VLOOKUP($B60,KOMBI!$A:$ADS,MATCH(Tulem!BB$3,KOMBI!$A$1:$ADS$1,0),FALSE)</f>
        <v>#NUM!</v>
      </c>
      <c r="BC60" s="292" t="e">
        <f t="array" aca="1" ref="BC60" ca="1">VLOOKUP($B60,KOMBI!$A:$ADS,MATCH(Tulem!BC$3,KOMBI!$A$1:$ADS$1,0),FALSE)</f>
        <v>#NUM!</v>
      </c>
      <c r="BD60" s="292" t="e">
        <f t="array" aca="1" ref="BD60" ca="1">VLOOKUP($B60,KOMBI!$A:$ADS,MATCH(Tulem!BD$3,KOMBI!$A$1:$ADS$1,0),FALSE)</f>
        <v>#NUM!</v>
      </c>
      <c r="BE60" s="292" t="e">
        <f t="array" aca="1" ref="BE60" ca="1">VLOOKUP($B60,KOMBI!$A:$ADS,MATCH(Tulem!BE$3,KOMBI!$A$1:$ADS$1,0),FALSE)</f>
        <v>#NUM!</v>
      </c>
      <c r="BF60" s="292" t="e">
        <f t="array" aca="1" ref="BF60" ca="1">VLOOKUP($B60,KOMBI!$A:$ADS,MATCH(Tulem!BF$3,KOMBI!$A$1:$ADS$1,0),FALSE)</f>
        <v>#NUM!</v>
      </c>
      <c r="BG60" s="292" t="e">
        <f t="array" aca="1" ref="BG60" ca="1">VLOOKUP($B60,KOMBI!$A:$ADS,MATCH(Tulem!BG$3,KOMBI!$A$1:$ADS$1,0),FALSE)</f>
        <v>#NUM!</v>
      </c>
      <c r="BH60" s="292" t="e">
        <f t="array" aca="1" ref="BH60" ca="1">VLOOKUP($B60,KOMBI!$A:$ADS,MATCH(Tulem!BH$3,KOMBI!$A$1:$ADS$1,0),FALSE)</f>
        <v>#NUM!</v>
      </c>
      <c r="BI60" s="292" t="e">
        <f t="array" aca="1" ref="BI60" ca="1">VLOOKUP($B60,KOMBI!$A:$ADS,MATCH(Tulem!BI$3,KOMBI!$A$1:$ADS$1,0),FALSE)</f>
        <v>#NUM!</v>
      </c>
      <c r="BJ60" s="292" t="e">
        <f t="array" aca="1" ref="BJ60" ca="1">VLOOKUP($B60,KOMBI!$A:$ADS,MATCH(Tulem!BJ$3,KOMBI!$A$1:$ADS$1,0),FALSE)</f>
        <v>#NUM!</v>
      </c>
      <c r="BK60" s="292" t="e">
        <f t="array" aca="1" ref="BK60" ca="1">VLOOKUP($B60,KOMBI!$A:$ADS,MATCH(Tulem!BK$3,KOMBI!$A$1:$ADS$1,0),FALSE)</f>
        <v>#NUM!</v>
      </c>
      <c r="BL60" s="292" t="e">
        <f t="array" aca="1" ref="BL60" ca="1">VLOOKUP($B60,KOMBI!$A:$ADS,MATCH(Tulem!BL$3,KOMBI!$A$1:$ADS$1,0),FALSE)</f>
        <v>#NUM!</v>
      </c>
      <c r="BM60" s="292" t="e">
        <f t="array" aca="1" ref="BM60" ca="1">VLOOKUP($B60,KOMBI!$A:$ADS,MATCH(Tulem!BM$3,KOMBI!$A$1:$ADS$1,0),FALSE)</f>
        <v>#NUM!</v>
      </c>
      <c r="BN60" s="292" t="e">
        <f t="array" aca="1" ref="BN60" ca="1">VLOOKUP($B60,KOMBI!$A:$ADS,MATCH(Tulem!BN$3,KOMBI!$A$1:$ADS$1,0),FALSE)</f>
        <v>#NUM!</v>
      </c>
      <c r="BO60" s="292" t="e">
        <f t="array" aca="1" ref="BO60" ca="1">VLOOKUP($B60,KOMBI!$A:$ADS,MATCH(Tulem!BO$3,KOMBI!$A$1:$ADS$1,0),FALSE)</f>
        <v>#NUM!</v>
      </c>
      <c r="BP60" s="291"/>
      <c r="BQ60" s="292" t="e">
        <f t="array" aca="1" ref="BQ60" ca="1">VLOOKUP($B60,KOMBI!$A:$ADS,MATCH(Tulem!BQ$3,KOMBI!$A$1:$ADS$1,0),FALSE)</f>
        <v>#NUM!</v>
      </c>
      <c r="BR60" s="292" t="e">
        <f t="array" aca="1" ref="BR60" ca="1">VLOOKUP($B60,KOMBI!$A:$ADS,MATCH(Tulem!BR$3,KOMBI!$A$1:$ADS$1,0),FALSE)</f>
        <v>#NUM!</v>
      </c>
      <c r="BS60" s="292" t="e">
        <f t="array" aca="1" ref="BS60" ca="1">VLOOKUP($B60,KOMBI!$A:$ADS,MATCH(Tulem!BS$3,KOMBI!$A$1:$ADS$1,0),FALSE)</f>
        <v>#NUM!</v>
      </c>
      <c r="BT60" s="292" t="e">
        <f t="array" aca="1" ref="BT60" ca="1">VLOOKUP($B60,KOMBI!$A:$ADS,MATCH(Tulem!BT$3,KOMBI!$A$1:$ADS$1,0),FALSE)</f>
        <v>#NUM!</v>
      </c>
      <c r="BU60" s="292" t="e">
        <f t="array" aca="1" ref="BU60" ca="1">VLOOKUP($B60,KOMBI!$A:$ADS,MATCH(Tulem!BU$3,KOMBI!$A$1:$ADS$1,0),FALSE)</f>
        <v>#NUM!</v>
      </c>
      <c r="BV60" s="291"/>
      <c r="BW60" s="292" t="e">
        <f t="array" aca="1" ref="BW60" ca="1">VLOOKUP($B60,KOMBI!$A:$ADS,MATCH(Tulem!BW$3,KOMBI!$A$1:$ADS$1,0),FALSE)</f>
        <v>#NUM!</v>
      </c>
      <c r="BX60" s="291"/>
      <c r="BY60" s="291"/>
      <c r="BZ60" s="292" t="e">
        <f t="array" aca="1" ref="BZ60" ca="1">VLOOKUP($B60,KOMBI!$A:$ADS,MATCH(Tulem!BZ$3,KOMBI!$A$1:$ADS$1,0),FALSE)</f>
        <v>#NUM!</v>
      </c>
      <c r="CA60" s="292" t="e">
        <f t="array" aca="1" ref="CA60" ca="1">VLOOKUP($B60,KOMBI!$A:$ADS,MATCH(Tulem!CA$3,KOMBI!$A$1:$ADS$1,0),FALSE)</f>
        <v>#NUM!</v>
      </c>
      <c r="CB60" s="292" t="e">
        <f t="array" aca="1" ref="CB60" ca="1">VLOOKUP($B60,KOMBI!$A:$ADS,MATCH(Tulem!CB$3,KOMBI!$A$1:$ADS$1,0),FALSE)</f>
        <v>#NUM!</v>
      </c>
      <c r="CC60" s="292" t="e">
        <f t="array" aca="1" ref="CC60" ca="1">VLOOKUP($B60,KOMBI!$A:$ADS,MATCH(Tulem!CC$3,KOMBI!$A$1:$ADS$1,0),FALSE)</f>
        <v>#NUM!</v>
      </c>
      <c r="CD60" s="292" t="e">
        <f t="array" aca="1" ref="CD60" ca="1">VLOOKUP($B60,KOMBI!$A:$ADS,MATCH(Tulem!CD$3,KOMBI!$A$1:$ADS$1,0),FALSE)</f>
        <v>#NUM!</v>
      </c>
      <c r="CF60" s="51" t="e">
        <f ca="1">VLOOKUP($B60,KOMBI!$A:$ACG,MATCH(CF$5,KOMBI!$10:$10,0),FALSE)</f>
        <v>#NUM!</v>
      </c>
    </row>
    <row r="61" spans="1:84" x14ac:dyDescent="0.2">
      <c r="A61" s="51">
        <v>56</v>
      </c>
      <c r="B61" s="51" t="e">
        <f ca="1">KOMBI!GI66</f>
        <v>#NUM!</v>
      </c>
      <c r="C61" s="51">
        <f t="shared" si="0"/>
        <v>56</v>
      </c>
      <c r="D61" s="290" t="e">
        <f ca="1">VLOOKUP(VLOOKUP($B61,KOMBI!$A:$H,3,FALSE),data!$I$27:$J$29,2,FALSE)</f>
        <v>#NUM!</v>
      </c>
      <c r="E61" s="290" t="e">
        <f ca="1">VLOOKUP(VLOOKUP($B61,KOMBI!$A:$H,2,FALSE),data!$I$21:$J$23,2,FALSE)</f>
        <v>#NUM!</v>
      </c>
      <c r="F61" s="290" t="e">
        <f ca="1">VLOOKUP(VLOOKUP($B61,KOMBI!$A:$H,5,FALSE),data!$I$39:$J$41,2,FALSE)</f>
        <v>#NUM!</v>
      </c>
      <c r="G61" s="290" t="e">
        <f ca="1">VLOOKUP(VLOOKUP($B61,KOMBI!$A:$H,4,FALSE),data!$I$32:$J$36,2,FALSE)</f>
        <v>#NUM!</v>
      </c>
      <c r="I61" s="51" t="e">
        <f ca="1">VLOOKUP($B61,KOMBI!$A:$Z,MATCH(I$5,KOMBI!$10:$10,0),FALSE)</f>
        <v>#NUM!</v>
      </c>
      <c r="J61" s="291" t="e">
        <f ca="1">VLOOKUP($B61,KOMBI!$A:$ADS,J$3,FALSE)</f>
        <v>#NUM!</v>
      </c>
      <c r="K61" s="291" t="e">
        <f ca="1">VLOOKUP($B61,KOMBI!$A:$ADS,K$3,FALSE)</f>
        <v>#NUM!</v>
      </c>
      <c r="L61" s="291" t="e">
        <f ca="1">VLOOKUP($B61,KOMBI!$A:$ADS,L$3,FALSE)</f>
        <v>#NUM!</v>
      </c>
      <c r="M61" s="291" t="e">
        <f ca="1">VLOOKUP($B61,KOMBI!$A:$ADS,M$3,FALSE)</f>
        <v>#NUM!</v>
      </c>
      <c r="N61" s="291" t="e">
        <f ca="1">VLOOKUP($B61,KOMBI!$A:$ADS,N$3,FALSE)</f>
        <v>#NUM!</v>
      </c>
      <c r="O61" s="291" t="e">
        <f ca="1">VLOOKUP($B61,KOMBI!$A:$ADS,O$3,FALSE)</f>
        <v>#NUM!</v>
      </c>
      <c r="P61" s="291" t="e">
        <f ca="1">VLOOKUP($B61,KOMBI!$A:$ADS,P$3,FALSE)</f>
        <v>#NUM!</v>
      </c>
      <c r="Q61" s="292" t="e">
        <f t="array" aca="1" ref="Q61" ca="1">VLOOKUP($B61,KOMBI!$A:$ADS,MATCH(Tulem!Q$3,KOMBI!$A$1:$ADS$1,0),FALSE)</f>
        <v>#NUM!</v>
      </c>
      <c r="S61" s="332" t="e">
        <f t="array" aca="1" ref="S61" ca="1">VLOOKUP($B61,KOMBI!$A:$ADS,MATCH(Tulem!S$3,KOMBI!$A$1:$ADS$1,0),FALSE)</f>
        <v>#NUM!</v>
      </c>
      <c r="T61" s="293" t="e">
        <f ca="1">VLOOKUP($B61,KOMBI!$A:$ADS,T$3,FALSE)</f>
        <v>#NUM!</v>
      </c>
      <c r="U61" s="293" t="e">
        <f ca="1">VLOOKUP($B61,KOMBI!$A:$ADS,U$3,FALSE)</f>
        <v>#NUM!</v>
      </c>
      <c r="V61" s="293" t="e">
        <f ca="1">VLOOKUP($B61,KOMBI!$A:$ADS,V$3,FALSE)</f>
        <v>#NUM!</v>
      </c>
      <c r="W61" s="293"/>
      <c r="X61" s="293" t="e">
        <f ca="1">VLOOKUP($B61,KOMBI!$A:$ADS,X$3,FALSE)</f>
        <v>#NUM!</v>
      </c>
      <c r="Y61" s="293" t="e">
        <f ca="1">VLOOKUP($B61,KOMBI!$A:$ADS,Y$3,FALSE)</f>
        <v>#NUM!</v>
      </c>
      <c r="Z61" s="293" t="e">
        <f ca="1">VLOOKUP($B61,KOMBI!$A:$ADS,Z$3,FALSE)</f>
        <v>#NUM!</v>
      </c>
      <c r="AA61" s="294"/>
      <c r="AB61" s="293" t="e">
        <f ca="1">VLOOKUP($B61,KOMBI!$A:$ADS,AB$3,FALSE)</f>
        <v>#NUM!</v>
      </c>
      <c r="AC61" s="293" t="e">
        <f ca="1">VLOOKUP($B61,KOMBI!$A:$ADS,AC$3,FALSE)-AB61</f>
        <v>#NUM!</v>
      </c>
      <c r="AD61" s="293" t="e">
        <f ca="1">VLOOKUP($B61,KOMBI!$A:$ADS,AD$3,FALSE)</f>
        <v>#NUM!</v>
      </c>
      <c r="AE61" s="293" t="e">
        <f ca="1">VLOOKUP($B61,KOMBI!$A:$ADS,AE$3,FALSE)</f>
        <v>#NUM!</v>
      </c>
      <c r="AF61" s="293" t="e">
        <f ca="1">VLOOKUP($B61,KOMBI!$A:$ADS,AF$3,FALSE)-AE61</f>
        <v>#NUM!</v>
      </c>
      <c r="AG61" s="293" t="e">
        <f ca="1">VLOOKUP($B61,KOMBI!$A:$ADS,AG$3,FALSE)</f>
        <v>#NUM!</v>
      </c>
      <c r="AI61" s="293" t="e">
        <f t="array" aca="1" ref="AI61" ca="1">VLOOKUP($B61,KOMBI!$A:$ADS,MATCH(Tulem!AI$3,KOMBI!$A$1:$ADS$1,0),FALSE)</f>
        <v>#NUM!</v>
      </c>
      <c r="AJ61" s="293" t="e">
        <f t="array" aca="1" ref="AJ61" ca="1">VLOOKUP($B61,KOMBI!$A:$ADS,MATCH(Tulem!AJ$3,KOMBI!$A$1:$ADS$1,0),FALSE)</f>
        <v>#NUM!</v>
      </c>
      <c r="AK61" s="293" t="e">
        <f t="array" aca="1" ref="AK61" ca="1">VLOOKUP($B61,KOMBI!$A:$ADS,MATCH(Tulem!AK$3,KOMBI!$A$1:$ADS$1,0),FALSE)</f>
        <v>#NUM!</v>
      </c>
      <c r="AL61" s="293" t="e">
        <f t="array" aca="1" ref="AL61" ca="1">VLOOKUP($B61,KOMBI!$A:$ADS,MATCH(Tulem!AL$3,KOMBI!$A$1:$ADS$1,0),FALSE)</f>
        <v>#NUM!</v>
      </c>
      <c r="AM61" s="293" t="e">
        <f t="array" aca="1" ref="AM61" ca="1">VLOOKUP($B61,KOMBI!$A:$ADS,MATCH(Tulem!AM$3,KOMBI!$A$1:$ADS$1,0),FALSE)</f>
        <v>#NUM!</v>
      </c>
      <c r="AN61" s="293" t="e">
        <f t="array" aca="1" ref="AN61" ca="1">VLOOKUP($B61,KOMBI!$A:$ADS,MATCH(Tulem!AN$3,KOMBI!$A$1:$ADS$1,0),FALSE)</f>
        <v>#NUM!</v>
      </c>
      <c r="AO61" s="293" t="e">
        <f t="array" aca="1" ref="AO61" ca="1">VLOOKUP($B61,KOMBI!$A:$ADS,MATCH(Tulem!AO$3,KOMBI!$A$1:$ADS$1,0),FALSE)</f>
        <v>#NUM!</v>
      </c>
      <c r="AP61" s="293" t="e">
        <f t="array" aca="1" ref="AP61" ca="1">VLOOKUP($B61,KOMBI!$A:$ADS,MATCH(Tulem!AP$3,KOMBI!$A$1:$ADS$1,0),FALSE)</f>
        <v>#NUM!</v>
      </c>
      <c r="AQ61" s="293" t="e">
        <f t="array" aca="1" ref="AQ61" ca="1">VLOOKUP($B61,KOMBI!$A:$ADS,MATCH(Tulem!AQ$3,KOMBI!$A$1:$ADS$1,0),FALSE)</f>
        <v>#NUM!</v>
      </c>
      <c r="AR61" s="293" t="e">
        <f t="array" aca="1" ref="AR61" ca="1">VLOOKUP($B61,KOMBI!$A:$ADS,MATCH(Tulem!AR$3,KOMBI!$A$1:$ADS$1,0),FALSE)</f>
        <v>#NUM!</v>
      </c>
      <c r="AS61" s="293" t="e">
        <f t="array" aca="1" ref="AS61" ca="1">VLOOKUP($B61,KOMBI!$A:$ADS,MATCH(Tulem!AS$3,KOMBI!$A$1:$ADS$1,0),FALSE)</f>
        <v>#NUM!</v>
      </c>
      <c r="AT61" s="293" t="e">
        <f t="array" aca="1" ref="AT61" ca="1">VLOOKUP($B61,KOMBI!$A:$ADS,MATCH(Tulem!AT$3,KOMBI!$A$1:$ADS$1,0),FALSE)</f>
        <v>#NUM!</v>
      </c>
      <c r="AU61" s="293" t="e">
        <f t="array" aca="1" ref="AU61" ca="1">VLOOKUP($B61,KOMBI!$A:$ADS,MATCH(Tulem!AU$3,KOMBI!$A$1:$ADS$1,0),FALSE)</f>
        <v>#NUM!</v>
      </c>
      <c r="AV61" s="293" t="e">
        <f t="shared" ca="1" si="1"/>
        <v>#NUM!</v>
      </c>
      <c r="AW61" s="293" t="e">
        <f t="shared" ca="1" si="2"/>
        <v>#NUM!</v>
      </c>
      <c r="AX61" s="291" t="e">
        <f ca="1">VLOOKUP($B61,KOMBI!$A:$ACA,MATCH(AX$5,KOMBI!$10:$10,0),FALSE)</f>
        <v>#NUM!</v>
      </c>
      <c r="AY61" s="292" t="e">
        <f t="array" aca="1" ref="AY61" ca="1">VLOOKUP($B61,KOMBI!$A:$ADS,MATCH(Tulem!AY$3,KOMBI!$A$1:$ADS$1,0),FALSE)</f>
        <v>#NUM!</v>
      </c>
      <c r="AZ61" s="292" t="e">
        <f t="array" aca="1" ref="AZ61" ca="1">VLOOKUP($B61,KOMBI!$A:$ADS,MATCH(Tulem!AZ$3,KOMBI!$A$1:$ADS$1,0),FALSE)</f>
        <v>#NUM!</v>
      </c>
      <c r="BA61" s="292" t="e">
        <f t="array" aca="1" ref="BA61" ca="1">VLOOKUP($B61,KOMBI!$A:$ADS,MATCH(Tulem!BA$3,KOMBI!$A$1:$ADS$1,0),FALSE)</f>
        <v>#NUM!</v>
      </c>
      <c r="BB61" s="292" t="e">
        <f t="array" aca="1" ref="BB61" ca="1">VLOOKUP($B61,KOMBI!$A:$ADS,MATCH(Tulem!BB$3,KOMBI!$A$1:$ADS$1,0),FALSE)</f>
        <v>#NUM!</v>
      </c>
      <c r="BC61" s="292" t="e">
        <f t="array" aca="1" ref="BC61" ca="1">VLOOKUP($B61,KOMBI!$A:$ADS,MATCH(Tulem!BC$3,KOMBI!$A$1:$ADS$1,0),FALSE)</f>
        <v>#NUM!</v>
      </c>
      <c r="BD61" s="292" t="e">
        <f t="array" aca="1" ref="BD61" ca="1">VLOOKUP($B61,KOMBI!$A:$ADS,MATCH(Tulem!BD$3,KOMBI!$A$1:$ADS$1,0),FALSE)</f>
        <v>#NUM!</v>
      </c>
      <c r="BE61" s="292" t="e">
        <f t="array" aca="1" ref="BE61" ca="1">VLOOKUP($B61,KOMBI!$A:$ADS,MATCH(Tulem!BE$3,KOMBI!$A$1:$ADS$1,0),FALSE)</f>
        <v>#NUM!</v>
      </c>
      <c r="BF61" s="292" t="e">
        <f t="array" aca="1" ref="BF61" ca="1">VLOOKUP($B61,KOMBI!$A:$ADS,MATCH(Tulem!BF$3,KOMBI!$A$1:$ADS$1,0),FALSE)</f>
        <v>#NUM!</v>
      </c>
      <c r="BG61" s="292" t="e">
        <f t="array" aca="1" ref="BG61" ca="1">VLOOKUP($B61,KOMBI!$A:$ADS,MATCH(Tulem!BG$3,KOMBI!$A$1:$ADS$1,0),FALSE)</f>
        <v>#NUM!</v>
      </c>
      <c r="BH61" s="292" t="e">
        <f t="array" aca="1" ref="BH61" ca="1">VLOOKUP($B61,KOMBI!$A:$ADS,MATCH(Tulem!BH$3,KOMBI!$A$1:$ADS$1,0),FALSE)</f>
        <v>#NUM!</v>
      </c>
      <c r="BI61" s="292" t="e">
        <f t="array" aca="1" ref="BI61" ca="1">VLOOKUP($B61,KOMBI!$A:$ADS,MATCH(Tulem!BI$3,KOMBI!$A$1:$ADS$1,0),FALSE)</f>
        <v>#NUM!</v>
      </c>
      <c r="BJ61" s="292" t="e">
        <f t="array" aca="1" ref="BJ61" ca="1">VLOOKUP($B61,KOMBI!$A:$ADS,MATCH(Tulem!BJ$3,KOMBI!$A$1:$ADS$1,0),FALSE)</f>
        <v>#NUM!</v>
      </c>
      <c r="BK61" s="292" t="e">
        <f t="array" aca="1" ref="BK61" ca="1">VLOOKUP($B61,KOMBI!$A:$ADS,MATCH(Tulem!BK$3,KOMBI!$A$1:$ADS$1,0),FALSE)</f>
        <v>#NUM!</v>
      </c>
      <c r="BL61" s="292" t="e">
        <f t="array" aca="1" ref="BL61" ca="1">VLOOKUP($B61,KOMBI!$A:$ADS,MATCH(Tulem!BL$3,KOMBI!$A$1:$ADS$1,0),FALSE)</f>
        <v>#NUM!</v>
      </c>
      <c r="BM61" s="292" t="e">
        <f t="array" aca="1" ref="BM61" ca="1">VLOOKUP($B61,KOMBI!$A:$ADS,MATCH(Tulem!BM$3,KOMBI!$A$1:$ADS$1,0),FALSE)</f>
        <v>#NUM!</v>
      </c>
      <c r="BN61" s="292" t="e">
        <f t="array" aca="1" ref="BN61" ca="1">VLOOKUP($B61,KOMBI!$A:$ADS,MATCH(Tulem!BN$3,KOMBI!$A$1:$ADS$1,0),FALSE)</f>
        <v>#NUM!</v>
      </c>
      <c r="BO61" s="292" t="e">
        <f t="array" aca="1" ref="BO61" ca="1">VLOOKUP($B61,KOMBI!$A:$ADS,MATCH(Tulem!BO$3,KOMBI!$A$1:$ADS$1,0),FALSE)</f>
        <v>#NUM!</v>
      </c>
      <c r="BP61" s="291"/>
      <c r="BQ61" s="292" t="e">
        <f t="array" aca="1" ref="BQ61" ca="1">VLOOKUP($B61,KOMBI!$A:$ADS,MATCH(Tulem!BQ$3,KOMBI!$A$1:$ADS$1,0),FALSE)</f>
        <v>#NUM!</v>
      </c>
      <c r="BR61" s="292" t="e">
        <f t="array" aca="1" ref="BR61" ca="1">VLOOKUP($B61,KOMBI!$A:$ADS,MATCH(Tulem!BR$3,KOMBI!$A$1:$ADS$1,0),FALSE)</f>
        <v>#NUM!</v>
      </c>
      <c r="BS61" s="292" t="e">
        <f t="array" aca="1" ref="BS61" ca="1">VLOOKUP($B61,KOMBI!$A:$ADS,MATCH(Tulem!BS$3,KOMBI!$A$1:$ADS$1,0),FALSE)</f>
        <v>#NUM!</v>
      </c>
      <c r="BT61" s="292" t="e">
        <f t="array" aca="1" ref="BT61" ca="1">VLOOKUP($B61,KOMBI!$A:$ADS,MATCH(Tulem!BT$3,KOMBI!$A$1:$ADS$1,0),FALSE)</f>
        <v>#NUM!</v>
      </c>
      <c r="BU61" s="292" t="e">
        <f t="array" aca="1" ref="BU61" ca="1">VLOOKUP($B61,KOMBI!$A:$ADS,MATCH(Tulem!BU$3,KOMBI!$A$1:$ADS$1,0),FALSE)</f>
        <v>#NUM!</v>
      </c>
      <c r="BV61" s="291"/>
      <c r="BW61" s="292" t="e">
        <f t="array" aca="1" ref="BW61" ca="1">VLOOKUP($B61,KOMBI!$A:$ADS,MATCH(Tulem!BW$3,KOMBI!$A$1:$ADS$1,0),FALSE)</f>
        <v>#NUM!</v>
      </c>
      <c r="BX61" s="291"/>
      <c r="BY61" s="291"/>
      <c r="BZ61" s="292" t="e">
        <f t="array" aca="1" ref="BZ61" ca="1">VLOOKUP($B61,KOMBI!$A:$ADS,MATCH(Tulem!BZ$3,KOMBI!$A$1:$ADS$1,0),FALSE)</f>
        <v>#NUM!</v>
      </c>
      <c r="CA61" s="292" t="e">
        <f t="array" aca="1" ref="CA61" ca="1">VLOOKUP($B61,KOMBI!$A:$ADS,MATCH(Tulem!CA$3,KOMBI!$A$1:$ADS$1,0),FALSE)</f>
        <v>#NUM!</v>
      </c>
      <c r="CB61" s="292" t="e">
        <f t="array" aca="1" ref="CB61" ca="1">VLOOKUP($B61,KOMBI!$A:$ADS,MATCH(Tulem!CB$3,KOMBI!$A$1:$ADS$1,0),FALSE)</f>
        <v>#NUM!</v>
      </c>
      <c r="CC61" s="292" t="e">
        <f t="array" aca="1" ref="CC61" ca="1">VLOOKUP($B61,KOMBI!$A:$ADS,MATCH(Tulem!CC$3,KOMBI!$A$1:$ADS$1,0),FALSE)</f>
        <v>#NUM!</v>
      </c>
      <c r="CD61" s="292" t="e">
        <f t="array" aca="1" ref="CD61" ca="1">VLOOKUP($B61,KOMBI!$A:$ADS,MATCH(Tulem!CD$3,KOMBI!$A$1:$ADS$1,0),FALSE)</f>
        <v>#NUM!</v>
      </c>
      <c r="CF61" s="51" t="e">
        <f ca="1">VLOOKUP($B61,KOMBI!$A:$ACG,MATCH(CF$5,KOMBI!$10:$10,0),FALSE)</f>
        <v>#NUM!</v>
      </c>
    </row>
    <row r="62" spans="1:84" x14ac:dyDescent="0.2">
      <c r="A62" s="51">
        <v>57</v>
      </c>
      <c r="B62" s="51" t="e">
        <f ca="1">KOMBI!GI67</f>
        <v>#NUM!</v>
      </c>
      <c r="C62" s="51">
        <f t="shared" si="0"/>
        <v>57</v>
      </c>
      <c r="D62" s="290" t="e">
        <f ca="1">VLOOKUP(VLOOKUP($B62,KOMBI!$A:$H,3,FALSE),data!$I$27:$J$29,2,FALSE)</f>
        <v>#NUM!</v>
      </c>
      <c r="E62" s="290" t="e">
        <f ca="1">VLOOKUP(VLOOKUP($B62,KOMBI!$A:$H,2,FALSE),data!$I$21:$J$23,2,FALSE)</f>
        <v>#NUM!</v>
      </c>
      <c r="F62" s="290" t="e">
        <f ca="1">VLOOKUP(VLOOKUP($B62,KOMBI!$A:$H,5,FALSE),data!$I$39:$J$41,2,FALSE)</f>
        <v>#NUM!</v>
      </c>
      <c r="G62" s="290" t="e">
        <f ca="1">VLOOKUP(VLOOKUP($B62,KOMBI!$A:$H,4,FALSE),data!$I$32:$J$36,2,FALSE)</f>
        <v>#NUM!</v>
      </c>
      <c r="I62" s="51" t="e">
        <f ca="1">VLOOKUP($B62,KOMBI!$A:$Z,MATCH(I$5,KOMBI!$10:$10,0),FALSE)</f>
        <v>#NUM!</v>
      </c>
      <c r="J62" s="291" t="e">
        <f ca="1">VLOOKUP($B62,KOMBI!$A:$ADS,J$3,FALSE)</f>
        <v>#NUM!</v>
      </c>
      <c r="K62" s="291" t="e">
        <f ca="1">VLOOKUP($B62,KOMBI!$A:$ADS,K$3,FALSE)</f>
        <v>#NUM!</v>
      </c>
      <c r="L62" s="291" t="e">
        <f ca="1">VLOOKUP($B62,KOMBI!$A:$ADS,L$3,FALSE)</f>
        <v>#NUM!</v>
      </c>
      <c r="M62" s="291" t="e">
        <f ca="1">VLOOKUP($B62,KOMBI!$A:$ADS,M$3,FALSE)</f>
        <v>#NUM!</v>
      </c>
      <c r="N62" s="291" t="e">
        <f ca="1">VLOOKUP($B62,KOMBI!$A:$ADS,N$3,FALSE)</f>
        <v>#NUM!</v>
      </c>
      <c r="O62" s="291" t="e">
        <f ca="1">VLOOKUP($B62,KOMBI!$A:$ADS,O$3,FALSE)</f>
        <v>#NUM!</v>
      </c>
      <c r="P62" s="291" t="e">
        <f ca="1">VLOOKUP($B62,KOMBI!$A:$ADS,P$3,FALSE)</f>
        <v>#NUM!</v>
      </c>
      <c r="Q62" s="292" t="e">
        <f t="array" aca="1" ref="Q62" ca="1">VLOOKUP($B62,KOMBI!$A:$ADS,MATCH(Tulem!Q$3,KOMBI!$A$1:$ADS$1,0),FALSE)</f>
        <v>#NUM!</v>
      </c>
      <c r="S62" s="332" t="e">
        <f t="array" aca="1" ref="S62" ca="1">VLOOKUP($B62,KOMBI!$A:$ADS,MATCH(Tulem!S$3,KOMBI!$A$1:$ADS$1,0),FALSE)</f>
        <v>#NUM!</v>
      </c>
      <c r="T62" s="293" t="e">
        <f ca="1">VLOOKUP($B62,KOMBI!$A:$ADS,T$3,FALSE)</f>
        <v>#NUM!</v>
      </c>
      <c r="U62" s="293" t="e">
        <f ca="1">VLOOKUP($B62,KOMBI!$A:$ADS,U$3,FALSE)</f>
        <v>#NUM!</v>
      </c>
      <c r="V62" s="293" t="e">
        <f ca="1">VLOOKUP($B62,KOMBI!$A:$ADS,V$3,FALSE)</f>
        <v>#NUM!</v>
      </c>
      <c r="W62" s="293"/>
      <c r="X62" s="293" t="e">
        <f ca="1">VLOOKUP($B62,KOMBI!$A:$ADS,X$3,FALSE)</f>
        <v>#NUM!</v>
      </c>
      <c r="Y62" s="293" t="e">
        <f ca="1">VLOOKUP($B62,KOMBI!$A:$ADS,Y$3,FALSE)</f>
        <v>#NUM!</v>
      </c>
      <c r="Z62" s="293" t="e">
        <f ca="1">VLOOKUP($B62,KOMBI!$A:$ADS,Z$3,FALSE)</f>
        <v>#NUM!</v>
      </c>
      <c r="AA62" s="294"/>
      <c r="AB62" s="293" t="e">
        <f ca="1">VLOOKUP($B62,KOMBI!$A:$ADS,AB$3,FALSE)</f>
        <v>#NUM!</v>
      </c>
      <c r="AC62" s="293" t="e">
        <f ca="1">VLOOKUP($B62,KOMBI!$A:$ADS,AC$3,FALSE)-AB62</f>
        <v>#NUM!</v>
      </c>
      <c r="AD62" s="293" t="e">
        <f ca="1">VLOOKUP($B62,KOMBI!$A:$ADS,AD$3,FALSE)</f>
        <v>#NUM!</v>
      </c>
      <c r="AE62" s="293" t="e">
        <f ca="1">VLOOKUP($B62,KOMBI!$A:$ADS,AE$3,FALSE)</f>
        <v>#NUM!</v>
      </c>
      <c r="AF62" s="293" t="e">
        <f ca="1">VLOOKUP($B62,KOMBI!$A:$ADS,AF$3,FALSE)-AE62</f>
        <v>#NUM!</v>
      </c>
      <c r="AG62" s="293" t="e">
        <f ca="1">VLOOKUP($B62,KOMBI!$A:$ADS,AG$3,FALSE)</f>
        <v>#NUM!</v>
      </c>
      <c r="AI62" s="293" t="e">
        <f t="array" aca="1" ref="AI62" ca="1">VLOOKUP($B62,KOMBI!$A:$ADS,MATCH(Tulem!AI$3,KOMBI!$A$1:$ADS$1,0),FALSE)</f>
        <v>#NUM!</v>
      </c>
      <c r="AJ62" s="293" t="e">
        <f t="array" aca="1" ref="AJ62" ca="1">VLOOKUP($B62,KOMBI!$A:$ADS,MATCH(Tulem!AJ$3,KOMBI!$A$1:$ADS$1,0),FALSE)</f>
        <v>#NUM!</v>
      </c>
      <c r="AK62" s="293" t="e">
        <f t="array" aca="1" ref="AK62" ca="1">VLOOKUP($B62,KOMBI!$A:$ADS,MATCH(Tulem!AK$3,KOMBI!$A$1:$ADS$1,0),FALSE)</f>
        <v>#NUM!</v>
      </c>
      <c r="AL62" s="293" t="e">
        <f t="array" aca="1" ref="AL62" ca="1">VLOOKUP($B62,KOMBI!$A:$ADS,MATCH(Tulem!AL$3,KOMBI!$A$1:$ADS$1,0),FALSE)</f>
        <v>#NUM!</v>
      </c>
      <c r="AM62" s="293" t="e">
        <f t="array" aca="1" ref="AM62" ca="1">VLOOKUP($B62,KOMBI!$A:$ADS,MATCH(Tulem!AM$3,KOMBI!$A$1:$ADS$1,0),FALSE)</f>
        <v>#NUM!</v>
      </c>
      <c r="AN62" s="293" t="e">
        <f t="array" aca="1" ref="AN62" ca="1">VLOOKUP($B62,KOMBI!$A:$ADS,MATCH(Tulem!AN$3,KOMBI!$A$1:$ADS$1,0),FALSE)</f>
        <v>#NUM!</v>
      </c>
      <c r="AO62" s="293" t="e">
        <f t="array" aca="1" ref="AO62" ca="1">VLOOKUP($B62,KOMBI!$A:$ADS,MATCH(Tulem!AO$3,KOMBI!$A$1:$ADS$1,0),FALSE)</f>
        <v>#NUM!</v>
      </c>
      <c r="AP62" s="293" t="e">
        <f t="array" aca="1" ref="AP62" ca="1">VLOOKUP($B62,KOMBI!$A:$ADS,MATCH(Tulem!AP$3,KOMBI!$A$1:$ADS$1,0),FALSE)</f>
        <v>#NUM!</v>
      </c>
      <c r="AQ62" s="293" t="e">
        <f t="array" aca="1" ref="AQ62" ca="1">VLOOKUP($B62,KOMBI!$A:$ADS,MATCH(Tulem!AQ$3,KOMBI!$A$1:$ADS$1,0),FALSE)</f>
        <v>#NUM!</v>
      </c>
      <c r="AR62" s="293" t="e">
        <f t="array" aca="1" ref="AR62" ca="1">VLOOKUP($B62,KOMBI!$A:$ADS,MATCH(Tulem!AR$3,KOMBI!$A$1:$ADS$1,0),FALSE)</f>
        <v>#NUM!</v>
      </c>
      <c r="AS62" s="293" t="e">
        <f t="array" aca="1" ref="AS62" ca="1">VLOOKUP($B62,KOMBI!$A:$ADS,MATCH(Tulem!AS$3,KOMBI!$A$1:$ADS$1,0),FALSE)</f>
        <v>#NUM!</v>
      </c>
      <c r="AT62" s="293" t="e">
        <f t="array" aca="1" ref="AT62" ca="1">VLOOKUP($B62,KOMBI!$A:$ADS,MATCH(Tulem!AT$3,KOMBI!$A$1:$ADS$1,0),FALSE)</f>
        <v>#NUM!</v>
      </c>
      <c r="AU62" s="293" t="e">
        <f t="array" aca="1" ref="AU62" ca="1">VLOOKUP($B62,KOMBI!$A:$ADS,MATCH(Tulem!AU$3,KOMBI!$A$1:$ADS$1,0),FALSE)</f>
        <v>#NUM!</v>
      </c>
      <c r="AV62" s="293" t="e">
        <f t="shared" ca="1" si="1"/>
        <v>#NUM!</v>
      </c>
      <c r="AW62" s="293" t="e">
        <f t="shared" ca="1" si="2"/>
        <v>#NUM!</v>
      </c>
      <c r="AX62" s="291" t="e">
        <f ca="1">VLOOKUP($B62,KOMBI!$A:$ACA,MATCH(AX$5,KOMBI!$10:$10,0),FALSE)</f>
        <v>#NUM!</v>
      </c>
      <c r="AY62" s="292" t="e">
        <f t="array" aca="1" ref="AY62" ca="1">VLOOKUP($B62,KOMBI!$A:$ADS,MATCH(Tulem!AY$3,KOMBI!$A$1:$ADS$1,0),FALSE)</f>
        <v>#NUM!</v>
      </c>
      <c r="AZ62" s="292" t="e">
        <f t="array" aca="1" ref="AZ62" ca="1">VLOOKUP($B62,KOMBI!$A:$ADS,MATCH(Tulem!AZ$3,KOMBI!$A$1:$ADS$1,0),FALSE)</f>
        <v>#NUM!</v>
      </c>
      <c r="BA62" s="292" t="e">
        <f t="array" aca="1" ref="BA62" ca="1">VLOOKUP($B62,KOMBI!$A:$ADS,MATCH(Tulem!BA$3,KOMBI!$A$1:$ADS$1,0),FALSE)</f>
        <v>#NUM!</v>
      </c>
      <c r="BB62" s="292" t="e">
        <f t="array" aca="1" ref="BB62" ca="1">VLOOKUP($B62,KOMBI!$A:$ADS,MATCH(Tulem!BB$3,KOMBI!$A$1:$ADS$1,0),FALSE)</f>
        <v>#NUM!</v>
      </c>
      <c r="BC62" s="292" t="e">
        <f t="array" aca="1" ref="BC62" ca="1">VLOOKUP($B62,KOMBI!$A:$ADS,MATCH(Tulem!BC$3,KOMBI!$A$1:$ADS$1,0),FALSE)</f>
        <v>#NUM!</v>
      </c>
      <c r="BD62" s="292" t="e">
        <f t="array" aca="1" ref="BD62" ca="1">VLOOKUP($B62,KOMBI!$A:$ADS,MATCH(Tulem!BD$3,KOMBI!$A$1:$ADS$1,0),FALSE)</f>
        <v>#NUM!</v>
      </c>
      <c r="BE62" s="292" t="e">
        <f t="array" aca="1" ref="BE62" ca="1">VLOOKUP($B62,KOMBI!$A:$ADS,MATCH(Tulem!BE$3,KOMBI!$A$1:$ADS$1,0),FALSE)</f>
        <v>#NUM!</v>
      </c>
      <c r="BF62" s="292" t="e">
        <f t="array" aca="1" ref="BF62" ca="1">VLOOKUP($B62,KOMBI!$A:$ADS,MATCH(Tulem!BF$3,KOMBI!$A$1:$ADS$1,0),FALSE)</f>
        <v>#NUM!</v>
      </c>
      <c r="BG62" s="292" t="e">
        <f t="array" aca="1" ref="BG62" ca="1">VLOOKUP($B62,KOMBI!$A:$ADS,MATCH(Tulem!BG$3,KOMBI!$A$1:$ADS$1,0),FALSE)</f>
        <v>#NUM!</v>
      </c>
      <c r="BH62" s="292" t="e">
        <f t="array" aca="1" ref="BH62" ca="1">VLOOKUP($B62,KOMBI!$A:$ADS,MATCH(Tulem!BH$3,KOMBI!$A$1:$ADS$1,0),FALSE)</f>
        <v>#NUM!</v>
      </c>
      <c r="BI62" s="292" t="e">
        <f t="array" aca="1" ref="BI62" ca="1">VLOOKUP($B62,KOMBI!$A:$ADS,MATCH(Tulem!BI$3,KOMBI!$A$1:$ADS$1,0),FALSE)</f>
        <v>#NUM!</v>
      </c>
      <c r="BJ62" s="292" t="e">
        <f t="array" aca="1" ref="BJ62" ca="1">VLOOKUP($B62,KOMBI!$A:$ADS,MATCH(Tulem!BJ$3,KOMBI!$A$1:$ADS$1,0),FALSE)</f>
        <v>#NUM!</v>
      </c>
      <c r="BK62" s="292" t="e">
        <f t="array" aca="1" ref="BK62" ca="1">VLOOKUP($B62,KOMBI!$A:$ADS,MATCH(Tulem!BK$3,KOMBI!$A$1:$ADS$1,0),FALSE)</f>
        <v>#NUM!</v>
      </c>
      <c r="BL62" s="292" t="e">
        <f t="array" aca="1" ref="BL62" ca="1">VLOOKUP($B62,KOMBI!$A:$ADS,MATCH(Tulem!BL$3,KOMBI!$A$1:$ADS$1,0),FALSE)</f>
        <v>#NUM!</v>
      </c>
      <c r="BM62" s="292" t="e">
        <f t="array" aca="1" ref="BM62" ca="1">VLOOKUP($B62,KOMBI!$A:$ADS,MATCH(Tulem!BM$3,KOMBI!$A$1:$ADS$1,0),FALSE)</f>
        <v>#NUM!</v>
      </c>
      <c r="BN62" s="292" t="e">
        <f t="array" aca="1" ref="BN62" ca="1">VLOOKUP($B62,KOMBI!$A:$ADS,MATCH(Tulem!BN$3,KOMBI!$A$1:$ADS$1,0),FALSE)</f>
        <v>#NUM!</v>
      </c>
      <c r="BO62" s="292" t="e">
        <f t="array" aca="1" ref="BO62" ca="1">VLOOKUP($B62,KOMBI!$A:$ADS,MATCH(Tulem!BO$3,KOMBI!$A$1:$ADS$1,0),FALSE)</f>
        <v>#NUM!</v>
      </c>
      <c r="BP62" s="291"/>
      <c r="BQ62" s="292" t="e">
        <f t="array" aca="1" ref="BQ62" ca="1">VLOOKUP($B62,KOMBI!$A:$ADS,MATCH(Tulem!BQ$3,KOMBI!$A$1:$ADS$1,0),FALSE)</f>
        <v>#NUM!</v>
      </c>
      <c r="BR62" s="292" t="e">
        <f t="array" aca="1" ref="BR62" ca="1">VLOOKUP($B62,KOMBI!$A:$ADS,MATCH(Tulem!BR$3,KOMBI!$A$1:$ADS$1,0),FALSE)</f>
        <v>#NUM!</v>
      </c>
      <c r="BS62" s="292" t="e">
        <f t="array" aca="1" ref="BS62" ca="1">VLOOKUP($B62,KOMBI!$A:$ADS,MATCH(Tulem!BS$3,KOMBI!$A$1:$ADS$1,0),FALSE)</f>
        <v>#NUM!</v>
      </c>
      <c r="BT62" s="292" t="e">
        <f t="array" aca="1" ref="BT62" ca="1">VLOOKUP($B62,KOMBI!$A:$ADS,MATCH(Tulem!BT$3,KOMBI!$A$1:$ADS$1,0),FALSE)</f>
        <v>#NUM!</v>
      </c>
      <c r="BU62" s="292" t="e">
        <f t="array" aca="1" ref="BU62" ca="1">VLOOKUP($B62,KOMBI!$A:$ADS,MATCH(Tulem!BU$3,KOMBI!$A$1:$ADS$1,0),FALSE)</f>
        <v>#NUM!</v>
      </c>
      <c r="BV62" s="291"/>
      <c r="BW62" s="292" t="e">
        <f t="array" aca="1" ref="BW62" ca="1">VLOOKUP($B62,KOMBI!$A:$ADS,MATCH(Tulem!BW$3,KOMBI!$A$1:$ADS$1,0),FALSE)</f>
        <v>#NUM!</v>
      </c>
      <c r="BX62" s="291"/>
      <c r="BY62" s="291"/>
      <c r="BZ62" s="292" t="e">
        <f t="array" aca="1" ref="BZ62" ca="1">VLOOKUP($B62,KOMBI!$A:$ADS,MATCH(Tulem!BZ$3,KOMBI!$A$1:$ADS$1,0),FALSE)</f>
        <v>#NUM!</v>
      </c>
      <c r="CA62" s="292" t="e">
        <f t="array" aca="1" ref="CA62" ca="1">VLOOKUP($B62,KOMBI!$A:$ADS,MATCH(Tulem!CA$3,KOMBI!$A$1:$ADS$1,0),FALSE)</f>
        <v>#NUM!</v>
      </c>
      <c r="CB62" s="292" t="e">
        <f t="array" aca="1" ref="CB62" ca="1">VLOOKUP($B62,KOMBI!$A:$ADS,MATCH(Tulem!CB$3,KOMBI!$A$1:$ADS$1,0),FALSE)</f>
        <v>#NUM!</v>
      </c>
      <c r="CC62" s="292" t="e">
        <f t="array" aca="1" ref="CC62" ca="1">VLOOKUP($B62,KOMBI!$A:$ADS,MATCH(Tulem!CC$3,KOMBI!$A$1:$ADS$1,0),FALSE)</f>
        <v>#NUM!</v>
      </c>
      <c r="CD62" s="292" t="e">
        <f t="array" aca="1" ref="CD62" ca="1">VLOOKUP($B62,KOMBI!$A:$ADS,MATCH(Tulem!CD$3,KOMBI!$A$1:$ADS$1,0),FALSE)</f>
        <v>#NUM!</v>
      </c>
      <c r="CF62" s="51" t="e">
        <f ca="1">VLOOKUP($B62,KOMBI!$A:$ACG,MATCH(CF$5,KOMBI!$10:$10,0),FALSE)</f>
        <v>#NUM!</v>
      </c>
    </row>
    <row r="63" spans="1:84" x14ac:dyDescent="0.2">
      <c r="A63" s="51">
        <v>58</v>
      </c>
      <c r="B63" s="51" t="e">
        <f ca="1">KOMBI!GI68</f>
        <v>#NUM!</v>
      </c>
      <c r="C63" s="51">
        <f t="shared" si="0"/>
        <v>58</v>
      </c>
      <c r="D63" s="290" t="e">
        <f ca="1">VLOOKUP(VLOOKUP($B63,KOMBI!$A:$H,3,FALSE),data!$I$27:$J$29,2,FALSE)</f>
        <v>#NUM!</v>
      </c>
      <c r="E63" s="290" t="e">
        <f ca="1">VLOOKUP(VLOOKUP($B63,KOMBI!$A:$H,2,FALSE),data!$I$21:$J$23,2,FALSE)</f>
        <v>#NUM!</v>
      </c>
      <c r="F63" s="290" t="e">
        <f ca="1">VLOOKUP(VLOOKUP($B63,KOMBI!$A:$H,5,FALSE),data!$I$39:$J$41,2,FALSE)</f>
        <v>#NUM!</v>
      </c>
      <c r="G63" s="290" t="e">
        <f ca="1">VLOOKUP(VLOOKUP($B63,KOMBI!$A:$H,4,FALSE),data!$I$32:$J$36,2,FALSE)</f>
        <v>#NUM!</v>
      </c>
      <c r="I63" s="51" t="e">
        <f ca="1">VLOOKUP($B63,KOMBI!$A:$Z,MATCH(I$5,KOMBI!$10:$10,0),FALSE)</f>
        <v>#NUM!</v>
      </c>
      <c r="J63" s="291" t="e">
        <f ca="1">VLOOKUP($B63,KOMBI!$A:$ADS,J$3,FALSE)</f>
        <v>#NUM!</v>
      </c>
      <c r="K63" s="291" t="e">
        <f ca="1">VLOOKUP($B63,KOMBI!$A:$ADS,K$3,FALSE)</f>
        <v>#NUM!</v>
      </c>
      <c r="L63" s="291" t="e">
        <f ca="1">VLOOKUP($B63,KOMBI!$A:$ADS,L$3,FALSE)</f>
        <v>#NUM!</v>
      </c>
      <c r="M63" s="291" t="e">
        <f ca="1">VLOOKUP($B63,KOMBI!$A:$ADS,M$3,FALSE)</f>
        <v>#NUM!</v>
      </c>
      <c r="N63" s="291" t="e">
        <f ca="1">VLOOKUP($B63,KOMBI!$A:$ADS,N$3,FALSE)</f>
        <v>#NUM!</v>
      </c>
      <c r="O63" s="291" t="e">
        <f ca="1">VLOOKUP($B63,KOMBI!$A:$ADS,O$3,FALSE)</f>
        <v>#NUM!</v>
      </c>
      <c r="P63" s="291" t="e">
        <f ca="1">VLOOKUP($B63,KOMBI!$A:$ADS,P$3,FALSE)</f>
        <v>#NUM!</v>
      </c>
      <c r="Q63" s="292" t="e">
        <f t="array" aca="1" ref="Q63" ca="1">VLOOKUP($B63,KOMBI!$A:$ADS,MATCH(Tulem!Q$3,KOMBI!$A$1:$ADS$1,0),FALSE)</f>
        <v>#NUM!</v>
      </c>
      <c r="S63" s="332" t="e">
        <f t="array" aca="1" ref="S63" ca="1">VLOOKUP($B63,KOMBI!$A:$ADS,MATCH(Tulem!S$3,KOMBI!$A$1:$ADS$1,0),FALSE)</f>
        <v>#NUM!</v>
      </c>
      <c r="T63" s="293" t="e">
        <f ca="1">VLOOKUP($B63,KOMBI!$A:$ADS,T$3,FALSE)</f>
        <v>#NUM!</v>
      </c>
      <c r="U63" s="293" t="e">
        <f ca="1">VLOOKUP($B63,KOMBI!$A:$ADS,U$3,FALSE)</f>
        <v>#NUM!</v>
      </c>
      <c r="V63" s="293" t="e">
        <f ca="1">VLOOKUP($B63,KOMBI!$A:$ADS,V$3,FALSE)</f>
        <v>#NUM!</v>
      </c>
      <c r="W63" s="293"/>
      <c r="X63" s="293" t="e">
        <f ca="1">VLOOKUP($B63,KOMBI!$A:$ADS,X$3,FALSE)</f>
        <v>#NUM!</v>
      </c>
      <c r="Y63" s="293" t="e">
        <f ca="1">VLOOKUP($B63,KOMBI!$A:$ADS,Y$3,FALSE)</f>
        <v>#NUM!</v>
      </c>
      <c r="Z63" s="293" t="e">
        <f ca="1">VLOOKUP($B63,KOMBI!$A:$ADS,Z$3,FALSE)</f>
        <v>#NUM!</v>
      </c>
      <c r="AA63" s="294"/>
      <c r="AB63" s="293" t="e">
        <f ca="1">VLOOKUP($B63,KOMBI!$A:$ADS,AB$3,FALSE)</f>
        <v>#NUM!</v>
      </c>
      <c r="AC63" s="293" t="e">
        <f ca="1">VLOOKUP($B63,KOMBI!$A:$ADS,AC$3,FALSE)-AB63</f>
        <v>#NUM!</v>
      </c>
      <c r="AD63" s="293" t="e">
        <f ca="1">VLOOKUP($B63,KOMBI!$A:$ADS,AD$3,FALSE)</f>
        <v>#NUM!</v>
      </c>
      <c r="AE63" s="293" t="e">
        <f ca="1">VLOOKUP($B63,KOMBI!$A:$ADS,AE$3,FALSE)</f>
        <v>#NUM!</v>
      </c>
      <c r="AF63" s="293" t="e">
        <f ca="1">VLOOKUP($B63,KOMBI!$A:$ADS,AF$3,FALSE)-AE63</f>
        <v>#NUM!</v>
      </c>
      <c r="AG63" s="293" t="e">
        <f ca="1">VLOOKUP($B63,KOMBI!$A:$ADS,AG$3,FALSE)</f>
        <v>#NUM!</v>
      </c>
      <c r="AI63" s="293" t="e">
        <f t="array" aca="1" ref="AI63" ca="1">VLOOKUP($B63,KOMBI!$A:$ADS,MATCH(Tulem!AI$3,KOMBI!$A$1:$ADS$1,0),FALSE)</f>
        <v>#NUM!</v>
      </c>
      <c r="AJ63" s="293" t="e">
        <f t="array" aca="1" ref="AJ63" ca="1">VLOOKUP($B63,KOMBI!$A:$ADS,MATCH(Tulem!AJ$3,KOMBI!$A$1:$ADS$1,0),FALSE)</f>
        <v>#NUM!</v>
      </c>
      <c r="AK63" s="293" t="e">
        <f t="array" aca="1" ref="AK63" ca="1">VLOOKUP($B63,KOMBI!$A:$ADS,MATCH(Tulem!AK$3,KOMBI!$A$1:$ADS$1,0),FALSE)</f>
        <v>#NUM!</v>
      </c>
      <c r="AL63" s="293" t="e">
        <f t="array" aca="1" ref="AL63" ca="1">VLOOKUP($B63,KOMBI!$A:$ADS,MATCH(Tulem!AL$3,KOMBI!$A$1:$ADS$1,0),FALSE)</f>
        <v>#NUM!</v>
      </c>
      <c r="AM63" s="293" t="e">
        <f t="array" aca="1" ref="AM63" ca="1">VLOOKUP($B63,KOMBI!$A:$ADS,MATCH(Tulem!AM$3,KOMBI!$A$1:$ADS$1,0),FALSE)</f>
        <v>#NUM!</v>
      </c>
      <c r="AN63" s="293" t="e">
        <f t="array" aca="1" ref="AN63" ca="1">VLOOKUP($B63,KOMBI!$A:$ADS,MATCH(Tulem!AN$3,KOMBI!$A$1:$ADS$1,0),FALSE)</f>
        <v>#NUM!</v>
      </c>
      <c r="AO63" s="293" t="e">
        <f t="array" aca="1" ref="AO63" ca="1">VLOOKUP($B63,KOMBI!$A:$ADS,MATCH(Tulem!AO$3,KOMBI!$A$1:$ADS$1,0),FALSE)</f>
        <v>#NUM!</v>
      </c>
      <c r="AP63" s="293" t="e">
        <f t="array" aca="1" ref="AP63" ca="1">VLOOKUP($B63,KOMBI!$A:$ADS,MATCH(Tulem!AP$3,KOMBI!$A$1:$ADS$1,0),FALSE)</f>
        <v>#NUM!</v>
      </c>
      <c r="AQ63" s="293" t="e">
        <f t="array" aca="1" ref="AQ63" ca="1">VLOOKUP($B63,KOMBI!$A:$ADS,MATCH(Tulem!AQ$3,KOMBI!$A$1:$ADS$1,0),FALSE)</f>
        <v>#NUM!</v>
      </c>
      <c r="AR63" s="293" t="e">
        <f t="array" aca="1" ref="AR63" ca="1">VLOOKUP($B63,KOMBI!$A:$ADS,MATCH(Tulem!AR$3,KOMBI!$A$1:$ADS$1,0),FALSE)</f>
        <v>#NUM!</v>
      </c>
      <c r="AS63" s="293" t="e">
        <f t="array" aca="1" ref="AS63" ca="1">VLOOKUP($B63,KOMBI!$A:$ADS,MATCH(Tulem!AS$3,KOMBI!$A$1:$ADS$1,0),FALSE)</f>
        <v>#NUM!</v>
      </c>
      <c r="AT63" s="293" t="e">
        <f t="array" aca="1" ref="AT63" ca="1">VLOOKUP($B63,KOMBI!$A:$ADS,MATCH(Tulem!AT$3,KOMBI!$A$1:$ADS$1,0),FALSE)</f>
        <v>#NUM!</v>
      </c>
      <c r="AU63" s="293" t="e">
        <f t="array" aca="1" ref="AU63" ca="1">VLOOKUP($B63,KOMBI!$A:$ADS,MATCH(Tulem!AU$3,KOMBI!$A$1:$ADS$1,0),FALSE)</f>
        <v>#NUM!</v>
      </c>
      <c r="AV63" s="293" t="e">
        <f t="shared" ca="1" si="1"/>
        <v>#NUM!</v>
      </c>
      <c r="AW63" s="293" t="e">
        <f t="shared" ca="1" si="2"/>
        <v>#NUM!</v>
      </c>
      <c r="AX63" s="291" t="e">
        <f ca="1">VLOOKUP($B63,KOMBI!$A:$ACA,MATCH(AX$5,KOMBI!$10:$10,0),FALSE)</f>
        <v>#NUM!</v>
      </c>
      <c r="AY63" s="292" t="e">
        <f t="array" aca="1" ref="AY63" ca="1">VLOOKUP($B63,KOMBI!$A:$ADS,MATCH(Tulem!AY$3,KOMBI!$A$1:$ADS$1,0),FALSE)</f>
        <v>#NUM!</v>
      </c>
      <c r="AZ63" s="292" t="e">
        <f t="array" aca="1" ref="AZ63" ca="1">VLOOKUP($B63,KOMBI!$A:$ADS,MATCH(Tulem!AZ$3,KOMBI!$A$1:$ADS$1,0),FALSE)</f>
        <v>#NUM!</v>
      </c>
      <c r="BA63" s="292" t="e">
        <f t="array" aca="1" ref="BA63" ca="1">VLOOKUP($B63,KOMBI!$A:$ADS,MATCH(Tulem!BA$3,KOMBI!$A$1:$ADS$1,0),FALSE)</f>
        <v>#NUM!</v>
      </c>
      <c r="BB63" s="292" t="e">
        <f t="array" aca="1" ref="BB63" ca="1">VLOOKUP($B63,KOMBI!$A:$ADS,MATCH(Tulem!BB$3,KOMBI!$A$1:$ADS$1,0),FALSE)</f>
        <v>#NUM!</v>
      </c>
      <c r="BC63" s="292" t="e">
        <f t="array" aca="1" ref="BC63" ca="1">VLOOKUP($B63,KOMBI!$A:$ADS,MATCH(Tulem!BC$3,KOMBI!$A$1:$ADS$1,0),FALSE)</f>
        <v>#NUM!</v>
      </c>
      <c r="BD63" s="292" t="e">
        <f t="array" aca="1" ref="BD63" ca="1">VLOOKUP($B63,KOMBI!$A:$ADS,MATCH(Tulem!BD$3,KOMBI!$A$1:$ADS$1,0),FALSE)</f>
        <v>#NUM!</v>
      </c>
      <c r="BE63" s="292" t="e">
        <f t="array" aca="1" ref="BE63" ca="1">VLOOKUP($B63,KOMBI!$A:$ADS,MATCH(Tulem!BE$3,KOMBI!$A$1:$ADS$1,0),FALSE)</f>
        <v>#NUM!</v>
      </c>
      <c r="BF63" s="292" t="e">
        <f t="array" aca="1" ref="BF63" ca="1">VLOOKUP($B63,KOMBI!$A:$ADS,MATCH(Tulem!BF$3,KOMBI!$A$1:$ADS$1,0),FALSE)</f>
        <v>#NUM!</v>
      </c>
      <c r="BG63" s="292" t="e">
        <f t="array" aca="1" ref="BG63" ca="1">VLOOKUP($B63,KOMBI!$A:$ADS,MATCH(Tulem!BG$3,KOMBI!$A$1:$ADS$1,0),FALSE)</f>
        <v>#NUM!</v>
      </c>
      <c r="BH63" s="292" t="e">
        <f t="array" aca="1" ref="BH63" ca="1">VLOOKUP($B63,KOMBI!$A:$ADS,MATCH(Tulem!BH$3,KOMBI!$A$1:$ADS$1,0),FALSE)</f>
        <v>#NUM!</v>
      </c>
      <c r="BI63" s="292" t="e">
        <f t="array" aca="1" ref="BI63" ca="1">VLOOKUP($B63,KOMBI!$A:$ADS,MATCH(Tulem!BI$3,KOMBI!$A$1:$ADS$1,0),FALSE)</f>
        <v>#NUM!</v>
      </c>
      <c r="BJ63" s="292" t="e">
        <f t="array" aca="1" ref="BJ63" ca="1">VLOOKUP($B63,KOMBI!$A:$ADS,MATCH(Tulem!BJ$3,KOMBI!$A$1:$ADS$1,0),FALSE)</f>
        <v>#NUM!</v>
      </c>
      <c r="BK63" s="292" t="e">
        <f t="array" aca="1" ref="BK63" ca="1">VLOOKUP($B63,KOMBI!$A:$ADS,MATCH(Tulem!BK$3,KOMBI!$A$1:$ADS$1,0),FALSE)</f>
        <v>#NUM!</v>
      </c>
      <c r="BL63" s="292" t="e">
        <f t="array" aca="1" ref="BL63" ca="1">VLOOKUP($B63,KOMBI!$A:$ADS,MATCH(Tulem!BL$3,KOMBI!$A$1:$ADS$1,0),FALSE)</f>
        <v>#NUM!</v>
      </c>
      <c r="BM63" s="292" t="e">
        <f t="array" aca="1" ref="BM63" ca="1">VLOOKUP($B63,KOMBI!$A:$ADS,MATCH(Tulem!BM$3,KOMBI!$A$1:$ADS$1,0),FALSE)</f>
        <v>#NUM!</v>
      </c>
      <c r="BN63" s="292" t="e">
        <f t="array" aca="1" ref="BN63" ca="1">VLOOKUP($B63,KOMBI!$A:$ADS,MATCH(Tulem!BN$3,KOMBI!$A$1:$ADS$1,0),FALSE)</f>
        <v>#NUM!</v>
      </c>
      <c r="BO63" s="292" t="e">
        <f t="array" aca="1" ref="BO63" ca="1">VLOOKUP($B63,KOMBI!$A:$ADS,MATCH(Tulem!BO$3,KOMBI!$A$1:$ADS$1,0),FALSE)</f>
        <v>#NUM!</v>
      </c>
      <c r="BP63" s="291"/>
      <c r="BQ63" s="292" t="e">
        <f t="array" aca="1" ref="BQ63" ca="1">VLOOKUP($B63,KOMBI!$A:$ADS,MATCH(Tulem!BQ$3,KOMBI!$A$1:$ADS$1,0),FALSE)</f>
        <v>#NUM!</v>
      </c>
      <c r="BR63" s="292" t="e">
        <f t="array" aca="1" ref="BR63" ca="1">VLOOKUP($B63,KOMBI!$A:$ADS,MATCH(Tulem!BR$3,KOMBI!$A$1:$ADS$1,0),FALSE)</f>
        <v>#NUM!</v>
      </c>
      <c r="BS63" s="292" t="e">
        <f t="array" aca="1" ref="BS63" ca="1">VLOOKUP($B63,KOMBI!$A:$ADS,MATCH(Tulem!BS$3,KOMBI!$A$1:$ADS$1,0),FALSE)</f>
        <v>#NUM!</v>
      </c>
      <c r="BT63" s="292" t="e">
        <f t="array" aca="1" ref="BT63" ca="1">VLOOKUP($B63,KOMBI!$A:$ADS,MATCH(Tulem!BT$3,KOMBI!$A$1:$ADS$1,0),FALSE)</f>
        <v>#NUM!</v>
      </c>
      <c r="BU63" s="292" t="e">
        <f t="array" aca="1" ref="BU63" ca="1">VLOOKUP($B63,KOMBI!$A:$ADS,MATCH(Tulem!BU$3,KOMBI!$A$1:$ADS$1,0),FALSE)</f>
        <v>#NUM!</v>
      </c>
      <c r="BV63" s="291"/>
      <c r="BW63" s="292" t="e">
        <f t="array" aca="1" ref="BW63" ca="1">VLOOKUP($B63,KOMBI!$A:$ADS,MATCH(Tulem!BW$3,KOMBI!$A$1:$ADS$1,0),FALSE)</f>
        <v>#NUM!</v>
      </c>
      <c r="BX63" s="291"/>
      <c r="BY63" s="291"/>
      <c r="BZ63" s="292" t="e">
        <f t="array" aca="1" ref="BZ63" ca="1">VLOOKUP($B63,KOMBI!$A:$ADS,MATCH(Tulem!BZ$3,KOMBI!$A$1:$ADS$1,0),FALSE)</f>
        <v>#NUM!</v>
      </c>
      <c r="CA63" s="292" t="e">
        <f t="array" aca="1" ref="CA63" ca="1">VLOOKUP($B63,KOMBI!$A:$ADS,MATCH(Tulem!CA$3,KOMBI!$A$1:$ADS$1,0),FALSE)</f>
        <v>#NUM!</v>
      </c>
      <c r="CB63" s="292" t="e">
        <f t="array" aca="1" ref="CB63" ca="1">VLOOKUP($B63,KOMBI!$A:$ADS,MATCH(Tulem!CB$3,KOMBI!$A$1:$ADS$1,0),FALSE)</f>
        <v>#NUM!</v>
      </c>
      <c r="CC63" s="292" t="e">
        <f t="array" aca="1" ref="CC63" ca="1">VLOOKUP($B63,KOMBI!$A:$ADS,MATCH(Tulem!CC$3,KOMBI!$A$1:$ADS$1,0),FALSE)</f>
        <v>#NUM!</v>
      </c>
      <c r="CD63" s="292" t="e">
        <f t="array" aca="1" ref="CD63" ca="1">VLOOKUP($B63,KOMBI!$A:$ADS,MATCH(Tulem!CD$3,KOMBI!$A$1:$ADS$1,0),FALSE)</f>
        <v>#NUM!</v>
      </c>
      <c r="CF63" s="51" t="e">
        <f ca="1">VLOOKUP($B63,KOMBI!$A:$ACG,MATCH(CF$5,KOMBI!$10:$10,0),FALSE)</f>
        <v>#NUM!</v>
      </c>
    </row>
    <row r="64" spans="1:84" x14ac:dyDescent="0.2">
      <c r="A64" s="51">
        <v>59</v>
      </c>
      <c r="B64" s="51" t="e">
        <f ca="1">KOMBI!GI69</f>
        <v>#NUM!</v>
      </c>
      <c r="C64" s="51">
        <f t="shared" si="0"/>
        <v>59</v>
      </c>
      <c r="D64" s="290" t="e">
        <f ca="1">VLOOKUP(VLOOKUP($B64,KOMBI!$A:$H,3,FALSE),data!$I$27:$J$29,2,FALSE)</f>
        <v>#NUM!</v>
      </c>
      <c r="E64" s="290" t="e">
        <f ca="1">VLOOKUP(VLOOKUP($B64,KOMBI!$A:$H,2,FALSE),data!$I$21:$J$23,2,FALSE)</f>
        <v>#NUM!</v>
      </c>
      <c r="F64" s="290" t="e">
        <f ca="1">VLOOKUP(VLOOKUP($B64,KOMBI!$A:$H,5,FALSE),data!$I$39:$J$41,2,FALSE)</f>
        <v>#NUM!</v>
      </c>
      <c r="G64" s="290" t="e">
        <f ca="1">VLOOKUP(VLOOKUP($B64,KOMBI!$A:$H,4,FALSE),data!$I$32:$J$36,2,FALSE)</f>
        <v>#NUM!</v>
      </c>
      <c r="I64" s="51" t="e">
        <f ca="1">VLOOKUP($B64,KOMBI!$A:$Z,MATCH(I$5,KOMBI!$10:$10,0),FALSE)</f>
        <v>#NUM!</v>
      </c>
      <c r="J64" s="291" t="e">
        <f ca="1">VLOOKUP($B64,KOMBI!$A:$ADS,J$3,FALSE)</f>
        <v>#NUM!</v>
      </c>
      <c r="K64" s="291" t="e">
        <f ca="1">VLOOKUP($B64,KOMBI!$A:$ADS,K$3,FALSE)</f>
        <v>#NUM!</v>
      </c>
      <c r="L64" s="291" t="e">
        <f ca="1">VLOOKUP($B64,KOMBI!$A:$ADS,L$3,FALSE)</f>
        <v>#NUM!</v>
      </c>
      <c r="M64" s="291" t="e">
        <f ca="1">VLOOKUP($B64,KOMBI!$A:$ADS,M$3,FALSE)</f>
        <v>#NUM!</v>
      </c>
      <c r="N64" s="291" t="e">
        <f ca="1">VLOOKUP($B64,KOMBI!$A:$ADS,N$3,FALSE)</f>
        <v>#NUM!</v>
      </c>
      <c r="O64" s="291" t="e">
        <f ca="1">VLOOKUP($B64,KOMBI!$A:$ADS,O$3,FALSE)</f>
        <v>#NUM!</v>
      </c>
      <c r="P64" s="291" t="e">
        <f ca="1">VLOOKUP($B64,KOMBI!$A:$ADS,P$3,FALSE)</f>
        <v>#NUM!</v>
      </c>
      <c r="Q64" s="292" t="e">
        <f t="array" aca="1" ref="Q64" ca="1">VLOOKUP($B64,KOMBI!$A:$ADS,MATCH(Tulem!Q$3,KOMBI!$A$1:$ADS$1,0),FALSE)</f>
        <v>#NUM!</v>
      </c>
      <c r="S64" s="332" t="e">
        <f t="array" aca="1" ref="S64" ca="1">VLOOKUP($B64,KOMBI!$A:$ADS,MATCH(Tulem!S$3,KOMBI!$A$1:$ADS$1,0),FALSE)</f>
        <v>#NUM!</v>
      </c>
      <c r="T64" s="293" t="e">
        <f ca="1">VLOOKUP($B64,KOMBI!$A:$ADS,T$3,FALSE)</f>
        <v>#NUM!</v>
      </c>
      <c r="U64" s="293" t="e">
        <f ca="1">VLOOKUP($B64,KOMBI!$A:$ADS,U$3,FALSE)</f>
        <v>#NUM!</v>
      </c>
      <c r="V64" s="293" t="e">
        <f ca="1">VLOOKUP($B64,KOMBI!$A:$ADS,V$3,FALSE)</f>
        <v>#NUM!</v>
      </c>
      <c r="W64" s="293"/>
      <c r="X64" s="293" t="e">
        <f ca="1">VLOOKUP($B64,KOMBI!$A:$ADS,X$3,FALSE)</f>
        <v>#NUM!</v>
      </c>
      <c r="Y64" s="293" t="e">
        <f ca="1">VLOOKUP($B64,KOMBI!$A:$ADS,Y$3,FALSE)</f>
        <v>#NUM!</v>
      </c>
      <c r="Z64" s="293" t="e">
        <f ca="1">VLOOKUP($B64,KOMBI!$A:$ADS,Z$3,FALSE)</f>
        <v>#NUM!</v>
      </c>
      <c r="AA64" s="294"/>
      <c r="AB64" s="293" t="e">
        <f ca="1">VLOOKUP($B64,KOMBI!$A:$ADS,AB$3,FALSE)</f>
        <v>#NUM!</v>
      </c>
      <c r="AC64" s="293" t="e">
        <f ca="1">VLOOKUP($B64,KOMBI!$A:$ADS,AC$3,FALSE)-AB64</f>
        <v>#NUM!</v>
      </c>
      <c r="AD64" s="293" t="e">
        <f ca="1">VLOOKUP($B64,KOMBI!$A:$ADS,AD$3,FALSE)</f>
        <v>#NUM!</v>
      </c>
      <c r="AE64" s="293" t="e">
        <f ca="1">VLOOKUP($B64,KOMBI!$A:$ADS,AE$3,FALSE)</f>
        <v>#NUM!</v>
      </c>
      <c r="AF64" s="293" t="e">
        <f ca="1">VLOOKUP($B64,KOMBI!$A:$ADS,AF$3,FALSE)-AE64</f>
        <v>#NUM!</v>
      </c>
      <c r="AG64" s="293" t="e">
        <f ca="1">VLOOKUP($B64,KOMBI!$A:$ADS,AG$3,FALSE)</f>
        <v>#NUM!</v>
      </c>
      <c r="AI64" s="293" t="e">
        <f t="array" aca="1" ref="AI64" ca="1">VLOOKUP($B64,KOMBI!$A:$ADS,MATCH(Tulem!AI$3,KOMBI!$A$1:$ADS$1,0),FALSE)</f>
        <v>#NUM!</v>
      </c>
      <c r="AJ64" s="293" t="e">
        <f t="array" aca="1" ref="AJ64" ca="1">VLOOKUP($B64,KOMBI!$A:$ADS,MATCH(Tulem!AJ$3,KOMBI!$A$1:$ADS$1,0),FALSE)</f>
        <v>#NUM!</v>
      </c>
      <c r="AK64" s="293" t="e">
        <f t="array" aca="1" ref="AK64" ca="1">VLOOKUP($B64,KOMBI!$A:$ADS,MATCH(Tulem!AK$3,KOMBI!$A$1:$ADS$1,0),FALSE)</f>
        <v>#NUM!</v>
      </c>
      <c r="AL64" s="293" t="e">
        <f t="array" aca="1" ref="AL64" ca="1">VLOOKUP($B64,KOMBI!$A:$ADS,MATCH(Tulem!AL$3,KOMBI!$A$1:$ADS$1,0),FALSE)</f>
        <v>#NUM!</v>
      </c>
      <c r="AM64" s="293" t="e">
        <f t="array" aca="1" ref="AM64" ca="1">VLOOKUP($B64,KOMBI!$A:$ADS,MATCH(Tulem!AM$3,KOMBI!$A$1:$ADS$1,0),FALSE)</f>
        <v>#NUM!</v>
      </c>
      <c r="AN64" s="293" t="e">
        <f t="array" aca="1" ref="AN64" ca="1">VLOOKUP($B64,KOMBI!$A:$ADS,MATCH(Tulem!AN$3,KOMBI!$A$1:$ADS$1,0),FALSE)</f>
        <v>#NUM!</v>
      </c>
      <c r="AO64" s="293" t="e">
        <f t="array" aca="1" ref="AO64" ca="1">VLOOKUP($B64,KOMBI!$A:$ADS,MATCH(Tulem!AO$3,KOMBI!$A$1:$ADS$1,0),FALSE)</f>
        <v>#NUM!</v>
      </c>
      <c r="AP64" s="293" t="e">
        <f t="array" aca="1" ref="AP64" ca="1">VLOOKUP($B64,KOMBI!$A:$ADS,MATCH(Tulem!AP$3,KOMBI!$A$1:$ADS$1,0),FALSE)</f>
        <v>#NUM!</v>
      </c>
      <c r="AQ64" s="293" t="e">
        <f t="array" aca="1" ref="AQ64" ca="1">VLOOKUP($B64,KOMBI!$A:$ADS,MATCH(Tulem!AQ$3,KOMBI!$A$1:$ADS$1,0),FALSE)</f>
        <v>#NUM!</v>
      </c>
      <c r="AR64" s="293" t="e">
        <f t="array" aca="1" ref="AR64" ca="1">VLOOKUP($B64,KOMBI!$A:$ADS,MATCH(Tulem!AR$3,KOMBI!$A$1:$ADS$1,0),FALSE)</f>
        <v>#NUM!</v>
      </c>
      <c r="AS64" s="293" t="e">
        <f t="array" aca="1" ref="AS64" ca="1">VLOOKUP($B64,KOMBI!$A:$ADS,MATCH(Tulem!AS$3,KOMBI!$A$1:$ADS$1,0),FALSE)</f>
        <v>#NUM!</v>
      </c>
      <c r="AT64" s="293" t="e">
        <f t="array" aca="1" ref="AT64" ca="1">VLOOKUP($B64,KOMBI!$A:$ADS,MATCH(Tulem!AT$3,KOMBI!$A$1:$ADS$1,0),FALSE)</f>
        <v>#NUM!</v>
      </c>
      <c r="AU64" s="293" t="e">
        <f t="array" aca="1" ref="AU64" ca="1">VLOOKUP($B64,KOMBI!$A:$ADS,MATCH(Tulem!AU$3,KOMBI!$A$1:$ADS$1,0),FALSE)</f>
        <v>#NUM!</v>
      </c>
      <c r="AV64" s="293" t="e">
        <f t="shared" ca="1" si="1"/>
        <v>#NUM!</v>
      </c>
      <c r="AW64" s="293" t="e">
        <f t="shared" ca="1" si="2"/>
        <v>#NUM!</v>
      </c>
      <c r="AX64" s="291" t="e">
        <f ca="1">VLOOKUP($B64,KOMBI!$A:$ACA,MATCH(AX$5,KOMBI!$10:$10,0),FALSE)</f>
        <v>#NUM!</v>
      </c>
      <c r="AY64" s="292" t="e">
        <f t="array" aca="1" ref="AY64" ca="1">VLOOKUP($B64,KOMBI!$A:$ADS,MATCH(Tulem!AY$3,KOMBI!$A$1:$ADS$1,0),FALSE)</f>
        <v>#NUM!</v>
      </c>
      <c r="AZ64" s="292" t="e">
        <f t="array" aca="1" ref="AZ64" ca="1">VLOOKUP($B64,KOMBI!$A:$ADS,MATCH(Tulem!AZ$3,KOMBI!$A$1:$ADS$1,0),FALSE)</f>
        <v>#NUM!</v>
      </c>
      <c r="BA64" s="292" t="e">
        <f t="array" aca="1" ref="BA64" ca="1">VLOOKUP($B64,KOMBI!$A:$ADS,MATCH(Tulem!BA$3,KOMBI!$A$1:$ADS$1,0),FALSE)</f>
        <v>#NUM!</v>
      </c>
      <c r="BB64" s="292" t="e">
        <f t="array" aca="1" ref="BB64" ca="1">VLOOKUP($B64,KOMBI!$A:$ADS,MATCH(Tulem!BB$3,KOMBI!$A$1:$ADS$1,0),FALSE)</f>
        <v>#NUM!</v>
      </c>
      <c r="BC64" s="292" t="e">
        <f t="array" aca="1" ref="BC64" ca="1">VLOOKUP($B64,KOMBI!$A:$ADS,MATCH(Tulem!BC$3,KOMBI!$A$1:$ADS$1,0),FALSE)</f>
        <v>#NUM!</v>
      </c>
      <c r="BD64" s="292" t="e">
        <f t="array" aca="1" ref="BD64" ca="1">VLOOKUP($B64,KOMBI!$A:$ADS,MATCH(Tulem!BD$3,KOMBI!$A$1:$ADS$1,0),FALSE)</f>
        <v>#NUM!</v>
      </c>
      <c r="BE64" s="292" t="e">
        <f t="array" aca="1" ref="BE64" ca="1">VLOOKUP($B64,KOMBI!$A:$ADS,MATCH(Tulem!BE$3,KOMBI!$A$1:$ADS$1,0),FALSE)</f>
        <v>#NUM!</v>
      </c>
      <c r="BF64" s="292" t="e">
        <f t="array" aca="1" ref="BF64" ca="1">VLOOKUP($B64,KOMBI!$A:$ADS,MATCH(Tulem!BF$3,KOMBI!$A$1:$ADS$1,0),FALSE)</f>
        <v>#NUM!</v>
      </c>
      <c r="BG64" s="292" t="e">
        <f t="array" aca="1" ref="BG64" ca="1">VLOOKUP($B64,KOMBI!$A:$ADS,MATCH(Tulem!BG$3,KOMBI!$A$1:$ADS$1,0),FALSE)</f>
        <v>#NUM!</v>
      </c>
      <c r="BH64" s="292" t="e">
        <f t="array" aca="1" ref="BH64" ca="1">VLOOKUP($B64,KOMBI!$A:$ADS,MATCH(Tulem!BH$3,KOMBI!$A$1:$ADS$1,0),FALSE)</f>
        <v>#NUM!</v>
      </c>
      <c r="BI64" s="292" t="e">
        <f t="array" aca="1" ref="BI64" ca="1">VLOOKUP($B64,KOMBI!$A:$ADS,MATCH(Tulem!BI$3,KOMBI!$A$1:$ADS$1,0),FALSE)</f>
        <v>#NUM!</v>
      </c>
      <c r="BJ64" s="292" t="e">
        <f t="array" aca="1" ref="BJ64" ca="1">VLOOKUP($B64,KOMBI!$A:$ADS,MATCH(Tulem!BJ$3,KOMBI!$A$1:$ADS$1,0),FALSE)</f>
        <v>#NUM!</v>
      </c>
      <c r="BK64" s="292" t="e">
        <f t="array" aca="1" ref="BK64" ca="1">VLOOKUP($B64,KOMBI!$A:$ADS,MATCH(Tulem!BK$3,KOMBI!$A$1:$ADS$1,0),FALSE)</f>
        <v>#NUM!</v>
      </c>
      <c r="BL64" s="292" t="e">
        <f t="array" aca="1" ref="BL64" ca="1">VLOOKUP($B64,KOMBI!$A:$ADS,MATCH(Tulem!BL$3,KOMBI!$A$1:$ADS$1,0),FALSE)</f>
        <v>#NUM!</v>
      </c>
      <c r="BM64" s="292" t="e">
        <f t="array" aca="1" ref="BM64" ca="1">VLOOKUP($B64,KOMBI!$A:$ADS,MATCH(Tulem!BM$3,KOMBI!$A$1:$ADS$1,0),FALSE)</f>
        <v>#NUM!</v>
      </c>
      <c r="BN64" s="292" t="e">
        <f t="array" aca="1" ref="BN64" ca="1">VLOOKUP($B64,KOMBI!$A:$ADS,MATCH(Tulem!BN$3,KOMBI!$A$1:$ADS$1,0),FALSE)</f>
        <v>#NUM!</v>
      </c>
      <c r="BO64" s="292" t="e">
        <f t="array" aca="1" ref="BO64" ca="1">VLOOKUP($B64,KOMBI!$A:$ADS,MATCH(Tulem!BO$3,KOMBI!$A$1:$ADS$1,0),FALSE)</f>
        <v>#NUM!</v>
      </c>
      <c r="BP64" s="291"/>
      <c r="BQ64" s="292" t="e">
        <f t="array" aca="1" ref="BQ64" ca="1">VLOOKUP($B64,KOMBI!$A:$ADS,MATCH(Tulem!BQ$3,KOMBI!$A$1:$ADS$1,0),FALSE)</f>
        <v>#NUM!</v>
      </c>
      <c r="BR64" s="292" t="e">
        <f t="array" aca="1" ref="BR64" ca="1">VLOOKUP($B64,KOMBI!$A:$ADS,MATCH(Tulem!BR$3,KOMBI!$A$1:$ADS$1,0),FALSE)</f>
        <v>#NUM!</v>
      </c>
      <c r="BS64" s="292" t="e">
        <f t="array" aca="1" ref="BS64" ca="1">VLOOKUP($B64,KOMBI!$A:$ADS,MATCH(Tulem!BS$3,KOMBI!$A$1:$ADS$1,0),FALSE)</f>
        <v>#NUM!</v>
      </c>
      <c r="BT64" s="292" t="e">
        <f t="array" aca="1" ref="BT64" ca="1">VLOOKUP($B64,KOMBI!$A:$ADS,MATCH(Tulem!BT$3,KOMBI!$A$1:$ADS$1,0),FALSE)</f>
        <v>#NUM!</v>
      </c>
      <c r="BU64" s="292" t="e">
        <f t="array" aca="1" ref="BU64" ca="1">VLOOKUP($B64,KOMBI!$A:$ADS,MATCH(Tulem!BU$3,KOMBI!$A$1:$ADS$1,0),FALSE)</f>
        <v>#NUM!</v>
      </c>
      <c r="BV64" s="291"/>
      <c r="BW64" s="292" t="e">
        <f t="array" aca="1" ref="BW64" ca="1">VLOOKUP($B64,KOMBI!$A:$ADS,MATCH(Tulem!BW$3,KOMBI!$A$1:$ADS$1,0),FALSE)</f>
        <v>#NUM!</v>
      </c>
      <c r="BX64" s="291"/>
      <c r="BY64" s="291"/>
      <c r="BZ64" s="292" t="e">
        <f t="array" aca="1" ref="BZ64" ca="1">VLOOKUP($B64,KOMBI!$A:$ADS,MATCH(Tulem!BZ$3,KOMBI!$A$1:$ADS$1,0),FALSE)</f>
        <v>#NUM!</v>
      </c>
      <c r="CA64" s="292" t="e">
        <f t="array" aca="1" ref="CA64" ca="1">VLOOKUP($B64,KOMBI!$A:$ADS,MATCH(Tulem!CA$3,KOMBI!$A$1:$ADS$1,0),FALSE)</f>
        <v>#NUM!</v>
      </c>
      <c r="CB64" s="292" t="e">
        <f t="array" aca="1" ref="CB64" ca="1">VLOOKUP($B64,KOMBI!$A:$ADS,MATCH(Tulem!CB$3,KOMBI!$A$1:$ADS$1,0),FALSE)</f>
        <v>#NUM!</v>
      </c>
      <c r="CC64" s="292" t="e">
        <f t="array" aca="1" ref="CC64" ca="1">VLOOKUP($B64,KOMBI!$A:$ADS,MATCH(Tulem!CC$3,KOMBI!$A$1:$ADS$1,0),FALSE)</f>
        <v>#NUM!</v>
      </c>
      <c r="CD64" s="292" t="e">
        <f t="array" aca="1" ref="CD64" ca="1">VLOOKUP($B64,KOMBI!$A:$ADS,MATCH(Tulem!CD$3,KOMBI!$A$1:$ADS$1,0),FALSE)</f>
        <v>#NUM!</v>
      </c>
      <c r="CF64" s="51" t="e">
        <f ca="1">VLOOKUP($B64,KOMBI!$A:$ACG,MATCH(CF$5,KOMBI!$10:$10,0),FALSE)</f>
        <v>#NUM!</v>
      </c>
    </row>
    <row r="65" spans="1:84" x14ac:dyDescent="0.2">
      <c r="A65" s="51">
        <v>60</v>
      </c>
      <c r="B65" s="51" t="e">
        <f ca="1">KOMBI!GI70</f>
        <v>#NUM!</v>
      </c>
      <c r="C65" s="51">
        <f t="shared" si="0"/>
        <v>60</v>
      </c>
      <c r="D65" s="290" t="e">
        <f ca="1">VLOOKUP(VLOOKUP($B65,KOMBI!$A:$H,3,FALSE),data!$I$27:$J$29,2,FALSE)</f>
        <v>#NUM!</v>
      </c>
      <c r="E65" s="290" t="e">
        <f ca="1">VLOOKUP(VLOOKUP($B65,KOMBI!$A:$H,2,FALSE),data!$I$21:$J$23,2,FALSE)</f>
        <v>#NUM!</v>
      </c>
      <c r="F65" s="290" t="e">
        <f ca="1">VLOOKUP(VLOOKUP($B65,KOMBI!$A:$H,5,FALSE),data!$I$39:$J$41,2,FALSE)</f>
        <v>#NUM!</v>
      </c>
      <c r="G65" s="290" t="e">
        <f ca="1">VLOOKUP(VLOOKUP($B65,KOMBI!$A:$H,4,FALSE),data!$I$32:$J$36,2,FALSE)</f>
        <v>#NUM!</v>
      </c>
      <c r="I65" s="51" t="e">
        <f ca="1">VLOOKUP($B65,KOMBI!$A:$Z,MATCH(I$5,KOMBI!$10:$10,0),FALSE)</f>
        <v>#NUM!</v>
      </c>
      <c r="J65" s="291" t="e">
        <f ca="1">VLOOKUP($B65,KOMBI!$A:$ADS,J$3,FALSE)</f>
        <v>#NUM!</v>
      </c>
      <c r="K65" s="291" t="e">
        <f ca="1">VLOOKUP($B65,KOMBI!$A:$ADS,K$3,FALSE)</f>
        <v>#NUM!</v>
      </c>
      <c r="L65" s="291" t="e">
        <f ca="1">VLOOKUP($B65,KOMBI!$A:$ADS,L$3,FALSE)</f>
        <v>#NUM!</v>
      </c>
      <c r="M65" s="291" t="e">
        <f ca="1">VLOOKUP($B65,KOMBI!$A:$ADS,M$3,FALSE)</f>
        <v>#NUM!</v>
      </c>
      <c r="N65" s="291" t="e">
        <f ca="1">VLOOKUP($B65,KOMBI!$A:$ADS,N$3,FALSE)</f>
        <v>#NUM!</v>
      </c>
      <c r="O65" s="291" t="e">
        <f ca="1">VLOOKUP($B65,KOMBI!$A:$ADS,O$3,FALSE)</f>
        <v>#NUM!</v>
      </c>
      <c r="P65" s="291" t="e">
        <f ca="1">VLOOKUP($B65,KOMBI!$A:$ADS,P$3,FALSE)</f>
        <v>#NUM!</v>
      </c>
      <c r="Q65" s="292" t="e">
        <f t="array" aca="1" ref="Q65" ca="1">VLOOKUP($B65,KOMBI!$A:$ADS,MATCH(Tulem!Q$3,KOMBI!$A$1:$ADS$1,0),FALSE)</f>
        <v>#NUM!</v>
      </c>
      <c r="S65" s="332" t="e">
        <f t="array" aca="1" ref="S65" ca="1">VLOOKUP($B65,KOMBI!$A:$ADS,MATCH(Tulem!S$3,KOMBI!$A$1:$ADS$1,0),FALSE)</f>
        <v>#NUM!</v>
      </c>
      <c r="T65" s="293" t="e">
        <f ca="1">VLOOKUP($B65,KOMBI!$A:$ADS,T$3,FALSE)</f>
        <v>#NUM!</v>
      </c>
      <c r="U65" s="293" t="e">
        <f ca="1">VLOOKUP($B65,KOMBI!$A:$ADS,U$3,FALSE)</f>
        <v>#NUM!</v>
      </c>
      <c r="V65" s="293" t="e">
        <f ca="1">VLOOKUP($B65,KOMBI!$A:$ADS,V$3,FALSE)</f>
        <v>#NUM!</v>
      </c>
      <c r="W65" s="293"/>
      <c r="X65" s="293" t="e">
        <f ca="1">VLOOKUP($B65,KOMBI!$A:$ADS,X$3,FALSE)</f>
        <v>#NUM!</v>
      </c>
      <c r="Y65" s="293" t="e">
        <f ca="1">VLOOKUP($B65,KOMBI!$A:$ADS,Y$3,FALSE)</f>
        <v>#NUM!</v>
      </c>
      <c r="Z65" s="293" t="e">
        <f ca="1">VLOOKUP($B65,KOMBI!$A:$ADS,Z$3,FALSE)</f>
        <v>#NUM!</v>
      </c>
      <c r="AA65" s="294"/>
      <c r="AB65" s="293" t="e">
        <f ca="1">VLOOKUP($B65,KOMBI!$A:$ADS,AB$3,FALSE)</f>
        <v>#NUM!</v>
      </c>
      <c r="AC65" s="293" t="e">
        <f ca="1">VLOOKUP($B65,KOMBI!$A:$ADS,AC$3,FALSE)-AB65</f>
        <v>#NUM!</v>
      </c>
      <c r="AD65" s="293" t="e">
        <f ca="1">VLOOKUP($B65,KOMBI!$A:$ADS,AD$3,FALSE)</f>
        <v>#NUM!</v>
      </c>
      <c r="AE65" s="293" t="e">
        <f ca="1">VLOOKUP($B65,KOMBI!$A:$ADS,AE$3,FALSE)</f>
        <v>#NUM!</v>
      </c>
      <c r="AF65" s="293" t="e">
        <f ca="1">VLOOKUP($B65,KOMBI!$A:$ADS,AF$3,FALSE)-AE65</f>
        <v>#NUM!</v>
      </c>
      <c r="AG65" s="293" t="e">
        <f ca="1">VLOOKUP($B65,KOMBI!$A:$ADS,AG$3,FALSE)</f>
        <v>#NUM!</v>
      </c>
      <c r="AI65" s="293" t="e">
        <f t="array" aca="1" ref="AI65" ca="1">VLOOKUP($B65,KOMBI!$A:$ADS,MATCH(Tulem!AI$3,KOMBI!$A$1:$ADS$1,0),FALSE)</f>
        <v>#NUM!</v>
      </c>
      <c r="AJ65" s="293" t="e">
        <f t="array" aca="1" ref="AJ65" ca="1">VLOOKUP($B65,KOMBI!$A:$ADS,MATCH(Tulem!AJ$3,KOMBI!$A$1:$ADS$1,0),FALSE)</f>
        <v>#NUM!</v>
      </c>
      <c r="AK65" s="293" t="e">
        <f t="array" aca="1" ref="AK65" ca="1">VLOOKUP($B65,KOMBI!$A:$ADS,MATCH(Tulem!AK$3,KOMBI!$A$1:$ADS$1,0),FALSE)</f>
        <v>#NUM!</v>
      </c>
      <c r="AL65" s="293" t="e">
        <f t="array" aca="1" ref="AL65" ca="1">VLOOKUP($B65,KOMBI!$A:$ADS,MATCH(Tulem!AL$3,KOMBI!$A$1:$ADS$1,0),FALSE)</f>
        <v>#NUM!</v>
      </c>
      <c r="AM65" s="293" t="e">
        <f t="array" aca="1" ref="AM65" ca="1">VLOOKUP($B65,KOMBI!$A:$ADS,MATCH(Tulem!AM$3,KOMBI!$A$1:$ADS$1,0),FALSE)</f>
        <v>#NUM!</v>
      </c>
      <c r="AN65" s="293" t="e">
        <f t="array" aca="1" ref="AN65" ca="1">VLOOKUP($B65,KOMBI!$A:$ADS,MATCH(Tulem!AN$3,KOMBI!$A$1:$ADS$1,0),FALSE)</f>
        <v>#NUM!</v>
      </c>
      <c r="AO65" s="293" t="e">
        <f t="array" aca="1" ref="AO65" ca="1">VLOOKUP($B65,KOMBI!$A:$ADS,MATCH(Tulem!AO$3,KOMBI!$A$1:$ADS$1,0),FALSE)</f>
        <v>#NUM!</v>
      </c>
      <c r="AP65" s="293" t="e">
        <f t="array" aca="1" ref="AP65" ca="1">VLOOKUP($B65,KOMBI!$A:$ADS,MATCH(Tulem!AP$3,KOMBI!$A$1:$ADS$1,0),FALSE)</f>
        <v>#NUM!</v>
      </c>
      <c r="AQ65" s="293" t="e">
        <f t="array" aca="1" ref="AQ65" ca="1">VLOOKUP($B65,KOMBI!$A:$ADS,MATCH(Tulem!AQ$3,KOMBI!$A$1:$ADS$1,0),FALSE)</f>
        <v>#NUM!</v>
      </c>
      <c r="AR65" s="293" t="e">
        <f t="array" aca="1" ref="AR65" ca="1">VLOOKUP($B65,KOMBI!$A:$ADS,MATCH(Tulem!AR$3,KOMBI!$A$1:$ADS$1,0),FALSE)</f>
        <v>#NUM!</v>
      </c>
      <c r="AS65" s="293" t="e">
        <f t="array" aca="1" ref="AS65" ca="1">VLOOKUP($B65,KOMBI!$A:$ADS,MATCH(Tulem!AS$3,KOMBI!$A$1:$ADS$1,0),FALSE)</f>
        <v>#NUM!</v>
      </c>
      <c r="AT65" s="293" t="e">
        <f t="array" aca="1" ref="AT65" ca="1">VLOOKUP($B65,KOMBI!$A:$ADS,MATCH(Tulem!AT$3,KOMBI!$A$1:$ADS$1,0),FALSE)</f>
        <v>#NUM!</v>
      </c>
      <c r="AU65" s="293" t="e">
        <f t="array" aca="1" ref="AU65" ca="1">VLOOKUP($B65,KOMBI!$A:$ADS,MATCH(Tulem!AU$3,KOMBI!$A$1:$ADS$1,0),FALSE)</f>
        <v>#NUM!</v>
      </c>
      <c r="AV65" s="293" t="e">
        <f t="shared" ca="1" si="1"/>
        <v>#NUM!</v>
      </c>
      <c r="AW65" s="293" t="e">
        <f t="shared" ca="1" si="2"/>
        <v>#NUM!</v>
      </c>
      <c r="AX65" s="291" t="e">
        <f ca="1">VLOOKUP($B65,KOMBI!$A:$ACA,MATCH(AX$5,KOMBI!$10:$10,0),FALSE)</f>
        <v>#NUM!</v>
      </c>
      <c r="AY65" s="292" t="e">
        <f t="array" aca="1" ref="AY65" ca="1">VLOOKUP($B65,KOMBI!$A:$ADS,MATCH(Tulem!AY$3,KOMBI!$A$1:$ADS$1,0),FALSE)</f>
        <v>#NUM!</v>
      </c>
      <c r="AZ65" s="292" t="e">
        <f t="array" aca="1" ref="AZ65" ca="1">VLOOKUP($B65,KOMBI!$A:$ADS,MATCH(Tulem!AZ$3,KOMBI!$A$1:$ADS$1,0),FALSE)</f>
        <v>#NUM!</v>
      </c>
      <c r="BA65" s="292" t="e">
        <f t="array" aca="1" ref="BA65" ca="1">VLOOKUP($B65,KOMBI!$A:$ADS,MATCH(Tulem!BA$3,KOMBI!$A$1:$ADS$1,0),FALSE)</f>
        <v>#NUM!</v>
      </c>
      <c r="BB65" s="292" t="e">
        <f t="array" aca="1" ref="BB65" ca="1">VLOOKUP($B65,KOMBI!$A:$ADS,MATCH(Tulem!BB$3,KOMBI!$A$1:$ADS$1,0),FALSE)</f>
        <v>#NUM!</v>
      </c>
      <c r="BC65" s="292" t="e">
        <f t="array" aca="1" ref="BC65" ca="1">VLOOKUP($B65,KOMBI!$A:$ADS,MATCH(Tulem!BC$3,KOMBI!$A$1:$ADS$1,0),FALSE)</f>
        <v>#NUM!</v>
      </c>
      <c r="BD65" s="292" t="e">
        <f t="array" aca="1" ref="BD65" ca="1">VLOOKUP($B65,KOMBI!$A:$ADS,MATCH(Tulem!BD$3,KOMBI!$A$1:$ADS$1,0),FALSE)</f>
        <v>#NUM!</v>
      </c>
      <c r="BE65" s="292" t="e">
        <f t="array" aca="1" ref="BE65" ca="1">VLOOKUP($B65,KOMBI!$A:$ADS,MATCH(Tulem!BE$3,KOMBI!$A$1:$ADS$1,0),FALSE)</f>
        <v>#NUM!</v>
      </c>
      <c r="BF65" s="292" t="e">
        <f t="array" aca="1" ref="BF65" ca="1">VLOOKUP($B65,KOMBI!$A:$ADS,MATCH(Tulem!BF$3,KOMBI!$A$1:$ADS$1,0),FALSE)</f>
        <v>#NUM!</v>
      </c>
      <c r="BG65" s="292" t="e">
        <f t="array" aca="1" ref="BG65" ca="1">VLOOKUP($B65,KOMBI!$A:$ADS,MATCH(Tulem!BG$3,KOMBI!$A$1:$ADS$1,0),FALSE)</f>
        <v>#NUM!</v>
      </c>
      <c r="BH65" s="292" t="e">
        <f t="array" aca="1" ref="BH65" ca="1">VLOOKUP($B65,KOMBI!$A:$ADS,MATCH(Tulem!BH$3,KOMBI!$A$1:$ADS$1,0),FALSE)</f>
        <v>#NUM!</v>
      </c>
      <c r="BI65" s="292" t="e">
        <f t="array" aca="1" ref="BI65" ca="1">VLOOKUP($B65,KOMBI!$A:$ADS,MATCH(Tulem!BI$3,KOMBI!$A$1:$ADS$1,0),FALSE)</f>
        <v>#NUM!</v>
      </c>
      <c r="BJ65" s="292" t="e">
        <f t="array" aca="1" ref="BJ65" ca="1">VLOOKUP($B65,KOMBI!$A:$ADS,MATCH(Tulem!BJ$3,KOMBI!$A$1:$ADS$1,0),FALSE)</f>
        <v>#NUM!</v>
      </c>
      <c r="BK65" s="292" t="e">
        <f t="array" aca="1" ref="BK65" ca="1">VLOOKUP($B65,KOMBI!$A:$ADS,MATCH(Tulem!BK$3,KOMBI!$A$1:$ADS$1,0),FALSE)</f>
        <v>#NUM!</v>
      </c>
      <c r="BL65" s="292" t="e">
        <f t="array" aca="1" ref="BL65" ca="1">VLOOKUP($B65,KOMBI!$A:$ADS,MATCH(Tulem!BL$3,KOMBI!$A$1:$ADS$1,0),FALSE)</f>
        <v>#NUM!</v>
      </c>
      <c r="BM65" s="292" t="e">
        <f t="array" aca="1" ref="BM65" ca="1">VLOOKUP($B65,KOMBI!$A:$ADS,MATCH(Tulem!BM$3,KOMBI!$A$1:$ADS$1,0),FALSE)</f>
        <v>#NUM!</v>
      </c>
      <c r="BN65" s="292" t="e">
        <f t="array" aca="1" ref="BN65" ca="1">VLOOKUP($B65,KOMBI!$A:$ADS,MATCH(Tulem!BN$3,KOMBI!$A$1:$ADS$1,0),FALSE)</f>
        <v>#NUM!</v>
      </c>
      <c r="BO65" s="292" t="e">
        <f t="array" aca="1" ref="BO65" ca="1">VLOOKUP($B65,KOMBI!$A:$ADS,MATCH(Tulem!BO$3,KOMBI!$A$1:$ADS$1,0),FALSE)</f>
        <v>#NUM!</v>
      </c>
      <c r="BP65" s="291"/>
      <c r="BQ65" s="292" t="e">
        <f t="array" aca="1" ref="BQ65" ca="1">VLOOKUP($B65,KOMBI!$A:$ADS,MATCH(Tulem!BQ$3,KOMBI!$A$1:$ADS$1,0),FALSE)</f>
        <v>#NUM!</v>
      </c>
      <c r="BR65" s="292" t="e">
        <f t="array" aca="1" ref="BR65" ca="1">VLOOKUP($B65,KOMBI!$A:$ADS,MATCH(Tulem!BR$3,KOMBI!$A$1:$ADS$1,0),FALSE)</f>
        <v>#NUM!</v>
      </c>
      <c r="BS65" s="292" t="e">
        <f t="array" aca="1" ref="BS65" ca="1">VLOOKUP($B65,KOMBI!$A:$ADS,MATCH(Tulem!BS$3,KOMBI!$A$1:$ADS$1,0),FALSE)</f>
        <v>#NUM!</v>
      </c>
      <c r="BT65" s="292" t="e">
        <f t="array" aca="1" ref="BT65" ca="1">VLOOKUP($B65,KOMBI!$A:$ADS,MATCH(Tulem!BT$3,KOMBI!$A$1:$ADS$1,0),FALSE)</f>
        <v>#NUM!</v>
      </c>
      <c r="BU65" s="292" t="e">
        <f t="array" aca="1" ref="BU65" ca="1">VLOOKUP($B65,KOMBI!$A:$ADS,MATCH(Tulem!BU$3,KOMBI!$A$1:$ADS$1,0),FALSE)</f>
        <v>#NUM!</v>
      </c>
      <c r="BV65" s="291"/>
      <c r="BW65" s="292" t="e">
        <f t="array" aca="1" ref="BW65" ca="1">VLOOKUP($B65,KOMBI!$A:$ADS,MATCH(Tulem!BW$3,KOMBI!$A$1:$ADS$1,0),FALSE)</f>
        <v>#NUM!</v>
      </c>
      <c r="BX65" s="291"/>
      <c r="BY65" s="291"/>
      <c r="BZ65" s="292" t="e">
        <f t="array" aca="1" ref="BZ65" ca="1">VLOOKUP($B65,KOMBI!$A:$ADS,MATCH(Tulem!BZ$3,KOMBI!$A$1:$ADS$1,0),FALSE)</f>
        <v>#NUM!</v>
      </c>
      <c r="CA65" s="292" t="e">
        <f t="array" aca="1" ref="CA65" ca="1">VLOOKUP($B65,KOMBI!$A:$ADS,MATCH(Tulem!CA$3,KOMBI!$A$1:$ADS$1,0),FALSE)</f>
        <v>#NUM!</v>
      </c>
      <c r="CB65" s="292" t="e">
        <f t="array" aca="1" ref="CB65" ca="1">VLOOKUP($B65,KOMBI!$A:$ADS,MATCH(Tulem!CB$3,KOMBI!$A$1:$ADS$1,0),FALSE)</f>
        <v>#NUM!</v>
      </c>
      <c r="CC65" s="292" t="e">
        <f t="array" aca="1" ref="CC65" ca="1">VLOOKUP($B65,KOMBI!$A:$ADS,MATCH(Tulem!CC$3,KOMBI!$A$1:$ADS$1,0),FALSE)</f>
        <v>#NUM!</v>
      </c>
      <c r="CD65" s="292" t="e">
        <f t="array" aca="1" ref="CD65" ca="1">VLOOKUP($B65,KOMBI!$A:$ADS,MATCH(Tulem!CD$3,KOMBI!$A$1:$ADS$1,0),FALSE)</f>
        <v>#NUM!</v>
      </c>
      <c r="CF65" s="51" t="e">
        <f ca="1">VLOOKUP($B65,KOMBI!$A:$ACG,MATCH(CF$5,KOMBI!$10:$10,0),FALSE)</f>
        <v>#NUM!</v>
      </c>
    </row>
    <row r="66" spans="1:84" x14ac:dyDescent="0.2">
      <c r="A66" s="51">
        <v>61</v>
      </c>
      <c r="B66" s="51" t="e">
        <f ca="1">KOMBI!GI71</f>
        <v>#NUM!</v>
      </c>
      <c r="C66" s="51">
        <f t="shared" si="0"/>
        <v>61</v>
      </c>
      <c r="D66" s="290" t="e">
        <f ca="1">VLOOKUP(VLOOKUP($B66,KOMBI!$A:$H,3,FALSE),data!$I$27:$J$29,2,FALSE)</f>
        <v>#NUM!</v>
      </c>
      <c r="E66" s="290" t="e">
        <f ca="1">VLOOKUP(VLOOKUP($B66,KOMBI!$A:$H,2,FALSE),data!$I$21:$J$23,2,FALSE)</f>
        <v>#NUM!</v>
      </c>
      <c r="F66" s="290" t="e">
        <f ca="1">VLOOKUP(VLOOKUP($B66,KOMBI!$A:$H,5,FALSE),data!$I$39:$J$41,2,FALSE)</f>
        <v>#NUM!</v>
      </c>
      <c r="G66" s="290" t="e">
        <f ca="1">VLOOKUP(VLOOKUP($B66,KOMBI!$A:$H,4,FALSE),data!$I$32:$J$36,2,FALSE)</f>
        <v>#NUM!</v>
      </c>
      <c r="I66" s="51" t="e">
        <f ca="1">VLOOKUP($B66,KOMBI!$A:$Z,MATCH(I$5,KOMBI!$10:$10,0),FALSE)</f>
        <v>#NUM!</v>
      </c>
      <c r="J66" s="291" t="e">
        <f ca="1">VLOOKUP($B66,KOMBI!$A:$ADS,J$3,FALSE)</f>
        <v>#NUM!</v>
      </c>
      <c r="K66" s="291" t="e">
        <f ca="1">VLOOKUP($B66,KOMBI!$A:$ADS,K$3,FALSE)</f>
        <v>#NUM!</v>
      </c>
      <c r="L66" s="291" t="e">
        <f ca="1">VLOOKUP($B66,KOMBI!$A:$ADS,L$3,FALSE)</f>
        <v>#NUM!</v>
      </c>
      <c r="M66" s="291" t="e">
        <f ca="1">VLOOKUP($B66,KOMBI!$A:$ADS,M$3,FALSE)</f>
        <v>#NUM!</v>
      </c>
      <c r="N66" s="291" t="e">
        <f ca="1">VLOOKUP($B66,KOMBI!$A:$ADS,N$3,FALSE)</f>
        <v>#NUM!</v>
      </c>
      <c r="O66" s="291" t="e">
        <f ca="1">VLOOKUP($B66,KOMBI!$A:$ADS,O$3,FALSE)</f>
        <v>#NUM!</v>
      </c>
      <c r="P66" s="291" t="e">
        <f ca="1">VLOOKUP($B66,KOMBI!$A:$ADS,P$3,FALSE)</f>
        <v>#NUM!</v>
      </c>
      <c r="Q66" s="292" t="e">
        <f t="array" aca="1" ref="Q66" ca="1">VLOOKUP($B66,KOMBI!$A:$ADS,MATCH(Tulem!Q$3,KOMBI!$A$1:$ADS$1,0),FALSE)</f>
        <v>#NUM!</v>
      </c>
      <c r="S66" s="332" t="e">
        <f t="array" aca="1" ref="S66" ca="1">VLOOKUP($B66,KOMBI!$A:$ADS,MATCH(Tulem!S$3,KOMBI!$A$1:$ADS$1,0),FALSE)</f>
        <v>#NUM!</v>
      </c>
      <c r="T66" s="293" t="e">
        <f ca="1">VLOOKUP($B66,KOMBI!$A:$ADS,T$3,FALSE)</f>
        <v>#NUM!</v>
      </c>
      <c r="U66" s="293" t="e">
        <f ca="1">VLOOKUP($B66,KOMBI!$A:$ADS,U$3,FALSE)</f>
        <v>#NUM!</v>
      </c>
      <c r="V66" s="293" t="e">
        <f ca="1">VLOOKUP($B66,KOMBI!$A:$ADS,V$3,FALSE)</f>
        <v>#NUM!</v>
      </c>
      <c r="W66" s="293"/>
      <c r="X66" s="293" t="e">
        <f ca="1">VLOOKUP($B66,KOMBI!$A:$ADS,X$3,FALSE)</f>
        <v>#NUM!</v>
      </c>
      <c r="Y66" s="293" t="e">
        <f ca="1">VLOOKUP($B66,KOMBI!$A:$ADS,Y$3,FALSE)</f>
        <v>#NUM!</v>
      </c>
      <c r="Z66" s="293" t="e">
        <f ca="1">VLOOKUP($B66,KOMBI!$A:$ADS,Z$3,FALSE)</f>
        <v>#NUM!</v>
      </c>
      <c r="AA66" s="294"/>
      <c r="AB66" s="293" t="e">
        <f ca="1">VLOOKUP($B66,KOMBI!$A:$ADS,AB$3,FALSE)</f>
        <v>#NUM!</v>
      </c>
      <c r="AC66" s="293" t="e">
        <f ca="1">VLOOKUP($B66,KOMBI!$A:$ADS,AC$3,FALSE)-AB66</f>
        <v>#NUM!</v>
      </c>
      <c r="AD66" s="293" t="e">
        <f ca="1">VLOOKUP($B66,KOMBI!$A:$ADS,AD$3,FALSE)</f>
        <v>#NUM!</v>
      </c>
      <c r="AE66" s="293" t="e">
        <f ca="1">VLOOKUP($B66,KOMBI!$A:$ADS,AE$3,FALSE)</f>
        <v>#NUM!</v>
      </c>
      <c r="AF66" s="293" t="e">
        <f ca="1">VLOOKUP($B66,KOMBI!$A:$ADS,AF$3,FALSE)-AE66</f>
        <v>#NUM!</v>
      </c>
      <c r="AG66" s="293" t="e">
        <f ca="1">VLOOKUP($B66,KOMBI!$A:$ADS,AG$3,FALSE)</f>
        <v>#NUM!</v>
      </c>
      <c r="AI66" s="293" t="e">
        <f t="array" aca="1" ref="AI66" ca="1">VLOOKUP($B66,KOMBI!$A:$ADS,MATCH(Tulem!AI$3,KOMBI!$A$1:$ADS$1,0),FALSE)</f>
        <v>#NUM!</v>
      </c>
      <c r="AJ66" s="293" t="e">
        <f t="array" aca="1" ref="AJ66" ca="1">VLOOKUP($B66,KOMBI!$A:$ADS,MATCH(Tulem!AJ$3,KOMBI!$A$1:$ADS$1,0),FALSE)</f>
        <v>#NUM!</v>
      </c>
      <c r="AK66" s="293" t="e">
        <f t="array" aca="1" ref="AK66" ca="1">VLOOKUP($B66,KOMBI!$A:$ADS,MATCH(Tulem!AK$3,KOMBI!$A$1:$ADS$1,0),FALSE)</f>
        <v>#NUM!</v>
      </c>
      <c r="AL66" s="293" t="e">
        <f t="array" aca="1" ref="AL66" ca="1">VLOOKUP($B66,KOMBI!$A:$ADS,MATCH(Tulem!AL$3,KOMBI!$A$1:$ADS$1,0),FALSE)</f>
        <v>#NUM!</v>
      </c>
      <c r="AM66" s="293" t="e">
        <f t="array" aca="1" ref="AM66" ca="1">VLOOKUP($B66,KOMBI!$A:$ADS,MATCH(Tulem!AM$3,KOMBI!$A$1:$ADS$1,0),FALSE)</f>
        <v>#NUM!</v>
      </c>
      <c r="AN66" s="293" t="e">
        <f t="array" aca="1" ref="AN66" ca="1">VLOOKUP($B66,KOMBI!$A:$ADS,MATCH(Tulem!AN$3,KOMBI!$A$1:$ADS$1,0),FALSE)</f>
        <v>#NUM!</v>
      </c>
      <c r="AO66" s="293" t="e">
        <f t="array" aca="1" ref="AO66" ca="1">VLOOKUP($B66,KOMBI!$A:$ADS,MATCH(Tulem!AO$3,KOMBI!$A$1:$ADS$1,0),FALSE)</f>
        <v>#NUM!</v>
      </c>
      <c r="AP66" s="293" t="e">
        <f t="array" aca="1" ref="AP66" ca="1">VLOOKUP($B66,KOMBI!$A:$ADS,MATCH(Tulem!AP$3,KOMBI!$A$1:$ADS$1,0),FALSE)</f>
        <v>#NUM!</v>
      </c>
      <c r="AQ66" s="293" t="e">
        <f t="array" aca="1" ref="AQ66" ca="1">VLOOKUP($B66,KOMBI!$A:$ADS,MATCH(Tulem!AQ$3,KOMBI!$A$1:$ADS$1,0),FALSE)</f>
        <v>#NUM!</v>
      </c>
      <c r="AR66" s="293" t="e">
        <f t="array" aca="1" ref="AR66" ca="1">VLOOKUP($B66,KOMBI!$A:$ADS,MATCH(Tulem!AR$3,KOMBI!$A$1:$ADS$1,0),FALSE)</f>
        <v>#NUM!</v>
      </c>
      <c r="AS66" s="293" t="e">
        <f t="array" aca="1" ref="AS66" ca="1">VLOOKUP($B66,KOMBI!$A:$ADS,MATCH(Tulem!AS$3,KOMBI!$A$1:$ADS$1,0),FALSE)</f>
        <v>#NUM!</v>
      </c>
      <c r="AT66" s="293" t="e">
        <f t="array" aca="1" ref="AT66" ca="1">VLOOKUP($B66,KOMBI!$A:$ADS,MATCH(Tulem!AT$3,KOMBI!$A$1:$ADS$1,0),FALSE)</f>
        <v>#NUM!</v>
      </c>
      <c r="AU66" s="293" t="e">
        <f t="array" aca="1" ref="AU66" ca="1">VLOOKUP($B66,KOMBI!$A:$ADS,MATCH(Tulem!AU$3,KOMBI!$A$1:$ADS$1,0),FALSE)</f>
        <v>#NUM!</v>
      </c>
      <c r="AV66" s="293" t="e">
        <f t="shared" ca="1" si="1"/>
        <v>#NUM!</v>
      </c>
      <c r="AW66" s="293" t="e">
        <f t="shared" ca="1" si="2"/>
        <v>#NUM!</v>
      </c>
      <c r="AX66" s="291" t="e">
        <f ca="1">VLOOKUP($B66,KOMBI!$A:$ACA,MATCH(AX$5,KOMBI!$10:$10,0),FALSE)</f>
        <v>#NUM!</v>
      </c>
      <c r="AY66" s="292" t="e">
        <f t="array" aca="1" ref="AY66" ca="1">VLOOKUP($B66,KOMBI!$A:$ADS,MATCH(Tulem!AY$3,KOMBI!$A$1:$ADS$1,0),FALSE)</f>
        <v>#NUM!</v>
      </c>
      <c r="AZ66" s="292" t="e">
        <f t="array" aca="1" ref="AZ66" ca="1">VLOOKUP($B66,KOMBI!$A:$ADS,MATCH(Tulem!AZ$3,KOMBI!$A$1:$ADS$1,0),FALSE)</f>
        <v>#NUM!</v>
      </c>
      <c r="BA66" s="292" t="e">
        <f t="array" aca="1" ref="BA66" ca="1">VLOOKUP($B66,KOMBI!$A:$ADS,MATCH(Tulem!BA$3,KOMBI!$A$1:$ADS$1,0),FALSE)</f>
        <v>#NUM!</v>
      </c>
      <c r="BB66" s="292" t="e">
        <f t="array" aca="1" ref="BB66" ca="1">VLOOKUP($B66,KOMBI!$A:$ADS,MATCH(Tulem!BB$3,KOMBI!$A$1:$ADS$1,0),FALSE)</f>
        <v>#NUM!</v>
      </c>
      <c r="BC66" s="292" t="e">
        <f t="array" aca="1" ref="BC66" ca="1">VLOOKUP($B66,KOMBI!$A:$ADS,MATCH(Tulem!BC$3,KOMBI!$A$1:$ADS$1,0),FALSE)</f>
        <v>#NUM!</v>
      </c>
      <c r="BD66" s="292" t="e">
        <f t="array" aca="1" ref="BD66" ca="1">VLOOKUP($B66,KOMBI!$A:$ADS,MATCH(Tulem!BD$3,KOMBI!$A$1:$ADS$1,0),FALSE)</f>
        <v>#NUM!</v>
      </c>
      <c r="BE66" s="292" t="e">
        <f t="array" aca="1" ref="BE66" ca="1">VLOOKUP($B66,KOMBI!$A:$ADS,MATCH(Tulem!BE$3,KOMBI!$A$1:$ADS$1,0),FALSE)</f>
        <v>#NUM!</v>
      </c>
      <c r="BF66" s="292" t="e">
        <f t="array" aca="1" ref="BF66" ca="1">VLOOKUP($B66,KOMBI!$A:$ADS,MATCH(Tulem!BF$3,KOMBI!$A$1:$ADS$1,0),FALSE)</f>
        <v>#NUM!</v>
      </c>
      <c r="BG66" s="292" t="e">
        <f t="array" aca="1" ref="BG66" ca="1">VLOOKUP($B66,KOMBI!$A:$ADS,MATCH(Tulem!BG$3,KOMBI!$A$1:$ADS$1,0),FALSE)</f>
        <v>#NUM!</v>
      </c>
      <c r="BH66" s="292" t="e">
        <f t="array" aca="1" ref="BH66" ca="1">VLOOKUP($B66,KOMBI!$A:$ADS,MATCH(Tulem!BH$3,KOMBI!$A$1:$ADS$1,0),FALSE)</f>
        <v>#NUM!</v>
      </c>
      <c r="BI66" s="292" t="e">
        <f t="array" aca="1" ref="BI66" ca="1">VLOOKUP($B66,KOMBI!$A:$ADS,MATCH(Tulem!BI$3,KOMBI!$A$1:$ADS$1,0),FALSE)</f>
        <v>#NUM!</v>
      </c>
      <c r="BJ66" s="292" t="e">
        <f t="array" aca="1" ref="BJ66" ca="1">VLOOKUP($B66,KOMBI!$A:$ADS,MATCH(Tulem!BJ$3,KOMBI!$A$1:$ADS$1,0),FALSE)</f>
        <v>#NUM!</v>
      </c>
      <c r="BK66" s="292" t="e">
        <f t="array" aca="1" ref="BK66" ca="1">VLOOKUP($B66,KOMBI!$A:$ADS,MATCH(Tulem!BK$3,KOMBI!$A$1:$ADS$1,0),FALSE)</f>
        <v>#NUM!</v>
      </c>
      <c r="BL66" s="292" t="e">
        <f t="array" aca="1" ref="BL66" ca="1">VLOOKUP($B66,KOMBI!$A:$ADS,MATCH(Tulem!BL$3,KOMBI!$A$1:$ADS$1,0),FALSE)</f>
        <v>#NUM!</v>
      </c>
      <c r="BM66" s="292" t="e">
        <f t="array" aca="1" ref="BM66" ca="1">VLOOKUP($B66,KOMBI!$A:$ADS,MATCH(Tulem!BM$3,KOMBI!$A$1:$ADS$1,0),FALSE)</f>
        <v>#NUM!</v>
      </c>
      <c r="BN66" s="292" t="e">
        <f t="array" aca="1" ref="BN66" ca="1">VLOOKUP($B66,KOMBI!$A:$ADS,MATCH(Tulem!BN$3,KOMBI!$A$1:$ADS$1,0),FALSE)</f>
        <v>#NUM!</v>
      </c>
      <c r="BO66" s="292" t="e">
        <f t="array" aca="1" ref="BO66" ca="1">VLOOKUP($B66,KOMBI!$A:$ADS,MATCH(Tulem!BO$3,KOMBI!$A$1:$ADS$1,0),FALSE)</f>
        <v>#NUM!</v>
      </c>
      <c r="BP66" s="291"/>
      <c r="BQ66" s="292" t="e">
        <f t="array" aca="1" ref="BQ66" ca="1">VLOOKUP($B66,KOMBI!$A:$ADS,MATCH(Tulem!BQ$3,KOMBI!$A$1:$ADS$1,0),FALSE)</f>
        <v>#NUM!</v>
      </c>
      <c r="BR66" s="292" t="e">
        <f t="array" aca="1" ref="BR66" ca="1">VLOOKUP($B66,KOMBI!$A:$ADS,MATCH(Tulem!BR$3,KOMBI!$A$1:$ADS$1,0),FALSE)</f>
        <v>#NUM!</v>
      </c>
      <c r="BS66" s="292" t="e">
        <f t="array" aca="1" ref="BS66" ca="1">VLOOKUP($B66,KOMBI!$A:$ADS,MATCH(Tulem!BS$3,KOMBI!$A$1:$ADS$1,0),FALSE)</f>
        <v>#NUM!</v>
      </c>
      <c r="BT66" s="292" t="e">
        <f t="array" aca="1" ref="BT66" ca="1">VLOOKUP($B66,KOMBI!$A:$ADS,MATCH(Tulem!BT$3,KOMBI!$A$1:$ADS$1,0),FALSE)</f>
        <v>#NUM!</v>
      </c>
      <c r="BU66" s="292" t="e">
        <f t="array" aca="1" ref="BU66" ca="1">VLOOKUP($B66,KOMBI!$A:$ADS,MATCH(Tulem!BU$3,KOMBI!$A$1:$ADS$1,0),FALSE)</f>
        <v>#NUM!</v>
      </c>
      <c r="BV66" s="291"/>
      <c r="BW66" s="292" t="e">
        <f t="array" aca="1" ref="BW66" ca="1">VLOOKUP($B66,KOMBI!$A:$ADS,MATCH(Tulem!BW$3,KOMBI!$A$1:$ADS$1,0),FALSE)</f>
        <v>#NUM!</v>
      </c>
      <c r="BX66" s="291"/>
      <c r="BY66" s="291"/>
      <c r="BZ66" s="292" t="e">
        <f t="array" aca="1" ref="BZ66" ca="1">VLOOKUP($B66,KOMBI!$A:$ADS,MATCH(Tulem!BZ$3,KOMBI!$A$1:$ADS$1,0),FALSE)</f>
        <v>#NUM!</v>
      </c>
      <c r="CA66" s="292" t="e">
        <f t="array" aca="1" ref="CA66" ca="1">VLOOKUP($B66,KOMBI!$A:$ADS,MATCH(Tulem!CA$3,KOMBI!$A$1:$ADS$1,0),FALSE)</f>
        <v>#NUM!</v>
      </c>
      <c r="CB66" s="292" t="e">
        <f t="array" aca="1" ref="CB66" ca="1">VLOOKUP($B66,KOMBI!$A:$ADS,MATCH(Tulem!CB$3,KOMBI!$A$1:$ADS$1,0),FALSE)</f>
        <v>#NUM!</v>
      </c>
      <c r="CC66" s="292" t="e">
        <f t="array" aca="1" ref="CC66" ca="1">VLOOKUP($B66,KOMBI!$A:$ADS,MATCH(Tulem!CC$3,KOMBI!$A$1:$ADS$1,0),FALSE)</f>
        <v>#NUM!</v>
      </c>
      <c r="CD66" s="292" t="e">
        <f t="array" aca="1" ref="CD66" ca="1">VLOOKUP($B66,KOMBI!$A:$ADS,MATCH(Tulem!CD$3,KOMBI!$A$1:$ADS$1,0),FALSE)</f>
        <v>#NUM!</v>
      </c>
      <c r="CF66" s="51" t="e">
        <f ca="1">VLOOKUP($B66,KOMBI!$A:$ACG,MATCH(CF$5,KOMBI!$10:$10,0),FALSE)</f>
        <v>#NUM!</v>
      </c>
    </row>
    <row r="67" spans="1:84" x14ac:dyDescent="0.2">
      <c r="A67" s="51">
        <v>62</v>
      </c>
      <c r="B67" s="51" t="e">
        <f ca="1">KOMBI!GI72</f>
        <v>#NUM!</v>
      </c>
      <c r="C67" s="51">
        <f t="shared" si="0"/>
        <v>62</v>
      </c>
      <c r="D67" s="290" t="e">
        <f ca="1">VLOOKUP(VLOOKUP($B67,KOMBI!$A:$H,3,FALSE),data!$I$27:$J$29,2,FALSE)</f>
        <v>#NUM!</v>
      </c>
      <c r="E67" s="290" t="e">
        <f ca="1">VLOOKUP(VLOOKUP($B67,KOMBI!$A:$H,2,FALSE),data!$I$21:$J$23,2,FALSE)</f>
        <v>#NUM!</v>
      </c>
      <c r="F67" s="290" t="e">
        <f ca="1">VLOOKUP(VLOOKUP($B67,KOMBI!$A:$H,5,FALSE),data!$I$39:$J$41,2,FALSE)</f>
        <v>#NUM!</v>
      </c>
      <c r="G67" s="290" t="e">
        <f ca="1">VLOOKUP(VLOOKUP($B67,KOMBI!$A:$H,4,FALSE),data!$I$32:$J$36,2,FALSE)</f>
        <v>#NUM!</v>
      </c>
      <c r="I67" s="51" t="e">
        <f ca="1">VLOOKUP($B67,KOMBI!$A:$Z,MATCH(I$5,KOMBI!$10:$10,0),FALSE)</f>
        <v>#NUM!</v>
      </c>
      <c r="J67" s="291" t="e">
        <f ca="1">VLOOKUP($B67,KOMBI!$A:$ADS,J$3,FALSE)</f>
        <v>#NUM!</v>
      </c>
      <c r="K67" s="291" t="e">
        <f ca="1">VLOOKUP($B67,KOMBI!$A:$ADS,K$3,FALSE)</f>
        <v>#NUM!</v>
      </c>
      <c r="L67" s="291" t="e">
        <f ca="1">VLOOKUP($B67,KOMBI!$A:$ADS,L$3,FALSE)</f>
        <v>#NUM!</v>
      </c>
      <c r="M67" s="291" t="e">
        <f ca="1">VLOOKUP($B67,KOMBI!$A:$ADS,M$3,FALSE)</f>
        <v>#NUM!</v>
      </c>
      <c r="N67" s="291" t="e">
        <f ca="1">VLOOKUP($B67,KOMBI!$A:$ADS,N$3,FALSE)</f>
        <v>#NUM!</v>
      </c>
      <c r="O67" s="291" t="e">
        <f ca="1">VLOOKUP($B67,KOMBI!$A:$ADS,O$3,FALSE)</f>
        <v>#NUM!</v>
      </c>
      <c r="P67" s="291" t="e">
        <f ca="1">VLOOKUP($B67,KOMBI!$A:$ADS,P$3,FALSE)</f>
        <v>#NUM!</v>
      </c>
      <c r="Q67" s="292" t="e">
        <f t="array" aca="1" ref="Q67" ca="1">VLOOKUP($B67,KOMBI!$A:$ADS,MATCH(Tulem!Q$3,KOMBI!$A$1:$ADS$1,0),FALSE)</f>
        <v>#NUM!</v>
      </c>
      <c r="S67" s="332" t="e">
        <f t="array" aca="1" ref="S67" ca="1">VLOOKUP($B67,KOMBI!$A:$ADS,MATCH(Tulem!S$3,KOMBI!$A$1:$ADS$1,0),FALSE)</f>
        <v>#NUM!</v>
      </c>
      <c r="T67" s="293" t="e">
        <f ca="1">VLOOKUP($B67,KOMBI!$A:$ADS,T$3,FALSE)</f>
        <v>#NUM!</v>
      </c>
      <c r="U67" s="293" t="e">
        <f ca="1">VLOOKUP($B67,KOMBI!$A:$ADS,U$3,FALSE)</f>
        <v>#NUM!</v>
      </c>
      <c r="V67" s="293" t="e">
        <f ca="1">VLOOKUP($B67,KOMBI!$A:$ADS,V$3,FALSE)</f>
        <v>#NUM!</v>
      </c>
      <c r="W67" s="293"/>
      <c r="X67" s="293" t="e">
        <f ca="1">VLOOKUP($B67,KOMBI!$A:$ADS,X$3,FALSE)</f>
        <v>#NUM!</v>
      </c>
      <c r="Y67" s="293" t="e">
        <f ca="1">VLOOKUP($B67,KOMBI!$A:$ADS,Y$3,FALSE)</f>
        <v>#NUM!</v>
      </c>
      <c r="Z67" s="293" t="e">
        <f ca="1">VLOOKUP($B67,KOMBI!$A:$ADS,Z$3,FALSE)</f>
        <v>#NUM!</v>
      </c>
      <c r="AA67" s="294"/>
      <c r="AB67" s="293" t="e">
        <f ca="1">VLOOKUP($B67,KOMBI!$A:$ADS,AB$3,FALSE)</f>
        <v>#NUM!</v>
      </c>
      <c r="AC67" s="293" t="e">
        <f ca="1">VLOOKUP($B67,KOMBI!$A:$ADS,AC$3,FALSE)-AB67</f>
        <v>#NUM!</v>
      </c>
      <c r="AD67" s="293" t="e">
        <f ca="1">VLOOKUP($B67,KOMBI!$A:$ADS,AD$3,FALSE)</f>
        <v>#NUM!</v>
      </c>
      <c r="AE67" s="293" t="e">
        <f ca="1">VLOOKUP($B67,KOMBI!$A:$ADS,AE$3,FALSE)</f>
        <v>#NUM!</v>
      </c>
      <c r="AF67" s="293" t="e">
        <f ca="1">VLOOKUP($B67,KOMBI!$A:$ADS,AF$3,FALSE)-AE67</f>
        <v>#NUM!</v>
      </c>
      <c r="AG67" s="293" t="e">
        <f ca="1">VLOOKUP($B67,KOMBI!$A:$ADS,AG$3,FALSE)</f>
        <v>#NUM!</v>
      </c>
      <c r="AI67" s="293" t="e">
        <f t="array" aca="1" ref="AI67" ca="1">VLOOKUP($B67,KOMBI!$A:$ADS,MATCH(Tulem!AI$3,KOMBI!$A$1:$ADS$1,0),FALSE)</f>
        <v>#NUM!</v>
      </c>
      <c r="AJ67" s="293" t="e">
        <f t="array" aca="1" ref="AJ67" ca="1">VLOOKUP($B67,KOMBI!$A:$ADS,MATCH(Tulem!AJ$3,KOMBI!$A$1:$ADS$1,0),FALSE)</f>
        <v>#NUM!</v>
      </c>
      <c r="AK67" s="293" t="e">
        <f t="array" aca="1" ref="AK67" ca="1">VLOOKUP($B67,KOMBI!$A:$ADS,MATCH(Tulem!AK$3,KOMBI!$A$1:$ADS$1,0),FALSE)</f>
        <v>#NUM!</v>
      </c>
      <c r="AL67" s="293" t="e">
        <f t="array" aca="1" ref="AL67" ca="1">VLOOKUP($B67,KOMBI!$A:$ADS,MATCH(Tulem!AL$3,KOMBI!$A$1:$ADS$1,0),FALSE)</f>
        <v>#NUM!</v>
      </c>
      <c r="AM67" s="293" t="e">
        <f t="array" aca="1" ref="AM67" ca="1">VLOOKUP($B67,KOMBI!$A:$ADS,MATCH(Tulem!AM$3,KOMBI!$A$1:$ADS$1,0),FALSE)</f>
        <v>#NUM!</v>
      </c>
      <c r="AN67" s="293" t="e">
        <f t="array" aca="1" ref="AN67" ca="1">VLOOKUP($B67,KOMBI!$A:$ADS,MATCH(Tulem!AN$3,KOMBI!$A$1:$ADS$1,0),FALSE)</f>
        <v>#NUM!</v>
      </c>
      <c r="AO67" s="293" t="e">
        <f t="array" aca="1" ref="AO67" ca="1">VLOOKUP($B67,KOMBI!$A:$ADS,MATCH(Tulem!AO$3,KOMBI!$A$1:$ADS$1,0),FALSE)</f>
        <v>#NUM!</v>
      </c>
      <c r="AP67" s="293" t="e">
        <f t="array" aca="1" ref="AP67" ca="1">VLOOKUP($B67,KOMBI!$A:$ADS,MATCH(Tulem!AP$3,KOMBI!$A$1:$ADS$1,0),FALSE)</f>
        <v>#NUM!</v>
      </c>
      <c r="AQ67" s="293" t="e">
        <f t="array" aca="1" ref="AQ67" ca="1">VLOOKUP($B67,KOMBI!$A:$ADS,MATCH(Tulem!AQ$3,KOMBI!$A$1:$ADS$1,0),FALSE)</f>
        <v>#NUM!</v>
      </c>
      <c r="AR67" s="293" t="e">
        <f t="array" aca="1" ref="AR67" ca="1">VLOOKUP($B67,KOMBI!$A:$ADS,MATCH(Tulem!AR$3,KOMBI!$A$1:$ADS$1,0),FALSE)</f>
        <v>#NUM!</v>
      </c>
      <c r="AS67" s="293" t="e">
        <f t="array" aca="1" ref="AS67" ca="1">VLOOKUP($B67,KOMBI!$A:$ADS,MATCH(Tulem!AS$3,KOMBI!$A$1:$ADS$1,0),FALSE)</f>
        <v>#NUM!</v>
      </c>
      <c r="AT67" s="293" t="e">
        <f t="array" aca="1" ref="AT67" ca="1">VLOOKUP($B67,KOMBI!$A:$ADS,MATCH(Tulem!AT$3,KOMBI!$A$1:$ADS$1,0),FALSE)</f>
        <v>#NUM!</v>
      </c>
      <c r="AU67" s="293" t="e">
        <f t="array" aca="1" ref="AU67" ca="1">VLOOKUP($B67,KOMBI!$A:$ADS,MATCH(Tulem!AU$3,KOMBI!$A$1:$ADS$1,0),FALSE)</f>
        <v>#NUM!</v>
      </c>
      <c r="AV67" s="293" t="e">
        <f t="shared" ca="1" si="1"/>
        <v>#NUM!</v>
      </c>
      <c r="AW67" s="293" t="e">
        <f t="shared" ca="1" si="2"/>
        <v>#NUM!</v>
      </c>
      <c r="AX67" s="291" t="e">
        <f ca="1">VLOOKUP($B67,KOMBI!$A:$ACA,MATCH(AX$5,KOMBI!$10:$10,0),FALSE)</f>
        <v>#NUM!</v>
      </c>
      <c r="AY67" s="292" t="e">
        <f t="array" aca="1" ref="AY67" ca="1">VLOOKUP($B67,KOMBI!$A:$ADS,MATCH(Tulem!AY$3,KOMBI!$A$1:$ADS$1,0),FALSE)</f>
        <v>#NUM!</v>
      </c>
      <c r="AZ67" s="292" t="e">
        <f t="array" aca="1" ref="AZ67" ca="1">VLOOKUP($B67,KOMBI!$A:$ADS,MATCH(Tulem!AZ$3,KOMBI!$A$1:$ADS$1,0),FALSE)</f>
        <v>#NUM!</v>
      </c>
      <c r="BA67" s="292" t="e">
        <f t="array" aca="1" ref="BA67" ca="1">VLOOKUP($B67,KOMBI!$A:$ADS,MATCH(Tulem!BA$3,KOMBI!$A$1:$ADS$1,0),FALSE)</f>
        <v>#NUM!</v>
      </c>
      <c r="BB67" s="292" t="e">
        <f t="array" aca="1" ref="BB67" ca="1">VLOOKUP($B67,KOMBI!$A:$ADS,MATCH(Tulem!BB$3,KOMBI!$A$1:$ADS$1,0),FALSE)</f>
        <v>#NUM!</v>
      </c>
      <c r="BC67" s="292" t="e">
        <f t="array" aca="1" ref="BC67" ca="1">VLOOKUP($B67,KOMBI!$A:$ADS,MATCH(Tulem!BC$3,KOMBI!$A$1:$ADS$1,0),FALSE)</f>
        <v>#NUM!</v>
      </c>
      <c r="BD67" s="292" t="e">
        <f t="array" aca="1" ref="BD67" ca="1">VLOOKUP($B67,KOMBI!$A:$ADS,MATCH(Tulem!BD$3,KOMBI!$A$1:$ADS$1,0),FALSE)</f>
        <v>#NUM!</v>
      </c>
      <c r="BE67" s="292" t="e">
        <f t="array" aca="1" ref="BE67" ca="1">VLOOKUP($B67,KOMBI!$A:$ADS,MATCH(Tulem!BE$3,KOMBI!$A$1:$ADS$1,0),FALSE)</f>
        <v>#NUM!</v>
      </c>
      <c r="BF67" s="292" t="e">
        <f t="array" aca="1" ref="BF67" ca="1">VLOOKUP($B67,KOMBI!$A:$ADS,MATCH(Tulem!BF$3,KOMBI!$A$1:$ADS$1,0),FALSE)</f>
        <v>#NUM!</v>
      </c>
      <c r="BG67" s="292" t="e">
        <f t="array" aca="1" ref="BG67" ca="1">VLOOKUP($B67,KOMBI!$A:$ADS,MATCH(Tulem!BG$3,KOMBI!$A$1:$ADS$1,0),FALSE)</f>
        <v>#NUM!</v>
      </c>
      <c r="BH67" s="292" t="e">
        <f t="array" aca="1" ref="BH67" ca="1">VLOOKUP($B67,KOMBI!$A:$ADS,MATCH(Tulem!BH$3,KOMBI!$A$1:$ADS$1,0),FALSE)</f>
        <v>#NUM!</v>
      </c>
      <c r="BI67" s="292" t="e">
        <f t="array" aca="1" ref="BI67" ca="1">VLOOKUP($B67,KOMBI!$A:$ADS,MATCH(Tulem!BI$3,KOMBI!$A$1:$ADS$1,0),FALSE)</f>
        <v>#NUM!</v>
      </c>
      <c r="BJ67" s="292" t="e">
        <f t="array" aca="1" ref="BJ67" ca="1">VLOOKUP($B67,KOMBI!$A:$ADS,MATCH(Tulem!BJ$3,KOMBI!$A$1:$ADS$1,0),FALSE)</f>
        <v>#NUM!</v>
      </c>
      <c r="BK67" s="292" t="e">
        <f t="array" aca="1" ref="BK67" ca="1">VLOOKUP($B67,KOMBI!$A:$ADS,MATCH(Tulem!BK$3,KOMBI!$A$1:$ADS$1,0),FALSE)</f>
        <v>#NUM!</v>
      </c>
      <c r="BL67" s="292" t="e">
        <f t="array" aca="1" ref="BL67" ca="1">VLOOKUP($B67,KOMBI!$A:$ADS,MATCH(Tulem!BL$3,KOMBI!$A$1:$ADS$1,0),FALSE)</f>
        <v>#NUM!</v>
      </c>
      <c r="BM67" s="292" t="e">
        <f t="array" aca="1" ref="BM67" ca="1">VLOOKUP($B67,KOMBI!$A:$ADS,MATCH(Tulem!BM$3,KOMBI!$A$1:$ADS$1,0),FALSE)</f>
        <v>#NUM!</v>
      </c>
      <c r="BN67" s="292" t="e">
        <f t="array" aca="1" ref="BN67" ca="1">VLOOKUP($B67,KOMBI!$A:$ADS,MATCH(Tulem!BN$3,KOMBI!$A$1:$ADS$1,0),FALSE)</f>
        <v>#NUM!</v>
      </c>
      <c r="BO67" s="292" t="e">
        <f t="array" aca="1" ref="BO67" ca="1">VLOOKUP($B67,KOMBI!$A:$ADS,MATCH(Tulem!BO$3,KOMBI!$A$1:$ADS$1,0),FALSE)</f>
        <v>#NUM!</v>
      </c>
      <c r="BP67" s="291"/>
      <c r="BQ67" s="292" t="e">
        <f t="array" aca="1" ref="BQ67" ca="1">VLOOKUP($B67,KOMBI!$A:$ADS,MATCH(Tulem!BQ$3,KOMBI!$A$1:$ADS$1,0),FALSE)</f>
        <v>#NUM!</v>
      </c>
      <c r="BR67" s="292" t="e">
        <f t="array" aca="1" ref="BR67" ca="1">VLOOKUP($B67,KOMBI!$A:$ADS,MATCH(Tulem!BR$3,KOMBI!$A$1:$ADS$1,0),FALSE)</f>
        <v>#NUM!</v>
      </c>
      <c r="BS67" s="292" t="e">
        <f t="array" aca="1" ref="BS67" ca="1">VLOOKUP($B67,KOMBI!$A:$ADS,MATCH(Tulem!BS$3,KOMBI!$A$1:$ADS$1,0),FALSE)</f>
        <v>#NUM!</v>
      </c>
      <c r="BT67" s="292" t="e">
        <f t="array" aca="1" ref="BT67" ca="1">VLOOKUP($B67,KOMBI!$A:$ADS,MATCH(Tulem!BT$3,KOMBI!$A$1:$ADS$1,0),FALSE)</f>
        <v>#NUM!</v>
      </c>
      <c r="BU67" s="292" t="e">
        <f t="array" aca="1" ref="BU67" ca="1">VLOOKUP($B67,KOMBI!$A:$ADS,MATCH(Tulem!BU$3,KOMBI!$A$1:$ADS$1,0),FALSE)</f>
        <v>#NUM!</v>
      </c>
      <c r="BV67" s="291"/>
      <c r="BW67" s="292" t="e">
        <f t="array" aca="1" ref="BW67" ca="1">VLOOKUP($B67,KOMBI!$A:$ADS,MATCH(Tulem!BW$3,KOMBI!$A$1:$ADS$1,0),FALSE)</f>
        <v>#NUM!</v>
      </c>
      <c r="BX67" s="291"/>
      <c r="BY67" s="291"/>
      <c r="BZ67" s="292" t="e">
        <f t="array" aca="1" ref="BZ67" ca="1">VLOOKUP($B67,KOMBI!$A:$ADS,MATCH(Tulem!BZ$3,KOMBI!$A$1:$ADS$1,0),FALSE)</f>
        <v>#NUM!</v>
      </c>
      <c r="CA67" s="292" t="e">
        <f t="array" aca="1" ref="CA67" ca="1">VLOOKUP($B67,KOMBI!$A:$ADS,MATCH(Tulem!CA$3,KOMBI!$A$1:$ADS$1,0),FALSE)</f>
        <v>#NUM!</v>
      </c>
      <c r="CB67" s="292" t="e">
        <f t="array" aca="1" ref="CB67" ca="1">VLOOKUP($B67,KOMBI!$A:$ADS,MATCH(Tulem!CB$3,KOMBI!$A$1:$ADS$1,0),FALSE)</f>
        <v>#NUM!</v>
      </c>
      <c r="CC67" s="292" t="e">
        <f t="array" aca="1" ref="CC67" ca="1">VLOOKUP($B67,KOMBI!$A:$ADS,MATCH(Tulem!CC$3,KOMBI!$A$1:$ADS$1,0),FALSE)</f>
        <v>#NUM!</v>
      </c>
      <c r="CD67" s="292" t="e">
        <f t="array" aca="1" ref="CD67" ca="1">VLOOKUP($B67,KOMBI!$A:$ADS,MATCH(Tulem!CD$3,KOMBI!$A$1:$ADS$1,0),FALSE)</f>
        <v>#NUM!</v>
      </c>
      <c r="CF67" s="51" t="e">
        <f ca="1">VLOOKUP($B67,KOMBI!$A:$ACG,MATCH(CF$5,KOMBI!$10:$10,0),FALSE)</f>
        <v>#NUM!</v>
      </c>
    </row>
    <row r="68" spans="1:84" x14ac:dyDescent="0.2">
      <c r="A68" s="51">
        <v>63</v>
      </c>
      <c r="B68" s="51" t="e">
        <f ca="1">KOMBI!GI73</f>
        <v>#NUM!</v>
      </c>
      <c r="C68" s="51">
        <f t="shared" si="0"/>
        <v>63</v>
      </c>
      <c r="D68" s="290" t="e">
        <f ca="1">VLOOKUP(VLOOKUP($B68,KOMBI!$A:$H,3,FALSE),data!$I$27:$J$29,2,FALSE)</f>
        <v>#NUM!</v>
      </c>
      <c r="E68" s="290" t="e">
        <f ca="1">VLOOKUP(VLOOKUP($B68,KOMBI!$A:$H,2,FALSE),data!$I$21:$J$23,2,FALSE)</f>
        <v>#NUM!</v>
      </c>
      <c r="F68" s="290" t="e">
        <f ca="1">VLOOKUP(VLOOKUP($B68,KOMBI!$A:$H,5,FALSE),data!$I$39:$J$41,2,FALSE)</f>
        <v>#NUM!</v>
      </c>
      <c r="G68" s="290" t="e">
        <f ca="1">VLOOKUP(VLOOKUP($B68,KOMBI!$A:$H,4,FALSE),data!$I$32:$J$36,2,FALSE)</f>
        <v>#NUM!</v>
      </c>
      <c r="I68" s="51" t="e">
        <f ca="1">VLOOKUP($B68,KOMBI!$A:$Z,MATCH(I$5,KOMBI!$10:$10,0),FALSE)</f>
        <v>#NUM!</v>
      </c>
      <c r="J68" s="291" t="e">
        <f ca="1">VLOOKUP($B68,KOMBI!$A:$ADS,J$3,FALSE)</f>
        <v>#NUM!</v>
      </c>
      <c r="K68" s="291" t="e">
        <f ca="1">VLOOKUP($B68,KOMBI!$A:$ADS,K$3,FALSE)</f>
        <v>#NUM!</v>
      </c>
      <c r="L68" s="291" t="e">
        <f ca="1">VLOOKUP($B68,KOMBI!$A:$ADS,L$3,FALSE)</f>
        <v>#NUM!</v>
      </c>
      <c r="M68" s="291" t="e">
        <f ca="1">VLOOKUP($B68,KOMBI!$A:$ADS,M$3,FALSE)</f>
        <v>#NUM!</v>
      </c>
      <c r="N68" s="291" t="e">
        <f ca="1">VLOOKUP($B68,KOMBI!$A:$ADS,N$3,FALSE)</f>
        <v>#NUM!</v>
      </c>
      <c r="O68" s="291" t="e">
        <f ca="1">VLOOKUP($B68,KOMBI!$A:$ADS,O$3,FALSE)</f>
        <v>#NUM!</v>
      </c>
      <c r="P68" s="291" t="e">
        <f ca="1">VLOOKUP($B68,KOMBI!$A:$ADS,P$3,FALSE)</f>
        <v>#NUM!</v>
      </c>
      <c r="Q68" s="292" t="e">
        <f t="array" aca="1" ref="Q68" ca="1">VLOOKUP($B68,KOMBI!$A:$ADS,MATCH(Tulem!Q$3,KOMBI!$A$1:$ADS$1,0),FALSE)</f>
        <v>#NUM!</v>
      </c>
      <c r="S68" s="332" t="e">
        <f t="array" aca="1" ref="S68" ca="1">VLOOKUP($B68,KOMBI!$A:$ADS,MATCH(Tulem!S$3,KOMBI!$A$1:$ADS$1,0),FALSE)</f>
        <v>#NUM!</v>
      </c>
      <c r="T68" s="293" t="e">
        <f ca="1">VLOOKUP($B68,KOMBI!$A:$ADS,T$3,FALSE)</f>
        <v>#NUM!</v>
      </c>
      <c r="U68" s="293" t="e">
        <f ca="1">VLOOKUP($B68,KOMBI!$A:$ADS,U$3,FALSE)</f>
        <v>#NUM!</v>
      </c>
      <c r="V68" s="293" t="e">
        <f ca="1">VLOOKUP($B68,KOMBI!$A:$ADS,V$3,FALSE)</f>
        <v>#NUM!</v>
      </c>
      <c r="W68" s="293"/>
      <c r="X68" s="293" t="e">
        <f ca="1">VLOOKUP($B68,KOMBI!$A:$ADS,X$3,FALSE)</f>
        <v>#NUM!</v>
      </c>
      <c r="Y68" s="293" t="e">
        <f ca="1">VLOOKUP($B68,KOMBI!$A:$ADS,Y$3,FALSE)</f>
        <v>#NUM!</v>
      </c>
      <c r="Z68" s="293" t="e">
        <f ca="1">VLOOKUP($B68,KOMBI!$A:$ADS,Z$3,FALSE)</f>
        <v>#NUM!</v>
      </c>
      <c r="AA68" s="294"/>
      <c r="AB68" s="293" t="e">
        <f ca="1">VLOOKUP($B68,KOMBI!$A:$ADS,AB$3,FALSE)</f>
        <v>#NUM!</v>
      </c>
      <c r="AC68" s="293" t="e">
        <f ca="1">VLOOKUP($B68,KOMBI!$A:$ADS,AC$3,FALSE)-AB68</f>
        <v>#NUM!</v>
      </c>
      <c r="AD68" s="293" t="e">
        <f ca="1">VLOOKUP($B68,KOMBI!$A:$ADS,AD$3,FALSE)</f>
        <v>#NUM!</v>
      </c>
      <c r="AE68" s="293" t="e">
        <f ca="1">VLOOKUP($B68,KOMBI!$A:$ADS,AE$3,FALSE)</f>
        <v>#NUM!</v>
      </c>
      <c r="AF68" s="293" t="e">
        <f ca="1">VLOOKUP($B68,KOMBI!$A:$ADS,AF$3,FALSE)-AE68</f>
        <v>#NUM!</v>
      </c>
      <c r="AG68" s="293" t="e">
        <f ca="1">VLOOKUP($B68,KOMBI!$A:$ADS,AG$3,FALSE)</f>
        <v>#NUM!</v>
      </c>
      <c r="AI68" s="293" t="e">
        <f t="array" aca="1" ref="AI68" ca="1">VLOOKUP($B68,KOMBI!$A:$ADS,MATCH(Tulem!AI$3,KOMBI!$A$1:$ADS$1,0),FALSE)</f>
        <v>#NUM!</v>
      </c>
      <c r="AJ68" s="293" t="e">
        <f t="array" aca="1" ref="AJ68" ca="1">VLOOKUP($B68,KOMBI!$A:$ADS,MATCH(Tulem!AJ$3,KOMBI!$A$1:$ADS$1,0),FALSE)</f>
        <v>#NUM!</v>
      </c>
      <c r="AK68" s="293" t="e">
        <f t="array" aca="1" ref="AK68" ca="1">VLOOKUP($B68,KOMBI!$A:$ADS,MATCH(Tulem!AK$3,KOMBI!$A$1:$ADS$1,0),FALSE)</f>
        <v>#NUM!</v>
      </c>
      <c r="AL68" s="293" t="e">
        <f t="array" aca="1" ref="AL68" ca="1">VLOOKUP($B68,KOMBI!$A:$ADS,MATCH(Tulem!AL$3,KOMBI!$A$1:$ADS$1,0),FALSE)</f>
        <v>#NUM!</v>
      </c>
      <c r="AM68" s="293" t="e">
        <f t="array" aca="1" ref="AM68" ca="1">VLOOKUP($B68,KOMBI!$A:$ADS,MATCH(Tulem!AM$3,KOMBI!$A$1:$ADS$1,0),FALSE)</f>
        <v>#NUM!</v>
      </c>
      <c r="AN68" s="293" t="e">
        <f t="array" aca="1" ref="AN68" ca="1">VLOOKUP($B68,KOMBI!$A:$ADS,MATCH(Tulem!AN$3,KOMBI!$A$1:$ADS$1,0),FALSE)</f>
        <v>#NUM!</v>
      </c>
      <c r="AO68" s="293" t="e">
        <f t="array" aca="1" ref="AO68" ca="1">VLOOKUP($B68,KOMBI!$A:$ADS,MATCH(Tulem!AO$3,KOMBI!$A$1:$ADS$1,0),FALSE)</f>
        <v>#NUM!</v>
      </c>
      <c r="AP68" s="293" t="e">
        <f t="array" aca="1" ref="AP68" ca="1">VLOOKUP($B68,KOMBI!$A:$ADS,MATCH(Tulem!AP$3,KOMBI!$A$1:$ADS$1,0),FALSE)</f>
        <v>#NUM!</v>
      </c>
      <c r="AQ68" s="293" t="e">
        <f t="array" aca="1" ref="AQ68" ca="1">VLOOKUP($B68,KOMBI!$A:$ADS,MATCH(Tulem!AQ$3,KOMBI!$A$1:$ADS$1,0),FALSE)</f>
        <v>#NUM!</v>
      </c>
      <c r="AR68" s="293" t="e">
        <f t="array" aca="1" ref="AR68" ca="1">VLOOKUP($B68,KOMBI!$A:$ADS,MATCH(Tulem!AR$3,KOMBI!$A$1:$ADS$1,0),FALSE)</f>
        <v>#NUM!</v>
      </c>
      <c r="AS68" s="293" t="e">
        <f t="array" aca="1" ref="AS68" ca="1">VLOOKUP($B68,KOMBI!$A:$ADS,MATCH(Tulem!AS$3,KOMBI!$A$1:$ADS$1,0),FALSE)</f>
        <v>#NUM!</v>
      </c>
      <c r="AT68" s="293" t="e">
        <f t="array" aca="1" ref="AT68" ca="1">VLOOKUP($B68,KOMBI!$A:$ADS,MATCH(Tulem!AT$3,KOMBI!$A$1:$ADS$1,0),FALSE)</f>
        <v>#NUM!</v>
      </c>
      <c r="AU68" s="293" t="e">
        <f t="array" aca="1" ref="AU68" ca="1">VLOOKUP($B68,KOMBI!$A:$ADS,MATCH(Tulem!AU$3,KOMBI!$A$1:$ADS$1,0),FALSE)</f>
        <v>#NUM!</v>
      </c>
      <c r="AV68" s="293" t="e">
        <f t="shared" ca="1" si="1"/>
        <v>#NUM!</v>
      </c>
      <c r="AW68" s="293" t="e">
        <f t="shared" ca="1" si="2"/>
        <v>#NUM!</v>
      </c>
      <c r="AX68" s="291" t="e">
        <f ca="1">VLOOKUP($B68,KOMBI!$A:$ACA,MATCH(AX$5,KOMBI!$10:$10,0),FALSE)</f>
        <v>#NUM!</v>
      </c>
      <c r="AY68" s="292" t="e">
        <f t="array" aca="1" ref="AY68" ca="1">VLOOKUP($B68,KOMBI!$A:$ADS,MATCH(Tulem!AY$3,KOMBI!$A$1:$ADS$1,0),FALSE)</f>
        <v>#NUM!</v>
      </c>
      <c r="AZ68" s="292" t="e">
        <f t="array" aca="1" ref="AZ68" ca="1">VLOOKUP($B68,KOMBI!$A:$ADS,MATCH(Tulem!AZ$3,KOMBI!$A$1:$ADS$1,0),FALSE)</f>
        <v>#NUM!</v>
      </c>
      <c r="BA68" s="292" t="e">
        <f t="array" aca="1" ref="BA68" ca="1">VLOOKUP($B68,KOMBI!$A:$ADS,MATCH(Tulem!BA$3,KOMBI!$A$1:$ADS$1,0),FALSE)</f>
        <v>#NUM!</v>
      </c>
      <c r="BB68" s="292" t="e">
        <f t="array" aca="1" ref="BB68" ca="1">VLOOKUP($B68,KOMBI!$A:$ADS,MATCH(Tulem!BB$3,KOMBI!$A$1:$ADS$1,0),FALSE)</f>
        <v>#NUM!</v>
      </c>
      <c r="BC68" s="292" t="e">
        <f t="array" aca="1" ref="BC68" ca="1">VLOOKUP($B68,KOMBI!$A:$ADS,MATCH(Tulem!BC$3,KOMBI!$A$1:$ADS$1,0),FALSE)</f>
        <v>#NUM!</v>
      </c>
      <c r="BD68" s="292" t="e">
        <f t="array" aca="1" ref="BD68" ca="1">VLOOKUP($B68,KOMBI!$A:$ADS,MATCH(Tulem!BD$3,KOMBI!$A$1:$ADS$1,0),FALSE)</f>
        <v>#NUM!</v>
      </c>
      <c r="BE68" s="292" t="e">
        <f t="array" aca="1" ref="BE68" ca="1">VLOOKUP($B68,KOMBI!$A:$ADS,MATCH(Tulem!BE$3,KOMBI!$A$1:$ADS$1,0),FALSE)</f>
        <v>#NUM!</v>
      </c>
      <c r="BF68" s="292" t="e">
        <f t="array" aca="1" ref="BF68" ca="1">VLOOKUP($B68,KOMBI!$A:$ADS,MATCH(Tulem!BF$3,KOMBI!$A$1:$ADS$1,0),FALSE)</f>
        <v>#NUM!</v>
      </c>
      <c r="BG68" s="292" t="e">
        <f t="array" aca="1" ref="BG68" ca="1">VLOOKUP($B68,KOMBI!$A:$ADS,MATCH(Tulem!BG$3,KOMBI!$A$1:$ADS$1,0),FALSE)</f>
        <v>#NUM!</v>
      </c>
      <c r="BH68" s="292" t="e">
        <f t="array" aca="1" ref="BH68" ca="1">VLOOKUP($B68,KOMBI!$A:$ADS,MATCH(Tulem!BH$3,KOMBI!$A$1:$ADS$1,0),FALSE)</f>
        <v>#NUM!</v>
      </c>
      <c r="BI68" s="292" t="e">
        <f t="array" aca="1" ref="BI68" ca="1">VLOOKUP($B68,KOMBI!$A:$ADS,MATCH(Tulem!BI$3,KOMBI!$A$1:$ADS$1,0),FALSE)</f>
        <v>#NUM!</v>
      </c>
      <c r="BJ68" s="292" t="e">
        <f t="array" aca="1" ref="BJ68" ca="1">VLOOKUP($B68,KOMBI!$A:$ADS,MATCH(Tulem!BJ$3,KOMBI!$A$1:$ADS$1,0),FALSE)</f>
        <v>#NUM!</v>
      </c>
      <c r="BK68" s="292" t="e">
        <f t="array" aca="1" ref="BK68" ca="1">VLOOKUP($B68,KOMBI!$A:$ADS,MATCH(Tulem!BK$3,KOMBI!$A$1:$ADS$1,0),FALSE)</f>
        <v>#NUM!</v>
      </c>
      <c r="BL68" s="292" t="e">
        <f t="array" aca="1" ref="BL68" ca="1">VLOOKUP($B68,KOMBI!$A:$ADS,MATCH(Tulem!BL$3,KOMBI!$A$1:$ADS$1,0),FALSE)</f>
        <v>#NUM!</v>
      </c>
      <c r="BM68" s="292" t="e">
        <f t="array" aca="1" ref="BM68" ca="1">VLOOKUP($B68,KOMBI!$A:$ADS,MATCH(Tulem!BM$3,KOMBI!$A$1:$ADS$1,0),FALSE)</f>
        <v>#NUM!</v>
      </c>
      <c r="BN68" s="292" t="e">
        <f t="array" aca="1" ref="BN68" ca="1">VLOOKUP($B68,KOMBI!$A:$ADS,MATCH(Tulem!BN$3,KOMBI!$A$1:$ADS$1,0),FALSE)</f>
        <v>#NUM!</v>
      </c>
      <c r="BO68" s="292" t="e">
        <f t="array" aca="1" ref="BO68" ca="1">VLOOKUP($B68,KOMBI!$A:$ADS,MATCH(Tulem!BO$3,KOMBI!$A$1:$ADS$1,0),FALSE)</f>
        <v>#NUM!</v>
      </c>
      <c r="BP68" s="291"/>
      <c r="BQ68" s="292" t="e">
        <f t="array" aca="1" ref="BQ68" ca="1">VLOOKUP($B68,KOMBI!$A:$ADS,MATCH(Tulem!BQ$3,KOMBI!$A$1:$ADS$1,0),FALSE)</f>
        <v>#NUM!</v>
      </c>
      <c r="BR68" s="292" t="e">
        <f t="array" aca="1" ref="BR68" ca="1">VLOOKUP($B68,KOMBI!$A:$ADS,MATCH(Tulem!BR$3,KOMBI!$A$1:$ADS$1,0),FALSE)</f>
        <v>#NUM!</v>
      </c>
      <c r="BS68" s="292" t="e">
        <f t="array" aca="1" ref="BS68" ca="1">VLOOKUP($B68,KOMBI!$A:$ADS,MATCH(Tulem!BS$3,KOMBI!$A$1:$ADS$1,0),FALSE)</f>
        <v>#NUM!</v>
      </c>
      <c r="BT68" s="292" t="e">
        <f t="array" aca="1" ref="BT68" ca="1">VLOOKUP($B68,KOMBI!$A:$ADS,MATCH(Tulem!BT$3,KOMBI!$A$1:$ADS$1,0),FALSE)</f>
        <v>#NUM!</v>
      </c>
      <c r="BU68" s="292" t="e">
        <f t="array" aca="1" ref="BU68" ca="1">VLOOKUP($B68,KOMBI!$A:$ADS,MATCH(Tulem!BU$3,KOMBI!$A$1:$ADS$1,0),FALSE)</f>
        <v>#NUM!</v>
      </c>
      <c r="BV68" s="291"/>
      <c r="BW68" s="292" t="e">
        <f t="array" aca="1" ref="BW68" ca="1">VLOOKUP($B68,KOMBI!$A:$ADS,MATCH(Tulem!BW$3,KOMBI!$A$1:$ADS$1,0),FALSE)</f>
        <v>#NUM!</v>
      </c>
      <c r="BX68" s="291"/>
      <c r="BY68" s="291"/>
      <c r="BZ68" s="292" t="e">
        <f t="array" aca="1" ref="BZ68" ca="1">VLOOKUP($B68,KOMBI!$A:$ADS,MATCH(Tulem!BZ$3,KOMBI!$A$1:$ADS$1,0),FALSE)</f>
        <v>#NUM!</v>
      </c>
      <c r="CA68" s="292" t="e">
        <f t="array" aca="1" ref="CA68" ca="1">VLOOKUP($B68,KOMBI!$A:$ADS,MATCH(Tulem!CA$3,KOMBI!$A$1:$ADS$1,0),FALSE)</f>
        <v>#NUM!</v>
      </c>
      <c r="CB68" s="292" t="e">
        <f t="array" aca="1" ref="CB68" ca="1">VLOOKUP($B68,KOMBI!$A:$ADS,MATCH(Tulem!CB$3,KOMBI!$A$1:$ADS$1,0),FALSE)</f>
        <v>#NUM!</v>
      </c>
      <c r="CC68" s="292" t="e">
        <f t="array" aca="1" ref="CC68" ca="1">VLOOKUP($B68,KOMBI!$A:$ADS,MATCH(Tulem!CC$3,KOMBI!$A$1:$ADS$1,0),FALSE)</f>
        <v>#NUM!</v>
      </c>
      <c r="CD68" s="292" t="e">
        <f t="array" aca="1" ref="CD68" ca="1">VLOOKUP($B68,KOMBI!$A:$ADS,MATCH(Tulem!CD$3,KOMBI!$A$1:$ADS$1,0),FALSE)</f>
        <v>#NUM!</v>
      </c>
      <c r="CF68" s="51" t="e">
        <f ca="1">VLOOKUP($B68,KOMBI!$A:$ACG,MATCH(CF$5,KOMBI!$10:$10,0),FALSE)</f>
        <v>#NUM!</v>
      </c>
    </row>
    <row r="69" spans="1:84" x14ac:dyDescent="0.2">
      <c r="A69" s="51">
        <v>64</v>
      </c>
      <c r="B69" s="51" t="e">
        <f ca="1">KOMBI!GI74</f>
        <v>#NUM!</v>
      </c>
      <c r="C69" s="51">
        <f t="shared" si="0"/>
        <v>64</v>
      </c>
      <c r="D69" s="290" t="e">
        <f ca="1">VLOOKUP(VLOOKUP($B69,KOMBI!$A:$H,3,FALSE),data!$I$27:$J$29,2,FALSE)</f>
        <v>#NUM!</v>
      </c>
      <c r="E69" s="290" t="e">
        <f ca="1">VLOOKUP(VLOOKUP($B69,KOMBI!$A:$H,2,FALSE),data!$I$21:$J$23,2,FALSE)</f>
        <v>#NUM!</v>
      </c>
      <c r="F69" s="290" t="e">
        <f ca="1">VLOOKUP(VLOOKUP($B69,KOMBI!$A:$H,5,FALSE),data!$I$39:$J$41,2,FALSE)</f>
        <v>#NUM!</v>
      </c>
      <c r="G69" s="290" t="e">
        <f ca="1">VLOOKUP(VLOOKUP($B69,KOMBI!$A:$H,4,FALSE),data!$I$32:$J$36,2,FALSE)</f>
        <v>#NUM!</v>
      </c>
      <c r="I69" s="51" t="e">
        <f ca="1">VLOOKUP($B69,KOMBI!$A:$Z,MATCH(I$5,KOMBI!$10:$10,0),FALSE)</f>
        <v>#NUM!</v>
      </c>
      <c r="J69" s="291" t="e">
        <f ca="1">VLOOKUP($B69,KOMBI!$A:$ADS,J$3,FALSE)</f>
        <v>#NUM!</v>
      </c>
      <c r="K69" s="291" t="e">
        <f ca="1">VLOOKUP($B69,KOMBI!$A:$ADS,K$3,FALSE)</f>
        <v>#NUM!</v>
      </c>
      <c r="L69" s="291" t="e">
        <f ca="1">VLOOKUP($B69,KOMBI!$A:$ADS,L$3,FALSE)</f>
        <v>#NUM!</v>
      </c>
      <c r="M69" s="291" t="e">
        <f ca="1">VLOOKUP($B69,KOMBI!$A:$ADS,M$3,FALSE)</f>
        <v>#NUM!</v>
      </c>
      <c r="N69" s="291" t="e">
        <f ca="1">VLOOKUP($B69,KOMBI!$A:$ADS,N$3,FALSE)</f>
        <v>#NUM!</v>
      </c>
      <c r="O69" s="291" t="e">
        <f ca="1">VLOOKUP($B69,KOMBI!$A:$ADS,O$3,FALSE)</f>
        <v>#NUM!</v>
      </c>
      <c r="P69" s="291" t="e">
        <f ca="1">VLOOKUP($B69,KOMBI!$A:$ADS,P$3,FALSE)</f>
        <v>#NUM!</v>
      </c>
      <c r="Q69" s="292" t="e">
        <f t="array" aca="1" ref="Q69" ca="1">VLOOKUP($B69,KOMBI!$A:$ADS,MATCH(Tulem!Q$3,KOMBI!$A$1:$ADS$1,0),FALSE)</f>
        <v>#NUM!</v>
      </c>
      <c r="S69" s="332" t="e">
        <f t="array" aca="1" ref="S69" ca="1">VLOOKUP($B69,KOMBI!$A:$ADS,MATCH(Tulem!S$3,KOMBI!$A$1:$ADS$1,0),FALSE)</f>
        <v>#NUM!</v>
      </c>
      <c r="T69" s="293" t="e">
        <f ca="1">VLOOKUP($B69,KOMBI!$A:$ADS,T$3,FALSE)</f>
        <v>#NUM!</v>
      </c>
      <c r="U69" s="293" t="e">
        <f ca="1">VLOOKUP($B69,KOMBI!$A:$ADS,U$3,FALSE)</f>
        <v>#NUM!</v>
      </c>
      <c r="V69" s="293" t="e">
        <f ca="1">VLOOKUP($B69,KOMBI!$A:$ADS,V$3,FALSE)</f>
        <v>#NUM!</v>
      </c>
      <c r="W69" s="293"/>
      <c r="X69" s="293" t="e">
        <f ca="1">VLOOKUP($B69,KOMBI!$A:$ADS,X$3,FALSE)</f>
        <v>#NUM!</v>
      </c>
      <c r="Y69" s="293" t="e">
        <f ca="1">VLOOKUP($B69,KOMBI!$A:$ADS,Y$3,FALSE)</f>
        <v>#NUM!</v>
      </c>
      <c r="Z69" s="293" t="e">
        <f ca="1">VLOOKUP($B69,KOMBI!$A:$ADS,Z$3,FALSE)</f>
        <v>#NUM!</v>
      </c>
      <c r="AA69" s="294"/>
      <c r="AB69" s="293" t="e">
        <f ca="1">VLOOKUP($B69,KOMBI!$A:$ADS,AB$3,FALSE)</f>
        <v>#NUM!</v>
      </c>
      <c r="AC69" s="293" t="e">
        <f ca="1">VLOOKUP($B69,KOMBI!$A:$ADS,AC$3,FALSE)-AB69</f>
        <v>#NUM!</v>
      </c>
      <c r="AD69" s="293" t="e">
        <f ca="1">VLOOKUP($B69,KOMBI!$A:$ADS,AD$3,FALSE)</f>
        <v>#NUM!</v>
      </c>
      <c r="AE69" s="293" t="e">
        <f ca="1">VLOOKUP($B69,KOMBI!$A:$ADS,AE$3,FALSE)</f>
        <v>#NUM!</v>
      </c>
      <c r="AF69" s="293" t="e">
        <f ca="1">VLOOKUP($B69,KOMBI!$A:$ADS,AF$3,FALSE)-AE69</f>
        <v>#NUM!</v>
      </c>
      <c r="AG69" s="293" t="e">
        <f ca="1">VLOOKUP($B69,KOMBI!$A:$ADS,AG$3,FALSE)</f>
        <v>#NUM!</v>
      </c>
      <c r="AI69" s="293" t="e">
        <f t="array" aca="1" ref="AI69" ca="1">VLOOKUP($B69,KOMBI!$A:$ADS,MATCH(Tulem!AI$3,KOMBI!$A$1:$ADS$1,0),FALSE)</f>
        <v>#NUM!</v>
      </c>
      <c r="AJ69" s="293" t="e">
        <f t="array" aca="1" ref="AJ69" ca="1">VLOOKUP($B69,KOMBI!$A:$ADS,MATCH(Tulem!AJ$3,KOMBI!$A$1:$ADS$1,0),FALSE)</f>
        <v>#NUM!</v>
      </c>
      <c r="AK69" s="293" t="e">
        <f t="array" aca="1" ref="AK69" ca="1">VLOOKUP($B69,KOMBI!$A:$ADS,MATCH(Tulem!AK$3,KOMBI!$A$1:$ADS$1,0),FALSE)</f>
        <v>#NUM!</v>
      </c>
      <c r="AL69" s="293" t="e">
        <f t="array" aca="1" ref="AL69" ca="1">VLOOKUP($B69,KOMBI!$A:$ADS,MATCH(Tulem!AL$3,KOMBI!$A$1:$ADS$1,0),FALSE)</f>
        <v>#NUM!</v>
      </c>
      <c r="AM69" s="293" t="e">
        <f t="array" aca="1" ref="AM69" ca="1">VLOOKUP($B69,KOMBI!$A:$ADS,MATCH(Tulem!AM$3,KOMBI!$A$1:$ADS$1,0),FALSE)</f>
        <v>#NUM!</v>
      </c>
      <c r="AN69" s="293" t="e">
        <f t="array" aca="1" ref="AN69" ca="1">VLOOKUP($B69,KOMBI!$A:$ADS,MATCH(Tulem!AN$3,KOMBI!$A$1:$ADS$1,0),FALSE)</f>
        <v>#NUM!</v>
      </c>
      <c r="AO69" s="293" t="e">
        <f t="array" aca="1" ref="AO69" ca="1">VLOOKUP($B69,KOMBI!$A:$ADS,MATCH(Tulem!AO$3,KOMBI!$A$1:$ADS$1,0),FALSE)</f>
        <v>#NUM!</v>
      </c>
      <c r="AP69" s="293" t="e">
        <f t="array" aca="1" ref="AP69" ca="1">VLOOKUP($B69,KOMBI!$A:$ADS,MATCH(Tulem!AP$3,KOMBI!$A$1:$ADS$1,0),FALSE)</f>
        <v>#NUM!</v>
      </c>
      <c r="AQ69" s="293" t="e">
        <f t="array" aca="1" ref="AQ69" ca="1">VLOOKUP($B69,KOMBI!$A:$ADS,MATCH(Tulem!AQ$3,KOMBI!$A$1:$ADS$1,0),FALSE)</f>
        <v>#NUM!</v>
      </c>
      <c r="AR69" s="293" t="e">
        <f t="array" aca="1" ref="AR69" ca="1">VLOOKUP($B69,KOMBI!$A:$ADS,MATCH(Tulem!AR$3,KOMBI!$A$1:$ADS$1,0),FALSE)</f>
        <v>#NUM!</v>
      </c>
      <c r="AS69" s="293" t="e">
        <f t="array" aca="1" ref="AS69" ca="1">VLOOKUP($B69,KOMBI!$A:$ADS,MATCH(Tulem!AS$3,KOMBI!$A$1:$ADS$1,0),FALSE)</f>
        <v>#NUM!</v>
      </c>
      <c r="AT69" s="293" t="e">
        <f t="array" aca="1" ref="AT69" ca="1">VLOOKUP($B69,KOMBI!$A:$ADS,MATCH(Tulem!AT$3,KOMBI!$A$1:$ADS$1,0),FALSE)</f>
        <v>#NUM!</v>
      </c>
      <c r="AU69" s="293" t="e">
        <f t="array" aca="1" ref="AU69" ca="1">VLOOKUP($B69,KOMBI!$A:$ADS,MATCH(Tulem!AU$3,KOMBI!$A$1:$ADS$1,0),FALSE)</f>
        <v>#NUM!</v>
      </c>
      <c r="AV69" s="293" t="e">
        <f t="shared" ca="1" si="1"/>
        <v>#NUM!</v>
      </c>
      <c r="AW69" s="293" t="e">
        <f t="shared" ca="1" si="2"/>
        <v>#NUM!</v>
      </c>
      <c r="AX69" s="291" t="e">
        <f ca="1">VLOOKUP($B69,KOMBI!$A:$ACA,MATCH(AX$5,KOMBI!$10:$10,0),FALSE)</f>
        <v>#NUM!</v>
      </c>
      <c r="AY69" s="292" t="e">
        <f t="array" aca="1" ref="AY69" ca="1">VLOOKUP($B69,KOMBI!$A:$ADS,MATCH(Tulem!AY$3,KOMBI!$A$1:$ADS$1,0),FALSE)</f>
        <v>#NUM!</v>
      </c>
      <c r="AZ69" s="292" t="e">
        <f t="array" aca="1" ref="AZ69" ca="1">VLOOKUP($B69,KOMBI!$A:$ADS,MATCH(Tulem!AZ$3,KOMBI!$A$1:$ADS$1,0),FALSE)</f>
        <v>#NUM!</v>
      </c>
      <c r="BA69" s="292" t="e">
        <f t="array" aca="1" ref="BA69" ca="1">VLOOKUP($B69,KOMBI!$A:$ADS,MATCH(Tulem!BA$3,KOMBI!$A$1:$ADS$1,0),FALSE)</f>
        <v>#NUM!</v>
      </c>
      <c r="BB69" s="292" t="e">
        <f t="array" aca="1" ref="BB69" ca="1">VLOOKUP($B69,KOMBI!$A:$ADS,MATCH(Tulem!BB$3,KOMBI!$A$1:$ADS$1,0),FALSE)</f>
        <v>#NUM!</v>
      </c>
      <c r="BC69" s="292" t="e">
        <f t="array" aca="1" ref="BC69" ca="1">VLOOKUP($B69,KOMBI!$A:$ADS,MATCH(Tulem!BC$3,KOMBI!$A$1:$ADS$1,0),FALSE)</f>
        <v>#NUM!</v>
      </c>
      <c r="BD69" s="292" t="e">
        <f t="array" aca="1" ref="BD69" ca="1">VLOOKUP($B69,KOMBI!$A:$ADS,MATCH(Tulem!BD$3,KOMBI!$A$1:$ADS$1,0),FALSE)</f>
        <v>#NUM!</v>
      </c>
      <c r="BE69" s="292" t="e">
        <f t="array" aca="1" ref="BE69" ca="1">VLOOKUP($B69,KOMBI!$A:$ADS,MATCH(Tulem!BE$3,KOMBI!$A$1:$ADS$1,0),FALSE)</f>
        <v>#NUM!</v>
      </c>
      <c r="BF69" s="292" t="e">
        <f t="array" aca="1" ref="BF69" ca="1">VLOOKUP($B69,KOMBI!$A:$ADS,MATCH(Tulem!BF$3,KOMBI!$A$1:$ADS$1,0),FALSE)</f>
        <v>#NUM!</v>
      </c>
      <c r="BG69" s="292" t="e">
        <f t="array" aca="1" ref="BG69" ca="1">VLOOKUP($B69,KOMBI!$A:$ADS,MATCH(Tulem!BG$3,KOMBI!$A$1:$ADS$1,0),FALSE)</f>
        <v>#NUM!</v>
      </c>
      <c r="BH69" s="292" t="e">
        <f t="array" aca="1" ref="BH69" ca="1">VLOOKUP($B69,KOMBI!$A:$ADS,MATCH(Tulem!BH$3,KOMBI!$A$1:$ADS$1,0),FALSE)</f>
        <v>#NUM!</v>
      </c>
      <c r="BI69" s="292" t="e">
        <f t="array" aca="1" ref="BI69" ca="1">VLOOKUP($B69,KOMBI!$A:$ADS,MATCH(Tulem!BI$3,KOMBI!$A$1:$ADS$1,0),FALSE)</f>
        <v>#NUM!</v>
      </c>
      <c r="BJ69" s="292" t="e">
        <f t="array" aca="1" ref="BJ69" ca="1">VLOOKUP($B69,KOMBI!$A:$ADS,MATCH(Tulem!BJ$3,KOMBI!$A$1:$ADS$1,0),FALSE)</f>
        <v>#NUM!</v>
      </c>
      <c r="BK69" s="292" t="e">
        <f t="array" aca="1" ref="BK69" ca="1">VLOOKUP($B69,KOMBI!$A:$ADS,MATCH(Tulem!BK$3,KOMBI!$A$1:$ADS$1,0),FALSE)</f>
        <v>#NUM!</v>
      </c>
      <c r="BL69" s="292" t="e">
        <f t="array" aca="1" ref="BL69" ca="1">VLOOKUP($B69,KOMBI!$A:$ADS,MATCH(Tulem!BL$3,KOMBI!$A$1:$ADS$1,0),FALSE)</f>
        <v>#NUM!</v>
      </c>
      <c r="BM69" s="292" t="e">
        <f t="array" aca="1" ref="BM69" ca="1">VLOOKUP($B69,KOMBI!$A:$ADS,MATCH(Tulem!BM$3,KOMBI!$A$1:$ADS$1,0),FALSE)</f>
        <v>#NUM!</v>
      </c>
      <c r="BN69" s="292" t="e">
        <f t="array" aca="1" ref="BN69" ca="1">VLOOKUP($B69,KOMBI!$A:$ADS,MATCH(Tulem!BN$3,KOMBI!$A$1:$ADS$1,0),FALSE)</f>
        <v>#NUM!</v>
      </c>
      <c r="BO69" s="292" t="e">
        <f t="array" aca="1" ref="BO69" ca="1">VLOOKUP($B69,KOMBI!$A:$ADS,MATCH(Tulem!BO$3,KOMBI!$A$1:$ADS$1,0),FALSE)</f>
        <v>#NUM!</v>
      </c>
      <c r="BP69" s="291"/>
      <c r="BQ69" s="292" t="e">
        <f t="array" aca="1" ref="BQ69" ca="1">VLOOKUP($B69,KOMBI!$A:$ADS,MATCH(Tulem!BQ$3,KOMBI!$A$1:$ADS$1,0),FALSE)</f>
        <v>#NUM!</v>
      </c>
      <c r="BR69" s="292" t="e">
        <f t="array" aca="1" ref="BR69" ca="1">VLOOKUP($B69,KOMBI!$A:$ADS,MATCH(Tulem!BR$3,KOMBI!$A$1:$ADS$1,0),FALSE)</f>
        <v>#NUM!</v>
      </c>
      <c r="BS69" s="292" t="e">
        <f t="array" aca="1" ref="BS69" ca="1">VLOOKUP($B69,KOMBI!$A:$ADS,MATCH(Tulem!BS$3,KOMBI!$A$1:$ADS$1,0),FALSE)</f>
        <v>#NUM!</v>
      </c>
      <c r="BT69" s="292" t="e">
        <f t="array" aca="1" ref="BT69" ca="1">VLOOKUP($B69,KOMBI!$A:$ADS,MATCH(Tulem!BT$3,KOMBI!$A$1:$ADS$1,0),FALSE)</f>
        <v>#NUM!</v>
      </c>
      <c r="BU69" s="292" t="e">
        <f t="array" aca="1" ref="BU69" ca="1">VLOOKUP($B69,KOMBI!$A:$ADS,MATCH(Tulem!BU$3,KOMBI!$A$1:$ADS$1,0),FALSE)</f>
        <v>#NUM!</v>
      </c>
      <c r="BV69" s="291"/>
      <c r="BW69" s="292" t="e">
        <f t="array" aca="1" ref="BW69" ca="1">VLOOKUP($B69,KOMBI!$A:$ADS,MATCH(Tulem!BW$3,KOMBI!$A$1:$ADS$1,0),FALSE)</f>
        <v>#NUM!</v>
      </c>
      <c r="BX69" s="291"/>
      <c r="BY69" s="291"/>
      <c r="BZ69" s="292" t="e">
        <f t="array" aca="1" ref="BZ69" ca="1">VLOOKUP($B69,KOMBI!$A:$ADS,MATCH(Tulem!BZ$3,KOMBI!$A$1:$ADS$1,0),FALSE)</f>
        <v>#NUM!</v>
      </c>
      <c r="CA69" s="292" t="e">
        <f t="array" aca="1" ref="CA69" ca="1">VLOOKUP($B69,KOMBI!$A:$ADS,MATCH(Tulem!CA$3,KOMBI!$A$1:$ADS$1,0),FALSE)</f>
        <v>#NUM!</v>
      </c>
      <c r="CB69" s="292" t="e">
        <f t="array" aca="1" ref="CB69" ca="1">VLOOKUP($B69,KOMBI!$A:$ADS,MATCH(Tulem!CB$3,KOMBI!$A$1:$ADS$1,0),FALSE)</f>
        <v>#NUM!</v>
      </c>
      <c r="CC69" s="292" t="e">
        <f t="array" aca="1" ref="CC69" ca="1">VLOOKUP($B69,KOMBI!$A:$ADS,MATCH(Tulem!CC$3,KOMBI!$A$1:$ADS$1,0),FALSE)</f>
        <v>#NUM!</v>
      </c>
      <c r="CD69" s="292" t="e">
        <f t="array" aca="1" ref="CD69" ca="1">VLOOKUP($B69,KOMBI!$A:$ADS,MATCH(Tulem!CD$3,KOMBI!$A$1:$ADS$1,0),FALSE)</f>
        <v>#NUM!</v>
      </c>
      <c r="CF69" s="51" t="e">
        <f ca="1">VLOOKUP($B69,KOMBI!$A:$ACG,MATCH(CF$5,KOMBI!$10:$10,0),FALSE)</f>
        <v>#NUM!</v>
      </c>
    </row>
    <row r="70" spans="1:84" x14ac:dyDescent="0.2">
      <c r="A70" s="51">
        <v>65</v>
      </c>
      <c r="B70" s="51" t="e">
        <f ca="1">KOMBI!GI75</f>
        <v>#NUM!</v>
      </c>
      <c r="C70" s="51">
        <f t="shared" si="0"/>
        <v>65</v>
      </c>
      <c r="D70" s="290" t="e">
        <f ca="1">VLOOKUP(VLOOKUP($B70,KOMBI!$A:$H,3,FALSE),data!$I$27:$J$29,2,FALSE)</f>
        <v>#NUM!</v>
      </c>
      <c r="E70" s="290" t="e">
        <f ca="1">VLOOKUP(VLOOKUP($B70,KOMBI!$A:$H,2,FALSE),data!$I$21:$J$23,2,FALSE)</f>
        <v>#NUM!</v>
      </c>
      <c r="F70" s="290" t="e">
        <f ca="1">VLOOKUP(VLOOKUP($B70,KOMBI!$A:$H,5,FALSE),data!$I$39:$J$41,2,FALSE)</f>
        <v>#NUM!</v>
      </c>
      <c r="G70" s="290" t="e">
        <f ca="1">VLOOKUP(VLOOKUP($B70,KOMBI!$A:$H,4,FALSE),data!$I$32:$J$36,2,FALSE)</f>
        <v>#NUM!</v>
      </c>
      <c r="I70" s="51" t="e">
        <f ca="1">VLOOKUP($B70,KOMBI!$A:$Z,MATCH(I$5,KOMBI!$10:$10,0),FALSE)</f>
        <v>#NUM!</v>
      </c>
      <c r="J70" s="291" t="e">
        <f ca="1">VLOOKUP($B70,KOMBI!$A:$ADS,J$3,FALSE)</f>
        <v>#NUM!</v>
      </c>
      <c r="K70" s="291" t="e">
        <f ca="1">VLOOKUP($B70,KOMBI!$A:$ADS,K$3,FALSE)</f>
        <v>#NUM!</v>
      </c>
      <c r="L70" s="291" t="e">
        <f ca="1">VLOOKUP($B70,KOMBI!$A:$ADS,L$3,FALSE)</f>
        <v>#NUM!</v>
      </c>
      <c r="M70" s="291" t="e">
        <f ca="1">VLOOKUP($B70,KOMBI!$A:$ADS,M$3,FALSE)</f>
        <v>#NUM!</v>
      </c>
      <c r="N70" s="291" t="e">
        <f ca="1">VLOOKUP($B70,KOMBI!$A:$ADS,N$3,FALSE)</f>
        <v>#NUM!</v>
      </c>
      <c r="O70" s="291" t="e">
        <f ca="1">VLOOKUP($B70,KOMBI!$A:$ADS,O$3,FALSE)</f>
        <v>#NUM!</v>
      </c>
      <c r="P70" s="291" t="e">
        <f ca="1">VLOOKUP($B70,KOMBI!$A:$ADS,P$3,FALSE)</f>
        <v>#NUM!</v>
      </c>
      <c r="Q70" s="292" t="e">
        <f t="array" aca="1" ref="Q70" ca="1">VLOOKUP($B70,KOMBI!$A:$ADS,MATCH(Tulem!Q$3,KOMBI!$A$1:$ADS$1,0),FALSE)</f>
        <v>#NUM!</v>
      </c>
      <c r="S70" s="332" t="e">
        <f t="array" aca="1" ref="S70" ca="1">VLOOKUP($B70,KOMBI!$A:$ADS,MATCH(Tulem!S$3,KOMBI!$A$1:$ADS$1,0),FALSE)</f>
        <v>#NUM!</v>
      </c>
      <c r="T70" s="293" t="e">
        <f ca="1">VLOOKUP($B70,KOMBI!$A:$ADS,T$3,FALSE)</f>
        <v>#NUM!</v>
      </c>
      <c r="U70" s="293" t="e">
        <f ca="1">VLOOKUP($B70,KOMBI!$A:$ADS,U$3,FALSE)</f>
        <v>#NUM!</v>
      </c>
      <c r="V70" s="293" t="e">
        <f ca="1">VLOOKUP($B70,KOMBI!$A:$ADS,V$3,FALSE)</f>
        <v>#NUM!</v>
      </c>
      <c r="W70" s="293"/>
      <c r="X70" s="293" t="e">
        <f ca="1">VLOOKUP($B70,KOMBI!$A:$ADS,X$3,FALSE)</f>
        <v>#NUM!</v>
      </c>
      <c r="Y70" s="293" t="e">
        <f ca="1">VLOOKUP($B70,KOMBI!$A:$ADS,Y$3,FALSE)</f>
        <v>#NUM!</v>
      </c>
      <c r="Z70" s="293" t="e">
        <f ca="1">VLOOKUP($B70,KOMBI!$A:$ADS,Z$3,FALSE)</f>
        <v>#NUM!</v>
      </c>
      <c r="AA70" s="294"/>
      <c r="AB70" s="293" t="e">
        <f ca="1">VLOOKUP($B70,KOMBI!$A:$ADS,AB$3,FALSE)</f>
        <v>#NUM!</v>
      </c>
      <c r="AC70" s="293" t="e">
        <f ca="1">VLOOKUP($B70,KOMBI!$A:$ADS,AC$3,FALSE)-AB70</f>
        <v>#NUM!</v>
      </c>
      <c r="AD70" s="293" t="e">
        <f ca="1">VLOOKUP($B70,KOMBI!$A:$ADS,AD$3,FALSE)</f>
        <v>#NUM!</v>
      </c>
      <c r="AE70" s="293" t="e">
        <f ca="1">VLOOKUP($B70,KOMBI!$A:$ADS,AE$3,FALSE)</f>
        <v>#NUM!</v>
      </c>
      <c r="AF70" s="293" t="e">
        <f ca="1">VLOOKUP($B70,KOMBI!$A:$ADS,AF$3,FALSE)-AE70</f>
        <v>#NUM!</v>
      </c>
      <c r="AG70" s="293" t="e">
        <f ca="1">VLOOKUP($B70,KOMBI!$A:$ADS,AG$3,FALSE)</f>
        <v>#NUM!</v>
      </c>
      <c r="AI70" s="293" t="e">
        <f t="array" aca="1" ref="AI70" ca="1">VLOOKUP($B70,KOMBI!$A:$ADS,MATCH(Tulem!AI$3,KOMBI!$A$1:$ADS$1,0),FALSE)</f>
        <v>#NUM!</v>
      </c>
      <c r="AJ70" s="293" t="e">
        <f t="array" aca="1" ref="AJ70" ca="1">VLOOKUP($B70,KOMBI!$A:$ADS,MATCH(Tulem!AJ$3,KOMBI!$A$1:$ADS$1,0),FALSE)</f>
        <v>#NUM!</v>
      </c>
      <c r="AK70" s="293" t="e">
        <f t="array" aca="1" ref="AK70" ca="1">VLOOKUP($B70,KOMBI!$A:$ADS,MATCH(Tulem!AK$3,KOMBI!$A$1:$ADS$1,0),FALSE)</f>
        <v>#NUM!</v>
      </c>
      <c r="AL70" s="293" t="e">
        <f t="array" aca="1" ref="AL70" ca="1">VLOOKUP($B70,KOMBI!$A:$ADS,MATCH(Tulem!AL$3,KOMBI!$A$1:$ADS$1,0),FALSE)</f>
        <v>#NUM!</v>
      </c>
      <c r="AM70" s="293" t="e">
        <f t="array" aca="1" ref="AM70" ca="1">VLOOKUP($B70,KOMBI!$A:$ADS,MATCH(Tulem!AM$3,KOMBI!$A$1:$ADS$1,0),FALSE)</f>
        <v>#NUM!</v>
      </c>
      <c r="AN70" s="293" t="e">
        <f t="array" aca="1" ref="AN70" ca="1">VLOOKUP($B70,KOMBI!$A:$ADS,MATCH(Tulem!AN$3,KOMBI!$A$1:$ADS$1,0),FALSE)</f>
        <v>#NUM!</v>
      </c>
      <c r="AO70" s="293" t="e">
        <f t="array" aca="1" ref="AO70" ca="1">VLOOKUP($B70,KOMBI!$A:$ADS,MATCH(Tulem!AO$3,KOMBI!$A$1:$ADS$1,0),FALSE)</f>
        <v>#NUM!</v>
      </c>
      <c r="AP70" s="293" t="e">
        <f t="array" aca="1" ref="AP70" ca="1">VLOOKUP($B70,KOMBI!$A:$ADS,MATCH(Tulem!AP$3,KOMBI!$A$1:$ADS$1,0),FALSE)</f>
        <v>#NUM!</v>
      </c>
      <c r="AQ70" s="293" t="e">
        <f t="array" aca="1" ref="AQ70" ca="1">VLOOKUP($B70,KOMBI!$A:$ADS,MATCH(Tulem!AQ$3,KOMBI!$A$1:$ADS$1,0),FALSE)</f>
        <v>#NUM!</v>
      </c>
      <c r="AR70" s="293" t="e">
        <f t="array" aca="1" ref="AR70" ca="1">VLOOKUP($B70,KOMBI!$A:$ADS,MATCH(Tulem!AR$3,KOMBI!$A$1:$ADS$1,0),FALSE)</f>
        <v>#NUM!</v>
      </c>
      <c r="AS70" s="293" t="e">
        <f t="array" aca="1" ref="AS70" ca="1">VLOOKUP($B70,KOMBI!$A:$ADS,MATCH(Tulem!AS$3,KOMBI!$A$1:$ADS$1,0),FALSE)</f>
        <v>#NUM!</v>
      </c>
      <c r="AT70" s="293" t="e">
        <f t="array" aca="1" ref="AT70" ca="1">VLOOKUP($B70,KOMBI!$A:$ADS,MATCH(Tulem!AT$3,KOMBI!$A$1:$ADS$1,0),FALSE)</f>
        <v>#NUM!</v>
      </c>
      <c r="AU70" s="293" t="e">
        <f t="array" aca="1" ref="AU70" ca="1">VLOOKUP($B70,KOMBI!$A:$ADS,MATCH(Tulem!AU$3,KOMBI!$A$1:$ADS$1,0),FALSE)</f>
        <v>#NUM!</v>
      </c>
      <c r="AV70" s="293" t="e">
        <f t="shared" ca="1" si="1"/>
        <v>#NUM!</v>
      </c>
      <c r="AW70" s="293" t="e">
        <f t="shared" ca="1" si="2"/>
        <v>#NUM!</v>
      </c>
      <c r="AX70" s="291" t="e">
        <f ca="1">VLOOKUP($B70,KOMBI!$A:$ACA,MATCH(AX$5,KOMBI!$10:$10,0),FALSE)</f>
        <v>#NUM!</v>
      </c>
      <c r="AY70" s="292" t="e">
        <f t="array" aca="1" ref="AY70" ca="1">VLOOKUP($B70,KOMBI!$A:$ADS,MATCH(Tulem!AY$3,KOMBI!$A$1:$ADS$1,0),FALSE)</f>
        <v>#NUM!</v>
      </c>
      <c r="AZ70" s="292" t="e">
        <f t="array" aca="1" ref="AZ70" ca="1">VLOOKUP($B70,KOMBI!$A:$ADS,MATCH(Tulem!AZ$3,KOMBI!$A$1:$ADS$1,0),FALSE)</f>
        <v>#NUM!</v>
      </c>
      <c r="BA70" s="292" t="e">
        <f t="array" aca="1" ref="BA70" ca="1">VLOOKUP($B70,KOMBI!$A:$ADS,MATCH(Tulem!BA$3,KOMBI!$A$1:$ADS$1,0),FALSE)</f>
        <v>#NUM!</v>
      </c>
      <c r="BB70" s="292" t="e">
        <f t="array" aca="1" ref="BB70" ca="1">VLOOKUP($B70,KOMBI!$A:$ADS,MATCH(Tulem!BB$3,KOMBI!$A$1:$ADS$1,0),FALSE)</f>
        <v>#NUM!</v>
      </c>
      <c r="BC70" s="292" t="e">
        <f t="array" aca="1" ref="BC70" ca="1">VLOOKUP($B70,KOMBI!$A:$ADS,MATCH(Tulem!BC$3,KOMBI!$A$1:$ADS$1,0),FALSE)</f>
        <v>#NUM!</v>
      </c>
      <c r="BD70" s="292" t="e">
        <f t="array" aca="1" ref="BD70" ca="1">VLOOKUP($B70,KOMBI!$A:$ADS,MATCH(Tulem!BD$3,KOMBI!$A$1:$ADS$1,0),FALSE)</f>
        <v>#NUM!</v>
      </c>
      <c r="BE70" s="292" t="e">
        <f t="array" aca="1" ref="BE70" ca="1">VLOOKUP($B70,KOMBI!$A:$ADS,MATCH(Tulem!BE$3,KOMBI!$A$1:$ADS$1,0),FALSE)</f>
        <v>#NUM!</v>
      </c>
      <c r="BF70" s="292" t="e">
        <f t="array" aca="1" ref="BF70" ca="1">VLOOKUP($B70,KOMBI!$A:$ADS,MATCH(Tulem!BF$3,KOMBI!$A$1:$ADS$1,0),FALSE)</f>
        <v>#NUM!</v>
      </c>
      <c r="BG70" s="292" t="e">
        <f t="array" aca="1" ref="BG70" ca="1">VLOOKUP($B70,KOMBI!$A:$ADS,MATCH(Tulem!BG$3,KOMBI!$A$1:$ADS$1,0),FALSE)</f>
        <v>#NUM!</v>
      </c>
      <c r="BH70" s="292" t="e">
        <f t="array" aca="1" ref="BH70" ca="1">VLOOKUP($B70,KOMBI!$A:$ADS,MATCH(Tulem!BH$3,KOMBI!$A$1:$ADS$1,0),FALSE)</f>
        <v>#NUM!</v>
      </c>
      <c r="BI70" s="292" t="e">
        <f t="array" aca="1" ref="BI70" ca="1">VLOOKUP($B70,KOMBI!$A:$ADS,MATCH(Tulem!BI$3,KOMBI!$A$1:$ADS$1,0),FALSE)</f>
        <v>#NUM!</v>
      </c>
      <c r="BJ70" s="292" t="e">
        <f t="array" aca="1" ref="BJ70" ca="1">VLOOKUP($B70,KOMBI!$A:$ADS,MATCH(Tulem!BJ$3,KOMBI!$A$1:$ADS$1,0),FALSE)</f>
        <v>#NUM!</v>
      </c>
      <c r="BK70" s="292" t="e">
        <f t="array" aca="1" ref="BK70" ca="1">VLOOKUP($B70,KOMBI!$A:$ADS,MATCH(Tulem!BK$3,KOMBI!$A$1:$ADS$1,0),FALSE)</f>
        <v>#NUM!</v>
      </c>
      <c r="BL70" s="292" t="e">
        <f t="array" aca="1" ref="BL70" ca="1">VLOOKUP($B70,KOMBI!$A:$ADS,MATCH(Tulem!BL$3,KOMBI!$A$1:$ADS$1,0),FALSE)</f>
        <v>#NUM!</v>
      </c>
      <c r="BM70" s="292" t="e">
        <f t="array" aca="1" ref="BM70" ca="1">VLOOKUP($B70,KOMBI!$A:$ADS,MATCH(Tulem!BM$3,KOMBI!$A$1:$ADS$1,0),FALSE)</f>
        <v>#NUM!</v>
      </c>
      <c r="BN70" s="292" t="e">
        <f t="array" aca="1" ref="BN70" ca="1">VLOOKUP($B70,KOMBI!$A:$ADS,MATCH(Tulem!BN$3,KOMBI!$A$1:$ADS$1,0),FALSE)</f>
        <v>#NUM!</v>
      </c>
      <c r="BO70" s="292" t="e">
        <f t="array" aca="1" ref="BO70" ca="1">VLOOKUP($B70,KOMBI!$A:$ADS,MATCH(Tulem!BO$3,KOMBI!$A$1:$ADS$1,0),FALSE)</f>
        <v>#NUM!</v>
      </c>
      <c r="BP70" s="291"/>
      <c r="BQ70" s="292" t="e">
        <f t="array" aca="1" ref="BQ70" ca="1">VLOOKUP($B70,KOMBI!$A:$ADS,MATCH(Tulem!BQ$3,KOMBI!$A$1:$ADS$1,0),FALSE)</f>
        <v>#NUM!</v>
      </c>
      <c r="BR70" s="292" t="e">
        <f t="array" aca="1" ref="BR70" ca="1">VLOOKUP($B70,KOMBI!$A:$ADS,MATCH(Tulem!BR$3,KOMBI!$A$1:$ADS$1,0),FALSE)</f>
        <v>#NUM!</v>
      </c>
      <c r="BS70" s="292" t="e">
        <f t="array" aca="1" ref="BS70" ca="1">VLOOKUP($B70,KOMBI!$A:$ADS,MATCH(Tulem!BS$3,KOMBI!$A$1:$ADS$1,0),FALSE)</f>
        <v>#NUM!</v>
      </c>
      <c r="BT70" s="292" t="e">
        <f t="array" aca="1" ref="BT70" ca="1">VLOOKUP($B70,KOMBI!$A:$ADS,MATCH(Tulem!BT$3,KOMBI!$A$1:$ADS$1,0),FALSE)</f>
        <v>#NUM!</v>
      </c>
      <c r="BU70" s="292" t="e">
        <f t="array" aca="1" ref="BU70" ca="1">VLOOKUP($B70,KOMBI!$A:$ADS,MATCH(Tulem!BU$3,KOMBI!$A$1:$ADS$1,0),FALSE)</f>
        <v>#NUM!</v>
      </c>
      <c r="BV70" s="291"/>
      <c r="BW70" s="292" t="e">
        <f t="array" aca="1" ref="BW70" ca="1">VLOOKUP($B70,KOMBI!$A:$ADS,MATCH(Tulem!BW$3,KOMBI!$A$1:$ADS$1,0),FALSE)</f>
        <v>#NUM!</v>
      </c>
      <c r="BX70" s="291"/>
      <c r="BY70" s="291"/>
      <c r="BZ70" s="292" t="e">
        <f t="array" aca="1" ref="BZ70" ca="1">VLOOKUP($B70,KOMBI!$A:$ADS,MATCH(Tulem!BZ$3,KOMBI!$A$1:$ADS$1,0),FALSE)</f>
        <v>#NUM!</v>
      </c>
      <c r="CA70" s="292" t="e">
        <f t="array" aca="1" ref="CA70" ca="1">VLOOKUP($B70,KOMBI!$A:$ADS,MATCH(Tulem!CA$3,KOMBI!$A$1:$ADS$1,0),FALSE)</f>
        <v>#NUM!</v>
      </c>
      <c r="CB70" s="292" t="e">
        <f t="array" aca="1" ref="CB70" ca="1">VLOOKUP($B70,KOMBI!$A:$ADS,MATCH(Tulem!CB$3,KOMBI!$A$1:$ADS$1,0),FALSE)</f>
        <v>#NUM!</v>
      </c>
      <c r="CC70" s="292" t="e">
        <f t="array" aca="1" ref="CC70" ca="1">VLOOKUP($B70,KOMBI!$A:$ADS,MATCH(Tulem!CC$3,KOMBI!$A$1:$ADS$1,0),FALSE)</f>
        <v>#NUM!</v>
      </c>
      <c r="CD70" s="292" t="e">
        <f t="array" aca="1" ref="CD70" ca="1">VLOOKUP($B70,KOMBI!$A:$ADS,MATCH(Tulem!CD$3,KOMBI!$A$1:$ADS$1,0),FALSE)</f>
        <v>#NUM!</v>
      </c>
      <c r="CF70" s="51" t="e">
        <f ca="1">VLOOKUP($B70,KOMBI!$A:$ACG,MATCH(CF$5,KOMBI!$10:$10,0),FALSE)</f>
        <v>#NUM!</v>
      </c>
    </row>
    <row r="71" spans="1:84" x14ac:dyDescent="0.2">
      <c r="A71" s="51">
        <v>66</v>
      </c>
      <c r="B71" s="51" t="e">
        <f ca="1">KOMBI!GI76</f>
        <v>#NUM!</v>
      </c>
      <c r="C71" s="51">
        <f t="shared" ref="C71:C134" si="3">A71</f>
        <v>66</v>
      </c>
      <c r="D71" s="290" t="e">
        <f ca="1">VLOOKUP(VLOOKUP($B71,KOMBI!$A:$H,3,FALSE),data!$I$27:$J$29,2,FALSE)</f>
        <v>#NUM!</v>
      </c>
      <c r="E71" s="290" t="e">
        <f ca="1">VLOOKUP(VLOOKUP($B71,KOMBI!$A:$H,2,FALSE),data!$I$21:$J$23,2,FALSE)</f>
        <v>#NUM!</v>
      </c>
      <c r="F71" s="290" t="e">
        <f ca="1">VLOOKUP(VLOOKUP($B71,KOMBI!$A:$H,5,FALSE),data!$I$39:$J$41,2,FALSE)</f>
        <v>#NUM!</v>
      </c>
      <c r="G71" s="290" t="e">
        <f ca="1">VLOOKUP(VLOOKUP($B71,KOMBI!$A:$H,4,FALSE),data!$I$32:$J$36,2,FALSE)</f>
        <v>#NUM!</v>
      </c>
      <c r="I71" s="51" t="e">
        <f ca="1">VLOOKUP($B71,KOMBI!$A:$Z,MATCH(I$5,KOMBI!$10:$10,0),FALSE)</f>
        <v>#NUM!</v>
      </c>
      <c r="J71" s="291" t="e">
        <f ca="1">VLOOKUP($B71,KOMBI!$A:$ADS,J$3,FALSE)</f>
        <v>#NUM!</v>
      </c>
      <c r="K71" s="291" t="e">
        <f ca="1">VLOOKUP($B71,KOMBI!$A:$ADS,K$3,FALSE)</f>
        <v>#NUM!</v>
      </c>
      <c r="L71" s="291" t="e">
        <f ca="1">VLOOKUP($B71,KOMBI!$A:$ADS,L$3,FALSE)</f>
        <v>#NUM!</v>
      </c>
      <c r="M71" s="291" t="e">
        <f ca="1">VLOOKUP($B71,KOMBI!$A:$ADS,M$3,FALSE)</f>
        <v>#NUM!</v>
      </c>
      <c r="N71" s="291" t="e">
        <f ca="1">VLOOKUP($B71,KOMBI!$A:$ADS,N$3,FALSE)</f>
        <v>#NUM!</v>
      </c>
      <c r="O71" s="291" t="e">
        <f ca="1">VLOOKUP($B71,KOMBI!$A:$ADS,O$3,FALSE)</f>
        <v>#NUM!</v>
      </c>
      <c r="P71" s="291" t="e">
        <f ca="1">VLOOKUP($B71,KOMBI!$A:$ADS,P$3,FALSE)</f>
        <v>#NUM!</v>
      </c>
      <c r="Q71" s="292" t="e">
        <f t="array" aca="1" ref="Q71" ca="1">VLOOKUP($B71,KOMBI!$A:$ADS,MATCH(Tulem!Q$3,KOMBI!$A$1:$ADS$1,0),FALSE)</f>
        <v>#NUM!</v>
      </c>
      <c r="S71" s="332" t="e">
        <f t="array" aca="1" ref="S71" ca="1">VLOOKUP($B71,KOMBI!$A:$ADS,MATCH(Tulem!S$3,KOMBI!$A$1:$ADS$1,0),FALSE)</f>
        <v>#NUM!</v>
      </c>
      <c r="T71" s="293" t="e">
        <f ca="1">VLOOKUP($B71,KOMBI!$A:$ADS,T$3,FALSE)</f>
        <v>#NUM!</v>
      </c>
      <c r="U71" s="293" t="e">
        <f ca="1">VLOOKUP($B71,KOMBI!$A:$ADS,U$3,FALSE)</f>
        <v>#NUM!</v>
      </c>
      <c r="V71" s="293" t="e">
        <f ca="1">VLOOKUP($B71,KOMBI!$A:$ADS,V$3,FALSE)</f>
        <v>#NUM!</v>
      </c>
      <c r="W71" s="293"/>
      <c r="X71" s="293" t="e">
        <f ca="1">VLOOKUP($B71,KOMBI!$A:$ADS,X$3,FALSE)</f>
        <v>#NUM!</v>
      </c>
      <c r="Y71" s="293" t="e">
        <f ca="1">VLOOKUP($B71,KOMBI!$A:$ADS,Y$3,FALSE)</f>
        <v>#NUM!</v>
      </c>
      <c r="Z71" s="293" t="e">
        <f ca="1">VLOOKUP($B71,KOMBI!$A:$ADS,Z$3,FALSE)</f>
        <v>#NUM!</v>
      </c>
      <c r="AA71" s="294"/>
      <c r="AB71" s="293" t="e">
        <f ca="1">VLOOKUP($B71,KOMBI!$A:$ADS,AB$3,FALSE)</f>
        <v>#NUM!</v>
      </c>
      <c r="AC71" s="293" t="e">
        <f ca="1">VLOOKUP($B71,KOMBI!$A:$ADS,AC$3,FALSE)-AB71</f>
        <v>#NUM!</v>
      </c>
      <c r="AD71" s="293" t="e">
        <f ca="1">VLOOKUP($B71,KOMBI!$A:$ADS,AD$3,FALSE)</f>
        <v>#NUM!</v>
      </c>
      <c r="AE71" s="293" t="e">
        <f ca="1">VLOOKUP($B71,KOMBI!$A:$ADS,AE$3,FALSE)</f>
        <v>#NUM!</v>
      </c>
      <c r="AF71" s="293" t="e">
        <f ca="1">VLOOKUP($B71,KOMBI!$A:$ADS,AF$3,FALSE)-AE71</f>
        <v>#NUM!</v>
      </c>
      <c r="AG71" s="293" t="e">
        <f ca="1">VLOOKUP($B71,KOMBI!$A:$ADS,AG$3,FALSE)</f>
        <v>#NUM!</v>
      </c>
      <c r="AI71" s="293" t="e">
        <f t="array" aca="1" ref="AI71" ca="1">VLOOKUP($B71,KOMBI!$A:$ADS,MATCH(Tulem!AI$3,KOMBI!$A$1:$ADS$1,0),FALSE)</f>
        <v>#NUM!</v>
      </c>
      <c r="AJ71" s="293" t="e">
        <f t="array" aca="1" ref="AJ71" ca="1">VLOOKUP($B71,KOMBI!$A:$ADS,MATCH(Tulem!AJ$3,KOMBI!$A$1:$ADS$1,0),FALSE)</f>
        <v>#NUM!</v>
      </c>
      <c r="AK71" s="293" t="e">
        <f t="array" aca="1" ref="AK71" ca="1">VLOOKUP($B71,KOMBI!$A:$ADS,MATCH(Tulem!AK$3,KOMBI!$A$1:$ADS$1,0),FALSE)</f>
        <v>#NUM!</v>
      </c>
      <c r="AL71" s="293" t="e">
        <f t="array" aca="1" ref="AL71" ca="1">VLOOKUP($B71,KOMBI!$A:$ADS,MATCH(Tulem!AL$3,KOMBI!$A$1:$ADS$1,0),FALSE)</f>
        <v>#NUM!</v>
      </c>
      <c r="AM71" s="293" t="e">
        <f t="array" aca="1" ref="AM71" ca="1">VLOOKUP($B71,KOMBI!$A:$ADS,MATCH(Tulem!AM$3,KOMBI!$A$1:$ADS$1,0),FALSE)</f>
        <v>#NUM!</v>
      </c>
      <c r="AN71" s="293" t="e">
        <f t="array" aca="1" ref="AN71" ca="1">VLOOKUP($B71,KOMBI!$A:$ADS,MATCH(Tulem!AN$3,KOMBI!$A$1:$ADS$1,0),FALSE)</f>
        <v>#NUM!</v>
      </c>
      <c r="AO71" s="293" t="e">
        <f t="array" aca="1" ref="AO71" ca="1">VLOOKUP($B71,KOMBI!$A:$ADS,MATCH(Tulem!AO$3,KOMBI!$A$1:$ADS$1,0),FALSE)</f>
        <v>#NUM!</v>
      </c>
      <c r="AP71" s="293" t="e">
        <f t="array" aca="1" ref="AP71" ca="1">VLOOKUP($B71,KOMBI!$A:$ADS,MATCH(Tulem!AP$3,KOMBI!$A$1:$ADS$1,0),FALSE)</f>
        <v>#NUM!</v>
      </c>
      <c r="AQ71" s="293" t="e">
        <f t="array" aca="1" ref="AQ71" ca="1">VLOOKUP($B71,KOMBI!$A:$ADS,MATCH(Tulem!AQ$3,KOMBI!$A$1:$ADS$1,0),FALSE)</f>
        <v>#NUM!</v>
      </c>
      <c r="AR71" s="293" t="e">
        <f t="array" aca="1" ref="AR71" ca="1">VLOOKUP($B71,KOMBI!$A:$ADS,MATCH(Tulem!AR$3,KOMBI!$A$1:$ADS$1,0),FALSE)</f>
        <v>#NUM!</v>
      </c>
      <c r="AS71" s="293" t="e">
        <f t="array" aca="1" ref="AS71" ca="1">VLOOKUP($B71,KOMBI!$A:$ADS,MATCH(Tulem!AS$3,KOMBI!$A$1:$ADS$1,0),FALSE)</f>
        <v>#NUM!</v>
      </c>
      <c r="AT71" s="293" t="e">
        <f t="array" aca="1" ref="AT71" ca="1">VLOOKUP($B71,KOMBI!$A:$ADS,MATCH(Tulem!AT$3,KOMBI!$A$1:$ADS$1,0),FALSE)</f>
        <v>#NUM!</v>
      </c>
      <c r="AU71" s="293" t="e">
        <f t="array" aca="1" ref="AU71" ca="1">VLOOKUP($B71,KOMBI!$A:$ADS,MATCH(Tulem!AU$3,KOMBI!$A$1:$ADS$1,0),FALSE)</f>
        <v>#NUM!</v>
      </c>
      <c r="AV71" s="293" t="e">
        <f t="shared" ref="AV71:AV134" ca="1" si="4">MAX(0,AL71)</f>
        <v>#NUM!</v>
      </c>
      <c r="AW71" s="293" t="e">
        <f t="shared" ref="AW71:AW134" ca="1" si="5">MIN(0,AL71)</f>
        <v>#NUM!</v>
      </c>
      <c r="AX71" s="291" t="e">
        <f ca="1">VLOOKUP($B71,KOMBI!$A:$ACA,MATCH(AX$5,KOMBI!$10:$10,0),FALSE)</f>
        <v>#NUM!</v>
      </c>
      <c r="AY71" s="292" t="e">
        <f t="array" aca="1" ref="AY71" ca="1">VLOOKUP($B71,KOMBI!$A:$ADS,MATCH(Tulem!AY$3,KOMBI!$A$1:$ADS$1,0),FALSE)</f>
        <v>#NUM!</v>
      </c>
      <c r="AZ71" s="292" t="e">
        <f t="array" aca="1" ref="AZ71" ca="1">VLOOKUP($B71,KOMBI!$A:$ADS,MATCH(Tulem!AZ$3,KOMBI!$A$1:$ADS$1,0),FALSE)</f>
        <v>#NUM!</v>
      </c>
      <c r="BA71" s="292" t="e">
        <f t="array" aca="1" ref="BA71" ca="1">VLOOKUP($B71,KOMBI!$A:$ADS,MATCH(Tulem!BA$3,KOMBI!$A$1:$ADS$1,0),FALSE)</f>
        <v>#NUM!</v>
      </c>
      <c r="BB71" s="292" t="e">
        <f t="array" aca="1" ref="BB71" ca="1">VLOOKUP($B71,KOMBI!$A:$ADS,MATCH(Tulem!BB$3,KOMBI!$A$1:$ADS$1,0),FALSE)</f>
        <v>#NUM!</v>
      </c>
      <c r="BC71" s="292" t="e">
        <f t="array" aca="1" ref="BC71" ca="1">VLOOKUP($B71,KOMBI!$A:$ADS,MATCH(Tulem!BC$3,KOMBI!$A$1:$ADS$1,0),FALSE)</f>
        <v>#NUM!</v>
      </c>
      <c r="BD71" s="292" t="e">
        <f t="array" aca="1" ref="BD71" ca="1">VLOOKUP($B71,KOMBI!$A:$ADS,MATCH(Tulem!BD$3,KOMBI!$A$1:$ADS$1,0),FALSE)</f>
        <v>#NUM!</v>
      </c>
      <c r="BE71" s="292" t="e">
        <f t="array" aca="1" ref="BE71" ca="1">VLOOKUP($B71,KOMBI!$A:$ADS,MATCH(Tulem!BE$3,KOMBI!$A$1:$ADS$1,0),FALSE)</f>
        <v>#NUM!</v>
      </c>
      <c r="BF71" s="292" t="e">
        <f t="array" aca="1" ref="BF71" ca="1">VLOOKUP($B71,KOMBI!$A:$ADS,MATCH(Tulem!BF$3,KOMBI!$A$1:$ADS$1,0),FALSE)</f>
        <v>#NUM!</v>
      </c>
      <c r="BG71" s="292" t="e">
        <f t="array" aca="1" ref="BG71" ca="1">VLOOKUP($B71,KOMBI!$A:$ADS,MATCH(Tulem!BG$3,KOMBI!$A$1:$ADS$1,0),FALSE)</f>
        <v>#NUM!</v>
      </c>
      <c r="BH71" s="292" t="e">
        <f t="array" aca="1" ref="BH71" ca="1">VLOOKUP($B71,KOMBI!$A:$ADS,MATCH(Tulem!BH$3,KOMBI!$A$1:$ADS$1,0),FALSE)</f>
        <v>#NUM!</v>
      </c>
      <c r="BI71" s="292" t="e">
        <f t="array" aca="1" ref="BI71" ca="1">VLOOKUP($B71,KOMBI!$A:$ADS,MATCH(Tulem!BI$3,KOMBI!$A$1:$ADS$1,0),FALSE)</f>
        <v>#NUM!</v>
      </c>
      <c r="BJ71" s="292" t="e">
        <f t="array" aca="1" ref="BJ71" ca="1">VLOOKUP($B71,KOMBI!$A:$ADS,MATCH(Tulem!BJ$3,KOMBI!$A$1:$ADS$1,0),FALSE)</f>
        <v>#NUM!</v>
      </c>
      <c r="BK71" s="292" t="e">
        <f t="array" aca="1" ref="BK71" ca="1">VLOOKUP($B71,KOMBI!$A:$ADS,MATCH(Tulem!BK$3,KOMBI!$A$1:$ADS$1,0),FALSE)</f>
        <v>#NUM!</v>
      </c>
      <c r="BL71" s="292" t="e">
        <f t="array" aca="1" ref="BL71" ca="1">VLOOKUP($B71,KOMBI!$A:$ADS,MATCH(Tulem!BL$3,KOMBI!$A$1:$ADS$1,0),FALSE)</f>
        <v>#NUM!</v>
      </c>
      <c r="BM71" s="292" t="e">
        <f t="array" aca="1" ref="BM71" ca="1">VLOOKUP($B71,KOMBI!$A:$ADS,MATCH(Tulem!BM$3,KOMBI!$A$1:$ADS$1,0),FALSE)</f>
        <v>#NUM!</v>
      </c>
      <c r="BN71" s="292" t="e">
        <f t="array" aca="1" ref="BN71" ca="1">VLOOKUP($B71,KOMBI!$A:$ADS,MATCH(Tulem!BN$3,KOMBI!$A$1:$ADS$1,0),FALSE)</f>
        <v>#NUM!</v>
      </c>
      <c r="BO71" s="292" t="e">
        <f t="array" aca="1" ref="BO71" ca="1">VLOOKUP($B71,KOMBI!$A:$ADS,MATCH(Tulem!BO$3,KOMBI!$A$1:$ADS$1,0),FALSE)</f>
        <v>#NUM!</v>
      </c>
      <c r="BP71" s="291"/>
      <c r="BQ71" s="292" t="e">
        <f t="array" aca="1" ref="BQ71" ca="1">VLOOKUP($B71,KOMBI!$A:$ADS,MATCH(Tulem!BQ$3,KOMBI!$A$1:$ADS$1,0),FALSE)</f>
        <v>#NUM!</v>
      </c>
      <c r="BR71" s="292" t="e">
        <f t="array" aca="1" ref="BR71" ca="1">VLOOKUP($B71,KOMBI!$A:$ADS,MATCH(Tulem!BR$3,KOMBI!$A$1:$ADS$1,0),FALSE)</f>
        <v>#NUM!</v>
      </c>
      <c r="BS71" s="292" t="e">
        <f t="array" aca="1" ref="BS71" ca="1">VLOOKUP($B71,KOMBI!$A:$ADS,MATCH(Tulem!BS$3,KOMBI!$A$1:$ADS$1,0),FALSE)</f>
        <v>#NUM!</v>
      </c>
      <c r="BT71" s="292" t="e">
        <f t="array" aca="1" ref="BT71" ca="1">VLOOKUP($B71,KOMBI!$A:$ADS,MATCH(Tulem!BT$3,KOMBI!$A$1:$ADS$1,0),FALSE)</f>
        <v>#NUM!</v>
      </c>
      <c r="BU71" s="292" t="e">
        <f t="array" aca="1" ref="BU71" ca="1">VLOOKUP($B71,KOMBI!$A:$ADS,MATCH(Tulem!BU$3,KOMBI!$A$1:$ADS$1,0),FALSE)</f>
        <v>#NUM!</v>
      </c>
      <c r="BV71" s="291"/>
      <c r="BW71" s="292" t="e">
        <f t="array" aca="1" ref="BW71" ca="1">VLOOKUP($B71,KOMBI!$A:$ADS,MATCH(Tulem!BW$3,KOMBI!$A$1:$ADS$1,0),FALSE)</f>
        <v>#NUM!</v>
      </c>
      <c r="BX71" s="291"/>
      <c r="BY71" s="291"/>
      <c r="BZ71" s="292" t="e">
        <f t="array" aca="1" ref="BZ71" ca="1">VLOOKUP($B71,KOMBI!$A:$ADS,MATCH(Tulem!BZ$3,KOMBI!$A$1:$ADS$1,0),FALSE)</f>
        <v>#NUM!</v>
      </c>
      <c r="CA71" s="292" t="e">
        <f t="array" aca="1" ref="CA71" ca="1">VLOOKUP($B71,KOMBI!$A:$ADS,MATCH(Tulem!CA$3,KOMBI!$A$1:$ADS$1,0),FALSE)</f>
        <v>#NUM!</v>
      </c>
      <c r="CB71" s="292" t="e">
        <f t="array" aca="1" ref="CB71" ca="1">VLOOKUP($B71,KOMBI!$A:$ADS,MATCH(Tulem!CB$3,KOMBI!$A$1:$ADS$1,0),FALSE)</f>
        <v>#NUM!</v>
      </c>
      <c r="CC71" s="292" t="e">
        <f t="array" aca="1" ref="CC71" ca="1">VLOOKUP($B71,KOMBI!$A:$ADS,MATCH(Tulem!CC$3,KOMBI!$A$1:$ADS$1,0),FALSE)</f>
        <v>#NUM!</v>
      </c>
      <c r="CD71" s="292" t="e">
        <f t="array" aca="1" ref="CD71" ca="1">VLOOKUP($B71,KOMBI!$A:$ADS,MATCH(Tulem!CD$3,KOMBI!$A$1:$ADS$1,0),FALSE)</f>
        <v>#NUM!</v>
      </c>
      <c r="CF71" s="51" t="e">
        <f ca="1">VLOOKUP($B71,KOMBI!$A:$ACG,MATCH(CF$5,KOMBI!$10:$10,0),FALSE)</f>
        <v>#NUM!</v>
      </c>
    </row>
    <row r="72" spans="1:84" x14ac:dyDescent="0.2">
      <c r="A72" s="51">
        <v>67</v>
      </c>
      <c r="B72" s="51" t="e">
        <f ca="1">KOMBI!GI77</f>
        <v>#NUM!</v>
      </c>
      <c r="C72" s="51">
        <f t="shared" si="3"/>
        <v>67</v>
      </c>
      <c r="D72" s="290" t="e">
        <f ca="1">VLOOKUP(VLOOKUP($B72,KOMBI!$A:$H,3,FALSE),data!$I$27:$J$29,2,FALSE)</f>
        <v>#NUM!</v>
      </c>
      <c r="E72" s="290" t="e">
        <f ca="1">VLOOKUP(VLOOKUP($B72,KOMBI!$A:$H,2,FALSE),data!$I$21:$J$23,2,FALSE)</f>
        <v>#NUM!</v>
      </c>
      <c r="F72" s="290" t="e">
        <f ca="1">VLOOKUP(VLOOKUP($B72,KOMBI!$A:$H,5,FALSE),data!$I$39:$J$41,2,FALSE)</f>
        <v>#NUM!</v>
      </c>
      <c r="G72" s="290" t="e">
        <f ca="1">VLOOKUP(VLOOKUP($B72,KOMBI!$A:$H,4,FALSE),data!$I$32:$J$36,2,FALSE)</f>
        <v>#NUM!</v>
      </c>
      <c r="I72" s="51" t="e">
        <f ca="1">VLOOKUP($B72,KOMBI!$A:$Z,MATCH(I$5,KOMBI!$10:$10,0),FALSE)</f>
        <v>#NUM!</v>
      </c>
      <c r="J72" s="291" t="e">
        <f ca="1">VLOOKUP($B72,KOMBI!$A:$ADS,J$3,FALSE)</f>
        <v>#NUM!</v>
      </c>
      <c r="K72" s="291" t="e">
        <f ca="1">VLOOKUP($B72,KOMBI!$A:$ADS,K$3,FALSE)</f>
        <v>#NUM!</v>
      </c>
      <c r="L72" s="291" t="e">
        <f ca="1">VLOOKUP($B72,KOMBI!$A:$ADS,L$3,FALSE)</f>
        <v>#NUM!</v>
      </c>
      <c r="M72" s="291" t="e">
        <f ca="1">VLOOKUP($B72,KOMBI!$A:$ADS,M$3,FALSE)</f>
        <v>#NUM!</v>
      </c>
      <c r="N72" s="291" t="e">
        <f ca="1">VLOOKUP($B72,KOMBI!$A:$ADS,N$3,FALSE)</f>
        <v>#NUM!</v>
      </c>
      <c r="O72" s="291" t="e">
        <f ca="1">VLOOKUP($B72,KOMBI!$A:$ADS,O$3,FALSE)</f>
        <v>#NUM!</v>
      </c>
      <c r="P72" s="291" t="e">
        <f ca="1">VLOOKUP($B72,KOMBI!$A:$ADS,P$3,FALSE)</f>
        <v>#NUM!</v>
      </c>
      <c r="Q72" s="292" t="e">
        <f t="array" aca="1" ref="Q72" ca="1">VLOOKUP($B72,KOMBI!$A:$ADS,MATCH(Tulem!Q$3,KOMBI!$A$1:$ADS$1,0),FALSE)</f>
        <v>#NUM!</v>
      </c>
      <c r="S72" s="332" t="e">
        <f t="array" aca="1" ref="S72" ca="1">VLOOKUP($B72,KOMBI!$A:$ADS,MATCH(Tulem!S$3,KOMBI!$A$1:$ADS$1,0),FALSE)</f>
        <v>#NUM!</v>
      </c>
      <c r="T72" s="293" t="e">
        <f ca="1">VLOOKUP($B72,KOMBI!$A:$ADS,T$3,FALSE)</f>
        <v>#NUM!</v>
      </c>
      <c r="U72" s="293" t="e">
        <f ca="1">VLOOKUP($B72,KOMBI!$A:$ADS,U$3,FALSE)</f>
        <v>#NUM!</v>
      </c>
      <c r="V72" s="293" t="e">
        <f ca="1">VLOOKUP($B72,KOMBI!$A:$ADS,V$3,FALSE)</f>
        <v>#NUM!</v>
      </c>
      <c r="W72" s="293"/>
      <c r="X72" s="293" t="e">
        <f ca="1">VLOOKUP($B72,KOMBI!$A:$ADS,X$3,FALSE)</f>
        <v>#NUM!</v>
      </c>
      <c r="Y72" s="293" t="e">
        <f ca="1">VLOOKUP($B72,KOMBI!$A:$ADS,Y$3,FALSE)</f>
        <v>#NUM!</v>
      </c>
      <c r="Z72" s="293" t="e">
        <f ca="1">VLOOKUP($B72,KOMBI!$A:$ADS,Z$3,FALSE)</f>
        <v>#NUM!</v>
      </c>
      <c r="AA72" s="294"/>
      <c r="AB72" s="293" t="e">
        <f ca="1">VLOOKUP($B72,KOMBI!$A:$ADS,AB$3,FALSE)</f>
        <v>#NUM!</v>
      </c>
      <c r="AC72" s="293" t="e">
        <f ca="1">VLOOKUP($B72,KOMBI!$A:$ADS,AC$3,FALSE)-AB72</f>
        <v>#NUM!</v>
      </c>
      <c r="AD72" s="293" t="e">
        <f ca="1">VLOOKUP($B72,KOMBI!$A:$ADS,AD$3,FALSE)</f>
        <v>#NUM!</v>
      </c>
      <c r="AE72" s="293" t="e">
        <f ca="1">VLOOKUP($B72,KOMBI!$A:$ADS,AE$3,FALSE)</f>
        <v>#NUM!</v>
      </c>
      <c r="AF72" s="293" t="e">
        <f ca="1">VLOOKUP($B72,KOMBI!$A:$ADS,AF$3,FALSE)-AE72</f>
        <v>#NUM!</v>
      </c>
      <c r="AG72" s="293" t="e">
        <f ca="1">VLOOKUP($B72,KOMBI!$A:$ADS,AG$3,FALSE)</f>
        <v>#NUM!</v>
      </c>
      <c r="AI72" s="293" t="e">
        <f t="array" aca="1" ref="AI72" ca="1">VLOOKUP($B72,KOMBI!$A:$ADS,MATCH(Tulem!AI$3,KOMBI!$A$1:$ADS$1,0),FALSE)</f>
        <v>#NUM!</v>
      </c>
      <c r="AJ72" s="293" t="e">
        <f t="array" aca="1" ref="AJ72" ca="1">VLOOKUP($B72,KOMBI!$A:$ADS,MATCH(Tulem!AJ$3,KOMBI!$A$1:$ADS$1,0),FALSE)</f>
        <v>#NUM!</v>
      </c>
      <c r="AK72" s="293" t="e">
        <f t="array" aca="1" ref="AK72" ca="1">VLOOKUP($B72,KOMBI!$A:$ADS,MATCH(Tulem!AK$3,KOMBI!$A$1:$ADS$1,0),FALSE)</f>
        <v>#NUM!</v>
      </c>
      <c r="AL72" s="293" t="e">
        <f t="array" aca="1" ref="AL72" ca="1">VLOOKUP($B72,KOMBI!$A:$ADS,MATCH(Tulem!AL$3,KOMBI!$A$1:$ADS$1,0),FALSE)</f>
        <v>#NUM!</v>
      </c>
      <c r="AM72" s="293" t="e">
        <f t="array" aca="1" ref="AM72" ca="1">VLOOKUP($B72,KOMBI!$A:$ADS,MATCH(Tulem!AM$3,KOMBI!$A$1:$ADS$1,0),FALSE)</f>
        <v>#NUM!</v>
      </c>
      <c r="AN72" s="293" t="e">
        <f t="array" aca="1" ref="AN72" ca="1">VLOOKUP($B72,KOMBI!$A:$ADS,MATCH(Tulem!AN$3,KOMBI!$A$1:$ADS$1,0),FALSE)</f>
        <v>#NUM!</v>
      </c>
      <c r="AO72" s="293" t="e">
        <f t="array" aca="1" ref="AO72" ca="1">VLOOKUP($B72,KOMBI!$A:$ADS,MATCH(Tulem!AO$3,KOMBI!$A$1:$ADS$1,0),FALSE)</f>
        <v>#NUM!</v>
      </c>
      <c r="AP72" s="293" t="e">
        <f t="array" aca="1" ref="AP72" ca="1">VLOOKUP($B72,KOMBI!$A:$ADS,MATCH(Tulem!AP$3,KOMBI!$A$1:$ADS$1,0),FALSE)</f>
        <v>#NUM!</v>
      </c>
      <c r="AQ72" s="293" t="e">
        <f t="array" aca="1" ref="AQ72" ca="1">VLOOKUP($B72,KOMBI!$A:$ADS,MATCH(Tulem!AQ$3,KOMBI!$A$1:$ADS$1,0),FALSE)</f>
        <v>#NUM!</v>
      </c>
      <c r="AR72" s="293" t="e">
        <f t="array" aca="1" ref="AR72" ca="1">VLOOKUP($B72,KOMBI!$A:$ADS,MATCH(Tulem!AR$3,KOMBI!$A$1:$ADS$1,0),FALSE)</f>
        <v>#NUM!</v>
      </c>
      <c r="AS72" s="293" t="e">
        <f t="array" aca="1" ref="AS72" ca="1">VLOOKUP($B72,KOMBI!$A:$ADS,MATCH(Tulem!AS$3,KOMBI!$A$1:$ADS$1,0),FALSE)</f>
        <v>#NUM!</v>
      </c>
      <c r="AT72" s="293" t="e">
        <f t="array" aca="1" ref="AT72" ca="1">VLOOKUP($B72,KOMBI!$A:$ADS,MATCH(Tulem!AT$3,KOMBI!$A$1:$ADS$1,0),FALSE)</f>
        <v>#NUM!</v>
      </c>
      <c r="AU72" s="293" t="e">
        <f t="array" aca="1" ref="AU72" ca="1">VLOOKUP($B72,KOMBI!$A:$ADS,MATCH(Tulem!AU$3,KOMBI!$A$1:$ADS$1,0),FALSE)</f>
        <v>#NUM!</v>
      </c>
      <c r="AV72" s="293" t="e">
        <f t="shared" ca="1" si="4"/>
        <v>#NUM!</v>
      </c>
      <c r="AW72" s="293" t="e">
        <f t="shared" ca="1" si="5"/>
        <v>#NUM!</v>
      </c>
      <c r="AX72" s="291" t="e">
        <f ca="1">VLOOKUP($B72,KOMBI!$A:$ACA,MATCH(AX$5,KOMBI!$10:$10,0),FALSE)</f>
        <v>#NUM!</v>
      </c>
      <c r="AY72" s="292" t="e">
        <f t="array" aca="1" ref="AY72" ca="1">VLOOKUP($B72,KOMBI!$A:$ADS,MATCH(Tulem!AY$3,KOMBI!$A$1:$ADS$1,0),FALSE)</f>
        <v>#NUM!</v>
      </c>
      <c r="AZ72" s="292" t="e">
        <f t="array" aca="1" ref="AZ72" ca="1">VLOOKUP($B72,KOMBI!$A:$ADS,MATCH(Tulem!AZ$3,KOMBI!$A$1:$ADS$1,0),FALSE)</f>
        <v>#NUM!</v>
      </c>
      <c r="BA72" s="292" t="e">
        <f t="array" aca="1" ref="BA72" ca="1">VLOOKUP($B72,KOMBI!$A:$ADS,MATCH(Tulem!BA$3,KOMBI!$A$1:$ADS$1,0),FALSE)</f>
        <v>#NUM!</v>
      </c>
      <c r="BB72" s="292" t="e">
        <f t="array" aca="1" ref="BB72" ca="1">VLOOKUP($B72,KOMBI!$A:$ADS,MATCH(Tulem!BB$3,KOMBI!$A$1:$ADS$1,0),FALSE)</f>
        <v>#NUM!</v>
      </c>
      <c r="BC72" s="292" t="e">
        <f t="array" aca="1" ref="BC72" ca="1">VLOOKUP($B72,KOMBI!$A:$ADS,MATCH(Tulem!BC$3,KOMBI!$A$1:$ADS$1,0),FALSE)</f>
        <v>#NUM!</v>
      </c>
      <c r="BD72" s="292" t="e">
        <f t="array" aca="1" ref="BD72" ca="1">VLOOKUP($B72,KOMBI!$A:$ADS,MATCH(Tulem!BD$3,KOMBI!$A$1:$ADS$1,0),FALSE)</f>
        <v>#NUM!</v>
      </c>
      <c r="BE72" s="292" t="e">
        <f t="array" aca="1" ref="BE72" ca="1">VLOOKUP($B72,KOMBI!$A:$ADS,MATCH(Tulem!BE$3,KOMBI!$A$1:$ADS$1,0),FALSE)</f>
        <v>#NUM!</v>
      </c>
      <c r="BF72" s="292" t="e">
        <f t="array" aca="1" ref="BF72" ca="1">VLOOKUP($B72,KOMBI!$A:$ADS,MATCH(Tulem!BF$3,KOMBI!$A$1:$ADS$1,0),FALSE)</f>
        <v>#NUM!</v>
      </c>
      <c r="BG72" s="292" t="e">
        <f t="array" aca="1" ref="BG72" ca="1">VLOOKUP($B72,KOMBI!$A:$ADS,MATCH(Tulem!BG$3,KOMBI!$A$1:$ADS$1,0),FALSE)</f>
        <v>#NUM!</v>
      </c>
      <c r="BH72" s="292" t="e">
        <f t="array" aca="1" ref="BH72" ca="1">VLOOKUP($B72,KOMBI!$A:$ADS,MATCH(Tulem!BH$3,KOMBI!$A$1:$ADS$1,0),FALSE)</f>
        <v>#NUM!</v>
      </c>
      <c r="BI72" s="292" t="e">
        <f t="array" aca="1" ref="BI72" ca="1">VLOOKUP($B72,KOMBI!$A:$ADS,MATCH(Tulem!BI$3,KOMBI!$A$1:$ADS$1,0),FALSE)</f>
        <v>#NUM!</v>
      </c>
      <c r="BJ72" s="292" t="e">
        <f t="array" aca="1" ref="BJ72" ca="1">VLOOKUP($B72,KOMBI!$A:$ADS,MATCH(Tulem!BJ$3,KOMBI!$A$1:$ADS$1,0),FALSE)</f>
        <v>#NUM!</v>
      </c>
      <c r="BK72" s="292" t="e">
        <f t="array" aca="1" ref="BK72" ca="1">VLOOKUP($B72,KOMBI!$A:$ADS,MATCH(Tulem!BK$3,KOMBI!$A$1:$ADS$1,0),FALSE)</f>
        <v>#NUM!</v>
      </c>
      <c r="BL72" s="292" t="e">
        <f t="array" aca="1" ref="BL72" ca="1">VLOOKUP($B72,KOMBI!$A:$ADS,MATCH(Tulem!BL$3,KOMBI!$A$1:$ADS$1,0),FALSE)</f>
        <v>#NUM!</v>
      </c>
      <c r="BM72" s="292" t="e">
        <f t="array" aca="1" ref="BM72" ca="1">VLOOKUP($B72,KOMBI!$A:$ADS,MATCH(Tulem!BM$3,KOMBI!$A$1:$ADS$1,0),FALSE)</f>
        <v>#NUM!</v>
      </c>
      <c r="BN72" s="292" t="e">
        <f t="array" aca="1" ref="BN72" ca="1">VLOOKUP($B72,KOMBI!$A:$ADS,MATCH(Tulem!BN$3,KOMBI!$A$1:$ADS$1,0),FALSE)</f>
        <v>#NUM!</v>
      </c>
      <c r="BO72" s="292" t="e">
        <f t="array" aca="1" ref="BO72" ca="1">VLOOKUP($B72,KOMBI!$A:$ADS,MATCH(Tulem!BO$3,KOMBI!$A$1:$ADS$1,0),FALSE)</f>
        <v>#NUM!</v>
      </c>
      <c r="BP72" s="291"/>
      <c r="BQ72" s="292" t="e">
        <f t="array" aca="1" ref="BQ72" ca="1">VLOOKUP($B72,KOMBI!$A:$ADS,MATCH(Tulem!BQ$3,KOMBI!$A$1:$ADS$1,0),FALSE)</f>
        <v>#NUM!</v>
      </c>
      <c r="BR72" s="292" t="e">
        <f t="array" aca="1" ref="BR72" ca="1">VLOOKUP($B72,KOMBI!$A:$ADS,MATCH(Tulem!BR$3,KOMBI!$A$1:$ADS$1,0),FALSE)</f>
        <v>#NUM!</v>
      </c>
      <c r="BS72" s="292" t="e">
        <f t="array" aca="1" ref="BS72" ca="1">VLOOKUP($B72,KOMBI!$A:$ADS,MATCH(Tulem!BS$3,KOMBI!$A$1:$ADS$1,0),FALSE)</f>
        <v>#NUM!</v>
      </c>
      <c r="BT72" s="292" t="e">
        <f t="array" aca="1" ref="BT72" ca="1">VLOOKUP($B72,KOMBI!$A:$ADS,MATCH(Tulem!BT$3,KOMBI!$A$1:$ADS$1,0),FALSE)</f>
        <v>#NUM!</v>
      </c>
      <c r="BU72" s="292" t="e">
        <f t="array" aca="1" ref="BU72" ca="1">VLOOKUP($B72,KOMBI!$A:$ADS,MATCH(Tulem!BU$3,KOMBI!$A$1:$ADS$1,0),FALSE)</f>
        <v>#NUM!</v>
      </c>
      <c r="BV72" s="291"/>
      <c r="BW72" s="292" t="e">
        <f t="array" aca="1" ref="BW72" ca="1">VLOOKUP($B72,KOMBI!$A:$ADS,MATCH(Tulem!BW$3,KOMBI!$A$1:$ADS$1,0),FALSE)</f>
        <v>#NUM!</v>
      </c>
      <c r="BX72" s="291"/>
      <c r="BY72" s="291"/>
      <c r="BZ72" s="292" t="e">
        <f t="array" aca="1" ref="BZ72" ca="1">VLOOKUP($B72,KOMBI!$A:$ADS,MATCH(Tulem!BZ$3,KOMBI!$A$1:$ADS$1,0),FALSE)</f>
        <v>#NUM!</v>
      </c>
      <c r="CA72" s="292" t="e">
        <f t="array" aca="1" ref="CA72" ca="1">VLOOKUP($B72,KOMBI!$A:$ADS,MATCH(Tulem!CA$3,KOMBI!$A$1:$ADS$1,0),FALSE)</f>
        <v>#NUM!</v>
      </c>
      <c r="CB72" s="292" t="e">
        <f t="array" aca="1" ref="CB72" ca="1">VLOOKUP($B72,KOMBI!$A:$ADS,MATCH(Tulem!CB$3,KOMBI!$A$1:$ADS$1,0),FALSE)</f>
        <v>#NUM!</v>
      </c>
      <c r="CC72" s="292" t="e">
        <f t="array" aca="1" ref="CC72" ca="1">VLOOKUP($B72,KOMBI!$A:$ADS,MATCH(Tulem!CC$3,KOMBI!$A$1:$ADS$1,0),FALSE)</f>
        <v>#NUM!</v>
      </c>
      <c r="CD72" s="292" t="e">
        <f t="array" aca="1" ref="CD72" ca="1">VLOOKUP($B72,KOMBI!$A:$ADS,MATCH(Tulem!CD$3,KOMBI!$A$1:$ADS$1,0),FALSE)</f>
        <v>#NUM!</v>
      </c>
      <c r="CF72" s="51" t="e">
        <f ca="1">VLOOKUP($B72,KOMBI!$A:$ACG,MATCH(CF$5,KOMBI!$10:$10,0),FALSE)</f>
        <v>#NUM!</v>
      </c>
    </row>
    <row r="73" spans="1:84" x14ac:dyDescent="0.2">
      <c r="A73" s="51">
        <v>68</v>
      </c>
      <c r="B73" s="51" t="e">
        <f ca="1">KOMBI!GI78</f>
        <v>#NUM!</v>
      </c>
      <c r="C73" s="51">
        <f t="shared" si="3"/>
        <v>68</v>
      </c>
      <c r="D73" s="290" t="e">
        <f ca="1">VLOOKUP(VLOOKUP($B73,KOMBI!$A:$H,3,FALSE),data!$I$27:$J$29,2,FALSE)</f>
        <v>#NUM!</v>
      </c>
      <c r="E73" s="290" t="e">
        <f ca="1">VLOOKUP(VLOOKUP($B73,KOMBI!$A:$H,2,FALSE),data!$I$21:$J$23,2,FALSE)</f>
        <v>#NUM!</v>
      </c>
      <c r="F73" s="290" t="e">
        <f ca="1">VLOOKUP(VLOOKUP($B73,KOMBI!$A:$H,5,FALSE),data!$I$39:$J$41,2,FALSE)</f>
        <v>#NUM!</v>
      </c>
      <c r="G73" s="290" t="e">
        <f ca="1">VLOOKUP(VLOOKUP($B73,KOMBI!$A:$H,4,FALSE),data!$I$32:$J$36,2,FALSE)</f>
        <v>#NUM!</v>
      </c>
      <c r="I73" s="51" t="e">
        <f ca="1">VLOOKUP($B73,KOMBI!$A:$Z,MATCH(I$5,KOMBI!$10:$10,0),FALSE)</f>
        <v>#NUM!</v>
      </c>
      <c r="J73" s="291" t="e">
        <f ca="1">VLOOKUP($B73,KOMBI!$A:$ADS,J$3,FALSE)</f>
        <v>#NUM!</v>
      </c>
      <c r="K73" s="291" t="e">
        <f ca="1">VLOOKUP($B73,KOMBI!$A:$ADS,K$3,FALSE)</f>
        <v>#NUM!</v>
      </c>
      <c r="L73" s="291" t="e">
        <f ca="1">VLOOKUP($B73,KOMBI!$A:$ADS,L$3,FALSE)</f>
        <v>#NUM!</v>
      </c>
      <c r="M73" s="291" t="e">
        <f ca="1">VLOOKUP($B73,KOMBI!$A:$ADS,M$3,FALSE)</f>
        <v>#NUM!</v>
      </c>
      <c r="N73" s="291" t="e">
        <f ca="1">VLOOKUP($B73,KOMBI!$A:$ADS,N$3,FALSE)</f>
        <v>#NUM!</v>
      </c>
      <c r="O73" s="291" t="e">
        <f ca="1">VLOOKUP($B73,KOMBI!$A:$ADS,O$3,FALSE)</f>
        <v>#NUM!</v>
      </c>
      <c r="P73" s="291" t="e">
        <f ca="1">VLOOKUP($B73,KOMBI!$A:$ADS,P$3,FALSE)</f>
        <v>#NUM!</v>
      </c>
      <c r="Q73" s="292" t="e">
        <f t="array" aca="1" ref="Q73" ca="1">VLOOKUP($B73,KOMBI!$A:$ADS,MATCH(Tulem!Q$3,KOMBI!$A$1:$ADS$1,0),FALSE)</f>
        <v>#NUM!</v>
      </c>
      <c r="S73" s="332" t="e">
        <f t="array" aca="1" ref="S73" ca="1">VLOOKUP($B73,KOMBI!$A:$ADS,MATCH(Tulem!S$3,KOMBI!$A$1:$ADS$1,0),FALSE)</f>
        <v>#NUM!</v>
      </c>
      <c r="T73" s="293" t="e">
        <f ca="1">VLOOKUP($B73,KOMBI!$A:$ADS,T$3,FALSE)</f>
        <v>#NUM!</v>
      </c>
      <c r="U73" s="293" t="e">
        <f ca="1">VLOOKUP($B73,KOMBI!$A:$ADS,U$3,FALSE)</f>
        <v>#NUM!</v>
      </c>
      <c r="V73" s="293" t="e">
        <f ca="1">VLOOKUP($B73,KOMBI!$A:$ADS,V$3,FALSE)</f>
        <v>#NUM!</v>
      </c>
      <c r="W73" s="293"/>
      <c r="X73" s="293" t="e">
        <f ca="1">VLOOKUP($B73,KOMBI!$A:$ADS,X$3,FALSE)</f>
        <v>#NUM!</v>
      </c>
      <c r="Y73" s="293" t="e">
        <f ca="1">VLOOKUP($B73,KOMBI!$A:$ADS,Y$3,FALSE)</f>
        <v>#NUM!</v>
      </c>
      <c r="Z73" s="293" t="e">
        <f ca="1">VLOOKUP($B73,KOMBI!$A:$ADS,Z$3,FALSE)</f>
        <v>#NUM!</v>
      </c>
      <c r="AA73" s="294"/>
      <c r="AB73" s="293" t="e">
        <f ca="1">VLOOKUP($B73,KOMBI!$A:$ADS,AB$3,FALSE)</f>
        <v>#NUM!</v>
      </c>
      <c r="AC73" s="293" t="e">
        <f ca="1">VLOOKUP($B73,KOMBI!$A:$ADS,AC$3,FALSE)-AB73</f>
        <v>#NUM!</v>
      </c>
      <c r="AD73" s="293" t="e">
        <f ca="1">VLOOKUP($B73,KOMBI!$A:$ADS,AD$3,FALSE)</f>
        <v>#NUM!</v>
      </c>
      <c r="AE73" s="293" t="e">
        <f ca="1">VLOOKUP($B73,KOMBI!$A:$ADS,AE$3,FALSE)</f>
        <v>#NUM!</v>
      </c>
      <c r="AF73" s="293" t="e">
        <f ca="1">VLOOKUP($B73,KOMBI!$A:$ADS,AF$3,FALSE)-AE73</f>
        <v>#NUM!</v>
      </c>
      <c r="AG73" s="293" t="e">
        <f ca="1">VLOOKUP($B73,KOMBI!$A:$ADS,AG$3,FALSE)</f>
        <v>#NUM!</v>
      </c>
      <c r="AI73" s="293" t="e">
        <f t="array" aca="1" ref="AI73" ca="1">VLOOKUP($B73,KOMBI!$A:$ADS,MATCH(Tulem!AI$3,KOMBI!$A$1:$ADS$1,0),FALSE)</f>
        <v>#NUM!</v>
      </c>
      <c r="AJ73" s="293" t="e">
        <f t="array" aca="1" ref="AJ73" ca="1">VLOOKUP($B73,KOMBI!$A:$ADS,MATCH(Tulem!AJ$3,KOMBI!$A$1:$ADS$1,0),FALSE)</f>
        <v>#NUM!</v>
      </c>
      <c r="AK73" s="293" t="e">
        <f t="array" aca="1" ref="AK73" ca="1">VLOOKUP($B73,KOMBI!$A:$ADS,MATCH(Tulem!AK$3,KOMBI!$A$1:$ADS$1,0),FALSE)</f>
        <v>#NUM!</v>
      </c>
      <c r="AL73" s="293" t="e">
        <f t="array" aca="1" ref="AL73" ca="1">VLOOKUP($B73,KOMBI!$A:$ADS,MATCH(Tulem!AL$3,KOMBI!$A$1:$ADS$1,0),FALSE)</f>
        <v>#NUM!</v>
      </c>
      <c r="AM73" s="293" t="e">
        <f t="array" aca="1" ref="AM73" ca="1">VLOOKUP($B73,KOMBI!$A:$ADS,MATCH(Tulem!AM$3,KOMBI!$A$1:$ADS$1,0),FALSE)</f>
        <v>#NUM!</v>
      </c>
      <c r="AN73" s="293" t="e">
        <f t="array" aca="1" ref="AN73" ca="1">VLOOKUP($B73,KOMBI!$A:$ADS,MATCH(Tulem!AN$3,KOMBI!$A$1:$ADS$1,0),FALSE)</f>
        <v>#NUM!</v>
      </c>
      <c r="AO73" s="293" t="e">
        <f t="array" aca="1" ref="AO73" ca="1">VLOOKUP($B73,KOMBI!$A:$ADS,MATCH(Tulem!AO$3,KOMBI!$A$1:$ADS$1,0),FALSE)</f>
        <v>#NUM!</v>
      </c>
      <c r="AP73" s="293" t="e">
        <f t="array" aca="1" ref="AP73" ca="1">VLOOKUP($B73,KOMBI!$A:$ADS,MATCH(Tulem!AP$3,KOMBI!$A$1:$ADS$1,0),FALSE)</f>
        <v>#NUM!</v>
      </c>
      <c r="AQ73" s="293" t="e">
        <f t="array" aca="1" ref="AQ73" ca="1">VLOOKUP($B73,KOMBI!$A:$ADS,MATCH(Tulem!AQ$3,KOMBI!$A$1:$ADS$1,0),FALSE)</f>
        <v>#NUM!</v>
      </c>
      <c r="AR73" s="293" t="e">
        <f t="array" aca="1" ref="AR73" ca="1">VLOOKUP($B73,KOMBI!$A:$ADS,MATCH(Tulem!AR$3,KOMBI!$A$1:$ADS$1,0),FALSE)</f>
        <v>#NUM!</v>
      </c>
      <c r="AS73" s="293" t="e">
        <f t="array" aca="1" ref="AS73" ca="1">VLOOKUP($B73,KOMBI!$A:$ADS,MATCH(Tulem!AS$3,KOMBI!$A$1:$ADS$1,0),FALSE)</f>
        <v>#NUM!</v>
      </c>
      <c r="AT73" s="293" t="e">
        <f t="array" aca="1" ref="AT73" ca="1">VLOOKUP($B73,KOMBI!$A:$ADS,MATCH(Tulem!AT$3,KOMBI!$A$1:$ADS$1,0),FALSE)</f>
        <v>#NUM!</v>
      </c>
      <c r="AU73" s="293" t="e">
        <f t="array" aca="1" ref="AU73" ca="1">VLOOKUP($B73,KOMBI!$A:$ADS,MATCH(Tulem!AU$3,KOMBI!$A$1:$ADS$1,0),FALSE)</f>
        <v>#NUM!</v>
      </c>
      <c r="AV73" s="293" t="e">
        <f t="shared" ca="1" si="4"/>
        <v>#NUM!</v>
      </c>
      <c r="AW73" s="293" t="e">
        <f t="shared" ca="1" si="5"/>
        <v>#NUM!</v>
      </c>
      <c r="AX73" s="291" t="e">
        <f ca="1">VLOOKUP($B73,KOMBI!$A:$ACA,MATCH(AX$5,KOMBI!$10:$10,0),FALSE)</f>
        <v>#NUM!</v>
      </c>
      <c r="AY73" s="292" t="e">
        <f t="array" aca="1" ref="AY73" ca="1">VLOOKUP($B73,KOMBI!$A:$ADS,MATCH(Tulem!AY$3,KOMBI!$A$1:$ADS$1,0),FALSE)</f>
        <v>#NUM!</v>
      </c>
      <c r="AZ73" s="292" t="e">
        <f t="array" aca="1" ref="AZ73" ca="1">VLOOKUP($B73,KOMBI!$A:$ADS,MATCH(Tulem!AZ$3,KOMBI!$A$1:$ADS$1,0),FALSE)</f>
        <v>#NUM!</v>
      </c>
      <c r="BA73" s="292" t="e">
        <f t="array" aca="1" ref="BA73" ca="1">VLOOKUP($B73,KOMBI!$A:$ADS,MATCH(Tulem!BA$3,KOMBI!$A$1:$ADS$1,0),FALSE)</f>
        <v>#NUM!</v>
      </c>
      <c r="BB73" s="292" t="e">
        <f t="array" aca="1" ref="BB73" ca="1">VLOOKUP($B73,KOMBI!$A:$ADS,MATCH(Tulem!BB$3,KOMBI!$A$1:$ADS$1,0),FALSE)</f>
        <v>#NUM!</v>
      </c>
      <c r="BC73" s="292" t="e">
        <f t="array" aca="1" ref="BC73" ca="1">VLOOKUP($B73,KOMBI!$A:$ADS,MATCH(Tulem!BC$3,KOMBI!$A$1:$ADS$1,0),FALSE)</f>
        <v>#NUM!</v>
      </c>
      <c r="BD73" s="292" t="e">
        <f t="array" aca="1" ref="BD73" ca="1">VLOOKUP($B73,KOMBI!$A:$ADS,MATCH(Tulem!BD$3,KOMBI!$A$1:$ADS$1,0),FALSE)</f>
        <v>#NUM!</v>
      </c>
      <c r="BE73" s="292" t="e">
        <f t="array" aca="1" ref="BE73" ca="1">VLOOKUP($B73,KOMBI!$A:$ADS,MATCH(Tulem!BE$3,KOMBI!$A$1:$ADS$1,0),FALSE)</f>
        <v>#NUM!</v>
      </c>
      <c r="BF73" s="292" t="e">
        <f t="array" aca="1" ref="BF73" ca="1">VLOOKUP($B73,KOMBI!$A:$ADS,MATCH(Tulem!BF$3,KOMBI!$A$1:$ADS$1,0),FALSE)</f>
        <v>#NUM!</v>
      </c>
      <c r="BG73" s="292" t="e">
        <f t="array" aca="1" ref="BG73" ca="1">VLOOKUP($B73,KOMBI!$A:$ADS,MATCH(Tulem!BG$3,KOMBI!$A$1:$ADS$1,0),FALSE)</f>
        <v>#NUM!</v>
      </c>
      <c r="BH73" s="292" t="e">
        <f t="array" aca="1" ref="BH73" ca="1">VLOOKUP($B73,KOMBI!$A:$ADS,MATCH(Tulem!BH$3,KOMBI!$A$1:$ADS$1,0),FALSE)</f>
        <v>#NUM!</v>
      </c>
      <c r="BI73" s="292" t="e">
        <f t="array" aca="1" ref="BI73" ca="1">VLOOKUP($B73,KOMBI!$A:$ADS,MATCH(Tulem!BI$3,KOMBI!$A$1:$ADS$1,0),FALSE)</f>
        <v>#NUM!</v>
      </c>
      <c r="BJ73" s="292" t="e">
        <f t="array" aca="1" ref="BJ73" ca="1">VLOOKUP($B73,KOMBI!$A:$ADS,MATCH(Tulem!BJ$3,KOMBI!$A$1:$ADS$1,0),FALSE)</f>
        <v>#NUM!</v>
      </c>
      <c r="BK73" s="292" t="e">
        <f t="array" aca="1" ref="BK73" ca="1">VLOOKUP($B73,KOMBI!$A:$ADS,MATCH(Tulem!BK$3,KOMBI!$A$1:$ADS$1,0),FALSE)</f>
        <v>#NUM!</v>
      </c>
      <c r="BL73" s="292" t="e">
        <f t="array" aca="1" ref="BL73" ca="1">VLOOKUP($B73,KOMBI!$A:$ADS,MATCH(Tulem!BL$3,KOMBI!$A$1:$ADS$1,0),FALSE)</f>
        <v>#NUM!</v>
      </c>
      <c r="BM73" s="292" t="e">
        <f t="array" aca="1" ref="BM73" ca="1">VLOOKUP($B73,KOMBI!$A:$ADS,MATCH(Tulem!BM$3,KOMBI!$A$1:$ADS$1,0),FALSE)</f>
        <v>#NUM!</v>
      </c>
      <c r="BN73" s="292" t="e">
        <f t="array" aca="1" ref="BN73" ca="1">VLOOKUP($B73,KOMBI!$A:$ADS,MATCH(Tulem!BN$3,KOMBI!$A$1:$ADS$1,0),FALSE)</f>
        <v>#NUM!</v>
      </c>
      <c r="BO73" s="292" t="e">
        <f t="array" aca="1" ref="BO73" ca="1">VLOOKUP($B73,KOMBI!$A:$ADS,MATCH(Tulem!BO$3,KOMBI!$A$1:$ADS$1,0),FALSE)</f>
        <v>#NUM!</v>
      </c>
      <c r="BP73" s="291"/>
      <c r="BQ73" s="292" t="e">
        <f t="array" aca="1" ref="BQ73" ca="1">VLOOKUP($B73,KOMBI!$A:$ADS,MATCH(Tulem!BQ$3,KOMBI!$A$1:$ADS$1,0),FALSE)</f>
        <v>#NUM!</v>
      </c>
      <c r="BR73" s="292" t="e">
        <f t="array" aca="1" ref="BR73" ca="1">VLOOKUP($B73,KOMBI!$A:$ADS,MATCH(Tulem!BR$3,KOMBI!$A$1:$ADS$1,0),FALSE)</f>
        <v>#NUM!</v>
      </c>
      <c r="BS73" s="292" t="e">
        <f t="array" aca="1" ref="BS73" ca="1">VLOOKUP($B73,KOMBI!$A:$ADS,MATCH(Tulem!BS$3,KOMBI!$A$1:$ADS$1,0),FALSE)</f>
        <v>#NUM!</v>
      </c>
      <c r="BT73" s="292" t="e">
        <f t="array" aca="1" ref="BT73" ca="1">VLOOKUP($B73,KOMBI!$A:$ADS,MATCH(Tulem!BT$3,KOMBI!$A$1:$ADS$1,0),FALSE)</f>
        <v>#NUM!</v>
      </c>
      <c r="BU73" s="292" t="e">
        <f t="array" aca="1" ref="BU73" ca="1">VLOOKUP($B73,KOMBI!$A:$ADS,MATCH(Tulem!BU$3,KOMBI!$A$1:$ADS$1,0),FALSE)</f>
        <v>#NUM!</v>
      </c>
      <c r="BV73" s="291"/>
      <c r="BW73" s="292" t="e">
        <f t="array" aca="1" ref="BW73" ca="1">VLOOKUP($B73,KOMBI!$A:$ADS,MATCH(Tulem!BW$3,KOMBI!$A$1:$ADS$1,0),FALSE)</f>
        <v>#NUM!</v>
      </c>
      <c r="BX73" s="291"/>
      <c r="BY73" s="291"/>
      <c r="BZ73" s="292" t="e">
        <f t="array" aca="1" ref="BZ73" ca="1">VLOOKUP($B73,KOMBI!$A:$ADS,MATCH(Tulem!BZ$3,KOMBI!$A$1:$ADS$1,0),FALSE)</f>
        <v>#NUM!</v>
      </c>
      <c r="CA73" s="292" t="e">
        <f t="array" aca="1" ref="CA73" ca="1">VLOOKUP($B73,KOMBI!$A:$ADS,MATCH(Tulem!CA$3,KOMBI!$A$1:$ADS$1,0),FALSE)</f>
        <v>#NUM!</v>
      </c>
      <c r="CB73" s="292" t="e">
        <f t="array" aca="1" ref="CB73" ca="1">VLOOKUP($B73,KOMBI!$A:$ADS,MATCH(Tulem!CB$3,KOMBI!$A$1:$ADS$1,0),FALSE)</f>
        <v>#NUM!</v>
      </c>
      <c r="CC73" s="292" t="e">
        <f t="array" aca="1" ref="CC73" ca="1">VLOOKUP($B73,KOMBI!$A:$ADS,MATCH(Tulem!CC$3,KOMBI!$A$1:$ADS$1,0),FALSE)</f>
        <v>#NUM!</v>
      </c>
      <c r="CD73" s="292" t="e">
        <f t="array" aca="1" ref="CD73" ca="1">VLOOKUP($B73,KOMBI!$A:$ADS,MATCH(Tulem!CD$3,KOMBI!$A$1:$ADS$1,0),FALSE)</f>
        <v>#NUM!</v>
      </c>
      <c r="CF73" s="51" t="e">
        <f ca="1">VLOOKUP($B73,KOMBI!$A:$ACG,MATCH(CF$5,KOMBI!$10:$10,0),FALSE)</f>
        <v>#NUM!</v>
      </c>
    </row>
    <row r="74" spans="1:84" x14ac:dyDescent="0.2">
      <c r="A74" s="51">
        <v>69</v>
      </c>
      <c r="B74" s="51" t="e">
        <f ca="1">KOMBI!GI79</f>
        <v>#NUM!</v>
      </c>
      <c r="C74" s="51">
        <f t="shared" si="3"/>
        <v>69</v>
      </c>
      <c r="D74" s="290" t="e">
        <f ca="1">VLOOKUP(VLOOKUP($B74,KOMBI!$A:$H,3,FALSE),data!$I$27:$J$29,2,FALSE)</f>
        <v>#NUM!</v>
      </c>
      <c r="E74" s="290" t="e">
        <f ca="1">VLOOKUP(VLOOKUP($B74,KOMBI!$A:$H,2,FALSE),data!$I$21:$J$23,2,FALSE)</f>
        <v>#NUM!</v>
      </c>
      <c r="F74" s="290" t="e">
        <f ca="1">VLOOKUP(VLOOKUP($B74,KOMBI!$A:$H,5,FALSE),data!$I$39:$J$41,2,FALSE)</f>
        <v>#NUM!</v>
      </c>
      <c r="G74" s="290" t="e">
        <f ca="1">VLOOKUP(VLOOKUP($B74,KOMBI!$A:$H,4,FALSE),data!$I$32:$J$36,2,FALSE)</f>
        <v>#NUM!</v>
      </c>
      <c r="I74" s="51" t="e">
        <f ca="1">VLOOKUP($B74,KOMBI!$A:$Z,MATCH(I$5,KOMBI!$10:$10,0),FALSE)</f>
        <v>#NUM!</v>
      </c>
      <c r="J74" s="291" t="e">
        <f ca="1">VLOOKUP($B74,KOMBI!$A:$ADS,J$3,FALSE)</f>
        <v>#NUM!</v>
      </c>
      <c r="K74" s="291" t="e">
        <f ca="1">VLOOKUP($B74,KOMBI!$A:$ADS,K$3,FALSE)</f>
        <v>#NUM!</v>
      </c>
      <c r="L74" s="291" t="e">
        <f ca="1">VLOOKUP($B74,KOMBI!$A:$ADS,L$3,FALSE)</f>
        <v>#NUM!</v>
      </c>
      <c r="M74" s="291" t="e">
        <f ca="1">VLOOKUP($B74,KOMBI!$A:$ADS,M$3,FALSE)</f>
        <v>#NUM!</v>
      </c>
      <c r="N74" s="291" t="e">
        <f ca="1">VLOOKUP($B74,KOMBI!$A:$ADS,N$3,FALSE)</f>
        <v>#NUM!</v>
      </c>
      <c r="O74" s="291" t="e">
        <f ca="1">VLOOKUP($B74,KOMBI!$A:$ADS,O$3,FALSE)</f>
        <v>#NUM!</v>
      </c>
      <c r="P74" s="291" t="e">
        <f ca="1">VLOOKUP($B74,KOMBI!$A:$ADS,P$3,FALSE)</f>
        <v>#NUM!</v>
      </c>
      <c r="Q74" s="292" t="e">
        <f t="array" aca="1" ref="Q74" ca="1">VLOOKUP($B74,KOMBI!$A:$ADS,MATCH(Tulem!Q$3,KOMBI!$A$1:$ADS$1,0),FALSE)</f>
        <v>#NUM!</v>
      </c>
      <c r="S74" s="332" t="e">
        <f t="array" aca="1" ref="S74" ca="1">VLOOKUP($B74,KOMBI!$A:$ADS,MATCH(Tulem!S$3,KOMBI!$A$1:$ADS$1,0),FALSE)</f>
        <v>#NUM!</v>
      </c>
      <c r="T74" s="293" t="e">
        <f ca="1">VLOOKUP($B74,KOMBI!$A:$ADS,T$3,FALSE)</f>
        <v>#NUM!</v>
      </c>
      <c r="U74" s="293" t="e">
        <f ca="1">VLOOKUP($B74,KOMBI!$A:$ADS,U$3,FALSE)</f>
        <v>#NUM!</v>
      </c>
      <c r="V74" s="293" t="e">
        <f ca="1">VLOOKUP($B74,KOMBI!$A:$ADS,V$3,FALSE)</f>
        <v>#NUM!</v>
      </c>
      <c r="W74" s="293"/>
      <c r="X74" s="293" t="e">
        <f ca="1">VLOOKUP($B74,KOMBI!$A:$ADS,X$3,FALSE)</f>
        <v>#NUM!</v>
      </c>
      <c r="Y74" s="293" t="e">
        <f ca="1">VLOOKUP($B74,KOMBI!$A:$ADS,Y$3,FALSE)</f>
        <v>#NUM!</v>
      </c>
      <c r="Z74" s="293" t="e">
        <f ca="1">VLOOKUP($B74,KOMBI!$A:$ADS,Z$3,FALSE)</f>
        <v>#NUM!</v>
      </c>
      <c r="AA74" s="294"/>
      <c r="AB74" s="293" t="e">
        <f ca="1">VLOOKUP($B74,KOMBI!$A:$ADS,AB$3,FALSE)</f>
        <v>#NUM!</v>
      </c>
      <c r="AC74" s="293" t="e">
        <f ca="1">VLOOKUP($B74,KOMBI!$A:$ADS,AC$3,FALSE)-AB74</f>
        <v>#NUM!</v>
      </c>
      <c r="AD74" s="293" t="e">
        <f ca="1">VLOOKUP($B74,KOMBI!$A:$ADS,AD$3,FALSE)</f>
        <v>#NUM!</v>
      </c>
      <c r="AE74" s="293" t="e">
        <f ca="1">VLOOKUP($B74,KOMBI!$A:$ADS,AE$3,FALSE)</f>
        <v>#NUM!</v>
      </c>
      <c r="AF74" s="293" t="e">
        <f ca="1">VLOOKUP($B74,KOMBI!$A:$ADS,AF$3,FALSE)-AE74</f>
        <v>#NUM!</v>
      </c>
      <c r="AG74" s="293" t="e">
        <f ca="1">VLOOKUP($B74,KOMBI!$A:$ADS,AG$3,FALSE)</f>
        <v>#NUM!</v>
      </c>
      <c r="AI74" s="293" t="e">
        <f t="array" aca="1" ref="AI74" ca="1">VLOOKUP($B74,KOMBI!$A:$ADS,MATCH(Tulem!AI$3,KOMBI!$A$1:$ADS$1,0),FALSE)</f>
        <v>#NUM!</v>
      </c>
      <c r="AJ74" s="293" t="e">
        <f t="array" aca="1" ref="AJ74" ca="1">VLOOKUP($B74,KOMBI!$A:$ADS,MATCH(Tulem!AJ$3,KOMBI!$A$1:$ADS$1,0),FALSE)</f>
        <v>#NUM!</v>
      </c>
      <c r="AK74" s="293" t="e">
        <f t="array" aca="1" ref="AK74" ca="1">VLOOKUP($B74,KOMBI!$A:$ADS,MATCH(Tulem!AK$3,KOMBI!$A$1:$ADS$1,0),FALSE)</f>
        <v>#NUM!</v>
      </c>
      <c r="AL74" s="293" t="e">
        <f t="array" aca="1" ref="AL74" ca="1">VLOOKUP($B74,KOMBI!$A:$ADS,MATCH(Tulem!AL$3,KOMBI!$A$1:$ADS$1,0),FALSE)</f>
        <v>#NUM!</v>
      </c>
      <c r="AM74" s="293" t="e">
        <f t="array" aca="1" ref="AM74" ca="1">VLOOKUP($B74,KOMBI!$A:$ADS,MATCH(Tulem!AM$3,KOMBI!$A$1:$ADS$1,0),FALSE)</f>
        <v>#NUM!</v>
      </c>
      <c r="AN74" s="293" t="e">
        <f t="array" aca="1" ref="AN74" ca="1">VLOOKUP($B74,KOMBI!$A:$ADS,MATCH(Tulem!AN$3,KOMBI!$A$1:$ADS$1,0),FALSE)</f>
        <v>#NUM!</v>
      </c>
      <c r="AO74" s="293" t="e">
        <f t="array" aca="1" ref="AO74" ca="1">VLOOKUP($B74,KOMBI!$A:$ADS,MATCH(Tulem!AO$3,KOMBI!$A$1:$ADS$1,0),FALSE)</f>
        <v>#NUM!</v>
      </c>
      <c r="AP74" s="293" t="e">
        <f t="array" aca="1" ref="AP74" ca="1">VLOOKUP($B74,KOMBI!$A:$ADS,MATCH(Tulem!AP$3,KOMBI!$A$1:$ADS$1,0),FALSE)</f>
        <v>#NUM!</v>
      </c>
      <c r="AQ74" s="293" t="e">
        <f t="array" aca="1" ref="AQ74" ca="1">VLOOKUP($B74,KOMBI!$A:$ADS,MATCH(Tulem!AQ$3,KOMBI!$A$1:$ADS$1,0),FALSE)</f>
        <v>#NUM!</v>
      </c>
      <c r="AR74" s="293" t="e">
        <f t="array" aca="1" ref="AR74" ca="1">VLOOKUP($B74,KOMBI!$A:$ADS,MATCH(Tulem!AR$3,KOMBI!$A$1:$ADS$1,0),FALSE)</f>
        <v>#NUM!</v>
      </c>
      <c r="AS74" s="293" t="e">
        <f t="array" aca="1" ref="AS74" ca="1">VLOOKUP($B74,KOMBI!$A:$ADS,MATCH(Tulem!AS$3,KOMBI!$A$1:$ADS$1,0),FALSE)</f>
        <v>#NUM!</v>
      </c>
      <c r="AT74" s="293" t="e">
        <f t="array" aca="1" ref="AT74" ca="1">VLOOKUP($B74,KOMBI!$A:$ADS,MATCH(Tulem!AT$3,KOMBI!$A$1:$ADS$1,0),FALSE)</f>
        <v>#NUM!</v>
      </c>
      <c r="AU74" s="293" t="e">
        <f t="array" aca="1" ref="AU74" ca="1">VLOOKUP($B74,KOMBI!$A:$ADS,MATCH(Tulem!AU$3,KOMBI!$A$1:$ADS$1,0),FALSE)</f>
        <v>#NUM!</v>
      </c>
      <c r="AV74" s="293" t="e">
        <f t="shared" ca="1" si="4"/>
        <v>#NUM!</v>
      </c>
      <c r="AW74" s="293" t="e">
        <f t="shared" ca="1" si="5"/>
        <v>#NUM!</v>
      </c>
      <c r="AX74" s="291" t="e">
        <f ca="1">VLOOKUP($B74,KOMBI!$A:$ACA,MATCH(AX$5,KOMBI!$10:$10,0),FALSE)</f>
        <v>#NUM!</v>
      </c>
      <c r="AY74" s="292" t="e">
        <f t="array" aca="1" ref="AY74" ca="1">VLOOKUP($B74,KOMBI!$A:$ADS,MATCH(Tulem!AY$3,KOMBI!$A$1:$ADS$1,0),FALSE)</f>
        <v>#NUM!</v>
      </c>
      <c r="AZ74" s="292" t="e">
        <f t="array" aca="1" ref="AZ74" ca="1">VLOOKUP($B74,KOMBI!$A:$ADS,MATCH(Tulem!AZ$3,KOMBI!$A$1:$ADS$1,0),FALSE)</f>
        <v>#NUM!</v>
      </c>
      <c r="BA74" s="292" t="e">
        <f t="array" aca="1" ref="BA74" ca="1">VLOOKUP($B74,KOMBI!$A:$ADS,MATCH(Tulem!BA$3,KOMBI!$A$1:$ADS$1,0),FALSE)</f>
        <v>#NUM!</v>
      </c>
      <c r="BB74" s="292" t="e">
        <f t="array" aca="1" ref="BB74" ca="1">VLOOKUP($B74,KOMBI!$A:$ADS,MATCH(Tulem!BB$3,KOMBI!$A$1:$ADS$1,0),FALSE)</f>
        <v>#NUM!</v>
      </c>
      <c r="BC74" s="292" t="e">
        <f t="array" aca="1" ref="BC74" ca="1">VLOOKUP($B74,KOMBI!$A:$ADS,MATCH(Tulem!BC$3,KOMBI!$A$1:$ADS$1,0),FALSE)</f>
        <v>#NUM!</v>
      </c>
      <c r="BD74" s="292" t="e">
        <f t="array" aca="1" ref="BD74" ca="1">VLOOKUP($B74,KOMBI!$A:$ADS,MATCH(Tulem!BD$3,KOMBI!$A$1:$ADS$1,0),FALSE)</f>
        <v>#NUM!</v>
      </c>
      <c r="BE74" s="292" t="e">
        <f t="array" aca="1" ref="BE74" ca="1">VLOOKUP($B74,KOMBI!$A:$ADS,MATCH(Tulem!BE$3,KOMBI!$A$1:$ADS$1,0),FALSE)</f>
        <v>#NUM!</v>
      </c>
      <c r="BF74" s="292" t="e">
        <f t="array" aca="1" ref="BF74" ca="1">VLOOKUP($B74,KOMBI!$A:$ADS,MATCH(Tulem!BF$3,KOMBI!$A$1:$ADS$1,0),FALSE)</f>
        <v>#NUM!</v>
      </c>
      <c r="BG74" s="292" t="e">
        <f t="array" aca="1" ref="BG74" ca="1">VLOOKUP($B74,KOMBI!$A:$ADS,MATCH(Tulem!BG$3,KOMBI!$A$1:$ADS$1,0),FALSE)</f>
        <v>#NUM!</v>
      </c>
      <c r="BH74" s="292" t="e">
        <f t="array" aca="1" ref="BH74" ca="1">VLOOKUP($B74,KOMBI!$A:$ADS,MATCH(Tulem!BH$3,KOMBI!$A$1:$ADS$1,0),FALSE)</f>
        <v>#NUM!</v>
      </c>
      <c r="BI74" s="292" t="e">
        <f t="array" aca="1" ref="BI74" ca="1">VLOOKUP($B74,KOMBI!$A:$ADS,MATCH(Tulem!BI$3,KOMBI!$A$1:$ADS$1,0),FALSE)</f>
        <v>#NUM!</v>
      </c>
      <c r="BJ74" s="292" t="e">
        <f t="array" aca="1" ref="BJ74" ca="1">VLOOKUP($B74,KOMBI!$A:$ADS,MATCH(Tulem!BJ$3,KOMBI!$A$1:$ADS$1,0),FALSE)</f>
        <v>#NUM!</v>
      </c>
      <c r="BK74" s="292" t="e">
        <f t="array" aca="1" ref="BK74" ca="1">VLOOKUP($B74,KOMBI!$A:$ADS,MATCH(Tulem!BK$3,KOMBI!$A$1:$ADS$1,0),FALSE)</f>
        <v>#NUM!</v>
      </c>
      <c r="BL74" s="292" t="e">
        <f t="array" aca="1" ref="BL74" ca="1">VLOOKUP($B74,KOMBI!$A:$ADS,MATCH(Tulem!BL$3,KOMBI!$A$1:$ADS$1,0),FALSE)</f>
        <v>#NUM!</v>
      </c>
      <c r="BM74" s="292" t="e">
        <f t="array" aca="1" ref="BM74" ca="1">VLOOKUP($B74,KOMBI!$A:$ADS,MATCH(Tulem!BM$3,KOMBI!$A$1:$ADS$1,0),FALSE)</f>
        <v>#NUM!</v>
      </c>
      <c r="BN74" s="292" t="e">
        <f t="array" aca="1" ref="BN74" ca="1">VLOOKUP($B74,KOMBI!$A:$ADS,MATCH(Tulem!BN$3,KOMBI!$A$1:$ADS$1,0),FALSE)</f>
        <v>#NUM!</v>
      </c>
      <c r="BO74" s="292" t="e">
        <f t="array" aca="1" ref="BO74" ca="1">VLOOKUP($B74,KOMBI!$A:$ADS,MATCH(Tulem!BO$3,KOMBI!$A$1:$ADS$1,0),FALSE)</f>
        <v>#NUM!</v>
      </c>
      <c r="BP74" s="291"/>
      <c r="BQ74" s="292" t="e">
        <f t="array" aca="1" ref="BQ74" ca="1">VLOOKUP($B74,KOMBI!$A:$ADS,MATCH(Tulem!BQ$3,KOMBI!$A$1:$ADS$1,0),FALSE)</f>
        <v>#NUM!</v>
      </c>
      <c r="BR74" s="292" t="e">
        <f t="array" aca="1" ref="BR74" ca="1">VLOOKUP($B74,KOMBI!$A:$ADS,MATCH(Tulem!BR$3,KOMBI!$A$1:$ADS$1,0),FALSE)</f>
        <v>#NUM!</v>
      </c>
      <c r="BS74" s="292" t="e">
        <f t="array" aca="1" ref="BS74" ca="1">VLOOKUP($B74,KOMBI!$A:$ADS,MATCH(Tulem!BS$3,KOMBI!$A$1:$ADS$1,0),FALSE)</f>
        <v>#NUM!</v>
      </c>
      <c r="BT74" s="292" t="e">
        <f t="array" aca="1" ref="BT74" ca="1">VLOOKUP($B74,KOMBI!$A:$ADS,MATCH(Tulem!BT$3,KOMBI!$A$1:$ADS$1,0),FALSE)</f>
        <v>#NUM!</v>
      </c>
      <c r="BU74" s="292" t="e">
        <f t="array" aca="1" ref="BU74" ca="1">VLOOKUP($B74,KOMBI!$A:$ADS,MATCH(Tulem!BU$3,KOMBI!$A$1:$ADS$1,0),FALSE)</f>
        <v>#NUM!</v>
      </c>
      <c r="BV74" s="291"/>
      <c r="BW74" s="292" t="e">
        <f t="array" aca="1" ref="BW74" ca="1">VLOOKUP($B74,KOMBI!$A:$ADS,MATCH(Tulem!BW$3,KOMBI!$A$1:$ADS$1,0),FALSE)</f>
        <v>#NUM!</v>
      </c>
      <c r="BX74" s="291"/>
      <c r="BY74" s="291"/>
      <c r="BZ74" s="292" t="e">
        <f t="array" aca="1" ref="BZ74" ca="1">VLOOKUP($B74,KOMBI!$A:$ADS,MATCH(Tulem!BZ$3,KOMBI!$A$1:$ADS$1,0),FALSE)</f>
        <v>#NUM!</v>
      </c>
      <c r="CA74" s="292" t="e">
        <f t="array" aca="1" ref="CA74" ca="1">VLOOKUP($B74,KOMBI!$A:$ADS,MATCH(Tulem!CA$3,KOMBI!$A$1:$ADS$1,0),FALSE)</f>
        <v>#NUM!</v>
      </c>
      <c r="CB74" s="292" t="e">
        <f t="array" aca="1" ref="CB74" ca="1">VLOOKUP($B74,KOMBI!$A:$ADS,MATCH(Tulem!CB$3,KOMBI!$A$1:$ADS$1,0),FALSE)</f>
        <v>#NUM!</v>
      </c>
      <c r="CC74" s="292" t="e">
        <f t="array" aca="1" ref="CC74" ca="1">VLOOKUP($B74,KOMBI!$A:$ADS,MATCH(Tulem!CC$3,KOMBI!$A$1:$ADS$1,0),FALSE)</f>
        <v>#NUM!</v>
      </c>
      <c r="CD74" s="292" t="e">
        <f t="array" aca="1" ref="CD74" ca="1">VLOOKUP($B74,KOMBI!$A:$ADS,MATCH(Tulem!CD$3,KOMBI!$A$1:$ADS$1,0),FALSE)</f>
        <v>#NUM!</v>
      </c>
      <c r="CF74" s="51" t="e">
        <f ca="1">VLOOKUP($B74,KOMBI!$A:$ACG,MATCH(CF$5,KOMBI!$10:$10,0),FALSE)</f>
        <v>#NUM!</v>
      </c>
    </row>
    <row r="75" spans="1:84" x14ac:dyDescent="0.2">
      <c r="A75" s="51">
        <v>70</v>
      </c>
      <c r="B75" s="51" t="e">
        <f ca="1">KOMBI!GI80</f>
        <v>#NUM!</v>
      </c>
      <c r="C75" s="51">
        <f t="shared" si="3"/>
        <v>70</v>
      </c>
      <c r="D75" s="290" t="e">
        <f ca="1">VLOOKUP(VLOOKUP($B75,KOMBI!$A:$H,3,FALSE),data!$I$27:$J$29,2,FALSE)</f>
        <v>#NUM!</v>
      </c>
      <c r="E75" s="290" t="e">
        <f ca="1">VLOOKUP(VLOOKUP($B75,KOMBI!$A:$H,2,FALSE),data!$I$21:$J$23,2,FALSE)</f>
        <v>#NUM!</v>
      </c>
      <c r="F75" s="290" t="e">
        <f ca="1">VLOOKUP(VLOOKUP($B75,KOMBI!$A:$H,5,FALSE),data!$I$39:$J$41,2,FALSE)</f>
        <v>#NUM!</v>
      </c>
      <c r="G75" s="290" t="e">
        <f ca="1">VLOOKUP(VLOOKUP($B75,KOMBI!$A:$H,4,FALSE),data!$I$32:$J$36,2,FALSE)</f>
        <v>#NUM!</v>
      </c>
      <c r="I75" s="51" t="e">
        <f ca="1">VLOOKUP($B75,KOMBI!$A:$Z,MATCH(I$5,KOMBI!$10:$10,0),FALSE)</f>
        <v>#NUM!</v>
      </c>
      <c r="J75" s="291" t="e">
        <f ca="1">VLOOKUP($B75,KOMBI!$A:$ADS,J$3,FALSE)</f>
        <v>#NUM!</v>
      </c>
      <c r="K75" s="291" t="e">
        <f ca="1">VLOOKUP($B75,KOMBI!$A:$ADS,K$3,FALSE)</f>
        <v>#NUM!</v>
      </c>
      <c r="L75" s="291" t="e">
        <f ca="1">VLOOKUP($B75,KOMBI!$A:$ADS,L$3,FALSE)</f>
        <v>#NUM!</v>
      </c>
      <c r="M75" s="291" t="e">
        <f ca="1">VLOOKUP($B75,KOMBI!$A:$ADS,M$3,FALSE)</f>
        <v>#NUM!</v>
      </c>
      <c r="N75" s="291" t="e">
        <f ca="1">VLOOKUP($B75,KOMBI!$A:$ADS,N$3,FALSE)</f>
        <v>#NUM!</v>
      </c>
      <c r="O75" s="291" t="e">
        <f ca="1">VLOOKUP($B75,KOMBI!$A:$ADS,O$3,FALSE)</f>
        <v>#NUM!</v>
      </c>
      <c r="P75" s="291" t="e">
        <f ca="1">VLOOKUP($B75,KOMBI!$A:$ADS,P$3,FALSE)</f>
        <v>#NUM!</v>
      </c>
      <c r="Q75" s="292" t="e">
        <f t="array" aca="1" ref="Q75" ca="1">VLOOKUP($B75,KOMBI!$A:$ADS,MATCH(Tulem!Q$3,KOMBI!$A$1:$ADS$1,0),FALSE)</f>
        <v>#NUM!</v>
      </c>
      <c r="S75" s="332" t="e">
        <f t="array" aca="1" ref="S75" ca="1">VLOOKUP($B75,KOMBI!$A:$ADS,MATCH(Tulem!S$3,KOMBI!$A$1:$ADS$1,0),FALSE)</f>
        <v>#NUM!</v>
      </c>
      <c r="T75" s="293" t="e">
        <f ca="1">VLOOKUP($B75,KOMBI!$A:$ADS,T$3,FALSE)</f>
        <v>#NUM!</v>
      </c>
      <c r="U75" s="293" t="e">
        <f ca="1">VLOOKUP($B75,KOMBI!$A:$ADS,U$3,FALSE)</f>
        <v>#NUM!</v>
      </c>
      <c r="V75" s="293" t="e">
        <f ca="1">VLOOKUP($B75,KOMBI!$A:$ADS,V$3,FALSE)</f>
        <v>#NUM!</v>
      </c>
      <c r="W75" s="293"/>
      <c r="X75" s="293" t="e">
        <f ca="1">VLOOKUP($B75,KOMBI!$A:$ADS,X$3,FALSE)</f>
        <v>#NUM!</v>
      </c>
      <c r="Y75" s="293" t="e">
        <f ca="1">VLOOKUP($B75,KOMBI!$A:$ADS,Y$3,FALSE)</f>
        <v>#NUM!</v>
      </c>
      <c r="Z75" s="293" t="e">
        <f ca="1">VLOOKUP($B75,KOMBI!$A:$ADS,Z$3,FALSE)</f>
        <v>#NUM!</v>
      </c>
      <c r="AA75" s="294"/>
      <c r="AB75" s="293" t="e">
        <f ca="1">VLOOKUP($B75,KOMBI!$A:$ADS,AB$3,FALSE)</f>
        <v>#NUM!</v>
      </c>
      <c r="AC75" s="293" t="e">
        <f ca="1">VLOOKUP($B75,KOMBI!$A:$ADS,AC$3,FALSE)-AB75</f>
        <v>#NUM!</v>
      </c>
      <c r="AD75" s="293" t="e">
        <f ca="1">VLOOKUP($B75,KOMBI!$A:$ADS,AD$3,FALSE)</f>
        <v>#NUM!</v>
      </c>
      <c r="AE75" s="293" t="e">
        <f ca="1">VLOOKUP($B75,KOMBI!$A:$ADS,AE$3,FALSE)</f>
        <v>#NUM!</v>
      </c>
      <c r="AF75" s="293" t="e">
        <f ca="1">VLOOKUP($B75,KOMBI!$A:$ADS,AF$3,FALSE)-AE75</f>
        <v>#NUM!</v>
      </c>
      <c r="AG75" s="293" t="e">
        <f ca="1">VLOOKUP($B75,KOMBI!$A:$ADS,AG$3,FALSE)</f>
        <v>#NUM!</v>
      </c>
      <c r="AI75" s="293" t="e">
        <f t="array" aca="1" ref="AI75" ca="1">VLOOKUP($B75,KOMBI!$A:$ADS,MATCH(Tulem!AI$3,KOMBI!$A$1:$ADS$1,0),FALSE)</f>
        <v>#NUM!</v>
      </c>
      <c r="AJ75" s="293" t="e">
        <f t="array" aca="1" ref="AJ75" ca="1">VLOOKUP($B75,KOMBI!$A:$ADS,MATCH(Tulem!AJ$3,KOMBI!$A$1:$ADS$1,0),FALSE)</f>
        <v>#NUM!</v>
      </c>
      <c r="AK75" s="293" t="e">
        <f t="array" aca="1" ref="AK75" ca="1">VLOOKUP($B75,KOMBI!$A:$ADS,MATCH(Tulem!AK$3,KOMBI!$A$1:$ADS$1,0),FALSE)</f>
        <v>#NUM!</v>
      </c>
      <c r="AL75" s="293" t="e">
        <f t="array" aca="1" ref="AL75" ca="1">VLOOKUP($B75,KOMBI!$A:$ADS,MATCH(Tulem!AL$3,KOMBI!$A$1:$ADS$1,0),FALSE)</f>
        <v>#NUM!</v>
      </c>
      <c r="AM75" s="293" t="e">
        <f t="array" aca="1" ref="AM75" ca="1">VLOOKUP($B75,KOMBI!$A:$ADS,MATCH(Tulem!AM$3,KOMBI!$A$1:$ADS$1,0),FALSE)</f>
        <v>#NUM!</v>
      </c>
      <c r="AN75" s="293" t="e">
        <f t="array" aca="1" ref="AN75" ca="1">VLOOKUP($B75,KOMBI!$A:$ADS,MATCH(Tulem!AN$3,KOMBI!$A$1:$ADS$1,0),FALSE)</f>
        <v>#NUM!</v>
      </c>
      <c r="AO75" s="293" t="e">
        <f t="array" aca="1" ref="AO75" ca="1">VLOOKUP($B75,KOMBI!$A:$ADS,MATCH(Tulem!AO$3,KOMBI!$A$1:$ADS$1,0),FALSE)</f>
        <v>#NUM!</v>
      </c>
      <c r="AP75" s="293" t="e">
        <f t="array" aca="1" ref="AP75" ca="1">VLOOKUP($B75,KOMBI!$A:$ADS,MATCH(Tulem!AP$3,KOMBI!$A$1:$ADS$1,0),FALSE)</f>
        <v>#NUM!</v>
      </c>
      <c r="AQ75" s="293" t="e">
        <f t="array" aca="1" ref="AQ75" ca="1">VLOOKUP($B75,KOMBI!$A:$ADS,MATCH(Tulem!AQ$3,KOMBI!$A$1:$ADS$1,0),FALSE)</f>
        <v>#NUM!</v>
      </c>
      <c r="AR75" s="293" t="e">
        <f t="array" aca="1" ref="AR75" ca="1">VLOOKUP($B75,KOMBI!$A:$ADS,MATCH(Tulem!AR$3,KOMBI!$A$1:$ADS$1,0),FALSE)</f>
        <v>#NUM!</v>
      </c>
      <c r="AS75" s="293" t="e">
        <f t="array" aca="1" ref="AS75" ca="1">VLOOKUP($B75,KOMBI!$A:$ADS,MATCH(Tulem!AS$3,KOMBI!$A$1:$ADS$1,0),FALSE)</f>
        <v>#NUM!</v>
      </c>
      <c r="AT75" s="293" t="e">
        <f t="array" aca="1" ref="AT75" ca="1">VLOOKUP($B75,KOMBI!$A:$ADS,MATCH(Tulem!AT$3,KOMBI!$A$1:$ADS$1,0),FALSE)</f>
        <v>#NUM!</v>
      </c>
      <c r="AU75" s="293" t="e">
        <f t="array" aca="1" ref="AU75" ca="1">VLOOKUP($B75,KOMBI!$A:$ADS,MATCH(Tulem!AU$3,KOMBI!$A$1:$ADS$1,0),FALSE)</f>
        <v>#NUM!</v>
      </c>
      <c r="AV75" s="293" t="e">
        <f t="shared" ca="1" si="4"/>
        <v>#NUM!</v>
      </c>
      <c r="AW75" s="293" t="e">
        <f t="shared" ca="1" si="5"/>
        <v>#NUM!</v>
      </c>
      <c r="AX75" s="291" t="e">
        <f ca="1">VLOOKUP($B75,KOMBI!$A:$ACA,MATCH(AX$5,KOMBI!$10:$10,0),FALSE)</f>
        <v>#NUM!</v>
      </c>
      <c r="AY75" s="292" t="e">
        <f t="array" aca="1" ref="AY75" ca="1">VLOOKUP($B75,KOMBI!$A:$ADS,MATCH(Tulem!AY$3,KOMBI!$A$1:$ADS$1,0),FALSE)</f>
        <v>#NUM!</v>
      </c>
      <c r="AZ75" s="292" t="e">
        <f t="array" aca="1" ref="AZ75" ca="1">VLOOKUP($B75,KOMBI!$A:$ADS,MATCH(Tulem!AZ$3,KOMBI!$A$1:$ADS$1,0),FALSE)</f>
        <v>#NUM!</v>
      </c>
      <c r="BA75" s="292" t="e">
        <f t="array" aca="1" ref="BA75" ca="1">VLOOKUP($B75,KOMBI!$A:$ADS,MATCH(Tulem!BA$3,KOMBI!$A$1:$ADS$1,0),FALSE)</f>
        <v>#NUM!</v>
      </c>
      <c r="BB75" s="292" t="e">
        <f t="array" aca="1" ref="BB75" ca="1">VLOOKUP($B75,KOMBI!$A:$ADS,MATCH(Tulem!BB$3,KOMBI!$A$1:$ADS$1,0),FALSE)</f>
        <v>#NUM!</v>
      </c>
      <c r="BC75" s="292" t="e">
        <f t="array" aca="1" ref="BC75" ca="1">VLOOKUP($B75,KOMBI!$A:$ADS,MATCH(Tulem!BC$3,KOMBI!$A$1:$ADS$1,0),FALSE)</f>
        <v>#NUM!</v>
      </c>
      <c r="BD75" s="292" t="e">
        <f t="array" aca="1" ref="BD75" ca="1">VLOOKUP($B75,KOMBI!$A:$ADS,MATCH(Tulem!BD$3,KOMBI!$A$1:$ADS$1,0),FALSE)</f>
        <v>#NUM!</v>
      </c>
      <c r="BE75" s="292" t="e">
        <f t="array" aca="1" ref="BE75" ca="1">VLOOKUP($B75,KOMBI!$A:$ADS,MATCH(Tulem!BE$3,KOMBI!$A$1:$ADS$1,0),FALSE)</f>
        <v>#NUM!</v>
      </c>
      <c r="BF75" s="292" t="e">
        <f t="array" aca="1" ref="BF75" ca="1">VLOOKUP($B75,KOMBI!$A:$ADS,MATCH(Tulem!BF$3,KOMBI!$A$1:$ADS$1,0),FALSE)</f>
        <v>#NUM!</v>
      </c>
      <c r="BG75" s="292" t="e">
        <f t="array" aca="1" ref="BG75" ca="1">VLOOKUP($B75,KOMBI!$A:$ADS,MATCH(Tulem!BG$3,KOMBI!$A$1:$ADS$1,0),FALSE)</f>
        <v>#NUM!</v>
      </c>
      <c r="BH75" s="292" t="e">
        <f t="array" aca="1" ref="BH75" ca="1">VLOOKUP($B75,KOMBI!$A:$ADS,MATCH(Tulem!BH$3,KOMBI!$A$1:$ADS$1,0),FALSE)</f>
        <v>#NUM!</v>
      </c>
      <c r="BI75" s="292" t="e">
        <f t="array" aca="1" ref="BI75" ca="1">VLOOKUP($B75,KOMBI!$A:$ADS,MATCH(Tulem!BI$3,KOMBI!$A$1:$ADS$1,0),FALSE)</f>
        <v>#NUM!</v>
      </c>
      <c r="BJ75" s="292" t="e">
        <f t="array" aca="1" ref="BJ75" ca="1">VLOOKUP($B75,KOMBI!$A:$ADS,MATCH(Tulem!BJ$3,KOMBI!$A$1:$ADS$1,0),FALSE)</f>
        <v>#NUM!</v>
      </c>
      <c r="BK75" s="292" t="e">
        <f t="array" aca="1" ref="BK75" ca="1">VLOOKUP($B75,KOMBI!$A:$ADS,MATCH(Tulem!BK$3,KOMBI!$A$1:$ADS$1,0),FALSE)</f>
        <v>#NUM!</v>
      </c>
      <c r="BL75" s="292" t="e">
        <f t="array" aca="1" ref="BL75" ca="1">VLOOKUP($B75,KOMBI!$A:$ADS,MATCH(Tulem!BL$3,KOMBI!$A$1:$ADS$1,0),FALSE)</f>
        <v>#NUM!</v>
      </c>
      <c r="BM75" s="292" t="e">
        <f t="array" aca="1" ref="BM75" ca="1">VLOOKUP($B75,KOMBI!$A:$ADS,MATCH(Tulem!BM$3,KOMBI!$A$1:$ADS$1,0),FALSE)</f>
        <v>#NUM!</v>
      </c>
      <c r="BN75" s="292" t="e">
        <f t="array" aca="1" ref="BN75" ca="1">VLOOKUP($B75,KOMBI!$A:$ADS,MATCH(Tulem!BN$3,KOMBI!$A$1:$ADS$1,0),FALSE)</f>
        <v>#NUM!</v>
      </c>
      <c r="BO75" s="292" t="e">
        <f t="array" aca="1" ref="BO75" ca="1">VLOOKUP($B75,KOMBI!$A:$ADS,MATCH(Tulem!BO$3,KOMBI!$A$1:$ADS$1,0),FALSE)</f>
        <v>#NUM!</v>
      </c>
      <c r="BP75" s="291"/>
      <c r="BQ75" s="292" t="e">
        <f t="array" aca="1" ref="BQ75" ca="1">VLOOKUP($B75,KOMBI!$A:$ADS,MATCH(Tulem!BQ$3,KOMBI!$A$1:$ADS$1,0),FALSE)</f>
        <v>#NUM!</v>
      </c>
      <c r="BR75" s="292" t="e">
        <f t="array" aca="1" ref="BR75" ca="1">VLOOKUP($B75,KOMBI!$A:$ADS,MATCH(Tulem!BR$3,KOMBI!$A$1:$ADS$1,0),FALSE)</f>
        <v>#NUM!</v>
      </c>
      <c r="BS75" s="292" t="e">
        <f t="array" aca="1" ref="BS75" ca="1">VLOOKUP($B75,KOMBI!$A:$ADS,MATCH(Tulem!BS$3,KOMBI!$A$1:$ADS$1,0),FALSE)</f>
        <v>#NUM!</v>
      </c>
      <c r="BT75" s="292" t="e">
        <f t="array" aca="1" ref="BT75" ca="1">VLOOKUP($B75,KOMBI!$A:$ADS,MATCH(Tulem!BT$3,KOMBI!$A$1:$ADS$1,0),FALSE)</f>
        <v>#NUM!</v>
      </c>
      <c r="BU75" s="292" t="e">
        <f t="array" aca="1" ref="BU75" ca="1">VLOOKUP($B75,KOMBI!$A:$ADS,MATCH(Tulem!BU$3,KOMBI!$A$1:$ADS$1,0),FALSE)</f>
        <v>#NUM!</v>
      </c>
      <c r="BV75" s="291"/>
      <c r="BW75" s="292" t="e">
        <f t="array" aca="1" ref="BW75" ca="1">VLOOKUP($B75,KOMBI!$A:$ADS,MATCH(Tulem!BW$3,KOMBI!$A$1:$ADS$1,0),FALSE)</f>
        <v>#NUM!</v>
      </c>
      <c r="BX75" s="291"/>
      <c r="BY75" s="291"/>
      <c r="BZ75" s="292" t="e">
        <f t="array" aca="1" ref="BZ75" ca="1">VLOOKUP($B75,KOMBI!$A:$ADS,MATCH(Tulem!BZ$3,KOMBI!$A$1:$ADS$1,0),FALSE)</f>
        <v>#NUM!</v>
      </c>
      <c r="CA75" s="292" t="e">
        <f t="array" aca="1" ref="CA75" ca="1">VLOOKUP($B75,KOMBI!$A:$ADS,MATCH(Tulem!CA$3,KOMBI!$A$1:$ADS$1,0),FALSE)</f>
        <v>#NUM!</v>
      </c>
      <c r="CB75" s="292" t="e">
        <f t="array" aca="1" ref="CB75" ca="1">VLOOKUP($B75,KOMBI!$A:$ADS,MATCH(Tulem!CB$3,KOMBI!$A$1:$ADS$1,0),FALSE)</f>
        <v>#NUM!</v>
      </c>
      <c r="CC75" s="292" t="e">
        <f t="array" aca="1" ref="CC75" ca="1">VLOOKUP($B75,KOMBI!$A:$ADS,MATCH(Tulem!CC$3,KOMBI!$A$1:$ADS$1,0),FALSE)</f>
        <v>#NUM!</v>
      </c>
      <c r="CD75" s="292" t="e">
        <f t="array" aca="1" ref="CD75" ca="1">VLOOKUP($B75,KOMBI!$A:$ADS,MATCH(Tulem!CD$3,KOMBI!$A$1:$ADS$1,0),FALSE)</f>
        <v>#NUM!</v>
      </c>
      <c r="CF75" s="51" t="e">
        <f ca="1">VLOOKUP($B75,KOMBI!$A:$ACG,MATCH(CF$5,KOMBI!$10:$10,0),FALSE)</f>
        <v>#NUM!</v>
      </c>
    </row>
    <row r="76" spans="1:84" x14ac:dyDescent="0.2">
      <c r="A76" s="51">
        <v>71</v>
      </c>
      <c r="B76" s="51" t="e">
        <f ca="1">KOMBI!GI81</f>
        <v>#NUM!</v>
      </c>
      <c r="C76" s="51">
        <f t="shared" si="3"/>
        <v>71</v>
      </c>
      <c r="D76" s="290" t="e">
        <f ca="1">VLOOKUP(VLOOKUP($B76,KOMBI!$A:$H,3,FALSE),data!$I$27:$J$29,2,FALSE)</f>
        <v>#NUM!</v>
      </c>
      <c r="E76" s="290" t="e">
        <f ca="1">VLOOKUP(VLOOKUP($B76,KOMBI!$A:$H,2,FALSE),data!$I$21:$J$23,2,FALSE)</f>
        <v>#NUM!</v>
      </c>
      <c r="F76" s="290" t="e">
        <f ca="1">VLOOKUP(VLOOKUP($B76,KOMBI!$A:$H,5,FALSE),data!$I$39:$J$41,2,FALSE)</f>
        <v>#NUM!</v>
      </c>
      <c r="G76" s="290" t="e">
        <f ca="1">VLOOKUP(VLOOKUP($B76,KOMBI!$A:$H,4,FALSE),data!$I$32:$J$36,2,FALSE)</f>
        <v>#NUM!</v>
      </c>
      <c r="I76" s="51" t="e">
        <f ca="1">VLOOKUP($B76,KOMBI!$A:$Z,MATCH(I$5,KOMBI!$10:$10,0),FALSE)</f>
        <v>#NUM!</v>
      </c>
      <c r="J76" s="291" t="e">
        <f ca="1">VLOOKUP($B76,KOMBI!$A:$ADS,J$3,FALSE)</f>
        <v>#NUM!</v>
      </c>
      <c r="K76" s="291" t="e">
        <f ca="1">VLOOKUP($B76,KOMBI!$A:$ADS,K$3,FALSE)</f>
        <v>#NUM!</v>
      </c>
      <c r="L76" s="291" t="e">
        <f ca="1">VLOOKUP($B76,KOMBI!$A:$ADS,L$3,FALSE)</f>
        <v>#NUM!</v>
      </c>
      <c r="M76" s="291" t="e">
        <f ca="1">VLOOKUP($B76,KOMBI!$A:$ADS,M$3,FALSE)</f>
        <v>#NUM!</v>
      </c>
      <c r="N76" s="291" t="e">
        <f ca="1">VLOOKUP($B76,KOMBI!$A:$ADS,N$3,FALSE)</f>
        <v>#NUM!</v>
      </c>
      <c r="O76" s="291" t="e">
        <f ca="1">VLOOKUP($B76,KOMBI!$A:$ADS,O$3,FALSE)</f>
        <v>#NUM!</v>
      </c>
      <c r="P76" s="291" t="e">
        <f ca="1">VLOOKUP($B76,KOMBI!$A:$ADS,P$3,FALSE)</f>
        <v>#NUM!</v>
      </c>
      <c r="Q76" s="292" t="e">
        <f t="array" aca="1" ref="Q76" ca="1">VLOOKUP($B76,KOMBI!$A:$ADS,MATCH(Tulem!Q$3,KOMBI!$A$1:$ADS$1,0),FALSE)</f>
        <v>#NUM!</v>
      </c>
      <c r="S76" s="332" t="e">
        <f t="array" aca="1" ref="S76" ca="1">VLOOKUP($B76,KOMBI!$A:$ADS,MATCH(Tulem!S$3,KOMBI!$A$1:$ADS$1,0),FALSE)</f>
        <v>#NUM!</v>
      </c>
      <c r="T76" s="293" t="e">
        <f ca="1">VLOOKUP($B76,KOMBI!$A:$ADS,T$3,FALSE)</f>
        <v>#NUM!</v>
      </c>
      <c r="U76" s="293" t="e">
        <f ca="1">VLOOKUP($B76,KOMBI!$A:$ADS,U$3,FALSE)</f>
        <v>#NUM!</v>
      </c>
      <c r="V76" s="293" t="e">
        <f ca="1">VLOOKUP($B76,KOMBI!$A:$ADS,V$3,FALSE)</f>
        <v>#NUM!</v>
      </c>
      <c r="W76" s="293"/>
      <c r="X76" s="293" t="e">
        <f ca="1">VLOOKUP($B76,KOMBI!$A:$ADS,X$3,FALSE)</f>
        <v>#NUM!</v>
      </c>
      <c r="Y76" s="293" t="e">
        <f ca="1">VLOOKUP($B76,KOMBI!$A:$ADS,Y$3,FALSE)</f>
        <v>#NUM!</v>
      </c>
      <c r="Z76" s="293" t="e">
        <f ca="1">VLOOKUP($B76,KOMBI!$A:$ADS,Z$3,FALSE)</f>
        <v>#NUM!</v>
      </c>
      <c r="AA76" s="294"/>
      <c r="AB76" s="293" t="e">
        <f ca="1">VLOOKUP($B76,KOMBI!$A:$ADS,AB$3,FALSE)</f>
        <v>#NUM!</v>
      </c>
      <c r="AC76" s="293" t="e">
        <f ca="1">VLOOKUP($B76,KOMBI!$A:$ADS,AC$3,FALSE)-AB76</f>
        <v>#NUM!</v>
      </c>
      <c r="AD76" s="293" t="e">
        <f ca="1">VLOOKUP($B76,KOMBI!$A:$ADS,AD$3,FALSE)</f>
        <v>#NUM!</v>
      </c>
      <c r="AE76" s="293" t="e">
        <f ca="1">VLOOKUP($B76,KOMBI!$A:$ADS,AE$3,FALSE)</f>
        <v>#NUM!</v>
      </c>
      <c r="AF76" s="293" t="e">
        <f ca="1">VLOOKUP($B76,KOMBI!$A:$ADS,AF$3,FALSE)-AE76</f>
        <v>#NUM!</v>
      </c>
      <c r="AG76" s="293" t="e">
        <f ca="1">VLOOKUP($B76,KOMBI!$A:$ADS,AG$3,FALSE)</f>
        <v>#NUM!</v>
      </c>
      <c r="AI76" s="293" t="e">
        <f t="array" aca="1" ref="AI76" ca="1">VLOOKUP($B76,KOMBI!$A:$ADS,MATCH(Tulem!AI$3,KOMBI!$A$1:$ADS$1,0),FALSE)</f>
        <v>#NUM!</v>
      </c>
      <c r="AJ76" s="293" t="e">
        <f t="array" aca="1" ref="AJ76" ca="1">VLOOKUP($B76,KOMBI!$A:$ADS,MATCH(Tulem!AJ$3,KOMBI!$A$1:$ADS$1,0),FALSE)</f>
        <v>#NUM!</v>
      </c>
      <c r="AK76" s="293" t="e">
        <f t="array" aca="1" ref="AK76" ca="1">VLOOKUP($B76,KOMBI!$A:$ADS,MATCH(Tulem!AK$3,KOMBI!$A$1:$ADS$1,0),FALSE)</f>
        <v>#NUM!</v>
      </c>
      <c r="AL76" s="293" t="e">
        <f t="array" aca="1" ref="AL76" ca="1">VLOOKUP($B76,KOMBI!$A:$ADS,MATCH(Tulem!AL$3,KOMBI!$A$1:$ADS$1,0),FALSE)</f>
        <v>#NUM!</v>
      </c>
      <c r="AM76" s="293" t="e">
        <f t="array" aca="1" ref="AM76" ca="1">VLOOKUP($B76,KOMBI!$A:$ADS,MATCH(Tulem!AM$3,KOMBI!$A$1:$ADS$1,0),FALSE)</f>
        <v>#NUM!</v>
      </c>
      <c r="AN76" s="293" t="e">
        <f t="array" aca="1" ref="AN76" ca="1">VLOOKUP($B76,KOMBI!$A:$ADS,MATCH(Tulem!AN$3,KOMBI!$A$1:$ADS$1,0),FALSE)</f>
        <v>#NUM!</v>
      </c>
      <c r="AO76" s="293" t="e">
        <f t="array" aca="1" ref="AO76" ca="1">VLOOKUP($B76,KOMBI!$A:$ADS,MATCH(Tulem!AO$3,KOMBI!$A$1:$ADS$1,0),FALSE)</f>
        <v>#NUM!</v>
      </c>
      <c r="AP76" s="293" t="e">
        <f t="array" aca="1" ref="AP76" ca="1">VLOOKUP($B76,KOMBI!$A:$ADS,MATCH(Tulem!AP$3,KOMBI!$A$1:$ADS$1,0),FALSE)</f>
        <v>#NUM!</v>
      </c>
      <c r="AQ76" s="293" t="e">
        <f t="array" aca="1" ref="AQ76" ca="1">VLOOKUP($B76,KOMBI!$A:$ADS,MATCH(Tulem!AQ$3,KOMBI!$A$1:$ADS$1,0),FALSE)</f>
        <v>#NUM!</v>
      </c>
      <c r="AR76" s="293" t="e">
        <f t="array" aca="1" ref="AR76" ca="1">VLOOKUP($B76,KOMBI!$A:$ADS,MATCH(Tulem!AR$3,KOMBI!$A$1:$ADS$1,0),FALSE)</f>
        <v>#NUM!</v>
      </c>
      <c r="AS76" s="293" t="e">
        <f t="array" aca="1" ref="AS76" ca="1">VLOOKUP($B76,KOMBI!$A:$ADS,MATCH(Tulem!AS$3,KOMBI!$A$1:$ADS$1,0),FALSE)</f>
        <v>#NUM!</v>
      </c>
      <c r="AT76" s="293" t="e">
        <f t="array" aca="1" ref="AT76" ca="1">VLOOKUP($B76,KOMBI!$A:$ADS,MATCH(Tulem!AT$3,KOMBI!$A$1:$ADS$1,0),FALSE)</f>
        <v>#NUM!</v>
      </c>
      <c r="AU76" s="293" t="e">
        <f t="array" aca="1" ref="AU76" ca="1">VLOOKUP($B76,KOMBI!$A:$ADS,MATCH(Tulem!AU$3,KOMBI!$A$1:$ADS$1,0),FALSE)</f>
        <v>#NUM!</v>
      </c>
      <c r="AV76" s="293" t="e">
        <f t="shared" ca="1" si="4"/>
        <v>#NUM!</v>
      </c>
      <c r="AW76" s="293" t="e">
        <f t="shared" ca="1" si="5"/>
        <v>#NUM!</v>
      </c>
      <c r="AX76" s="291" t="e">
        <f ca="1">VLOOKUP($B76,KOMBI!$A:$ACA,MATCH(AX$5,KOMBI!$10:$10,0),FALSE)</f>
        <v>#NUM!</v>
      </c>
      <c r="AY76" s="292" t="e">
        <f t="array" aca="1" ref="AY76" ca="1">VLOOKUP($B76,KOMBI!$A:$ADS,MATCH(Tulem!AY$3,KOMBI!$A$1:$ADS$1,0),FALSE)</f>
        <v>#NUM!</v>
      </c>
      <c r="AZ76" s="292" t="e">
        <f t="array" aca="1" ref="AZ76" ca="1">VLOOKUP($B76,KOMBI!$A:$ADS,MATCH(Tulem!AZ$3,KOMBI!$A$1:$ADS$1,0),FALSE)</f>
        <v>#NUM!</v>
      </c>
      <c r="BA76" s="292" t="e">
        <f t="array" aca="1" ref="BA76" ca="1">VLOOKUP($B76,KOMBI!$A:$ADS,MATCH(Tulem!BA$3,KOMBI!$A$1:$ADS$1,0),FALSE)</f>
        <v>#NUM!</v>
      </c>
      <c r="BB76" s="292" t="e">
        <f t="array" aca="1" ref="BB76" ca="1">VLOOKUP($B76,KOMBI!$A:$ADS,MATCH(Tulem!BB$3,KOMBI!$A$1:$ADS$1,0),FALSE)</f>
        <v>#NUM!</v>
      </c>
      <c r="BC76" s="292" t="e">
        <f t="array" aca="1" ref="BC76" ca="1">VLOOKUP($B76,KOMBI!$A:$ADS,MATCH(Tulem!BC$3,KOMBI!$A$1:$ADS$1,0),FALSE)</f>
        <v>#NUM!</v>
      </c>
      <c r="BD76" s="292" t="e">
        <f t="array" aca="1" ref="BD76" ca="1">VLOOKUP($B76,KOMBI!$A:$ADS,MATCH(Tulem!BD$3,KOMBI!$A$1:$ADS$1,0),FALSE)</f>
        <v>#NUM!</v>
      </c>
      <c r="BE76" s="292" t="e">
        <f t="array" aca="1" ref="BE76" ca="1">VLOOKUP($B76,KOMBI!$A:$ADS,MATCH(Tulem!BE$3,KOMBI!$A$1:$ADS$1,0),FALSE)</f>
        <v>#NUM!</v>
      </c>
      <c r="BF76" s="292" t="e">
        <f t="array" aca="1" ref="BF76" ca="1">VLOOKUP($B76,KOMBI!$A:$ADS,MATCH(Tulem!BF$3,KOMBI!$A$1:$ADS$1,0),FALSE)</f>
        <v>#NUM!</v>
      </c>
      <c r="BG76" s="292" t="e">
        <f t="array" aca="1" ref="BG76" ca="1">VLOOKUP($B76,KOMBI!$A:$ADS,MATCH(Tulem!BG$3,KOMBI!$A$1:$ADS$1,0),FALSE)</f>
        <v>#NUM!</v>
      </c>
      <c r="BH76" s="292" t="e">
        <f t="array" aca="1" ref="BH76" ca="1">VLOOKUP($B76,KOMBI!$A:$ADS,MATCH(Tulem!BH$3,KOMBI!$A$1:$ADS$1,0),FALSE)</f>
        <v>#NUM!</v>
      </c>
      <c r="BI76" s="292" t="e">
        <f t="array" aca="1" ref="BI76" ca="1">VLOOKUP($B76,KOMBI!$A:$ADS,MATCH(Tulem!BI$3,KOMBI!$A$1:$ADS$1,0),FALSE)</f>
        <v>#NUM!</v>
      </c>
      <c r="BJ76" s="292" t="e">
        <f t="array" aca="1" ref="BJ76" ca="1">VLOOKUP($B76,KOMBI!$A:$ADS,MATCH(Tulem!BJ$3,KOMBI!$A$1:$ADS$1,0),FALSE)</f>
        <v>#NUM!</v>
      </c>
      <c r="BK76" s="292" t="e">
        <f t="array" aca="1" ref="BK76" ca="1">VLOOKUP($B76,KOMBI!$A:$ADS,MATCH(Tulem!BK$3,KOMBI!$A$1:$ADS$1,0),FALSE)</f>
        <v>#NUM!</v>
      </c>
      <c r="BL76" s="292" t="e">
        <f t="array" aca="1" ref="BL76" ca="1">VLOOKUP($B76,KOMBI!$A:$ADS,MATCH(Tulem!BL$3,KOMBI!$A$1:$ADS$1,0),FALSE)</f>
        <v>#NUM!</v>
      </c>
      <c r="BM76" s="292" t="e">
        <f t="array" aca="1" ref="BM76" ca="1">VLOOKUP($B76,KOMBI!$A:$ADS,MATCH(Tulem!BM$3,KOMBI!$A$1:$ADS$1,0),FALSE)</f>
        <v>#NUM!</v>
      </c>
      <c r="BN76" s="292" t="e">
        <f t="array" aca="1" ref="BN76" ca="1">VLOOKUP($B76,KOMBI!$A:$ADS,MATCH(Tulem!BN$3,KOMBI!$A$1:$ADS$1,0),FALSE)</f>
        <v>#NUM!</v>
      </c>
      <c r="BO76" s="292" t="e">
        <f t="array" aca="1" ref="BO76" ca="1">VLOOKUP($B76,KOMBI!$A:$ADS,MATCH(Tulem!BO$3,KOMBI!$A$1:$ADS$1,0),FALSE)</f>
        <v>#NUM!</v>
      </c>
      <c r="BP76" s="291"/>
      <c r="BQ76" s="292" t="e">
        <f t="array" aca="1" ref="BQ76" ca="1">VLOOKUP($B76,KOMBI!$A:$ADS,MATCH(Tulem!BQ$3,KOMBI!$A$1:$ADS$1,0),FALSE)</f>
        <v>#NUM!</v>
      </c>
      <c r="BR76" s="292" t="e">
        <f t="array" aca="1" ref="BR76" ca="1">VLOOKUP($B76,KOMBI!$A:$ADS,MATCH(Tulem!BR$3,KOMBI!$A$1:$ADS$1,0),FALSE)</f>
        <v>#NUM!</v>
      </c>
      <c r="BS76" s="292" t="e">
        <f t="array" aca="1" ref="BS76" ca="1">VLOOKUP($B76,KOMBI!$A:$ADS,MATCH(Tulem!BS$3,KOMBI!$A$1:$ADS$1,0),FALSE)</f>
        <v>#NUM!</v>
      </c>
      <c r="BT76" s="292" t="e">
        <f t="array" aca="1" ref="BT76" ca="1">VLOOKUP($B76,KOMBI!$A:$ADS,MATCH(Tulem!BT$3,KOMBI!$A$1:$ADS$1,0),FALSE)</f>
        <v>#NUM!</v>
      </c>
      <c r="BU76" s="292" t="e">
        <f t="array" aca="1" ref="BU76" ca="1">VLOOKUP($B76,KOMBI!$A:$ADS,MATCH(Tulem!BU$3,KOMBI!$A$1:$ADS$1,0),FALSE)</f>
        <v>#NUM!</v>
      </c>
      <c r="BV76" s="291"/>
      <c r="BW76" s="292" t="e">
        <f t="array" aca="1" ref="BW76" ca="1">VLOOKUP($B76,KOMBI!$A:$ADS,MATCH(Tulem!BW$3,KOMBI!$A$1:$ADS$1,0),FALSE)</f>
        <v>#NUM!</v>
      </c>
      <c r="BX76" s="291"/>
      <c r="BY76" s="291"/>
      <c r="BZ76" s="292" t="e">
        <f t="array" aca="1" ref="BZ76" ca="1">VLOOKUP($B76,KOMBI!$A:$ADS,MATCH(Tulem!BZ$3,KOMBI!$A$1:$ADS$1,0),FALSE)</f>
        <v>#NUM!</v>
      </c>
      <c r="CA76" s="292" t="e">
        <f t="array" aca="1" ref="CA76" ca="1">VLOOKUP($B76,KOMBI!$A:$ADS,MATCH(Tulem!CA$3,KOMBI!$A$1:$ADS$1,0),FALSE)</f>
        <v>#NUM!</v>
      </c>
      <c r="CB76" s="292" t="e">
        <f t="array" aca="1" ref="CB76" ca="1">VLOOKUP($B76,KOMBI!$A:$ADS,MATCH(Tulem!CB$3,KOMBI!$A$1:$ADS$1,0),FALSE)</f>
        <v>#NUM!</v>
      </c>
      <c r="CC76" s="292" t="e">
        <f t="array" aca="1" ref="CC76" ca="1">VLOOKUP($B76,KOMBI!$A:$ADS,MATCH(Tulem!CC$3,KOMBI!$A$1:$ADS$1,0),FALSE)</f>
        <v>#NUM!</v>
      </c>
      <c r="CD76" s="292" t="e">
        <f t="array" aca="1" ref="CD76" ca="1">VLOOKUP($B76,KOMBI!$A:$ADS,MATCH(Tulem!CD$3,KOMBI!$A$1:$ADS$1,0),FALSE)</f>
        <v>#NUM!</v>
      </c>
      <c r="CF76" s="51" t="e">
        <f ca="1">VLOOKUP($B76,KOMBI!$A:$ACG,MATCH(CF$5,KOMBI!$10:$10,0),FALSE)</f>
        <v>#NUM!</v>
      </c>
    </row>
    <row r="77" spans="1:84" x14ac:dyDescent="0.2">
      <c r="A77" s="51">
        <v>72</v>
      </c>
      <c r="B77" s="51" t="e">
        <f ca="1">KOMBI!GI82</f>
        <v>#NUM!</v>
      </c>
      <c r="C77" s="51">
        <f t="shared" si="3"/>
        <v>72</v>
      </c>
      <c r="D77" s="290" t="e">
        <f ca="1">VLOOKUP(VLOOKUP($B77,KOMBI!$A:$H,3,FALSE),data!$I$27:$J$29,2,FALSE)</f>
        <v>#NUM!</v>
      </c>
      <c r="E77" s="290" t="e">
        <f ca="1">VLOOKUP(VLOOKUP($B77,KOMBI!$A:$H,2,FALSE),data!$I$21:$J$23,2,FALSE)</f>
        <v>#NUM!</v>
      </c>
      <c r="F77" s="290" t="e">
        <f ca="1">VLOOKUP(VLOOKUP($B77,KOMBI!$A:$H,5,FALSE),data!$I$39:$J$41,2,FALSE)</f>
        <v>#NUM!</v>
      </c>
      <c r="G77" s="290" t="e">
        <f ca="1">VLOOKUP(VLOOKUP($B77,KOMBI!$A:$H,4,FALSE),data!$I$32:$J$36,2,FALSE)</f>
        <v>#NUM!</v>
      </c>
      <c r="I77" s="51" t="e">
        <f ca="1">VLOOKUP($B77,KOMBI!$A:$Z,MATCH(I$5,KOMBI!$10:$10,0),FALSE)</f>
        <v>#NUM!</v>
      </c>
      <c r="J77" s="291" t="e">
        <f ca="1">VLOOKUP($B77,KOMBI!$A:$ADS,J$3,FALSE)</f>
        <v>#NUM!</v>
      </c>
      <c r="K77" s="291" t="e">
        <f ca="1">VLOOKUP($B77,KOMBI!$A:$ADS,K$3,FALSE)</f>
        <v>#NUM!</v>
      </c>
      <c r="L77" s="291" t="e">
        <f ca="1">VLOOKUP($B77,KOMBI!$A:$ADS,L$3,FALSE)</f>
        <v>#NUM!</v>
      </c>
      <c r="M77" s="291" t="e">
        <f ca="1">VLOOKUP($B77,KOMBI!$A:$ADS,M$3,FALSE)</f>
        <v>#NUM!</v>
      </c>
      <c r="N77" s="291" t="e">
        <f ca="1">VLOOKUP($B77,KOMBI!$A:$ADS,N$3,FALSE)</f>
        <v>#NUM!</v>
      </c>
      <c r="O77" s="291" t="e">
        <f ca="1">VLOOKUP($B77,KOMBI!$A:$ADS,O$3,FALSE)</f>
        <v>#NUM!</v>
      </c>
      <c r="P77" s="291" t="e">
        <f ca="1">VLOOKUP($B77,KOMBI!$A:$ADS,P$3,FALSE)</f>
        <v>#NUM!</v>
      </c>
      <c r="Q77" s="292" t="e">
        <f t="array" aca="1" ref="Q77" ca="1">VLOOKUP($B77,KOMBI!$A:$ADS,MATCH(Tulem!Q$3,KOMBI!$A$1:$ADS$1,0),FALSE)</f>
        <v>#NUM!</v>
      </c>
      <c r="S77" s="332" t="e">
        <f t="array" aca="1" ref="S77" ca="1">VLOOKUP($B77,KOMBI!$A:$ADS,MATCH(Tulem!S$3,KOMBI!$A$1:$ADS$1,0),FALSE)</f>
        <v>#NUM!</v>
      </c>
      <c r="T77" s="293" t="e">
        <f ca="1">VLOOKUP($B77,KOMBI!$A:$ADS,T$3,FALSE)</f>
        <v>#NUM!</v>
      </c>
      <c r="U77" s="293" t="e">
        <f ca="1">VLOOKUP($B77,KOMBI!$A:$ADS,U$3,FALSE)</f>
        <v>#NUM!</v>
      </c>
      <c r="V77" s="293" t="e">
        <f ca="1">VLOOKUP($B77,KOMBI!$A:$ADS,V$3,FALSE)</f>
        <v>#NUM!</v>
      </c>
      <c r="W77" s="293"/>
      <c r="X77" s="293" t="e">
        <f ca="1">VLOOKUP($B77,KOMBI!$A:$ADS,X$3,FALSE)</f>
        <v>#NUM!</v>
      </c>
      <c r="Y77" s="293" t="e">
        <f ca="1">VLOOKUP($B77,KOMBI!$A:$ADS,Y$3,FALSE)</f>
        <v>#NUM!</v>
      </c>
      <c r="Z77" s="293" t="e">
        <f ca="1">VLOOKUP($B77,KOMBI!$A:$ADS,Z$3,FALSE)</f>
        <v>#NUM!</v>
      </c>
      <c r="AA77" s="294"/>
      <c r="AB77" s="293" t="e">
        <f ca="1">VLOOKUP($B77,KOMBI!$A:$ADS,AB$3,FALSE)</f>
        <v>#NUM!</v>
      </c>
      <c r="AC77" s="293" t="e">
        <f ca="1">VLOOKUP($B77,KOMBI!$A:$ADS,AC$3,FALSE)-AB77</f>
        <v>#NUM!</v>
      </c>
      <c r="AD77" s="293" t="e">
        <f ca="1">VLOOKUP($B77,KOMBI!$A:$ADS,AD$3,FALSE)</f>
        <v>#NUM!</v>
      </c>
      <c r="AE77" s="293" t="e">
        <f ca="1">VLOOKUP($B77,KOMBI!$A:$ADS,AE$3,FALSE)</f>
        <v>#NUM!</v>
      </c>
      <c r="AF77" s="293" t="e">
        <f ca="1">VLOOKUP($B77,KOMBI!$A:$ADS,AF$3,FALSE)-AE77</f>
        <v>#NUM!</v>
      </c>
      <c r="AG77" s="293" t="e">
        <f ca="1">VLOOKUP($B77,KOMBI!$A:$ADS,AG$3,FALSE)</f>
        <v>#NUM!</v>
      </c>
      <c r="AI77" s="293" t="e">
        <f t="array" aca="1" ref="AI77" ca="1">VLOOKUP($B77,KOMBI!$A:$ADS,MATCH(Tulem!AI$3,KOMBI!$A$1:$ADS$1,0),FALSE)</f>
        <v>#NUM!</v>
      </c>
      <c r="AJ77" s="293" t="e">
        <f t="array" aca="1" ref="AJ77" ca="1">VLOOKUP($B77,KOMBI!$A:$ADS,MATCH(Tulem!AJ$3,KOMBI!$A$1:$ADS$1,0),FALSE)</f>
        <v>#NUM!</v>
      </c>
      <c r="AK77" s="293" t="e">
        <f t="array" aca="1" ref="AK77" ca="1">VLOOKUP($B77,KOMBI!$A:$ADS,MATCH(Tulem!AK$3,KOMBI!$A$1:$ADS$1,0),FALSE)</f>
        <v>#NUM!</v>
      </c>
      <c r="AL77" s="293" t="e">
        <f t="array" aca="1" ref="AL77" ca="1">VLOOKUP($B77,KOMBI!$A:$ADS,MATCH(Tulem!AL$3,KOMBI!$A$1:$ADS$1,0),FALSE)</f>
        <v>#NUM!</v>
      </c>
      <c r="AM77" s="293" t="e">
        <f t="array" aca="1" ref="AM77" ca="1">VLOOKUP($B77,KOMBI!$A:$ADS,MATCH(Tulem!AM$3,KOMBI!$A$1:$ADS$1,0),FALSE)</f>
        <v>#NUM!</v>
      </c>
      <c r="AN77" s="293" t="e">
        <f t="array" aca="1" ref="AN77" ca="1">VLOOKUP($B77,KOMBI!$A:$ADS,MATCH(Tulem!AN$3,KOMBI!$A$1:$ADS$1,0),FALSE)</f>
        <v>#NUM!</v>
      </c>
      <c r="AO77" s="293" t="e">
        <f t="array" aca="1" ref="AO77" ca="1">VLOOKUP($B77,KOMBI!$A:$ADS,MATCH(Tulem!AO$3,KOMBI!$A$1:$ADS$1,0),FALSE)</f>
        <v>#NUM!</v>
      </c>
      <c r="AP77" s="293" t="e">
        <f t="array" aca="1" ref="AP77" ca="1">VLOOKUP($B77,KOMBI!$A:$ADS,MATCH(Tulem!AP$3,KOMBI!$A$1:$ADS$1,0),FALSE)</f>
        <v>#NUM!</v>
      </c>
      <c r="AQ77" s="293" t="e">
        <f t="array" aca="1" ref="AQ77" ca="1">VLOOKUP($B77,KOMBI!$A:$ADS,MATCH(Tulem!AQ$3,KOMBI!$A$1:$ADS$1,0),FALSE)</f>
        <v>#NUM!</v>
      </c>
      <c r="AR77" s="293" t="e">
        <f t="array" aca="1" ref="AR77" ca="1">VLOOKUP($B77,KOMBI!$A:$ADS,MATCH(Tulem!AR$3,KOMBI!$A$1:$ADS$1,0),FALSE)</f>
        <v>#NUM!</v>
      </c>
      <c r="AS77" s="293" t="e">
        <f t="array" aca="1" ref="AS77" ca="1">VLOOKUP($B77,KOMBI!$A:$ADS,MATCH(Tulem!AS$3,KOMBI!$A$1:$ADS$1,0),FALSE)</f>
        <v>#NUM!</v>
      </c>
      <c r="AT77" s="293" t="e">
        <f t="array" aca="1" ref="AT77" ca="1">VLOOKUP($B77,KOMBI!$A:$ADS,MATCH(Tulem!AT$3,KOMBI!$A$1:$ADS$1,0),FALSE)</f>
        <v>#NUM!</v>
      </c>
      <c r="AU77" s="293" t="e">
        <f t="array" aca="1" ref="AU77" ca="1">VLOOKUP($B77,KOMBI!$A:$ADS,MATCH(Tulem!AU$3,KOMBI!$A$1:$ADS$1,0),FALSE)</f>
        <v>#NUM!</v>
      </c>
      <c r="AV77" s="293" t="e">
        <f t="shared" ca="1" si="4"/>
        <v>#NUM!</v>
      </c>
      <c r="AW77" s="293" t="e">
        <f t="shared" ca="1" si="5"/>
        <v>#NUM!</v>
      </c>
      <c r="AX77" s="291" t="e">
        <f ca="1">VLOOKUP($B77,KOMBI!$A:$ACA,MATCH(AX$5,KOMBI!$10:$10,0),FALSE)</f>
        <v>#NUM!</v>
      </c>
      <c r="AY77" s="292" t="e">
        <f t="array" aca="1" ref="AY77" ca="1">VLOOKUP($B77,KOMBI!$A:$ADS,MATCH(Tulem!AY$3,KOMBI!$A$1:$ADS$1,0),FALSE)</f>
        <v>#NUM!</v>
      </c>
      <c r="AZ77" s="292" t="e">
        <f t="array" aca="1" ref="AZ77" ca="1">VLOOKUP($B77,KOMBI!$A:$ADS,MATCH(Tulem!AZ$3,KOMBI!$A$1:$ADS$1,0),FALSE)</f>
        <v>#NUM!</v>
      </c>
      <c r="BA77" s="292" t="e">
        <f t="array" aca="1" ref="BA77" ca="1">VLOOKUP($B77,KOMBI!$A:$ADS,MATCH(Tulem!BA$3,KOMBI!$A$1:$ADS$1,0),FALSE)</f>
        <v>#NUM!</v>
      </c>
      <c r="BB77" s="292" t="e">
        <f t="array" aca="1" ref="BB77" ca="1">VLOOKUP($B77,KOMBI!$A:$ADS,MATCH(Tulem!BB$3,KOMBI!$A$1:$ADS$1,0),FALSE)</f>
        <v>#NUM!</v>
      </c>
      <c r="BC77" s="292" t="e">
        <f t="array" aca="1" ref="BC77" ca="1">VLOOKUP($B77,KOMBI!$A:$ADS,MATCH(Tulem!BC$3,KOMBI!$A$1:$ADS$1,0),FALSE)</f>
        <v>#NUM!</v>
      </c>
      <c r="BD77" s="292" t="e">
        <f t="array" aca="1" ref="BD77" ca="1">VLOOKUP($B77,KOMBI!$A:$ADS,MATCH(Tulem!BD$3,KOMBI!$A$1:$ADS$1,0),FALSE)</f>
        <v>#NUM!</v>
      </c>
      <c r="BE77" s="292" t="e">
        <f t="array" aca="1" ref="BE77" ca="1">VLOOKUP($B77,KOMBI!$A:$ADS,MATCH(Tulem!BE$3,KOMBI!$A$1:$ADS$1,0),FALSE)</f>
        <v>#NUM!</v>
      </c>
      <c r="BF77" s="292" t="e">
        <f t="array" aca="1" ref="BF77" ca="1">VLOOKUP($B77,KOMBI!$A:$ADS,MATCH(Tulem!BF$3,KOMBI!$A$1:$ADS$1,0),FALSE)</f>
        <v>#NUM!</v>
      </c>
      <c r="BG77" s="292" t="e">
        <f t="array" aca="1" ref="BG77" ca="1">VLOOKUP($B77,KOMBI!$A:$ADS,MATCH(Tulem!BG$3,KOMBI!$A$1:$ADS$1,0),FALSE)</f>
        <v>#NUM!</v>
      </c>
      <c r="BH77" s="292" t="e">
        <f t="array" aca="1" ref="BH77" ca="1">VLOOKUP($B77,KOMBI!$A:$ADS,MATCH(Tulem!BH$3,KOMBI!$A$1:$ADS$1,0),FALSE)</f>
        <v>#NUM!</v>
      </c>
      <c r="BI77" s="292" t="e">
        <f t="array" aca="1" ref="BI77" ca="1">VLOOKUP($B77,KOMBI!$A:$ADS,MATCH(Tulem!BI$3,KOMBI!$A$1:$ADS$1,0),FALSE)</f>
        <v>#NUM!</v>
      </c>
      <c r="BJ77" s="292" t="e">
        <f t="array" aca="1" ref="BJ77" ca="1">VLOOKUP($B77,KOMBI!$A:$ADS,MATCH(Tulem!BJ$3,KOMBI!$A$1:$ADS$1,0),FALSE)</f>
        <v>#NUM!</v>
      </c>
      <c r="BK77" s="292" t="e">
        <f t="array" aca="1" ref="BK77" ca="1">VLOOKUP($B77,KOMBI!$A:$ADS,MATCH(Tulem!BK$3,KOMBI!$A$1:$ADS$1,0),FALSE)</f>
        <v>#NUM!</v>
      </c>
      <c r="BL77" s="292" t="e">
        <f t="array" aca="1" ref="BL77" ca="1">VLOOKUP($B77,KOMBI!$A:$ADS,MATCH(Tulem!BL$3,KOMBI!$A$1:$ADS$1,0),FALSE)</f>
        <v>#NUM!</v>
      </c>
      <c r="BM77" s="292" t="e">
        <f t="array" aca="1" ref="BM77" ca="1">VLOOKUP($B77,KOMBI!$A:$ADS,MATCH(Tulem!BM$3,KOMBI!$A$1:$ADS$1,0),FALSE)</f>
        <v>#NUM!</v>
      </c>
      <c r="BN77" s="292" t="e">
        <f t="array" aca="1" ref="BN77" ca="1">VLOOKUP($B77,KOMBI!$A:$ADS,MATCH(Tulem!BN$3,KOMBI!$A$1:$ADS$1,0),FALSE)</f>
        <v>#NUM!</v>
      </c>
      <c r="BO77" s="292" t="e">
        <f t="array" aca="1" ref="BO77" ca="1">VLOOKUP($B77,KOMBI!$A:$ADS,MATCH(Tulem!BO$3,KOMBI!$A$1:$ADS$1,0),FALSE)</f>
        <v>#NUM!</v>
      </c>
      <c r="BP77" s="291"/>
      <c r="BQ77" s="292" t="e">
        <f t="array" aca="1" ref="BQ77" ca="1">VLOOKUP($B77,KOMBI!$A:$ADS,MATCH(Tulem!BQ$3,KOMBI!$A$1:$ADS$1,0),FALSE)</f>
        <v>#NUM!</v>
      </c>
      <c r="BR77" s="292" t="e">
        <f t="array" aca="1" ref="BR77" ca="1">VLOOKUP($B77,KOMBI!$A:$ADS,MATCH(Tulem!BR$3,KOMBI!$A$1:$ADS$1,0),FALSE)</f>
        <v>#NUM!</v>
      </c>
      <c r="BS77" s="292" t="e">
        <f t="array" aca="1" ref="BS77" ca="1">VLOOKUP($B77,KOMBI!$A:$ADS,MATCH(Tulem!BS$3,KOMBI!$A$1:$ADS$1,0),FALSE)</f>
        <v>#NUM!</v>
      </c>
      <c r="BT77" s="292" t="e">
        <f t="array" aca="1" ref="BT77" ca="1">VLOOKUP($B77,KOMBI!$A:$ADS,MATCH(Tulem!BT$3,KOMBI!$A$1:$ADS$1,0),FALSE)</f>
        <v>#NUM!</v>
      </c>
      <c r="BU77" s="292" t="e">
        <f t="array" aca="1" ref="BU77" ca="1">VLOOKUP($B77,KOMBI!$A:$ADS,MATCH(Tulem!BU$3,KOMBI!$A$1:$ADS$1,0),FALSE)</f>
        <v>#NUM!</v>
      </c>
      <c r="BV77" s="291"/>
      <c r="BW77" s="292" t="e">
        <f t="array" aca="1" ref="BW77" ca="1">VLOOKUP($B77,KOMBI!$A:$ADS,MATCH(Tulem!BW$3,KOMBI!$A$1:$ADS$1,0),FALSE)</f>
        <v>#NUM!</v>
      </c>
      <c r="BX77" s="291"/>
      <c r="BY77" s="291"/>
      <c r="BZ77" s="292" t="e">
        <f t="array" aca="1" ref="BZ77" ca="1">VLOOKUP($B77,KOMBI!$A:$ADS,MATCH(Tulem!BZ$3,KOMBI!$A$1:$ADS$1,0),FALSE)</f>
        <v>#NUM!</v>
      </c>
      <c r="CA77" s="292" t="e">
        <f t="array" aca="1" ref="CA77" ca="1">VLOOKUP($B77,KOMBI!$A:$ADS,MATCH(Tulem!CA$3,KOMBI!$A$1:$ADS$1,0),FALSE)</f>
        <v>#NUM!</v>
      </c>
      <c r="CB77" s="292" t="e">
        <f t="array" aca="1" ref="CB77" ca="1">VLOOKUP($B77,KOMBI!$A:$ADS,MATCH(Tulem!CB$3,KOMBI!$A$1:$ADS$1,0),FALSE)</f>
        <v>#NUM!</v>
      </c>
      <c r="CC77" s="292" t="e">
        <f t="array" aca="1" ref="CC77" ca="1">VLOOKUP($B77,KOMBI!$A:$ADS,MATCH(Tulem!CC$3,KOMBI!$A$1:$ADS$1,0),FALSE)</f>
        <v>#NUM!</v>
      </c>
      <c r="CD77" s="292" t="e">
        <f t="array" aca="1" ref="CD77" ca="1">VLOOKUP($B77,KOMBI!$A:$ADS,MATCH(Tulem!CD$3,KOMBI!$A$1:$ADS$1,0),FALSE)</f>
        <v>#NUM!</v>
      </c>
      <c r="CF77" s="51" t="e">
        <f ca="1">VLOOKUP($B77,KOMBI!$A:$ACG,MATCH(CF$5,KOMBI!$10:$10,0),FALSE)</f>
        <v>#NUM!</v>
      </c>
    </row>
    <row r="78" spans="1:84" x14ac:dyDescent="0.2">
      <c r="A78" s="51">
        <v>73</v>
      </c>
      <c r="B78" s="51" t="e">
        <f ca="1">KOMBI!GI83</f>
        <v>#NUM!</v>
      </c>
      <c r="C78" s="51">
        <f t="shared" si="3"/>
        <v>73</v>
      </c>
      <c r="D78" s="290" t="e">
        <f ca="1">VLOOKUP(VLOOKUP($B78,KOMBI!$A:$H,3,FALSE),data!$I$27:$J$29,2,FALSE)</f>
        <v>#NUM!</v>
      </c>
      <c r="E78" s="290" t="e">
        <f ca="1">VLOOKUP(VLOOKUP($B78,KOMBI!$A:$H,2,FALSE),data!$I$21:$J$23,2,FALSE)</f>
        <v>#NUM!</v>
      </c>
      <c r="F78" s="290" t="e">
        <f ca="1">VLOOKUP(VLOOKUP($B78,KOMBI!$A:$H,5,FALSE),data!$I$39:$J$41,2,FALSE)</f>
        <v>#NUM!</v>
      </c>
      <c r="G78" s="290" t="e">
        <f ca="1">VLOOKUP(VLOOKUP($B78,KOMBI!$A:$H,4,FALSE),data!$I$32:$J$36,2,FALSE)</f>
        <v>#NUM!</v>
      </c>
      <c r="I78" s="51" t="e">
        <f ca="1">VLOOKUP($B78,KOMBI!$A:$Z,MATCH(I$5,KOMBI!$10:$10,0),FALSE)</f>
        <v>#NUM!</v>
      </c>
      <c r="J78" s="291" t="e">
        <f ca="1">VLOOKUP($B78,KOMBI!$A:$ADS,J$3,FALSE)</f>
        <v>#NUM!</v>
      </c>
      <c r="K78" s="291" t="e">
        <f ca="1">VLOOKUP($B78,KOMBI!$A:$ADS,K$3,FALSE)</f>
        <v>#NUM!</v>
      </c>
      <c r="L78" s="291" t="e">
        <f ca="1">VLOOKUP($B78,KOMBI!$A:$ADS,L$3,FALSE)</f>
        <v>#NUM!</v>
      </c>
      <c r="M78" s="291" t="e">
        <f ca="1">VLOOKUP($B78,KOMBI!$A:$ADS,M$3,FALSE)</f>
        <v>#NUM!</v>
      </c>
      <c r="N78" s="291" t="e">
        <f ca="1">VLOOKUP($B78,KOMBI!$A:$ADS,N$3,FALSE)</f>
        <v>#NUM!</v>
      </c>
      <c r="O78" s="291" t="e">
        <f ca="1">VLOOKUP($B78,KOMBI!$A:$ADS,O$3,FALSE)</f>
        <v>#NUM!</v>
      </c>
      <c r="P78" s="291" t="e">
        <f ca="1">VLOOKUP($B78,KOMBI!$A:$ADS,P$3,FALSE)</f>
        <v>#NUM!</v>
      </c>
      <c r="Q78" s="292" t="e">
        <f t="array" aca="1" ref="Q78" ca="1">VLOOKUP($B78,KOMBI!$A:$ADS,MATCH(Tulem!Q$3,KOMBI!$A$1:$ADS$1,0),FALSE)</f>
        <v>#NUM!</v>
      </c>
      <c r="S78" s="332" t="e">
        <f t="array" aca="1" ref="S78" ca="1">VLOOKUP($B78,KOMBI!$A:$ADS,MATCH(Tulem!S$3,KOMBI!$A$1:$ADS$1,0),FALSE)</f>
        <v>#NUM!</v>
      </c>
      <c r="T78" s="293" t="e">
        <f ca="1">VLOOKUP($B78,KOMBI!$A:$ADS,T$3,FALSE)</f>
        <v>#NUM!</v>
      </c>
      <c r="U78" s="293" t="e">
        <f ca="1">VLOOKUP($B78,KOMBI!$A:$ADS,U$3,FALSE)</f>
        <v>#NUM!</v>
      </c>
      <c r="V78" s="293" t="e">
        <f ca="1">VLOOKUP($B78,KOMBI!$A:$ADS,V$3,FALSE)</f>
        <v>#NUM!</v>
      </c>
      <c r="W78" s="293"/>
      <c r="X78" s="293" t="e">
        <f ca="1">VLOOKUP($B78,KOMBI!$A:$ADS,X$3,FALSE)</f>
        <v>#NUM!</v>
      </c>
      <c r="Y78" s="293" t="e">
        <f ca="1">VLOOKUP($B78,KOMBI!$A:$ADS,Y$3,FALSE)</f>
        <v>#NUM!</v>
      </c>
      <c r="Z78" s="293" t="e">
        <f ca="1">VLOOKUP($B78,KOMBI!$A:$ADS,Z$3,FALSE)</f>
        <v>#NUM!</v>
      </c>
      <c r="AA78" s="294"/>
      <c r="AB78" s="293" t="e">
        <f ca="1">VLOOKUP($B78,KOMBI!$A:$ADS,AB$3,FALSE)</f>
        <v>#NUM!</v>
      </c>
      <c r="AC78" s="293" t="e">
        <f ca="1">VLOOKUP($B78,KOMBI!$A:$ADS,AC$3,FALSE)-AB78</f>
        <v>#NUM!</v>
      </c>
      <c r="AD78" s="293" t="e">
        <f ca="1">VLOOKUP($B78,KOMBI!$A:$ADS,AD$3,FALSE)</f>
        <v>#NUM!</v>
      </c>
      <c r="AE78" s="293" t="e">
        <f ca="1">VLOOKUP($B78,KOMBI!$A:$ADS,AE$3,FALSE)</f>
        <v>#NUM!</v>
      </c>
      <c r="AF78" s="293" t="e">
        <f ca="1">VLOOKUP($B78,KOMBI!$A:$ADS,AF$3,FALSE)-AE78</f>
        <v>#NUM!</v>
      </c>
      <c r="AG78" s="293" t="e">
        <f ca="1">VLOOKUP($B78,KOMBI!$A:$ADS,AG$3,FALSE)</f>
        <v>#NUM!</v>
      </c>
      <c r="AI78" s="293" t="e">
        <f t="array" aca="1" ref="AI78" ca="1">VLOOKUP($B78,KOMBI!$A:$ADS,MATCH(Tulem!AI$3,KOMBI!$A$1:$ADS$1,0),FALSE)</f>
        <v>#NUM!</v>
      </c>
      <c r="AJ78" s="293" t="e">
        <f t="array" aca="1" ref="AJ78" ca="1">VLOOKUP($B78,KOMBI!$A:$ADS,MATCH(Tulem!AJ$3,KOMBI!$A$1:$ADS$1,0),FALSE)</f>
        <v>#NUM!</v>
      </c>
      <c r="AK78" s="293" t="e">
        <f t="array" aca="1" ref="AK78" ca="1">VLOOKUP($B78,KOMBI!$A:$ADS,MATCH(Tulem!AK$3,KOMBI!$A$1:$ADS$1,0),FALSE)</f>
        <v>#NUM!</v>
      </c>
      <c r="AL78" s="293" t="e">
        <f t="array" aca="1" ref="AL78" ca="1">VLOOKUP($B78,KOMBI!$A:$ADS,MATCH(Tulem!AL$3,KOMBI!$A$1:$ADS$1,0),FALSE)</f>
        <v>#NUM!</v>
      </c>
      <c r="AM78" s="293" t="e">
        <f t="array" aca="1" ref="AM78" ca="1">VLOOKUP($B78,KOMBI!$A:$ADS,MATCH(Tulem!AM$3,KOMBI!$A$1:$ADS$1,0),FALSE)</f>
        <v>#NUM!</v>
      </c>
      <c r="AN78" s="293" t="e">
        <f t="array" aca="1" ref="AN78" ca="1">VLOOKUP($B78,KOMBI!$A:$ADS,MATCH(Tulem!AN$3,KOMBI!$A$1:$ADS$1,0),FALSE)</f>
        <v>#NUM!</v>
      </c>
      <c r="AO78" s="293" t="e">
        <f t="array" aca="1" ref="AO78" ca="1">VLOOKUP($B78,KOMBI!$A:$ADS,MATCH(Tulem!AO$3,KOMBI!$A$1:$ADS$1,0),FALSE)</f>
        <v>#NUM!</v>
      </c>
      <c r="AP78" s="293" t="e">
        <f t="array" aca="1" ref="AP78" ca="1">VLOOKUP($B78,KOMBI!$A:$ADS,MATCH(Tulem!AP$3,KOMBI!$A$1:$ADS$1,0),FALSE)</f>
        <v>#NUM!</v>
      </c>
      <c r="AQ78" s="293" t="e">
        <f t="array" aca="1" ref="AQ78" ca="1">VLOOKUP($B78,KOMBI!$A:$ADS,MATCH(Tulem!AQ$3,KOMBI!$A$1:$ADS$1,0),FALSE)</f>
        <v>#NUM!</v>
      </c>
      <c r="AR78" s="293" t="e">
        <f t="array" aca="1" ref="AR78" ca="1">VLOOKUP($B78,KOMBI!$A:$ADS,MATCH(Tulem!AR$3,KOMBI!$A$1:$ADS$1,0),FALSE)</f>
        <v>#NUM!</v>
      </c>
      <c r="AS78" s="293" t="e">
        <f t="array" aca="1" ref="AS78" ca="1">VLOOKUP($B78,KOMBI!$A:$ADS,MATCH(Tulem!AS$3,KOMBI!$A$1:$ADS$1,0),FALSE)</f>
        <v>#NUM!</v>
      </c>
      <c r="AT78" s="293" t="e">
        <f t="array" aca="1" ref="AT78" ca="1">VLOOKUP($B78,KOMBI!$A:$ADS,MATCH(Tulem!AT$3,KOMBI!$A$1:$ADS$1,0),FALSE)</f>
        <v>#NUM!</v>
      </c>
      <c r="AU78" s="293" t="e">
        <f t="array" aca="1" ref="AU78" ca="1">VLOOKUP($B78,KOMBI!$A:$ADS,MATCH(Tulem!AU$3,KOMBI!$A$1:$ADS$1,0),FALSE)</f>
        <v>#NUM!</v>
      </c>
      <c r="AV78" s="293" t="e">
        <f t="shared" ca="1" si="4"/>
        <v>#NUM!</v>
      </c>
      <c r="AW78" s="293" t="e">
        <f t="shared" ca="1" si="5"/>
        <v>#NUM!</v>
      </c>
      <c r="AX78" s="291" t="e">
        <f ca="1">VLOOKUP($B78,KOMBI!$A:$ACA,MATCH(AX$5,KOMBI!$10:$10,0),FALSE)</f>
        <v>#NUM!</v>
      </c>
      <c r="AY78" s="292" t="e">
        <f t="array" aca="1" ref="AY78" ca="1">VLOOKUP($B78,KOMBI!$A:$ADS,MATCH(Tulem!AY$3,KOMBI!$A$1:$ADS$1,0),FALSE)</f>
        <v>#NUM!</v>
      </c>
      <c r="AZ78" s="292" t="e">
        <f t="array" aca="1" ref="AZ78" ca="1">VLOOKUP($B78,KOMBI!$A:$ADS,MATCH(Tulem!AZ$3,KOMBI!$A$1:$ADS$1,0),FALSE)</f>
        <v>#NUM!</v>
      </c>
      <c r="BA78" s="292" t="e">
        <f t="array" aca="1" ref="BA78" ca="1">VLOOKUP($B78,KOMBI!$A:$ADS,MATCH(Tulem!BA$3,KOMBI!$A$1:$ADS$1,0),FALSE)</f>
        <v>#NUM!</v>
      </c>
      <c r="BB78" s="292" t="e">
        <f t="array" aca="1" ref="BB78" ca="1">VLOOKUP($B78,KOMBI!$A:$ADS,MATCH(Tulem!BB$3,KOMBI!$A$1:$ADS$1,0),FALSE)</f>
        <v>#NUM!</v>
      </c>
      <c r="BC78" s="292" t="e">
        <f t="array" aca="1" ref="BC78" ca="1">VLOOKUP($B78,KOMBI!$A:$ADS,MATCH(Tulem!BC$3,KOMBI!$A$1:$ADS$1,0),FALSE)</f>
        <v>#NUM!</v>
      </c>
      <c r="BD78" s="292" t="e">
        <f t="array" aca="1" ref="BD78" ca="1">VLOOKUP($B78,KOMBI!$A:$ADS,MATCH(Tulem!BD$3,KOMBI!$A$1:$ADS$1,0),FALSE)</f>
        <v>#NUM!</v>
      </c>
      <c r="BE78" s="292" t="e">
        <f t="array" aca="1" ref="BE78" ca="1">VLOOKUP($B78,KOMBI!$A:$ADS,MATCH(Tulem!BE$3,KOMBI!$A$1:$ADS$1,0),FALSE)</f>
        <v>#NUM!</v>
      </c>
      <c r="BF78" s="292" t="e">
        <f t="array" aca="1" ref="BF78" ca="1">VLOOKUP($B78,KOMBI!$A:$ADS,MATCH(Tulem!BF$3,KOMBI!$A$1:$ADS$1,0),FALSE)</f>
        <v>#NUM!</v>
      </c>
      <c r="BG78" s="292" t="e">
        <f t="array" aca="1" ref="BG78" ca="1">VLOOKUP($B78,KOMBI!$A:$ADS,MATCH(Tulem!BG$3,KOMBI!$A$1:$ADS$1,0),FALSE)</f>
        <v>#NUM!</v>
      </c>
      <c r="BH78" s="292" t="e">
        <f t="array" aca="1" ref="BH78" ca="1">VLOOKUP($B78,KOMBI!$A:$ADS,MATCH(Tulem!BH$3,KOMBI!$A$1:$ADS$1,0),FALSE)</f>
        <v>#NUM!</v>
      </c>
      <c r="BI78" s="292" t="e">
        <f t="array" aca="1" ref="BI78" ca="1">VLOOKUP($B78,KOMBI!$A:$ADS,MATCH(Tulem!BI$3,KOMBI!$A$1:$ADS$1,0),FALSE)</f>
        <v>#NUM!</v>
      </c>
      <c r="BJ78" s="292" t="e">
        <f t="array" aca="1" ref="BJ78" ca="1">VLOOKUP($B78,KOMBI!$A:$ADS,MATCH(Tulem!BJ$3,KOMBI!$A$1:$ADS$1,0),FALSE)</f>
        <v>#NUM!</v>
      </c>
      <c r="BK78" s="292" t="e">
        <f t="array" aca="1" ref="BK78" ca="1">VLOOKUP($B78,KOMBI!$A:$ADS,MATCH(Tulem!BK$3,KOMBI!$A$1:$ADS$1,0),FALSE)</f>
        <v>#NUM!</v>
      </c>
      <c r="BL78" s="292" t="e">
        <f t="array" aca="1" ref="BL78" ca="1">VLOOKUP($B78,KOMBI!$A:$ADS,MATCH(Tulem!BL$3,KOMBI!$A$1:$ADS$1,0),FALSE)</f>
        <v>#NUM!</v>
      </c>
      <c r="BM78" s="292" t="e">
        <f t="array" aca="1" ref="BM78" ca="1">VLOOKUP($B78,KOMBI!$A:$ADS,MATCH(Tulem!BM$3,KOMBI!$A$1:$ADS$1,0),FALSE)</f>
        <v>#NUM!</v>
      </c>
      <c r="BN78" s="292" t="e">
        <f t="array" aca="1" ref="BN78" ca="1">VLOOKUP($B78,KOMBI!$A:$ADS,MATCH(Tulem!BN$3,KOMBI!$A$1:$ADS$1,0),FALSE)</f>
        <v>#NUM!</v>
      </c>
      <c r="BO78" s="292" t="e">
        <f t="array" aca="1" ref="BO78" ca="1">VLOOKUP($B78,KOMBI!$A:$ADS,MATCH(Tulem!BO$3,KOMBI!$A$1:$ADS$1,0),FALSE)</f>
        <v>#NUM!</v>
      </c>
      <c r="BP78" s="291"/>
      <c r="BQ78" s="292" t="e">
        <f t="array" aca="1" ref="BQ78" ca="1">VLOOKUP($B78,KOMBI!$A:$ADS,MATCH(Tulem!BQ$3,KOMBI!$A$1:$ADS$1,0),FALSE)</f>
        <v>#NUM!</v>
      </c>
      <c r="BR78" s="292" t="e">
        <f t="array" aca="1" ref="BR78" ca="1">VLOOKUP($B78,KOMBI!$A:$ADS,MATCH(Tulem!BR$3,KOMBI!$A$1:$ADS$1,0),FALSE)</f>
        <v>#NUM!</v>
      </c>
      <c r="BS78" s="292" t="e">
        <f t="array" aca="1" ref="BS78" ca="1">VLOOKUP($B78,KOMBI!$A:$ADS,MATCH(Tulem!BS$3,KOMBI!$A$1:$ADS$1,0),FALSE)</f>
        <v>#NUM!</v>
      </c>
      <c r="BT78" s="292" t="e">
        <f t="array" aca="1" ref="BT78" ca="1">VLOOKUP($B78,KOMBI!$A:$ADS,MATCH(Tulem!BT$3,KOMBI!$A$1:$ADS$1,0),FALSE)</f>
        <v>#NUM!</v>
      </c>
      <c r="BU78" s="292" t="e">
        <f t="array" aca="1" ref="BU78" ca="1">VLOOKUP($B78,KOMBI!$A:$ADS,MATCH(Tulem!BU$3,KOMBI!$A$1:$ADS$1,0),FALSE)</f>
        <v>#NUM!</v>
      </c>
      <c r="BV78" s="291"/>
      <c r="BW78" s="292" t="e">
        <f t="array" aca="1" ref="BW78" ca="1">VLOOKUP($B78,KOMBI!$A:$ADS,MATCH(Tulem!BW$3,KOMBI!$A$1:$ADS$1,0),FALSE)</f>
        <v>#NUM!</v>
      </c>
      <c r="BX78" s="291"/>
      <c r="BY78" s="291"/>
      <c r="BZ78" s="292" t="e">
        <f t="array" aca="1" ref="BZ78" ca="1">VLOOKUP($B78,KOMBI!$A:$ADS,MATCH(Tulem!BZ$3,KOMBI!$A$1:$ADS$1,0),FALSE)</f>
        <v>#NUM!</v>
      </c>
      <c r="CA78" s="292" t="e">
        <f t="array" aca="1" ref="CA78" ca="1">VLOOKUP($B78,KOMBI!$A:$ADS,MATCH(Tulem!CA$3,KOMBI!$A$1:$ADS$1,0),FALSE)</f>
        <v>#NUM!</v>
      </c>
      <c r="CB78" s="292" t="e">
        <f t="array" aca="1" ref="CB78" ca="1">VLOOKUP($B78,KOMBI!$A:$ADS,MATCH(Tulem!CB$3,KOMBI!$A$1:$ADS$1,0),FALSE)</f>
        <v>#NUM!</v>
      </c>
      <c r="CC78" s="292" t="e">
        <f t="array" aca="1" ref="CC78" ca="1">VLOOKUP($B78,KOMBI!$A:$ADS,MATCH(Tulem!CC$3,KOMBI!$A$1:$ADS$1,0),FALSE)</f>
        <v>#NUM!</v>
      </c>
      <c r="CD78" s="292" t="e">
        <f t="array" aca="1" ref="CD78" ca="1">VLOOKUP($B78,KOMBI!$A:$ADS,MATCH(Tulem!CD$3,KOMBI!$A$1:$ADS$1,0),FALSE)</f>
        <v>#NUM!</v>
      </c>
      <c r="CF78" s="51" t="e">
        <f ca="1">VLOOKUP($B78,KOMBI!$A:$ACG,MATCH(CF$5,KOMBI!$10:$10,0),FALSE)</f>
        <v>#NUM!</v>
      </c>
    </row>
    <row r="79" spans="1:84" x14ac:dyDescent="0.2">
      <c r="A79" s="51">
        <v>74</v>
      </c>
      <c r="B79" s="51" t="e">
        <f ca="1">KOMBI!GI84</f>
        <v>#NUM!</v>
      </c>
      <c r="C79" s="51">
        <f t="shared" si="3"/>
        <v>74</v>
      </c>
      <c r="D79" s="290" t="e">
        <f ca="1">VLOOKUP(VLOOKUP($B79,KOMBI!$A:$H,3,FALSE),data!$I$27:$J$29,2,FALSE)</f>
        <v>#NUM!</v>
      </c>
      <c r="E79" s="290" t="e">
        <f ca="1">VLOOKUP(VLOOKUP($B79,KOMBI!$A:$H,2,FALSE),data!$I$21:$J$23,2,FALSE)</f>
        <v>#NUM!</v>
      </c>
      <c r="F79" s="290" t="e">
        <f ca="1">VLOOKUP(VLOOKUP($B79,KOMBI!$A:$H,5,FALSE),data!$I$39:$J$41,2,FALSE)</f>
        <v>#NUM!</v>
      </c>
      <c r="G79" s="290" t="e">
        <f ca="1">VLOOKUP(VLOOKUP($B79,KOMBI!$A:$H,4,FALSE),data!$I$32:$J$36,2,FALSE)</f>
        <v>#NUM!</v>
      </c>
      <c r="I79" s="51" t="e">
        <f ca="1">VLOOKUP($B79,KOMBI!$A:$Z,MATCH(I$5,KOMBI!$10:$10,0),FALSE)</f>
        <v>#NUM!</v>
      </c>
      <c r="J79" s="291" t="e">
        <f ca="1">VLOOKUP($B79,KOMBI!$A:$ADS,J$3,FALSE)</f>
        <v>#NUM!</v>
      </c>
      <c r="K79" s="291" t="e">
        <f ca="1">VLOOKUP($B79,KOMBI!$A:$ADS,K$3,FALSE)</f>
        <v>#NUM!</v>
      </c>
      <c r="L79" s="291" t="e">
        <f ca="1">VLOOKUP($B79,KOMBI!$A:$ADS,L$3,FALSE)</f>
        <v>#NUM!</v>
      </c>
      <c r="M79" s="291" t="e">
        <f ca="1">VLOOKUP($B79,KOMBI!$A:$ADS,M$3,FALSE)</f>
        <v>#NUM!</v>
      </c>
      <c r="N79" s="291" t="e">
        <f ca="1">VLOOKUP($B79,KOMBI!$A:$ADS,N$3,FALSE)</f>
        <v>#NUM!</v>
      </c>
      <c r="O79" s="291" t="e">
        <f ca="1">VLOOKUP($B79,KOMBI!$A:$ADS,O$3,FALSE)</f>
        <v>#NUM!</v>
      </c>
      <c r="P79" s="291" t="e">
        <f ca="1">VLOOKUP($B79,KOMBI!$A:$ADS,P$3,FALSE)</f>
        <v>#NUM!</v>
      </c>
      <c r="Q79" s="292" t="e">
        <f t="array" aca="1" ref="Q79" ca="1">VLOOKUP($B79,KOMBI!$A:$ADS,MATCH(Tulem!Q$3,KOMBI!$A$1:$ADS$1,0),FALSE)</f>
        <v>#NUM!</v>
      </c>
      <c r="S79" s="332" t="e">
        <f t="array" aca="1" ref="S79" ca="1">VLOOKUP($B79,KOMBI!$A:$ADS,MATCH(Tulem!S$3,KOMBI!$A$1:$ADS$1,0),FALSE)</f>
        <v>#NUM!</v>
      </c>
      <c r="T79" s="293" t="e">
        <f ca="1">VLOOKUP($B79,KOMBI!$A:$ADS,T$3,FALSE)</f>
        <v>#NUM!</v>
      </c>
      <c r="U79" s="293" t="e">
        <f ca="1">VLOOKUP($B79,KOMBI!$A:$ADS,U$3,FALSE)</f>
        <v>#NUM!</v>
      </c>
      <c r="V79" s="293" t="e">
        <f ca="1">VLOOKUP($B79,KOMBI!$A:$ADS,V$3,FALSE)</f>
        <v>#NUM!</v>
      </c>
      <c r="W79" s="293"/>
      <c r="X79" s="293" t="e">
        <f ca="1">VLOOKUP($B79,KOMBI!$A:$ADS,X$3,FALSE)</f>
        <v>#NUM!</v>
      </c>
      <c r="Y79" s="293" t="e">
        <f ca="1">VLOOKUP($B79,KOMBI!$A:$ADS,Y$3,FALSE)</f>
        <v>#NUM!</v>
      </c>
      <c r="Z79" s="293" t="e">
        <f ca="1">VLOOKUP($B79,KOMBI!$A:$ADS,Z$3,FALSE)</f>
        <v>#NUM!</v>
      </c>
      <c r="AA79" s="294"/>
      <c r="AB79" s="293" t="e">
        <f ca="1">VLOOKUP($B79,KOMBI!$A:$ADS,AB$3,FALSE)</f>
        <v>#NUM!</v>
      </c>
      <c r="AC79" s="293" t="e">
        <f ca="1">VLOOKUP($B79,KOMBI!$A:$ADS,AC$3,FALSE)-AB79</f>
        <v>#NUM!</v>
      </c>
      <c r="AD79" s="293" t="e">
        <f ca="1">VLOOKUP($B79,KOMBI!$A:$ADS,AD$3,FALSE)</f>
        <v>#NUM!</v>
      </c>
      <c r="AE79" s="293" t="e">
        <f ca="1">VLOOKUP($B79,KOMBI!$A:$ADS,AE$3,FALSE)</f>
        <v>#NUM!</v>
      </c>
      <c r="AF79" s="293" t="e">
        <f ca="1">VLOOKUP($B79,KOMBI!$A:$ADS,AF$3,FALSE)-AE79</f>
        <v>#NUM!</v>
      </c>
      <c r="AG79" s="293" t="e">
        <f ca="1">VLOOKUP($B79,KOMBI!$A:$ADS,AG$3,FALSE)</f>
        <v>#NUM!</v>
      </c>
      <c r="AI79" s="293" t="e">
        <f t="array" aca="1" ref="AI79" ca="1">VLOOKUP($B79,KOMBI!$A:$ADS,MATCH(Tulem!AI$3,KOMBI!$A$1:$ADS$1,0),FALSE)</f>
        <v>#NUM!</v>
      </c>
      <c r="AJ79" s="293" t="e">
        <f t="array" aca="1" ref="AJ79" ca="1">VLOOKUP($B79,KOMBI!$A:$ADS,MATCH(Tulem!AJ$3,KOMBI!$A$1:$ADS$1,0),FALSE)</f>
        <v>#NUM!</v>
      </c>
      <c r="AK79" s="293" t="e">
        <f t="array" aca="1" ref="AK79" ca="1">VLOOKUP($B79,KOMBI!$A:$ADS,MATCH(Tulem!AK$3,KOMBI!$A$1:$ADS$1,0),FALSE)</f>
        <v>#NUM!</v>
      </c>
      <c r="AL79" s="293" t="e">
        <f t="array" aca="1" ref="AL79" ca="1">VLOOKUP($B79,KOMBI!$A:$ADS,MATCH(Tulem!AL$3,KOMBI!$A$1:$ADS$1,0),FALSE)</f>
        <v>#NUM!</v>
      </c>
      <c r="AM79" s="293" t="e">
        <f t="array" aca="1" ref="AM79" ca="1">VLOOKUP($B79,KOMBI!$A:$ADS,MATCH(Tulem!AM$3,KOMBI!$A$1:$ADS$1,0),FALSE)</f>
        <v>#NUM!</v>
      </c>
      <c r="AN79" s="293" t="e">
        <f t="array" aca="1" ref="AN79" ca="1">VLOOKUP($B79,KOMBI!$A:$ADS,MATCH(Tulem!AN$3,KOMBI!$A$1:$ADS$1,0),FALSE)</f>
        <v>#NUM!</v>
      </c>
      <c r="AO79" s="293" t="e">
        <f t="array" aca="1" ref="AO79" ca="1">VLOOKUP($B79,KOMBI!$A:$ADS,MATCH(Tulem!AO$3,KOMBI!$A$1:$ADS$1,0),FALSE)</f>
        <v>#NUM!</v>
      </c>
      <c r="AP79" s="293" t="e">
        <f t="array" aca="1" ref="AP79" ca="1">VLOOKUP($B79,KOMBI!$A:$ADS,MATCH(Tulem!AP$3,KOMBI!$A$1:$ADS$1,0),FALSE)</f>
        <v>#NUM!</v>
      </c>
      <c r="AQ79" s="293" t="e">
        <f t="array" aca="1" ref="AQ79" ca="1">VLOOKUP($B79,KOMBI!$A:$ADS,MATCH(Tulem!AQ$3,KOMBI!$A$1:$ADS$1,0),FALSE)</f>
        <v>#NUM!</v>
      </c>
      <c r="AR79" s="293" t="e">
        <f t="array" aca="1" ref="AR79" ca="1">VLOOKUP($B79,KOMBI!$A:$ADS,MATCH(Tulem!AR$3,KOMBI!$A$1:$ADS$1,0),FALSE)</f>
        <v>#NUM!</v>
      </c>
      <c r="AS79" s="293" t="e">
        <f t="array" aca="1" ref="AS79" ca="1">VLOOKUP($B79,KOMBI!$A:$ADS,MATCH(Tulem!AS$3,KOMBI!$A$1:$ADS$1,0),FALSE)</f>
        <v>#NUM!</v>
      </c>
      <c r="AT79" s="293" t="e">
        <f t="array" aca="1" ref="AT79" ca="1">VLOOKUP($B79,KOMBI!$A:$ADS,MATCH(Tulem!AT$3,KOMBI!$A$1:$ADS$1,0),FALSE)</f>
        <v>#NUM!</v>
      </c>
      <c r="AU79" s="293" t="e">
        <f t="array" aca="1" ref="AU79" ca="1">VLOOKUP($B79,KOMBI!$A:$ADS,MATCH(Tulem!AU$3,KOMBI!$A$1:$ADS$1,0),FALSE)</f>
        <v>#NUM!</v>
      </c>
      <c r="AV79" s="293" t="e">
        <f t="shared" ca="1" si="4"/>
        <v>#NUM!</v>
      </c>
      <c r="AW79" s="293" t="e">
        <f t="shared" ca="1" si="5"/>
        <v>#NUM!</v>
      </c>
      <c r="AX79" s="291" t="e">
        <f ca="1">VLOOKUP($B79,KOMBI!$A:$ACA,MATCH(AX$5,KOMBI!$10:$10,0),FALSE)</f>
        <v>#NUM!</v>
      </c>
      <c r="AY79" s="292" t="e">
        <f t="array" aca="1" ref="AY79" ca="1">VLOOKUP($B79,KOMBI!$A:$ADS,MATCH(Tulem!AY$3,KOMBI!$A$1:$ADS$1,0),FALSE)</f>
        <v>#NUM!</v>
      </c>
      <c r="AZ79" s="292" t="e">
        <f t="array" aca="1" ref="AZ79" ca="1">VLOOKUP($B79,KOMBI!$A:$ADS,MATCH(Tulem!AZ$3,KOMBI!$A$1:$ADS$1,0),FALSE)</f>
        <v>#NUM!</v>
      </c>
      <c r="BA79" s="292" t="e">
        <f t="array" aca="1" ref="BA79" ca="1">VLOOKUP($B79,KOMBI!$A:$ADS,MATCH(Tulem!BA$3,KOMBI!$A$1:$ADS$1,0),FALSE)</f>
        <v>#NUM!</v>
      </c>
      <c r="BB79" s="292" t="e">
        <f t="array" aca="1" ref="BB79" ca="1">VLOOKUP($B79,KOMBI!$A:$ADS,MATCH(Tulem!BB$3,KOMBI!$A$1:$ADS$1,0),FALSE)</f>
        <v>#NUM!</v>
      </c>
      <c r="BC79" s="292" t="e">
        <f t="array" aca="1" ref="BC79" ca="1">VLOOKUP($B79,KOMBI!$A:$ADS,MATCH(Tulem!BC$3,KOMBI!$A$1:$ADS$1,0),FALSE)</f>
        <v>#NUM!</v>
      </c>
      <c r="BD79" s="292" t="e">
        <f t="array" aca="1" ref="BD79" ca="1">VLOOKUP($B79,KOMBI!$A:$ADS,MATCH(Tulem!BD$3,KOMBI!$A$1:$ADS$1,0),FALSE)</f>
        <v>#NUM!</v>
      </c>
      <c r="BE79" s="292" t="e">
        <f t="array" aca="1" ref="BE79" ca="1">VLOOKUP($B79,KOMBI!$A:$ADS,MATCH(Tulem!BE$3,KOMBI!$A$1:$ADS$1,0),FALSE)</f>
        <v>#NUM!</v>
      </c>
      <c r="BF79" s="292" t="e">
        <f t="array" aca="1" ref="BF79" ca="1">VLOOKUP($B79,KOMBI!$A:$ADS,MATCH(Tulem!BF$3,KOMBI!$A$1:$ADS$1,0),FALSE)</f>
        <v>#NUM!</v>
      </c>
      <c r="BG79" s="292" t="e">
        <f t="array" aca="1" ref="BG79" ca="1">VLOOKUP($B79,KOMBI!$A:$ADS,MATCH(Tulem!BG$3,KOMBI!$A$1:$ADS$1,0),FALSE)</f>
        <v>#NUM!</v>
      </c>
      <c r="BH79" s="292" t="e">
        <f t="array" aca="1" ref="BH79" ca="1">VLOOKUP($B79,KOMBI!$A:$ADS,MATCH(Tulem!BH$3,KOMBI!$A$1:$ADS$1,0),FALSE)</f>
        <v>#NUM!</v>
      </c>
      <c r="BI79" s="292" t="e">
        <f t="array" aca="1" ref="BI79" ca="1">VLOOKUP($B79,KOMBI!$A:$ADS,MATCH(Tulem!BI$3,KOMBI!$A$1:$ADS$1,0),FALSE)</f>
        <v>#NUM!</v>
      </c>
      <c r="BJ79" s="292" t="e">
        <f t="array" aca="1" ref="BJ79" ca="1">VLOOKUP($B79,KOMBI!$A:$ADS,MATCH(Tulem!BJ$3,KOMBI!$A$1:$ADS$1,0),FALSE)</f>
        <v>#NUM!</v>
      </c>
      <c r="BK79" s="292" t="e">
        <f t="array" aca="1" ref="BK79" ca="1">VLOOKUP($B79,KOMBI!$A:$ADS,MATCH(Tulem!BK$3,KOMBI!$A$1:$ADS$1,0),FALSE)</f>
        <v>#NUM!</v>
      </c>
      <c r="BL79" s="292" t="e">
        <f t="array" aca="1" ref="BL79" ca="1">VLOOKUP($B79,KOMBI!$A:$ADS,MATCH(Tulem!BL$3,KOMBI!$A$1:$ADS$1,0),FALSE)</f>
        <v>#NUM!</v>
      </c>
      <c r="BM79" s="292" t="e">
        <f t="array" aca="1" ref="BM79" ca="1">VLOOKUP($B79,KOMBI!$A:$ADS,MATCH(Tulem!BM$3,KOMBI!$A$1:$ADS$1,0),FALSE)</f>
        <v>#NUM!</v>
      </c>
      <c r="BN79" s="292" t="e">
        <f t="array" aca="1" ref="BN79" ca="1">VLOOKUP($B79,KOMBI!$A:$ADS,MATCH(Tulem!BN$3,KOMBI!$A$1:$ADS$1,0),FALSE)</f>
        <v>#NUM!</v>
      </c>
      <c r="BO79" s="292" t="e">
        <f t="array" aca="1" ref="BO79" ca="1">VLOOKUP($B79,KOMBI!$A:$ADS,MATCH(Tulem!BO$3,KOMBI!$A$1:$ADS$1,0),FALSE)</f>
        <v>#NUM!</v>
      </c>
      <c r="BP79" s="291"/>
      <c r="BQ79" s="292" t="e">
        <f t="array" aca="1" ref="BQ79" ca="1">VLOOKUP($B79,KOMBI!$A:$ADS,MATCH(Tulem!BQ$3,KOMBI!$A$1:$ADS$1,0),FALSE)</f>
        <v>#NUM!</v>
      </c>
      <c r="BR79" s="292" t="e">
        <f t="array" aca="1" ref="BR79" ca="1">VLOOKUP($B79,KOMBI!$A:$ADS,MATCH(Tulem!BR$3,KOMBI!$A$1:$ADS$1,0),FALSE)</f>
        <v>#NUM!</v>
      </c>
      <c r="BS79" s="292" t="e">
        <f t="array" aca="1" ref="BS79" ca="1">VLOOKUP($B79,KOMBI!$A:$ADS,MATCH(Tulem!BS$3,KOMBI!$A$1:$ADS$1,0),FALSE)</f>
        <v>#NUM!</v>
      </c>
      <c r="BT79" s="292" t="e">
        <f t="array" aca="1" ref="BT79" ca="1">VLOOKUP($B79,KOMBI!$A:$ADS,MATCH(Tulem!BT$3,KOMBI!$A$1:$ADS$1,0),FALSE)</f>
        <v>#NUM!</v>
      </c>
      <c r="BU79" s="292" t="e">
        <f t="array" aca="1" ref="BU79" ca="1">VLOOKUP($B79,KOMBI!$A:$ADS,MATCH(Tulem!BU$3,KOMBI!$A$1:$ADS$1,0),FALSE)</f>
        <v>#NUM!</v>
      </c>
      <c r="BV79" s="291"/>
      <c r="BW79" s="292" t="e">
        <f t="array" aca="1" ref="BW79" ca="1">VLOOKUP($B79,KOMBI!$A:$ADS,MATCH(Tulem!BW$3,KOMBI!$A$1:$ADS$1,0),FALSE)</f>
        <v>#NUM!</v>
      </c>
      <c r="BX79" s="291"/>
      <c r="BY79" s="291"/>
      <c r="BZ79" s="292" t="e">
        <f t="array" aca="1" ref="BZ79" ca="1">VLOOKUP($B79,KOMBI!$A:$ADS,MATCH(Tulem!BZ$3,KOMBI!$A$1:$ADS$1,0),FALSE)</f>
        <v>#NUM!</v>
      </c>
      <c r="CA79" s="292" t="e">
        <f t="array" aca="1" ref="CA79" ca="1">VLOOKUP($B79,KOMBI!$A:$ADS,MATCH(Tulem!CA$3,KOMBI!$A$1:$ADS$1,0),FALSE)</f>
        <v>#NUM!</v>
      </c>
      <c r="CB79" s="292" t="e">
        <f t="array" aca="1" ref="CB79" ca="1">VLOOKUP($B79,KOMBI!$A:$ADS,MATCH(Tulem!CB$3,KOMBI!$A$1:$ADS$1,0),FALSE)</f>
        <v>#NUM!</v>
      </c>
      <c r="CC79" s="292" t="e">
        <f t="array" aca="1" ref="CC79" ca="1">VLOOKUP($B79,KOMBI!$A:$ADS,MATCH(Tulem!CC$3,KOMBI!$A$1:$ADS$1,0),FALSE)</f>
        <v>#NUM!</v>
      </c>
      <c r="CD79" s="292" t="e">
        <f t="array" aca="1" ref="CD79" ca="1">VLOOKUP($B79,KOMBI!$A:$ADS,MATCH(Tulem!CD$3,KOMBI!$A$1:$ADS$1,0),FALSE)</f>
        <v>#NUM!</v>
      </c>
      <c r="CF79" s="51" t="e">
        <f ca="1">VLOOKUP($B79,KOMBI!$A:$ACG,MATCH(CF$5,KOMBI!$10:$10,0),FALSE)</f>
        <v>#NUM!</v>
      </c>
    </row>
    <row r="80" spans="1:84" x14ac:dyDescent="0.2">
      <c r="A80" s="51">
        <v>75</v>
      </c>
      <c r="B80" s="51" t="e">
        <f ca="1">KOMBI!GI85</f>
        <v>#NUM!</v>
      </c>
      <c r="C80" s="51">
        <f t="shared" si="3"/>
        <v>75</v>
      </c>
      <c r="D80" s="290" t="e">
        <f ca="1">VLOOKUP(VLOOKUP($B80,KOMBI!$A:$H,3,FALSE),data!$I$27:$J$29,2,FALSE)</f>
        <v>#NUM!</v>
      </c>
      <c r="E80" s="290" t="e">
        <f ca="1">VLOOKUP(VLOOKUP($B80,KOMBI!$A:$H,2,FALSE),data!$I$21:$J$23,2,FALSE)</f>
        <v>#NUM!</v>
      </c>
      <c r="F80" s="290" t="e">
        <f ca="1">VLOOKUP(VLOOKUP($B80,KOMBI!$A:$H,5,FALSE),data!$I$39:$J$41,2,FALSE)</f>
        <v>#NUM!</v>
      </c>
      <c r="G80" s="290" t="e">
        <f ca="1">VLOOKUP(VLOOKUP($B80,KOMBI!$A:$H,4,FALSE),data!$I$32:$J$36,2,FALSE)</f>
        <v>#NUM!</v>
      </c>
      <c r="I80" s="51" t="e">
        <f ca="1">VLOOKUP($B80,KOMBI!$A:$Z,MATCH(I$5,KOMBI!$10:$10,0),FALSE)</f>
        <v>#NUM!</v>
      </c>
      <c r="J80" s="291" t="e">
        <f ca="1">VLOOKUP($B80,KOMBI!$A:$ADS,J$3,FALSE)</f>
        <v>#NUM!</v>
      </c>
      <c r="K80" s="291" t="e">
        <f ca="1">VLOOKUP($B80,KOMBI!$A:$ADS,K$3,FALSE)</f>
        <v>#NUM!</v>
      </c>
      <c r="L80" s="291" t="e">
        <f ca="1">VLOOKUP($B80,KOMBI!$A:$ADS,L$3,FALSE)</f>
        <v>#NUM!</v>
      </c>
      <c r="M80" s="291" t="e">
        <f ca="1">VLOOKUP($B80,KOMBI!$A:$ADS,M$3,FALSE)</f>
        <v>#NUM!</v>
      </c>
      <c r="N80" s="291" t="e">
        <f ca="1">VLOOKUP($B80,KOMBI!$A:$ADS,N$3,FALSE)</f>
        <v>#NUM!</v>
      </c>
      <c r="O80" s="291" t="e">
        <f ca="1">VLOOKUP($B80,KOMBI!$A:$ADS,O$3,FALSE)</f>
        <v>#NUM!</v>
      </c>
      <c r="P80" s="291" t="e">
        <f ca="1">VLOOKUP($B80,KOMBI!$A:$ADS,P$3,FALSE)</f>
        <v>#NUM!</v>
      </c>
      <c r="Q80" s="292" t="e">
        <f t="array" aca="1" ref="Q80" ca="1">VLOOKUP($B80,KOMBI!$A:$ADS,MATCH(Tulem!Q$3,KOMBI!$A$1:$ADS$1,0),FALSE)</f>
        <v>#NUM!</v>
      </c>
      <c r="S80" s="332" t="e">
        <f t="array" aca="1" ref="S80" ca="1">VLOOKUP($B80,KOMBI!$A:$ADS,MATCH(Tulem!S$3,KOMBI!$A$1:$ADS$1,0),FALSE)</f>
        <v>#NUM!</v>
      </c>
      <c r="T80" s="293" t="e">
        <f ca="1">VLOOKUP($B80,KOMBI!$A:$ADS,T$3,FALSE)</f>
        <v>#NUM!</v>
      </c>
      <c r="U80" s="293" t="e">
        <f ca="1">VLOOKUP($B80,KOMBI!$A:$ADS,U$3,FALSE)</f>
        <v>#NUM!</v>
      </c>
      <c r="V80" s="293" t="e">
        <f ca="1">VLOOKUP($B80,KOMBI!$A:$ADS,V$3,FALSE)</f>
        <v>#NUM!</v>
      </c>
      <c r="W80" s="293"/>
      <c r="X80" s="293" t="e">
        <f ca="1">VLOOKUP($B80,KOMBI!$A:$ADS,X$3,FALSE)</f>
        <v>#NUM!</v>
      </c>
      <c r="Y80" s="293" t="e">
        <f ca="1">VLOOKUP($B80,KOMBI!$A:$ADS,Y$3,FALSE)</f>
        <v>#NUM!</v>
      </c>
      <c r="Z80" s="293" t="e">
        <f ca="1">VLOOKUP($B80,KOMBI!$A:$ADS,Z$3,FALSE)</f>
        <v>#NUM!</v>
      </c>
      <c r="AA80" s="294"/>
      <c r="AB80" s="293" t="e">
        <f ca="1">VLOOKUP($B80,KOMBI!$A:$ADS,AB$3,FALSE)</f>
        <v>#NUM!</v>
      </c>
      <c r="AC80" s="293" t="e">
        <f ca="1">VLOOKUP($B80,KOMBI!$A:$ADS,AC$3,FALSE)-AB80</f>
        <v>#NUM!</v>
      </c>
      <c r="AD80" s="293" t="e">
        <f ca="1">VLOOKUP($B80,KOMBI!$A:$ADS,AD$3,FALSE)</f>
        <v>#NUM!</v>
      </c>
      <c r="AE80" s="293" t="e">
        <f ca="1">VLOOKUP($B80,KOMBI!$A:$ADS,AE$3,FALSE)</f>
        <v>#NUM!</v>
      </c>
      <c r="AF80" s="293" t="e">
        <f ca="1">VLOOKUP($B80,KOMBI!$A:$ADS,AF$3,FALSE)-AE80</f>
        <v>#NUM!</v>
      </c>
      <c r="AG80" s="293" t="e">
        <f ca="1">VLOOKUP($B80,KOMBI!$A:$ADS,AG$3,FALSE)</f>
        <v>#NUM!</v>
      </c>
      <c r="AI80" s="293" t="e">
        <f t="array" aca="1" ref="AI80" ca="1">VLOOKUP($B80,KOMBI!$A:$ADS,MATCH(Tulem!AI$3,KOMBI!$A$1:$ADS$1,0),FALSE)</f>
        <v>#NUM!</v>
      </c>
      <c r="AJ80" s="293" t="e">
        <f t="array" aca="1" ref="AJ80" ca="1">VLOOKUP($B80,KOMBI!$A:$ADS,MATCH(Tulem!AJ$3,KOMBI!$A$1:$ADS$1,0),FALSE)</f>
        <v>#NUM!</v>
      </c>
      <c r="AK80" s="293" t="e">
        <f t="array" aca="1" ref="AK80" ca="1">VLOOKUP($B80,KOMBI!$A:$ADS,MATCH(Tulem!AK$3,KOMBI!$A$1:$ADS$1,0),FALSE)</f>
        <v>#NUM!</v>
      </c>
      <c r="AL80" s="293" t="e">
        <f t="array" aca="1" ref="AL80" ca="1">VLOOKUP($B80,KOMBI!$A:$ADS,MATCH(Tulem!AL$3,KOMBI!$A$1:$ADS$1,0),FALSE)</f>
        <v>#NUM!</v>
      </c>
      <c r="AM80" s="293" t="e">
        <f t="array" aca="1" ref="AM80" ca="1">VLOOKUP($B80,KOMBI!$A:$ADS,MATCH(Tulem!AM$3,KOMBI!$A$1:$ADS$1,0),FALSE)</f>
        <v>#NUM!</v>
      </c>
      <c r="AN80" s="293" t="e">
        <f t="array" aca="1" ref="AN80" ca="1">VLOOKUP($B80,KOMBI!$A:$ADS,MATCH(Tulem!AN$3,KOMBI!$A$1:$ADS$1,0),FALSE)</f>
        <v>#NUM!</v>
      </c>
      <c r="AO80" s="293" t="e">
        <f t="array" aca="1" ref="AO80" ca="1">VLOOKUP($B80,KOMBI!$A:$ADS,MATCH(Tulem!AO$3,KOMBI!$A$1:$ADS$1,0),FALSE)</f>
        <v>#NUM!</v>
      </c>
      <c r="AP80" s="293" t="e">
        <f t="array" aca="1" ref="AP80" ca="1">VLOOKUP($B80,KOMBI!$A:$ADS,MATCH(Tulem!AP$3,KOMBI!$A$1:$ADS$1,0),FALSE)</f>
        <v>#NUM!</v>
      </c>
      <c r="AQ80" s="293" t="e">
        <f t="array" aca="1" ref="AQ80" ca="1">VLOOKUP($B80,KOMBI!$A:$ADS,MATCH(Tulem!AQ$3,KOMBI!$A$1:$ADS$1,0),FALSE)</f>
        <v>#NUM!</v>
      </c>
      <c r="AR80" s="293" t="e">
        <f t="array" aca="1" ref="AR80" ca="1">VLOOKUP($B80,KOMBI!$A:$ADS,MATCH(Tulem!AR$3,KOMBI!$A$1:$ADS$1,0),FALSE)</f>
        <v>#NUM!</v>
      </c>
      <c r="AS80" s="293" t="e">
        <f t="array" aca="1" ref="AS80" ca="1">VLOOKUP($B80,KOMBI!$A:$ADS,MATCH(Tulem!AS$3,KOMBI!$A$1:$ADS$1,0),FALSE)</f>
        <v>#NUM!</v>
      </c>
      <c r="AT80" s="293" t="e">
        <f t="array" aca="1" ref="AT80" ca="1">VLOOKUP($B80,KOMBI!$A:$ADS,MATCH(Tulem!AT$3,KOMBI!$A$1:$ADS$1,0),FALSE)</f>
        <v>#NUM!</v>
      </c>
      <c r="AU80" s="293" t="e">
        <f t="array" aca="1" ref="AU80" ca="1">VLOOKUP($B80,KOMBI!$A:$ADS,MATCH(Tulem!AU$3,KOMBI!$A$1:$ADS$1,0),FALSE)</f>
        <v>#NUM!</v>
      </c>
      <c r="AV80" s="293" t="e">
        <f t="shared" ca="1" si="4"/>
        <v>#NUM!</v>
      </c>
      <c r="AW80" s="293" t="e">
        <f t="shared" ca="1" si="5"/>
        <v>#NUM!</v>
      </c>
      <c r="AX80" s="291" t="e">
        <f ca="1">VLOOKUP($B80,KOMBI!$A:$ACA,MATCH(AX$5,KOMBI!$10:$10,0),FALSE)</f>
        <v>#NUM!</v>
      </c>
      <c r="AY80" s="292" t="e">
        <f t="array" aca="1" ref="AY80" ca="1">VLOOKUP($B80,KOMBI!$A:$ADS,MATCH(Tulem!AY$3,KOMBI!$A$1:$ADS$1,0),FALSE)</f>
        <v>#NUM!</v>
      </c>
      <c r="AZ80" s="292" t="e">
        <f t="array" aca="1" ref="AZ80" ca="1">VLOOKUP($B80,KOMBI!$A:$ADS,MATCH(Tulem!AZ$3,KOMBI!$A$1:$ADS$1,0),FALSE)</f>
        <v>#NUM!</v>
      </c>
      <c r="BA80" s="292" t="e">
        <f t="array" aca="1" ref="BA80" ca="1">VLOOKUP($B80,KOMBI!$A:$ADS,MATCH(Tulem!BA$3,KOMBI!$A$1:$ADS$1,0),FALSE)</f>
        <v>#NUM!</v>
      </c>
      <c r="BB80" s="292" t="e">
        <f t="array" aca="1" ref="BB80" ca="1">VLOOKUP($B80,KOMBI!$A:$ADS,MATCH(Tulem!BB$3,KOMBI!$A$1:$ADS$1,0),FALSE)</f>
        <v>#NUM!</v>
      </c>
      <c r="BC80" s="292" t="e">
        <f t="array" aca="1" ref="BC80" ca="1">VLOOKUP($B80,KOMBI!$A:$ADS,MATCH(Tulem!BC$3,KOMBI!$A$1:$ADS$1,0),FALSE)</f>
        <v>#NUM!</v>
      </c>
      <c r="BD80" s="292" t="e">
        <f t="array" aca="1" ref="BD80" ca="1">VLOOKUP($B80,KOMBI!$A:$ADS,MATCH(Tulem!BD$3,KOMBI!$A$1:$ADS$1,0),FALSE)</f>
        <v>#NUM!</v>
      </c>
      <c r="BE80" s="292" t="e">
        <f t="array" aca="1" ref="BE80" ca="1">VLOOKUP($B80,KOMBI!$A:$ADS,MATCH(Tulem!BE$3,KOMBI!$A$1:$ADS$1,0),FALSE)</f>
        <v>#NUM!</v>
      </c>
      <c r="BF80" s="292" t="e">
        <f t="array" aca="1" ref="BF80" ca="1">VLOOKUP($B80,KOMBI!$A:$ADS,MATCH(Tulem!BF$3,KOMBI!$A$1:$ADS$1,0),FALSE)</f>
        <v>#NUM!</v>
      </c>
      <c r="BG80" s="292" t="e">
        <f t="array" aca="1" ref="BG80" ca="1">VLOOKUP($B80,KOMBI!$A:$ADS,MATCH(Tulem!BG$3,KOMBI!$A$1:$ADS$1,0),FALSE)</f>
        <v>#NUM!</v>
      </c>
      <c r="BH80" s="292" t="e">
        <f t="array" aca="1" ref="BH80" ca="1">VLOOKUP($B80,KOMBI!$A:$ADS,MATCH(Tulem!BH$3,KOMBI!$A$1:$ADS$1,0),FALSE)</f>
        <v>#NUM!</v>
      </c>
      <c r="BI80" s="292" t="e">
        <f t="array" aca="1" ref="BI80" ca="1">VLOOKUP($B80,KOMBI!$A:$ADS,MATCH(Tulem!BI$3,KOMBI!$A$1:$ADS$1,0),FALSE)</f>
        <v>#NUM!</v>
      </c>
      <c r="BJ80" s="292" t="e">
        <f t="array" aca="1" ref="BJ80" ca="1">VLOOKUP($B80,KOMBI!$A:$ADS,MATCH(Tulem!BJ$3,KOMBI!$A$1:$ADS$1,0),FALSE)</f>
        <v>#NUM!</v>
      </c>
      <c r="BK80" s="292" t="e">
        <f t="array" aca="1" ref="BK80" ca="1">VLOOKUP($B80,KOMBI!$A:$ADS,MATCH(Tulem!BK$3,KOMBI!$A$1:$ADS$1,0),FALSE)</f>
        <v>#NUM!</v>
      </c>
      <c r="BL80" s="292" t="e">
        <f t="array" aca="1" ref="BL80" ca="1">VLOOKUP($B80,KOMBI!$A:$ADS,MATCH(Tulem!BL$3,KOMBI!$A$1:$ADS$1,0),FALSE)</f>
        <v>#NUM!</v>
      </c>
      <c r="BM80" s="292" t="e">
        <f t="array" aca="1" ref="BM80" ca="1">VLOOKUP($B80,KOMBI!$A:$ADS,MATCH(Tulem!BM$3,KOMBI!$A$1:$ADS$1,0),FALSE)</f>
        <v>#NUM!</v>
      </c>
      <c r="BN80" s="292" t="e">
        <f t="array" aca="1" ref="BN80" ca="1">VLOOKUP($B80,KOMBI!$A:$ADS,MATCH(Tulem!BN$3,KOMBI!$A$1:$ADS$1,0),FALSE)</f>
        <v>#NUM!</v>
      </c>
      <c r="BO80" s="292" t="e">
        <f t="array" aca="1" ref="BO80" ca="1">VLOOKUP($B80,KOMBI!$A:$ADS,MATCH(Tulem!BO$3,KOMBI!$A$1:$ADS$1,0),FALSE)</f>
        <v>#NUM!</v>
      </c>
      <c r="BP80" s="291"/>
      <c r="BQ80" s="292" t="e">
        <f t="array" aca="1" ref="BQ80" ca="1">VLOOKUP($B80,KOMBI!$A:$ADS,MATCH(Tulem!BQ$3,KOMBI!$A$1:$ADS$1,0),FALSE)</f>
        <v>#NUM!</v>
      </c>
      <c r="BR80" s="292" t="e">
        <f t="array" aca="1" ref="BR80" ca="1">VLOOKUP($B80,KOMBI!$A:$ADS,MATCH(Tulem!BR$3,KOMBI!$A$1:$ADS$1,0),FALSE)</f>
        <v>#NUM!</v>
      </c>
      <c r="BS80" s="292" t="e">
        <f t="array" aca="1" ref="BS80" ca="1">VLOOKUP($B80,KOMBI!$A:$ADS,MATCH(Tulem!BS$3,KOMBI!$A$1:$ADS$1,0),FALSE)</f>
        <v>#NUM!</v>
      </c>
      <c r="BT80" s="292" t="e">
        <f t="array" aca="1" ref="BT80" ca="1">VLOOKUP($B80,KOMBI!$A:$ADS,MATCH(Tulem!BT$3,KOMBI!$A$1:$ADS$1,0),FALSE)</f>
        <v>#NUM!</v>
      </c>
      <c r="BU80" s="292" t="e">
        <f t="array" aca="1" ref="BU80" ca="1">VLOOKUP($B80,KOMBI!$A:$ADS,MATCH(Tulem!BU$3,KOMBI!$A$1:$ADS$1,0),FALSE)</f>
        <v>#NUM!</v>
      </c>
      <c r="BV80" s="291"/>
      <c r="BW80" s="292" t="e">
        <f t="array" aca="1" ref="BW80" ca="1">VLOOKUP($B80,KOMBI!$A:$ADS,MATCH(Tulem!BW$3,KOMBI!$A$1:$ADS$1,0),FALSE)</f>
        <v>#NUM!</v>
      </c>
      <c r="BX80" s="291"/>
      <c r="BY80" s="291"/>
      <c r="BZ80" s="292" t="e">
        <f t="array" aca="1" ref="BZ80" ca="1">VLOOKUP($B80,KOMBI!$A:$ADS,MATCH(Tulem!BZ$3,KOMBI!$A$1:$ADS$1,0),FALSE)</f>
        <v>#NUM!</v>
      </c>
      <c r="CA80" s="292" t="e">
        <f t="array" aca="1" ref="CA80" ca="1">VLOOKUP($B80,KOMBI!$A:$ADS,MATCH(Tulem!CA$3,KOMBI!$A$1:$ADS$1,0),FALSE)</f>
        <v>#NUM!</v>
      </c>
      <c r="CB80" s="292" t="e">
        <f t="array" aca="1" ref="CB80" ca="1">VLOOKUP($B80,KOMBI!$A:$ADS,MATCH(Tulem!CB$3,KOMBI!$A$1:$ADS$1,0),FALSE)</f>
        <v>#NUM!</v>
      </c>
      <c r="CC80" s="292" t="e">
        <f t="array" aca="1" ref="CC80" ca="1">VLOOKUP($B80,KOMBI!$A:$ADS,MATCH(Tulem!CC$3,KOMBI!$A$1:$ADS$1,0),FALSE)</f>
        <v>#NUM!</v>
      </c>
      <c r="CD80" s="292" t="e">
        <f t="array" aca="1" ref="CD80" ca="1">VLOOKUP($B80,KOMBI!$A:$ADS,MATCH(Tulem!CD$3,KOMBI!$A$1:$ADS$1,0),FALSE)</f>
        <v>#NUM!</v>
      </c>
      <c r="CF80" s="51" t="e">
        <f ca="1">VLOOKUP($B80,KOMBI!$A:$ACG,MATCH(CF$5,KOMBI!$10:$10,0),FALSE)</f>
        <v>#NUM!</v>
      </c>
    </row>
    <row r="81" spans="1:84" x14ac:dyDescent="0.2">
      <c r="A81" s="51">
        <v>76</v>
      </c>
      <c r="B81" s="51" t="e">
        <f ca="1">KOMBI!GI86</f>
        <v>#NUM!</v>
      </c>
      <c r="C81" s="51">
        <f t="shared" si="3"/>
        <v>76</v>
      </c>
      <c r="D81" s="290" t="e">
        <f ca="1">VLOOKUP(VLOOKUP($B81,KOMBI!$A:$H,3,FALSE),data!$I$27:$J$29,2,FALSE)</f>
        <v>#NUM!</v>
      </c>
      <c r="E81" s="290" t="e">
        <f ca="1">VLOOKUP(VLOOKUP($B81,KOMBI!$A:$H,2,FALSE),data!$I$21:$J$23,2,FALSE)</f>
        <v>#NUM!</v>
      </c>
      <c r="F81" s="290" t="e">
        <f ca="1">VLOOKUP(VLOOKUP($B81,KOMBI!$A:$H,5,FALSE),data!$I$39:$J$41,2,FALSE)</f>
        <v>#NUM!</v>
      </c>
      <c r="G81" s="290" t="e">
        <f ca="1">VLOOKUP(VLOOKUP($B81,KOMBI!$A:$H,4,FALSE),data!$I$32:$J$36,2,FALSE)</f>
        <v>#NUM!</v>
      </c>
      <c r="I81" s="51" t="e">
        <f ca="1">VLOOKUP($B81,KOMBI!$A:$Z,MATCH(I$5,KOMBI!$10:$10,0),FALSE)</f>
        <v>#NUM!</v>
      </c>
      <c r="J81" s="291" t="e">
        <f ca="1">VLOOKUP($B81,KOMBI!$A:$ADS,J$3,FALSE)</f>
        <v>#NUM!</v>
      </c>
      <c r="K81" s="291" t="e">
        <f ca="1">VLOOKUP($B81,KOMBI!$A:$ADS,K$3,FALSE)</f>
        <v>#NUM!</v>
      </c>
      <c r="L81" s="291" t="e">
        <f ca="1">VLOOKUP($B81,KOMBI!$A:$ADS,L$3,FALSE)</f>
        <v>#NUM!</v>
      </c>
      <c r="M81" s="291" t="e">
        <f ca="1">VLOOKUP($B81,KOMBI!$A:$ADS,M$3,FALSE)</f>
        <v>#NUM!</v>
      </c>
      <c r="N81" s="291" t="e">
        <f ca="1">VLOOKUP($B81,KOMBI!$A:$ADS,N$3,FALSE)</f>
        <v>#NUM!</v>
      </c>
      <c r="O81" s="291" t="e">
        <f ca="1">VLOOKUP($B81,KOMBI!$A:$ADS,O$3,FALSE)</f>
        <v>#NUM!</v>
      </c>
      <c r="P81" s="291" t="e">
        <f ca="1">VLOOKUP($B81,KOMBI!$A:$ADS,P$3,FALSE)</f>
        <v>#NUM!</v>
      </c>
      <c r="Q81" s="292" t="e">
        <f t="array" aca="1" ref="Q81" ca="1">VLOOKUP($B81,KOMBI!$A:$ADS,MATCH(Tulem!Q$3,KOMBI!$A$1:$ADS$1,0),FALSE)</f>
        <v>#NUM!</v>
      </c>
      <c r="S81" s="332" t="e">
        <f t="array" aca="1" ref="S81" ca="1">VLOOKUP($B81,KOMBI!$A:$ADS,MATCH(Tulem!S$3,KOMBI!$A$1:$ADS$1,0),FALSE)</f>
        <v>#NUM!</v>
      </c>
      <c r="T81" s="293" t="e">
        <f ca="1">VLOOKUP($B81,KOMBI!$A:$ADS,T$3,FALSE)</f>
        <v>#NUM!</v>
      </c>
      <c r="U81" s="293" t="e">
        <f ca="1">VLOOKUP($B81,KOMBI!$A:$ADS,U$3,FALSE)</f>
        <v>#NUM!</v>
      </c>
      <c r="V81" s="293" t="e">
        <f ca="1">VLOOKUP($B81,KOMBI!$A:$ADS,V$3,FALSE)</f>
        <v>#NUM!</v>
      </c>
      <c r="W81" s="293"/>
      <c r="X81" s="293" t="e">
        <f ca="1">VLOOKUP($B81,KOMBI!$A:$ADS,X$3,FALSE)</f>
        <v>#NUM!</v>
      </c>
      <c r="Y81" s="293" t="e">
        <f ca="1">VLOOKUP($B81,KOMBI!$A:$ADS,Y$3,FALSE)</f>
        <v>#NUM!</v>
      </c>
      <c r="Z81" s="293" t="e">
        <f ca="1">VLOOKUP($B81,KOMBI!$A:$ADS,Z$3,FALSE)</f>
        <v>#NUM!</v>
      </c>
      <c r="AA81" s="294"/>
      <c r="AB81" s="293" t="e">
        <f ca="1">VLOOKUP($B81,KOMBI!$A:$ADS,AB$3,FALSE)</f>
        <v>#NUM!</v>
      </c>
      <c r="AC81" s="293" t="e">
        <f ca="1">VLOOKUP($B81,KOMBI!$A:$ADS,AC$3,FALSE)-AB81</f>
        <v>#NUM!</v>
      </c>
      <c r="AD81" s="293" t="e">
        <f ca="1">VLOOKUP($B81,KOMBI!$A:$ADS,AD$3,FALSE)</f>
        <v>#NUM!</v>
      </c>
      <c r="AE81" s="293" t="e">
        <f ca="1">VLOOKUP($B81,KOMBI!$A:$ADS,AE$3,FALSE)</f>
        <v>#NUM!</v>
      </c>
      <c r="AF81" s="293" t="e">
        <f ca="1">VLOOKUP($B81,KOMBI!$A:$ADS,AF$3,FALSE)-AE81</f>
        <v>#NUM!</v>
      </c>
      <c r="AG81" s="293" t="e">
        <f ca="1">VLOOKUP($B81,KOMBI!$A:$ADS,AG$3,FALSE)</f>
        <v>#NUM!</v>
      </c>
      <c r="AI81" s="293" t="e">
        <f t="array" aca="1" ref="AI81" ca="1">VLOOKUP($B81,KOMBI!$A:$ADS,MATCH(Tulem!AI$3,KOMBI!$A$1:$ADS$1,0),FALSE)</f>
        <v>#NUM!</v>
      </c>
      <c r="AJ81" s="293" t="e">
        <f t="array" aca="1" ref="AJ81" ca="1">VLOOKUP($B81,KOMBI!$A:$ADS,MATCH(Tulem!AJ$3,KOMBI!$A$1:$ADS$1,0),FALSE)</f>
        <v>#NUM!</v>
      </c>
      <c r="AK81" s="293" t="e">
        <f t="array" aca="1" ref="AK81" ca="1">VLOOKUP($B81,KOMBI!$A:$ADS,MATCH(Tulem!AK$3,KOMBI!$A$1:$ADS$1,0),FALSE)</f>
        <v>#NUM!</v>
      </c>
      <c r="AL81" s="293" t="e">
        <f t="array" aca="1" ref="AL81" ca="1">VLOOKUP($B81,KOMBI!$A:$ADS,MATCH(Tulem!AL$3,KOMBI!$A$1:$ADS$1,0),FALSE)</f>
        <v>#NUM!</v>
      </c>
      <c r="AM81" s="293" t="e">
        <f t="array" aca="1" ref="AM81" ca="1">VLOOKUP($B81,KOMBI!$A:$ADS,MATCH(Tulem!AM$3,KOMBI!$A$1:$ADS$1,0),FALSE)</f>
        <v>#NUM!</v>
      </c>
      <c r="AN81" s="293" t="e">
        <f t="array" aca="1" ref="AN81" ca="1">VLOOKUP($B81,KOMBI!$A:$ADS,MATCH(Tulem!AN$3,KOMBI!$A$1:$ADS$1,0),FALSE)</f>
        <v>#NUM!</v>
      </c>
      <c r="AO81" s="293" t="e">
        <f t="array" aca="1" ref="AO81" ca="1">VLOOKUP($B81,KOMBI!$A:$ADS,MATCH(Tulem!AO$3,KOMBI!$A$1:$ADS$1,0),FALSE)</f>
        <v>#NUM!</v>
      </c>
      <c r="AP81" s="293" t="e">
        <f t="array" aca="1" ref="AP81" ca="1">VLOOKUP($B81,KOMBI!$A:$ADS,MATCH(Tulem!AP$3,KOMBI!$A$1:$ADS$1,0),FALSE)</f>
        <v>#NUM!</v>
      </c>
      <c r="AQ81" s="293" t="e">
        <f t="array" aca="1" ref="AQ81" ca="1">VLOOKUP($B81,KOMBI!$A:$ADS,MATCH(Tulem!AQ$3,KOMBI!$A$1:$ADS$1,0),FALSE)</f>
        <v>#NUM!</v>
      </c>
      <c r="AR81" s="293" t="e">
        <f t="array" aca="1" ref="AR81" ca="1">VLOOKUP($B81,KOMBI!$A:$ADS,MATCH(Tulem!AR$3,KOMBI!$A$1:$ADS$1,0),FALSE)</f>
        <v>#NUM!</v>
      </c>
      <c r="AS81" s="293" t="e">
        <f t="array" aca="1" ref="AS81" ca="1">VLOOKUP($B81,KOMBI!$A:$ADS,MATCH(Tulem!AS$3,KOMBI!$A$1:$ADS$1,0),FALSE)</f>
        <v>#NUM!</v>
      </c>
      <c r="AT81" s="293" t="e">
        <f t="array" aca="1" ref="AT81" ca="1">VLOOKUP($B81,KOMBI!$A:$ADS,MATCH(Tulem!AT$3,KOMBI!$A$1:$ADS$1,0),FALSE)</f>
        <v>#NUM!</v>
      </c>
      <c r="AU81" s="293" t="e">
        <f t="array" aca="1" ref="AU81" ca="1">VLOOKUP($B81,KOMBI!$A:$ADS,MATCH(Tulem!AU$3,KOMBI!$A$1:$ADS$1,0),FALSE)</f>
        <v>#NUM!</v>
      </c>
      <c r="AV81" s="293" t="e">
        <f t="shared" ca="1" si="4"/>
        <v>#NUM!</v>
      </c>
      <c r="AW81" s="293" t="e">
        <f t="shared" ca="1" si="5"/>
        <v>#NUM!</v>
      </c>
      <c r="AX81" s="291" t="e">
        <f ca="1">VLOOKUP($B81,KOMBI!$A:$ACA,MATCH(AX$5,KOMBI!$10:$10,0),FALSE)</f>
        <v>#NUM!</v>
      </c>
      <c r="AY81" s="292" t="e">
        <f t="array" aca="1" ref="AY81" ca="1">VLOOKUP($B81,KOMBI!$A:$ADS,MATCH(Tulem!AY$3,KOMBI!$A$1:$ADS$1,0),FALSE)</f>
        <v>#NUM!</v>
      </c>
      <c r="AZ81" s="292" t="e">
        <f t="array" aca="1" ref="AZ81" ca="1">VLOOKUP($B81,KOMBI!$A:$ADS,MATCH(Tulem!AZ$3,KOMBI!$A$1:$ADS$1,0),FALSE)</f>
        <v>#NUM!</v>
      </c>
      <c r="BA81" s="292" t="e">
        <f t="array" aca="1" ref="BA81" ca="1">VLOOKUP($B81,KOMBI!$A:$ADS,MATCH(Tulem!BA$3,KOMBI!$A$1:$ADS$1,0),FALSE)</f>
        <v>#NUM!</v>
      </c>
      <c r="BB81" s="292" t="e">
        <f t="array" aca="1" ref="BB81" ca="1">VLOOKUP($B81,KOMBI!$A:$ADS,MATCH(Tulem!BB$3,KOMBI!$A$1:$ADS$1,0),FALSE)</f>
        <v>#NUM!</v>
      </c>
      <c r="BC81" s="292" t="e">
        <f t="array" aca="1" ref="BC81" ca="1">VLOOKUP($B81,KOMBI!$A:$ADS,MATCH(Tulem!BC$3,KOMBI!$A$1:$ADS$1,0),FALSE)</f>
        <v>#NUM!</v>
      </c>
      <c r="BD81" s="292" t="e">
        <f t="array" aca="1" ref="BD81" ca="1">VLOOKUP($B81,KOMBI!$A:$ADS,MATCH(Tulem!BD$3,KOMBI!$A$1:$ADS$1,0),FALSE)</f>
        <v>#NUM!</v>
      </c>
      <c r="BE81" s="292" t="e">
        <f t="array" aca="1" ref="BE81" ca="1">VLOOKUP($B81,KOMBI!$A:$ADS,MATCH(Tulem!BE$3,KOMBI!$A$1:$ADS$1,0),FALSE)</f>
        <v>#NUM!</v>
      </c>
      <c r="BF81" s="292" t="e">
        <f t="array" aca="1" ref="BF81" ca="1">VLOOKUP($B81,KOMBI!$A:$ADS,MATCH(Tulem!BF$3,KOMBI!$A$1:$ADS$1,0),FALSE)</f>
        <v>#NUM!</v>
      </c>
      <c r="BG81" s="292" t="e">
        <f t="array" aca="1" ref="BG81" ca="1">VLOOKUP($B81,KOMBI!$A:$ADS,MATCH(Tulem!BG$3,KOMBI!$A$1:$ADS$1,0),FALSE)</f>
        <v>#NUM!</v>
      </c>
      <c r="BH81" s="292" t="e">
        <f t="array" aca="1" ref="BH81" ca="1">VLOOKUP($B81,KOMBI!$A:$ADS,MATCH(Tulem!BH$3,KOMBI!$A$1:$ADS$1,0),FALSE)</f>
        <v>#NUM!</v>
      </c>
      <c r="BI81" s="292" t="e">
        <f t="array" aca="1" ref="BI81" ca="1">VLOOKUP($B81,KOMBI!$A:$ADS,MATCH(Tulem!BI$3,KOMBI!$A$1:$ADS$1,0),FALSE)</f>
        <v>#NUM!</v>
      </c>
      <c r="BJ81" s="292" t="e">
        <f t="array" aca="1" ref="BJ81" ca="1">VLOOKUP($B81,KOMBI!$A:$ADS,MATCH(Tulem!BJ$3,KOMBI!$A$1:$ADS$1,0),FALSE)</f>
        <v>#NUM!</v>
      </c>
      <c r="BK81" s="292" t="e">
        <f t="array" aca="1" ref="BK81" ca="1">VLOOKUP($B81,KOMBI!$A:$ADS,MATCH(Tulem!BK$3,KOMBI!$A$1:$ADS$1,0),FALSE)</f>
        <v>#NUM!</v>
      </c>
      <c r="BL81" s="292" t="e">
        <f t="array" aca="1" ref="BL81" ca="1">VLOOKUP($B81,KOMBI!$A:$ADS,MATCH(Tulem!BL$3,KOMBI!$A$1:$ADS$1,0),FALSE)</f>
        <v>#NUM!</v>
      </c>
      <c r="BM81" s="292" t="e">
        <f t="array" aca="1" ref="BM81" ca="1">VLOOKUP($B81,KOMBI!$A:$ADS,MATCH(Tulem!BM$3,KOMBI!$A$1:$ADS$1,0),FALSE)</f>
        <v>#NUM!</v>
      </c>
      <c r="BN81" s="292" t="e">
        <f t="array" aca="1" ref="BN81" ca="1">VLOOKUP($B81,KOMBI!$A:$ADS,MATCH(Tulem!BN$3,KOMBI!$A$1:$ADS$1,0),FALSE)</f>
        <v>#NUM!</v>
      </c>
      <c r="BO81" s="292" t="e">
        <f t="array" aca="1" ref="BO81" ca="1">VLOOKUP($B81,KOMBI!$A:$ADS,MATCH(Tulem!BO$3,KOMBI!$A$1:$ADS$1,0),FALSE)</f>
        <v>#NUM!</v>
      </c>
      <c r="BP81" s="291"/>
      <c r="BQ81" s="292" t="e">
        <f t="array" aca="1" ref="BQ81" ca="1">VLOOKUP($B81,KOMBI!$A:$ADS,MATCH(Tulem!BQ$3,KOMBI!$A$1:$ADS$1,0),FALSE)</f>
        <v>#NUM!</v>
      </c>
      <c r="BR81" s="292" t="e">
        <f t="array" aca="1" ref="BR81" ca="1">VLOOKUP($B81,KOMBI!$A:$ADS,MATCH(Tulem!BR$3,KOMBI!$A$1:$ADS$1,0),FALSE)</f>
        <v>#NUM!</v>
      </c>
      <c r="BS81" s="292" t="e">
        <f t="array" aca="1" ref="BS81" ca="1">VLOOKUP($B81,KOMBI!$A:$ADS,MATCH(Tulem!BS$3,KOMBI!$A$1:$ADS$1,0),FALSE)</f>
        <v>#NUM!</v>
      </c>
      <c r="BT81" s="292" t="e">
        <f t="array" aca="1" ref="BT81" ca="1">VLOOKUP($B81,KOMBI!$A:$ADS,MATCH(Tulem!BT$3,KOMBI!$A$1:$ADS$1,0),FALSE)</f>
        <v>#NUM!</v>
      </c>
      <c r="BU81" s="292" t="e">
        <f t="array" aca="1" ref="BU81" ca="1">VLOOKUP($B81,KOMBI!$A:$ADS,MATCH(Tulem!BU$3,KOMBI!$A$1:$ADS$1,0),FALSE)</f>
        <v>#NUM!</v>
      </c>
      <c r="BV81" s="291"/>
      <c r="BW81" s="292" t="e">
        <f t="array" aca="1" ref="BW81" ca="1">VLOOKUP($B81,KOMBI!$A:$ADS,MATCH(Tulem!BW$3,KOMBI!$A$1:$ADS$1,0),FALSE)</f>
        <v>#NUM!</v>
      </c>
      <c r="BX81" s="291"/>
      <c r="BY81" s="291"/>
      <c r="BZ81" s="292" t="e">
        <f t="array" aca="1" ref="BZ81" ca="1">VLOOKUP($B81,KOMBI!$A:$ADS,MATCH(Tulem!BZ$3,KOMBI!$A$1:$ADS$1,0),FALSE)</f>
        <v>#NUM!</v>
      </c>
      <c r="CA81" s="292" t="e">
        <f t="array" aca="1" ref="CA81" ca="1">VLOOKUP($B81,KOMBI!$A:$ADS,MATCH(Tulem!CA$3,KOMBI!$A$1:$ADS$1,0),FALSE)</f>
        <v>#NUM!</v>
      </c>
      <c r="CB81" s="292" t="e">
        <f t="array" aca="1" ref="CB81" ca="1">VLOOKUP($B81,KOMBI!$A:$ADS,MATCH(Tulem!CB$3,KOMBI!$A$1:$ADS$1,0),FALSE)</f>
        <v>#NUM!</v>
      </c>
      <c r="CC81" s="292" t="e">
        <f t="array" aca="1" ref="CC81" ca="1">VLOOKUP($B81,KOMBI!$A:$ADS,MATCH(Tulem!CC$3,KOMBI!$A$1:$ADS$1,0),FALSE)</f>
        <v>#NUM!</v>
      </c>
      <c r="CD81" s="292" t="e">
        <f t="array" aca="1" ref="CD81" ca="1">VLOOKUP($B81,KOMBI!$A:$ADS,MATCH(Tulem!CD$3,KOMBI!$A$1:$ADS$1,0),FALSE)</f>
        <v>#NUM!</v>
      </c>
      <c r="CF81" s="51" t="e">
        <f ca="1">VLOOKUP($B81,KOMBI!$A:$ACG,MATCH(CF$5,KOMBI!$10:$10,0),FALSE)</f>
        <v>#NUM!</v>
      </c>
    </row>
    <row r="82" spans="1:84" x14ac:dyDescent="0.2">
      <c r="A82" s="51">
        <v>77</v>
      </c>
      <c r="B82" s="51" t="e">
        <f ca="1">KOMBI!GI87</f>
        <v>#NUM!</v>
      </c>
      <c r="C82" s="51">
        <f t="shared" si="3"/>
        <v>77</v>
      </c>
      <c r="D82" s="290" t="e">
        <f ca="1">VLOOKUP(VLOOKUP($B82,KOMBI!$A:$H,3,FALSE),data!$I$27:$J$29,2,FALSE)</f>
        <v>#NUM!</v>
      </c>
      <c r="E82" s="290" t="e">
        <f ca="1">VLOOKUP(VLOOKUP($B82,KOMBI!$A:$H,2,FALSE),data!$I$21:$J$23,2,FALSE)</f>
        <v>#NUM!</v>
      </c>
      <c r="F82" s="290" t="e">
        <f ca="1">VLOOKUP(VLOOKUP($B82,KOMBI!$A:$H,5,FALSE),data!$I$39:$J$41,2,FALSE)</f>
        <v>#NUM!</v>
      </c>
      <c r="G82" s="290" t="e">
        <f ca="1">VLOOKUP(VLOOKUP($B82,KOMBI!$A:$H,4,FALSE),data!$I$32:$J$36,2,FALSE)</f>
        <v>#NUM!</v>
      </c>
      <c r="I82" s="51" t="e">
        <f ca="1">VLOOKUP($B82,KOMBI!$A:$Z,MATCH(I$5,KOMBI!$10:$10,0),FALSE)</f>
        <v>#NUM!</v>
      </c>
      <c r="J82" s="291" t="e">
        <f ca="1">VLOOKUP($B82,KOMBI!$A:$ADS,J$3,FALSE)</f>
        <v>#NUM!</v>
      </c>
      <c r="K82" s="291" t="e">
        <f ca="1">VLOOKUP($B82,KOMBI!$A:$ADS,K$3,FALSE)</f>
        <v>#NUM!</v>
      </c>
      <c r="L82" s="291" t="e">
        <f ca="1">VLOOKUP($B82,KOMBI!$A:$ADS,L$3,FALSE)</f>
        <v>#NUM!</v>
      </c>
      <c r="M82" s="291" t="e">
        <f ca="1">VLOOKUP($B82,KOMBI!$A:$ADS,M$3,FALSE)</f>
        <v>#NUM!</v>
      </c>
      <c r="N82" s="291" t="e">
        <f ca="1">VLOOKUP($B82,KOMBI!$A:$ADS,N$3,FALSE)</f>
        <v>#NUM!</v>
      </c>
      <c r="O82" s="291" t="e">
        <f ca="1">VLOOKUP($B82,KOMBI!$A:$ADS,O$3,FALSE)</f>
        <v>#NUM!</v>
      </c>
      <c r="P82" s="291" t="e">
        <f ca="1">VLOOKUP($B82,KOMBI!$A:$ADS,P$3,FALSE)</f>
        <v>#NUM!</v>
      </c>
      <c r="Q82" s="292" t="e">
        <f t="array" aca="1" ref="Q82" ca="1">VLOOKUP($B82,KOMBI!$A:$ADS,MATCH(Tulem!Q$3,KOMBI!$A$1:$ADS$1,0),FALSE)</f>
        <v>#NUM!</v>
      </c>
      <c r="S82" s="332" t="e">
        <f t="array" aca="1" ref="S82" ca="1">VLOOKUP($B82,KOMBI!$A:$ADS,MATCH(Tulem!S$3,KOMBI!$A$1:$ADS$1,0),FALSE)</f>
        <v>#NUM!</v>
      </c>
      <c r="T82" s="293" t="e">
        <f ca="1">VLOOKUP($B82,KOMBI!$A:$ADS,T$3,FALSE)</f>
        <v>#NUM!</v>
      </c>
      <c r="U82" s="293" t="e">
        <f ca="1">VLOOKUP($B82,KOMBI!$A:$ADS,U$3,FALSE)</f>
        <v>#NUM!</v>
      </c>
      <c r="V82" s="293" t="e">
        <f ca="1">VLOOKUP($B82,KOMBI!$A:$ADS,V$3,FALSE)</f>
        <v>#NUM!</v>
      </c>
      <c r="W82" s="293"/>
      <c r="X82" s="293" t="e">
        <f ca="1">VLOOKUP($B82,KOMBI!$A:$ADS,X$3,FALSE)</f>
        <v>#NUM!</v>
      </c>
      <c r="Y82" s="293" t="e">
        <f ca="1">VLOOKUP($B82,KOMBI!$A:$ADS,Y$3,FALSE)</f>
        <v>#NUM!</v>
      </c>
      <c r="Z82" s="293" t="e">
        <f ca="1">VLOOKUP($B82,KOMBI!$A:$ADS,Z$3,FALSE)</f>
        <v>#NUM!</v>
      </c>
      <c r="AA82" s="294"/>
      <c r="AB82" s="293" t="e">
        <f ca="1">VLOOKUP($B82,KOMBI!$A:$ADS,AB$3,FALSE)</f>
        <v>#NUM!</v>
      </c>
      <c r="AC82" s="293" t="e">
        <f ca="1">VLOOKUP($B82,KOMBI!$A:$ADS,AC$3,FALSE)-AB82</f>
        <v>#NUM!</v>
      </c>
      <c r="AD82" s="293" t="e">
        <f ca="1">VLOOKUP($B82,KOMBI!$A:$ADS,AD$3,FALSE)</f>
        <v>#NUM!</v>
      </c>
      <c r="AE82" s="293" t="e">
        <f ca="1">VLOOKUP($B82,KOMBI!$A:$ADS,AE$3,FALSE)</f>
        <v>#NUM!</v>
      </c>
      <c r="AF82" s="293" t="e">
        <f ca="1">VLOOKUP($B82,KOMBI!$A:$ADS,AF$3,FALSE)-AE82</f>
        <v>#NUM!</v>
      </c>
      <c r="AG82" s="293" t="e">
        <f ca="1">VLOOKUP($B82,KOMBI!$A:$ADS,AG$3,FALSE)</f>
        <v>#NUM!</v>
      </c>
      <c r="AI82" s="293" t="e">
        <f t="array" aca="1" ref="AI82" ca="1">VLOOKUP($B82,KOMBI!$A:$ADS,MATCH(Tulem!AI$3,KOMBI!$A$1:$ADS$1,0),FALSE)</f>
        <v>#NUM!</v>
      </c>
      <c r="AJ82" s="293" t="e">
        <f t="array" aca="1" ref="AJ82" ca="1">VLOOKUP($B82,KOMBI!$A:$ADS,MATCH(Tulem!AJ$3,KOMBI!$A$1:$ADS$1,0),FALSE)</f>
        <v>#NUM!</v>
      </c>
      <c r="AK82" s="293" t="e">
        <f t="array" aca="1" ref="AK82" ca="1">VLOOKUP($B82,KOMBI!$A:$ADS,MATCH(Tulem!AK$3,KOMBI!$A$1:$ADS$1,0),FALSE)</f>
        <v>#NUM!</v>
      </c>
      <c r="AL82" s="293" t="e">
        <f t="array" aca="1" ref="AL82" ca="1">VLOOKUP($B82,KOMBI!$A:$ADS,MATCH(Tulem!AL$3,KOMBI!$A$1:$ADS$1,0),FALSE)</f>
        <v>#NUM!</v>
      </c>
      <c r="AM82" s="293" t="e">
        <f t="array" aca="1" ref="AM82" ca="1">VLOOKUP($B82,KOMBI!$A:$ADS,MATCH(Tulem!AM$3,KOMBI!$A$1:$ADS$1,0),FALSE)</f>
        <v>#NUM!</v>
      </c>
      <c r="AN82" s="293" t="e">
        <f t="array" aca="1" ref="AN82" ca="1">VLOOKUP($B82,KOMBI!$A:$ADS,MATCH(Tulem!AN$3,KOMBI!$A$1:$ADS$1,0),FALSE)</f>
        <v>#NUM!</v>
      </c>
      <c r="AO82" s="293" t="e">
        <f t="array" aca="1" ref="AO82" ca="1">VLOOKUP($B82,KOMBI!$A:$ADS,MATCH(Tulem!AO$3,KOMBI!$A$1:$ADS$1,0),FALSE)</f>
        <v>#NUM!</v>
      </c>
      <c r="AP82" s="293" t="e">
        <f t="array" aca="1" ref="AP82" ca="1">VLOOKUP($B82,KOMBI!$A:$ADS,MATCH(Tulem!AP$3,KOMBI!$A$1:$ADS$1,0),FALSE)</f>
        <v>#NUM!</v>
      </c>
      <c r="AQ82" s="293" t="e">
        <f t="array" aca="1" ref="AQ82" ca="1">VLOOKUP($B82,KOMBI!$A:$ADS,MATCH(Tulem!AQ$3,KOMBI!$A$1:$ADS$1,0),FALSE)</f>
        <v>#NUM!</v>
      </c>
      <c r="AR82" s="293" t="e">
        <f t="array" aca="1" ref="AR82" ca="1">VLOOKUP($B82,KOMBI!$A:$ADS,MATCH(Tulem!AR$3,KOMBI!$A$1:$ADS$1,0),FALSE)</f>
        <v>#NUM!</v>
      </c>
      <c r="AS82" s="293" t="e">
        <f t="array" aca="1" ref="AS82" ca="1">VLOOKUP($B82,KOMBI!$A:$ADS,MATCH(Tulem!AS$3,KOMBI!$A$1:$ADS$1,0),FALSE)</f>
        <v>#NUM!</v>
      </c>
      <c r="AT82" s="293" t="e">
        <f t="array" aca="1" ref="AT82" ca="1">VLOOKUP($B82,KOMBI!$A:$ADS,MATCH(Tulem!AT$3,KOMBI!$A$1:$ADS$1,0),FALSE)</f>
        <v>#NUM!</v>
      </c>
      <c r="AU82" s="293" t="e">
        <f t="array" aca="1" ref="AU82" ca="1">VLOOKUP($B82,KOMBI!$A:$ADS,MATCH(Tulem!AU$3,KOMBI!$A$1:$ADS$1,0),FALSE)</f>
        <v>#NUM!</v>
      </c>
      <c r="AV82" s="293" t="e">
        <f t="shared" ca="1" si="4"/>
        <v>#NUM!</v>
      </c>
      <c r="AW82" s="293" t="e">
        <f t="shared" ca="1" si="5"/>
        <v>#NUM!</v>
      </c>
      <c r="AX82" s="291" t="e">
        <f ca="1">VLOOKUP($B82,KOMBI!$A:$ACA,MATCH(AX$5,KOMBI!$10:$10,0),FALSE)</f>
        <v>#NUM!</v>
      </c>
      <c r="AY82" s="292" t="e">
        <f t="array" aca="1" ref="AY82" ca="1">VLOOKUP($B82,KOMBI!$A:$ADS,MATCH(Tulem!AY$3,KOMBI!$A$1:$ADS$1,0),FALSE)</f>
        <v>#NUM!</v>
      </c>
      <c r="AZ82" s="292" t="e">
        <f t="array" aca="1" ref="AZ82" ca="1">VLOOKUP($B82,KOMBI!$A:$ADS,MATCH(Tulem!AZ$3,KOMBI!$A$1:$ADS$1,0),FALSE)</f>
        <v>#NUM!</v>
      </c>
      <c r="BA82" s="292" t="e">
        <f t="array" aca="1" ref="BA82" ca="1">VLOOKUP($B82,KOMBI!$A:$ADS,MATCH(Tulem!BA$3,KOMBI!$A$1:$ADS$1,0),FALSE)</f>
        <v>#NUM!</v>
      </c>
      <c r="BB82" s="292" t="e">
        <f t="array" aca="1" ref="BB82" ca="1">VLOOKUP($B82,KOMBI!$A:$ADS,MATCH(Tulem!BB$3,KOMBI!$A$1:$ADS$1,0),FALSE)</f>
        <v>#NUM!</v>
      </c>
      <c r="BC82" s="292" t="e">
        <f t="array" aca="1" ref="BC82" ca="1">VLOOKUP($B82,KOMBI!$A:$ADS,MATCH(Tulem!BC$3,KOMBI!$A$1:$ADS$1,0),FALSE)</f>
        <v>#NUM!</v>
      </c>
      <c r="BD82" s="292" t="e">
        <f t="array" aca="1" ref="BD82" ca="1">VLOOKUP($B82,KOMBI!$A:$ADS,MATCH(Tulem!BD$3,KOMBI!$A$1:$ADS$1,0),FALSE)</f>
        <v>#NUM!</v>
      </c>
      <c r="BE82" s="292" t="e">
        <f t="array" aca="1" ref="BE82" ca="1">VLOOKUP($B82,KOMBI!$A:$ADS,MATCH(Tulem!BE$3,KOMBI!$A$1:$ADS$1,0),FALSE)</f>
        <v>#NUM!</v>
      </c>
      <c r="BF82" s="292" t="e">
        <f t="array" aca="1" ref="BF82" ca="1">VLOOKUP($B82,KOMBI!$A:$ADS,MATCH(Tulem!BF$3,KOMBI!$A$1:$ADS$1,0),FALSE)</f>
        <v>#NUM!</v>
      </c>
      <c r="BG82" s="292" t="e">
        <f t="array" aca="1" ref="BG82" ca="1">VLOOKUP($B82,KOMBI!$A:$ADS,MATCH(Tulem!BG$3,KOMBI!$A$1:$ADS$1,0),FALSE)</f>
        <v>#NUM!</v>
      </c>
      <c r="BH82" s="292" t="e">
        <f t="array" aca="1" ref="BH82" ca="1">VLOOKUP($B82,KOMBI!$A:$ADS,MATCH(Tulem!BH$3,KOMBI!$A$1:$ADS$1,0),FALSE)</f>
        <v>#NUM!</v>
      </c>
      <c r="BI82" s="292" t="e">
        <f t="array" aca="1" ref="BI82" ca="1">VLOOKUP($B82,KOMBI!$A:$ADS,MATCH(Tulem!BI$3,KOMBI!$A$1:$ADS$1,0),FALSE)</f>
        <v>#NUM!</v>
      </c>
      <c r="BJ82" s="292" t="e">
        <f t="array" aca="1" ref="BJ82" ca="1">VLOOKUP($B82,KOMBI!$A:$ADS,MATCH(Tulem!BJ$3,KOMBI!$A$1:$ADS$1,0),FALSE)</f>
        <v>#NUM!</v>
      </c>
      <c r="BK82" s="292" t="e">
        <f t="array" aca="1" ref="BK82" ca="1">VLOOKUP($B82,KOMBI!$A:$ADS,MATCH(Tulem!BK$3,KOMBI!$A$1:$ADS$1,0),FALSE)</f>
        <v>#NUM!</v>
      </c>
      <c r="BL82" s="292" t="e">
        <f t="array" aca="1" ref="BL82" ca="1">VLOOKUP($B82,KOMBI!$A:$ADS,MATCH(Tulem!BL$3,KOMBI!$A$1:$ADS$1,0),FALSE)</f>
        <v>#NUM!</v>
      </c>
      <c r="BM82" s="292" t="e">
        <f t="array" aca="1" ref="BM82" ca="1">VLOOKUP($B82,KOMBI!$A:$ADS,MATCH(Tulem!BM$3,KOMBI!$A$1:$ADS$1,0),FALSE)</f>
        <v>#NUM!</v>
      </c>
      <c r="BN82" s="292" t="e">
        <f t="array" aca="1" ref="BN82" ca="1">VLOOKUP($B82,KOMBI!$A:$ADS,MATCH(Tulem!BN$3,KOMBI!$A$1:$ADS$1,0),FALSE)</f>
        <v>#NUM!</v>
      </c>
      <c r="BO82" s="292" t="e">
        <f t="array" aca="1" ref="BO82" ca="1">VLOOKUP($B82,KOMBI!$A:$ADS,MATCH(Tulem!BO$3,KOMBI!$A$1:$ADS$1,0),FALSE)</f>
        <v>#NUM!</v>
      </c>
      <c r="BP82" s="291"/>
      <c r="BQ82" s="292" t="e">
        <f t="array" aca="1" ref="BQ82" ca="1">VLOOKUP($B82,KOMBI!$A:$ADS,MATCH(Tulem!BQ$3,KOMBI!$A$1:$ADS$1,0),FALSE)</f>
        <v>#NUM!</v>
      </c>
      <c r="BR82" s="292" t="e">
        <f t="array" aca="1" ref="BR82" ca="1">VLOOKUP($B82,KOMBI!$A:$ADS,MATCH(Tulem!BR$3,KOMBI!$A$1:$ADS$1,0),FALSE)</f>
        <v>#NUM!</v>
      </c>
      <c r="BS82" s="292" t="e">
        <f t="array" aca="1" ref="BS82" ca="1">VLOOKUP($B82,KOMBI!$A:$ADS,MATCH(Tulem!BS$3,KOMBI!$A$1:$ADS$1,0),FALSE)</f>
        <v>#NUM!</v>
      </c>
      <c r="BT82" s="292" t="e">
        <f t="array" aca="1" ref="BT82" ca="1">VLOOKUP($B82,KOMBI!$A:$ADS,MATCH(Tulem!BT$3,KOMBI!$A$1:$ADS$1,0),FALSE)</f>
        <v>#NUM!</v>
      </c>
      <c r="BU82" s="292" t="e">
        <f t="array" aca="1" ref="BU82" ca="1">VLOOKUP($B82,KOMBI!$A:$ADS,MATCH(Tulem!BU$3,KOMBI!$A$1:$ADS$1,0),FALSE)</f>
        <v>#NUM!</v>
      </c>
      <c r="BV82" s="291"/>
      <c r="BW82" s="292" t="e">
        <f t="array" aca="1" ref="BW82" ca="1">VLOOKUP($B82,KOMBI!$A:$ADS,MATCH(Tulem!BW$3,KOMBI!$A$1:$ADS$1,0),FALSE)</f>
        <v>#NUM!</v>
      </c>
      <c r="BX82" s="291"/>
      <c r="BY82" s="291"/>
      <c r="BZ82" s="292" t="e">
        <f t="array" aca="1" ref="BZ82" ca="1">VLOOKUP($B82,KOMBI!$A:$ADS,MATCH(Tulem!BZ$3,KOMBI!$A$1:$ADS$1,0),FALSE)</f>
        <v>#NUM!</v>
      </c>
      <c r="CA82" s="292" t="e">
        <f t="array" aca="1" ref="CA82" ca="1">VLOOKUP($B82,KOMBI!$A:$ADS,MATCH(Tulem!CA$3,KOMBI!$A$1:$ADS$1,0),FALSE)</f>
        <v>#NUM!</v>
      </c>
      <c r="CB82" s="292" t="e">
        <f t="array" aca="1" ref="CB82" ca="1">VLOOKUP($B82,KOMBI!$A:$ADS,MATCH(Tulem!CB$3,KOMBI!$A$1:$ADS$1,0),FALSE)</f>
        <v>#NUM!</v>
      </c>
      <c r="CC82" s="292" t="e">
        <f t="array" aca="1" ref="CC82" ca="1">VLOOKUP($B82,KOMBI!$A:$ADS,MATCH(Tulem!CC$3,KOMBI!$A$1:$ADS$1,0),FALSE)</f>
        <v>#NUM!</v>
      </c>
      <c r="CD82" s="292" t="e">
        <f t="array" aca="1" ref="CD82" ca="1">VLOOKUP($B82,KOMBI!$A:$ADS,MATCH(Tulem!CD$3,KOMBI!$A$1:$ADS$1,0),FALSE)</f>
        <v>#NUM!</v>
      </c>
      <c r="CF82" s="51" t="e">
        <f ca="1">VLOOKUP($B82,KOMBI!$A:$ACG,MATCH(CF$5,KOMBI!$10:$10,0),FALSE)</f>
        <v>#NUM!</v>
      </c>
    </row>
    <row r="83" spans="1:84" x14ac:dyDescent="0.2">
      <c r="A83" s="51">
        <v>78</v>
      </c>
      <c r="B83" s="51" t="e">
        <f ca="1">KOMBI!GI88</f>
        <v>#NUM!</v>
      </c>
      <c r="C83" s="51">
        <f t="shared" si="3"/>
        <v>78</v>
      </c>
      <c r="D83" s="290" t="e">
        <f ca="1">VLOOKUP(VLOOKUP($B83,KOMBI!$A:$H,3,FALSE),data!$I$27:$J$29,2,FALSE)</f>
        <v>#NUM!</v>
      </c>
      <c r="E83" s="290" t="e">
        <f ca="1">VLOOKUP(VLOOKUP($B83,KOMBI!$A:$H,2,FALSE),data!$I$21:$J$23,2,FALSE)</f>
        <v>#NUM!</v>
      </c>
      <c r="F83" s="290" t="e">
        <f ca="1">VLOOKUP(VLOOKUP($B83,KOMBI!$A:$H,5,FALSE),data!$I$39:$J$41,2,FALSE)</f>
        <v>#NUM!</v>
      </c>
      <c r="G83" s="290" t="e">
        <f ca="1">VLOOKUP(VLOOKUP($B83,KOMBI!$A:$H,4,FALSE),data!$I$32:$J$36,2,FALSE)</f>
        <v>#NUM!</v>
      </c>
      <c r="I83" s="51" t="e">
        <f ca="1">VLOOKUP($B83,KOMBI!$A:$Z,MATCH(I$5,KOMBI!$10:$10,0),FALSE)</f>
        <v>#NUM!</v>
      </c>
      <c r="J83" s="291" t="e">
        <f ca="1">VLOOKUP($B83,KOMBI!$A:$ADS,J$3,FALSE)</f>
        <v>#NUM!</v>
      </c>
      <c r="K83" s="291" t="e">
        <f ca="1">VLOOKUP($B83,KOMBI!$A:$ADS,K$3,FALSE)</f>
        <v>#NUM!</v>
      </c>
      <c r="L83" s="291" t="e">
        <f ca="1">VLOOKUP($B83,KOMBI!$A:$ADS,L$3,FALSE)</f>
        <v>#NUM!</v>
      </c>
      <c r="M83" s="291" t="e">
        <f ca="1">VLOOKUP($B83,KOMBI!$A:$ADS,M$3,FALSE)</f>
        <v>#NUM!</v>
      </c>
      <c r="N83" s="291" t="e">
        <f ca="1">VLOOKUP($B83,KOMBI!$A:$ADS,N$3,FALSE)</f>
        <v>#NUM!</v>
      </c>
      <c r="O83" s="291" t="e">
        <f ca="1">VLOOKUP($B83,KOMBI!$A:$ADS,O$3,FALSE)</f>
        <v>#NUM!</v>
      </c>
      <c r="P83" s="291" t="e">
        <f ca="1">VLOOKUP($B83,KOMBI!$A:$ADS,P$3,FALSE)</f>
        <v>#NUM!</v>
      </c>
      <c r="Q83" s="292" t="e">
        <f t="array" aca="1" ref="Q83" ca="1">VLOOKUP($B83,KOMBI!$A:$ADS,MATCH(Tulem!Q$3,KOMBI!$A$1:$ADS$1,0),FALSE)</f>
        <v>#NUM!</v>
      </c>
      <c r="S83" s="332" t="e">
        <f t="array" aca="1" ref="S83" ca="1">VLOOKUP($B83,KOMBI!$A:$ADS,MATCH(Tulem!S$3,KOMBI!$A$1:$ADS$1,0),FALSE)</f>
        <v>#NUM!</v>
      </c>
      <c r="T83" s="293" t="e">
        <f ca="1">VLOOKUP($B83,KOMBI!$A:$ADS,T$3,FALSE)</f>
        <v>#NUM!</v>
      </c>
      <c r="U83" s="293" t="e">
        <f ca="1">VLOOKUP($B83,KOMBI!$A:$ADS,U$3,FALSE)</f>
        <v>#NUM!</v>
      </c>
      <c r="V83" s="293" t="e">
        <f ca="1">VLOOKUP($B83,KOMBI!$A:$ADS,V$3,FALSE)</f>
        <v>#NUM!</v>
      </c>
      <c r="W83" s="293"/>
      <c r="X83" s="293" t="e">
        <f ca="1">VLOOKUP($B83,KOMBI!$A:$ADS,X$3,FALSE)</f>
        <v>#NUM!</v>
      </c>
      <c r="Y83" s="293" t="e">
        <f ca="1">VLOOKUP($B83,KOMBI!$A:$ADS,Y$3,FALSE)</f>
        <v>#NUM!</v>
      </c>
      <c r="Z83" s="293" t="e">
        <f ca="1">VLOOKUP($B83,KOMBI!$A:$ADS,Z$3,FALSE)</f>
        <v>#NUM!</v>
      </c>
      <c r="AA83" s="294"/>
      <c r="AB83" s="293" t="e">
        <f ca="1">VLOOKUP($B83,KOMBI!$A:$ADS,AB$3,FALSE)</f>
        <v>#NUM!</v>
      </c>
      <c r="AC83" s="293" t="e">
        <f ca="1">VLOOKUP($B83,KOMBI!$A:$ADS,AC$3,FALSE)-AB83</f>
        <v>#NUM!</v>
      </c>
      <c r="AD83" s="293" t="e">
        <f ca="1">VLOOKUP($B83,KOMBI!$A:$ADS,AD$3,FALSE)</f>
        <v>#NUM!</v>
      </c>
      <c r="AE83" s="293" t="e">
        <f ca="1">VLOOKUP($B83,KOMBI!$A:$ADS,AE$3,FALSE)</f>
        <v>#NUM!</v>
      </c>
      <c r="AF83" s="293" t="e">
        <f ca="1">VLOOKUP($B83,KOMBI!$A:$ADS,AF$3,FALSE)-AE83</f>
        <v>#NUM!</v>
      </c>
      <c r="AG83" s="293" t="e">
        <f ca="1">VLOOKUP($B83,KOMBI!$A:$ADS,AG$3,FALSE)</f>
        <v>#NUM!</v>
      </c>
      <c r="AI83" s="293" t="e">
        <f t="array" aca="1" ref="AI83" ca="1">VLOOKUP($B83,KOMBI!$A:$ADS,MATCH(Tulem!AI$3,KOMBI!$A$1:$ADS$1,0),FALSE)</f>
        <v>#NUM!</v>
      </c>
      <c r="AJ83" s="293" t="e">
        <f t="array" aca="1" ref="AJ83" ca="1">VLOOKUP($B83,KOMBI!$A:$ADS,MATCH(Tulem!AJ$3,KOMBI!$A$1:$ADS$1,0),FALSE)</f>
        <v>#NUM!</v>
      </c>
      <c r="AK83" s="293" t="e">
        <f t="array" aca="1" ref="AK83" ca="1">VLOOKUP($B83,KOMBI!$A:$ADS,MATCH(Tulem!AK$3,KOMBI!$A$1:$ADS$1,0),FALSE)</f>
        <v>#NUM!</v>
      </c>
      <c r="AL83" s="293" t="e">
        <f t="array" aca="1" ref="AL83" ca="1">VLOOKUP($B83,KOMBI!$A:$ADS,MATCH(Tulem!AL$3,KOMBI!$A$1:$ADS$1,0),FALSE)</f>
        <v>#NUM!</v>
      </c>
      <c r="AM83" s="293" t="e">
        <f t="array" aca="1" ref="AM83" ca="1">VLOOKUP($B83,KOMBI!$A:$ADS,MATCH(Tulem!AM$3,KOMBI!$A$1:$ADS$1,0),FALSE)</f>
        <v>#NUM!</v>
      </c>
      <c r="AN83" s="293" t="e">
        <f t="array" aca="1" ref="AN83" ca="1">VLOOKUP($B83,KOMBI!$A:$ADS,MATCH(Tulem!AN$3,KOMBI!$A$1:$ADS$1,0),FALSE)</f>
        <v>#NUM!</v>
      </c>
      <c r="AO83" s="293" t="e">
        <f t="array" aca="1" ref="AO83" ca="1">VLOOKUP($B83,KOMBI!$A:$ADS,MATCH(Tulem!AO$3,KOMBI!$A$1:$ADS$1,0),FALSE)</f>
        <v>#NUM!</v>
      </c>
      <c r="AP83" s="293" t="e">
        <f t="array" aca="1" ref="AP83" ca="1">VLOOKUP($B83,KOMBI!$A:$ADS,MATCH(Tulem!AP$3,KOMBI!$A$1:$ADS$1,0),FALSE)</f>
        <v>#NUM!</v>
      </c>
      <c r="AQ83" s="293" t="e">
        <f t="array" aca="1" ref="AQ83" ca="1">VLOOKUP($B83,KOMBI!$A:$ADS,MATCH(Tulem!AQ$3,KOMBI!$A$1:$ADS$1,0),FALSE)</f>
        <v>#NUM!</v>
      </c>
      <c r="AR83" s="293" t="e">
        <f t="array" aca="1" ref="AR83" ca="1">VLOOKUP($B83,KOMBI!$A:$ADS,MATCH(Tulem!AR$3,KOMBI!$A$1:$ADS$1,0),FALSE)</f>
        <v>#NUM!</v>
      </c>
      <c r="AS83" s="293" t="e">
        <f t="array" aca="1" ref="AS83" ca="1">VLOOKUP($B83,KOMBI!$A:$ADS,MATCH(Tulem!AS$3,KOMBI!$A$1:$ADS$1,0),FALSE)</f>
        <v>#NUM!</v>
      </c>
      <c r="AT83" s="293" t="e">
        <f t="array" aca="1" ref="AT83" ca="1">VLOOKUP($B83,KOMBI!$A:$ADS,MATCH(Tulem!AT$3,KOMBI!$A$1:$ADS$1,0),FALSE)</f>
        <v>#NUM!</v>
      </c>
      <c r="AU83" s="293" t="e">
        <f t="array" aca="1" ref="AU83" ca="1">VLOOKUP($B83,KOMBI!$A:$ADS,MATCH(Tulem!AU$3,KOMBI!$A$1:$ADS$1,0),FALSE)</f>
        <v>#NUM!</v>
      </c>
      <c r="AV83" s="293" t="e">
        <f t="shared" ca="1" si="4"/>
        <v>#NUM!</v>
      </c>
      <c r="AW83" s="293" t="e">
        <f t="shared" ca="1" si="5"/>
        <v>#NUM!</v>
      </c>
      <c r="AX83" s="291" t="e">
        <f ca="1">VLOOKUP($B83,KOMBI!$A:$ACA,MATCH(AX$5,KOMBI!$10:$10,0),FALSE)</f>
        <v>#NUM!</v>
      </c>
      <c r="AY83" s="292" t="e">
        <f t="array" aca="1" ref="AY83" ca="1">VLOOKUP($B83,KOMBI!$A:$ADS,MATCH(Tulem!AY$3,KOMBI!$A$1:$ADS$1,0),FALSE)</f>
        <v>#NUM!</v>
      </c>
      <c r="AZ83" s="292" t="e">
        <f t="array" aca="1" ref="AZ83" ca="1">VLOOKUP($B83,KOMBI!$A:$ADS,MATCH(Tulem!AZ$3,KOMBI!$A$1:$ADS$1,0),FALSE)</f>
        <v>#NUM!</v>
      </c>
      <c r="BA83" s="292" t="e">
        <f t="array" aca="1" ref="BA83" ca="1">VLOOKUP($B83,KOMBI!$A:$ADS,MATCH(Tulem!BA$3,KOMBI!$A$1:$ADS$1,0),FALSE)</f>
        <v>#NUM!</v>
      </c>
      <c r="BB83" s="292" t="e">
        <f t="array" aca="1" ref="BB83" ca="1">VLOOKUP($B83,KOMBI!$A:$ADS,MATCH(Tulem!BB$3,KOMBI!$A$1:$ADS$1,0),FALSE)</f>
        <v>#NUM!</v>
      </c>
      <c r="BC83" s="292" t="e">
        <f t="array" aca="1" ref="BC83" ca="1">VLOOKUP($B83,KOMBI!$A:$ADS,MATCH(Tulem!BC$3,KOMBI!$A$1:$ADS$1,0),FALSE)</f>
        <v>#NUM!</v>
      </c>
      <c r="BD83" s="292" t="e">
        <f t="array" aca="1" ref="BD83" ca="1">VLOOKUP($B83,KOMBI!$A:$ADS,MATCH(Tulem!BD$3,KOMBI!$A$1:$ADS$1,0),FALSE)</f>
        <v>#NUM!</v>
      </c>
      <c r="BE83" s="292" t="e">
        <f t="array" aca="1" ref="BE83" ca="1">VLOOKUP($B83,KOMBI!$A:$ADS,MATCH(Tulem!BE$3,KOMBI!$A$1:$ADS$1,0),FALSE)</f>
        <v>#NUM!</v>
      </c>
      <c r="BF83" s="292" t="e">
        <f t="array" aca="1" ref="BF83" ca="1">VLOOKUP($B83,KOMBI!$A:$ADS,MATCH(Tulem!BF$3,KOMBI!$A$1:$ADS$1,0),FALSE)</f>
        <v>#NUM!</v>
      </c>
      <c r="BG83" s="292" t="e">
        <f t="array" aca="1" ref="BG83" ca="1">VLOOKUP($B83,KOMBI!$A:$ADS,MATCH(Tulem!BG$3,KOMBI!$A$1:$ADS$1,0),FALSE)</f>
        <v>#NUM!</v>
      </c>
      <c r="BH83" s="292" t="e">
        <f t="array" aca="1" ref="BH83" ca="1">VLOOKUP($B83,KOMBI!$A:$ADS,MATCH(Tulem!BH$3,KOMBI!$A$1:$ADS$1,0),FALSE)</f>
        <v>#NUM!</v>
      </c>
      <c r="BI83" s="292" t="e">
        <f t="array" aca="1" ref="BI83" ca="1">VLOOKUP($B83,KOMBI!$A:$ADS,MATCH(Tulem!BI$3,KOMBI!$A$1:$ADS$1,0),FALSE)</f>
        <v>#NUM!</v>
      </c>
      <c r="BJ83" s="292" t="e">
        <f t="array" aca="1" ref="BJ83" ca="1">VLOOKUP($B83,KOMBI!$A:$ADS,MATCH(Tulem!BJ$3,KOMBI!$A$1:$ADS$1,0),FALSE)</f>
        <v>#NUM!</v>
      </c>
      <c r="BK83" s="292" t="e">
        <f t="array" aca="1" ref="BK83" ca="1">VLOOKUP($B83,KOMBI!$A:$ADS,MATCH(Tulem!BK$3,KOMBI!$A$1:$ADS$1,0),FALSE)</f>
        <v>#NUM!</v>
      </c>
      <c r="BL83" s="292" t="e">
        <f t="array" aca="1" ref="BL83" ca="1">VLOOKUP($B83,KOMBI!$A:$ADS,MATCH(Tulem!BL$3,KOMBI!$A$1:$ADS$1,0),FALSE)</f>
        <v>#NUM!</v>
      </c>
      <c r="BM83" s="292" t="e">
        <f t="array" aca="1" ref="BM83" ca="1">VLOOKUP($B83,KOMBI!$A:$ADS,MATCH(Tulem!BM$3,KOMBI!$A$1:$ADS$1,0),FALSE)</f>
        <v>#NUM!</v>
      </c>
      <c r="BN83" s="292" t="e">
        <f t="array" aca="1" ref="BN83" ca="1">VLOOKUP($B83,KOMBI!$A:$ADS,MATCH(Tulem!BN$3,KOMBI!$A$1:$ADS$1,0),FALSE)</f>
        <v>#NUM!</v>
      </c>
      <c r="BO83" s="292" t="e">
        <f t="array" aca="1" ref="BO83" ca="1">VLOOKUP($B83,KOMBI!$A:$ADS,MATCH(Tulem!BO$3,KOMBI!$A$1:$ADS$1,0),FALSE)</f>
        <v>#NUM!</v>
      </c>
      <c r="BP83" s="291"/>
      <c r="BQ83" s="292" t="e">
        <f t="array" aca="1" ref="BQ83" ca="1">VLOOKUP($B83,KOMBI!$A:$ADS,MATCH(Tulem!BQ$3,KOMBI!$A$1:$ADS$1,0),FALSE)</f>
        <v>#NUM!</v>
      </c>
      <c r="BR83" s="292" t="e">
        <f t="array" aca="1" ref="BR83" ca="1">VLOOKUP($B83,KOMBI!$A:$ADS,MATCH(Tulem!BR$3,KOMBI!$A$1:$ADS$1,0),FALSE)</f>
        <v>#NUM!</v>
      </c>
      <c r="BS83" s="292" t="e">
        <f t="array" aca="1" ref="BS83" ca="1">VLOOKUP($B83,KOMBI!$A:$ADS,MATCH(Tulem!BS$3,KOMBI!$A$1:$ADS$1,0),FALSE)</f>
        <v>#NUM!</v>
      </c>
      <c r="BT83" s="292" t="e">
        <f t="array" aca="1" ref="BT83" ca="1">VLOOKUP($B83,KOMBI!$A:$ADS,MATCH(Tulem!BT$3,KOMBI!$A$1:$ADS$1,0),FALSE)</f>
        <v>#NUM!</v>
      </c>
      <c r="BU83" s="292" t="e">
        <f t="array" aca="1" ref="BU83" ca="1">VLOOKUP($B83,KOMBI!$A:$ADS,MATCH(Tulem!BU$3,KOMBI!$A$1:$ADS$1,0),FALSE)</f>
        <v>#NUM!</v>
      </c>
      <c r="BV83" s="291"/>
      <c r="BW83" s="292" t="e">
        <f t="array" aca="1" ref="BW83" ca="1">VLOOKUP($B83,KOMBI!$A:$ADS,MATCH(Tulem!BW$3,KOMBI!$A$1:$ADS$1,0),FALSE)</f>
        <v>#NUM!</v>
      </c>
      <c r="BX83" s="291"/>
      <c r="BY83" s="291"/>
      <c r="BZ83" s="292" t="e">
        <f t="array" aca="1" ref="BZ83" ca="1">VLOOKUP($B83,KOMBI!$A:$ADS,MATCH(Tulem!BZ$3,KOMBI!$A$1:$ADS$1,0),FALSE)</f>
        <v>#NUM!</v>
      </c>
      <c r="CA83" s="292" t="e">
        <f t="array" aca="1" ref="CA83" ca="1">VLOOKUP($B83,KOMBI!$A:$ADS,MATCH(Tulem!CA$3,KOMBI!$A$1:$ADS$1,0),FALSE)</f>
        <v>#NUM!</v>
      </c>
      <c r="CB83" s="292" t="e">
        <f t="array" aca="1" ref="CB83" ca="1">VLOOKUP($B83,KOMBI!$A:$ADS,MATCH(Tulem!CB$3,KOMBI!$A$1:$ADS$1,0),FALSE)</f>
        <v>#NUM!</v>
      </c>
      <c r="CC83" s="292" t="e">
        <f t="array" aca="1" ref="CC83" ca="1">VLOOKUP($B83,KOMBI!$A:$ADS,MATCH(Tulem!CC$3,KOMBI!$A$1:$ADS$1,0),FALSE)</f>
        <v>#NUM!</v>
      </c>
      <c r="CD83" s="292" t="e">
        <f t="array" aca="1" ref="CD83" ca="1">VLOOKUP($B83,KOMBI!$A:$ADS,MATCH(Tulem!CD$3,KOMBI!$A$1:$ADS$1,0),FALSE)</f>
        <v>#NUM!</v>
      </c>
      <c r="CF83" s="51" t="e">
        <f ca="1">VLOOKUP($B83,KOMBI!$A:$ACG,MATCH(CF$5,KOMBI!$10:$10,0),FALSE)</f>
        <v>#NUM!</v>
      </c>
    </row>
    <row r="84" spans="1:84" x14ac:dyDescent="0.2">
      <c r="A84" s="51">
        <v>79</v>
      </c>
      <c r="B84" s="51" t="e">
        <f ca="1">KOMBI!GI89</f>
        <v>#NUM!</v>
      </c>
      <c r="C84" s="51">
        <f t="shared" si="3"/>
        <v>79</v>
      </c>
      <c r="D84" s="290" t="e">
        <f ca="1">VLOOKUP(VLOOKUP($B84,KOMBI!$A:$H,3,FALSE),data!$I$27:$J$29,2,FALSE)</f>
        <v>#NUM!</v>
      </c>
      <c r="E84" s="290" t="e">
        <f ca="1">VLOOKUP(VLOOKUP($B84,KOMBI!$A:$H,2,FALSE),data!$I$21:$J$23,2,FALSE)</f>
        <v>#NUM!</v>
      </c>
      <c r="F84" s="290" t="e">
        <f ca="1">VLOOKUP(VLOOKUP($B84,KOMBI!$A:$H,5,FALSE),data!$I$39:$J$41,2,FALSE)</f>
        <v>#NUM!</v>
      </c>
      <c r="G84" s="290" t="e">
        <f ca="1">VLOOKUP(VLOOKUP($B84,KOMBI!$A:$H,4,FALSE),data!$I$32:$J$36,2,FALSE)</f>
        <v>#NUM!</v>
      </c>
      <c r="I84" s="51" t="e">
        <f ca="1">VLOOKUP($B84,KOMBI!$A:$Z,MATCH(I$5,KOMBI!$10:$10,0),FALSE)</f>
        <v>#NUM!</v>
      </c>
      <c r="J84" s="291" t="e">
        <f ca="1">VLOOKUP($B84,KOMBI!$A:$ADS,J$3,FALSE)</f>
        <v>#NUM!</v>
      </c>
      <c r="K84" s="291" t="e">
        <f ca="1">VLOOKUP($B84,KOMBI!$A:$ADS,K$3,FALSE)</f>
        <v>#NUM!</v>
      </c>
      <c r="L84" s="291" t="e">
        <f ca="1">VLOOKUP($B84,KOMBI!$A:$ADS,L$3,FALSE)</f>
        <v>#NUM!</v>
      </c>
      <c r="M84" s="291" t="e">
        <f ca="1">VLOOKUP($B84,KOMBI!$A:$ADS,M$3,FALSE)</f>
        <v>#NUM!</v>
      </c>
      <c r="N84" s="291" t="e">
        <f ca="1">VLOOKUP($B84,KOMBI!$A:$ADS,N$3,FALSE)</f>
        <v>#NUM!</v>
      </c>
      <c r="O84" s="291" t="e">
        <f ca="1">VLOOKUP($B84,KOMBI!$A:$ADS,O$3,FALSE)</f>
        <v>#NUM!</v>
      </c>
      <c r="P84" s="291" t="e">
        <f ca="1">VLOOKUP($B84,KOMBI!$A:$ADS,P$3,FALSE)</f>
        <v>#NUM!</v>
      </c>
      <c r="Q84" s="292" t="e">
        <f t="array" aca="1" ref="Q84" ca="1">VLOOKUP($B84,KOMBI!$A:$ADS,MATCH(Tulem!Q$3,KOMBI!$A$1:$ADS$1,0),FALSE)</f>
        <v>#NUM!</v>
      </c>
      <c r="S84" s="332" t="e">
        <f t="array" aca="1" ref="S84" ca="1">VLOOKUP($B84,KOMBI!$A:$ADS,MATCH(Tulem!S$3,KOMBI!$A$1:$ADS$1,0),FALSE)</f>
        <v>#NUM!</v>
      </c>
      <c r="T84" s="293" t="e">
        <f ca="1">VLOOKUP($B84,KOMBI!$A:$ADS,T$3,FALSE)</f>
        <v>#NUM!</v>
      </c>
      <c r="U84" s="293" t="e">
        <f ca="1">VLOOKUP($B84,KOMBI!$A:$ADS,U$3,FALSE)</f>
        <v>#NUM!</v>
      </c>
      <c r="V84" s="293" t="e">
        <f ca="1">VLOOKUP($B84,KOMBI!$A:$ADS,V$3,FALSE)</f>
        <v>#NUM!</v>
      </c>
      <c r="W84" s="293"/>
      <c r="X84" s="293" t="e">
        <f ca="1">VLOOKUP($B84,KOMBI!$A:$ADS,X$3,FALSE)</f>
        <v>#NUM!</v>
      </c>
      <c r="Y84" s="293" t="e">
        <f ca="1">VLOOKUP($B84,KOMBI!$A:$ADS,Y$3,FALSE)</f>
        <v>#NUM!</v>
      </c>
      <c r="Z84" s="293" t="e">
        <f ca="1">VLOOKUP($B84,KOMBI!$A:$ADS,Z$3,FALSE)</f>
        <v>#NUM!</v>
      </c>
      <c r="AA84" s="294"/>
      <c r="AB84" s="293" t="e">
        <f ca="1">VLOOKUP($B84,KOMBI!$A:$ADS,AB$3,FALSE)</f>
        <v>#NUM!</v>
      </c>
      <c r="AC84" s="293" t="e">
        <f ca="1">VLOOKUP($B84,KOMBI!$A:$ADS,AC$3,FALSE)-AB84</f>
        <v>#NUM!</v>
      </c>
      <c r="AD84" s="293" t="e">
        <f ca="1">VLOOKUP($B84,KOMBI!$A:$ADS,AD$3,FALSE)</f>
        <v>#NUM!</v>
      </c>
      <c r="AE84" s="293" t="e">
        <f ca="1">VLOOKUP($B84,KOMBI!$A:$ADS,AE$3,FALSE)</f>
        <v>#NUM!</v>
      </c>
      <c r="AF84" s="293" t="e">
        <f ca="1">VLOOKUP($B84,KOMBI!$A:$ADS,AF$3,FALSE)-AE84</f>
        <v>#NUM!</v>
      </c>
      <c r="AG84" s="293" t="e">
        <f ca="1">VLOOKUP($B84,KOMBI!$A:$ADS,AG$3,FALSE)</f>
        <v>#NUM!</v>
      </c>
      <c r="AI84" s="293" t="e">
        <f t="array" aca="1" ref="AI84" ca="1">VLOOKUP($B84,KOMBI!$A:$ADS,MATCH(Tulem!AI$3,KOMBI!$A$1:$ADS$1,0),FALSE)</f>
        <v>#NUM!</v>
      </c>
      <c r="AJ84" s="293" t="e">
        <f t="array" aca="1" ref="AJ84" ca="1">VLOOKUP($B84,KOMBI!$A:$ADS,MATCH(Tulem!AJ$3,KOMBI!$A$1:$ADS$1,0),FALSE)</f>
        <v>#NUM!</v>
      </c>
      <c r="AK84" s="293" t="e">
        <f t="array" aca="1" ref="AK84" ca="1">VLOOKUP($B84,KOMBI!$A:$ADS,MATCH(Tulem!AK$3,KOMBI!$A$1:$ADS$1,0),FALSE)</f>
        <v>#NUM!</v>
      </c>
      <c r="AL84" s="293" t="e">
        <f t="array" aca="1" ref="AL84" ca="1">VLOOKUP($B84,KOMBI!$A:$ADS,MATCH(Tulem!AL$3,KOMBI!$A$1:$ADS$1,0),FALSE)</f>
        <v>#NUM!</v>
      </c>
      <c r="AM84" s="293" t="e">
        <f t="array" aca="1" ref="AM84" ca="1">VLOOKUP($B84,KOMBI!$A:$ADS,MATCH(Tulem!AM$3,KOMBI!$A$1:$ADS$1,0),FALSE)</f>
        <v>#NUM!</v>
      </c>
      <c r="AN84" s="293" t="e">
        <f t="array" aca="1" ref="AN84" ca="1">VLOOKUP($B84,KOMBI!$A:$ADS,MATCH(Tulem!AN$3,KOMBI!$A$1:$ADS$1,0),FALSE)</f>
        <v>#NUM!</v>
      </c>
      <c r="AO84" s="293" t="e">
        <f t="array" aca="1" ref="AO84" ca="1">VLOOKUP($B84,KOMBI!$A:$ADS,MATCH(Tulem!AO$3,KOMBI!$A$1:$ADS$1,0),FALSE)</f>
        <v>#NUM!</v>
      </c>
      <c r="AP84" s="293" t="e">
        <f t="array" aca="1" ref="AP84" ca="1">VLOOKUP($B84,KOMBI!$A:$ADS,MATCH(Tulem!AP$3,KOMBI!$A$1:$ADS$1,0),FALSE)</f>
        <v>#NUM!</v>
      </c>
      <c r="AQ84" s="293" t="e">
        <f t="array" aca="1" ref="AQ84" ca="1">VLOOKUP($B84,KOMBI!$A:$ADS,MATCH(Tulem!AQ$3,KOMBI!$A$1:$ADS$1,0),FALSE)</f>
        <v>#NUM!</v>
      </c>
      <c r="AR84" s="293" t="e">
        <f t="array" aca="1" ref="AR84" ca="1">VLOOKUP($B84,KOMBI!$A:$ADS,MATCH(Tulem!AR$3,KOMBI!$A$1:$ADS$1,0),FALSE)</f>
        <v>#NUM!</v>
      </c>
      <c r="AS84" s="293" t="e">
        <f t="array" aca="1" ref="AS84" ca="1">VLOOKUP($B84,KOMBI!$A:$ADS,MATCH(Tulem!AS$3,KOMBI!$A$1:$ADS$1,0),FALSE)</f>
        <v>#NUM!</v>
      </c>
      <c r="AT84" s="293" t="e">
        <f t="array" aca="1" ref="AT84" ca="1">VLOOKUP($B84,KOMBI!$A:$ADS,MATCH(Tulem!AT$3,KOMBI!$A$1:$ADS$1,0),FALSE)</f>
        <v>#NUM!</v>
      </c>
      <c r="AU84" s="293" t="e">
        <f t="array" aca="1" ref="AU84" ca="1">VLOOKUP($B84,KOMBI!$A:$ADS,MATCH(Tulem!AU$3,KOMBI!$A$1:$ADS$1,0),FALSE)</f>
        <v>#NUM!</v>
      </c>
      <c r="AV84" s="293" t="e">
        <f t="shared" ca="1" si="4"/>
        <v>#NUM!</v>
      </c>
      <c r="AW84" s="293" t="e">
        <f t="shared" ca="1" si="5"/>
        <v>#NUM!</v>
      </c>
      <c r="AX84" s="291" t="e">
        <f ca="1">VLOOKUP($B84,KOMBI!$A:$ACA,MATCH(AX$5,KOMBI!$10:$10,0),FALSE)</f>
        <v>#NUM!</v>
      </c>
      <c r="AY84" s="292" t="e">
        <f t="array" aca="1" ref="AY84" ca="1">VLOOKUP($B84,KOMBI!$A:$ADS,MATCH(Tulem!AY$3,KOMBI!$A$1:$ADS$1,0),FALSE)</f>
        <v>#NUM!</v>
      </c>
      <c r="AZ84" s="292" t="e">
        <f t="array" aca="1" ref="AZ84" ca="1">VLOOKUP($B84,KOMBI!$A:$ADS,MATCH(Tulem!AZ$3,KOMBI!$A$1:$ADS$1,0),FALSE)</f>
        <v>#NUM!</v>
      </c>
      <c r="BA84" s="292" t="e">
        <f t="array" aca="1" ref="BA84" ca="1">VLOOKUP($B84,KOMBI!$A:$ADS,MATCH(Tulem!BA$3,KOMBI!$A$1:$ADS$1,0),FALSE)</f>
        <v>#NUM!</v>
      </c>
      <c r="BB84" s="292" t="e">
        <f t="array" aca="1" ref="BB84" ca="1">VLOOKUP($B84,KOMBI!$A:$ADS,MATCH(Tulem!BB$3,KOMBI!$A$1:$ADS$1,0),FALSE)</f>
        <v>#NUM!</v>
      </c>
      <c r="BC84" s="292" t="e">
        <f t="array" aca="1" ref="BC84" ca="1">VLOOKUP($B84,KOMBI!$A:$ADS,MATCH(Tulem!BC$3,KOMBI!$A$1:$ADS$1,0),FALSE)</f>
        <v>#NUM!</v>
      </c>
      <c r="BD84" s="292" t="e">
        <f t="array" aca="1" ref="BD84" ca="1">VLOOKUP($B84,KOMBI!$A:$ADS,MATCH(Tulem!BD$3,KOMBI!$A$1:$ADS$1,0),FALSE)</f>
        <v>#NUM!</v>
      </c>
      <c r="BE84" s="292" t="e">
        <f t="array" aca="1" ref="BE84" ca="1">VLOOKUP($B84,KOMBI!$A:$ADS,MATCH(Tulem!BE$3,KOMBI!$A$1:$ADS$1,0),FALSE)</f>
        <v>#NUM!</v>
      </c>
      <c r="BF84" s="292" t="e">
        <f t="array" aca="1" ref="BF84" ca="1">VLOOKUP($B84,KOMBI!$A:$ADS,MATCH(Tulem!BF$3,KOMBI!$A$1:$ADS$1,0),FALSE)</f>
        <v>#NUM!</v>
      </c>
      <c r="BG84" s="292" t="e">
        <f t="array" aca="1" ref="BG84" ca="1">VLOOKUP($B84,KOMBI!$A:$ADS,MATCH(Tulem!BG$3,KOMBI!$A$1:$ADS$1,0),FALSE)</f>
        <v>#NUM!</v>
      </c>
      <c r="BH84" s="292" t="e">
        <f t="array" aca="1" ref="BH84" ca="1">VLOOKUP($B84,KOMBI!$A:$ADS,MATCH(Tulem!BH$3,KOMBI!$A$1:$ADS$1,0),FALSE)</f>
        <v>#NUM!</v>
      </c>
      <c r="BI84" s="292" t="e">
        <f t="array" aca="1" ref="BI84" ca="1">VLOOKUP($B84,KOMBI!$A:$ADS,MATCH(Tulem!BI$3,KOMBI!$A$1:$ADS$1,0),FALSE)</f>
        <v>#NUM!</v>
      </c>
      <c r="BJ84" s="292" t="e">
        <f t="array" aca="1" ref="BJ84" ca="1">VLOOKUP($B84,KOMBI!$A:$ADS,MATCH(Tulem!BJ$3,KOMBI!$A$1:$ADS$1,0),FALSE)</f>
        <v>#NUM!</v>
      </c>
      <c r="BK84" s="292" t="e">
        <f t="array" aca="1" ref="BK84" ca="1">VLOOKUP($B84,KOMBI!$A:$ADS,MATCH(Tulem!BK$3,KOMBI!$A$1:$ADS$1,0),FALSE)</f>
        <v>#NUM!</v>
      </c>
      <c r="BL84" s="292" t="e">
        <f t="array" aca="1" ref="BL84" ca="1">VLOOKUP($B84,KOMBI!$A:$ADS,MATCH(Tulem!BL$3,KOMBI!$A$1:$ADS$1,0),FALSE)</f>
        <v>#NUM!</v>
      </c>
      <c r="BM84" s="292" t="e">
        <f t="array" aca="1" ref="BM84" ca="1">VLOOKUP($B84,KOMBI!$A:$ADS,MATCH(Tulem!BM$3,KOMBI!$A$1:$ADS$1,0),FALSE)</f>
        <v>#NUM!</v>
      </c>
      <c r="BN84" s="292" t="e">
        <f t="array" aca="1" ref="BN84" ca="1">VLOOKUP($B84,KOMBI!$A:$ADS,MATCH(Tulem!BN$3,KOMBI!$A$1:$ADS$1,0),FALSE)</f>
        <v>#NUM!</v>
      </c>
      <c r="BO84" s="292" t="e">
        <f t="array" aca="1" ref="BO84" ca="1">VLOOKUP($B84,KOMBI!$A:$ADS,MATCH(Tulem!BO$3,KOMBI!$A$1:$ADS$1,0),FALSE)</f>
        <v>#NUM!</v>
      </c>
      <c r="BP84" s="291"/>
      <c r="BQ84" s="292" t="e">
        <f t="array" aca="1" ref="BQ84" ca="1">VLOOKUP($B84,KOMBI!$A:$ADS,MATCH(Tulem!BQ$3,KOMBI!$A$1:$ADS$1,0),FALSE)</f>
        <v>#NUM!</v>
      </c>
      <c r="BR84" s="292" t="e">
        <f t="array" aca="1" ref="BR84" ca="1">VLOOKUP($B84,KOMBI!$A:$ADS,MATCH(Tulem!BR$3,KOMBI!$A$1:$ADS$1,0),FALSE)</f>
        <v>#NUM!</v>
      </c>
      <c r="BS84" s="292" t="e">
        <f t="array" aca="1" ref="BS84" ca="1">VLOOKUP($B84,KOMBI!$A:$ADS,MATCH(Tulem!BS$3,KOMBI!$A$1:$ADS$1,0),FALSE)</f>
        <v>#NUM!</v>
      </c>
      <c r="BT84" s="292" t="e">
        <f t="array" aca="1" ref="BT84" ca="1">VLOOKUP($B84,KOMBI!$A:$ADS,MATCH(Tulem!BT$3,KOMBI!$A$1:$ADS$1,0),FALSE)</f>
        <v>#NUM!</v>
      </c>
      <c r="BU84" s="292" t="e">
        <f t="array" aca="1" ref="BU84" ca="1">VLOOKUP($B84,KOMBI!$A:$ADS,MATCH(Tulem!BU$3,KOMBI!$A$1:$ADS$1,0),FALSE)</f>
        <v>#NUM!</v>
      </c>
      <c r="BV84" s="291"/>
      <c r="BW84" s="292" t="e">
        <f t="array" aca="1" ref="BW84" ca="1">VLOOKUP($B84,KOMBI!$A:$ADS,MATCH(Tulem!BW$3,KOMBI!$A$1:$ADS$1,0),FALSE)</f>
        <v>#NUM!</v>
      </c>
      <c r="BX84" s="291"/>
      <c r="BY84" s="291"/>
      <c r="BZ84" s="292" t="e">
        <f t="array" aca="1" ref="BZ84" ca="1">VLOOKUP($B84,KOMBI!$A:$ADS,MATCH(Tulem!BZ$3,KOMBI!$A$1:$ADS$1,0),FALSE)</f>
        <v>#NUM!</v>
      </c>
      <c r="CA84" s="292" t="e">
        <f t="array" aca="1" ref="CA84" ca="1">VLOOKUP($B84,KOMBI!$A:$ADS,MATCH(Tulem!CA$3,KOMBI!$A$1:$ADS$1,0),FALSE)</f>
        <v>#NUM!</v>
      </c>
      <c r="CB84" s="292" t="e">
        <f t="array" aca="1" ref="CB84" ca="1">VLOOKUP($B84,KOMBI!$A:$ADS,MATCH(Tulem!CB$3,KOMBI!$A$1:$ADS$1,0),FALSE)</f>
        <v>#NUM!</v>
      </c>
      <c r="CC84" s="292" t="e">
        <f t="array" aca="1" ref="CC84" ca="1">VLOOKUP($B84,KOMBI!$A:$ADS,MATCH(Tulem!CC$3,KOMBI!$A$1:$ADS$1,0),FALSE)</f>
        <v>#NUM!</v>
      </c>
      <c r="CD84" s="292" t="e">
        <f t="array" aca="1" ref="CD84" ca="1">VLOOKUP($B84,KOMBI!$A:$ADS,MATCH(Tulem!CD$3,KOMBI!$A$1:$ADS$1,0),FALSE)</f>
        <v>#NUM!</v>
      </c>
      <c r="CF84" s="51" t="e">
        <f ca="1">VLOOKUP($B84,KOMBI!$A:$ACG,MATCH(CF$5,KOMBI!$10:$10,0),FALSE)</f>
        <v>#NUM!</v>
      </c>
    </row>
    <row r="85" spans="1:84" x14ac:dyDescent="0.2">
      <c r="A85" s="51">
        <v>80</v>
      </c>
      <c r="B85" s="51" t="e">
        <f ca="1">KOMBI!GI90</f>
        <v>#NUM!</v>
      </c>
      <c r="C85" s="51">
        <f t="shared" si="3"/>
        <v>80</v>
      </c>
      <c r="D85" s="290" t="e">
        <f ca="1">VLOOKUP(VLOOKUP($B85,KOMBI!$A:$H,3,FALSE),data!$I$27:$J$29,2,FALSE)</f>
        <v>#NUM!</v>
      </c>
      <c r="E85" s="290" t="e">
        <f ca="1">VLOOKUP(VLOOKUP($B85,KOMBI!$A:$H,2,FALSE),data!$I$21:$J$23,2,FALSE)</f>
        <v>#NUM!</v>
      </c>
      <c r="F85" s="290" t="e">
        <f ca="1">VLOOKUP(VLOOKUP($B85,KOMBI!$A:$H,5,FALSE),data!$I$39:$J$41,2,FALSE)</f>
        <v>#NUM!</v>
      </c>
      <c r="G85" s="290" t="e">
        <f ca="1">VLOOKUP(VLOOKUP($B85,KOMBI!$A:$H,4,FALSE),data!$I$32:$J$36,2,FALSE)</f>
        <v>#NUM!</v>
      </c>
      <c r="I85" s="51" t="e">
        <f ca="1">VLOOKUP($B85,KOMBI!$A:$Z,MATCH(I$5,KOMBI!$10:$10,0),FALSE)</f>
        <v>#NUM!</v>
      </c>
      <c r="J85" s="291" t="e">
        <f ca="1">VLOOKUP($B85,KOMBI!$A:$ADS,J$3,FALSE)</f>
        <v>#NUM!</v>
      </c>
      <c r="K85" s="291" t="e">
        <f ca="1">VLOOKUP($B85,KOMBI!$A:$ADS,K$3,FALSE)</f>
        <v>#NUM!</v>
      </c>
      <c r="L85" s="291" t="e">
        <f ca="1">VLOOKUP($B85,KOMBI!$A:$ADS,L$3,FALSE)</f>
        <v>#NUM!</v>
      </c>
      <c r="M85" s="291" t="e">
        <f ca="1">VLOOKUP($B85,KOMBI!$A:$ADS,M$3,FALSE)</f>
        <v>#NUM!</v>
      </c>
      <c r="N85" s="291" t="e">
        <f ca="1">VLOOKUP($B85,KOMBI!$A:$ADS,N$3,FALSE)</f>
        <v>#NUM!</v>
      </c>
      <c r="O85" s="291" t="e">
        <f ca="1">VLOOKUP($B85,KOMBI!$A:$ADS,O$3,FALSE)</f>
        <v>#NUM!</v>
      </c>
      <c r="P85" s="291" t="e">
        <f ca="1">VLOOKUP($B85,KOMBI!$A:$ADS,P$3,FALSE)</f>
        <v>#NUM!</v>
      </c>
      <c r="Q85" s="292" t="e">
        <f t="array" aca="1" ref="Q85" ca="1">VLOOKUP($B85,KOMBI!$A:$ADS,MATCH(Tulem!Q$3,KOMBI!$A$1:$ADS$1,0),FALSE)</f>
        <v>#NUM!</v>
      </c>
      <c r="S85" s="332" t="e">
        <f t="array" aca="1" ref="S85" ca="1">VLOOKUP($B85,KOMBI!$A:$ADS,MATCH(Tulem!S$3,KOMBI!$A$1:$ADS$1,0),FALSE)</f>
        <v>#NUM!</v>
      </c>
      <c r="T85" s="293" t="e">
        <f ca="1">VLOOKUP($B85,KOMBI!$A:$ADS,T$3,FALSE)</f>
        <v>#NUM!</v>
      </c>
      <c r="U85" s="293" t="e">
        <f ca="1">VLOOKUP($B85,KOMBI!$A:$ADS,U$3,FALSE)</f>
        <v>#NUM!</v>
      </c>
      <c r="V85" s="293" t="e">
        <f ca="1">VLOOKUP($B85,KOMBI!$A:$ADS,V$3,FALSE)</f>
        <v>#NUM!</v>
      </c>
      <c r="W85" s="293"/>
      <c r="X85" s="293" t="e">
        <f ca="1">VLOOKUP($B85,KOMBI!$A:$ADS,X$3,FALSE)</f>
        <v>#NUM!</v>
      </c>
      <c r="Y85" s="293" t="e">
        <f ca="1">VLOOKUP($B85,KOMBI!$A:$ADS,Y$3,FALSE)</f>
        <v>#NUM!</v>
      </c>
      <c r="Z85" s="293" t="e">
        <f ca="1">VLOOKUP($B85,KOMBI!$A:$ADS,Z$3,FALSE)</f>
        <v>#NUM!</v>
      </c>
      <c r="AA85" s="294"/>
      <c r="AB85" s="293" t="e">
        <f ca="1">VLOOKUP($B85,KOMBI!$A:$ADS,AB$3,FALSE)</f>
        <v>#NUM!</v>
      </c>
      <c r="AC85" s="293" t="e">
        <f ca="1">VLOOKUP($B85,KOMBI!$A:$ADS,AC$3,FALSE)-AB85</f>
        <v>#NUM!</v>
      </c>
      <c r="AD85" s="293" t="e">
        <f ca="1">VLOOKUP($B85,KOMBI!$A:$ADS,AD$3,FALSE)</f>
        <v>#NUM!</v>
      </c>
      <c r="AE85" s="293" t="e">
        <f ca="1">VLOOKUP($B85,KOMBI!$A:$ADS,AE$3,FALSE)</f>
        <v>#NUM!</v>
      </c>
      <c r="AF85" s="293" t="e">
        <f ca="1">VLOOKUP($B85,KOMBI!$A:$ADS,AF$3,FALSE)-AE85</f>
        <v>#NUM!</v>
      </c>
      <c r="AG85" s="293" t="e">
        <f ca="1">VLOOKUP($B85,KOMBI!$A:$ADS,AG$3,FALSE)</f>
        <v>#NUM!</v>
      </c>
      <c r="AI85" s="293" t="e">
        <f t="array" aca="1" ref="AI85" ca="1">VLOOKUP($B85,KOMBI!$A:$ADS,MATCH(Tulem!AI$3,KOMBI!$A$1:$ADS$1,0),FALSE)</f>
        <v>#NUM!</v>
      </c>
      <c r="AJ85" s="293" t="e">
        <f t="array" aca="1" ref="AJ85" ca="1">VLOOKUP($B85,KOMBI!$A:$ADS,MATCH(Tulem!AJ$3,KOMBI!$A$1:$ADS$1,0),FALSE)</f>
        <v>#NUM!</v>
      </c>
      <c r="AK85" s="293" t="e">
        <f t="array" aca="1" ref="AK85" ca="1">VLOOKUP($B85,KOMBI!$A:$ADS,MATCH(Tulem!AK$3,KOMBI!$A$1:$ADS$1,0),FALSE)</f>
        <v>#NUM!</v>
      </c>
      <c r="AL85" s="293" t="e">
        <f t="array" aca="1" ref="AL85" ca="1">VLOOKUP($B85,KOMBI!$A:$ADS,MATCH(Tulem!AL$3,KOMBI!$A$1:$ADS$1,0),FALSE)</f>
        <v>#NUM!</v>
      </c>
      <c r="AM85" s="293" t="e">
        <f t="array" aca="1" ref="AM85" ca="1">VLOOKUP($B85,KOMBI!$A:$ADS,MATCH(Tulem!AM$3,KOMBI!$A$1:$ADS$1,0),FALSE)</f>
        <v>#NUM!</v>
      </c>
      <c r="AN85" s="293" t="e">
        <f t="array" aca="1" ref="AN85" ca="1">VLOOKUP($B85,KOMBI!$A:$ADS,MATCH(Tulem!AN$3,KOMBI!$A$1:$ADS$1,0),FALSE)</f>
        <v>#NUM!</v>
      </c>
      <c r="AO85" s="293" t="e">
        <f t="array" aca="1" ref="AO85" ca="1">VLOOKUP($B85,KOMBI!$A:$ADS,MATCH(Tulem!AO$3,KOMBI!$A$1:$ADS$1,0),FALSE)</f>
        <v>#NUM!</v>
      </c>
      <c r="AP85" s="293" t="e">
        <f t="array" aca="1" ref="AP85" ca="1">VLOOKUP($B85,KOMBI!$A:$ADS,MATCH(Tulem!AP$3,KOMBI!$A$1:$ADS$1,0),FALSE)</f>
        <v>#NUM!</v>
      </c>
      <c r="AQ85" s="293" t="e">
        <f t="array" aca="1" ref="AQ85" ca="1">VLOOKUP($B85,KOMBI!$A:$ADS,MATCH(Tulem!AQ$3,KOMBI!$A$1:$ADS$1,0),FALSE)</f>
        <v>#NUM!</v>
      </c>
      <c r="AR85" s="293" t="e">
        <f t="array" aca="1" ref="AR85" ca="1">VLOOKUP($B85,KOMBI!$A:$ADS,MATCH(Tulem!AR$3,KOMBI!$A$1:$ADS$1,0),FALSE)</f>
        <v>#NUM!</v>
      </c>
      <c r="AS85" s="293" t="e">
        <f t="array" aca="1" ref="AS85" ca="1">VLOOKUP($B85,KOMBI!$A:$ADS,MATCH(Tulem!AS$3,KOMBI!$A$1:$ADS$1,0),FALSE)</f>
        <v>#NUM!</v>
      </c>
      <c r="AT85" s="293" t="e">
        <f t="array" aca="1" ref="AT85" ca="1">VLOOKUP($B85,KOMBI!$A:$ADS,MATCH(Tulem!AT$3,KOMBI!$A$1:$ADS$1,0),FALSE)</f>
        <v>#NUM!</v>
      </c>
      <c r="AU85" s="293" t="e">
        <f t="array" aca="1" ref="AU85" ca="1">VLOOKUP($B85,KOMBI!$A:$ADS,MATCH(Tulem!AU$3,KOMBI!$A$1:$ADS$1,0),FALSE)</f>
        <v>#NUM!</v>
      </c>
      <c r="AV85" s="293" t="e">
        <f t="shared" ca="1" si="4"/>
        <v>#NUM!</v>
      </c>
      <c r="AW85" s="293" t="e">
        <f t="shared" ca="1" si="5"/>
        <v>#NUM!</v>
      </c>
      <c r="AX85" s="291" t="e">
        <f ca="1">VLOOKUP($B85,KOMBI!$A:$ACA,MATCH(AX$5,KOMBI!$10:$10,0),FALSE)</f>
        <v>#NUM!</v>
      </c>
      <c r="AY85" s="292" t="e">
        <f t="array" aca="1" ref="AY85" ca="1">VLOOKUP($B85,KOMBI!$A:$ADS,MATCH(Tulem!AY$3,KOMBI!$A$1:$ADS$1,0),FALSE)</f>
        <v>#NUM!</v>
      </c>
      <c r="AZ85" s="292" t="e">
        <f t="array" aca="1" ref="AZ85" ca="1">VLOOKUP($B85,KOMBI!$A:$ADS,MATCH(Tulem!AZ$3,KOMBI!$A$1:$ADS$1,0),FALSE)</f>
        <v>#NUM!</v>
      </c>
      <c r="BA85" s="292" t="e">
        <f t="array" aca="1" ref="BA85" ca="1">VLOOKUP($B85,KOMBI!$A:$ADS,MATCH(Tulem!BA$3,KOMBI!$A$1:$ADS$1,0),FALSE)</f>
        <v>#NUM!</v>
      </c>
      <c r="BB85" s="292" t="e">
        <f t="array" aca="1" ref="BB85" ca="1">VLOOKUP($B85,KOMBI!$A:$ADS,MATCH(Tulem!BB$3,KOMBI!$A$1:$ADS$1,0),FALSE)</f>
        <v>#NUM!</v>
      </c>
      <c r="BC85" s="292" t="e">
        <f t="array" aca="1" ref="BC85" ca="1">VLOOKUP($B85,KOMBI!$A:$ADS,MATCH(Tulem!BC$3,KOMBI!$A$1:$ADS$1,0),FALSE)</f>
        <v>#NUM!</v>
      </c>
      <c r="BD85" s="292" t="e">
        <f t="array" aca="1" ref="BD85" ca="1">VLOOKUP($B85,KOMBI!$A:$ADS,MATCH(Tulem!BD$3,KOMBI!$A$1:$ADS$1,0),FALSE)</f>
        <v>#NUM!</v>
      </c>
      <c r="BE85" s="292" t="e">
        <f t="array" aca="1" ref="BE85" ca="1">VLOOKUP($B85,KOMBI!$A:$ADS,MATCH(Tulem!BE$3,KOMBI!$A$1:$ADS$1,0),FALSE)</f>
        <v>#NUM!</v>
      </c>
      <c r="BF85" s="292" t="e">
        <f t="array" aca="1" ref="BF85" ca="1">VLOOKUP($B85,KOMBI!$A:$ADS,MATCH(Tulem!BF$3,KOMBI!$A$1:$ADS$1,0),FALSE)</f>
        <v>#NUM!</v>
      </c>
      <c r="BG85" s="292" t="e">
        <f t="array" aca="1" ref="BG85" ca="1">VLOOKUP($B85,KOMBI!$A:$ADS,MATCH(Tulem!BG$3,KOMBI!$A$1:$ADS$1,0),FALSE)</f>
        <v>#NUM!</v>
      </c>
      <c r="BH85" s="292" t="e">
        <f t="array" aca="1" ref="BH85" ca="1">VLOOKUP($B85,KOMBI!$A:$ADS,MATCH(Tulem!BH$3,KOMBI!$A$1:$ADS$1,0),FALSE)</f>
        <v>#NUM!</v>
      </c>
      <c r="BI85" s="292" t="e">
        <f t="array" aca="1" ref="BI85" ca="1">VLOOKUP($B85,KOMBI!$A:$ADS,MATCH(Tulem!BI$3,KOMBI!$A$1:$ADS$1,0),FALSE)</f>
        <v>#NUM!</v>
      </c>
      <c r="BJ85" s="292" t="e">
        <f t="array" aca="1" ref="BJ85" ca="1">VLOOKUP($B85,KOMBI!$A:$ADS,MATCH(Tulem!BJ$3,KOMBI!$A$1:$ADS$1,0),FALSE)</f>
        <v>#NUM!</v>
      </c>
      <c r="BK85" s="292" t="e">
        <f t="array" aca="1" ref="BK85" ca="1">VLOOKUP($B85,KOMBI!$A:$ADS,MATCH(Tulem!BK$3,KOMBI!$A$1:$ADS$1,0),FALSE)</f>
        <v>#NUM!</v>
      </c>
      <c r="BL85" s="292" t="e">
        <f t="array" aca="1" ref="BL85" ca="1">VLOOKUP($B85,KOMBI!$A:$ADS,MATCH(Tulem!BL$3,KOMBI!$A$1:$ADS$1,0),FALSE)</f>
        <v>#NUM!</v>
      </c>
      <c r="BM85" s="292" t="e">
        <f t="array" aca="1" ref="BM85" ca="1">VLOOKUP($B85,KOMBI!$A:$ADS,MATCH(Tulem!BM$3,KOMBI!$A$1:$ADS$1,0),FALSE)</f>
        <v>#NUM!</v>
      </c>
      <c r="BN85" s="292" t="e">
        <f t="array" aca="1" ref="BN85" ca="1">VLOOKUP($B85,KOMBI!$A:$ADS,MATCH(Tulem!BN$3,KOMBI!$A$1:$ADS$1,0),FALSE)</f>
        <v>#NUM!</v>
      </c>
      <c r="BO85" s="292" t="e">
        <f t="array" aca="1" ref="BO85" ca="1">VLOOKUP($B85,KOMBI!$A:$ADS,MATCH(Tulem!BO$3,KOMBI!$A$1:$ADS$1,0),FALSE)</f>
        <v>#NUM!</v>
      </c>
      <c r="BP85" s="291"/>
      <c r="BQ85" s="292" t="e">
        <f t="array" aca="1" ref="BQ85" ca="1">VLOOKUP($B85,KOMBI!$A:$ADS,MATCH(Tulem!BQ$3,KOMBI!$A$1:$ADS$1,0),FALSE)</f>
        <v>#NUM!</v>
      </c>
      <c r="BR85" s="292" t="e">
        <f t="array" aca="1" ref="BR85" ca="1">VLOOKUP($B85,KOMBI!$A:$ADS,MATCH(Tulem!BR$3,KOMBI!$A$1:$ADS$1,0),FALSE)</f>
        <v>#NUM!</v>
      </c>
      <c r="BS85" s="292" t="e">
        <f t="array" aca="1" ref="BS85" ca="1">VLOOKUP($B85,KOMBI!$A:$ADS,MATCH(Tulem!BS$3,KOMBI!$A$1:$ADS$1,0),FALSE)</f>
        <v>#NUM!</v>
      </c>
      <c r="BT85" s="292" t="e">
        <f t="array" aca="1" ref="BT85" ca="1">VLOOKUP($B85,KOMBI!$A:$ADS,MATCH(Tulem!BT$3,KOMBI!$A$1:$ADS$1,0),FALSE)</f>
        <v>#NUM!</v>
      </c>
      <c r="BU85" s="292" t="e">
        <f t="array" aca="1" ref="BU85" ca="1">VLOOKUP($B85,KOMBI!$A:$ADS,MATCH(Tulem!BU$3,KOMBI!$A$1:$ADS$1,0),FALSE)</f>
        <v>#NUM!</v>
      </c>
      <c r="BV85" s="291"/>
      <c r="BW85" s="292" t="e">
        <f t="array" aca="1" ref="BW85" ca="1">VLOOKUP($B85,KOMBI!$A:$ADS,MATCH(Tulem!BW$3,KOMBI!$A$1:$ADS$1,0),FALSE)</f>
        <v>#NUM!</v>
      </c>
      <c r="BX85" s="291"/>
      <c r="BY85" s="291"/>
      <c r="BZ85" s="292" t="e">
        <f t="array" aca="1" ref="BZ85" ca="1">VLOOKUP($B85,KOMBI!$A:$ADS,MATCH(Tulem!BZ$3,KOMBI!$A$1:$ADS$1,0),FALSE)</f>
        <v>#NUM!</v>
      </c>
      <c r="CA85" s="292" t="e">
        <f t="array" aca="1" ref="CA85" ca="1">VLOOKUP($B85,KOMBI!$A:$ADS,MATCH(Tulem!CA$3,KOMBI!$A$1:$ADS$1,0),FALSE)</f>
        <v>#NUM!</v>
      </c>
      <c r="CB85" s="292" t="e">
        <f t="array" aca="1" ref="CB85" ca="1">VLOOKUP($B85,KOMBI!$A:$ADS,MATCH(Tulem!CB$3,KOMBI!$A$1:$ADS$1,0),FALSE)</f>
        <v>#NUM!</v>
      </c>
      <c r="CC85" s="292" t="e">
        <f t="array" aca="1" ref="CC85" ca="1">VLOOKUP($B85,KOMBI!$A:$ADS,MATCH(Tulem!CC$3,KOMBI!$A$1:$ADS$1,0),FALSE)</f>
        <v>#NUM!</v>
      </c>
      <c r="CD85" s="292" t="e">
        <f t="array" aca="1" ref="CD85" ca="1">VLOOKUP($B85,KOMBI!$A:$ADS,MATCH(Tulem!CD$3,KOMBI!$A$1:$ADS$1,0),FALSE)</f>
        <v>#NUM!</v>
      </c>
      <c r="CF85" s="51" t="e">
        <f ca="1">VLOOKUP($B85,KOMBI!$A:$ACG,MATCH(CF$5,KOMBI!$10:$10,0),FALSE)</f>
        <v>#NUM!</v>
      </c>
    </row>
    <row r="86" spans="1:84" x14ac:dyDescent="0.2">
      <c r="A86" s="51">
        <v>81</v>
      </c>
      <c r="B86" s="51" t="e">
        <f ca="1">KOMBI!GI91</f>
        <v>#NUM!</v>
      </c>
      <c r="C86" s="51">
        <f t="shared" si="3"/>
        <v>81</v>
      </c>
      <c r="D86" s="290" t="e">
        <f ca="1">VLOOKUP(VLOOKUP($B86,KOMBI!$A:$H,3,FALSE),data!$I$27:$J$29,2,FALSE)</f>
        <v>#NUM!</v>
      </c>
      <c r="E86" s="290" t="e">
        <f ca="1">VLOOKUP(VLOOKUP($B86,KOMBI!$A:$H,2,FALSE),data!$I$21:$J$23,2,FALSE)</f>
        <v>#NUM!</v>
      </c>
      <c r="F86" s="290" t="e">
        <f ca="1">VLOOKUP(VLOOKUP($B86,KOMBI!$A:$H,5,FALSE),data!$I$39:$J$41,2,FALSE)</f>
        <v>#NUM!</v>
      </c>
      <c r="G86" s="290" t="e">
        <f ca="1">VLOOKUP(VLOOKUP($B86,KOMBI!$A:$H,4,FALSE),data!$I$32:$J$36,2,FALSE)</f>
        <v>#NUM!</v>
      </c>
      <c r="I86" s="51" t="e">
        <f ca="1">VLOOKUP($B86,KOMBI!$A:$Z,MATCH(I$5,KOMBI!$10:$10,0),FALSE)</f>
        <v>#NUM!</v>
      </c>
      <c r="J86" s="291" t="e">
        <f ca="1">VLOOKUP($B86,KOMBI!$A:$ADS,J$3,FALSE)</f>
        <v>#NUM!</v>
      </c>
      <c r="K86" s="291" t="e">
        <f ca="1">VLOOKUP($B86,KOMBI!$A:$ADS,K$3,FALSE)</f>
        <v>#NUM!</v>
      </c>
      <c r="L86" s="291" t="e">
        <f ca="1">VLOOKUP($B86,KOMBI!$A:$ADS,L$3,FALSE)</f>
        <v>#NUM!</v>
      </c>
      <c r="M86" s="291" t="e">
        <f ca="1">VLOOKUP($B86,KOMBI!$A:$ADS,M$3,FALSE)</f>
        <v>#NUM!</v>
      </c>
      <c r="N86" s="291" t="e">
        <f ca="1">VLOOKUP($B86,KOMBI!$A:$ADS,N$3,FALSE)</f>
        <v>#NUM!</v>
      </c>
      <c r="O86" s="291" t="e">
        <f ca="1">VLOOKUP($B86,KOMBI!$A:$ADS,O$3,FALSE)</f>
        <v>#NUM!</v>
      </c>
      <c r="P86" s="291" t="e">
        <f ca="1">VLOOKUP($B86,KOMBI!$A:$ADS,P$3,FALSE)</f>
        <v>#NUM!</v>
      </c>
      <c r="Q86" s="292" t="e">
        <f t="array" aca="1" ref="Q86" ca="1">VLOOKUP($B86,KOMBI!$A:$ADS,MATCH(Tulem!Q$3,KOMBI!$A$1:$ADS$1,0),FALSE)</f>
        <v>#NUM!</v>
      </c>
      <c r="S86" s="332" t="e">
        <f t="array" aca="1" ref="S86" ca="1">VLOOKUP($B86,KOMBI!$A:$ADS,MATCH(Tulem!S$3,KOMBI!$A$1:$ADS$1,0),FALSE)</f>
        <v>#NUM!</v>
      </c>
      <c r="T86" s="293" t="e">
        <f ca="1">VLOOKUP($B86,KOMBI!$A:$ADS,T$3,FALSE)</f>
        <v>#NUM!</v>
      </c>
      <c r="U86" s="293" t="e">
        <f ca="1">VLOOKUP($B86,KOMBI!$A:$ADS,U$3,FALSE)</f>
        <v>#NUM!</v>
      </c>
      <c r="V86" s="293" t="e">
        <f ca="1">VLOOKUP($B86,KOMBI!$A:$ADS,V$3,FALSE)</f>
        <v>#NUM!</v>
      </c>
      <c r="W86" s="293"/>
      <c r="X86" s="293" t="e">
        <f ca="1">VLOOKUP($B86,KOMBI!$A:$ADS,X$3,FALSE)</f>
        <v>#NUM!</v>
      </c>
      <c r="Y86" s="293" t="e">
        <f ca="1">VLOOKUP($B86,KOMBI!$A:$ADS,Y$3,FALSE)</f>
        <v>#NUM!</v>
      </c>
      <c r="Z86" s="293" t="e">
        <f ca="1">VLOOKUP($B86,KOMBI!$A:$ADS,Z$3,FALSE)</f>
        <v>#NUM!</v>
      </c>
      <c r="AA86" s="294"/>
      <c r="AB86" s="293" t="e">
        <f ca="1">VLOOKUP($B86,KOMBI!$A:$ADS,AB$3,FALSE)</f>
        <v>#NUM!</v>
      </c>
      <c r="AC86" s="293" t="e">
        <f ca="1">VLOOKUP($B86,KOMBI!$A:$ADS,AC$3,FALSE)-AB86</f>
        <v>#NUM!</v>
      </c>
      <c r="AD86" s="293" t="e">
        <f ca="1">VLOOKUP($B86,KOMBI!$A:$ADS,AD$3,FALSE)</f>
        <v>#NUM!</v>
      </c>
      <c r="AE86" s="293" t="e">
        <f ca="1">VLOOKUP($B86,KOMBI!$A:$ADS,AE$3,FALSE)</f>
        <v>#NUM!</v>
      </c>
      <c r="AF86" s="293" t="e">
        <f ca="1">VLOOKUP($B86,KOMBI!$A:$ADS,AF$3,FALSE)-AE86</f>
        <v>#NUM!</v>
      </c>
      <c r="AG86" s="293" t="e">
        <f ca="1">VLOOKUP($B86,KOMBI!$A:$ADS,AG$3,FALSE)</f>
        <v>#NUM!</v>
      </c>
      <c r="AI86" s="293" t="e">
        <f t="array" aca="1" ref="AI86" ca="1">VLOOKUP($B86,KOMBI!$A:$ADS,MATCH(Tulem!AI$3,KOMBI!$A$1:$ADS$1,0),FALSE)</f>
        <v>#NUM!</v>
      </c>
      <c r="AJ86" s="293" t="e">
        <f t="array" aca="1" ref="AJ86" ca="1">VLOOKUP($B86,KOMBI!$A:$ADS,MATCH(Tulem!AJ$3,KOMBI!$A$1:$ADS$1,0),FALSE)</f>
        <v>#NUM!</v>
      </c>
      <c r="AK86" s="293" t="e">
        <f t="array" aca="1" ref="AK86" ca="1">VLOOKUP($B86,KOMBI!$A:$ADS,MATCH(Tulem!AK$3,KOMBI!$A$1:$ADS$1,0),FALSE)</f>
        <v>#NUM!</v>
      </c>
      <c r="AL86" s="293" t="e">
        <f t="array" aca="1" ref="AL86" ca="1">VLOOKUP($B86,KOMBI!$A:$ADS,MATCH(Tulem!AL$3,KOMBI!$A$1:$ADS$1,0),FALSE)</f>
        <v>#NUM!</v>
      </c>
      <c r="AM86" s="293" t="e">
        <f t="array" aca="1" ref="AM86" ca="1">VLOOKUP($B86,KOMBI!$A:$ADS,MATCH(Tulem!AM$3,KOMBI!$A$1:$ADS$1,0),FALSE)</f>
        <v>#NUM!</v>
      </c>
      <c r="AN86" s="293" t="e">
        <f t="array" aca="1" ref="AN86" ca="1">VLOOKUP($B86,KOMBI!$A:$ADS,MATCH(Tulem!AN$3,KOMBI!$A$1:$ADS$1,0),FALSE)</f>
        <v>#NUM!</v>
      </c>
      <c r="AO86" s="293" t="e">
        <f t="array" aca="1" ref="AO86" ca="1">VLOOKUP($B86,KOMBI!$A:$ADS,MATCH(Tulem!AO$3,KOMBI!$A$1:$ADS$1,0),FALSE)</f>
        <v>#NUM!</v>
      </c>
      <c r="AP86" s="293" t="e">
        <f t="array" aca="1" ref="AP86" ca="1">VLOOKUP($B86,KOMBI!$A:$ADS,MATCH(Tulem!AP$3,KOMBI!$A$1:$ADS$1,0),FALSE)</f>
        <v>#NUM!</v>
      </c>
      <c r="AQ86" s="293" t="e">
        <f t="array" aca="1" ref="AQ86" ca="1">VLOOKUP($B86,KOMBI!$A:$ADS,MATCH(Tulem!AQ$3,KOMBI!$A$1:$ADS$1,0),FALSE)</f>
        <v>#NUM!</v>
      </c>
      <c r="AR86" s="293" t="e">
        <f t="array" aca="1" ref="AR86" ca="1">VLOOKUP($B86,KOMBI!$A:$ADS,MATCH(Tulem!AR$3,KOMBI!$A$1:$ADS$1,0),FALSE)</f>
        <v>#NUM!</v>
      </c>
      <c r="AS86" s="293" t="e">
        <f t="array" aca="1" ref="AS86" ca="1">VLOOKUP($B86,KOMBI!$A:$ADS,MATCH(Tulem!AS$3,KOMBI!$A$1:$ADS$1,0),FALSE)</f>
        <v>#NUM!</v>
      </c>
      <c r="AT86" s="293" t="e">
        <f t="array" aca="1" ref="AT86" ca="1">VLOOKUP($B86,KOMBI!$A:$ADS,MATCH(Tulem!AT$3,KOMBI!$A$1:$ADS$1,0),FALSE)</f>
        <v>#NUM!</v>
      </c>
      <c r="AU86" s="293" t="e">
        <f t="array" aca="1" ref="AU86" ca="1">VLOOKUP($B86,KOMBI!$A:$ADS,MATCH(Tulem!AU$3,KOMBI!$A$1:$ADS$1,0),FALSE)</f>
        <v>#NUM!</v>
      </c>
      <c r="AV86" s="293" t="e">
        <f t="shared" ca="1" si="4"/>
        <v>#NUM!</v>
      </c>
      <c r="AW86" s="293" t="e">
        <f t="shared" ca="1" si="5"/>
        <v>#NUM!</v>
      </c>
      <c r="AX86" s="291" t="e">
        <f ca="1">VLOOKUP($B86,KOMBI!$A:$ACA,MATCH(AX$5,KOMBI!$10:$10,0),FALSE)</f>
        <v>#NUM!</v>
      </c>
      <c r="AY86" s="292" t="e">
        <f t="array" aca="1" ref="AY86" ca="1">VLOOKUP($B86,KOMBI!$A:$ADS,MATCH(Tulem!AY$3,KOMBI!$A$1:$ADS$1,0),FALSE)</f>
        <v>#NUM!</v>
      </c>
      <c r="AZ86" s="292" t="e">
        <f t="array" aca="1" ref="AZ86" ca="1">VLOOKUP($B86,KOMBI!$A:$ADS,MATCH(Tulem!AZ$3,KOMBI!$A$1:$ADS$1,0),FALSE)</f>
        <v>#NUM!</v>
      </c>
      <c r="BA86" s="292" t="e">
        <f t="array" aca="1" ref="BA86" ca="1">VLOOKUP($B86,KOMBI!$A:$ADS,MATCH(Tulem!BA$3,KOMBI!$A$1:$ADS$1,0),FALSE)</f>
        <v>#NUM!</v>
      </c>
      <c r="BB86" s="292" t="e">
        <f t="array" aca="1" ref="BB86" ca="1">VLOOKUP($B86,KOMBI!$A:$ADS,MATCH(Tulem!BB$3,KOMBI!$A$1:$ADS$1,0),FALSE)</f>
        <v>#NUM!</v>
      </c>
      <c r="BC86" s="292" t="e">
        <f t="array" aca="1" ref="BC86" ca="1">VLOOKUP($B86,KOMBI!$A:$ADS,MATCH(Tulem!BC$3,KOMBI!$A$1:$ADS$1,0),FALSE)</f>
        <v>#NUM!</v>
      </c>
      <c r="BD86" s="292" t="e">
        <f t="array" aca="1" ref="BD86" ca="1">VLOOKUP($B86,KOMBI!$A:$ADS,MATCH(Tulem!BD$3,KOMBI!$A$1:$ADS$1,0),FALSE)</f>
        <v>#NUM!</v>
      </c>
      <c r="BE86" s="292" t="e">
        <f t="array" aca="1" ref="BE86" ca="1">VLOOKUP($B86,KOMBI!$A:$ADS,MATCH(Tulem!BE$3,KOMBI!$A$1:$ADS$1,0),FALSE)</f>
        <v>#NUM!</v>
      </c>
      <c r="BF86" s="292" t="e">
        <f t="array" aca="1" ref="BF86" ca="1">VLOOKUP($B86,KOMBI!$A:$ADS,MATCH(Tulem!BF$3,KOMBI!$A$1:$ADS$1,0),FALSE)</f>
        <v>#NUM!</v>
      </c>
      <c r="BG86" s="292" t="e">
        <f t="array" aca="1" ref="BG86" ca="1">VLOOKUP($B86,KOMBI!$A:$ADS,MATCH(Tulem!BG$3,KOMBI!$A$1:$ADS$1,0),FALSE)</f>
        <v>#NUM!</v>
      </c>
      <c r="BH86" s="292" t="e">
        <f t="array" aca="1" ref="BH86" ca="1">VLOOKUP($B86,KOMBI!$A:$ADS,MATCH(Tulem!BH$3,KOMBI!$A$1:$ADS$1,0),FALSE)</f>
        <v>#NUM!</v>
      </c>
      <c r="BI86" s="292" t="e">
        <f t="array" aca="1" ref="BI86" ca="1">VLOOKUP($B86,KOMBI!$A:$ADS,MATCH(Tulem!BI$3,KOMBI!$A$1:$ADS$1,0),FALSE)</f>
        <v>#NUM!</v>
      </c>
      <c r="BJ86" s="292" t="e">
        <f t="array" aca="1" ref="BJ86" ca="1">VLOOKUP($B86,KOMBI!$A:$ADS,MATCH(Tulem!BJ$3,KOMBI!$A$1:$ADS$1,0),FALSE)</f>
        <v>#NUM!</v>
      </c>
      <c r="BK86" s="292" t="e">
        <f t="array" aca="1" ref="BK86" ca="1">VLOOKUP($B86,KOMBI!$A:$ADS,MATCH(Tulem!BK$3,KOMBI!$A$1:$ADS$1,0),FALSE)</f>
        <v>#NUM!</v>
      </c>
      <c r="BL86" s="292" t="e">
        <f t="array" aca="1" ref="BL86" ca="1">VLOOKUP($B86,KOMBI!$A:$ADS,MATCH(Tulem!BL$3,KOMBI!$A$1:$ADS$1,0),FALSE)</f>
        <v>#NUM!</v>
      </c>
      <c r="BM86" s="292" t="e">
        <f t="array" aca="1" ref="BM86" ca="1">VLOOKUP($B86,KOMBI!$A:$ADS,MATCH(Tulem!BM$3,KOMBI!$A$1:$ADS$1,0),FALSE)</f>
        <v>#NUM!</v>
      </c>
      <c r="BN86" s="292" t="e">
        <f t="array" aca="1" ref="BN86" ca="1">VLOOKUP($B86,KOMBI!$A:$ADS,MATCH(Tulem!BN$3,KOMBI!$A$1:$ADS$1,0),FALSE)</f>
        <v>#NUM!</v>
      </c>
      <c r="BO86" s="292" t="e">
        <f t="array" aca="1" ref="BO86" ca="1">VLOOKUP($B86,KOMBI!$A:$ADS,MATCH(Tulem!BO$3,KOMBI!$A$1:$ADS$1,0),FALSE)</f>
        <v>#NUM!</v>
      </c>
      <c r="BP86" s="291"/>
      <c r="BQ86" s="292" t="e">
        <f t="array" aca="1" ref="BQ86" ca="1">VLOOKUP($B86,KOMBI!$A:$ADS,MATCH(Tulem!BQ$3,KOMBI!$A$1:$ADS$1,0),FALSE)</f>
        <v>#NUM!</v>
      </c>
      <c r="BR86" s="292" t="e">
        <f t="array" aca="1" ref="BR86" ca="1">VLOOKUP($B86,KOMBI!$A:$ADS,MATCH(Tulem!BR$3,KOMBI!$A$1:$ADS$1,0),FALSE)</f>
        <v>#NUM!</v>
      </c>
      <c r="BS86" s="292" t="e">
        <f t="array" aca="1" ref="BS86" ca="1">VLOOKUP($B86,KOMBI!$A:$ADS,MATCH(Tulem!BS$3,KOMBI!$A$1:$ADS$1,0),FALSE)</f>
        <v>#NUM!</v>
      </c>
      <c r="BT86" s="292" t="e">
        <f t="array" aca="1" ref="BT86" ca="1">VLOOKUP($B86,KOMBI!$A:$ADS,MATCH(Tulem!BT$3,KOMBI!$A$1:$ADS$1,0),FALSE)</f>
        <v>#NUM!</v>
      </c>
      <c r="BU86" s="292" t="e">
        <f t="array" aca="1" ref="BU86" ca="1">VLOOKUP($B86,KOMBI!$A:$ADS,MATCH(Tulem!BU$3,KOMBI!$A$1:$ADS$1,0),FALSE)</f>
        <v>#NUM!</v>
      </c>
      <c r="BV86" s="291"/>
      <c r="BW86" s="292" t="e">
        <f t="array" aca="1" ref="BW86" ca="1">VLOOKUP($B86,KOMBI!$A:$ADS,MATCH(Tulem!BW$3,KOMBI!$A$1:$ADS$1,0),FALSE)</f>
        <v>#NUM!</v>
      </c>
      <c r="BX86" s="291"/>
      <c r="BY86" s="291"/>
      <c r="BZ86" s="292" t="e">
        <f t="array" aca="1" ref="BZ86" ca="1">VLOOKUP($B86,KOMBI!$A:$ADS,MATCH(Tulem!BZ$3,KOMBI!$A$1:$ADS$1,0),FALSE)</f>
        <v>#NUM!</v>
      </c>
      <c r="CA86" s="292" t="e">
        <f t="array" aca="1" ref="CA86" ca="1">VLOOKUP($B86,KOMBI!$A:$ADS,MATCH(Tulem!CA$3,KOMBI!$A$1:$ADS$1,0),FALSE)</f>
        <v>#NUM!</v>
      </c>
      <c r="CB86" s="292" t="e">
        <f t="array" aca="1" ref="CB86" ca="1">VLOOKUP($B86,KOMBI!$A:$ADS,MATCH(Tulem!CB$3,KOMBI!$A$1:$ADS$1,0),FALSE)</f>
        <v>#NUM!</v>
      </c>
      <c r="CC86" s="292" t="e">
        <f t="array" aca="1" ref="CC86" ca="1">VLOOKUP($B86,KOMBI!$A:$ADS,MATCH(Tulem!CC$3,KOMBI!$A$1:$ADS$1,0),FALSE)</f>
        <v>#NUM!</v>
      </c>
      <c r="CD86" s="292" t="e">
        <f t="array" aca="1" ref="CD86" ca="1">VLOOKUP($B86,KOMBI!$A:$ADS,MATCH(Tulem!CD$3,KOMBI!$A$1:$ADS$1,0),FALSE)</f>
        <v>#NUM!</v>
      </c>
      <c r="CF86" s="51" t="e">
        <f ca="1">VLOOKUP($B86,KOMBI!$A:$ACG,MATCH(CF$5,KOMBI!$10:$10,0),FALSE)</f>
        <v>#NUM!</v>
      </c>
    </row>
    <row r="87" spans="1:84" x14ac:dyDescent="0.2">
      <c r="A87" s="51">
        <v>82</v>
      </c>
      <c r="B87" s="51" t="e">
        <f ca="1">KOMBI!GI92</f>
        <v>#NUM!</v>
      </c>
      <c r="C87" s="51">
        <f t="shared" si="3"/>
        <v>82</v>
      </c>
      <c r="D87" s="290" t="e">
        <f ca="1">VLOOKUP(VLOOKUP($B87,KOMBI!$A:$H,3,FALSE),data!$I$27:$J$29,2,FALSE)</f>
        <v>#NUM!</v>
      </c>
      <c r="E87" s="290" t="e">
        <f ca="1">VLOOKUP(VLOOKUP($B87,KOMBI!$A:$H,2,FALSE),data!$I$21:$J$23,2,FALSE)</f>
        <v>#NUM!</v>
      </c>
      <c r="F87" s="290" t="e">
        <f ca="1">VLOOKUP(VLOOKUP($B87,KOMBI!$A:$H,5,FALSE),data!$I$39:$J$41,2,FALSE)</f>
        <v>#NUM!</v>
      </c>
      <c r="G87" s="290" t="e">
        <f ca="1">VLOOKUP(VLOOKUP($B87,KOMBI!$A:$H,4,FALSE),data!$I$32:$J$36,2,FALSE)</f>
        <v>#NUM!</v>
      </c>
      <c r="I87" s="51" t="e">
        <f ca="1">VLOOKUP($B87,KOMBI!$A:$Z,MATCH(I$5,KOMBI!$10:$10,0),FALSE)</f>
        <v>#NUM!</v>
      </c>
      <c r="J87" s="291" t="e">
        <f ca="1">VLOOKUP($B87,KOMBI!$A:$ADS,J$3,FALSE)</f>
        <v>#NUM!</v>
      </c>
      <c r="K87" s="291" t="e">
        <f ca="1">VLOOKUP($B87,KOMBI!$A:$ADS,K$3,FALSE)</f>
        <v>#NUM!</v>
      </c>
      <c r="L87" s="291" t="e">
        <f ca="1">VLOOKUP($B87,KOMBI!$A:$ADS,L$3,FALSE)</f>
        <v>#NUM!</v>
      </c>
      <c r="M87" s="291" t="e">
        <f ca="1">VLOOKUP($B87,KOMBI!$A:$ADS,M$3,FALSE)</f>
        <v>#NUM!</v>
      </c>
      <c r="N87" s="291" t="e">
        <f ca="1">VLOOKUP($B87,KOMBI!$A:$ADS,N$3,FALSE)</f>
        <v>#NUM!</v>
      </c>
      <c r="O87" s="291" t="e">
        <f ca="1">VLOOKUP($B87,KOMBI!$A:$ADS,O$3,FALSE)</f>
        <v>#NUM!</v>
      </c>
      <c r="P87" s="291" t="e">
        <f ca="1">VLOOKUP($B87,KOMBI!$A:$ADS,P$3,FALSE)</f>
        <v>#NUM!</v>
      </c>
      <c r="Q87" s="292" t="e">
        <f t="array" aca="1" ref="Q87" ca="1">VLOOKUP($B87,KOMBI!$A:$ADS,MATCH(Tulem!Q$3,KOMBI!$A$1:$ADS$1,0),FALSE)</f>
        <v>#NUM!</v>
      </c>
      <c r="S87" s="332" t="e">
        <f t="array" aca="1" ref="S87" ca="1">VLOOKUP($B87,KOMBI!$A:$ADS,MATCH(Tulem!S$3,KOMBI!$A$1:$ADS$1,0),FALSE)</f>
        <v>#NUM!</v>
      </c>
      <c r="T87" s="293" t="e">
        <f ca="1">VLOOKUP($B87,KOMBI!$A:$ADS,T$3,FALSE)</f>
        <v>#NUM!</v>
      </c>
      <c r="U87" s="293" t="e">
        <f ca="1">VLOOKUP($B87,KOMBI!$A:$ADS,U$3,FALSE)</f>
        <v>#NUM!</v>
      </c>
      <c r="V87" s="293" t="e">
        <f ca="1">VLOOKUP($B87,KOMBI!$A:$ADS,V$3,FALSE)</f>
        <v>#NUM!</v>
      </c>
      <c r="W87" s="293"/>
      <c r="X87" s="293" t="e">
        <f ca="1">VLOOKUP($B87,KOMBI!$A:$ADS,X$3,FALSE)</f>
        <v>#NUM!</v>
      </c>
      <c r="Y87" s="293" t="e">
        <f ca="1">VLOOKUP($B87,KOMBI!$A:$ADS,Y$3,FALSE)</f>
        <v>#NUM!</v>
      </c>
      <c r="Z87" s="293" t="e">
        <f ca="1">VLOOKUP($B87,KOMBI!$A:$ADS,Z$3,FALSE)</f>
        <v>#NUM!</v>
      </c>
      <c r="AA87" s="294"/>
      <c r="AB87" s="293" t="e">
        <f ca="1">VLOOKUP($B87,KOMBI!$A:$ADS,AB$3,FALSE)</f>
        <v>#NUM!</v>
      </c>
      <c r="AC87" s="293" t="e">
        <f ca="1">VLOOKUP($B87,KOMBI!$A:$ADS,AC$3,FALSE)-AB87</f>
        <v>#NUM!</v>
      </c>
      <c r="AD87" s="293" t="e">
        <f ca="1">VLOOKUP($B87,KOMBI!$A:$ADS,AD$3,FALSE)</f>
        <v>#NUM!</v>
      </c>
      <c r="AE87" s="293" t="e">
        <f ca="1">VLOOKUP($B87,KOMBI!$A:$ADS,AE$3,FALSE)</f>
        <v>#NUM!</v>
      </c>
      <c r="AF87" s="293" t="e">
        <f ca="1">VLOOKUP($B87,KOMBI!$A:$ADS,AF$3,FALSE)-AE87</f>
        <v>#NUM!</v>
      </c>
      <c r="AG87" s="293" t="e">
        <f ca="1">VLOOKUP($B87,KOMBI!$A:$ADS,AG$3,FALSE)</f>
        <v>#NUM!</v>
      </c>
      <c r="AI87" s="293" t="e">
        <f t="array" aca="1" ref="AI87" ca="1">VLOOKUP($B87,KOMBI!$A:$ADS,MATCH(Tulem!AI$3,KOMBI!$A$1:$ADS$1,0),FALSE)</f>
        <v>#NUM!</v>
      </c>
      <c r="AJ87" s="293" t="e">
        <f t="array" aca="1" ref="AJ87" ca="1">VLOOKUP($B87,KOMBI!$A:$ADS,MATCH(Tulem!AJ$3,KOMBI!$A$1:$ADS$1,0),FALSE)</f>
        <v>#NUM!</v>
      </c>
      <c r="AK87" s="293" t="e">
        <f t="array" aca="1" ref="AK87" ca="1">VLOOKUP($B87,KOMBI!$A:$ADS,MATCH(Tulem!AK$3,KOMBI!$A$1:$ADS$1,0),FALSE)</f>
        <v>#NUM!</v>
      </c>
      <c r="AL87" s="293" t="e">
        <f t="array" aca="1" ref="AL87" ca="1">VLOOKUP($B87,KOMBI!$A:$ADS,MATCH(Tulem!AL$3,KOMBI!$A$1:$ADS$1,0),FALSE)</f>
        <v>#NUM!</v>
      </c>
      <c r="AM87" s="293" t="e">
        <f t="array" aca="1" ref="AM87" ca="1">VLOOKUP($B87,KOMBI!$A:$ADS,MATCH(Tulem!AM$3,KOMBI!$A$1:$ADS$1,0),FALSE)</f>
        <v>#NUM!</v>
      </c>
      <c r="AN87" s="293" t="e">
        <f t="array" aca="1" ref="AN87" ca="1">VLOOKUP($B87,KOMBI!$A:$ADS,MATCH(Tulem!AN$3,KOMBI!$A$1:$ADS$1,0),FALSE)</f>
        <v>#NUM!</v>
      </c>
      <c r="AO87" s="293" t="e">
        <f t="array" aca="1" ref="AO87" ca="1">VLOOKUP($B87,KOMBI!$A:$ADS,MATCH(Tulem!AO$3,KOMBI!$A$1:$ADS$1,0),FALSE)</f>
        <v>#NUM!</v>
      </c>
      <c r="AP87" s="293" t="e">
        <f t="array" aca="1" ref="AP87" ca="1">VLOOKUP($B87,KOMBI!$A:$ADS,MATCH(Tulem!AP$3,KOMBI!$A$1:$ADS$1,0),FALSE)</f>
        <v>#NUM!</v>
      </c>
      <c r="AQ87" s="293" t="e">
        <f t="array" aca="1" ref="AQ87" ca="1">VLOOKUP($B87,KOMBI!$A:$ADS,MATCH(Tulem!AQ$3,KOMBI!$A$1:$ADS$1,0),FALSE)</f>
        <v>#NUM!</v>
      </c>
      <c r="AR87" s="293" t="e">
        <f t="array" aca="1" ref="AR87" ca="1">VLOOKUP($B87,KOMBI!$A:$ADS,MATCH(Tulem!AR$3,KOMBI!$A$1:$ADS$1,0),FALSE)</f>
        <v>#NUM!</v>
      </c>
      <c r="AS87" s="293" t="e">
        <f t="array" aca="1" ref="AS87" ca="1">VLOOKUP($B87,KOMBI!$A:$ADS,MATCH(Tulem!AS$3,KOMBI!$A$1:$ADS$1,0),FALSE)</f>
        <v>#NUM!</v>
      </c>
      <c r="AT87" s="293" t="e">
        <f t="array" aca="1" ref="AT87" ca="1">VLOOKUP($B87,KOMBI!$A:$ADS,MATCH(Tulem!AT$3,KOMBI!$A$1:$ADS$1,0),FALSE)</f>
        <v>#NUM!</v>
      </c>
      <c r="AU87" s="293" t="e">
        <f t="array" aca="1" ref="AU87" ca="1">VLOOKUP($B87,KOMBI!$A:$ADS,MATCH(Tulem!AU$3,KOMBI!$A$1:$ADS$1,0),FALSE)</f>
        <v>#NUM!</v>
      </c>
      <c r="AV87" s="293" t="e">
        <f t="shared" ca="1" si="4"/>
        <v>#NUM!</v>
      </c>
      <c r="AW87" s="293" t="e">
        <f t="shared" ca="1" si="5"/>
        <v>#NUM!</v>
      </c>
      <c r="AX87" s="291" t="e">
        <f ca="1">VLOOKUP($B87,KOMBI!$A:$ACA,MATCH(AX$5,KOMBI!$10:$10,0),FALSE)</f>
        <v>#NUM!</v>
      </c>
      <c r="AY87" s="292" t="e">
        <f t="array" aca="1" ref="AY87" ca="1">VLOOKUP($B87,KOMBI!$A:$ADS,MATCH(Tulem!AY$3,KOMBI!$A$1:$ADS$1,0),FALSE)</f>
        <v>#NUM!</v>
      </c>
      <c r="AZ87" s="292" t="e">
        <f t="array" aca="1" ref="AZ87" ca="1">VLOOKUP($B87,KOMBI!$A:$ADS,MATCH(Tulem!AZ$3,KOMBI!$A$1:$ADS$1,0),FALSE)</f>
        <v>#NUM!</v>
      </c>
      <c r="BA87" s="292" t="e">
        <f t="array" aca="1" ref="BA87" ca="1">VLOOKUP($B87,KOMBI!$A:$ADS,MATCH(Tulem!BA$3,KOMBI!$A$1:$ADS$1,0),FALSE)</f>
        <v>#NUM!</v>
      </c>
      <c r="BB87" s="292" t="e">
        <f t="array" aca="1" ref="BB87" ca="1">VLOOKUP($B87,KOMBI!$A:$ADS,MATCH(Tulem!BB$3,KOMBI!$A$1:$ADS$1,0),FALSE)</f>
        <v>#NUM!</v>
      </c>
      <c r="BC87" s="292" t="e">
        <f t="array" aca="1" ref="BC87" ca="1">VLOOKUP($B87,KOMBI!$A:$ADS,MATCH(Tulem!BC$3,KOMBI!$A$1:$ADS$1,0),FALSE)</f>
        <v>#NUM!</v>
      </c>
      <c r="BD87" s="292" t="e">
        <f t="array" aca="1" ref="BD87" ca="1">VLOOKUP($B87,KOMBI!$A:$ADS,MATCH(Tulem!BD$3,KOMBI!$A$1:$ADS$1,0),FALSE)</f>
        <v>#NUM!</v>
      </c>
      <c r="BE87" s="292" t="e">
        <f t="array" aca="1" ref="BE87" ca="1">VLOOKUP($B87,KOMBI!$A:$ADS,MATCH(Tulem!BE$3,KOMBI!$A$1:$ADS$1,0),FALSE)</f>
        <v>#NUM!</v>
      </c>
      <c r="BF87" s="292" t="e">
        <f t="array" aca="1" ref="BF87" ca="1">VLOOKUP($B87,KOMBI!$A:$ADS,MATCH(Tulem!BF$3,KOMBI!$A$1:$ADS$1,0),FALSE)</f>
        <v>#NUM!</v>
      </c>
      <c r="BG87" s="292" t="e">
        <f t="array" aca="1" ref="BG87" ca="1">VLOOKUP($B87,KOMBI!$A:$ADS,MATCH(Tulem!BG$3,KOMBI!$A$1:$ADS$1,0),FALSE)</f>
        <v>#NUM!</v>
      </c>
      <c r="BH87" s="292" t="e">
        <f t="array" aca="1" ref="BH87" ca="1">VLOOKUP($B87,KOMBI!$A:$ADS,MATCH(Tulem!BH$3,KOMBI!$A$1:$ADS$1,0),FALSE)</f>
        <v>#NUM!</v>
      </c>
      <c r="BI87" s="292" t="e">
        <f t="array" aca="1" ref="BI87" ca="1">VLOOKUP($B87,KOMBI!$A:$ADS,MATCH(Tulem!BI$3,KOMBI!$A$1:$ADS$1,0),FALSE)</f>
        <v>#NUM!</v>
      </c>
      <c r="BJ87" s="292" t="e">
        <f t="array" aca="1" ref="BJ87" ca="1">VLOOKUP($B87,KOMBI!$A:$ADS,MATCH(Tulem!BJ$3,KOMBI!$A$1:$ADS$1,0),FALSE)</f>
        <v>#NUM!</v>
      </c>
      <c r="BK87" s="292" t="e">
        <f t="array" aca="1" ref="BK87" ca="1">VLOOKUP($B87,KOMBI!$A:$ADS,MATCH(Tulem!BK$3,KOMBI!$A$1:$ADS$1,0),FALSE)</f>
        <v>#NUM!</v>
      </c>
      <c r="BL87" s="292" t="e">
        <f t="array" aca="1" ref="BL87" ca="1">VLOOKUP($B87,KOMBI!$A:$ADS,MATCH(Tulem!BL$3,KOMBI!$A$1:$ADS$1,0),FALSE)</f>
        <v>#NUM!</v>
      </c>
      <c r="BM87" s="292" t="e">
        <f t="array" aca="1" ref="BM87" ca="1">VLOOKUP($B87,KOMBI!$A:$ADS,MATCH(Tulem!BM$3,KOMBI!$A$1:$ADS$1,0),FALSE)</f>
        <v>#NUM!</v>
      </c>
      <c r="BN87" s="292" t="e">
        <f t="array" aca="1" ref="BN87" ca="1">VLOOKUP($B87,KOMBI!$A:$ADS,MATCH(Tulem!BN$3,KOMBI!$A$1:$ADS$1,0),FALSE)</f>
        <v>#NUM!</v>
      </c>
      <c r="BO87" s="292" t="e">
        <f t="array" aca="1" ref="BO87" ca="1">VLOOKUP($B87,KOMBI!$A:$ADS,MATCH(Tulem!BO$3,KOMBI!$A$1:$ADS$1,0),FALSE)</f>
        <v>#NUM!</v>
      </c>
      <c r="BP87" s="291"/>
      <c r="BQ87" s="292" t="e">
        <f t="array" aca="1" ref="BQ87" ca="1">VLOOKUP($B87,KOMBI!$A:$ADS,MATCH(Tulem!BQ$3,KOMBI!$A$1:$ADS$1,0),FALSE)</f>
        <v>#NUM!</v>
      </c>
      <c r="BR87" s="292" t="e">
        <f t="array" aca="1" ref="BR87" ca="1">VLOOKUP($B87,KOMBI!$A:$ADS,MATCH(Tulem!BR$3,KOMBI!$A$1:$ADS$1,0),FALSE)</f>
        <v>#NUM!</v>
      </c>
      <c r="BS87" s="292" t="e">
        <f t="array" aca="1" ref="BS87" ca="1">VLOOKUP($B87,KOMBI!$A:$ADS,MATCH(Tulem!BS$3,KOMBI!$A$1:$ADS$1,0),FALSE)</f>
        <v>#NUM!</v>
      </c>
      <c r="BT87" s="292" t="e">
        <f t="array" aca="1" ref="BT87" ca="1">VLOOKUP($B87,KOMBI!$A:$ADS,MATCH(Tulem!BT$3,KOMBI!$A$1:$ADS$1,0),FALSE)</f>
        <v>#NUM!</v>
      </c>
      <c r="BU87" s="292" t="e">
        <f t="array" aca="1" ref="BU87" ca="1">VLOOKUP($B87,KOMBI!$A:$ADS,MATCH(Tulem!BU$3,KOMBI!$A$1:$ADS$1,0),FALSE)</f>
        <v>#NUM!</v>
      </c>
      <c r="BV87" s="291"/>
      <c r="BW87" s="292" t="e">
        <f t="array" aca="1" ref="BW87" ca="1">VLOOKUP($B87,KOMBI!$A:$ADS,MATCH(Tulem!BW$3,KOMBI!$A$1:$ADS$1,0),FALSE)</f>
        <v>#NUM!</v>
      </c>
      <c r="BX87" s="291"/>
      <c r="BY87" s="291"/>
      <c r="BZ87" s="292" t="e">
        <f t="array" aca="1" ref="BZ87" ca="1">VLOOKUP($B87,KOMBI!$A:$ADS,MATCH(Tulem!BZ$3,KOMBI!$A$1:$ADS$1,0),FALSE)</f>
        <v>#NUM!</v>
      </c>
      <c r="CA87" s="292" t="e">
        <f t="array" aca="1" ref="CA87" ca="1">VLOOKUP($B87,KOMBI!$A:$ADS,MATCH(Tulem!CA$3,KOMBI!$A$1:$ADS$1,0),FALSE)</f>
        <v>#NUM!</v>
      </c>
      <c r="CB87" s="292" t="e">
        <f t="array" aca="1" ref="CB87" ca="1">VLOOKUP($B87,KOMBI!$A:$ADS,MATCH(Tulem!CB$3,KOMBI!$A$1:$ADS$1,0),FALSE)</f>
        <v>#NUM!</v>
      </c>
      <c r="CC87" s="292" t="e">
        <f t="array" aca="1" ref="CC87" ca="1">VLOOKUP($B87,KOMBI!$A:$ADS,MATCH(Tulem!CC$3,KOMBI!$A$1:$ADS$1,0),FALSE)</f>
        <v>#NUM!</v>
      </c>
      <c r="CD87" s="292" t="e">
        <f t="array" aca="1" ref="CD87" ca="1">VLOOKUP($B87,KOMBI!$A:$ADS,MATCH(Tulem!CD$3,KOMBI!$A$1:$ADS$1,0),FALSE)</f>
        <v>#NUM!</v>
      </c>
      <c r="CF87" s="51" t="e">
        <f ca="1">VLOOKUP($B87,KOMBI!$A:$ACG,MATCH(CF$5,KOMBI!$10:$10,0),FALSE)</f>
        <v>#NUM!</v>
      </c>
    </row>
    <row r="88" spans="1:84" x14ac:dyDescent="0.2">
      <c r="A88" s="51">
        <v>83</v>
      </c>
      <c r="B88" s="51" t="e">
        <f ca="1">KOMBI!GI93</f>
        <v>#NUM!</v>
      </c>
      <c r="C88" s="51">
        <f t="shared" si="3"/>
        <v>83</v>
      </c>
      <c r="D88" s="290" t="e">
        <f ca="1">VLOOKUP(VLOOKUP($B88,KOMBI!$A:$H,3,FALSE),data!$I$27:$J$29,2,FALSE)</f>
        <v>#NUM!</v>
      </c>
      <c r="E88" s="290" t="e">
        <f ca="1">VLOOKUP(VLOOKUP($B88,KOMBI!$A:$H,2,FALSE),data!$I$21:$J$23,2,FALSE)</f>
        <v>#NUM!</v>
      </c>
      <c r="F88" s="290" t="e">
        <f ca="1">VLOOKUP(VLOOKUP($B88,KOMBI!$A:$H,5,FALSE),data!$I$39:$J$41,2,FALSE)</f>
        <v>#NUM!</v>
      </c>
      <c r="G88" s="290" t="e">
        <f ca="1">VLOOKUP(VLOOKUP($B88,KOMBI!$A:$H,4,FALSE),data!$I$32:$J$36,2,FALSE)</f>
        <v>#NUM!</v>
      </c>
      <c r="I88" s="51" t="e">
        <f ca="1">VLOOKUP($B88,KOMBI!$A:$Z,MATCH(I$5,KOMBI!$10:$10,0),FALSE)</f>
        <v>#NUM!</v>
      </c>
      <c r="J88" s="291" t="e">
        <f ca="1">VLOOKUP($B88,KOMBI!$A:$ADS,J$3,FALSE)</f>
        <v>#NUM!</v>
      </c>
      <c r="K88" s="291" t="e">
        <f ca="1">VLOOKUP($B88,KOMBI!$A:$ADS,K$3,FALSE)</f>
        <v>#NUM!</v>
      </c>
      <c r="L88" s="291" t="e">
        <f ca="1">VLOOKUP($B88,KOMBI!$A:$ADS,L$3,FALSE)</f>
        <v>#NUM!</v>
      </c>
      <c r="M88" s="291" t="e">
        <f ca="1">VLOOKUP($B88,KOMBI!$A:$ADS,M$3,FALSE)</f>
        <v>#NUM!</v>
      </c>
      <c r="N88" s="291" t="e">
        <f ca="1">VLOOKUP($B88,KOMBI!$A:$ADS,N$3,FALSE)</f>
        <v>#NUM!</v>
      </c>
      <c r="O88" s="291" t="e">
        <f ca="1">VLOOKUP($B88,KOMBI!$A:$ADS,O$3,FALSE)</f>
        <v>#NUM!</v>
      </c>
      <c r="P88" s="291" t="e">
        <f ca="1">VLOOKUP($B88,KOMBI!$A:$ADS,P$3,FALSE)</f>
        <v>#NUM!</v>
      </c>
      <c r="Q88" s="292" t="e">
        <f t="array" aca="1" ref="Q88" ca="1">VLOOKUP($B88,KOMBI!$A:$ADS,MATCH(Tulem!Q$3,KOMBI!$A$1:$ADS$1,0),FALSE)</f>
        <v>#NUM!</v>
      </c>
      <c r="S88" s="332" t="e">
        <f t="array" aca="1" ref="S88" ca="1">VLOOKUP($B88,KOMBI!$A:$ADS,MATCH(Tulem!S$3,KOMBI!$A$1:$ADS$1,0),FALSE)</f>
        <v>#NUM!</v>
      </c>
      <c r="T88" s="293" t="e">
        <f ca="1">VLOOKUP($B88,KOMBI!$A:$ADS,T$3,FALSE)</f>
        <v>#NUM!</v>
      </c>
      <c r="U88" s="293" t="e">
        <f ca="1">VLOOKUP($B88,KOMBI!$A:$ADS,U$3,FALSE)</f>
        <v>#NUM!</v>
      </c>
      <c r="V88" s="293" t="e">
        <f ca="1">VLOOKUP($B88,KOMBI!$A:$ADS,V$3,FALSE)</f>
        <v>#NUM!</v>
      </c>
      <c r="W88" s="293"/>
      <c r="X88" s="293" t="e">
        <f ca="1">VLOOKUP($B88,KOMBI!$A:$ADS,X$3,FALSE)</f>
        <v>#NUM!</v>
      </c>
      <c r="Y88" s="293" t="e">
        <f ca="1">VLOOKUP($B88,KOMBI!$A:$ADS,Y$3,FALSE)</f>
        <v>#NUM!</v>
      </c>
      <c r="Z88" s="293" t="e">
        <f ca="1">VLOOKUP($B88,KOMBI!$A:$ADS,Z$3,FALSE)</f>
        <v>#NUM!</v>
      </c>
      <c r="AA88" s="294"/>
      <c r="AB88" s="293" t="e">
        <f ca="1">VLOOKUP($B88,KOMBI!$A:$ADS,AB$3,FALSE)</f>
        <v>#NUM!</v>
      </c>
      <c r="AC88" s="293" t="e">
        <f ca="1">VLOOKUP($B88,KOMBI!$A:$ADS,AC$3,FALSE)-AB88</f>
        <v>#NUM!</v>
      </c>
      <c r="AD88" s="293" t="e">
        <f ca="1">VLOOKUP($B88,KOMBI!$A:$ADS,AD$3,FALSE)</f>
        <v>#NUM!</v>
      </c>
      <c r="AE88" s="293" t="e">
        <f ca="1">VLOOKUP($B88,KOMBI!$A:$ADS,AE$3,FALSE)</f>
        <v>#NUM!</v>
      </c>
      <c r="AF88" s="293" t="e">
        <f ca="1">VLOOKUP($B88,KOMBI!$A:$ADS,AF$3,FALSE)-AE88</f>
        <v>#NUM!</v>
      </c>
      <c r="AG88" s="293" t="e">
        <f ca="1">VLOOKUP($B88,KOMBI!$A:$ADS,AG$3,FALSE)</f>
        <v>#NUM!</v>
      </c>
      <c r="AI88" s="293" t="e">
        <f t="array" aca="1" ref="AI88" ca="1">VLOOKUP($B88,KOMBI!$A:$ADS,MATCH(Tulem!AI$3,KOMBI!$A$1:$ADS$1,0),FALSE)</f>
        <v>#NUM!</v>
      </c>
      <c r="AJ88" s="293" t="e">
        <f t="array" aca="1" ref="AJ88" ca="1">VLOOKUP($B88,KOMBI!$A:$ADS,MATCH(Tulem!AJ$3,KOMBI!$A$1:$ADS$1,0),FALSE)</f>
        <v>#NUM!</v>
      </c>
      <c r="AK88" s="293" t="e">
        <f t="array" aca="1" ref="AK88" ca="1">VLOOKUP($B88,KOMBI!$A:$ADS,MATCH(Tulem!AK$3,KOMBI!$A$1:$ADS$1,0),FALSE)</f>
        <v>#NUM!</v>
      </c>
      <c r="AL88" s="293" t="e">
        <f t="array" aca="1" ref="AL88" ca="1">VLOOKUP($B88,KOMBI!$A:$ADS,MATCH(Tulem!AL$3,KOMBI!$A$1:$ADS$1,0),FALSE)</f>
        <v>#NUM!</v>
      </c>
      <c r="AM88" s="293" t="e">
        <f t="array" aca="1" ref="AM88" ca="1">VLOOKUP($B88,KOMBI!$A:$ADS,MATCH(Tulem!AM$3,KOMBI!$A$1:$ADS$1,0),FALSE)</f>
        <v>#NUM!</v>
      </c>
      <c r="AN88" s="293" t="e">
        <f t="array" aca="1" ref="AN88" ca="1">VLOOKUP($B88,KOMBI!$A:$ADS,MATCH(Tulem!AN$3,KOMBI!$A$1:$ADS$1,0),FALSE)</f>
        <v>#NUM!</v>
      </c>
      <c r="AO88" s="293" t="e">
        <f t="array" aca="1" ref="AO88" ca="1">VLOOKUP($B88,KOMBI!$A:$ADS,MATCH(Tulem!AO$3,KOMBI!$A$1:$ADS$1,0),FALSE)</f>
        <v>#NUM!</v>
      </c>
      <c r="AP88" s="293" t="e">
        <f t="array" aca="1" ref="AP88" ca="1">VLOOKUP($B88,KOMBI!$A:$ADS,MATCH(Tulem!AP$3,KOMBI!$A$1:$ADS$1,0),FALSE)</f>
        <v>#NUM!</v>
      </c>
      <c r="AQ88" s="293" t="e">
        <f t="array" aca="1" ref="AQ88" ca="1">VLOOKUP($B88,KOMBI!$A:$ADS,MATCH(Tulem!AQ$3,KOMBI!$A$1:$ADS$1,0),FALSE)</f>
        <v>#NUM!</v>
      </c>
      <c r="AR88" s="293" t="e">
        <f t="array" aca="1" ref="AR88" ca="1">VLOOKUP($B88,KOMBI!$A:$ADS,MATCH(Tulem!AR$3,KOMBI!$A$1:$ADS$1,0),FALSE)</f>
        <v>#NUM!</v>
      </c>
      <c r="AS88" s="293" t="e">
        <f t="array" aca="1" ref="AS88" ca="1">VLOOKUP($B88,KOMBI!$A:$ADS,MATCH(Tulem!AS$3,KOMBI!$A$1:$ADS$1,0),FALSE)</f>
        <v>#NUM!</v>
      </c>
      <c r="AT88" s="293" t="e">
        <f t="array" aca="1" ref="AT88" ca="1">VLOOKUP($B88,KOMBI!$A:$ADS,MATCH(Tulem!AT$3,KOMBI!$A$1:$ADS$1,0),FALSE)</f>
        <v>#NUM!</v>
      </c>
      <c r="AU88" s="293" t="e">
        <f t="array" aca="1" ref="AU88" ca="1">VLOOKUP($B88,KOMBI!$A:$ADS,MATCH(Tulem!AU$3,KOMBI!$A$1:$ADS$1,0),FALSE)</f>
        <v>#NUM!</v>
      </c>
      <c r="AV88" s="293" t="e">
        <f t="shared" ca="1" si="4"/>
        <v>#NUM!</v>
      </c>
      <c r="AW88" s="293" t="e">
        <f t="shared" ca="1" si="5"/>
        <v>#NUM!</v>
      </c>
      <c r="AX88" s="291" t="e">
        <f ca="1">VLOOKUP($B88,KOMBI!$A:$ACA,MATCH(AX$5,KOMBI!$10:$10,0),FALSE)</f>
        <v>#NUM!</v>
      </c>
      <c r="AY88" s="292" t="e">
        <f t="array" aca="1" ref="AY88" ca="1">VLOOKUP($B88,KOMBI!$A:$ADS,MATCH(Tulem!AY$3,KOMBI!$A$1:$ADS$1,0),FALSE)</f>
        <v>#NUM!</v>
      </c>
      <c r="AZ88" s="292" t="e">
        <f t="array" aca="1" ref="AZ88" ca="1">VLOOKUP($B88,KOMBI!$A:$ADS,MATCH(Tulem!AZ$3,KOMBI!$A$1:$ADS$1,0),FALSE)</f>
        <v>#NUM!</v>
      </c>
      <c r="BA88" s="292" t="e">
        <f t="array" aca="1" ref="BA88" ca="1">VLOOKUP($B88,KOMBI!$A:$ADS,MATCH(Tulem!BA$3,KOMBI!$A$1:$ADS$1,0),FALSE)</f>
        <v>#NUM!</v>
      </c>
      <c r="BB88" s="292" t="e">
        <f t="array" aca="1" ref="BB88" ca="1">VLOOKUP($B88,KOMBI!$A:$ADS,MATCH(Tulem!BB$3,KOMBI!$A$1:$ADS$1,0),FALSE)</f>
        <v>#NUM!</v>
      </c>
      <c r="BC88" s="292" t="e">
        <f t="array" aca="1" ref="BC88" ca="1">VLOOKUP($B88,KOMBI!$A:$ADS,MATCH(Tulem!BC$3,KOMBI!$A$1:$ADS$1,0),FALSE)</f>
        <v>#NUM!</v>
      </c>
      <c r="BD88" s="292" t="e">
        <f t="array" aca="1" ref="BD88" ca="1">VLOOKUP($B88,KOMBI!$A:$ADS,MATCH(Tulem!BD$3,KOMBI!$A$1:$ADS$1,0),FALSE)</f>
        <v>#NUM!</v>
      </c>
      <c r="BE88" s="292" t="e">
        <f t="array" aca="1" ref="BE88" ca="1">VLOOKUP($B88,KOMBI!$A:$ADS,MATCH(Tulem!BE$3,KOMBI!$A$1:$ADS$1,0),FALSE)</f>
        <v>#NUM!</v>
      </c>
      <c r="BF88" s="292" t="e">
        <f t="array" aca="1" ref="BF88" ca="1">VLOOKUP($B88,KOMBI!$A:$ADS,MATCH(Tulem!BF$3,KOMBI!$A$1:$ADS$1,0),FALSE)</f>
        <v>#NUM!</v>
      </c>
      <c r="BG88" s="292" t="e">
        <f t="array" aca="1" ref="BG88" ca="1">VLOOKUP($B88,KOMBI!$A:$ADS,MATCH(Tulem!BG$3,KOMBI!$A$1:$ADS$1,0),FALSE)</f>
        <v>#NUM!</v>
      </c>
      <c r="BH88" s="292" t="e">
        <f t="array" aca="1" ref="BH88" ca="1">VLOOKUP($B88,KOMBI!$A:$ADS,MATCH(Tulem!BH$3,KOMBI!$A$1:$ADS$1,0),FALSE)</f>
        <v>#NUM!</v>
      </c>
      <c r="BI88" s="292" t="e">
        <f t="array" aca="1" ref="BI88" ca="1">VLOOKUP($B88,KOMBI!$A:$ADS,MATCH(Tulem!BI$3,KOMBI!$A$1:$ADS$1,0),FALSE)</f>
        <v>#NUM!</v>
      </c>
      <c r="BJ88" s="292" t="e">
        <f t="array" aca="1" ref="BJ88" ca="1">VLOOKUP($B88,KOMBI!$A:$ADS,MATCH(Tulem!BJ$3,KOMBI!$A$1:$ADS$1,0),FALSE)</f>
        <v>#NUM!</v>
      </c>
      <c r="BK88" s="292" t="e">
        <f t="array" aca="1" ref="BK88" ca="1">VLOOKUP($B88,KOMBI!$A:$ADS,MATCH(Tulem!BK$3,KOMBI!$A$1:$ADS$1,0),FALSE)</f>
        <v>#NUM!</v>
      </c>
      <c r="BL88" s="292" t="e">
        <f t="array" aca="1" ref="BL88" ca="1">VLOOKUP($B88,KOMBI!$A:$ADS,MATCH(Tulem!BL$3,KOMBI!$A$1:$ADS$1,0),FALSE)</f>
        <v>#NUM!</v>
      </c>
      <c r="BM88" s="292" t="e">
        <f t="array" aca="1" ref="BM88" ca="1">VLOOKUP($B88,KOMBI!$A:$ADS,MATCH(Tulem!BM$3,KOMBI!$A$1:$ADS$1,0),FALSE)</f>
        <v>#NUM!</v>
      </c>
      <c r="BN88" s="292" t="e">
        <f t="array" aca="1" ref="BN88" ca="1">VLOOKUP($B88,KOMBI!$A:$ADS,MATCH(Tulem!BN$3,KOMBI!$A$1:$ADS$1,0),FALSE)</f>
        <v>#NUM!</v>
      </c>
      <c r="BO88" s="292" t="e">
        <f t="array" aca="1" ref="BO88" ca="1">VLOOKUP($B88,KOMBI!$A:$ADS,MATCH(Tulem!BO$3,KOMBI!$A$1:$ADS$1,0),FALSE)</f>
        <v>#NUM!</v>
      </c>
      <c r="BP88" s="291"/>
      <c r="BQ88" s="292" t="e">
        <f t="array" aca="1" ref="BQ88" ca="1">VLOOKUP($B88,KOMBI!$A:$ADS,MATCH(Tulem!BQ$3,KOMBI!$A$1:$ADS$1,0),FALSE)</f>
        <v>#NUM!</v>
      </c>
      <c r="BR88" s="292" t="e">
        <f t="array" aca="1" ref="BR88" ca="1">VLOOKUP($B88,KOMBI!$A:$ADS,MATCH(Tulem!BR$3,KOMBI!$A$1:$ADS$1,0),FALSE)</f>
        <v>#NUM!</v>
      </c>
      <c r="BS88" s="292" t="e">
        <f t="array" aca="1" ref="BS88" ca="1">VLOOKUP($B88,KOMBI!$A:$ADS,MATCH(Tulem!BS$3,KOMBI!$A$1:$ADS$1,0),FALSE)</f>
        <v>#NUM!</v>
      </c>
      <c r="BT88" s="292" t="e">
        <f t="array" aca="1" ref="BT88" ca="1">VLOOKUP($B88,KOMBI!$A:$ADS,MATCH(Tulem!BT$3,KOMBI!$A$1:$ADS$1,0),FALSE)</f>
        <v>#NUM!</v>
      </c>
      <c r="BU88" s="292" t="e">
        <f t="array" aca="1" ref="BU88" ca="1">VLOOKUP($B88,KOMBI!$A:$ADS,MATCH(Tulem!BU$3,KOMBI!$A$1:$ADS$1,0),FALSE)</f>
        <v>#NUM!</v>
      </c>
      <c r="BV88" s="291"/>
      <c r="BW88" s="292" t="e">
        <f t="array" aca="1" ref="BW88" ca="1">VLOOKUP($B88,KOMBI!$A:$ADS,MATCH(Tulem!BW$3,KOMBI!$A$1:$ADS$1,0),FALSE)</f>
        <v>#NUM!</v>
      </c>
      <c r="BX88" s="291"/>
      <c r="BY88" s="291"/>
      <c r="BZ88" s="292" t="e">
        <f t="array" aca="1" ref="BZ88" ca="1">VLOOKUP($B88,KOMBI!$A:$ADS,MATCH(Tulem!BZ$3,KOMBI!$A$1:$ADS$1,0),FALSE)</f>
        <v>#NUM!</v>
      </c>
      <c r="CA88" s="292" t="e">
        <f t="array" aca="1" ref="CA88" ca="1">VLOOKUP($B88,KOMBI!$A:$ADS,MATCH(Tulem!CA$3,KOMBI!$A$1:$ADS$1,0),FALSE)</f>
        <v>#NUM!</v>
      </c>
      <c r="CB88" s="292" t="e">
        <f t="array" aca="1" ref="CB88" ca="1">VLOOKUP($B88,KOMBI!$A:$ADS,MATCH(Tulem!CB$3,KOMBI!$A$1:$ADS$1,0),FALSE)</f>
        <v>#NUM!</v>
      </c>
      <c r="CC88" s="292" t="e">
        <f t="array" aca="1" ref="CC88" ca="1">VLOOKUP($B88,KOMBI!$A:$ADS,MATCH(Tulem!CC$3,KOMBI!$A$1:$ADS$1,0),FALSE)</f>
        <v>#NUM!</v>
      </c>
      <c r="CD88" s="292" t="e">
        <f t="array" aca="1" ref="CD88" ca="1">VLOOKUP($B88,KOMBI!$A:$ADS,MATCH(Tulem!CD$3,KOMBI!$A$1:$ADS$1,0),FALSE)</f>
        <v>#NUM!</v>
      </c>
      <c r="CF88" s="51" t="e">
        <f ca="1">VLOOKUP($B88,KOMBI!$A:$ACG,MATCH(CF$5,KOMBI!$10:$10,0),FALSE)</f>
        <v>#NUM!</v>
      </c>
    </row>
    <row r="89" spans="1:84" x14ac:dyDescent="0.2">
      <c r="A89" s="51">
        <v>84</v>
      </c>
      <c r="B89" s="51" t="e">
        <f ca="1">KOMBI!GI94</f>
        <v>#NUM!</v>
      </c>
      <c r="C89" s="51">
        <f t="shared" si="3"/>
        <v>84</v>
      </c>
      <c r="D89" s="290" t="e">
        <f ca="1">VLOOKUP(VLOOKUP($B89,KOMBI!$A:$H,3,FALSE),data!$I$27:$J$29,2,FALSE)</f>
        <v>#NUM!</v>
      </c>
      <c r="E89" s="290" t="e">
        <f ca="1">VLOOKUP(VLOOKUP($B89,KOMBI!$A:$H,2,FALSE),data!$I$21:$J$23,2,FALSE)</f>
        <v>#NUM!</v>
      </c>
      <c r="F89" s="290" t="e">
        <f ca="1">VLOOKUP(VLOOKUP($B89,KOMBI!$A:$H,5,FALSE),data!$I$39:$J$41,2,FALSE)</f>
        <v>#NUM!</v>
      </c>
      <c r="G89" s="290" t="e">
        <f ca="1">VLOOKUP(VLOOKUP($B89,KOMBI!$A:$H,4,FALSE),data!$I$32:$J$36,2,FALSE)</f>
        <v>#NUM!</v>
      </c>
      <c r="I89" s="51" t="e">
        <f ca="1">VLOOKUP($B89,KOMBI!$A:$Z,MATCH(I$5,KOMBI!$10:$10,0),FALSE)</f>
        <v>#NUM!</v>
      </c>
      <c r="J89" s="291" t="e">
        <f ca="1">VLOOKUP($B89,KOMBI!$A:$ADS,J$3,FALSE)</f>
        <v>#NUM!</v>
      </c>
      <c r="K89" s="291" t="e">
        <f ca="1">VLOOKUP($B89,KOMBI!$A:$ADS,K$3,FALSE)</f>
        <v>#NUM!</v>
      </c>
      <c r="L89" s="291" t="e">
        <f ca="1">VLOOKUP($B89,KOMBI!$A:$ADS,L$3,FALSE)</f>
        <v>#NUM!</v>
      </c>
      <c r="M89" s="291" t="e">
        <f ca="1">VLOOKUP($B89,KOMBI!$A:$ADS,M$3,FALSE)</f>
        <v>#NUM!</v>
      </c>
      <c r="N89" s="291" t="e">
        <f ca="1">VLOOKUP($B89,KOMBI!$A:$ADS,N$3,FALSE)</f>
        <v>#NUM!</v>
      </c>
      <c r="O89" s="291" t="e">
        <f ca="1">VLOOKUP($B89,KOMBI!$A:$ADS,O$3,FALSE)</f>
        <v>#NUM!</v>
      </c>
      <c r="P89" s="291" t="e">
        <f ca="1">VLOOKUP($B89,KOMBI!$A:$ADS,P$3,FALSE)</f>
        <v>#NUM!</v>
      </c>
      <c r="Q89" s="292" t="e">
        <f t="array" aca="1" ref="Q89" ca="1">VLOOKUP($B89,KOMBI!$A:$ADS,MATCH(Tulem!Q$3,KOMBI!$A$1:$ADS$1,0),FALSE)</f>
        <v>#NUM!</v>
      </c>
      <c r="S89" s="332" t="e">
        <f t="array" aca="1" ref="S89" ca="1">VLOOKUP($B89,KOMBI!$A:$ADS,MATCH(Tulem!S$3,KOMBI!$A$1:$ADS$1,0),FALSE)</f>
        <v>#NUM!</v>
      </c>
      <c r="T89" s="293" t="e">
        <f ca="1">VLOOKUP($B89,KOMBI!$A:$ADS,T$3,FALSE)</f>
        <v>#NUM!</v>
      </c>
      <c r="U89" s="293" t="e">
        <f ca="1">VLOOKUP($B89,KOMBI!$A:$ADS,U$3,FALSE)</f>
        <v>#NUM!</v>
      </c>
      <c r="V89" s="293" t="e">
        <f ca="1">VLOOKUP($B89,KOMBI!$A:$ADS,V$3,FALSE)</f>
        <v>#NUM!</v>
      </c>
      <c r="W89" s="293"/>
      <c r="X89" s="293" t="e">
        <f ca="1">VLOOKUP($B89,KOMBI!$A:$ADS,X$3,FALSE)</f>
        <v>#NUM!</v>
      </c>
      <c r="Y89" s="293" t="e">
        <f ca="1">VLOOKUP($B89,KOMBI!$A:$ADS,Y$3,FALSE)</f>
        <v>#NUM!</v>
      </c>
      <c r="Z89" s="293" t="e">
        <f ca="1">VLOOKUP($B89,KOMBI!$A:$ADS,Z$3,FALSE)</f>
        <v>#NUM!</v>
      </c>
      <c r="AA89" s="294"/>
      <c r="AB89" s="293" t="e">
        <f ca="1">VLOOKUP($B89,KOMBI!$A:$ADS,AB$3,FALSE)</f>
        <v>#NUM!</v>
      </c>
      <c r="AC89" s="293" t="e">
        <f ca="1">VLOOKUP($B89,KOMBI!$A:$ADS,AC$3,FALSE)-AB89</f>
        <v>#NUM!</v>
      </c>
      <c r="AD89" s="293" t="e">
        <f ca="1">VLOOKUP($B89,KOMBI!$A:$ADS,AD$3,FALSE)</f>
        <v>#NUM!</v>
      </c>
      <c r="AE89" s="293" t="e">
        <f ca="1">VLOOKUP($B89,KOMBI!$A:$ADS,AE$3,FALSE)</f>
        <v>#NUM!</v>
      </c>
      <c r="AF89" s="293" t="e">
        <f ca="1">VLOOKUP($B89,KOMBI!$A:$ADS,AF$3,FALSE)-AE89</f>
        <v>#NUM!</v>
      </c>
      <c r="AG89" s="293" t="e">
        <f ca="1">VLOOKUP($B89,KOMBI!$A:$ADS,AG$3,FALSE)</f>
        <v>#NUM!</v>
      </c>
      <c r="AI89" s="293" t="e">
        <f t="array" aca="1" ref="AI89" ca="1">VLOOKUP($B89,KOMBI!$A:$ADS,MATCH(Tulem!AI$3,KOMBI!$A$1:$ADS$1,0),FALSE)</f>
        <v>#NUM!</v>
      </c>
      <c r="AJ89" s="293" t="e">
        <f t="array" aca="1" ref="AJ89" ca="1">VLOOKUP($B89,KOMBI!$A:$ADS,MATCH(Tulem!AJ$3,KOMBI!$A$1:$ADS$1,0),FALSE)</f>
        <v>#NUM!</v>
      </c>
      <c r="AK89" s="293" t="e">
        <f t="array" aca="1" ref="AK89" ca="1">VLOOKUP($B89,KOMBI!$A:$ADS,MATCH(Tulem!AK$3,KOMBI!$A$1:$ADS$1,0),FALSE)</f>
        <v>#NUM!</v>
      </c>
      <c r="AL89" s="293" t="e">
        <f t="array" aca="1" ref="AL89" ca="1">VLOOKUP($B89,KOMBI!$A:$ADS,MATCH(Tulem!AL$3,KOMBI!$A$1:$ADS$1,0),FALSE)</f>
        <v>#NUM!</v>
      </c>
      <c r="AM89" s="293" t="e">
        <f t="array" aca="1" ref="AM89" ca="1">VLOOKUP($B89,KOMBI!$A:$ADS,MATCH(Tulem!AM$3,KOMBI!$A$1:$ADS$1,0),FALSE)</f>
        <v>#NUM!</v>
      </c>
      <c r="AN89" s="293" t="e">
        <f t="array" aca="1" ref="AN89" ca="1">VLOOKUP($B89,KOMBI!$A:$ADS,MATCH(Tulem!AN$3,KOMBI!$A$1:$ADS$1,0),FALSE)</f>
        <v>#NUM!</v>
      </c>
      <c r="AO89" s="293" t="e">
        <f t="array" aca="1" ref="AO89" ca="1">VLOOKUP($B89,KOMBI!$A:$ADS,MATCH(Tulem!AO$3,KOMBI!$A$1:$ADS$1,0),FALSE)</f>
        <v>#NUM!</v>
      </c>
      <c r="AP89" s="293" t="e">
        <f t="array" aca="1" ref="AP89" ca="1">VLOOKUP($B89,KOMBI!$A:$ADS,MATCH(Tulem!AP$3,KOMBI!$A$1:$ADS$1,0),FALSE)</f>
        <v>#NUM!</v>
      </c>
      <c r="AQ89" s="293" t="e">
        <f t="array" aca="1" ref="AQ89" ca="1">VLOOKUP($B89,KOMBI!$A:$ADS,MATCH(Tulem!AQ$3,KOMBI!$A$1:$ADS$1,0),FALSE)</f>
        <v>#NUM!</v>
      </c>
      <c r="AR89" s="293" t="e">
        <f t="array" aca="1" ref="AR89" ca="1">VLOOKUP($B89,KOMBI!$A:$ADS,MATCH(Tulem!AR$3,KOMBI!$A$1:$ADS$1,0),FALSE)</f>
        <v>#NUM!</v>
      </c>
      <c r="AS89" s="293" t="e">
        <f t="array" aca="1" ref="AS89" ca="1">VLOOKUP($B89,KOMBI!$A:$ADS,MATCH(Tulem!AS$3,KOMBI!$A$1:$ADS$1,0),FALSE)</f>
        <v>#NUM!</v>
      </c>
      <c r="AT89" s="293" t="e">
        <f t="array" aca="1" ref="AT89" ca="1">VLOOKUP($B89,KOMBI!$A:$ADS,MATCH(Tulem!AT$3,KOMBI!$A$1:$ADS$1,0),FALSE)</f>
        <v>#NUM!</v>
      </c>
      <c r="AU89" s="293" t="e">
        <f t="array" aca="1" ref="AU89" ca="1">VLOOKUP($B89,KOMBI!$A:$ADS,MATCH(Tulem!AU$3,KOMBI!$A$1:$ADS$1,0),FALSE)</f>
        <v>#NUM!</v>
      </c>
      <c r="AV89" s="293" t="e">
        <f t="shared" ca="1" si="4"/>
        <v>#NUM!</v>
      </c>
      <c r="AW89" s="293" t="e">
        <f t="shared" ca="1" si="5"/>
        <v>#NUM!</v>
      </c>
      <c r="AX89" s="291" t="e">
        <f ca="1">VLOOKUP($B89,KOMBI!$A:$ACA,MATCH(AX$5,KOMBI!$10:$10,0),FALSE)</f>
        <v>#NUM!</v>
      </c>
      <c r="AY89" s="292" t="e">
        <f t="array" aca="1" ref="AY89" ca="1">VLOOKUP($B89,KOMBI!$A:$ADS,MATCH(Tulem!AY$3,KOMBI!$A$1:$ADS$1,0),FALSE)</f>
        <v>#NUM!</v>
      </c>
      <c r="AZ89" s="292" t="e">
        <f t="array" aca="1" ref="AZ89" ca="1">VLOOKUP($B89,KOMBI!$A:$ADS,MATCH(Tulem!AZ$3,KOMBI!$A$1:$ADS$1,0),FALSE)</f>
        <v>#NUM!</v>
      </c>
      <c r="BA89" s="292" t="e">
        <f t="array" aca="1" ref="BA89" ca="1">VLOOKUP($B89,KOMBI!$A:$ADS,MATCH(Tulem!BA$3,KOMBI!$A$1:$ADS$1,0),FALSE)</f>
        <v>#NUM!</v>
      </c>
      <c r="BB89" s="292" t="e">
        <f t="array" aca="1" ref="BB89" ca="1">VLOOKUP($B89,KOMBI!$A:$ADS,MATCH(Tulem!BB$3,KOMBI!$A$1:$ADS$1,0),FALSE)</f>
        <v>#NUM!</v>
      </c>
      <c r="BC89" s="292" t="e">
        <f t="array" aca="1" ref="BC89" ca="1">VLOOKUP($B89,KOMBI!$A:$ADS,MATCH(Tulem!BC$3,KOMBI!$A$1:$ADS$1,0),FALSE)</f>
        <v>#NUM!</v>
      </c>
      <c r="BD89" s="292" t="e">
        <f t="array" aca="1" ref="BD89" ca="1">VLOOKUP($B89,KOMBI!$A:$ADS,MATCH(Tulem!BD$3,KOMBI!$A$1:$ADS$1,0),FALSE)</f>
        <v>#NUM!</v>
      </c>
      <c r="BE89" s="292" t="e">
        <f t="array" aca="1" ref="BE89" ca="1">VLOOKUP($B89,KOMBI!$A:$ADS,MATCH(Tulem!BE$3,KOMBI!$A$1:$ADS$1,0),FALSE)</f>
        <v>#NUM!</v>
      </c>
      <c r="BF89" s="292" t="e">
        <f t="array" aca="1" ref="BF89" ca="1">VLOOKUP($B89,KOMBI!$A:$ADS,MATCH(Tulem!BF$3,KOMBI!$A$1:$ADS$1,0),FALSE)</f>
        <v>#NUM!</v>
      </c>
      <c r="BG89" s="292" t="e">
        <f t="array" aca="1" ref="BG89" ca="1">VLOOKUP($B89,KOMBI!$A:$ADS,MATCH(Tulem!BG$3,KOMBI!$A$1:$ADS$1,0),FALSE)</f>
        <v>#NUM!</v>
      </c>
      <c r="BH89" s="292" t="e">
        <f t="array" aca="1" ref="BH89" ca="1">VLOOKUP($B89,KOMBI!$A:$ADS,MATCH(Tulem!BH$3,KOMBI!$A$1:$ADS$1,0),FALSE)</f>
        <v>#NUM!</v>
      </c>
      <c r="BI89" s="292" t="e">
        <f t="array" aca="1" ref="BI89" ca="1">VLOOKUP($B89,KOMBI!$A:$ADS,MATCH(Tulem!BI$3,KOMBI!$A$1:$ADS$1,0),FALSE)</f>
        <v>#NUM!</v>
      </c>
      <c r="BJ89" s="292" t="e">
        <f t="array" aca="1" ref="BJ89" ca="1">VLOOKUP($B89,KOMBI!$A:$ADS,MATCH(Tulem!BJ$3,KOMBI!$A$1:$ADS$1,0),FALSE)</f>
        <v>#NUM!</v>
      </c>
      <c r="BK89" s="292" t="e">
        <f t="array" aca="1" ref="BK89" ca="1">VLOOKUP($B89,KOMBI!$A:$ADS,MATCH(Tulem!BK$3,KOMBI!$A$1:$ADS$1,0),FALSE)</f>
        <v>#NUM!</v>
      </c>
      <c r="BL89" s="292" t="e">
        <f t="array" aca="1" ref="BL89" ca="1">VLOOKUP($B89,KOMBI!$A:$ADS,MATCH(Tulem!BL$3,KOMBI!$A$1:$ADS$1,0),FALSE)</f>
        <v>#NUM!</v>
      </c>
      <c r="BM89" s="292" t="e">
        <f t="array" aca="1" ref="BM89" ca="1">VLOOKUP($B89,KOMBI!$A:$ADS,MATCH(Tulem!BM$3,KOMBI!$A$1:$ADS$1,0),FALSE)</f>
        <v>#NUM!</v>
      </c>
      <c r="BN89" s="292" t="e">
        <f t="array" aca="1" ref="BN89" ca="1">VLOOKUP($B89,KOMBI!$A:$ADS,MATCH(Tulem!BN$3,KOMBI!$A$1:$ADS$1,0),FALSE)</f>
        <v>#NUM!</v>
      </c>
      <c r="BO89" s="292" t="e">
        <f t="array" aca="1" ref="BO89" ca="1">VLOOKUP($B89,KOMBI!$A:$ADS,MATCH(Tulem!BO$3,KOMBI!$A$1:$ADS$1,0),FALSE)</f>
        <v>#NUM!</v>
      </c>
      <c r="BP89" s="291"/>
      <c r="BQ89" s="292" t="e">
        <f t="array" aca="1" ref="BQ89" ca="1">VLOOKUP($B89,KOMBI!$A:$ADS,MATCH(Tulem!BQ$3,KOMBI!$A$1:$ADS$1,0),FALSE)</f>
        <v>#NUM!</v>
      </c>
      <c r="BR89" s="292" t="e">
        <f t="array" aca="1" ref="BR89" ca="1">VLOOKUP($B89,KOMBI!$A:$ADS,MATCH(Tulem!BR$3,KOMBI!$A$1:$ADS$1,0),FALSE)</f>
        <v>#NUM!</v>
      </c>
      <c r="BS89" s="292" t="e">
        <f t="array" aca="1" ref="BS89" ca="1">VLOOKUP($B89,KOMBI!$A:$ADS,MATCH(Tulem!BS$3,KOMBI!$A$1:$ADS$1,0),FALSE)</f>
        <v>#NUM!</v>
      </c>
      <c r="BT89" s="292" t="e">
        <f t="array" aca="1" ref="BT89" ca="1">VLOOKUP($B89,KOMBI!$A:$ADS,MATCH(Tulem!BT$3,KOMBI!$A$1:$ADS$1,0),FALSE)</f>
        <v>#NUM!</v>
      </c>
      <c r="BU89" s="292" t="e">
        <f t="array" aca="1" ref="BU89" ca="1">VLOOKUP($B89,KOMBI!$A:$ADS,MATCH(Tulem!BU$3,KOMBI!$A$1:$ADS$1,0),FALSE)</f>
        <v>#NUM!</v>
      </c>
      <c r="BV89" s="291"/>
      <c r="BW89" s="292" t="e">
        <f t="array" aca="1" ref="BW89" ca="1">VLOOKUP($B89,KOMBI!$A:$ADS,MATCH(Tulem!BW$3,KOMBI!$A$1:$ADS$1,0),FALSE)</f>
        <v>#NUM!</v>
      </c>
      <c r="BX89" s="291"/>
      <c r="BY89" s="291"/>
      <c r="BZ89" s="292" t="e">
        <f t="array" aca="1" ref="BZ89" ca="1">VLOOKUP($B89,KOMBI!$A:$ADS,MATCH(Tulem!BZ$3,KOMBI!$A$1:$ADS$1,0),FALSE)</f>
        <v>#NUM!</v>
      </c>
      <c r="CA89" s="292" t="e">
        <f t="array" aca="1" ref="CA89" ca="1">VLOOKUP($B89,KOMBI!$A:$ADS,MATCH(Tulem!CA$3,KOMBI!$A$1:$ADS$1,0),FALSE)</f>
        <v>#NUM!</v>
      </c>
      <c r="CB89" s="292" t="e">
        <f t="array" aca="1" ref="CB89" ca="1">VLOOKUP($B89,KOMBI!$A:$ADS,MATCH(Tulem!CB$3,KOMBI!$A$1:$ADS$1,0),FALSE)</f>
        <v>#NUM!</v>
      </c>
      <c r="CC89" s="292" t="e">
        <f t="array" aca="1" ref="CC89" ca="1">VLOOKUP($B89,KOMBI!$A:$ADS,MATCH(Tulem!CC$3,KOMBI!$A$1:$ADS$1,0),FALSE)</f>
        <v>#NUM!</v>
      </c>
      <c r="CD89" s="292" t="e">
        <f t="array" aca="1" ref="CD89" ca="1">VLOOKUP($B89,KOMBI!$A:$ADS,MATCH(Tulem!CD$3,KOMBI!$A$1:$ADS$1,0),FALSE)</f>
        <v>#NUM!</v>
      </c>
      <c r="CF89" s="51" t="e">
        <f ca="1">VLOOKUP($B89,KOMBI!$A:$ACG,MATCH(CF$5,KOMBI!$10:$10,0),FALSE)</f>
        <v>#NUM!</v>
      </c>
    </row>
    <row r="90" spans="1:84" x14ac:dyDescent="0.2">
      <c r="A90" s="51">
        <v>85</v>
      </c>
      <c r="B90" s="51" t="e">
        <f ca="1">KOMBI!GI95</f>
        <v>#NUM!</v>
      </c>
      <c r="C90" s="51">
        <f t="shared" si="3"/>
        <v>85</v>
      </c>
      <c r="D90" s="290" t="e">
        <f ca="1">VLOOKUP(VLOOKUP($B90,KOMBI!$A:$H,3,FALSE),data!$I$27:$J$29,2,FALSE)</f>
        <v>#NUM!</v>
      </c>
      <c r="E90" s="290" t="e">
        <f ca="1">VLOOKUP(VLOOKUP($B90,KOMBI!$A:$H,2,FALSE),data!$I$21:$J$23,2,FALSE)</f>
        <v>#NUM!</v>
      </c>
      <c r="F90" s="290" t="e">
        <f ca="1">VLOOKUP(VLOOKUP($B90,KOMBI!$A:$H,5,FALSE),data!$I$39:$J$41,2,FALSE)</f>
        <v>#NUM!</v>
      </c>
      <c r="G90" s="290" t="e">
        <f ca="1">VLOOKUP(VLOOKUP($B90,KOMBI!$A:$H,4,FALSE),data!$I$32:$J$36,2,FALSE)</f>
        <v>#NUM!</v>
      </c>
      <c r="I90" s="51" t="e">
        <f ca="1">VLOOKUP($B90,KOMBI!$A:$Z,MATCH(I$5,KOMBI!$10:$10,0),FALSE)</f>
        <v>#NUM!</v>
      </c>
      <c r="J90" s="291" t="e">
        <f ca="1">VLOOKUP($B90,KOMBI!$A:$ADS,J$3,FALSE)</f>
        <v>#NUM!</v>
      </c>
      <c r="K90" s="291" t="e">
        <f ca="1">VLOOKUP($B90,KOMBI!$A:$ADS,K$3,FALSE)</f>
        <v>#NUM!</v>
      </c>
      <c r="L90" s="291" t="e">
        <f ca="1">VLOOKUP($B90,KOMBI!$A:$ADS,L$3,FALSE)</f>
        <v>#NUM!</v>
      </c>
      <c r="M90" s="291" t="e">
        <f ca="1">VLOOKUP($B90,KOMBI!$A:$ADS,M$3,FALSE)</f>
        <v>#NUM!</v>
      </c>
      <c r="N90" s="291" t="e">
        <f ca="1">VLOOKUP($B90,KOMBI!$A:$ADS,N$3,FALSE)</f>
        <v>#NUM!</v>
      </c>
      <c r="O90" s="291" t="e">
        <f ca="1">VLOOKUP($B90,KOMBI!$A:$ADS,O$3,FALSE)</f>
        <v>#NUM!</v>
      </c>
      <c r="P90" s="291" t="e">
        <f ca="1">VLOOKUP($B90,KOMBI!$A:$ADS,P$3,FALSE)</f>
        <v>#NUM!</v>
      </c>
      <c r="Q90" s="292" t="e">
        <f t="array" aca="1" ref="Q90" ca="1">VLOOKUP($B90,KOMBI!$A:$ADS,MATCH(Tulem!Q$3,KOMBI!$A$1:$ADS$1,0),FALSE)</f>
        <v>#NUM!</v>
      </c>
      <c r="S90" s="332" t="e">
        <f t="array" aca="1" ref="S90" ca="1">VLOOKUP($B90,KOMBI!$A:$ADS,MATCH(Tulem!S$3,KOMBI!$A$1:$ADS$1,0),FALSE)</f>
        <v>#NUM!</v>
      </c>
      <c r="T90" s="293" t="e">
        <f ca="1">VLOOKUP($B90,KOMBI!$A:$ADS,T$3,FALSE)</f>
        <v>#NUM!</v>
      </c>
      <c r="U90" s="293" t="e">
        <f ca="1">VLOOKUP($B90,KOMBI!$A:$ADS,U$3,FALSE)</f>
        <v>#NUM!</v>
      </c>
      <c r="V90" s="293" t="e">
        <f ca="1">VLOOKUP($B90,KOMBI!$A:$ADS,V$3,FALSE)</f>
        <v>#NUM!</v>
      </c>
      <c r="W90" s="293"/>
      <c r="X90" s="293" t="e">
        <f ca="1">VLOOKUP($B90,KOMBI!$A:$ADS,X$3,FALSE)</f>
        <v>#NUM!</v>
      </c>
      <c r="Y90" s="293" t="e">
        <f ca="1">VLOOKUP($B90,KOMBI!$A:$ADS,Y$3,FALSE)</f>
        <v>#NUM!</v>
      </c>
      <c r="Z90" s="293" t="e">
        <f ca="1">VLOOKUP($B90,KOMBI!$A:$ADS,Z$3,FALSE)</f>
        <v>#NUM!</v>
      </c>
      <c r="AA90" s="294"/>
      <c r="AB90" s="293" t="e">
        <f ca="1">VLOOKUP($B90,KOMBI!$A:$ADS,AB$3,FALSE)</f>
        <v>#NUM!</v>
      </c>
      <c r="AC90" s="293" t="e">
        <f ca="1">VLOOKUP($B90,KOMBI!$A:$ADS,AC$3,FALSE)-AB90</f>
        <v>#NUM!</v>
      </c>
      <c r="AD90" s="293" t="e">
        <f ca="1">VLOOKUP($B90,KOMBI!$A:$ADS,AD$3,FALSE)</f>
        <v>#NUM!</v>
      </c>
      <c r="AE90" s="293" t="e">
        <f ca="1">VLOOKUP($B90,KOMBI!$A:$ADS,AE$3,FALSE)</f>
        <v>#NUM!</v>
      </c>
      <c r="AF90" s="293" t="e">
        <f ca="1">VLOOKUP($B90,KOMBI!$A:$ADS,AF$3,FALSE)-AE90</f>
        <v>#NUM!</v>
      </c>
      <c r="AG90" s="293" t="e">
        <f ca="1">VLOOKUP($B90,KOMBI!$A:$ADS,AG$3,FALSE)</f>
        <v>#NUM!</v>
      </c>
      <c r="AI90" s="293" t="e">
        <f t="array" aca="1" ref="AI90" ca="1">VLOOKUP($B90,KOMBI!$A:$ADS,MATCH(Tulem!AI$3,KOMBI!$A$1:$ADS$1,0),FALSE)</f>
        <v>#NUM!</v>
      </c>
      <c r="AJ90" s="293" t="e">
        <f t="array" aca="1" ref="AJ90" ca="1">VLOOKUP($B90,KOMBI!$A:$ADS,MATCH(Tulem!AJ$3,KOMBI!$A$1:$ADS$1,0),FALSE)</f>
        <v>#NUM!</v>
      </c>
      <c r="AK90" s="293" t="e">
        <f t="array" aca="1" ref="AK90" ca="1">VLOOKUP($B90,KOMBI!$A:$ADS,MATCH(Tulem!AK$3,KOMBI!$A$1:$ADS$1,0),FALSE)</f>
        <v>#NUM!</v>
      </c>
      <c r="AL90" s="293" t="e">
        <f t="array" aca="1" ref="AL90" ca="1">VLOOKUP($B90,KOMBI!$A:$ADS,MATCH(Tulem!AL$3,KOMBI!$A$1:$ADS$1,0),FALSE)</f>
        <v>#NUM!</v>
      </c>
      <c r="AM90" s="293" t="e">
        <f t="array" aca="1" ref="AM90" ca="1">VLOOKUP($B90,KOMBI!$A:$ADS,MATCH(Tulem!AM$3,KOMBI!$A$1:$ADS$1,0),FALSE)</f>
        <v>#NUM!</v>
      </c>
      <c r="AN90" s="293" t="e">
        <f t="array" aca="1" ref="AN90" ca="1">VLOOKUP($B90,KOMBI!$A:$ADS,MATCH(Tulem!AN$3,KOMBI!$A$1:$ADS$1,0),FALSE)</f>
        <v>#NUM!</v>
      </c>
      <c r="AO90" s="293" t="e">
        <f t="array" aca="1" ref="AO90" ca="1">VLOOKUP($B90,KOMBI!$A:$ADS,MATCH(Tulem!AO$3,KOMBI!$A$1:$ADS$1,0),FALSE)</f>
        <v>#NUM!</v>
      </c>
      <c r="AP90" s="293" t="e">
        <f t="array" aca="1" ref="AP90" ca="1">VLOOKUP($B90,KOMBI!$A:$ADS,MATCH(Tulem!AP$3,KOMBI!$A$1:$ADS$1,0),FALSE)</f>
        <v>#NUM!</v>
      </c>
      <c r="AQ90" s="293" t="e">
        <f t="array" aca="1" ref="AQ90" ca="1">VLOOKUP($B90,KOMBI!$A:$ADS,MATCH(Tulem!AQ$3,KOMBI!$A$1:$ADS$1,0),FALSE)</f>
        <v>#NUM!</v>
      </c>
      <c r="AR90" s="293" t="e">
        <f t="array" aca="1" ref="AR90" ca="1">VLOOKUP($B90,KOMBI!$A:$ADS,MATCH(Tulem!AR$3,KOMBI!$A$1:$ADS$1,0),FALSE)</f>
        <v>#NUM!</v>
      </c>
      <c r="AS90" s="293" t="e">
        <f t="array" aca="1" ref="AS90" ca="1">VLOOKUP($B90,KOMBI!$A:$ADS,MATCH(Tulem!AS$3,KOMBI!$A$1:$ADS$1,0),FALSE)</f>
        <v>#NUM!</v>
      </c>
      <c r="AT90" s="293" t="e">
        <f t="array" aca="1" ref="AT90" ca="1">VLOOKUP($B90,KOMBI!$A:$ADS,MATCH(Tulem!AT$3,KOMBI!$A$1:$ADS$1,0),FALSE)</f>
        <v>#NUM!</v>
      </c>
      <c r="AU90" s="293" t="e">
        <f t="array" aca="1" ref="AU90" ca="1">VLOOKUP($B90,KOMBI!$A:$ADS,MATCH(Tulem!AU$3,KOMBI!$A$1:$ADS$1,0),FALSE)</f>
        <v>#NUM!</v>
      </c>
      <c r="AV90" s="293" t="e">
        <f t="shared" ca="1" si="4"/>
        <v>#NUM!</v>
      </c>
      <c r="AW90" s="293" t="e">
        <f t="shared" ca="1" si="5"/>
        <v>#NUM!</v>
      </c>
      <c r="AX90" s="291" t="e">
        <f ca="1">VLOOKUP($B90,KOMBI!$A:$ACA,MATCH(AX$5,KOMBI!$10:$10,0),FALSE)</f>
        <v>#NUM!</v>
      </c>
      <c r="AY90" s="292" t="e">
        <f t="array" aca="1" ref="AY90" ca="1">VLOOKUP($B90,KOMBI!$A:$ADS,MATCH(Tulem!AY$3,KOMBI!$A$1:$ADS$1,0),FALSE)</f>
        <v>#NUM!</v>
      </c>
      <c r="AZ90" s="292" t="e">
        <f t="array" aca="1" ref="AZ90" ca="1">VLOOKUP($B90,KOMBI!$A:$ADS,MATCH(Tulem!AZ$3,KOMBI!$A$1:$ADS$1,0),FALSE)</f>
        <v>#NUM!</v>
      </c>
      <c r="BA90" s="292" t="e">
        <f t="array" aca="1" ref="BA90" ca="1">VLOOKUP($B90,KOMBI!$A:$ADS,MATCH(Tulem!BA$3,KOMBI!$A$1:$ADS$1,0),FALSE)</f>
        <v>#NUM!</v>
      </c>
      <c r="BB90" s="292" t="e">
        <f t="array" aca="1" ref="BB90" ca="1">VLOOKUP($B90,KOMBI!$A:$ADS,MATCH(Tulem!BB$3,KOMBI!$A$1:$ADS$1,0),FALSE)</f>
        <v>#NUM!</v>
      </c>
      <c r="BC90" s="292" t="e">
        <f t="array" aca="1" ref="BC90" ca="1">VLOOKUP($B90,KOMBI!$A:$ADS,MATCH(Tulem!BC$3,KOMBI!$A$1:$ADS$1,0),FALSE)</f>
        <v>#NUM!</v>
      </c>
      <c r="BD90" s="292" t="e">
        <f t="array" aca="1" ref="BD90" ca="1">VLOOKUP($B90,KOMBI!$A:$ADS,MATCH(Tulem!BD$3,KOMBI!$A$1:$ADS$1,0),FALSE)</f>
        <v>#NUM!</v>
      </c>
      <c r="BE90" s="292" t="e">
        <f t="array" aca="1" ref="BE90" ca="1">VLOOKUP($B90,KOMBI!$A:$ADS,MATCH(Tulem!BE$3,KOMBI!$A$1:$ADS$1,0),FALSE)</f>
        <v>#NUM!</v>
      </c>
      <c r="BF90" s="292" t="e">
        <f t="array" aca="1" ref="BF90" ca="1">VLOOKUP($B90,KOMBI!$A:$ADS,MATCH(Tulem!BF$3,KOMBI!$A$1:$ADS$1,0),FALSE)</f>
        <v>#NUM!</v>
      </c>
      <c r="BG90" s="292" t="e">
        <f t="array" aca="1" ref="BG90" ca="1">VLOOKUP($B90,KOMBI!$A:$ADS,MATCH(Tulem!BG$3,KOMBI!$A$1:$ADS$1,0),FALSE)</f>
        <v>#NUM!</v>
      </c>
      <c r="BH90" s="292" t="e">
        <f t="array" aca="1" ref="BH90" ca="1">VLOOKUP($B90,KOMBI!$A:$ADS,MATCH(Tulem!BH$3,KOMBI!$A$1:$ADS$1,0),FALSE)</f>
        <v>#NUM!</v>
      </c>
      <c r="BI90" s="292" t="e">
        <f t="array" aca="1" ref="BI90" ca="1">VLOOKUP($B90,KOMBI!$A:$ADS,MATCH(Tulem!BI$3,KOMBI!$A$1:$ADS$1,0),FALSE)</f>
        <v>#NUM!</v>
      </c>
      <c r="BJ90" s="292" t="e">
        <f t="array" aca="1" ref="BJ90" ca="1">VLOOKUP($B90,KOMBI!$A:$ADS,MATCH(Tulem!BJ$3,KOMBI!$A$1:$ADS$1,0),FALSE)</f>
        <v>#NUM!</v>
      </c>
      <c r="BK90" s="292" t="e">
        <f t="array" aca="1" ref="BK90" ca="1">VLOOKUP($B90,KOMBI!$A:$ADS,MATCH(Tulem!BK$3,KOMBI!$A$1:$ADS$1,0),FALSE)</f>
        <v>#NUM!</v>
      </c>
      <c r="BL90" s="292" t="e">
        <f t="array" aca="1" ref="BL90" ca="1">VLOOKUP($B90,KOMBI!$A:$ADS,MATCH(Tulem!BL$3,KOMBI!$A$1:$ADS$1,0),FALSE)</f>
        <v>#NUM!</v>
      </c>
      <c r="BM90" s="292" t="e">
        <f t="array" aca="1" ref="BM90" ca="1">VLOOKUP($B90,KOMBI!$A:$ADS,MATCH(Tulem!BM$3,KOMBI!$A$1:$ADS$1,0),FALSE)</f>
        <v>#NUM!</v>
      </c>
      <c r="BN90" s="292" t="e">
        <f t="array" aca="1" ref="BN90" ca="1">VLOOKUP($B90,KOMBI!$A:$ADS,MATCH(Tulem!BN$3,KOMBI!$A$1:$ADS$1,0),FALSE)</f>
        <v>#NUM!</v>
      </c>
      <c r="BO90" s="292" t="e">
        <f t="array" aca="1" ref="BO90" ca="1">VLOOKUP($B90,KOMBI!$A:$ADS,MATCH(Tulem!BO$3,KOMBI!$A$1:$ADS$1,0),FALSE)</f>
        <v>#NUM!</v>
      </c>
      <c r="BP90" s="291"/>
      <c r="BQ90" s="292" t="e">
        <f t="array" aca="1" ref="BQ90" ca="1">VLOOKUP($B90,KOMBI!$A:$ADS,MATCH(Tulem!BQ$3,KOMBI!$A$1:$ADS$1,0),FALSE)</f>
        <v>#NUM!</v>
      </c>
      <c r="BR90" s="292" t="e">
        <f t="array" aca="1" ref="BR90" ca="1">VLOOKUP($B90,KOMBI!$A:$ADS,MATCH(Tulem!BR$3,KOMBI!$A$1:$ADS$1,0),FALSE)</f>
        <v>#NUM!</v>
      </c>
      <c r="BS90" s="292" t="e">
        <f t="array" aca="1" ref="BS90" ca="1">VLOOKUP($B90,KOMBI!$A:$ADS,MATCH(Tulem!BS$3,KOMBI!$A$1:$ADS$1,0),FALSE)</f>
        <v>#NUM!</v>
      </c>
      <c r="BT90" s="292" t="e">
        <f t="array" aca="1" ref="BT90" ca="1">VLOOKUP($B90,KOMBI!$A:$ADS,MATCH(Tulem!BT$3,KOMBI!$A$1:$ADS$1,0),FALSE)</f>
        <v>#NUM!</v>
      </c>
      <c r="BU90" s="292" t="e">
        <f t="array" aca="1" ref="BU90" ca="1">VLOOKUP($B90,KOMBI!$A:$ADS,MATCH(Tulem!BU$3,KOMBI!$A$1:$ADS$1,0),FALSE)</f>
        <v>#NUM!</v>
      </c>
      <c r="BV90" s="291"/>
      <c r="BW90" s="292" t="e">
        <f t="array" aca="1" ref="BW90" ca="1">VLOOKUP($B90,KOMBI!$A:$ADS,MATCH(Tulem!BW$3,KOMBI!$A$1:$ADS$1,0),FALSE)</f>
        <v>#NUM!</v>
      </c>
      <c r="BX90" s="291"/>
      <c r="BY90" s="291"/>
      <c r="BZ90" s="292" t="e">
        <f t="array" aca="1" ref="BZ90" ca="1">VLOOKUP($B90,KOMBI!$A:$ADS,MATCH(Tulem!BZ$3,KOMBI!$A$1:$ADS$1,0),FALSE)</f>
        <v>#NUM!</v>
      </c>
      <c r="CA90" s="292" t="e">
        <f t="array" aca="1" ref="CA90" ca="1">VLOOKUP($B90,KOMBI!$A:$ADS,MATCH(Tulem!CA$3,KOMBI!$A$1:$ADS$1,0),FALSE)</f>
        <v>#NUM!</v>
      </c>
      <c r="CB90" s="292" t="e">
        <f t="array" aca="1" ref="CB90" ca="1">VLOOKUP($B90,KOMBI!$A:$ADS,MATCH(Tulem!CB$3,KOMBI!$A$1:$ADS$1,0),FALSE)</f>
        <v>#NUM!</v>
      </c>
      <c r="CC90" s="292" t="e">
        <f t="array" aca="1" ref="CC90" ca="1">VLOOKUP($B90,KOMBI!$A:$ADS,MATCH(Tulem!CC$3,KOMBI!$A$1:$ADS$1,0),FALSE)</f>
        <v>#NUM!</v>
      </c>
      <c r="CD90" s="292" t="e">
        <f t="array" aca="1" ref="CD90" ca="1">VLOOKUP($B90,KOMBI!$A:$ADS,MATCH(Tulem!CD$3,KOMBI!$A$1:$ADS$1,0),FALSE)</f>
        <v>#NUM!</v>
      </c>
      <c r="CF90" s="51" t="e">
        <f ca="1">VLOOKUP($B90,KOMBI!$A:$ACG,MATCH(CF$5,KOMBI!$10:$10,0),FALSE)</f>
        <v>#NUM!</v>
      </c>
    </row>
    <row r="91" spans="1:84" x14ac:dyDescent="0.2">
      <c r="A91" s="51">
        <v>86</v>
      </c>
      <c r="B91" s="51" t="e">
        <f ca="1">KOMBI!GI96</f>
        <v>#NUM!</v>
      </c>
      <c r="C91" s="51">
        <f t="shared" si="3"/>
        <v>86</v>
      </c>
      <c r="D91" s="290" t="e">
        <f ca="1">VLOOKUP(VLOOKUP($B91,KOMBI!$A:$H,3,FALSE),data!$I$27:$J$29,2,FALSE)</f>
        <v>#NUM!</v>
      </c>
      <c r="E91" s="290" t="e">
        <f ca="1">VLOOKUP(VLOOKUP($B91,KOMBI!$A:$H,2,FALSE),data!$I$21:$J$23,2,FALSE)</f>
        <v>#NUM!</v>
      </c>
      <c r="F91" s="290" t="e">
        <f ca="1">VLOOKUP(VLOOKUP($B91,KOMBI!$A:$H,5,FALSE),data!$I$39:$J$41,2,FALSE)</f>
        <v>#NUM!</v>
      </c>
      <c r="G91" s="290" t="e">
        <f ca="1">VLOOKUP(VLOOKUP($B91,KOMBI!$A:$H,4,FALSE),data!$I$32:$J$36,2,FALSE)</f>
        <v>#NUM!</v>
      </c>
      <c r="I91" s="51" t="e">
        <f ca="1">VLOOKUP($B91,KOMBI!$A:$Z,MATCH(I$5,KOMBI!$10:$10,0),FALSE)</f>
        <v>#NUM!</v>
      </c>
      <c r="J91" s="291" t="e">
        <f ca="1">VLOOKUP($B91,KOMBI!$A:$ADS,J$3,FALSE)</f>
        <v>#NUM!</v>
      </c>
      <c r="K91" s="291" t="e">
        <f ca="1">VLOOKUP($B91,KOMBI!$A:$ADS,K$3,FALSE)</f>
        <v>#NUM!</v>
      </c>
      <c r="L91" s="291" t="e">
        <f ca="1">VLOOKUP($B91,KOMBI!$A:$ADS,L$3,FALSE)</f>
        <v>#NUM!</v>
      </c>
      <c r="M91" s="291" t="e">
        <f ca="1">VLOOKUP($B91,KOMBI!$A:$ADS,M$3,FALSE)</f>
        <v>#NUM!</v>
      </c>
      <c r="N91" s="291" t="e">
        <f ca="1">VLOOKUP($B91,KOMBI!$A:$ADS,N$3,FALSE)</f>
        <v>#NUM!</v>
      </c>
      <c r="O91" s="291" t="e">
        <f ca="1">VLOOKUP($B91,KOMBI!$A:$ADS,O$3,FALSE)</f>
        <v>#NUM!</v>
      </c>
      <c r="P91" s="291" t="e">
        <f ca="1">VLOOKUP($B91,KOMBI!$A:$ADS,P$3,FALSE)</f>
        <v>#NUM!</v>
      </c>
      <c r="Q91" s="292" t="e">
        <f t="array" aca="1" ref="Q91" ca="1">VLOOKUP($B91,KOMBI!$A:$ADS,MATCH(Tulem!Q$3,KOMBI!$A$1:$ADS$1,0),FALSE)</f>
        <v>#NUM!</v>
      </c>
      <c r="S91" s="332" t="e">
        <f t="array" aca="1" ref="S91" ca="1">VLOOKUP($B91,KOMBI!$A:$ADS,MATCH(Tulem!S$3,KOMBI!$A$1:$ADS$1,0),FALSE)</f>
        <v>#NUM!</v>
      </c>
      <c r="T91" s="293" t="e">
        <f ca="1">VLOOKUP($B91,KOMBI!$A:$ADS,T$3,FALSE)</f>
        <v>#NUM!</v>
      </c>
      <c r="U91" s="293" t="e">
        <f ca="1">VLOOKUP($B91,KOMBI!$A:$ADS,U$3,FALSE)</f>
        <v>#NUM!</v>
      </c>
      <c r="V91" s="293" t="e">
        <f ca="1">VLOOKUP($B91,KOMBI!$A:$ADS,V$3,FALSE)</f>
        <v>#NUM!</v>
      </c>
      <c r="W91" s="293"/>
      <c r="X91" s="293" t="e">
        <f ca="1">VLOOKUP($B91,KOMBI!$A:$ADS,X$3,FALSE)</f>
        <v>#NUM!</v>
      </c>
      <c r="Y91" s="293" t="e">
        <f ca="1">VLOOKUP($B91,KOMBI!$A:$ADS,Y$3,FALSE)</f>
        <v>#NUM!</v>
      </c>
      <c r="Z91" s="293" t="e">
        <f ca="1">VLOOKUP($B91,KOMBI!$A:$ADS,Z$3,FALSE)</f>
        <v>#NUM!</v>
      </c>
      <c r="AA91" s="294"/>
      <c r="AB91" s="293" t="e">
        <f ca="1">VLOOKUP($B91,KOMBI!$A:$ADS,AB$3,FALSE)</f>
        <v>#NUM!</v>
      </c>
      <c r="AC91" s="293" t="e">
        <f ca="1">VLOOKUP($B91,KOMBI!$A:$ADS,AC$3,FALSE)-AB91</f>
        <v>#NUM!</v>
      </c>
      <c r="AD91" s="293" t="e">
        <f ca="1">VLOOKUP($B91,KOMBI!$A:$ADS,AD$3,FALSE)</f>
        <v>#NUM!</v>
      </c>
      <c r="AE91" s="293" t="e">
        <f ca="1">VLOOKUP($B91,KOMBI!$A:$ADS,AE$3,FALSE)</f>
        <v>#NUM!</v>
      </c>
      <c r="AF91" s="293" t="e">
        <f ca="1">VLOOKUP($B91,KOMBI!$A:$ADS,AF$3,FALSE)-AE91</f>
        <v>#NUM!</v>
      </c>
      <c r="AG91" s="293" t="e">
        <f ca="1">VLOOKUP($B91,KOMBI!$A:$ADS,AG$3,FALSE)</f>
        <v>#NUM!</v>
      </c>
      <c r="AI91" s="293" t="e">
        <f t="array" aca="1" ref="AI91" ca="1">VLOOKUP($B91,KOMBI!$A:$ADS,MATCH(Tulem!AI$3,KOMBI!$A$1:$ADS$1,0),FALSE)</f>
        <v>#NUM!</v>
      </c>
      <c r="AJ91" s="293" t="e">
        <f t="array" aca="1" ref="AJ91" ca="1">VLOOKUP($B91,KOMBI!$A:$ADS,MATCH(Tulem!AJ$3,KOMBI!$A$1:$ADS$1,0),FALSE)</f>
        <v>#NUM!</v>
      </c>
      <c r="AK91" s="293" t="e">
        <f t="array" aca="1" ref="AK91" ca="1">VLOOKUP($B91,KOMBI!$A:$ADS,MATCH(Tulem!AK$3,KOMBI!$A$1:$ADS$1,0),FALSE)</f>
        <v>#NUM!</v>
      </c>
      <c r="AL91" s="293" t="e">
        <f t="array" aca="1" ref="AL91" ca="1">VLOOKUP($B91,KOMBI!$A:$ADS,MATCH(Tulem!AL$3,KOMBI!$A$1:$ADS$1,0),FALSE)</f>
        <v>#NUM!</v>
      </c>
      <c r="AM91" s="293" t="e">
        <f t="array" aca="1" ref="AM91" ca="1">VLOOKUP($B91,KOMBI!$A:$ADS,MATCH(Tulem!AM$3,KOMBI!$A$1:$ADS$1,0),FALSE)</f>
        <v>#NUM!</v>
      </c>
      <c r="AN91" s="293" t="e">
        <f t="array" aca="1" ref="AN91" ca="1">VLOOKUP($B91,KOMBI!$A:$ADS,MATCH(Tulem!AN$3,KOMBI!$A$1:$ADS$1,0),FALSE)</f>
        <v>#NUM!</v>
      </c>
      <c r="AO91" s="293" t="e">
        <f t="array" aca="1" ref="AO91" ca="1">VLOOKUP($B91,KOMBI!$A:$ADS,MATCH(Tulem!AO$3,KOMBI!$A$1:$ADS$1,0),FALSE)</f>
        <v>#NUM!</v>
      </c>
      <c r="AP91" s="293" t="e">
        <f t="array" aca="1" ref="AP91" ca="1">VLOOKUP($B91,KOMBI!$A:$ADS,MATCH(Tulem!AP$3,KOMBI!$A$1:$ADS$1,0),FALSE)</f>
        <v>#NUM!</v>
      </c>
      <c r="AQ91" s="293" t="e">
        <f t="array" aca="1" ref="AQ91" ca="1">VLOOKUP($B91,KOMBI!$A:$ADS,MATCH(Tulem!AQ$3,KOMBI!$A$1:$ADS$1,0),FALSE)</f>
        <v>#NUM!</v>
      </c>
      <c r="AR91" s="293" t="e">
        <f t="array" aca="1" ref="AR91" ca="1">VLOOKUP($B91,KOMBI!$A:$ADS,MATCH(Tulem!AR$3,KOMBI!$A$1:$ADS$1,0),FALSE)</f>
        <v>#NUM!</v>
      </c>
      <c r="AS91" s="293" t="e">
        <f t="array" aca="1" ref="AS91" ca="1">VLOOKUP($B91,KOMBI!$A:$ADS,MATCH(Tulem!AS$3,KOMBI!$A$1:$ADS$1,0),FALSE)</f>
        <v>#NUM!</v>
      </c>
      <c r="AT91" s="293" t="e">
        <f t="array" aca="1" ref="AT91" ca="1">VLOOKUP($B91,KOMBI!$A:$ADS,MATCH(Tulem!AT$3,KOMBI!$A$1:$ADS$1,0),FALSE)</f>
        <v>#NUM!</v>
      </c>
      <c r="AU91" s="293" t="e">
        <f t="array" aca="1" ref="AU91" ca="1">VLOOKUP($B91,KOMBI!$A:$ADS,MATCH(Tulem!AU$3,KOMBI!$A$1:$ADS$1,0),FALSE)</f>
        <v>#NUM!</v>
      </c>
      <c r="AV91" s="293" t="e">
        <f t="shared" ca="1" si="4"/>
        <v>#NUM!</v>
      </c>
      <c r="AW91" s="293" t="e">
        <f t="shared" ca="1" si="5"/>
        <v>#NUM!</v>
      </c>
      <c r="AX91" s="291" t="e">
        <f ca="1">VLOOKUP($B91,KOMBI!$A:$ACA,MATCH(AX$5,KOMBI!$10:$10,0),FALSE)</f>
        <v>#NUM!</v>
      </c>
      <c r="AY91" s="292" t="e">
        <f t="array" aca="1" ref="AY91" ca="1">VLOOKUP($B91,KOMBI!$A:$ADS,MATCH(Tulem!AY$3,KOMBI!$A$1:$ADS$1,0),FALSE)</f>
        <v>#NUM!</v>
      </c>
      <c r="AZ91" s="292" t="e">
        <f t="array" aca="1" ref="AZ91" ca="1">VLOOKUP($B91,KOMBI!$A:$ADS,MATCH(Tulem!AZ$3,KOMBI!$A$1:$ADS$1,0),FALSE)</f>
        <v>#NUM!</v>
      </c>
      <c r="BA91" s="292" t="e">
        <f t="array" aca="1" ref="BA91" ca="1">VLOOKUP($B91,KOMBI!$A:$ADS,MATCH(Tulem!BA$3,KOMBI!$A$1:$ADS$1,0),FALSE)</f>
        <v>#NUM!</v>
      </c>
      <c r="BB91" s="292" t="e">
        <f t="array" aca="1" ref="BB91" ca="1">VLOOKUP($B91,KOMBI!$A:$ADS,MATCH(Tulem!BB$3,KOMBI!$A$1:$ADS$1,0),FALSE)</f>
        <v>#NUM!</v>
      </c>
      <c r="BC91" s="292" t="e">
        <f t="array" aca="1" ref="BC91" ca="1">VLOOKUP($B91,KOMBI!$A:$ADS,MATCH(Tulem!BC$3,KOMBI!$A$1:$ADS$1,0),FALSE)</f>
        <v>#NUM!</v>
      </c>
      <c r="BD91" s="292" t="e">
        <f t="array" aca="1" ref="BD91" ca="1">VLOOKUP($B91,KOMBI!$A:$ADS,MATCH(Tulem!BD$3,KOMBI!$A$1:$ADS$1,0),FALSE)</f>
        <v>#NUM!</v>
      </c>
      <c r="BE91" s="292" t="e">
        <f t="array" aca="1" ref="BE91" ca="1">VLOOKUP($B91,KOMBI!$A:$ADS,MATCH(Tulem!BE$3,KOMBI!$A$1:$ADS$1,0),FALSE)</f>
        <v>#NUM!</v>
      </c>
      <c r="BF91" s="292" t="e">
        <f t="array" aca="1" ref="BF91" ca="1">VLOOKUP($B91,KOMBI!$A:$ADS,MATCH(Tulem!BF$3,KOMBI!$A$1:$ADS$1,0),FALSE)</f>
        <v>#NUM!</v>
      </c>
      <c r="BG91" s="292" t="e">
        <f t="array" aca="1" ref="BG91" ca="1">VLOOKUP($B91,KOMBI!$A:$ADS,MATCH(Tulem!BG$3,KOMBI!$A$1:$ADS$1,0),FALSE)</f>
        <v>#NUM!</v>
      </c>
      <c r="BH91" s="292" t="e">
        <f t="array" aca="1" ref="BH91" ca="1">VLOOKUP($B91,KOMBI!$A:$ADS,MATCH(Tulem!BH$3,KOMBI!$A$1:$ADS$1,0),FALSE)</f>
        <v>#NUM!</v>
      </c>
      <c r="BI91" s="292" t="e">
        <f t="array" aca="1" ref="BI91" ca="1">VLOOKUP($B91,KOMBI!$A:$ADS,MATCH(Tulem!BI$3,KOMBI!$A$1:$ADS$1,0),FALSE)</f>
        <v>#NUM!</v>
      </c>
      <c r="BJ91" s="292" t="e">
        <f t="array" aca="1" ref="BJ91" ca="1">VLOOKUP($B91,KOMBI!$A:$ADS,MATCH(Tulem!BJ$3,KOMBI!$A$1:$ADS$1,0),FALSE)</f>
        <v>#NUM!</v>
      </c>
      <c r="BK91" s="292" t="e">
        <f t="array" aca="1" ref="BK91" ca="1">VLOOKUP($B91,KOMBI!$A:$ADS,MATCH(Tulem!BK$3,KOMBI!$A$1:$ADS$1,0),FALSE)</f>
        <v>#NUM!</v>
      </c>
      <c r="BL91" s="292" t="e">
        <f t="array" aca="1" ref="BL91" ca="1">VLOOKUP($B91,KOMBI!$A:$ADS,MATCH(Tulem!BL$3,KOMBI!$A$1:$ADS$1,0),FALSE)</f>
        <v>#NUM!</v>
      </c>
      <c r="BM91" s="292" t="e">
        <f t="array" aca="1" ref="BM91" ca="1">VLOOKUP($B91,KOMBI!$A:$ADS,MATCH(Tulem!BM$3,KOMBI!$A$1:$ADS$1,0),FALSE)</f>
        <v>#NUM!</v>
      </c>
      <c r="BN91" s="292" t="e">
        <f t="array" aca="1" ref="BN91" ca="1">VLOOKUP($B91,KOMBI!$A:$ADS,MATCH(Tulem!BN$3,KOMBI!$A$1:$ADS$1,0),FALSE)</f>
        <v>#NUM!</v>
      </c>
      <c r="BO91" s="292" t="e">
        <f t="array" aca="1" ref="BO91" ca="1">VLOOKUP($B91,KOMBI!$A:$ADS,MATCH(Tulem!BO$3,KOMBI!$A$1:$ADS$1,0),FALSE)</f>
        <v>#NUM!</v>
      </c>
      <c r="BP91" s="291"/>
      <c r="BQ91" s="292" t="e">
        <f t="array" aca="1" ref="BQ91" ca="1">VLOOKUP($B91,KOMBI!$A:$ADS,MATCH(Tulem!BQ$3,KOMBI!$A$1:$ADS$1,0),FALSE)</f>
        <v>#NUM!</v>
      </c>
      <c r="BR91" s="292" t="e">
        <f t="array" aca="1" ref="BR91" ca="1">VLOOKUP($B91,KOMBI!$A:$ADS,MATCH(Tulem!BR$3,KOMBI!$A$1:$ADS$1,0),FALSE)</f>
        <v>#NUM!</v>
      </c>
      <c r="BS91" s="292" t="e">
        <f t="array" aca="1" ref="BS91" ca="1">VLOOKUP($B91,KOMBI!$A:$ADS,MATCH(Tulem!BS$3,KOMBI!$A$1:$ADS$1,0),FALSE)</f>
        <v>#NUM!</v>
      </c>
      <c r="BT91" s="292" t="e">
        <f t="array" aca="1" ref="BT91" ca="1">VLOOKUP($B91,KOMBI!$A:$ADS,MATCH(Tulem!BT$3,KOMBI!$A$1:$ADS$1,0),FALSE)</f>
        <v>#NUM!</v>
      </c>
      <c r="BU91" s="292" t="e">
        <f t="array" aca="1" ref="BU91" ca="1">VLOOKUP($B91,KOMBI!$A:$ADS,MATCH(Tulem!BU$3,KOMBI!$A$1:$ADS$1,0),FALSE)</f>
        <v>#NUM!</v>
      </c>
      <c r="BV91" s="291"/>
      <c r="BW91" s="292" t="e">
        <f t="array" aca="1" ref="BW91" ca="1">VLOOKUP($B91,KOMBI!$A:$ADS,MATCH(Tulem!BW$3,KOMBI!$A$1:$ADS$1,0),FALSE)</f>
        <v>#NUM!</v>
      </c>
      <c r="BX91" s="291"/>
      <c r="BY91" s="291"/>
      <c r="BZ91" s="292" t="e">
        <f t="array" aca="1" ref="BZ91" ca="1">VLOOKUP($B91,KOMBI!$A:$ADS,MATCH(Tulem!BZ$3,KOMBI!$A$1:$ADS$1,0),FALSE)</f>
        <v>#NUM!</v>
      </c>
      <c r="CA91" s="292" t="e">
        <f t="array" aca="1" ref="CA91" ca="1">VLOOKUP($B91,KOMBI!$A:$ADS,MATCH(Tulem!CA$3,KOMBI!$A$1:$ADS$1,0),FALSE)</f>
        <v>#NUM!</v>
      </c>
      <c r="CB91" s="292" t="e">
        <f t="array" aca="1" ref="CB91" ca="1">VLOOKUP($B91,KOMBI!$A:$ADS,MATCH(Tulem!CB$3,KOMBI!$A$1:$ADS$1,0),FALSE)</f>
        <v>#NUM!</v>
      </c>
      <c r="CC91" s="292" t="e">
        <f t="array" aca="1" ref="CC91" ca="1">VLOOKUP($B91,KOMBI!$A:$ADS,MATCH(Tulem!CC$3,KOMBI!$A$1:$ADS$1,0),FALSE)</f>
        <v>#NUM!</v>
      </c>
      <c r="CD91" s="292" t="e">
        <f t="array" aca="1" ref="CD91" ca="1">VLOOKUP($B91,KOMBI!$A:$ADS,MATCH(Tulem!CD$3,KOMBI!$A$1:$ADS$1,0),FALSE)</f>
        <v>#NUM!</v>
      </c>
      <c r="CF91" s="51" t="e">
        <f ca="1">VLOOKUP($B91,KOMBI!$A:$ACG,MATCH(CF$5,KOMBI!$10:$10,0),FALSE)</f>
        <v>#NUM!</v>
      </c>
    </row>
    <row r="92" spans="1:84" x14ac:dyDescent="0.2">
      <c r="A92" s="51">
        <v>87</v>
      </c>
      <c r="B92" s="51" t="e">
        <f ca="1">KOMBI!GI97</f>
        <v>#NUM!</v>
      </c>
      <c r="C92" s="51">
        <f t="shared" si="3"/>
        <v>87</v>
      </c>
      <c r="D92" s="290" t="e">
        <f ca="1">VLOOKUP(VLOOKUP($B92,KOMBI!$A:$H,3,FALSE),data!$I$27:$J$29,2,FALSE)</f>
        <v>#NUM!</v>
      </c>
      <c r="E92" s="290" t="e">
        <f ca="1">VLOOKUP(VLOOKUP($B92,KOMBI!$A:$H,2,FALSE),data!$I$21:$J$23,2,FALSE)</f>
        <v>#NUM!</v>
      </c>
      <c r="F92" s="290" t="e">
        <f ca="1">VLOOKUP(VLOOKUP($B92,KOMBI!$A:$H,5,FALSE),data!$I$39:$J$41,2,FALSE)</f>
        <v>#NUM!</v>
      </c>
      <c r="G92" s="290" t="e">
        <f ca="1">VLOOKUP(VLOOKUP($B92,KOMBI!$A:$H,4,FALSE),data!$I$32:$J$36,2,FALSE)</f>
        <v>#NUM!</v>
      </c>
      <c r="I92" s="51" t="e">
        <f ca="1">VLOOKUP($B92,KOMBI!$A:$Z,MATCH(I$5,KOMBI!$10:$10,0),FALSE)</f>
        <v>#NUM!</v>
      </c>
      <c r="J92" s="291" t="e">
        <f ca="1">VLOOKUP($B92,KOMBI!$A:$ADS,J$3,FALSE)</f>
        <v>#NUM!</v>
      </c>
      <c r="K92" s="291" t="e">
        <f ca="1">VLOOKUP($B92,KOMBI!$A:$ADS,K$3,FALSE)</f>
        <v>#NUM!</v>
      </c>
      <c r="L92" s="291" t="e">
        <f ca="1">VLOOKUP($B92,KOMBI!$A:$ADS,L$3,FALSE)</f>
        <v>#NUM!</v>
      </c>
      <c r="M92" s="291" t="e">
        <f ca="1">VLOOKUP($B92,KOMBI!$A:$ADS,M$3,FALSE)</f>
        <v>#NUM!</v>
      </c>
      <c r="N92" s="291" t="e">
        <f ca="1">VLOOKUP($B92,KOMBI!$A:$ADS,N$3,FALSE)</f>
        <v>#NUM!</v>
      </c>
      <c r="O92" s="291" t="e">
        <f ca="1">VLOOKUP($B92,KOMBI!$A:$ADS,O$3,FALSE)</f>
        <v>#NUM!</v>
      </c>
      <c r="P92" s="291" t="e">
        <f ca="1">VLOOKUP($B92,KOMBI!$A:$ADS,P$3,FALSE)</f>
        <v>#NUM!</v>
      </c>
      <c r="Q92" s="292" t="e">
        <f t="array" aca="1" ref="Q92" ca="1">VLOOKUP($B92,KOMBI!$A:$ADS,MATCH(Tulem!Q$3,KOMBI!$A$1:$ADS$1,0),FALSE)</f>
        <v>#NUM!</v>
      </c>
      <c r="S92" s="332" t="e">
        <f t="array" aca="1" ref="S92" ca="1">VLOOKUP($B92,KOMBI!$A:$ADS,MATCH(Tulem!S$3,KOMBI!$A$1:$ADS$1,0),FALSE)</f>
        <v>#NUM!</v>
      </c>
      <c r="T92" s="293" t="e">
        <f ca="1">VLOOKUP($B92,KOMBI!$A:$ADS,T$3,FALSE)</f>
        <v>#NUM!</v>
      </c>
      <c r="U92" s="293" t="e">
        <f ca="1">VLOOKUP($B92,KOMBI!$A:$ADS,U$3,FALSE)</f>
        <v>#NUM!</v>
      </c>
      <c r="V92" s="293" t="e">
        <f ca="1">VLOOKUP($B92,KOMBI!$A:$ADS,V$3,FALSE)</f>
        <v>#NUM!</v>
      </c>
      <c r="W92" s="293"/>
      <c r="X92" s="293" t="e">
        <f ca="1">VLOOKUP($B92,KOMBI!$A:$ADS,X$3,FALSE)</f>
        <v>#NUM!</v>
      </c>
      <c r="Y92" s="293" t="e">
        <f ca="1">VLOOKUP($B92,KOMBI!$A:$ADS,Y$3,FALSE)</f>
        <v>#NUM!</v>
      </c>
      <c r="Z92" s="293" t="e">
        <f ca="1">VLOOKUP($B92,KOMBI!$A:$ADS,Z$3,FALSE)</f>
        <v>#NUM!</v>
      </c>
      <c r="AA92" s="294"/>
      <c r="AB92" s="293" t="e">
        <f ca="1">VLOOKUP($B92,KOMBI!$A:$ADS,AB$3,FALSE)</f>
        <v>#NUM!</v>
      </c>
      <c r="AC92" s="293" t="e">
        <f ca="1">VLOOKUP($B92,KOMBI!$A:$ADS,AC$3,FALSE)-AB92</f>
        <v>#NUM!</v>
      </c>
      <c r="AD92" s="293" t="e">
        <f ca="1">VLOOKUP($B92,KOMBI!$A:$ADS,AD$3,FALSE)</f>
        <v>#NUM!</v>
      </c>
      <c r="AE92" s="293" t="e">
        <f ca="1">VLOOKUP($B92,KOMBI!$A:$ADS,AE$3,FALSE)</f>
        <v>#NUM!</v>
      </c>
      <c r="AF92" s="293" t="e">
        <f ca="1">VLOOKUP($B92,KOMBI!$A:$ADS,AF$3,FALSE)-AE92</f>
        <v>#NUM!</v>
      </c>
      <c r="AG92" s="293" t="e">
        <f ca="1">VLOOKUP($B92,KOMBI!$A:$ADS,AG$3,FALSE)</f>
        <v>#NUM!</v>
      </c>
      <c r="AI92" s="293" t="e">
        <f t="array" aca="1" ref="AI92" ca="1">VLOOKUP($B92,KOMBI!$A:$ADS,MATCH(Tulem!AI$3,KOMBI!$A$1:$ADS$1,0),FALSE)</f>
        <v>#NUM!</v>
      </c>
      <c r="AJ92" s="293" t="e">
        <f t="array" aca="1" ref="AJ92" ca="1">VLOOKUP($B92,KOMBI!$A:$ADS,MATCH(Tulem!AJ$3,KOMBI!$A$1:$ADS$1,0),FALSE)</f>
        <v>#NUM!</v>
      </c>
      <c r="AK92" s="293" t="e">
        <f t="array" aca="1" ref="AK92" ca="1">VLOOKUP($B92,KOMBI!$A:$ADS,MATCH(Tulem!AK$3,KOMBI!$A$1:$ADS$1,0),FALSE)</f>
        <v>#NUM!</v>
      </c>
      <c r="AL92" s="293" t="e">
        <f t="array" aca="1" ref="AL92" ca="1">VLOOKUP($B92,KOMBI!$A:$ADS,MATCH(Tulem!AL$3,KOMBI!$A$1:$ADS$1,0),FALSE)</f>
        <v>#NUM!</v>
      </c>
      <c r="AM92" s="293" t="e">
        <f t="array" aca="1" ref="AM92" ca="1">VLOOKUP($B92,KOMBI!$A:$ADS,MATCH(Tulem!AM$3,KOMBI!$A$1:$ADS$1,0),FALSE)</f>
        <v>#NUM!</v>
      </c>
      <c r="AN92" s="293" t="e">
        <f t="array" aca="1" ref="AN92" ca="1">VLOOKUP($B92,KOMBI!$A:$ADS,MATCH(Tulem!AN$3,KOMBI!$A$1:$ADS$1,0),FALSE)</f>
        <v>#NUM!</v>
      </c>
      <c r="AO92" s="293" t="e">
        <f t="array" aca="1" ref="AO92" ca="1">VLOOKUP($B92,KOMBI!$A:$ADS,MATCH(Tulem!AO$3,KOMBI!$A$1:$ADS$1,0),FALSE)</f>
        <v>#NUM!</v>
      </c>
      <c r="AP92" s="293" t="e">
        <f t="array" aca="1" ref="AP92" ca="1">VLOOKUP($B92,KOMBI!$A:$ADS,MATCH(Tulem!AP$3,KOMBI!$A$1:$ADS$1,0),FALSE)</f>
        <v>#NUM!</v>
      </c>
      <c r="AQ92" s="293" t="e">
        <f t="array" aca="1" ref="AQ92" ca="1">VLOOKUP($B92,KOMBI!$A:$ADS,MATCH(Tulem!AQ$3,KOMBI!$A$1:$ADS$1,0),FALSE)</f>
        <v>#NUM!</v>
      </c>
      <c r="AR92" s="293" t="e">
        <f t="array" aca="1" ref="AR92" ca="1">VLOOKUP($B92,KOMBI!$A:$ADS,MATCH(Tulem!AR$3,KOMBI!$A$1:$ADS$1,0),FALSE)</f>
        <v>#NUM!</v>
      </c>
      <c r="AS92" s="293" t="e">
        <f t="array" aca="1" ref="AS92" ca="1">VLOOKUP($B92,KOMBI!$A:$ADS,MATCH(Tulem!AS$3,KOMBI!$A$1:$ADS$1,0),FALSE)</f>
        <v>#NUM!</v>
      </c>
      <c r="AT92" s="293" t="e">
        <f t="array" aca="1" ref="AT92" ca="1">VLOOKUP($B92,KOMBI!$A:$ADS,MATCH(Tulem!AT$3,KOMBI!$A$1:$ADS$1,0),FALSE)</f>
        <v>#NUM!</v>
      </c>
      <c r="AU92" s="293" t="e">
        <f t="array" aca="1" ref="AU92" ca="1">VLOOKUP($B92,KOMBI!$A:$ADS,MATCH(Tulem!AU$3,KOMBI!$A$1:$ADS$1,0),FALSE)</f>
        <v>#NUM!</v>
      </c>
      <c r="AV92" s="293" t="e">
        <f t="shared" ca="1" si="4"/>
        <v>#NUM!</v>
      </c>
      <c r="AW92" s="293" t="e">
        <f t="shared" ca="1" si="5"/>
        <v>#NUM!</v>
      </c>
      <c r="AX92" s="291" t="e">
        <f ca="1">VLOOKUP($B92,KOMBI!$A:$ACA,MATCH(AX$5,KOMBI!$10:$10,0),FALSE)</f>
        <v>#NUM!</v>
      </c>
      <c r="AY92" s="292" t="e">
        <f t="array" aca="1" ref="AY92" ca="1">VLOOKUP($B92,KOMBI!$A:$ADS,MATCH(Tulem!AY$3,KOMBI!$A$1:$ADS$1,0),FALSE)</f>
        <v>#NUM!</v>
      </c>
      <c r="AZ92" s="292" t="e">
        <f t="array" aca="1" ref="AZ92" ca="1">VLOOKUP($B92,KOMBI!$A:$ADS,MATCH(Tulem!AZ$3,KOMBI!$A$1:$ADS$1,0),FALSE)</f>
        <v>#NUM!</v>
      </c>
      <c r="BA92" s="292" t="e">
        <f t="array" aca="1" ref="BA92" ca="1">VLOOKUP($B92,KOMBI!$A:$ADS,MATCH(Tulem!BA$3,KOMBI!$A$1:$ADS$1,0),FALSE)</f>
        <v>#NUM!</v>
      </c>
      <c r="BB92" s="292" t="e">
        <f t="array" aca="1" ref="BB92" ca="1">VLOOKUP($B92,KOMBI!$A:$ADS,MATCH(Tulem!BB$3,KOMBI!$A$1:$ADS$1,0),FALSE)</f>
        <v>#NUM!</v>
      </c>
      <c r="BC92" s="292" t="e">
        <f t="array" aca="1" ref="BC92" ca="1">VLOOKUP($B92,KOMBI!$A:$ADS,MATCH(Tulem!BC$3,KOMBI!$A$1:$ADS$1,0),FALSE)</f>
        <v>#NUM!</v>
      </c>
      <c r="BD92" s="292" t="e">
        <f t="array" aca="1" ref="BD92" ca="1">VLOOKUP($B92,KOMBI!$A:$ADS,MATCH(Tulem!BD$3,KOMBI!$A$1:$ADS$1,0),FALSE)</f>
        <v>#NUM!</v>
      </c>
      <c r="BE92" s="292" t="e">
        <f t="array" aca="1" ref="BE92" ca="1">VLOOKUP($B92,KOMBI!$A:$ADS,MATCH(Tulem!BE$3,KOMBI!$A$1:$ADS$1,0),FALSE)</f>
        <v>#NUM!</v>
      </c>
      <c r="BF92" s="292" t="e">
        <f t="array" aca="1" ref="BF92" ca="1">VLOOKUP($B92,KOMBI!$A:$ADS,MATCH(Tulem!BF$3,KOMBI!$A$1:$ADS$1,0),FALSE)</f>
        <v>#NUM!</v>
      </c>
      <c r="BG92" s="292" t="e">
        <f t="array" aca="1" ref="BG92" ca="1">VLOOKUP($B92,KOMBI!$A:$ADS,MATCH(Tulem!BG$3,KOMBI!$A$1:$ADS$1,0),FALSE)</f>
        <v>#NUM!</v>
      </c>
      <c r="BH92" s="292" t="e">
        <f t="array" aca="1" ref="BH92" ca="1">VLOOKUP($B92,KOMBI!$A:$ADS,MATCH(Tulem!BH$3,KOMBI!$A$1:$ADS$1,0),FALSE)</f>
        <v>#NUM!</v>
      </c>
      <c r="BI92" s="292" t="e">
        <f t="array" aca="1" ref="BI92" ca="1">VLOOKUP($B92,KOMBI!$A:$ADS,MATCH(Tulem!BI$3,KOMBI!$A$1:$ADS$1,0),FALSE)</f>
        <v>#NUM!</v>
      </c>
      <c r="BJ92" s="292" t="e">
        <f t="array" aca="1" ref="BJ92" ca="1">VLOOKUP($B92,KOMBI!$A:$ADS,MATCH(Tulem!BJ$3,KOMBI!$A$1:$ADS$1,0),FALSE)</f>
        <v>#NUM!</v>
      </c>
      <c r="BK92" s="292" t="e">
        <f t="array" aca="1" ref="BK92" ca="1">VLOOKUP($B92,KOMBI!$A:$ADS,MATCH(Tulem!BK$3,KOMBI!$A$1:$ADS$1,0),FALSE)</f>
        <v>#NUM!</v>
      </c>
      <c r="BL92" s="292" t="e">
        <f t="array" aca="1" ref="BL92" ca="1">VLOOKUP($B92,KOMBI!$A:$ADS,MATCH(Tulem!BL$3,KOMBI!$A$1:$ADS$1,0),FALSE)</f>
        <v>#NUM!</v>
      </c>
      <c r="BM92" s="292" t="e">
        <f t="array" aca="1" ref="BM92" ca="1">VLOOKUP($B92,KOMBI!$A:$ADS,MATCH(Tulem!BM$3,KOMBI!$A$1:$ADS$1,0),FALSE)</f>
        <v>#NUM!</v>
      </c>
      <c r="BN92" s="292" t="e">
        <f t="array" aca="1" ref="BN92" ca="1">VLOOKUP($B92,KOMBI!$A:$ADS,MATCH(Tulem!BN$3,KOMBI!$A$1:$ADS$1,0),FALSE)</f>
        <v>#NUM!</v>
      </c>
      <c r="BO92" s="292" t="e">
        <f t="array" aca="1" ref="BO92" ca="1">VLOOKUP($B92,KOMBI!$A:$ADS,MATCH(Tulem!BO$3,KOMBI!$A$1:$ADS$1,0),FALSE)</f>
        <v>#NUM!</v>
      </c>
      <c r="BP92" s="291"/>
      <c r="BQ92" s="292" t="e">
        <f t="array" aca="1" ref="BQ92" ca="1">VLOOKUP($B92,KOMBI!$A:$ADS,MATCH(Tulem!BQ$3,KOMBI!$A$1:$ADS$1,0),FALSE)</f>
        <v>#NUM!</v>
      </c>
      <c r="BR92" s="292" t="e">
        <f t="array" aca="1" ref="BR92" ca="1">VLOOKUP($B92,KOMBI!$A:$ADS,MATCH(Tulem!BR$3,KOMBI!$A$1:$ADS$1,0),FALSE)</f>
        <v>#NUM!</v>
      </c>
      <c r="BS92" s="292" t="e">
        <f t="array" aca="1" ref="BS92" ca="1">VLOOKUP($B92,KOMBI!$A:$ADS,MATCH(Tulem!BS$3,KOMBI!$A$1:$ADS$1,0),FALSE)</f>
        <v>#NUM!</v>
      </c>
      <c r="BT92" s="292" t="e">
        <f t="array" aca="1" ref="BT92" ca="1">VLOOKUP($B92,KOMBI!$A:$ADS,MATCH(Tulem!BT$3,KOMBI!$A$1:$ADS$1,0),FALSE)</f>
        <v>#NUM!</v>
      </c>
      <c r="BU92" s="292" t="e">
        <f t="array" aca="1" ref="BU92" ca="1">VLOOKUP($B92,KOMBI!$A:$ADS,MATCH(Tulem!BU$3,KOMBI!$A$1:$ADS$1,0),FALSE)</f>
        <v>#NUM!</v>
      </c>
      <c r="BV92" s="291"/>
      <c r="BW92" s="292" t="e">
        <f t="array" aca="1" ref="BW92" ca="1">VLOOKUP($B92,KOMBI!$A:$ADS,MATCH(Tulem!BW$3,KOMBI!$A$1:$ADS$1,0),FALSE)</f>
        <v>#NUM!</v>
      </c>
      <c r="BX92" s="291"/>
      <c r="BY92" s="291"/>
      <c r="BZ92" s="292" t="e">
        <f t="array" aca="1" ref="BZ92" ca="1">VLOOKUP($B92,KOMBI!$A:$ADS,MATCH(Tulem!BZ$3,KOMBI!$A$1:$ADS$1,0),FALSE)</f>
        <v>#NUM!</v>
      </c>
      <c r="CA92" s="292" t="e">
        <f t="array" aca="1" ref="CA92" ca="1">VLOOKUP($B92,KOMBI!$A:$ADS,MATCH(Tulem!CA$3,KOMBI!$A$1:$ADS$1,0),FALSE)</f>
        <v>#NUM!</v>
      </c>
      <c r="CB92" s="292" t="e">
        <f t="array" aca="1" ref="CB92" ca="1">VLOOKUP($B92,KOMBI!$A:$ADS,MATCH(Tulem!CB$3,KOMBI!$A$1:$ADS$1,0),FALSE)</f>
        <v>#NUM!</v>
      </c>
      <c r="CC92" s="292" t="e">
        <f t="array" aca="1" ref="CC92" ca="1">VLOOKUP($B92,KOMBI!$A:$ADS,MATCH(Tulem!CC$3,KOMBI!$A$1:$ADS$1,0),FALSE)</f>
        <v>#NUM!</v>
      </c>
      <c r="CD92" s="292" t="e">
        <f t="array" aca="1" ref="CD92" ca="1">VLOOKUP($B92,KOMBI!$A:$ADS,MATCH(Tulem!CD$3,KOMBI!$A$1:$ADS$1,0),FALSE)</f>
        <v>#NUM!</v>
      </c>
      <c r="CF92" s="51" t="e">
        <f ca="1">VLOOKUP($B92,KOMBI!$A:$ACG,MATCH(CF$5,KOMBI!$10:$10,0),FALSE)</f>
        <v>#NUM!</v>
      </c>
    </row>
    <row r="93" spans="1:84" x14ac:dyDescent="0.2">
      <c r="A93" s="51">
        <v>88</v>
      </c>
      <c r="B93" s="51" t="e">
        <f ca="1">KOMBI!GI98</f>
        <v>#NUM!</v>
      </c>
      <c r="C93" s="51">
        <f t="shared" si="3"/>
        <v>88</v>
      </c>
      <c r="D93" s="290" t="e">
        <f ca="1">VLOOKUP(VLOOKUP($B93,KOMBI!$A:$H,3,FALSE),data!$I$27:$J$29,2,FALSE)</f>
        <v>#NUM!</v>
      </c>
      <c r="E93" s="290" t="e">
        <f ca="1">VLOOKUP(VLOOKUP($B93,KOMBI!$A:$H,2,FALSE),data!$I$21:$J$23,2,FALSE)</f>
        <v>#NUM!</v>
      </c>
      <c r="F93" s="290" t="e">
        <f ca="1">VLOOKUP(VLOOKUP($B93,KOMBI!$A:$H,5,FALSE),data!$I$39:$J$41,2,FALSE)</f>
        <v>#NUM!</v>
      </c>
      <c r="G93" s="290" t="e">
        <f ca="1">VLOOKUP(VLOOKUP($B93,KOMBI!$A:$H,4,FALSE),data!$I$32:$J$36,2,FALSE)</f>
        <v>#NUM!</v>
      </c>
      <c r="I93" s="51" t="e">
        <f ca="1">VLOOKUP($B93,KOMBI!$A:$Z,MATCH(I$5,KOMBI!$10:$10,0),FALSE)</f>
        <v>#NUM!</v>
      </c>
      <c r="J93" s="291" t="e">
        <f ca="1">VLOOKUP($B93,KOMBI!$A:$ADS,J$3,FALSE)</f>
        <v>#NUM!</v>
      </c>
      <c r="K93" s="291" t="e">
        <f ca="1">VLOOKUP($B93,KOMBI!$A:$ADS,K$3,FALSE)</f>
        <v>#NUM!</v>
      </c>
      <c r="L93" s="291" t="e">
        <f ca="1">VLOOKUP($B93,KOMBI!$A:$ADS,L$3,FALSE)</f>
        <v>#NUM!</v>
      </c>
      <c r="M93" s="291" t="e">
        <f ca="1">VLOOKUP($B93,KOMBI!$A:$ADS,M$3,FALSE)</f>
        <v>#NUM!</v>
      </c>
      <c r="N93" s="291" t="e">
        <f ca="1">VLOOKUP($B93,KOMBI!$A:$ADS,N$3,FALSE)</f>
        <v>#NUM!</v>
      </c>
      <c r="O93" s="291" t="e">
        <f ca="1">VLOOKUP($B93,KOMBI!$A:$ADS,O$3,FALSE)</f>
        <v>#NUM!</v>
      </c>
      <c r="P93" s="291" t="e">
        <f ca="1">VLOOKUP($B93,KOMBI!$A:$ADS,P$3,FALSE)</f>
        <v>#NUM!</v>
      </c>
      <c r="Q93" s="292" t="e">
        <f t="array" aca="1" ref="Q93" ca="1">VLOOKUP($B93,KOMBI!$A:$ADS,MATCH(Tulem!Q$3,KOMBI!$A$1:$ADS$1,0),FALSE)</f>
        <v>#NUM!</v>
      </c>
      <c r="S93" s="332" t="e">
        <f t="array" aca="1" ref="S93" ca="1">VLOOKUP($B93,KOMBI!$A:$ADS,MATCH(Tulem!S$3,KOMBI!$A$1:$ADS$1,0),FALSE)</f>
        <v>#NUM!</v>
      </c>
      <c r="T93" s="293" t="e">
        <f ca="1">VLOOKUP($B93,KOMBI!$A:$ADS,T$3,FALSE)</f>
        <v>#NUM!</v>
      </c>
      <c r="U93" s="293" t="e">
        <f ca="1">VLOOKUP($B93,KOMBI!$A:$ADS,U$3,FALSE)</f>
        <v>#NUM!</v>
      </c>
      <c r="V93" s="293" t="e">
        <f ca="1">VLOOKUP($B93,KOMBI!$A:$ADS,V$3,FALSE)</f>
        <v>#NUM!</v>
      </c>
      <c r="W93" s="293"/>
      <c r="X93" s="293" t="e">
        <f ca="1">VLOOKUP($B93,KOMBI!$A:$ADS,X$3,FALSE)</f>
        <v>#NUM!</v>
      </c>
      <c r="Y93" s="293" t="e">
        <f ca="1">VLOOKUP($B93,KOMBI!$A:$ADS,Y$3,FALSE)</f>
        <v>#NUM!</v>
      </c>
      <c r="Z93" s="293" t="e">
        <f ca="1">VLOOKUP($B93,KOMBI!$A:$ADS,Z$3,FALSE)</f>
        <v>#NUM!</v>
      </c>
      <c r="AA93" s="294"/>
      <c r="AB93" s="293" t="e">
        <f ca="1">VLOOKUP($B93,KOMBI!$A:$ADS,AB$3,FALSE)</f>
        <v>#NUM!</v>
      </c>
      <c r="AC93" s="293" t="e">
        <f ca="1">VLOOKUP($B93,KOMBI!$A:$ADS,AC$3,FALSE)-AB93</f>
        <v>#NUM!</v>
      </c>
      <c r="AD93" s="293" t="e">
        <f ca="1">VLOOKUP($B93,KOMBI!$A:$ADS,AD$3,FALSE)</f>
        <v>#NUM!</v>
      </c>
      <c r="AE93" s="293" t="e">
        <f ca="1">VLOOKUP($B93,KOMBI!$A:$ADS,AE$3,FALSE)</f>
        <v>#NUM!</v>
      </c>
      <c r="AF93" s="293" t="e">
        <f ca="1">VLOOKUP($B93,KOMBI!$A:$ADS,AF$3,FALSE)-AE93</f>
        <v>#NUM!</v>
      </c>
      <c r="AG93" s="293" t="e">
        <f ca="1">VLOOKUP($B93,KOMBI!$A:$ADS,AG$3,FALSE)</f>
        <v>#NUM!</v>
      </c>
      <c r="AI93" s="293" t="e">
        <f t="array" aca="1" ref="AI93" ca="1">VLOOKUP($B93,KOMBI!$A:$ADS,MATCH(Tulem!AI$3,KOMBI!$A$1:$ADS$1,0),FALSE)</f>
        <v>#NUM!</v>
      </c>
      <c r="AJ93" s="293" t="e">
        <f t="array" aca="1" ref="AJ93" ca="1">VLOOKUP($B93,KOMBI!$A:$ADS,MATCH(Tulem!AJ$3,KOMBI!$A$1:$ADS$1,0),FALSE)</f>
        <v>#NUM!</v>
      </c>
      <c r="AK93" s="293" t="e">
        <f t="array" aca="1" ref="AK93" ca="1">VLOOKUP($B93,KOMBI!$A:$ADS,MATCH(Tulem!AK$3,KOMBI!$A$1:$ADS$1,0),FALSE)</f>
        <v>#NUM!</v>
      </c>
      <c r="AL93" s="293" t="e">
        <f t="array" aca="1" ref="AL93" ca="1">VLOOKUP($B93,KOMBI!$A:$ADS,MATCH(Tulem!AL$3,KOMBI!$A$1:$ADS$1,0),FALSE)</f>
        <v>#NUM!</v>
      </c>
      <c r="AM93" s="293" t="e">
        <f t="array" aca="1" ref="AM93" ca="1">VLOOKUP($B93,KOMBI!$A:$ADS,MATCH(Tulem!AM$3,KOMBI!$A$1:$ADS$1,0),FALSE)</f>
        <v>#NUM!</v>
      </c>
      <c r="AN93" s="293" t="e">
        <f t="array" aca="1" ref="AN93" ca="1">VLOOKUP($B93,KOMBI!$A:$ADS,MATCH(Tulem!AN$3,KOMBI!$A$1:$ADS$1,0),FALSE)</f>
        <v>#NUM!</v>
      </c>
      <c r="AO93" s="293" t="e">
        <f t="array" aca="1" ref="AO93" ca="1">VLOOKUP($B93,KOMBI!$A:$ADS,MATCH(Tulem!AO$3,KOMBI!$A$1:$ADS$1,0),FALSE)</f>
        <v>#NUM!</v>
      </c>
      <c r="AP93" s="293" t="e">
        <f t="array" aca="1" ref="AP93" ca="1">VLOOKUP($B93,KOMBI!$A:$ADS,MATCH(Tulem!AP$3,KOMBI!$A$1:$ADS$1,0),FALSE)</f>
        <v>#NUM!</v>
      </c>
      <c r="AQ93" s="293" t="e">
        <f t="array" aca="1" ref="AQ93" ca="1">VLOOKUP($B93,KOMBI!$A:$ADS,MATCH(Tulem!AQ$3,KOMBI!$A$1:$ADS$1,0),FALSE)</f>
        <v>#NUM!</v>
      </c>
      <c r="AR93" s="293" t="e">
        <f t="array" aca="1" ref="AR93" ca="1">VLOOKUP($B93,KOMBI!$A:$ADS,MATCH(Tulem!AR$3,KOMBI!$A$1:$ADS$1,0),FALSE)</f>
        <v>#NUM!</v>
      </c>
      <c r="AS93" s="293" t="e">
        <f t="array" aca="1" ref="AS93" ca="1">VLOOKUP($B93,KOMBI!$A:$ADS,MATCH(Tulem!AS$3,KOMBI!$A$1:$ADS$1,0),FALSE)</f>
        <v>#NUM!</v>
      </c>
      <c r="AT93" s="293" t="e">
        <f t="array" aca="1" ref="AT93" ca="1">VLOOKUP($B93,KOMBI!$A:$ADS,MATCH(Tulem!AT$3,KOMBI!$A$1:$ADS$1,0),FALSE)</f>
        <v>#NUM!</v>
      </c>
      <c r="AU93" s="293" t="e">
        <f t="array" aca="1" ref="AU93" ca="1">VLOOKUP($B93,KOMBI!$A:$ADS,MATCH(Tulem!AU$3,KOMBI!$A$1:$ADS$1,0),FALSE)</f>
        <v>#NUM!</v>
      </c>
      <c r="AV93" s="293" t="e">
        <f t="shared" ca="1" si="4"/>
        <v>#NUM!</v>
      </c>
      <c r="AW93" s="293" t="e">
        <f t="shared" ca="1" si="5"/>
        <v>#NUM!</v>
      </c>
      <c r="AX93" s="291" t="e">
        <f ca="1">VLOOKUP($B93,KOMBI!$A:$ACA,MATCH(AX$5,KOMBI!$10:$10,0),FALSE)</f>
        <v>#NUM!</v>
      </c>
      <c r="AY93" s="292" t="e">
        <f t="array" aca="1" ref="AY93" ca="1">VLOOKUP($B93,KOMBI!$A:$ADS,MATCH(Tulem!AY$3,KOMBI!$A$1:$ADS$1,0),FALSE)</f>
        <v>#NUM!</v>
      </c>
      <c r="AZ93" s="292" t="e">
        <f t="array" aca="1" ref="AZ93" ca="1">VLOOKUP($B93,KOMBI!$A:$ADS,MATCH(Tulem!AZ$3,KOMBI!$A$1:$ADS$1,0),FALSE)</f>
        <v>#NUM!</v>
      </c>
      <c r="BA93" s="292" t="e">
        <f t="array" aca="1" ref="BA93" ca="1">VLOOKUP($B93,KOMBI!$A:$ADS,MATCH(Tulem!BA$3,KOMBI!$A$1:$ADS$1,0),FALSE)</f>
        <v>#NUM!</v>
      </c>
      <c r="BB93" s="292" t="e">
        <f t="array" aca="1" ref="BB93" ca="1">VLOOKUP($B93,KOMBI!$A:$ADS,MATCH(Tulem!BB$3,KOMBI!$A$1:$ADS$1,0),FALSE)</f>
        <v>#NUM!</v>
      </c>
      <c r="BC93" s="292" t="e">
        <f t="array" aca="1" ref="BC93" ca="1">VLOOKUP($B93,KOMBI!$A:$ADS,MATCH(Tulem!BC$3,KOMBI!$A$1:$ADS$1,0),FALSE)</f>
        <v>#NUM!</v>
      </c>
      <c r="BD93" s="292" t="e">
        <f t="array" aca="1" ref="BD93" ca="1">VLOOKUP($B93,KOMBI!$A:$ADS,MATCH(Tulem!BD$3,KOMBI!$A$1:$ADS$1,0),FALSE)</f>
        <v>#NUM!</v>
      </c>
      <c r="BE93" s="292" t="e">
        <f t="array" aca="1" ref="BE93" ca="1">VLOOKUP($B93,KOMBI!$A:$ADS,MATCH(Tulem!BE$3,KOMBI!$A$1:$ADS$1,0),FALSE)</f>
        <v>#NUM!</v>
      </c>
      <c r="BF93" s="292" t="e">
        <f t="array" aca="1" ref="BF93" ca="1">VLOOKUP($B93,KOMBI!$A:$ADS,MATCH(Tulem!BF$3,KOMBI!$A$1:$ADS$1,0),FALSE)</f>
        <v>#NUM!</v>
      </c>
      <c r="BG93" s="292" t="e">
        <f t="array" aca="1" ref="BG93" ca="1">VLOOKUP($B93,KOMBI!$A:$ADS,MATCH(Tulem!BG$3,KOMBI!$A$1:$ADS$1,0),FALSE)</f>
        <v>#NUM!</v>
      </c>
      <c r="BH93" s="292" t="e">
        <f t="array" aca="1" ref="BH93" ca="1">VLOOKUP($B93,KOMBI!$A:$ADS,MATCH(Tulem!BH$3,KOMBI!$A$1:$ADS$1,0),FALSE)</f>
        <v>#NUM!</v>
      </c>
      <c r="BI93" s="292" t="e">
        <f t="array" aca="1" ref="BI93" ca="1">VLOOKUP($B93,KOMBI!$A:$ADS,MATCH(Tulem!BI$3,KOMBI!$A$1:$ADS$1,0),FALSE)</f>
        <v>#NUM!</v>
      </c>
      <c r="BJ93" s="292" t="e">
        <f t="array" aca="1" ref="BJ93" ca="1">VLOOKUP($B93,KOMBI!$A:$ADS,MATCH(Tulem!BJ$3,KOMBI!$A$1:$ADS$1,0),FALSE)</f>
        <v>#NUM!</v>
      </c>
      <c r="BK93" s="292" t="e">
        <f t="array" aca="1" ref="BK93" ca="1">VLOOKUP($B93,KOMBI!$A:$ADS,MATCH(Tulem!BK$3,KOMBI!$A$1:$ADS$1,0),FALSE)</f>
        <v>#NUM!</v>
      </c>
      <c r="BL93" s="292" t="e">
        <f t="array" aca="1" ref="BL93" ca="1">VLOOKUP($B93,KOMBI!$A:$ADS,MATCH(Tulem!BL$3,KOMBI!$A$1:$ADS$1,0),FALSE)</f>
        <v>#NUM!</v>
      </c>
      <c r="BM93" s="292" t="e">
        <f t="array" aca="1" ref="BM93" ca="1">VLOOKUP($B93,KOMBI!$A:$ADS,MATCH(Tulem!BM$3,KOMBI!$A$1:$ADS$1,0),FALSE)</f>
        <v>#NUM!</v>
      </c>
      <c r="BN93" s="292" t="e">
        <f t="array" aca="1" ref="BN93" ca="1">VLOOKUP($B93,KOMBI!$A:$ADS,MATCH(Tulem!BN$3,KOMBI!$A$1:$ADS$1,0),FALSE)</f>
        <v>#NUM!</v>
      </c>
      <c r="BO93" s="292" t="e">
        <f t="array" aca="1" ref="BO93" ca="1">VLOOKUP($B93,KOMBI!$A:$ADS,MATCH(Tulem!BO$3,KOMBI!$A$1:$ADS$1,0),FALSE)</f>
        <v>#NUM!</v>
      </c>
      <c r="BP93" s="291"/>
      <c r="BQ93" s="292" t="e">
        <f t="array" aca="1" ref="BQ93" ca="1">VLOOKUP($B93,KOMBI!$A:$ADS,MATCH(Tulem!BQ$3,KOMBI!$A$1:$ADS$1,0),FALSE)</f>
        <v>#NUM!</v>
      </c>
      <c r="BR93" s="292" t="e">
        <f t="array" aca="1" ref="BR93" ca="1">VLOOKUP($B93,KOMBI!$A:$ADS,MATCH(Tulem!BR$3,KOMBI!$A$1:$ADS$1,0),FALSE)</f>
        <v>#NUM!</v>
      </c>
      <c r="BS93" s="292" t="e">
        <f t="array" aca="1" ref="BS93" ca="1">VLOOKUP($B93,KOMBI!$A:$ADS,MATCH(Tulem!BS$3,KOMBI!$A$1:$ADS$1,0),FALSE)</f>
        <v>#NUM!</v>
      </c>
      <c r="BT93" s="292" t="e">
        <f t="array" aca="1" ref="BT93" ca="1">VLOOKUP($B93,KOMBI!$A:$ADS,MATCH(Tulem!BT$3,KOMBI!$A$1:$ADS$1,0),FALSE)</f>
        <v>#NUM!</v>
      </c>
      <c r="BU93" s="292" t="e">
        <f t="array" aca="1" ref="BU93" ca="1">VLOOKUP($B93,KOMBI!$A:$ADS,MATCH(Tulem!BU$3,KOMBI!$A$1:$ADS$1,0),FALSE)</f>
        <v>#NUM!</v>
      </c>
      <c r="BV93" s="291"/>
      <c r="BW93" s="292" t="e">
        <f t="array" aca="1" ref="BW93" ca="1">VLOOKUP($B93,KOMBI!$A:$ADS,MATCH(Tulem!BW$3,KOMBI!$A$1:$ADS$1,0),FALSE)</f>
        <v>#NUM!</v>
      </c>
      <c r="BX93" s="291"/>
      <c r="BY93" s="291"/>
      <c r="BZ93" s="292" t="e">
        <f t="array" aca="1" ref="BZ93" ca="1">VLOOKUP($B93,KOMBI!$A:$ADS,MATCH(Tulem!BZ$3,KOMBI!$A$1:$ADS$1,0),FALSE)</f>
        <v>#NUM!</v>
      </c>
      <c r="CA93" s="292" t="e">
        <f t="array" aca="1" ref="CA93" ca="1">VLOOKUP($B93,KOMBI!$A:$ADS,MATCH(Tulem!CA$3,KOMBI!$A$1:$ADS$1,0),FALSE)</f>
        <v>#NUM!</v>
      </c>
      <c r="CB93" s="292" t="e">
        <f t="array" aca="1" ref="CB93" ca="1">VLOOKUP($B93,KOMBI!$A:$ADS,MATCH(Tulem!CB$3,KOMBI!$A$1:$ADS$1,0),FALSE)</f>
        <v>#NUM!</v>
      </c>
      <c r="CC93" s="292" t="e">
        <f t="array" aca="1" ref="CC93" ca="1">VLOOKUP($B93,KOMBI!$A:$ADS,MATCH(Tulem!CC$3,KOMBI!$A$1:$ADS$1,0),FALSE)</f>
        <v>#NUM!</v>
      </c>
      <c r="CD93" s="292" t="e">
        <f t="array" aca="1" ref="CD93" ca="1">VLOOKUP($B93,KOMBI!$A:$ADS,MATCH(Tulem!CD$3,KOMBI!$A$1:$ADS$1,0),FALSE)</f>
        <v>#NUM!</v>
      </c>
      <c r="CF93" s="51" t="e">
        <f ca="1">VLOOKUP($B93,KOMBI!$A:$ACG,MATCH(CF$5,KOMBI!$10:$10,0),FALSE)</f>
        <v>#NUM!</v>
      </c>
    </row>
    <row r="94" spans="1:84" x14ac:dyDescent="0.2">
      <c r="A94" s="51">
        <v>89</v>
      </c>
      <c r="B94" s="51" t="e">
        <f ca="1">KOMBI!GI99</f>
        <v>#NUM!</v>
      </c>
      <c r="C94" s="51">
        <f t="shared" si="3"/>
        <v>89</v>
      </c>
      <c r="D94" s="290" t="e">
        <f ca="1">VLOOKUP(VLOOKUP($B94,KOMBI!$A:$H,3,FALSE),data!$I$27:$J$29,2,FALSE)</f>
        <v>#NUM!</v>
      </c>
      <c r="E94" s="290" t="e">
        <f ca="1">VLOOKUP(VLOOKUP($B94,KOMBI!$A:$H,2,FALSE),data!$I$21:$J$23,2,FALSE)</f>
        <v>#NUM!</v>
      </c>
      <c r="F94" s="290" t="e">
        <f ca="1">VLOOKUP(VLOOKUP($B94,KOMBI!$A:$H,5,FALSE),data!$I$39:$J$41,2,FALSE)</f>
        <v>#NUM!</v>
      </c>
      <c r="G94" s="290" t="e">
        <f ca="1">VLOOKUP(VLOOKUP($B94,KOMBI!$A:$H,4,FALSE),data!$I$32:$J$36,2,FALSE)</f>
        <v>#NUM!</v>
      </c>
      <c r="I94" s="51" t="e">
        <f ca="1">VLOOKUP($B94,KOMBI!$A:$Z,MATCH(I$5,KOMBI!$10:$10,0),FALSE)</f>
        <v>#NUM!</v>
      </c>
      <c r="J94" s="291" t="e">
        <f ca="1">VLOOKUP($B94,KOMBI!$A:$ADS,J$3,FALSE)</f>
        <v>#NUM!</v>
      </c>
      <c r="K94" s="291" t="e">
        <f ca="1">VLOOKUP($B94,KOMBI!$A:$ADS,K$3,FALSE)</f>
        <v>#NUM!</v>
      </c>
      <c r="L94" s="291" t="e">
        <f ca="1">VLOOKUP($B94,KOMBI!$A:$ADS,L$3,FALSE)</f>
        <v>#NUM!</v>
      </c>
      <c r="M94" s="291" t="e">
        <f ca="1">VLOOKUP($B94,KOMBI!$A:$ADS,M$3,FALSE)</f>
        <v>#NUM!</v>
      </c>
      <c r="N94" s="291" t="e">
        <f ca="1">VLOOKUP($B94,KOMBI!$A:$ADS,N$3,FALSE)</f>
        <v>#NUM!</v>
      </c>
      <c r="O94" s="291" t="e">
        <f ca="1">VLOOKUP($B94,KOMBI!$A:$ADS,O$3,FALSE)</f>
        <v>#NUM!</v>
      </c>
      <c r="P94" s="291" t="e">
        <f ca="1">VLOOKUP($B94,KOMBI!$A:$ADS,P$3,FALSE)</f>
        <v>#NUM!</v>
      </c>
      <c r="Q94" s="292" t="e">
        <f t="array" aca="1" ref="Q94" ca="1">VLOOKUP($B94,KOMBI!$A:$ADS,MATCH(Tulem!Q$3,KOMBI!$A$1:$ADS$1,0),FALSE)</f>
        <v>#NUM!</v>
      </c>
      <c r="S94" s="332" t="e">
        <f t="array" aca="1" ref="S94" ca="1">VLOOKUP($B94,KOMBI!$A:$ADS,MATCH(Tulem!S$3,KOMBI!$A$1:$ADS$1,0),FALSE)</f>
        <v>#NUM!</v>
      </c>
      <c r="T94" s="293" t="e">
        <f ca="1">VLOOKUP($B94,KOMBI!$A:$ADS,T$3,FALSE)</f>
        <v>#NUM!</v>
      </c>
      <c r="U94" s="293" t="e">
        <f ca="1">VLOOKUP($B94,KOMBI!$A:$ADS,U$3,FALSE)</f>
        <v>#NUM!</v>
      </c>
      <c r="V94" s="293" t="e">
        <f ca="1">VLOOKUP($B94,KOMBI!$A:$ADS,V$3,FALSE)</f>
        <v>#NUM!</v>
      </c>
      <c r="W94" s="293"/>
      <c r="X94" s="293" t="e">
        <f ca="1">VLOOKUP($B94,KOMBI!$A:$ADS,X$3,FALSE)</f>
        <v>#NUM!</v>
      </c>
      <c r="Y94" s="293" t="e">
        <f ca="1">VLOOKUP($B94,KOMBI!$A:$ADS,Y$3,FALSE)</f>
        <v>#NUM!</v>
      </c>
      <c r="Z94" s="293" t="e">
        <f ca="1">VLOOKUP($B94,KOMBI!$A:$ADS,Z$3,FALSE)</f>
        <v>#NUM!</v>
      </c>
      <c r="AA94" s="294"/>
      <c r="AB94" s="293" t="e">
        <f ca="1">VLOOKUP($B94,KOMBI!$A:$ADS,AB$3,FALSE)</f>
        <v>#NUM!</v>
      </c>
      <c r="AC94" s="293" t="e">
        <f ca="1">VLOOKUP($B94,KOMBI!$A:$ADS,AC$3,FALSE)-AB94</f>
        <v>#NUM!</v>
      </c>
      <c r="AD94" s="293" t="e">
        <f ca="1">VLOOKUP($B94,KOMBI!$A:$ADS,AD$3,FALSE)</f>
        <v>#NUM!</v>
      </c>
      <c r="AE94" s="293" t="e">
        <f ca="1">VLOOKUP($B94,KOMBI!$A:$ADS,AE$3,FALSE)</f>
        <v>#NUM!</v>
      </c>
      <c r="AF94" s="293" t="e">
        <f ca="1">VLOOKUP($B94,KOMBI!$A:$ADS,AF$3,FALSE)-AE94</f>
        <v>#NUM!</v>
      </c>
      <c r="AG94" s="293" t="e">
        <f ca="1">VLOOKUP($B94,KOMBI!$A:$ADS,AG$3,FALSE)</f>
        <v>#NUM!</v>
      </c>
      <c r="AI94" s="293" t="e">
        <f t="array" aca="1" ref="AI94" ca="1">VLOOKUP($B94,KOMBI!$A:$ADS,MATCH(Tulem!AI$3,KOMBI!$A$1:$ADS$1,0),FALSE)</f>
        <v>#NUM!</v>
      </c>
      <c r="AJ94" s="293" t="e">
        <f t="array" aca="1" ref="AJ94" ca="1">VLOOKUP($B94,KOMBI!$A:$ADS,MATCH(Tulem!AJ$3,KOMBI!$A$1:$ADS$1,0),FALSE)</f>
        <v>#NUM!</v>
      </c>
      <c r="AK94" s="293" t="e">
        <f t="array" aca="1" ref="AK94" ca="1">VLOOKUP($B94,KOMBI!$A:$ADS,MATCH(Tulem!AK$3,KOMBI!$A$1:$ADS$1,0),FALSE)</f>
        <v>#NUM!</v>
      </c>
      <c r="AL94" s="293" t="e">
        <f t="array" aca="1" ref="AL94" ca="1">VLOOKUP($B94,KOMBI!$A:$ADS,MATCH(Tulem!AL$3,KOMBI!$A$1:$ADS$1,0),FALSE)</f>
        <v>#NUM!</v>
      </c>
      <c r="AM94" s="293" t="e">
        <f t="array" aca="1" ref="AM94" ca="1">VLOOKUP($B94,KOMBI!$A:$ADS,MATCH(Tulem!AM$3,KOMBI!$A$1:$ADS$1,0),FALSE)</f>
        <v>#NUM!</v>
      </c>
      <c r="AN94" s="293" t="e">
        <f t="array" aca="1" ref="AN94" ca="1">VLOOKUP($B94,KOMBI!$A:$ADS,MATCH(Tulem!AN$3,KOMBI!$A$1:$ADS$1,0),FALSE)</f>
        <v>#NUM!</v>
      </c>
      <c r="AO94" s="293" t="e">
        <f t="array" aca="1" ref="AO94" ca="1">VLOOKUP($B94,KOMBI!$A:$ADS,MATCH(Tulem!AO$3,KOMBI!$A$1:$ADS$1,0),FALSE)</f>
        <v>#NUM!</v>
      </c>
      <c r="AP94" s="293" t="e">
        <f t="array" aca="1" ref="AP94" ca="1">VLOOKUP($B94,KOMBI!$A:$ADS,MATCH(Tulem!AP$3,KOMBI!$A$1:$ADS$1,0),FALSE)</f>
        <v>#NUM!</v>
      </c>
      <c r="AQ94" s="293" t="e">
        <f t="array" aca="1" ref="AQ94" ca="1">VLOOKUP($B94,KOMBI!$A:$ADS,MATCH(Tulem!AQ$3,KOMBI!$A$1:$ADS$1,0),FALSE)</f>
        <v>#NUM!</v>
      </c>
      <c r="AR94" s="293" t="e">
        <f t="array" aca="1" ref="AR94" ca="1">VLOOKUP($B94,KOMBI!$A:$ADS,MATCH(Tulem!AR$3,KOMBI!$A$1:$ADS$1,0),FALSE)</f>
        <v>#NUM!</v>
      </c>
      <c r="AS94" s="293" t="e">
        <f t="array" aca="1" ref="AS94" ca="1">VLOOKUP($B94,KOMBI!$A:$ADS,MATCH(Tulem!AS$3,KOMBI!$A$1:$ADS$1,0),FALSE)</f>
        <v>#NUM!</v>
      </c>
      <c r="AT94" s="293" t="e">
        <f t="array" aca="1" ref="AT94" ca="1">VLOOKUP($B94,KOMBI!$A:$ADS,MATCH(Tulem!AT$3,KOMBI!$A$1:$ADS$1,0),FALSE)</f>
        <v>#NUM!</v>
      </c>
      <c r="AU94" s="293" t="e">
        <f t="array" aca="1" ref="AU94" ca="1">VLOOKUP($B94,KOMBI!$A:$ADS,MATCH(Tulem!AU$3,KOMBI!$A$1:$ADS$1,0),FALSE)</f>
        <v>#NUM!</v>
      </c>
      <c r="AV94" s="293" t="e">
        <f t="shared" ca="1" si="4"/>
        <v>#NUM!</v>
      </c>
      <c r="AW94" s="293" t="e">
        <f t="shared" ca="1" si="5"/>
        <v>#NUM!</v>
      </c>
      <c r="AX94" s="291" t="e">
        <f ca="1">VLOOKUP($B94,KOMBI!$A:$ACA,MATCH(AX$5,KOMBI!$10:$10,0),FALSE)</f>
        <v>#NUM!</v>
      </c>
      <c r="AY94" s="292" t="e">
        <f t="array" aca="1" ref="AY94" ca="1">VLOOKUP($B94,KOMBI!$A:$ADS,MATCH(Tulem!AY$3,KOMBI!$A$1:$ADS$1,0),FALSE)</f>
        <v>#NUM!</v>
      </c>
      <c r="AZ94" s="292" t="e">
        <f t="array" aca="1" ref="AZ94" ca="1">VLOOKUP($B94,KOMBI!$A:$ADS,MATCH(Tulem!AZ$3,KOMBI!$A$1:$ADS$1,0),FALSE)</f>
        <v>#NUM!</v>
      </c>
      <c r="BA94" s="292" t="e">
        <f t="array" aca="1" ref="BA94" ca="1">VLOOKUP($B94,KOMBI!$A:$ADS,MATCH(Tulem!BA$3,KOMBI!$A$1:$ADS$1,0),FALSE)</f>
        <v>#NUM!</v>
      </c>
      <c r="BB94" s="292" t="e">
        <f t="array" aca="1" ref="BB94" ca="1">VLOOKUP($B94,KOMBI!$A:$ADS,MATCH(Tulem!BB$3,KOMBI!$A$1:$ADS$1,0),FALSE)</f>
        <v>#NUM!</v>
      </c>
      <c r="BC94" s="292" t="e">
        <f t="array" aca="1" ref="BC94" ca="1">VLOOKUP($B94,KOMBI!$A:$ADS,MATCH(Tulem!BC$3,KOMBI!$A$1:$ADS$1,0),FALSE)</f>
        <v>#NUM!</v>
      </c>
      <c r="BD94" s="292" t="e">
        <f t="array" aca="1" ref="BD94" ca="1">VLOOKUP($B94,KOMBI!$A:$ADS,MATCH(Tulem!BD$3,KOMBI!$A$1:$ADS$1,0),FALSE)</f>
        <v>#NUM!</v>
      </c>
      <c r="BE94" s="292" t="e">
        <f t="array" aca="1" ref="BE94" ca="1">VLOOKUP($B94,KOMBI!$A:$ADS,MATCH(Tulem!BE$3,KOMBI!$A$1:$ADS$1,0),FALSE)</f>
        <v>#NUM!</v>
      </c>
      <c r="BF94" s="292" t="e">
        <f t="array" aca="1" ref="BF94" ca="1">VLOOKUP($B94,KOMBI!$A:$ADS,MATCH(Tulem!BF$3,KOMBI!$A$1:$ADS$1,0),FALSE)</f>
        <v>#NUM!</v>
      </c>
      <c r="BG94" s="292" t="e">
        <f t="array" aca="1" ref="BG94" ca="1">VLOOKUP($B94,KOMBI!$A:$ADS,MATCH(Tulem!BG$3,KOMBI!$A$1:$ADS$1,0),FALSE)</f>
        <v>#NUM!</v>
      </c>
      <c r="BH94" s="292" t="e">
        <f t="array" aca="1" ref="BH94" ca="1">VLOOKUP($B94,KOMBI!$A:$ADS,MATCH(Tulem!BH$3,KOMBI!$A$1:$ADS$1,0),FALSE)</f>
        <v>#NUM!</v>
      </c>
      <c r="BI94" s="292" t="e">
        <f t="array" aca="1" ref="BI94" ca="1">VLOOKUP($B94,KOMBI!$A:$ADS,MATCH(Tulem!BI$3,KOMBI!$A$1:$ADS$1,0),FALSE)</f>
        <v>#NUM!</v>
      </c>
      <c r="BJ94" s="292" t="e">
        <f t="array" aca="1" ref="BJ94" ca="1">VLOOKUP($B94,KOMBI!$A:$ADS,MATCH(Tulem!BJ$3,KOMBI!$A$1:$ADS$1,0),FALSE)</f>
        <v>#NUM!</v>
      </c>
      <c r="BK94" s="292" t="e">
        <f t="array" aca="1" ref="BK94" ca="1">VLOOKUP($B94,KOMBI!$A:$ADS,MATCH(Tulem!BK$3,KOMBI!$A$1:$ADS$1,0),FALSE)</f>
        <v>#NUM!</v>
      </c>
      <c r="BL94" s="292" t="e">
        <f t="array" aca="1" ref="BL94" ca="1">VLOOKUP($B94,KOMBI!$A:$ADS,MATCH(Tulem!BL$3,KOMBI!$A$1:$ADS$1,0),FALSE)</f>
        <v>#NUM!</v>
      </c>
      <c r="BM94" s="292" t="e">
        <f t="array" aca="1" ref="BM94" ca="1">VLOOKUP($B94,KOMBI!$A:$ADS,MATCH(Tulem!BM$3,KOMBI!$A$1:$ADS$1,0),FALSE)</f>
        <v>#NUM!</v>
      </c>
      <c r="BN94" s="292" t="e">
        <f t="array" aca="1" ref="BN94" ca="1">VLOOKUP($B94,KOMBI!$A:$ADS,MATCH(Tulem!BN$3,KOMBI!$A$1:$ADS$1,0),FALSE)</f>
        <v>#NUM!</v>
      </c>
      <c r="BO94" s="292" t="e">
        <f t="array" aca="1" ref="BO94" ca="1">VLOOKUP($B94,KOMBI!$A:$ADS,MATCH(Tulem!BO$3,KOMBI!$A$1:$ADS$1,0),FALSE)</f>
        <v>#NUM!</v>
      </c>
      <c r="BP94" s="291"/>
      <c r="BQ94" s="292" t="e">
        <f t="array" aca="1" ref="BQ94" ca="1">VLOOKUP($B94,KOMBI!$A:$ADS,MATCH(Tulem!BQ$3,KOMBI!$A$1:$ADS$1,0),FALSE)</f>
        <v>#NUM!</v>
      </c>
      <c r="BR94" s="292" t="e">
        <f t="array" aca="1" ref="BR94" ca="1">VLOOKUP($B94,KOMBI!$A:$ADS,MATCH(Tulem!BR$3,KOMBI!$A$1:$ADS$1,0),FALSE)</f>
        <v>#NUM!</v>
      </c>
      <c r="BS94" s="292" t="e">
        <f t="array" aca="1" ref="BS94" ca="1">VLOOKUP($B94,KOMBI!$A:$ADS,MATCH(Tulem!BS$3,KOMBI!$A$1:$ADS$1,0),FALSE)</f>
        <v>#NUM!</v>
      </c>
      <c r="BT94" s="292" t="e">
        <f t="array" aca="1" ref="BT94" ca="1">VLOOKUP($B94,KOMBI!$A:$ADS,MATCH(Tulem!BT$3,KOMBI!$A$1:$ADS$1,0),FALSE)</f>
        <v>#NUM!</v>
      </c>
      <c r="BU94" s="292" t="e">
        <f t="array" aca="1" ref="BU94" ca="1">VLOOKUP($B94,KOMBI!$A:$ADS,MATCH(Tulem!BU$3,KOMBI!$A$1:$ADS$1,0),FALSE)</f>
        <v>#NUM!</v>
      </c>
      <c r="BV94" s="291"/>
      <c r="BW94" s="292" t="e">
        <f t="array" aca="1" ref="BW94" ca="1">VLOOKUP($B94,KOMBI!$A:$ADS,MATCH(Tulem!BW$3,KOMBI!$A$1:$ADS$1,0),FALSE)</f>
        <v>#NUM!</v>
      </c>
      <c r="BX94" s="291"/>
      <c r="BY94" s="291"/>
      <c r="BZ94" s="292" t="e">
        <f t="array" aca="1" ref="BZ94" ca="1">VLOOKUP($B94,KOMBI!$A:$ADS,MATCH(Tulem!BZ$3,KOMBI!$A$1:$ADS$1,0),FALSE)</f>
        <v>#NUM!</v>
      </c>
      <c r="CA94" s="292" t="e">
        <f t="array" aca="1" ref="CA94" ca="1">VLOOKUP($B94,KOMBI!$A:$ADS,MATCH(Tulem!CA$3,KOMBI!$A$1:$ADS$1,0),FALSE)</f>
        <v>#NUM!</v>
      </c>
      <c r="CB94" s="292" t="e">
        <f t="array" aca="1" ref="CB94" ca="1">VLOOKUP($B94,KOMBI!$A:$ADS,MATCH(Tulem!CB$3,KOMBI!$A$1:$ADS$1,0),FALSE)</f>
        <v>#NUM!</v>
      </c>
      <c r="CC94" s="292" t="e">
        <f t="array" aca="1" ref="CC94" ca="1">VLOOKUP($B94,KOMBI!$A:$ADS,MATCH(Tulem!CC$3,KOMBI!$A$1:$ADS$1,0),FALSE)</f>
        <v>#NUM!</v>
      </c>
      <c r="CD94" s="292" t="e">
        <f t="array" aca="1" ref="CD94" ca="1">VLOOKUP($B94,KOMBI!$A:$ADS,MATCH(Tulem!CD$3,KOMBI!$A$1:$ADS$1,0),FALSE)</f>
        <v>#NUM!</v>
      </c>
      <c r="CF94" s="51" t="e">
        <f ca="1">VLOOKUP($B94,KOMBI!$A:$ACG,MATCH(CF$5,KOMBI!$10:$10,0),FALSE)</f>
        <v>#NUM!</v>
      </c>
    </row>
    <row r="95" spans="1:84" x14ac:dyDescent="0.2">
      <c r="A95" s="51">
        <v>90</v>
      </c>
      <c r="B95" s="51" t="e">
        <f ca="1">KOMBI!GI100</f>
        <v>#NUM!</v>
      </c>
      <c r="C95" s="51">
        <f t="shared" si="3"/>
        <v>90</v>
      </c>
      <c r="D95" s="290" t="e">
        <f ca="1">VLOOKUP(VLOOKUP($B95,KOMBI!$A:$H,3,FALSE),data!$I$27:$J$29,2,FALSE)</f>
        <v>#NUM!</v>
      </c>
      <c r="E95" s="290" t="e">
        <f ca="1">VLOOKUP(VLOOKUP($B95,KOMBI!$A:$H,2,FALSE),data!$I$21:$J$23,2,FALSE)</f>
        <v>#NUM!</v>
      </c>
      <c r="F95" s="290" t="e">
        <f ca="1">VLOOKUP(VLOOKUP($B95,KOMBI!$A:$H,5,FALSE),data!$I$39:$J$41,2,FALSE)</f>
        <v>#NUM!</v>
      </c>
      <c r="G95" s="290" t="e">
        <f ca="1">VLOOKUP(VLOOKUP($B95,KOMBI!$A:$H,4,FALSE),data!$I$32:$J$36,2,FALSE)</f>
        <v>#NUM!</v>
      </c>
      <c r="I95" s="51" t="e">
        <f ca="1">VLOOKUP($B95,KOMBI!$A:$Z,MATCH(I$5,KOMBI!$10:$10,0),FALSE)</f>
        <v>#NUM!</v>
      </c>
      <c r="J95" s="291" t="e">
        <f ca="1">VLOOKUP($B95,KOMBI!$A:$ADS,J$3,FALSE)</f>
        <v>#NUM!</v>
      </c>
      <c r="K95" s="291" t="e">
        <f ca="1">VLOOKUP($B95,KOMBI!$A:$ADS,K$3,FALSE)</f>
        <v>#NUM!</v>
      </c>
      <c r="L95" s="291" t="e">
        <f ca="1">VLOOKUP($B95,KOMBI!$A:$ADS,L$3,FALSE)</f>
        <v>#NUM!</v>
      </c>
      <c r="M95" s="291" t="e">
        <f ca="1">VLOOKUP($B95,KOMBI!$A:$ADS,M$3,FALSE)</f>
        <v>#NUM!</v>
      </c>
      <c r="N95" s="291" t="e">
        <f ca="1">VLOOKUP($B95,KOMBI!$A:$ADS,N$3,FALSE)</f>
        <v>#NUM!</v>
      </c>
      <c r="O95" s="291" t="e">
        <f ca="1">VLOOKUP($B95,KOMBI!$A:$ADS,O$3,FALSE)</f>
        <v>#NUM!</v>
      </c>
      <c r="P95" s="291" t="e">
        <f ca="1">VLOOKUP($B95,KOMBI!$A:$ADS,P$3,FALSE)</f>
        <v>#NUM!</v>
      </c>
      <c r="Q95" s="292" t="e">
        <f t="array" aca="1" ref="Q95" ca="1">VLOOKUP($B95,KOMBI!$A:$ADS,MATCH(Tulem!Q$3,KOMBI!$A$1:$ADS$1,0),FALSE)</f>
        <v>#NUM!</v>
      </c>
      <c r="S95" s="332" t="e">
        <f t="array" aca="1" ref="S95" ca="1">VLOOKUP($B95,KOMBI!$A:$ADS,MATCH(Tulem!S$3,KOMBI!$A$1:$ADS$1,0),FALSE)</f>
        <v>#NUM!</v>
      </c>
      <c r="T95" s="293" t="e">
        <f ca="1">VLOOKUP($B95,KOMBI!$A:$ADS,T$3,FALSE)</f>
        <v>#NUM!</v>
      </c>
      <c r="U95" s="293" t="e">
        <f ca="1">VLOOKUP($B95,KOMBI!$A:$ADS,U$3,FALSE)</f>
        <v>#NUM!</v>
      </c>
      <c r="V95" s="293" t="e">
        <f ca="1">VLOOKUP($B95,KOMBI!$A:$ADS,V$3,FALSE)</f>
        <v>#NUM!</v>
      </c>
      <c r="W95" s="293"/>
      <c r="X95" s="293" t="e">
        <f ca="1">VLOOKUP($B95,KOMBI!$A:$ADS,X$3,FALSE)</f>
        <v>#NUM!</v>
      </c>
      <c r="Y95" s="293" t="e">
        <f ca="1">VLOOKUP($B95,KOMBI!$A:$ADS,Y$3,FALSE)</f>
        <v>#NUM!</v>
      </c>
      <c r="Z95" s="293" t="e">
        <f ca="1">VLOOKUP($B95,KOMBI!$A:$ADS,Z$3,FALSE)</f>
        <v>#NUM!</v>
      </c>
      <c r="AA95" s="294"/>
      <c r="AB95" s="293" t="e">
        <f ca="1">VLOOKUP($B95,KOMBI!$A:$ADS,AB$3,FALSE)</f>
        <v>#NUM!</v>
      </c>
      <c r="AC95" s="293" t="e">
        <f ca="1">VLOOKUP($B95,KOMBI!$A:$ADS,AC$3,FALSE)-AB95</f>
        <v>#NUM!</v>
      </c>
      <c r="AD95" s="293" t="e">
        <f ca="1">VLOOKUP($B95,KOMBI!$A:$ADS,AD$3,FALSE)</f>
        <v>#NUM!</v>
      </c>
      <c r="AE95" s="293" t="e">
        <f ca="1">VLOOKUP($B95,KOMBI!$A:$ADS,AE$3,FALSE)</f>
        <v>#NUM!</v>
      </c>
      <c r="AF95" s="293" t="e">
        <f ca="1">VLOOKUP($B95,KOMBI!$A:$ADS,AF$3,FALSE)-AE95</f>
        <v>#NUM!</v>
      </c>
      <c r="AG95" s="293" t="e">
        <f ca="1">VLOOKUP($B95,KOMBI!$A:$ADS,AG$3,FALSE)</f>
        <v>#NUM!</v>
      </c>
      <c r="AI95" s="293" t="e">
        <f t="array" aca="1" ref="AI95" ca="1">VLOOKUP($B95,KOMBI!$A:$ADS,MATCH(Tulem!AI$3,KOMBI!$A$1:$ADS$1,0),FALSE)</f>
        <v>#NUM!</v>
      </c>
      <c r="AJ95" s="293" t="e">
        <f t="array" aca="1" ref="AJ95" ca="1">VLOOKUP($B95,KOMBI!$A:$ADS,MATCH(Tulem!AJ$3,KOMBI!$A$1:$ADS$1,0),FALSE)</f>
        <v>#NUM!</v>
      </c>
      <c r="AK95" s="293" t="e">
        <f t="array" aca="1" ref="AK95" ca="1">VLOOKUP($B95,KOMBI!$A:$ADS,MATCH(Tulem!AK$3,KOMBI!$A$1:$ADS$1,0),FALSE)</f>
        <v>#NUM!</v>
      </c>
      <c r="AL95" s="293" t="e">
        <f t="array" aca="1" ref="AL95" ca="1">VLOOKUP($B95,KOMBI!$A:$ADS,MATCH(Tulem!AL$3,KOMBI!$A$1:$ADS$1,0),FALSE)</f>
        <v>#NUM!</v>
      </c>
      <c r="AM95" s="293" t="e">
        <f t="array" aca="1" ref="AM95" ca="1">VLOOKUP($B95,KOMBI!$A:$ADS,MATCH(Tulem!AM$3,KOMBI!$A$1:$ADS$1,0),FALSE)</f>
        <v>#NUM!</v>
      </c>
      <c r="AN95" s="293" t="e">
        <f t="array" aca="1" ref="AN95" ca="1">VLOOKUP($B95,KOMBI!$A:$ADS,MATCH(Tulem!AN$3,KOMBI!$A$1:$ADS$1,0),FALSE)</f>
        <v>#NUM!</v>
      </c>
      <c r="AO95" s="293" t="e">
        <f t="array" aca="1" ref="AO95" ca="1">VLOOKUP($B95,KOMBI!$A:$ADS,MATCH(Tulem!AO$3,KOMBI!$A$1:$ADS$1,0),FALSE)</f>
        <v>#NUM!</v>
      </c>
      <c r="AP95" s="293" t="e">
        <f t="array" aca="1" ref="AP95" ca="1">VLOOKUP($B95,KOMBI!$A:$ADS,MATCH(Tulem!AP$3,KOMBI!$A$1:$ADS$1,0),FALSE)</f>
        <v>#NUM!</v>
      </c>
      <c r="AQ95" s="293" t="e">
        <f t="array" aca="1" ref="AQ95" ca="1">VLOOKUP($B95,KOMBI!$A:$ADS,MATCH(Tulem!AQ$3,KOMBI!$A$1:$ADS$1,0),FALSE)</f>
        <v>#NUM!</v>
      </c>
      <c r="AR95" s="293" t="e">
        <f t="array" aca="1" ref="AR95" ca="1">VLOOKUP($B95,KOMBI!$A:$ADS,MATCH(Tulem!AR$3,KOMBI!$A$1:$ADS$1,0),FALSE)</f>
        <v>#NUM!</v>
      </c>
      <c r="AS95" s="293" t="e">
        <f t="array" aca="1" ref="AS95" ca="1">VLOOKUP($B95,KOMBI!$A:$ADS,MATCH(Tulem!AS$3,KOMBI!$A$1:$ADS$1,0),FALSE)</f>
        <v>#NUM!</v>
      </c>
      <c r="AT95" s="293" t="e">
        <f t="array" aca="1" ref="AT95" ca="1">VLOOKUP($B95,KOMBI!$A:$ADS,MATCH(Tulem!AT$3,KOMBI!$A$1:$ADS$1,0),FALSE)</f>
        <v>#NUM!</v>
      </c>
      <c r="AU95" s="293" t="e">
        <f t="array" aca="1" ref="AU95" ca="1">VLOOKUP($B95,KOMBI!$A:$ADS,MATCH(Tulem!AU$3,KOMBI!$A$1:$ADS$1,0),FALSE)</f>
        <v>#NUM!</v>
      </c>
      <c r="AV95" s="293" t="e">
        <f t="shared" ca="1" si="4"/>
        <v>#NUM!</v>
      </c>
      <c r="AW95" s="293" t="e">
        <f t="shared" ca="1" si="5"/>
        <v>#NUM!</v>
      </c>
      <c r="AX95" s="291" t="e">
        <f ca="1">VLOOKUP($B95,KOMBI!$A:$ACA,MATCH(AX$5,KOMBI!$10:$10,0),FALSE)</f>
        <v>#NUM!</v>
      </c>
      <c r="AY95" s="292" t="e">
        <f t="array" aca="1" ref="AY95" ca="1">VLOOKUP($B95,KOMBI!$A:$ADS,MATCH(Tulem!AY$3,KOMBI!$A$1:$ADS$1,0),FALSE)</f>
        <v>#NUM!</v>
      </c>
      <c r="AZ95" s="292" t="e">
        <f t="array" aca="1" ref="AZ95" ca="1">VLOOKUP($B95,KOMBI!$A:$ADS,MATCH(Tulem!AZ$3,KOMBI!$A$1:$ADS$1,0),FALSE)</f>
        <v>#NUM!</v>
      </c>
      <c r="BA95" s="292" t="e">
        <f t="array" aca="1" ref="BA95" ca="1">VLOOKUP($B95,KOMBI!$A:$ADS,MATCH(Tulem!BA$3,KOMBI!$A$1:$ADS$1,0),FALSE)</f>
        <v>#NUM!</v>
      </c>
      <c r="BB95" s="292" t="e">
        <f t="array" aca="1" ref="BB95" ca="1">VLOOKUP($B95,KOMBI!$A:$ADS,MATCH(Tulem!BB$3,KOMBI!$A$1:$ADS$1,0),FALSE)</f>
        <v>#NUM!</v>
      </c>
      <c r="BC95" s="292" t="e">
        <f t="array" aca="1" ref="BC95" ca="1">VLOOKUP($B95,KOMBI!$A:$ADS,MATCH(Tulem!BC$3,KOMBI!$A$1:$ADS$1,0),FALSE)</f>
        <v>#NUM!</v>
      </c>
      <c r="BD95" s="292" t="e">
        <f t="array" aca="1" ref="BD95" ca="1">VLOOKUP($B95,KOMBI!$A:$ADS,MATCH(Tulem!BD$3,KOMBI!$A$1:$ADS$1,0),FALSE)</f>
        <v>#NUM!</v>
      </c>
      <c r="BE95" s="292" t="e">
        <f t="array" aca="1" ref="BE95" ca="1">VLOOKUP($B95,KOMBI!$A:$ADS,MATCH(Tulem!BE$3,KOMBI!$A$1:$ADS$1,0),FALSE)</f>
        <v>#NUM!</v>
      </c>
      <c r="BF95" s="292" t="e">
        <f t="array" aca="1" ref="BF95" ca="1">VLOOKUP($B95,KOMBI!$A:$ADS,MATCH(Tulem!BF$3,KOMBI!$A$1:$ADS$1,0),FALSE)</f>
        <v>#NUM!</v>
      </c>
      <c r="BG95" s="292" t="e">
        <f t="array" aca="1" ref="BG95" ca="1">VLOOKUP($B95,KOMBI!$A:$ADS,MATCH(Tulem!BG$3,KOMBI!$A$1:$ADS$1,0),FALSE)</f>
        <v>#NUM!</v>
      </c>
      <c r="BH95" s="292" t="e">
        <f t="array" aca="1" ref="BH95" ca="1">VLOOKUP($B95,KOMBI!$A:$ADS,MATCH(Tulem!BH$3,KOMBI!$A$1:$ADS$1,0),FALSE)</f>
        <v>#NUM!</v>
      </c>
      <c r="BI95" s="292" t="e">
        <f t="array" aca="1" ref="BI95" ca="1">VLOOKUP($B95,KOMBI!$A:$ADS,MATCH(Tulem!BI$3,KOMBI!$A$1:$ADS$1,0),FALSE)</f>
        <v>#NUM!</v>
      </c>
      <c r="BJ95" s="292" t="e">
        <f t="array" aca="1" ref="BJ95" ca="1">VLOOKUP($B95,KOMBI!$A:$ADS,MATCH(Tulem!BJ$3,KOMBI!$A$1:$ADS$1,0),FALSE)</f>
        <v>#NUM!</v>
      </c>
      <c r="BK95" s="292" t="e">
        <f t="array" aca="1" ref="BK95" ca="1">VLOOKUP($B95,KOMBI!$A:$ADS,MATCH(Tulem!BK$3,KOMBI!$A$1:$ADS$1,0),FALSE)</f>
        <v>#NUM!</v>
      </c>
      <c r="BL95" s="292" t="e">
        <f t="array" aca="1" ref="BL95" ca="1">VLOOKUP($B95,KOMBI!$A:$ADS,MATCH(Tulem!BL$3,KOMBI!$A$1:$ADS$1,0),FALSE)</f>
        <v>#NUM!</v>
      </c>
      <c r="BM95" s="292" t="e">
        <f t="array" aca="1" ref="BM95" ca="1">VLOOKUP($B95,KOMBI!$A:$ADS,MATCH(Tulem!BM$3,KOMBI!$A$1:$ADS$1,0),FALSE)</f>
        <v>#NUM!</v>
      </c>
      <c r="BN95" s="292" t="e">
        <f t="array" aca="1" ref="BN95" ca="1">VLOOKUP($B95,KOMBI!$A:$ADS,MATCH(Tulem!BN$3,KOMBI!$A$1:$ADS$1,0),FALSE)</f>
        <v>#NUM!</v>
      </c>
      <c r="BO95" s="292" t="e">
        <f t="array" aca="1" ref="BO95" ca="1">VLOOKUP($B95,KOMBI!$A:$ADS,MATCH(Tulem!BO$3,KOMBI!$A$1:$ADS$1,0),FALSE)</f>
        <v>#NUM!</v>
      </c>
      <c r="BP95" s="291"/>
      <c r="BQ95" s="292" t="e">
        <f t="array" aca="1" ref="BQ95" ca="1">VLOOKUP($B95,KOMBI!$A:$ADS,MATCH(Tulem!BQ$3,KOMBI!$A$1:$ADS$1,0),FALSE)</f>
        <v>#NUM!</v>
      </c>
      <c r="BR95" s="292" t="e">
        <f t="array" aca="1" ref="BR95" ca="1">VLOOKUP($B95,KOMBI!$A:$ADS,MATCH(Tulem!BR$3,KOMBI!$A$1:$ADS$1,0),FALSE)</f>
        <v>#NUM!</v>
      </c>
      <c r="BS95" s="292" t="e">
        <f t="array" aca="1" ref="BS95" ca="1">VLOOKUP($B95,KOMBI!$A:$ADS,MATCH(Tulem!BS$3,KOMBI!$A$1:$ADS$1,0),FALSE)</f>
        <v>#NUM!</v>
      </c>
      <c r="BT95" s="292" t="e">
        <f t="array" aca="1" ref="BT95" ca="1">VLOOKUP($B95,KOMBI!$A:$ADS,MATCH(Tulem!BT$3,KOMBI!$A$1:$ADS$1,0),FALSE)</f>
        <v>#NUM!</v>
      </c>
      <c r="BU95" s="292" t="e">
        <f t="array" aca="1" ref="BU95" ca="1">VLOOKUP($B95,KOMBI!$A:$ADS,MATCH(Tulem!BU$3,KOMBI!$A$1:$ADS$1,0),FALSE)</f>
        <v>#NUM!</v>
      </c>
      <c r="BV95" s="291"/>
      <c r="BW95" s="292" t="e">
        <f t="array" aca="1" ref="BW95" ca="1">VLOOKUP($B95,KOMBI!$A:$ADS,MATCH(Tulem!BW$3,KOMBI!$A$1:$ADS$1,0),FALSE)</f>
        <v>#NUM!</v>
      </c>
      <c r="BX95" s="291"/>
      <c r="BY95" s="291"/>
      <c r="BZ95" s="292" t="e">
        <f t="array" aca="1" ref="BZ95" ca="1">VLOOKUP($B95,KOMBI!$A:$ADS,MATCH(Tulem!BZ$3,KOMBI!$A$1:$ADS$1,0),FALSE)</f>
        <v>#NUM!</v>
      </c>
      <c r="CA95" s="292" t="e">
        <f t="array" aca="1" ref="CA95" ca="1">VLOOKUP($B95,KOMBI!$A:$ADS,MATCH(Tulem!CA$3,KOMBI!$A$1:$ADS$1,0),FALSE)</f>
        <v>#NUM!</v>
      </c>
      <c r="CB95" s="292" t="e">
        <f t="array" aca="1" ref="CB95" ca="1">VLOOKUP($B95,KOMBI!$A:$ADS,MATCH(Tulem!CB$3,KOMBI!$A$1:$ADS$1,0),FALSE)</f>
        <v>#NUM!</v>
      </c>
      <c r="CC95" s="292" t="e">
        <f t="array" aca="1" ref="CC95" ca="1">VLOOKUP($B95,KOMBI!$A:$ADS,MATCH(Tulem!CC$3,KOMBI!$A$1:$ADS$1,0),FALSE)</f>
        <v>#NUM!</v>
      </c>
      <c r="CD95" s="292" t="e">
        <f t="array" aca="1" ref="CD95" ca="1">VLOOKUP($B95,KOMBI!$A:$ADS,MATCH(Tulem!CD$3,KOMBI!$A$1:$ADS$1,0),FALSE)</f>
        <v>#NUM!</v>
      </c>
      <c r="CF95" s="51" t="e">
        <f ca="1">VLOOKUP($B95,KOMBI!$A:$ACG,MATCH(CF$5,KOMBI!$10:$10,0),FALSE)</f>
        <v>#NUM!</v>
      </c>
    </row>
    <row r="96" spans="1:84" x14ac:dyDescent="0.2">
      <c r="A96" s="51">
        <v>91</v>
      </c>
      <c r="B96" s="51" t="e">
        <f ca="1">KOMBI!GI101</f>
        <v>#NUM!</v>
      </c>
      <c r="C96" s="51">
        <f t="shared" si="3"/>
        <v>91</v>
      </c>
      <c r="D96" s="290" t="e">
        <f ca="1">VLOOKUP(VLOOKUP($B96,KOMBI!$A:$H,3,FALSE),data!$I$27:$J$29,2,FALSE)</f>
        <v>#NUM!</v>
      </c>
      <c r="E96" s="290" t="e">
        <f ca="1">VLOOKUP(VLOOKUP($B96,KOMBI!$A:$H,2,FALSE),data!$I$21:$J$23,2,FALSE)</f>
        <v>#NUM!</v>
      </c>
      <c r="F96" s="290" t="e">
        <f ca="1">VLOOKUP(VLOOKUP($B96,KOMBI!$A:$H,5,FALSE),data!$I$39:$J$41,2,FALSE)</f>
        <v>#NUM!</v>
      </c>
      <c r="G96" s="290" t="e">
        <f ca="1">VLOOKUP(VLOOKUP($B96,KOMBI!$A:$H,4,FALSE),data!$I$32:$J$36,2,FALSE)</f>
        <v>#NUM!</v>
      </c>
      <c r="I96" s="51" t="e">
        <f ca="1">VLOOKUP($B96,KOMBI!$A:$Z,MATCH(I$5,KOMBI!$10:$10,0),FALSE)</f>
        <v>#NUM!</v>
      </c>
      <c r="J96" s="291" t="e">
        <f ca="1">VLOOKUP($B96,KOMBI!$A:$ADS,J$3,FALSE)</f>
        <v>#NUM!</v>
      </c>
      <c r="K96" s="291" t="e">
        <f ca="1">VLOOKUP($B96,KOMBI!$A:$ADS,K$3,FALSE)</f>
        <v>#NUM!</v>
      </c>
      <c r="L96" s="291" t="e">
        <f ca="1">VLOOKUP($B96,KOMBI!$A:$ADS,L$3,FALSE)</f>
        <v>#NUM!</v>
      </c>
      <c r="M96" s="291" t="e">
        <f ca="1">VLOOKUP($B96,KOMBI!$A:$ADS,M$3,FALSE)</f>
        <v>#NUM!</v>
      </c>
      <c r="N96" s="291" t="e">
        <f ca="1">VLOOKUP($B96,KOMBI!$A:$ADS,N$3,FALSE)</f>
        <v>#NUM!</v>
      </c>
      <c r="O96" s="291" t="e">
        <f ca="1">VLOOKUP($B96,KOMBI!$A:$ADS,O$3,FALSE)</f>
        <v>#NUM!</v>
      </c>
      <c r="P96" s="291" t="e">
        <f ca="1">VLOOKUP($B96,KOMBI!$A:$ADS,P$3,FALSE)</f>
        <v>#NUM!</v>
      </c>
      <c r="Q96" s="292" t="e">
        <f t="array" aca="1" ref="Q96" ca="1">VLOOKUP($B96,KOMBI!$A:$ADS,MATCH(Tulem!Q$3,KOMBI!$A$1:$ADS$1,0),FALSE)</f>
        <v>#NUM!</v>
      </c>
      <c r="S96" s="332" t="e">
        <f t="array" aca="1" ref="S96" ca="1">VLOOKUP($B96,KOMBI!$A:$ADS,MATCH(Tulem!S$3,KOMBI!$A$1:$ADS$1,0),FALSE)</f>
        <v>#NUM!</v>
      </c>
      <c r="T96" s="293" t="e">
        <f ca="1">VLOOKUP($B96,KOMBI!$A:$ADS,T$3,FALSE)</f>
        <v>#NUM!</v>
      </c>
      <c r="U96" s="293" t="e">
        <f ca="1">VLOOKUP($B96,KOMBI!$A:$ADS,U$3,FALSE)</f>
        <v>#NUM!</v>
      </c>
      <c r="V96" s="293" t="e">
        <f ca="1">VLOOKUP($B96,KOMBI!$A:$ADS,V$3,FALSE)</f>
        <v>#NUM!</v>
      </c>
      <c r="W96" s="293"/>
      <c r="X96" s="293" t="e">
        <f ca="1">VLOOKUP($B96,KOMBI!$A:$ADS,X$3,FALSE)</f>
        <v>#NUM!</v>
      </c>
      <c r="Y96" s="293" t="e">
        <f ca="1">VLOOKUP($B96,KOMBI!$A:$ADS,Y$3,FALSE)</f>
        <v>#NUM!</v>
      </c>
      <c r="Z96" s="293" t="e">
        <f ca="1">VLOOKUP($B96,KOMBI!$A:$ADS,Z$3,FALSE)</f>
        <v>#NUM!</v>
      </c>
      <c r="AA96" s="294"/>
      <c r="AB96" s="293" t="e">
        <f ca="1">VLOOKUP($B96,KOMBI!$A:$ADS,AB$3,FALSE)</f>
        <v>#NUM!</v>
      </c>
      <c r="AC96" s="293" t="e">
        <f ca="1">VLOOKUP($B96,KOMBI!$A:$ADS,AC$3,FALSE)-AB96</f>
        <v>#NUM!</v>
      </c>
      <c r="AD96" s="293" t="e">
        <f ca="1">VLOOKUP($B96,KOMBI!$A:$ADS,AD$3,FALSE)</f>
        <v>#NUM!</v>
      </c>
      <c r="AE96" s="293" t="e">
        <f ca="1">VLOOKUP($B96,KOMBI!$A:$ADS,AE$3,FALSE)</f>
        <v>#NUM!</v>
      </c>
      <c r="AF96" s="293" t="e">
        <f ca="1">VLOOKUP($B96,KOMBI!$A:$ADS,AF$3,FALSE)-AE96</f>
        <v>#NUM!</v>
      </c>
      <c r="AG96" s="293" t="e">
        <f ca="1">VLOOKUP($B96,KOMBI!$A:$ADS,AG$3,FALSE)</f>
        <v>#NUM!</v>
      </c>
      <c r="AI96" s="293" t="e">
        <f t="array" aca="1" ref="AI96" ca="1">VLOOKUP($B96,KOMBI!$A:$ADS,MATCH(Tulem!AI$3,KOMBI!$A$1:$ADS$1,0),FALSE)</f>
        <v>#NUM!</v>
      </c>
      <c r="AJ96" s="293" t="e">
        <f t="array" aca="1" ref="AJ96" ca="1">VLOOKUP($B96,KOMBI!$A:$ADS,MATCH(Tulem!AJ$3,KOMBI!$A$1:$ADS$1,0),FALSE)</f>
        <v>#NUM!</v>
      </c>
      <c r="AK96" s="293" t="e">
        <f t="array" aca="1" ref="AK96" ca="1">VLOOKUP($B96,KOMBI!$A:$ADS,MATCH(Tulem!AK$3,KOMBI!$A$1:$ADS$1,0),FALSE)</f>
        <v>#NUM!</v>
      </c>
      <c r="AL96" s="293" t="e">
        <f t="array" aca="1" ref="AL96" ca="1">VLOOKUP($B96,KOMBI!$A:$ADS,MATCH(Tulem!AL$3,KOMBI!$A$1:$ADS$1,0),FALSE)</f>
        <v>#NUM!</v>
      </c>
      <c r="AM96" s="293" t="e">
        <f t="array" aca="1" ref="AM96" ca="1">VLOOKUP($B96,KOMBI!$A:$ADS,MATCH(Tulem!AM$3,KOMBI!$A$1:$ADS$1,0),FALSE)</f>
        <v>#NUM!</v>
      </c>
      <c r="AN96" s="293" t="e">
        <f t="array" aca="1" ref="AN96" ca="1">VLOOKUP($B96,KOMBI!$A:$ADS,MATCH(Tulem!AN$3,KOMBI!$A$1:$ADS$1,0),FALSE)</f>
        <v>#NUM!</v>
      </c>
      <c r="AO96" s="293" t="e">
        <f t="array" aca="1" ref="AO96" ca="1">VLOOKUP($B96,KOMBI!$A:$ADS,MATCH(Tulem!AO$3,KOMBI!$A$1:$ADS$1,0),FALSE)</f>
        <v>#NUM!</v>
      </c>
      <c r="AP96" s="293" t="e">
        <f t="array" aca="1" ref="AP96" ca="1">VLOOKUP($B96,KOMBI!$A:$ADS,MATCH(Tulem!AP$3,KOMBI!$A$1:$ADS$1,0),FALSE)</f>
        <v>#NUM!</v>
      </c>
      <c r="AQ96" s="293" t="e">
        <f t="array" aca="1" ref="AQ96" ca="1">VLOOKUP($B96,KOMBI!$A:$ADS,MATCH(Tulem!AQ$3,KOMBI!$A$1:$ADS$1,0),FALSE)</f>
        <v>#NUM!</v>
      </c>
      <c r="AR96" s="293" t="e">
        <f t="array" aca="1" ref="AR96" ca="1">VLOOKUP($B96,KOMBI!$A:$ADS,MATCH(Tulem!AR$3,KOMBI!$A$1:$ADS$1,0),FALSE)</f>
        <v>#NUM!</v>
      </c>
      <c r="AS96" s="293" t="e">
        <f t="array" aca="1" ref="AS96" ca="1">VLOOKUP($B96,KOMBI!$A:$ADS,MATCH(Tulem!AS$3,KOMBI!$A$1:$ADS$1,0),FALSE)</f>
        <v>#NUM!</v>
      </c>
      <c r="AT96" s="293" t="e">
        <f t="array" aca="1" ref="AT96" ca="1">VLOOKUP($B96,KOMBI!$A:$ADS,MATCH(Tulem!AT$3,KOMBI!$A$1:$ADS$1,0),FALSE)</f>
        <v>#NUM!</v>
      </c>
      <c r="AU96" s="293" t="e">
        <f t="array" aca="1" ref="AU96" ca="1">VLOOKUP($B96,KOMBI!$A:$ADS,MATCH(Tulem!AU$3,KOMBI!$A$1:$ADS$1,0),FALSE)</f>
        <v>#NUM!</v>
      </c>
      <c r="AV96" s="293" t="e">
        <f t="shared" ca="1" si="4"/>
        <v>#NUM!</v>
      </c>
      <c r="AW96" s="293" t="e">
        <f t="shared" ca="1" si="5"/>
        <v>#NUM!</v>
      </c>
      <c r="AX96" s="291" t="e">
        <f ca="1">VLOOKUP($B96,KOMBI!$A:$ACA,MATCH(AX$5,KOMBI!$10:$10,0),FALSE)</f>
        <v>#NUM!</v>
      </c>
      <c r="AY96" s="292" t="e">
        <f t="array" aca="1" ref="AY96" ca="1">VLOOKUP($B96,KOMBI!$A:$ADS,MATCH(Tulem!AY$3,KOMBI!$A$1:$ADS$1,0),FALSE)</f>
        <v>#NUM!</v>
      </c>
      <c r="AZ96" s="292" t="e">
        <f t="array" aca="1" ref="AZ96" ca="1">VLOOKUP($B96,KOMBI!$A:$ADS,MATCH(Tulem!AZ$3,KOMBI!$A$1:$ADS$1,0),FALSE)</f>
        <v>#NUM!</v>
      </c>
      <c r="BA96" s="292" t="e">
        <f t="array" aca="1" ref="BA96" ca="1">VLOOKUP($B96,KOMBI!$A:$ADS,MATCH(Tulem!BA$3,KOMBI!$A$1:$ADS$1,0),FALSE)</f>
        <v>#NUM!</v>
      </c>
      <c r="BB96" s="292" t="e">
        <f t="array" aca="1" ref="BB96" ca="1">VLOOKUP($B96,KOMBI!$A:$ADS,MATCH(Tulem!BB$3,KOMBI!$A$1:$ADS$1,0),FALSE)</f>
        <v>#NUM!</v>
      </c>
      <c r="BC96" s="292" t="e">
        <f t="array" aca="1" ref="BC96" ca="1">VLOOKUP($B96,KOMBI!$A:$ADS,MATCH(Tulem!BC$3,KOMBI!$A$1:$ADS$1,0),FALSE)</f>
        <v>#NUM!</v>
      </c>
      <c r="BD96" s="292" t="e">
        <f t="array" aca="1" ref="BD96" ca="1">VLOOKUP($B96,KOMBI!$A:$ADS,MATCH(Tulem!BD$3,KOMBI!$A$1:$ADS$1,0),FALSE)</f>
        <v>#NUM!</v>
      </c>
      <c r="BE96" s="292" t="e">
        <f t="array" aca="1" ref="BE96" ca="1">VLOOKUP($B96,KOMBI!$A:$ADS,MATCH(Tulem!BE$3,KOMBI!$A$1:$ADS$1,0),FALSE)</f>
        <v>#NUM!</v>
      </c>
      <c r="BF96" s="292" t="e">
        <f t="array" aca="1" ref="BF96" ca="1">VLOOKUP($B96,KOMBI!$A:$ADS,MATCH(Tulem!BF$3,KOMBI!$A$1:$ADS$1,0),FALSE)</f>
        <v>#NUM!</v>
      </c>
      <c r="BG96" s="292" t="e">
        <f t="array" aca="1" ref="BG96" ca="1">VLOOKUP($B96,KOMBI!$A:$ADS,MATCH(Tulem!BG$3,KOMBI!$A$1:$ADS$1,0),FALSE)</f>
        <v>#NUM!</v>
      </c>
      <c r="BH96" s="292" t="e">
        <f t="array" aca="1" ref="BH96" ca="1">VLOOKUP($B96,KOMBI!$A:$ADS,MATCH(Tulem!BH$3,KOMBI!$A$1:$ADS$1,0),FALSE)</f>
        <v>#NUM!</v>
      </c>
      <c r="BI96" s="292" t="e">
        <f t="array" aca="1" ref="BI96" ca="1">VLOOKUP($B96,KOMBI!$A:$ADS,MATCH(Tulem!BI$3,KOMBI!$A$1:$ADS$1,0),FALSE)</f>
        <v>#NUM!</v>
      </c>
      <c r="BJ96" s="292" t="e">
        <f t="array" aca="1" ref="BJ96" ca="1">VLOOKUP($B96,KOMBI!$A:$ADS,MATCH(Tulem!BJ$3,KOMBI!$A$1:$ADS$1,0),FALSE)</f>
        <v>#NUM!</v>
      </c>
      <c r="BK96" s="292" t="e">
        <f t="array" aca="1" ref="BK96" ca="1">VLOOKUP($B96,KOMBI!$A:$ADS,MATCH(Tulem!BK$3,KOMBI!$A$1:$ADS$1,0),FALSE)</f>
        <v>#NUM!</v>
      </c>
      <c r="BL96" s="292" t="e">
        <f t="array" aca="1" ref="BL96" ca="1">VLOOKUP($B96,KOMBI!$A:$ADS,MATCH(Tulem!BL$3,KOMBI!$A$1:$ADS$1,0),FALSE)</f>
        <v>#NUM!</v>
      </c>
      <c r="BM96" s="292" t="e">
        <f t="array" aca="1" ref="BM96" ca="1">VLOOKUP($B96,KOMBI!$A:$ADS,MATCH(Tulem!BM$3,KOMBI!$A$1:$ADS$1,0),FALSE)</f>
        <v>#NUM!</v>
      </c>
      <c r="BN96" s="292" t="e">
        <f t="array" aca="1" ref="BN96" ca="1">VLOOKUP($B96,KOMBI!$A:$ADS,MATCH(Tulem!BN$3,KOMBI!$A$1:$ADS$1,0),FALSE)</f>
        <v>#NUM!</v>
      </c>
      <c r="BO96" s="292" t="e">
        <f t="array" aca="1" ref="BO96" ca="1">VLOOKUP($B96,KOMBI!$A:$ADS,MATCH(Tulem!BO$3,KOMBI!$A$1:$ADS$1,0),FALSE)</f>
        <v>#NUM!</v>
      </c>
      <c r="BP96" s="291"/>
      <c r="BQ96" s="292" t="e">
        <f t="array" aca="1" ref="BQ96" ca="1">VLOOKUP($B96,KOMBI!$A:$ADS,MATCH(Tulem!BQ$3,KOMBI!$A$1:$ADS$1,0),FALSE)</f>
        <v>#NUM!</v>
      </c>
      <c r="BR96" s="292" t="e">
        <f t="array" aca="1" ref="BR96" ca="1">VLOOKUP($B96,KOMBI!$A:$ADS,MATCH(Tulem!BR$3,KOMBI!$A$1:$ADS$1,0),FALSE)</f>
        <v>#NUM!</v>
      </c>
      <c r="BS96" s="292" t="e">
        <f t="array" aca="1" ref="BS96" ca="1">VLOOKUP($B96,KOMBI!$A:$ADS,MATCH(Tulem!BS$3,KOMBI!$A$1:$ADS$1,0),FALSE)</f>
        <v>#NUM!</v>
      </c>
      <c r="BT96" s="292" t="e">
        <f t="array" aca="1" ref="BT96" ca="1">VLOOKUP($B96,KOMBI!$A:$ADS,MATCH(Tulem!BT$3,KOMBI!$A$1:$ADS$1,0),FALSE)</f>
        <v>#NUM!</v>
      </c>
      <c r="BU96" s="292" t="e">
        <f t="array" aca="1" ref="BU96" ca="1">VLOOKUP($B96,KOMBI!$A:$ADS,MATCH(Tulem!BU$3,KOMBI!$A$1:$ADS$1,0),FALSE)</f>
        <v>#NUM!</v>
      </c>
      <c r="BV96" s="291"/>
      <c r="BW96" s="292" t="e">
        <f t="array" aca="1" ref="BW96" ca="1">VLOOKUP($B96,KOMBI!$A:$ADS,MATCH(Tulem!BW$3,KOMBI!$A$1:$ADS$1,0),FALSE)</f>
        <v>#NUM!</v>
      </c>
      <c r="BX96" s="291"/>
      <c r="BY96" s="291"/>
      <c r="BZ96" s="292" t="e">
        <f t="array" aca="1" ref="BZ96" ca="1">VLOOKUP($B96,KOMBI!$A:$ADS,MATCH(Tulem!BZ$3,KOMBI!$A$1:$ADS$1,0),FALSE)</f>
        <v>#NUM!</v>
      </c>
      <c r="CA96" s="292" t="e">
        <f t="array" aca="1" ref="CA96" ca="1">VLOOKUP($B96,KOMBI!$A:$ADS,MATCH(Tulem!CA$3,KOMBI!$A$1:$ADS$1,0),FALSE)</f>
        <v>#NUM!</v>
      </c>
      <c r="CB96" s="292" t="e">
        <f t="array" aca="1" ref="CB96" ca="1">VLOOKUP($B96,KOMBI!$A:$ADS,MATCH(Tulem!CB$3,KOMBI!$A$1:$ADS$1,0),FALSE)</f>
        <v>#NUM!</v>
      </c>
      <c r="CC96" s="292" t="e">
        <f t="array" aca="1" ref="CC96" ca="1">VLOOKUP($B96,KOMBI!$A:$ADS,MATCH(Tulem!CC$3,KOMBI!$A$1:$ADS$1,0),FALSE)</f>
        <v>#NUM!</v>
      </c>
      <c r="CD96" s="292" t="e">
        <f t="array" aca="1" ref="CD96" ca="1">VLOOKUP($B96,KOMBI!$A:$ADS,MATCH(Tulem!CD$3,KOMBI!$A$1:$ADS$1,0),FALSE)</f>
        <v>#NUM!</v>
      </c>
      <c r="CF96" s="51" t="e">
        <f ca="1">VLOOKUP($B96,KOMBI!$A:$ACG,MATCH(CF$5,KOMBI!$10:$10,0),FALSE)</f>
        <v>#NUM!</v>
      </c>
    </row>
    <row r="97" spans="1:84" x14ac:dyDescent="0.2">
      <c r="A97" s="51">
        <v>92</v>
      </c>
      <c r="B97" s="51" t="e">
        <f ca="1">KOMBI!GI102</f>
        <v>#NUM!</v>
      </c>
      <c r="C97" s="51">
        <f t="shared" si="3"/>
        <v>92</v>
      </c>
      <c r="D97" s="290" t="e">
        <f ca="1">VLOOKUP(VLOOKUP($B97,KOMBI!$A:$H,3,FALSE),data!$I$27:$J$29,2,FALSE)</f>
        <v>#NUM!</v>
      </c>
      <c r="E97" s="290" t="e">
        <f ca="1">VLOOKUP(VLOOKUP($B97,KOMBI!$A:$H,2,FALSE),data!$I$21:$J$23,2,FALSE)</f>
        <v>#NUM!</v>
      </c>
      <c r="F97" s="290" t="e">
        <f ca="1">VLOOKUP(VLOOKUP($B97,KOMBI!$A:$H,5,FALSE),data!$I$39:$J$41,2,FALSE)</f>
        <v>#NUM!</v>
      </c>
      <c r="G97" s="290" t="e">
        <f ca="1">VLOOKUP(VLOOKUP($B97,KOMBI!$A:$H,4,FALSE),data!$I$32:$J$36,2,FALSE)</f>
        <v>#NUM!</v>
      </c>
      <c r="I97" s="51" t="e">
        <f ca="1">VLOOKUP($B97,KOMBI!$A:$Z,MATCH(I$5,KOMBI!$10:$10,0),FALSE)</f>
        <v>#NUM!</v>
      </c>
      <c r="J97" s="291" t="e">
        <f ca="1">VLOOKUP($B97,KOMBI!$A:$ADS,J$3,FALSE)</f>
        <v>#NUM!</v>
      </c>
      <c r="K97" s="291" t="e">
        <f ca="1">VLOOKUP($B97,KOMBI!$A:$ADS,K$3,FALSE)</f>
        <v>#NUM!</v>
      </c>
      <c r="L97" s="291" t="e">
        <f ca="1">VLOOKUP($B97,KOMBI!$A:$ADS,L$3,FALSE)</f>
        <v>#NUM!</v>
      </c>
      <c r="M97" s="291" t="e">
        <f ca="1">VLOOKUP($B97,KOMBI!$A:$ADS,M$3,FALSE)</f>
        <v>#NUM!</v>
      </c>
      <c r="N97" s="291" t="e">
        <f ca="1">VLOOKUP($B97,KOMBI!$A:$ADS,N$3,FALSE)</f>
        <v>#NUM!</v>
      </c>
      <c r="O97" s="291" t="e">
        <f ca="1">VLOOKUP($B97,KOMBI!$A:$ADS,O$3,FALSE)</f>
        <v>#NUM!</v>
      </c>
      <c r="P97" s="291" t="e">
        <f ca="1">VLOOKUP($B97,KOMBI!$A:$ADS,P$3,FALSE)</f>
        <v>#NUM!</v>
      </c>
      <c r="Q97" s="292" t="e">
        <f t="array" aca="1" ref="Q97" ca="1">VLOOKUP($B97,KOMBI!$A:$ADS,MATCH(Tulem!Q$3,KOMBI!$A$1:$ADS$1,0),FALSE)</f>
        <v>#NUM!</v>
      </c>
      <c r="S97" s="332" t="e">
        <f t="array" aca="1" ref="S97" ca="1">VLOOKUP($B97,KOMBI!$A:$ADS,MATCH(Tulem!S$3,KOMBI!$A$1:$ADS$1,0),FALSE)</f>
        <v>#NUM!</v>
      </c>
      <c r="T97" s="293" t="e">
        <f ca="1">VLOOKUP($B97,KOMBI!$A:$ADS,T$3,FALSE)</f>
        <v>#NUM!</v>
      </c>
      <c r="U97" s="293" t="e">
        <f ca="1">VLOOKUP($B97,KOMBI!$A:$ADS,U$3,FALSE)</f>
        <v>#NUM!</v>
      </c>
      <c r="V97" s="293" t="e">
        <f ca="1">VLOOKUP($B97,KOMBI!$A:$ADS,V$3,FALSE)</f>
        <v>#NUM!</v>
      </c>
      <c r="W97" s="293"/>
      <c r="X97" s="293" t="e">
        <f ca="1">VLOOKUP($B97,KOMBI!$A:$ADS,X$3,FALSE)</f>
        <v>#NUM!</v>
      </c>
      <c r="Y97" s="293" t="e">
        <f ca="1">VLOOKUP($B97,KOMBI!$A:$ADS,Y$3,FALSE)</f>
        <v>#NUM!</v>
      </c>
      <c r="Z97" s="293" t="e">
        <f ca="1">VLOOKUP($B97,KOMBI!$A:$ADS,Z$3,FALSE)</f>
        <v>#NUM!</v>
      </c>
      <c r="AA97" s="294"/>
      <c r="AB97" s="293" t="e">
        <f ca="1">VLOOKUP($B97,KOMBI!$A:$ADS,AB$3,FALSE)</f>
        <v>#NUM!</v>
      </c>
      <c r="AC97" s="293" t="e">
        <f ca="1">VLOOKUP($B97,KOMBI!$A:$ADS,AC$3,FALSE)-AB97</f>
        <v>#NUM!</v>
      </c>
      <c r="AD97" s="293" t="e">
        <f ca="1">VLOOKUP($B97,KOMBI!$A:$ADS,AD$3,FALSE)</f>
        <v>#NUM!</v>
      </c>
      <c r="AE97" s="293" t="e">
        <f ca="1">VLOOKUP($B97,KOMBI!$A:$ADS,AE$3,FALSE)</f>
        <v>#NUM!</v>
      </c>
      <c r="AF97" s="293" t="e">
        <f ca="1">VLOOKUP($B97,KOMBI!$A:$ADS,AF$3,FALSE)-AE97</f>
        <v>#NUM!</v>
      </c>
      <c r="AG97" s="293" t="e">
        <f ca="1">VLOOKUP($B97,KOMBI!$A:$ADS,AG$3,FALSE)</f>
        <v>#NUM!</v>
      </c>
      <c r="AI97" s="293" t="e">
        <f t="array" aca="1" ref="AI97" ca="1">VLOOKUP($B97,KOMBI!$A:$ADS,MATCH(Tulem!AI$3,KOMBI!$A$1:$ADS$1,0),FALSE)</f>
        <v>#NUM!</v>
      </c>
      <c r="AJ97" s="293" t="e">
        <f t="array" aca="1" ref="AJ97" ca="1">VLOOKUP($B97,KOMBI!$A:$ADS,MATCH(Tulem!AJ$3,KOMBI!$A$1:$ADS$1,0),FALSE)</f>
        <v>#NUM!</v>
      </c>
      <c r="AK97" s="293" t="e">
        <f t="array" aca="1" ref="AK97" ca="1">VLOOKUP($B97,KOMBI!$A:$ADS,MATCH(Tulem!AK$3,KOMBI!$A$1:$ADS$1,0),FALSE)</f>
        <v>#NUM!</v>
      </c>
      <c r="AL97" s="293" t="e">
        <f t="array" aca="1" ref="AL97" ca="1">VLOOKUP($B97,KOMBI!$A:$ADS,MATCH(Tulem!AL$3,KOMBI!$A$1:$ADS$1,0),FALSE)</f>
        <v>#NUM!</v>
      </c>
      <c r="AM97" s="293" t="e">
        <f t="array" aca="1" ref="AM97" ca="1">VLOOKUP($B97,KOMBI!$A:$ADS,MATCH(Tulem!AM$3,KOMBI!$A$1:$ADS$1,0),FALSE)</f>
        <v>#NUM!</v>
      </c>
      <c r="AN97" s="293" t="e">
        <f t="array" aca="1" ref="AN97" ca="1">VLOOKUP($B97,KOMBI!$A:$ADS,MATCH(Tulem!AN$3,KOMBI!$A$1:$ADS$1,0),FALSE)</f>
        <v>#NUM!</v>
      </c>
      <c r="AO97" s="293" t="e">
        <f t="array" aca="1" ref="AO97" ca="1">VLOOKUP($B97,KOMBI!$A:$ADS,MATCH(Tulem!AO$3,KOMBI!$A$1:$ADS$1,0),FALSE)</f>
        <v>#NUM!</v>
      </c>
      <c r="AP97" s="293" t="e">
        <f t="array" aca="1" ref="AP97" ca="1">VLOOKUP($B97,KOMBI!$A:$ADS,MATCH(Tulem!AP$3,KOMBI!$A$1:$ADS$1,0),FALSE)</f>
        <v>#NUM!</v>
      </c>
      <c r="AQ97" s="293" t="e">
        <f t="array" aca="1" ref="AQ97" ca="1">VLOOKUP($B97,KOMBI!$A:$ADS,MATCH(Tulem!AQ$3,KOMBI!$A$1:$ADS$1,0),FALSE)</f>
        <v>#NUM!</v>
      </c>
      <c r="AR97" s="293" t="e">
        <f t="array" aca="1" ref="AR97" ca="1">VLOOKUP($B97,KOMBI!$A:$ADS,MATCH(Tulem!AR$3,KOMBI!$A$1:$ADS$1,0),FALSE)</f>
        <v>#NUM!</v>
      </c>
      <c r="AS97" s="293" t="e">
        <f t="array" aca="1" ref="AS97" ca="1">VLOOKUP($B97,KOMBI!$A:$ADS,MATCH(Tulem!AS$3,KOMBI!$A$1:$ADS$1,0),FALSE)</f>
        <v>#NUM!</v>
      </c>
      <c r="AT97" s="293" t="e">
        <f t="array" aca="1" ref="AT97" ca="1">VLOOKUP($B97,KOMBI!$A:$ADS,MATCH(Tulem!AT$3,KOMBI!$A$1:$ADS$1,0),FALSE)</f>
        <v>#NUM!</v>
      </c>
      <c r="AU97" s="293" t="e">
        <f t="array" aca="1" ref="AU97" ca="1">VLOOKUP($B97,KOMBI!$A:$ADS,MATCH(Tulem!AU$3,KOMBI!$A$1:$ADS$1,0),FALSE)</f>
        <v>#NUM!</v>
      </c>
      <c r="AV97" s="293" t="e">
        <f t="shared" ca="1" si="4"/>
        <v>#NUM!</v>
      </c>
      <c r="AW97" s="293" t="e">
        <f t="shared" ca="1" si="5"/>
        <v>#NUM!</v>
      </c>
      <c r="AX97" s="291" t="e">
        <f ca="1">VLOOKUP($B97,KOMBI!$A:$ACA,MATCH(AX$5,KOMBI!$10:$10,0),FALSE)</f>
        <v>#NUM!</v>
      </c>
      <c r="AY97" s="292" t="e">
        <f t="array" aca="1" ref="AY97" ca="1">VLOOKUP($B97,KOMBI!$A:$ADS,MATCH(Tulem!AY$3,KOMBI!$A$1:$ADS$1,0),FALSE)</f>
        <v>#NUM!</v>
      </c>
      <c r="AZ97" s="292" t="e">
        <f t="array" aca="1" ref="AZ97" ca="1">VLOOKUP($B97,KOMBI!$A:$ADS,MATCH(Tulem!AZ$3,KOMBI!$A$1:$ADS$1,0),FALSE)</f>
        <v>#NUM!</v>
      </c>
      <c r="BA97" s="292" t="e">
        <f t="array" aca="1" ref="BA97" ca="1">VLOOKUP($B97,KOMBI!$A:$ADS,MATCH(Tulem!BA$3,KOMBI!$A$1:$ADS$1,0),FALSE)</f>
        <v>#NUM!</v>
      </c>
      <c r="BB97" s="292" t="e">
        <f t="array" aca="1" ref="BB97" ca="1">VLOOKUP($B97,KOMBI!$A:$ADS,MATCH(Tulem!BB$3,KOMBI!$A$1:$ADS$1,0),FALSE)</f>
        <v>#NUM!</v>
      </c>
      <c r="BC97" s="292" t="e">
        <f t="array" aca="1" ref="BC97" ca="1">VLOOKUP($B97,KOMBI!$A:$ADS,MATCH(Tulem!BC$3,KOMBI!$A$1:$ADS$1,0),FALSE)</f>
        <v>#NUM!</v>
      </c>
      <c r="BD97" s="292" t="e">
        <f t="array" aca="1" ref="BD97" ca="1">VLOOKUP($B97,KOMBI!$A:$ADS,MATCH(Tulem!BD$3,KOMBI!$A$1:$ADS$1,0),FALSE)</f>
        <v>#NUM!</v>
      </c>
      <c r="BE97" s="292" t="e">
        <f t="array" aca="1" ref="BE97" ca="1">VLOOKUP($B97,KOMBI!$A:$ADS,MATCH(Tulem!BE$3,KOMBI!$A$1:$ADS$1,0),FALSE)</f>
        <v>#NUM!</v>
      </c>
      <c r="BF97" s="292" t="e">
        <f t="array" aca="1" ref="BF97" ca="1">VLOOKUP($B97,KOMBI!$A:$ADS,MATCH(Tulem!BF$3,KOMBI!$A$1:$ADS$1,0),FALSE)</f>
        <v>#NUM!</v>
      </c>
      <c r="BG97" s="292" t="e">
        <f t="array" aca="1" ref="BG97" ca="1">VLOOKUP($B97,KOMBI!$A:$ADS,MATCH(Tulem!BG$3,KOMBI!$A$1:$ADS$1,0),FALSE)</f>
        <v>#NUM!</v>
      </c>
      <c r="BH97" s="292" t="e">
        <f t="array" aca="1" ref="BH97" ca="1">VLOOKUP($B97,KOMBI!$A:$ADS,MATCH(Tulem!BH$3,KOMBI!$A$1:$ADS$1,0),FALSE)</f>
        <v>#NUM!</v>
      </c>
      <c r="BI97" s="292" t="e">
        <f t="array" aca="1" ref="BI97" ca="1">VLOOKUP($B97,KOMBI!$A:$ADS,MATCH(Tulem!BI$3,KOMBI!$A$1:$ADS$1,0),FALSE)</f>
        <v>#NUM!</v>
      </c>
      <c r="BJ97" s="292" t="e">
        <f t="array" aca="1" ref="BJ97" ca="1">VLOOKUP($B97,KOMBI!$A:$ADS,MATCH(Tulem!BJ$3,KOMBI!$A$1:$ADS$1,0),FALSE)</f>
        <v>#NUM!</v>
      </c>
      <c r="BK97" s="292" t="e">
        <f t="array" aca="1" ref="BK97" ca="1">VLOOKUP($B97,KOMBI!$A:$ADS,MATCH(Tulem!BK$3,KOMBI!$A$1:$ADS$1,0),FALSE)</f>
        <v>#NUM!</v>
      </c>
      <c r="BL97" s="292" t="e">
        <f t="array" aca="1" ref="BL97" ca="1">VLOOKUP($B97,KOMBI!$A:$ADS,MATCH(Tulem!BL$3,KOMBI!$A$1:$ADS$1,0),FALSE)</f>
        <v>#NUM!</v>
      </c>
      <c r="BM97" s="292" t="e">
        <f t="array" aca="1" ref="BM97" ca="1">VLOOKUP($B97,KOMBI!$A:$ADS,MATCH(Tulem!BM$3,KOMBI!$A$1:$ADS$1,0),FALSE)</f>
        <v>#NUM!</v>
      </c>
      <c r="BN97" s="292" t="e">
        <f t="array" aca="1" ref="BN97" ca="1">VLOOKUP($B97,KOMBI!$A:$ADS,MATCH(Tulem!BN$3,KOMBI!$A$1:$ADS$1,0),FALSE)</f>
        <v>#NUM!</v>
      </c>
      <c r="BO97" s="292" t="e">
        <f t="array" aca="1" ref="BO97" ca="1">VLOOKUP($B97,KOMBI!$A:$ADS,MATCH(Tulem!BO$3,KOMBI!$A$1:$ADS$1,0),FALSE)</f>
        <v>#NUM!</v>
      </c>
      <c r="BP97" s="291"/>
      <c r="BQ97" s="292" t="e">
        <f t="array" aca="1" ref="BQ97" ca="1">VLOOKUP($B97,KOMBI!$A:$ADS,MATCH(Tulem!BQ$3,KOMBI!$A$1:$ADS$1,0),FALSE)</f>
        <v>#NUM!</v>
      </c>
      <c r="BR97" s="292" t="e">
        <f t="array" aca="1" ref="BR97" ca="1">VLOOKUP($B97,KOMBI!$A:$ADS,MATCH(Tulem!BR$3,KOMBI!$A$1:$ADS$1,0),FALSE)</f>
        <v>#NUM!</v>
      </c>
      <c r="BS97" s="292" t="e">
        <f t="array" aca="1" ref="BS97" ca="1">VLOOKUP($B97,KOMBI!$A:$ADS,MATCH(Tulem!BS$3,KOMBI!$A$1:$ADS$1,0),FALSE)</f>
        <v>#NUM!</v>
      </c>
      <c r="BT97" s="292" t="e">
        <f t="array" aca="1" ref="BT97" ca="1">VLOOKUP($B97,KOMBI!$A:$ADS,MATCH(Tulem!BT$3,KOMBI!$A$1:$ADS$1,0),FALSE)</f>
        <v>#NUM!</v>
      </c>
      <c r="BU97" s="292" t="e">
        <f t="array" aca="1" ref="BU97" ca="1">VLOOKUP($B97,KOMBI!$A:$ADS,MATCH(Tulem!BU$3,KOMBI!$A$1:$ADS$1,0),FALSE)</f>
        <v>#NUM!</v>
      </c>
      <c r="BV97" s="291"/>
      <c r="BW97" s="292" t="e">
        <f t="array" aca="1" ref="BW97" ca="1">VLOOKUP($B97,KOMBI!$A:$ADS,MATCH(Tulem!BW$3,KOMBI!$A$1:$ADS$1,0),FALSE)</f>
        <v>#NUM!</v>
      </c>
      <c r="BX97" s="291"/>
      <c r="BY97" s="291"/>
      <c r="BZ97" s="292" t="e">
        <f t="array" aca="1" ref="BZ97" ca="1">VLOOKUP($B97,KOMBI!$A:$ADS,MATCH(Tulem!BZ$3,KOMBI!$A$1:$ADS$1,0),FALSE)</f>
        <v>#NUM!</v>
      </c>
      <c r="CA97" s="292" t="e">
        <f t="array" aca="1" ref="CA97" ca="1">VLOOKUP($B97,KOMBI!$A:$ADS,MATCH(Tulem!CA$3,KOMBI!$A$1:$ADS$1,0),FALSE)</f>
        <v>#NUM!</v>
      </c>
      <c r="CB97" s="292" t="e">
        <f t="array" aca="1" ref="CB97" ca="1">VLOOKUP($B97,KOMBI!$A:$ADS,MATCH(Tulem!CB$3,KOMBI!$A$1:$ADS$1,0),FALSE)</f>
        <v>#NUM!</v>
      </c>
      <c r="CC97" s="292" t="e">
        <f t="array" aca="1" ref="CC97" ca="1">VLOOKUP($B97,KOMBI!$A:$ADS,MATCH(Tulem!CC$3,KOMBI!$A$1:$ADS$1,0),FALSE)</f>
        <v>#NUM!</v>
      </c>
      <c r="CD97" s="292" t="e">
        <f t="array" aca="1" ref="CD97" ca="1">VLOOKUP($B97,KOMBI!$A:$ADS,MATCH(Tulem!CD$3,KOMBI!$A$1:$ADS$1,0),FALSE)</f>
        <v>#NUM!</v>
      </c>
      <c r="CF97" s="51" t="e">
        <f ca="1">VLOOKUP($B97,KOMBI!$A:$ACG,MATCH(CF$5,KOMBI!$10:$10,0),FALSE)</f>
        <v>#NUM!</v>
      </c>
    </row>
    <row r="98" spans="1:84" x14ac:dyDescent="0.2">
      <c r="A98" s="51">
        <v>93</v>
      </c>
      <c r="B98" s="51" t="e">
        <f ca="1">KOMBI!GI103</f>
        <v>#NUM!</v>
      </c>
      <c r="C98" s="51">
        <f t="shared" si="3"/>
        <v>93</v>
      </c>
      <c r="D98" s="290" t="e">
        <f ca="1">VLOOKUP(VLOOKUP($B98,KOMBI!$A:$H,3,FALSE),data!$I$27:$J$29,2,FALSE)</f>
        <v>#NUM!</v>
      </c>
      <c r="E98" s="290" t="e">
        <f ca="1">VLOOKUP(VLOOKUP($B98,KOMBI!$A:$H,2,FALSE),data!$I$21:$J$23,2,FALSE)</f>
        <v>#NUM!</v>
      </c>
      <c r="F98" s="290" t="e">
        <f ca="1">VLOOKUP(VLOOKUP($B98,KOMBI!$A:$H,5,FALSE),data!$I$39:$J$41,2,FALSE)</f>
        <v>#NUM!</v>
      </c>
      <c r="G98" s="290" t="e">
        <f ca="1">VLOOKUP(VLOOKUP($B98,KOMBI!$A:$H,4,FALSE),data!$I$32:$J$36,2,FALSE)</f>
        <v>#NUM!</v>
      </c>
      <c r="I98" s="51" t="e">
        <f ca="1">VLOOKUP($B98,KOMBI!$A:$Z,MATCH(I$5,KOMBI!$10:$10,0),FALSE)</f>
        <v>#NUM!</v>
      </c>
      <c r="J98" s="291" t="e">
        <f ca="1">VLOOKUP($B98,KOMBI!$A:$ADS,J$3,FALSE)</f>
        <v>#NUM!</v>
      </c>
      <c r="K98" s="291" t="e">
        <f ca="1">VLOOKUP($B98,KOMBI!$A:$ADS,K$3,FALSE)</f>
        <v>#NUM!</v>
      </c>
      <c r="L98" s="291" t="e">
        <f ca="1">VLOOKUP($B98,KOMBI!$A:$ADS,L$3,FALSE)</f>
        <v>#NUM!</v>
      </c>
      <c r="M98" s="291" t="e">
        <f ca="1">VLOOKUP($B98,KOMBI!$A:$ADS,M$3,FALSE)</f>
        <v>#NUM!</v>
      </c>
      <c r="N98" s="291" t="e">
        <f ca="1">VLOOKUP($B98,KOMBI!$A:$ADS,N$3,FALSE)</f>
        <v>#NUM!</v>
      </c>
      <c r="O98" s="291" t="e">
        <f ca="1">VLOOKUP($B98,KOMBI!$A:$ADS,O$3,FALSE)</f>
        <v>#NUM!</v>
      </c>
      <c r="P98" s="291" t="e">
        <f ca="1">VLOOKUP($B98,KOMBI!$A:$ADS,P$3,FALSE)</f>
        <v>#NUM!</v>
      </c>
      <c r="Q98" s="292" t="e">
        <f t="array" aca="1" ref="Q98" ca="1">VLOOKUP($B98,KOMBI!$A:$ADS,MATCH(Tulem!Q$3,KOMBI!$A$1:$ADS$1,0),FALSE)</f>
        <v>#NUM!</v>
      </c>
      <c r="S98" s="332" t="e">
        <f t="array" aca="1" ref="S98" ca="1">VLOOKUP($B98,KOMBI!$A:$ADS,MATCH(Tulem!S$3,KOMBI!$A$1:$ADS$1,0),FALSE)</f>
        <v>#NUM!</v>
      </c>
      <c r="T98" s="293" t="e">
        <f ca="1">VLOOKUP($B98,KOMBI!$A:$ADS,T$3,FALSE)</f>
        <v>#NUM!</v>
      </c>
      <c r="U98" s="293" t="e">
        <f ca="1">VLOOKUP($B98,KOMBI!$A:$ADS,U$3,FALSE)</f>
        <v>#NUM!</v>
      </c>
      <c r="V98" s="293" t="e">
        <f ca="1">VLOOKUP($B98,KOMBI!$A:$ADS,V$3,FALSE)</f>
        <v>#NUM!</v>
      </c>
      <c r="W98" s="293"/>
      <c r="X98" s="293" t="e">
        <f ca="1">VLOOKUP($B98,KOMBI!$A:$ADS,X$3,FALSE)</f>
        <v>#NUM!</v>
      </c>
      <c r="Y98" s="293" t="e">
        <f ca="1">VLOOKUP($B98,KOMBI!$A:$ADS,Y$3,FALSE)</f>
        <v>#NUM!</v>
      </c>
      <c r="Z98" s="293" t="e">
        <f ca="1">VLOOKUP($B98,KOMBI!$A:$ADS,Z$3,FALSE)</f>
        <v>#NUM!</v>
      </c>
      <c r="AA98" s="294"/>
      <c r="AB98" s="293" t="e">
        <f ca="1">VLOOKUP($B98,KOMBI!$A:$ADS,AB$3,FALSE)</f>
        <v>#NUM!</v>
      </c>
      <c r="AC98" s="293" t="e">
        <f ca="1">VLOOKUP($B98,KOMBI!$A:$ADS,AC$3,FALSE)-AB98</f>
        <v>#NUM!</v>
      </c>
      <c r="AD98" s="293" t="e">
        <f ca="1">VLOOKUP($B98,KOMBI!$A:$ADS,AD$3,FALSE)</f>
        <v>#NUM!</v>
      </c>
      <c r="AE98" s="293" t="e">
        <f ca="1">VLOOKUP($B98,KOMBI!$A:$ADS,AE$3,FALSE)</f>
        <v>#NUM!</v>
      </c>
      <c r="AF98" s="293" t="e">
        <f ca="1">VLOOKUP($B98,KOMBI!$A:$ADS,AF$3,FALSE)-AE98</f>
        <v>#NUM!</v>
      </c>
      <c r="AG98" s="293" t="e">
        <f ca="1">VLOOKUP($B98,KOMBI!$A:$ADS,AG$3,FALSE)</f>
        <v>#NUM!</v>
      </c>
      <c r="AI98" s="293" t="e">
        <f t="array" aca="1" ref="AI98" ca="1">VLOOKUP($B98,KOMBI!$A:$ADS,MATCH(Tulem!AI$3,KOMBI!$A$1:$ADS$1,0),FALSE)</f>
        <v>#NUM!</v>
      </c>
      <c r="AJ98" s="293" t="e">
        <f t="array" aca="1" ref="AJ98" ca="1">VLOOKUP($B98,KOMBI!$A:$ADS,MATCH(Tulem!AJ$3,KOMBI!$A$1:$ADS$1,0),FALSE)</f>
        <v>#NUM!</v>
      </c>
      <c r="AK98" s="293" t="e">
        <f t="array" aca="1" ref="AK98" ca="1">VLOOKUP($B98,KOMBI!$A:$ADS,MATCH(Tulem!AK$3,KOMBI!$A$1:$ADS$1,0),FALSE)</f>
        <v>#NUM!</v>
      </c>
      <c r="AL98" s="293" t="e">
        <f t="array" aca="1" ref="AL98" ca="1">VLOOKUP($B98,KOMBI!$A:$ADS,MATCH(Tulem!AL$3,KOMBI!$A$1:$ADS$1,0),FALSE)</f>
        <v>#NUM!</v>
      </c>
      <c r="AM98" s="293" t="e">
        <f t="array" aca="1" ref="AM98" ca="1">VLOOKUP($B98,KOMBI!$A:$ADS,MATCH(Tulem!AM$3,KOMBI!$A$1:$ADS$1,0),FALSE)</f>
        <v>#NUM!</v>
      </c>
      <c r="AN98" s="293" t="e">
        <f t="array" aca="1" ref="AN98" ca="1">VLOOKUP($B98,KOMBI!$A:$ADS,MATCH(Tulem!AN$3,KOMBI!$A$1:$ADS$1,0),FALSE)</f>
        <v>#NUM!</v>
      </c>
      <c r="AO98" s="293" t="e">
        <f t="array" aca="1" ref="AO98" ca="1">VLOOKUP($B98,KOMBI!$A:$ADS,MATCH(Tulem!AO$3,KOMBI!$A$1:$ADS$1,0),FALSE)</f>
        <v>#NUM!</v>
      </c>
      <c r="AP98" s="293" t="e">
        <f t="array" aca="1" ref="AP98" ca="1">VLOOKUP($B98,KOMBI!$A:$ADS,MATCH(Tulem!AP$3,KOMBI!$A$1:$ADS$1,0),FALSE)</f>
        <v>#NUM!</v>
      </c>
      <c r="AQ98" s="293" t="e">
        <f t="array" aca="1" ref="AQ98" ca="1">VLOOKUP($B98,KOMBI!$A:$ADS,MATCH(Tulem!AQ$3,KOMBI!$A$1:$ADS$1,0),FALSE)</f>
        <v>#NUM!</v>
      </c>
      <c r="AR98" s="293" t="e">
        <f t="array" aca="1" ref="AR98" ca="1">VLOOKUP($B98,KOMBI!$A:$ADS,MATCH(Tulem!AR$3,KOMBI!$A$1:$ADS$1,0),FALSE)</f>
        <v>#NUM!</v>
      </c>
      <c r="AS98" s="293" t="e">
        <f t="array" aca="1" ref="AS98" ca="1">VLOOKUP($B98,KOMBI!$A:$ADS,MATCH(Tulem!AS$3,KOMBI!$A$1:$ADS$1,0),FALSE)</f>
        <v>#NUM!</v>
      </c>
      <c r="AT98" s="293" t="e">
        <f t="array" aca="1" ref="AT98" ca="1">VLOOKUP($B98,KOMBI!$A:$ADS,MATCH(Tulem!AT$3,KOMBI!$A$1:$ADS$1,0),FALSE)</f>
        <v>#NUM!</v>
      </c>
      <c r="AU98" s="293" t="e">
        <f t="array" aca="1" ref="AU98" ca="1">VLOOKUP($B98,KOMBI!$A:$ADS,MATCH(Tulem!AU$3,KOMBI!$A$1:$ADS$1,0),FALSE)</f>
        <v>#NUM!</v>
      </c>
      <c r="AV98" s="293" t="e">
        <f t="shared" ca="1" si="4"/>
        <v>#NUM!</v>
      </c>
      <c r="AW98" s="293" t="e">
        <f t="shared" ca="1" si="5"/>
        <v>#NUM!</v>
      </c>
      <c r="AX98" s="291" t="e">
        <f ca="1">VLOOKUP($B98,KOMBI!$A:$ACA,MATCH(AX$5,KOMBI!$10:$10,0),FALSE)</f>
        <v>#NUM!</v>
      </c>
      <c r="AY98" s="292" t="e">
        <f t="array" aca="1" ref="AY98" ca="1">VLOOKUP($B98,KOMBI!$A:$ADS,MATCH(Tulem!AY$3,KOMBI!$A$1:$ADS$1,0),FALSE)</f>
        <v>#NUM!</v>
      </c>
      <c r="AZ98" s="292" t="e">
        <f t="array" aca="1" ref="AZ98" ca="1">VLOOKUP($B98,KOMBI!$A:$ADS,MATCH(Tulem!AZ$3,KOMBI!$A$1:$ADS$1,0),FALSE)</f>
        <v>#NUM!</v>
      </c>
      <c r="BA98" s="292" t="e">
        <f t="array" aca="1" ref="BA98" ca="1">VLOOKUP($B98,KOMBI!$A:$ADS,MATCH(Tulem!BA$3,KOMBI!$A$1:$ADS$1,0),FALSE)</f>
        <v>#NUM!</v>
      </c>
      <c r="BB98" s="292" t="e">
        <f t="array" aca="1" ref="BB98" ca="1">VLOOKUP($B98,KOMBI!$A:$ADS,MATCH(Tulem!BB$3,KOMBI!$A$1:$ADS$1,0),FALSE)</f>
        <v>#NUM!</v>
      </c>
      <c r="BC98" s="292" t="e">
        <f t="array" aca="1" ref="BC98" ca="1">VLOOKUP($B98,KOMBI!$A:$ADS,MATCH(Tulem!BC$3,KOMBI!$A$1:$ADS$1,0),FALSE)</f>
        <v>#NUM!</v>
      </c>
      <c r="BD98" s="292" t="e">
        <f t="array" aca="1" ref="BD98" ca="1">VLOOKUP($B98,KOMBI!$A:$ADS,MATCH(Tulem!BD$3,KOMBI!$A$1:$ADS$1,0),FALSE)</f>
        <v>#NUM!</v>
      </c>
      <c r="BE98" s="292" t="e">
        <f t="array" aca="1" ref="BE98" ca="1">VLOOKUP($B98,KOMBI!$A:$ADS,MATCH(Tulem!BE$3,KOMBI!$A$1:$ADS$1,0),FALSE)</f>
        <v>#NUM!</v>
      </c>
      <c r="BF98" s="292" t="e">
        <f t="array" aca="1" ref="BF98" ca="1">VLOOKUP($B98,KOMBI!$A:$ADS,MATCH(Tulem!BF$3,KOMBI!$A$1:$ADS$1,0),FALSE)</f>
        <v>#NUM!</v>
      </c>
      <c r="BG98" s="292" t="e">
        <f t="array" aca="1" ref="BG98" ca="1">VLOOKUP($B98,KOMBI!$A:$ADS,MATCH(Tulem!BG$3,KOMBI!$A$1:$ADS$1,0),FALSE)</f>
        <v>#NUM!</v>
      </c>
      <c r="BH98" s="292" t="e">
        <f t="array" aca="1" ref="BH98" ca="1">VLOOKUP($B98,KOMBI!$A:$ADS,MATCH(Tulem!BH$3,KOMBI!$A$1:$ADS$1,0),FALSE)</f>
        <v>#NUM!</v>
      </c>
      <c r="BI98" s="292" t="e">
        <f t="array" aca="1" ref="BI98" ca="1">VLOOKUP($B98,KOMBI!$A:$ADS,MATCH(Tulem!BI$3,KOMBI!$A$1:$ADS$1,0),FALSE)</f>
        <v>#NUM!</v>
      </c>
      <c r="BJ98" s="292" t="e">
        <f t="array" aca="1" ref="BJ98" ca="1">VLOOKUP($B98,KOMBI!$A:$ADS,MATCH(Tulem!BJ$3,KOMBI!$A$1:$ADS$1,0),FALSE)</f>
        <v>#NUM!</v>
      </c>
      <c r="BK98" s="292" t="e">
        <f t="array" aca="1" ref="BK98" ca="1">VLOOKUP($B98,KOMBI!$A:$ADS,MATCH(Tulem!BK$3,KOMBI!$A$1:$ADS$1,0),FALSE)</f>
        <v>#NUM!</v>
      </c>
      <c r="BL98" s="292" t="e">
        <f t="array" aca="1" ref="BL98" ca="1">VLOOKUP($B98,KOMBI!$A:$ADS,MATCH(Tulem!BL$3,KOMBI!$A$1:$ADS$1,0),FALSE)</f>
        <v>#NUM!</v>
      </c>
      <c r="BM98" s="292" t="e">
        <f t="array" aca="1" ref="BM98" ca="1">VLOOKUP($B98,KOMBI!$A:$ADS,MATCH(Tulem!BM$3,KOMBI!$A$1:$ADS$1,0),FALSE)</f>
        <v>#NUM!</v>
      </c>
      <c r="BN98" s="292" t="e">
        <f t="array" aca="1" ref="BN98" ca="1">VLOOKUP($B98,KOMBI!$A:$ADS,MATCH(Tulem!BN$3,KOMBI!$A$1:$ADS$1,0),FALSE)</f>
        <v>#NUM!</v>
      </c>
      <c r="BO98" s="292" t="e">
        <f t="array" aca="1" ref="BO98" ca="1">VLOOKUP($B98,KOMBI!$A:$ADS,MATCH(Tulem!BO$3,KOMBI!$A$1:$ADS$1,0),FALSE)</f>
        <v>#NUM!</v>
      </c>
      <c r="BP98" s="291"/>
      <c r="BQ98" s="292" t="e">
        <f t="array" aca="1" ref="BQ98" ca="1">VLOOKUP($B98,KOMBI!$A:$ADS,MATCH(Tulem!BQ$3,KOMBI!$A$1:$ADS$1,0),FALSE)</f>
        <v>#NUM!</v>
      </c>
      <c r="BR98" s="292" t="e">
        <f t="array" aca="1" ref="BR98" ca="1">VLOOKUP($B98,KOMBI!$A:$ADS,MATCH(Tulem!BR$3,KOMBI!$A$1:$ADS$1,0),FALSE)</f>
        <v>#NUM!</v>
      </c>
      <c r="BS98" s="292" t="e">
        <f t="array" aca="1" ref="BS98" ca="1">VLOOKUP($B98,KOMBI!$A:$ADS,MATCH(Tulem!BS$3,KOMBI!$A$1:$ADS$1,0),FALSE)</f>
        <v>#NUM!</v>
      </c>
      <c r="BT98" s="292" t="e">
        <f t="array" aca="1" ref="BT98" ca="1">VLOOKUP($B98,KOMBI!$A:$ADS,MATCH(Tulem!BT$3,KOMBI!$A$1:$ADS$1,0),FALSE)</f>
        <v>#NUM!</v>
      </c>
      <c r="BU98" s="292" t="e">
        <f t="array" aca="1" ref="BU98" ca="1">VLOOKUP($B98,KOMBI!$A:$ADS,MATCH(Tulem!BU$3,KOMBI!$A$1:$ADS$1,0),FALSE)</f>
        <v>#NUM!</v>
      </c>
      <c r="BV98" s="291"/>
      <c r="BW98" s="292" t="e">
        <f t="array" aca="1" ref="BW98" ca="1">VLOOKUP($B98,KOMBI!$A:$ADS,MATCH(Tulem!BW$3,KOMBI!$A$1:$ADS$1,0),FALSE)</f>
        <v>#NUM!</v>
      </c>
      <c r="BX98" s="291"/>
      <c r="BY98" s="291"/>
      <c r="BZ98" s="292" t="e">
        <f t="array" aca="1" ref="BZ98" ca="1">VLOOKUP($B98,KOMBI!$A:$ADS,MATCH(Tulem!BZ$3,KOMBI!$A$1:$ADS$1,0),FALSE)</f>
        <v>#NUM!</v>
      </c>
      <c r="CA98" s="292" t="e">
        <f t="array" aca="1" ref="CA98" ca="1">VLOOKUP($B98,KOMBI!$A:$ADS,MATCH(Tulem!CA$3,KOMBI!$A$1:$ADS$1,0),FALSE)</f>
        <v>#NUM!</v>
      </c>
      <c r="CB98" s="292" t="e">
        <f t="array" aca="1" ref="CB98" ca="1">VLOOKUP($B98,KOMBI!$A:$ADS,MATCH(Tulem!CB$3,KOMBI!$A$1:$ADS$1,0),FALSE)</f>
        <v>#NUM!</v>
      </c>
      <c r="CC98" s="292" t="e">
        <f t="array" aca="1" ref="CC98" ca="1">VLOOKUP($B98,KOMBI!$A:$ADS,MATCH(Tulem!CC$3,KOMBI!$A$1:$ADS$1,0),FALSE)</f>
        <v>#NUM!</v>
      </c>
      <c r="CD98" s="292" t="e">
        <f t="array" aca="1" ref="CD98" ca="1">VLOOKUP($B98,KOMBI!$A:$ADS,MATCH(Tulem!CD$3,KOMBI!$A$1:$ADS$1,0),FALSE)</f>
        <v>#NUM!</v>
      </c>
      <c r="CF98" s="51" t="e">
        <f ca="1">VLOOKUP($B98,KOMBI!$A:$ACG,MATCH(CF$5,KOMBI!$10:$10,0),FALSE)</f>
        <v>#NUM!</v>
      </c>
    </row>
    <row r="99" spans="1:84" x14ac:dyDescent="0.2">
      <c r="A99" s="51">
        <v>94</v>
      </c>
      <c r="B99" s="51" t="e">
        <f ca="1">KOMBI!GI104</f>
        <v>#NUM!</v>
      </c>
      <c r="C99" s="51">
        <f t="shared" si="3"/>
        <v>94</v>
      </c>
      <c r="D99" s="290" t="e">
        <f ca="1">VLOOKUP(VLOOKUP($B99,KOMBI!$A:$H,3,FALSE),data!$I$27:$J$29,2,FALSE)</f>
        <v>#NUM!</v>
      </c>
      <c r="E99" s="290" t="e">
        <f ca="1">VLOOKUP(VLOOKUP($B99,KOMBI!$A:$H,2,FALSE),data!$I$21:$J$23,2,FALSE)</f>
        <v>#NUM!</v>
      </c>
      <c r="F99" s="290" t="e">
        <f ca="1">VLOOKUP(VLOOKUP($B99,KOMBI!$A:$H,5,FALSE),data!$I$39:$J$41,2,FALSE)</f>
        <v>#NUM!</v>
      </c>
      <c r="G99" s="290" t="e">
        <f ca="1">VLOOKUP(VLOOKUP($B99,KOMBI!$A:$H,4,FALSE),data!$I$32:$J$36,2,FALSE)</f>
        <v>#NUM!</v>
      </c>
      <c r="I99" s="51" t="e">
        <f ca="1">VLOOKUP($B99,KOMBI!$A:$Z,MATCH(I$5,KOMBI!$10:$10,0),FALSE)</f>
        <v>#NUM!</v>
      </c>
      <c r="J99" s="291" t="e">
        <f ca="1">VLOOKUP($B99,KOMBI!$A:$ADS,J$3,FALSE)</f>
        <v>#NUM!</v>
      </c>
      <c r="K99" s="291" t="e">
        <f ca="1">VLOOKUP($B99,KOMBI!$A:$ADS,K$3,FALSE)</f>
        <v>#NUM!</v>
      </c>
      <c r="L99" s="291" t="e">
        <f ca="1">VLOOKUP($B99,KOMBI!$A:$ADS,L$3,FALSE)</f>
        <v>#NUM!</v>
      </c>
      <c r="M99" s="291" t="e">
        <f ca="1">VLOOKUP($B99,KOMBI!$A:$ADS,M$3,FALSE)</f>
        <v>#NUM!</v>
      </c>
      <c r="N99" s="291" t="e">
        <f ca="1">VLOOKUP($B99,KOMBI!$A:$ADS,N$3,FALSE)</f>
        <v>#NUM!</v>
      </c>
      <c r="O99" s="291" t="e">
        <f ca="1">VLOOKUP($B99,KOMBI!$A:$ADS,O$3,FALSE)</f>
        <v>#NUM!</v>
      </c>
      <c r="P99" s="291" t="e">
        <f ca="1">VLOOKUP($B99,KOMBI!$A:$ADS,P$3,FALSE)</f>
        <v>#NUM!</v>
      </c>
      <c r="Q99" s="292" t="e">
        <f t="array" aca="1" ref="Q99" ca="1">VLOOKUP($B99,KOMBI!$A:$ADS,MATCH(Tulem!Q$3,KOMBI!$A$1:$ADS$1,0),FALSE)</f>
        <v>#NUM!</v>
      </c>
      <c r="S99" s="332" t="e">
        <f t="array" aca="1" ref="S99" ca="1">VLOOKUP($B99,KOMBI!$A:$ADS,MATCH(Tulem!S$3,KOMBI!$A$1:$ADS$1,0),FALSE)</f>
        <v>#NUM!</v>
      </c>
      <c r="T99" s="293" t="e">
        <f ca="1">VLOOKUP($B99,KOMBI!$A:$ADS,T$3,FALSE)</f>
        <v>#NUM!</v>
      </c>
      <c r="U99" s="293" t="e">
        <f ca="1">VLOOKUP($B99,KOMBI!$A:$ADS,U$3,FALSE)</f>
        <v>#NUM!</v>
      </c>
      <c r="V99" s="293" t="e">
        <f ca="1">VLOOKUP($B99,KOMBI!$A:$ADS,V$3,FALSE)</f>
        <v>#NUM!</v>
      </c>
      <c r="W99" s="293"/>
      <c r="X99" s="293" t="e">
        <f ca="1">VLOOKUP($B99,KOMBI!$A:$ADS,X$3,FALSE)</f>
        <v>#NUM!</v>
      </c>
      <c r="Y99" s="293" t="e">
        <f ca="1">VLOOKUP($B99,KOMBI!$A:$ADS,Y$3,FALSE)</f>
        <v>#NUM!</v>
      </c>
      <c r="Z99" s="293" t="e">
        <f ca="1">VLOOKUP($B99,KOMBI!$A:$ADS,Z$3,FALSE)</f>
        <v>#NUM!</v>
      </c>
      <c r="AA99" s="294"/>
      <c r="AB99" s="293" t="e">
        <f ca="1">VLOOKUP($B99,KOMBI!$A:$ADS,AB$3,FALSE)</f>
        <v>#NUM!</v>
      </c>
      <c r="AC99" s="293" t="e">
        <f ca="1">VLOOKUP($B99,KOMBI!$A:$ADS,AC$3,FALSE)-AB99</f>
        <v>#NUM!</v>
      </c>
      <c r="AD99" s="293" t="e">
        <f ca="1">VLOOKUP($B99,KOMBI!$A:$ADS,AD$3,FALSE)</f>
        <v>#NUM!</v>
      </c>
      <c r="AE99" s="293" t="e">
        <f ca="1">VLOOKUP($B99,KOMBI!$A:$ADS,AE$3,FALSE)</f>
        <v>#NUM!</v>
      </c>
      <c r="AF99" s="293" t="e">
        <f ca="1">VLOOKUP($B99,KOMBI!$A:$ADS,AF$3,FALSE)-AE99</f>
        <v>#NUM!</v>
      </c>
      <c r="AG99" s="293" t="e">
        <f ca="1">VLOOKUP($B99,KOMBI!$A:$ADS,AG$3,FALSE)</f>
        <v>#NUM!</v>
      </c>
      <c r="AI99" s="293" t="e">
        <f t="array" aca="1" ref="AI99" ca="1">VLOOKUP($B99,KOMBI!$A:$ADS,MATCH(Tulem!AI$3,KOMBI!$A$1:$ADS$1,0),FALSE)</f>
        <v>#NUM!</v>
      </c>
      <c r="AJ99" s="293" t="e">
        <f t="array" aca="1" ref="AJ99" ca="1">VLOOKUP($B99,KOMBI!$A:$ADS,MATCH(Tulem!AJ$3,KOMBI!$A$1:$ADS$1,0),FALSE)</f>
        <v>#NUM!</v>
      </c>
      <c r="AK99" s="293" t="e">
        <f t="array" aca="1" ref="AK99" ca="1">VLOOKUP($B99,KOMBI!$A:$ADS,MATCH(Tulem!AK$3,KOMBI!$A$1:$ADS$1,0),FALSE)</f>
        <v>#NUM!</v>
      </c>
      <c r="AL99" s="293" t="e">
        <f t="array" aca="1" ref="AL99" ca="1">VLOOKUP($B99,KOMBI!$A:$ADS,MATCH(Tulem!AL$3,KOMBI!$A$1:$ADS$1,0),FALSE)</f>
        <v>#NUM!</v>
      </c>
      <c r="AM99" s="293" t="e">
        <f t="array" aca="1" ref="AM99" ca="1">VLOOKUP($B99,KOMBI!$A:$ADS,MATCH(Tulem!AM$3,KOMBI!$A$1:$ADS$1,0),FALSE)</f>
        <v>#NUM!</v>
      </c>
      <c r="AN99" s="293" t="e">
        <f t="array" aca="1" ref="AN99" ca="1">VLOOKUP($B99,KOMBI!$A:$ADS,MATCH(Tulem!AN$3,KOMBI!$A$1:$ADS$1,0),FALSE)</f>
        <v>#NUM!</v>
      </c>
      <c r="AO99" s="293" t="e">
        <f t="array" aca="1" ref="AO99" ca="1">VLOOKUP($B99,KOMBI!$A:$ADS,MATCH(Tulem!AO$3,KOMBI!$A$1:$ADS$1,0),FALSE)</f>
        <v>#NUM!</v>
      </c>
      <c r="AP99" s="293" t="e">
        <f t="array" aca="1" ref="AP99" ca="1">VLOOKUP($B99,KOMBI!$A:$ADS,MATCH(Tulem!AP$3,KOMBI!$A$1:$ADS$1,0),FALSE)</f>
        <v>#NUM!</v>
      </c>
      <c r="AQ99" s="293" t="e">
        <f t="array" aca="1" ref="AQ99" ca="1">VLOOKUP($B99,KOMBI!$A:$ADS,MATCH(Tulem!AQ$3,KOMBI!$A$1:$ADS$1,0),FALSE)</f>
        <v>#NUM!</v>
      </c>
      <c r="AR99" s="293" t="e">
        <f t="array" aca="1" ref="AR99" ca="1">VLOOKUP($B99,KOMBI!$A:$ADS,MATCH(Tulem!AR$3,KOMBI!$A$1:$ADS$1,0),FALSE)</f>
        <v>#NUM!</v>
      </c>
      <c r="AS99" s="293" t="e">
        <f t="array" aca="1" ref="AS99" ca="1">VLOOKUP($B99,KOMBI!$A:$ADS,MATCH(Tulem!AS$3,KOMBI!$A$1:$ADS$1,0),FALSE)</f>
        <v>#NUM!</v>
      </c>
      <c r="AT99" s="293" t="e">
        <f t="array" aca="1" ref="AT99" ca="1">VLOOKUP($B99,KOMBI!$A:$ADS,MATCH(Tulem!AT$3,KOMBI!$A$1:$ADS$1,0),FALSE)</f>
        <v>#NUM!</v>
      </c>
      <c r="AU99" s="293" t="e">
        <f t="array" aca="1" ref="AU99" ca="1">VLOOKUP($B99,KOMBI!$A:$ADS,MATCH(Tulem!AU$3,KOMBI!$A$1:$ADS$1,0),FALSE)</f>
        <v>#NUM!</v>
      </c>
      <c r="AV99" s="293" t="e">
        <f t="shared" ca="1" si="4"/>
        <v>#NUM!</v>
      </c>
      <c r="AW99" s="293" t="e">
        <f t="shared" ca="1" si="5"/>
        <v>#NUM!</v>
      </c>
      <c r="AX99" s="291" t="e">
        <f ca="1">VLOOKUP($B99,KOMBI!$A:$ACA,MATCH(AX$5,KOMBI!$10:$10,0),FALSE)</f>
        <v>#NUM!</v>
      </c>
      <c r="AY99" s="292" t="e">
        <f t="array" aca="1" ref="AY99" ca="1">VLOOKUP($B99,KOMBI!$A:$ADS,MATCH(Tulem!AY$3,KOMBI!$A$1:$ADS$1,0),FALSE)</f>
        <v>#NUM!</v>
      </c>
      <c r="AZ99" s="292" t="e">
        <f t="array" aca="1" ref="AZ99" ca="1">VLOOKUP($B99,KOMBI!$A:$ADS,MATCH(Tulem!AZ$3,KOMBI!$A$1:$ADS$1,0),FALSE)</f>
        <v>#NUM!</v>
      </c>
      <c r="BA99" s="292" t="e">
        <f t="array" aca="1" ref="BA99" ca="1">VLOOKUP($B99,KOMBI!$A:$ADS,MATCH(Tulem!BA$3,KOMBI!$A$1:$ADS$1,0),FALSE)</f>
        <v>#NUM!</v>
      </c>
      <c r="BB99" s="292" t="e">
        <f t="array" aca="1" ref="BB99" ca="1">VLOOKUP($B99,KOMBI!$A:$ADS,MATCH(Tulem!BB$3,KOMBI!$A$1:$ADS$1,0),FALSE)</f>
        <v>#NUM!</v>
      </c>
      <c r="BC99" s="292" t="e">
        <f t="array" aca="1" ref="BC99" ca="1">VLOOKUP($B99,KOMBI!$A:$ADS,MATCH(Tulem!BC$3,KOMBI!$A$1:$ADS$1,0),FALSE)</f>
        <v>#NUM!</v>
      </c>
      <c r="BD99" s="292" t="e">
        <f t="array" aca="1" ref="BD99" ca="1">VLOOKUP($B99,KOMBI!$A:$ADS,MATCH(Tulem!BD$3,KOMBI!$A$1:$ADS$1,0),FALSE)</f>
        <v>#NUM!</v>
      </c>
      <c r="BE99" s="292" t="e">
        <f t="array" aca="1" ref="BE99" ca="1">VLOOKUP($B99,KOMBI!$A:$ADS,MATCH(Tulem!BE$3,KOMBI!$A$1:$ADS$1,0),FALSE)</f>
        <v>#NUM!</v>
      </c>
      <c r="BF99" s="292" t="e">
        <f t="array" aca="1" ref="BF99" ca="1">VLOOKUP($B99,KOMBI!$A:$ADS,MATCH(Tulem!BF$3,KOMBI!$A$1:$ADS$1,0),FALSE)</f>
        <v>#NUM!</v>
      </c>
      <c r="BG99" s="292" t="e">
        <f t="array" aca="1" ref="BG99" ca="1">VLOOKUP($B99,KOMBI!$A:$ADS,MATCH(Tulem!BG$3,KOMBI!$A$1:$ADS$1,0),FALSE)</f>
        <v>#NUM!</v>
      </c>
      <c r="BH99" s="292" t="e">
        <f t="array" aca="1" ref="BH99" ca="1">VLOOKUP($B99,KOMBI!$A:$ADS,MATCH(Tulem!BH$3,KOMBI!$A$1:$ADS$1,0),FALSE)</f>
        <v>#NUM!</v>
      </c>
      <c r="BI99" s="292" t="e">
        <f t="array" aca="1" ref="BI99" ca="1">VLOOKUP($B99,KOMBI!$A:$ADS,MATCH(Tulem!BI$3,KOMBI!$A$1:$ADS$1,0),FALSE)</f>
        <v>#NUM!</v>
      </c>
      <c r="BJ99" s="292" t="e">
        <f t="array" aca="1" ref="BJ99" ca="1">VLOOKUP($B99,KOMBI!$A:$ADS,MATCH(Tulem!BJ$3,KOMBI!$A$1:$ADS$1,0),FALSE)</f>
        <v>#NUM!</v>
      </c>
      <c r="BK99" s="292" t="e">
        <f t="array" aca="1" ref="BK99" ca="1">VLOOKUP($B99,KOMBI!$A:$ADS,MATCH(Tulem!BK$3,KOMBI!$A$1:$ADS$1,0),FALSE)</f>
        <v>#NUM!</v>
      </c>
      <c r="BL99" s="292" t="e">
        <f t="array" aca="1" ref="BL99" ca="1">VLOOKUP($B99,KOMBI!$A:$ADS,MATCH(Tulem!BL$3,KOMBI!$A$1:$ADS$1,0),FALSE)</f>
        <v>#NUM!</v>
      </c>
      <c r="BM99" s="292" t="e">
        <f t="array" aca="1" ref="BM99" ca="1">VLOOKUP($B99,KOMBI!$A:$ADS,MATCH(Tulem!BM$3,KOMBI!$A$1:$ADS$1,0),FALSE)</f>
        <v>#NUM!</v>
      </c>
      <c r="BN99" s="292" t="e">
        <f t="array" aca="1" ref="BN99" ca="1">VLOOKUP($B99,KOMBI!$A:$ADS,MATCH(Tulem!BN$3,KOMBI!$A$1:$ADS$1,0),FALSE)</f>
        <v>#NUM!</v>
      </c>
      <c r="BO99" s="292" t="e">
        <f t="array" aca="1" ref="BO99" ca="1">VLOOKUP($B99,KOMBI!$A:$ADS,MATCH(Tulem!BO$3,KOMBI!$A$1:$ADS$1,0),FALSE)</f>
        <v>#NUM!</v>
      </c>
      <c r="BP99" s="291"/>
      <c r="BQ99" s="292" t="e">
        <f t="array" aca="1" ref="BQ99" ca="1">VLOOKUP($B99,KOMBI!$A:$ADS,MATCH(Tulem!BQ$3,KOMBI!$A$1:$ADS$1,0),FALSE)</f>
        <v>#NUM!</v>
      </c>
      <c r="BR99" s="292" t="e">
        <f t="array" aca="1" ref="BR99" ca="1">VLOOKUP($B99,KOMBI!$A:$ADS,MATCH(Tulem!BR$3,KOMBI!$A$1:$ADS$1,0),FALSE)</f>
        <v>#NUM!</v>
      </c>
      <c r="BS99" s="292" t="e">
        <f t="array" aca="1" ref="BS99" ca="1">VLOOKUP($B99,KOMBI!$A:$ADS,MATCH(Tulem!BS$3,KOMBI!$A$1:$ADS$1,0),FALSE)</f>
        <v>#NUM!</v>
      </c>
      <c r="BT99" s="292" t="e">
        <f t="array" aca="1" ref="BT99" ca="1">VLOOKUP($B99,KOMBI!$A:$ADS,MATCH(Tulem!BT$3,KOMBI!$A$1:$ADS$1,0),FALSE)</f>
        <v>#NUM!</v>
      </c>
      <c r="BU99" s="292" t="e">
        <f t="array" aca="1" ref="BU99" ca="1">VLOOKUP($B99,KOMBI!$A:$ADS,MATCH(Tulem!BU$3,KOMBI!$A$1:$ADS$1,0),FALSE)</f>
        <v>#NUM!</v>
      </c>
      <c r="BV99" s="291"/>
      <c r="BW99" s="292" t="e">
        <f t="array" aca="1" ref="BW99" ca="1">VLOOKUP($B99,KOMBI!$A:$ADS,MATCH(Tulem!BW$3,KOMBI!$A$1:$ADS$1,0),FALSE)</f>
        <v>#NUM!</v>
      </c>
      <c r="BX99" s="291"/>
      <c r="BY99" s="291"/>
      <c r="BZ99" s="292" t="e">
        <f t="array" aca="1" ref="BZ99" ca="1">VLOOKUP($B99,KOMBI!$A:$ADS,MATCH(Tulem!BZ$3,KOMBI!$A$1:$ADS$1,0),FALSE)</f>
        <v>#NUM!</v>
      </c>
      <c r="CA99" s="292" t="e">
        <f t="array" aca="1" ref="CA99" ca="1">VLOOKUP($B99,KOMBI!$A:$ADS,MATCH(Tulem!CA$3,KOMBI!$A$1:$ADS$1,0),FALSE)</f>
        <v>#NUM!</v>
      </c>
      <c r="CB99" s="292" t="e">
        <f t="array" aca="1" ref="CB99" ca="1">VLOOKUP($B99,KOMBI!$A:$ADS,MATCH(Tulem!CB$3,KOMBI!$A$1:$ADS$1,0),FALSE)</f>
        <v>#NUM!</v>
      </c>
      <c r="CC99" s="292" t="e">
        <f t="array" aca="1" ref="CC99" ca="1">VLOOKUP($B99,KOMBI!$A:$ADS,MATCH(Tulem!CC$3,KOMBI!$A$1:$ADS$1,0),FALSE)</f>
        <v>#NUM!</v>
      </c>
      <c r="CD99" s="292" t="e">
        <f t="array" aca="1" ref="CD99" ca="1">VLOOKUP($B99,KOMBI!$A:$ADS,MATCH(Tulem!CD$3,KOMBI!$A$1:$ADS$1,0),FALSE)</f>
        <v>#NUM!</v>
      </c>
      <c r="CF99" s="51" t="e">
        <f ca="1">VLOOKUP($B99,KOMBI!$A:$ACG,MATCH(CF$5,KOMBI!$10:$10,0),FALSE)</f>
        <v>#NUM!</v>
      </c>
    </row>
    <row r="100" spans="1:84" x14ac:dyDescent="0.2">
      <c r="A100" s="51">
        <v>95</v>
      </c>
      <c r="B100" s="51" t="e">
        <f ca="1">KOMBI!GI105</f>
        <v>#NUM!</v>
      </c>
      <c r="C100" s="51">
        <f t="shared" si="3"/>
        <v>95</v>
      </c>
      <c r="D100" s="290" t="e">
        <f ca="1">VLOOKUP(VLOOKUP($B100,KOMBI!$A:$H,3,FALSE),data!$I$27:$J$29,2,FALSE)</f>
        <v>#NUM!</v>
      </c>
      <c r="E100" s="290" t="e">
        <f ca="1">VLOOKUP(VLOOKUP($B100,KOMBI!$A:$H,2,FALSE),data!$I$21:$J$23,2,FALSE)</f>
        <v>#NUM!</v>
      </c>
      <c r="F100" s="290" t="e">
        <f ca="1">VLOOKUP(VLOOKUP($B100,KOMBI!$A:$H,5,FALSE),data!$I$39:$J$41,2,FALSE)</f>
        <v>#NUM!</v>
      </c>
      <c r="G100" s="290" t="e">
        <f ca="1">VLOOKUP(VLOOKUP($B100,KOMBI!$A:$H,4,FALSE),data!$I$32:$J$36,2,FALSE)</f>
        <v>#NUM!</v>
      </c>
      <c r="I100" s="51" t="e">
        <f ca="1">VLOOKUP($B100,KOMBI!$A:$Z,MATCH(I$5,KOMBI!$10:$10,0),FALSE)</f>
        <v>#NUM!</v>
      </c>
      <c r="J100" s="291" t="e">
        <f ca="1">VLOOKUP($B100,KOMBI!$A:$ADS,J$3,FALSE)</f>
        <v>#NUM!</v>
      </c>
      <c r="K100" s="291" t="e">
        <f ca="1">VLOOKUP($B100,KOMBI!$A:$ADS,K$3,FALSE)</f>
        <v>#NUM!</v>
      </c>
      <c r="L100" s="291" t="e">
        <f ca="1">VLOOKUP($B100,KOMBI!$A:$ADS,L$3,FALSE)</f>
        <v>#NUM!</v>
      </c>
      <c r="M100" s="291" t="e">
        <f ca="1">VLOOKUP($B100,KOMBI!$A:$ADS,M$3,FALSE)</f>
        <v>#NUM!</v>
      </c>
      <c r="N100" s="291" t="e">
        <f ca="1">VLOOKUP($B100,KOMBI!$A:$ADS,N$3,FALSE)</f>
        <v>#NUM!</v>
      </c>
      <c r="O100" s="291" t="e">
        <f ca="1">VLOOKUP($B100,KOMBI!$A:$ADS,O$3,FALSE)</f>
        <v>#NUM!</v>
      </c>
      <c r="P100" s="291" t="e">
        <f ca="1">VLOOKUP($B100,KOMBI!$A:$ADS,P$3,FALSE)</f>
        <v>#NUM!</v>
      </c>
      <c r="Q100" s="292" t="e">
        <f t="array" aca="1" ref="Q100" ca="1">VLOOKUP($B100,KOMBI!$A:$ADS,MATCH(Tulem!Q$3,KOMBI!$A$1:$ADS$1,0),FALSE)</f>
        <v>#NUM!</v>
      </c>
      <c r="S100" s="332" t="e">
        <f t="array" aca="1" ref="S100" ca="1">VLOOKUP($B100,KOMBI!$A:$ADS,MATCH(Tulem!S$3,KOMBI!$A$1:$ADS$1,0),FALSE)</f>
        <v>#NUM!</v>
      </c>
      <c r="T100" s="293" t="e">
        <f ca="1">VLOOKUP($B100,KOMBI!$A:$ADS,T$3,FALSE)</f>
        <v>#NUM!</v>
      </c>
      <c r="U100" s="293" t="e">
        <f ca="1">VLOOKUP($B100,KOMBI!$A:$ADS,U$3,FALSE)</f>
        <v>#NUM!</v>
      </c>
      <c r="V100" s="293" t="e">
        <f ca="1">VLOOKUP($B100,KOMBI!$A:$ADS,V$3,FALSE)</f>
        <v>#NUM!</v>
      </c>
      <c r="W100" s="293"/>
      <c r="X100" s="293" t="e">
        <f ca="1">VLOOKUP($B100,KOMBI!$A:$ADS,X$3,FALSE)</f>
        <v>#NUM!</v>
      </c>
      <c r="Y100" s="293" t="e">
        <f ca="1">VLOOKUP($B100,KOMBI!$A:$ADS,Y$3,FALSE)</f>
        <v>#NUM!</v>
      </c>
      <c r="Z100" s="293" t="e">
        <f ca="1">VLOOKUP($B100,KOMBI!$A:$ADS,Z$3,FALSE)</f>
        <v>#NUM!</v>
      </c>
      <c r="AA100" s="294"/>
      <c r="AB100" s="293" t="e">
        <f ca="1">VLOOKUP($B100,KOMBI!$A:$ADS,AB$3,FALSE)</f>
        <v>#NUM!</v>
      </c>
      <c r="AC100" s="293" t="e">
        <f ca="1">VLOOKUP($B100,KOMBI!$A:$ADS,AC$3,FALSE)-AB100</f>
        <v>#NUM!</v>
      </c>
      <c r="AD100" s="293" t="e">
        <f ca="1">VLOOKUP($B100,KOMBI!$A:$ADS,AD$3,FALSE)</f>
        <v>#NUM!</v>
      </c>
      <c r="AE100" s="293" t="e">
        <f ca="1">VLOOKUP($B100,KOMBI!$A:$ADS,AE$3,FALSE)</f>
        <v>#NUM!</v>
      </c>
      <c r="AF100" s="293" t="e">
        <f ca="1">VLOOKUP($B100,KOMBI!$A:$ADS,AF$3,FALSE)-AE100</f>
        <v>#NUM!</v>
      </c>
      <c r="AG100" s="293" t="e">
        <f ca="1">VLOOKUP($B100,KOMBI!$A:$ADS,AG$3,FALSE)</f>
        <v>#NUM!</v>
      </c>
      <c r="AI100" s="293" t="e">
        <f t="array" aca="1" ref="AI100" ca="1">VLOOKUP($B100,KOMBI!$A:$ADS,MATCH(Tulem!AI$3,KOMBI!$A$1:$ADS$1,0),FALSE)</f>
        <v>#NUM!</v>
      </c>
      <c r="AJ100" s="293" t="e">
        <f t="array" aca="1" ref="AJ100" ca="1">VLOOKUP($B100,KOMBI!$A:$ADS,MATCH(Tulem!AJ$3,KOMBI!$A$1:$ADS$1,0),FALSE)</f>
        <v>#NUM!</v>
      </c>
      <c r="AK100" s="293" t="e">
        <f t="array" aca="1" ref="AK100" ca="1">VLOOKUP($B100,KOMBI!$A:$ADS,MATCH(Tulem!AK$3,KOMBI!$A$1:$ADS$1,0),FALSE)</f>
        <v>#NUM!</v>
      </c>
      <c r="AL100" s="293" t="e">
        <f t="array" aca="1" ref="AL100" ca="1">VLOOKUP($B100,KOMBI!$A:$ADS,MATCH(Tulem!AL$3,KOMBI!$A$1:$ADS$1,0),FALSE)</f>
        <v>#NUM!</v>
      </c>
      <c r="AM100" s="293" t="e">
        <f t="array" aca="1" ref="AM100" ca="1">VLOOKUP($B100,KOMBI!$A:$ADS,MATCH(Tulem!AM$3,KOMBI!$A$1:$ADS$1,0),FALSE)</f>
        <v>#NUM!</v>
      </c>
      <c r="AN100" s="293" t="e">
        <f t="array" aca="1" ref="AN100" ca="1">VLOOKUP($B100,KOMBI!$A:$ADS,MATCH(Tulem!AN$3,KOMBI!$A$1:$ADS$1,0),FALSE)</f>
        <v>#NUM!</v>
      </c>
      <c r="AO100" s="293" t="e">
        <f t="array" aca="1" ref="AO100" ca="1">VLOOKUP($B100,KOMBI!$A:$ADS,MATCH(Tulem!AO$3,KOMBI!$A$1:$ADS$1,0),FALSE)</f>
        <v>#NUM!</v>
      </c>
      <c r="AP100" s="293" t="e">
        <f t="array" aca="1" ref="AP100" ca="1">VLOOKUP($B100,KOMBI!$A:$ADS,MATCH(Tulem!AP$3,KOMBI!$A$1:$ADS$1,0),FALSE)</f>
        <v>#NUM!</v>
      </c>
      <c r="AQ100" s="293" t="e">
        <f t="array" aca="1" ref="AQ100" ca="1">VLOOKUP($B100,KOMBI!$A:$ADS,MATCH(Tulem!AQ$3,KOMBI!$A$1:$ADS$1,0),FALSE)</f>
        <v>#NUM!</v>
      </c>
      <c r="AR100" s="293" t="e">
        <f t="array" aca="1" ref="AR100" ca="1">VLOOKUP($B100,KOMBI!$A:$ADS,MATCH(Tulem!AR$3,KOMBI!$A$1:$ADS$1,0),FALSE)</f>
        <v>#NUM!</v>
      </c>
      <c r="AS100" s="293" t="e">
        <f t="array" aca="1" ref="AS100" ca="1">VLOOKUP($B100,KOMBI!$A:$ADS,MATCH(Tulem!AS$3,KOMBI!$A$1:$ADS$1,0),FALSE)</f>
        <v>#NUM!</v>
      </c>
      <c r="AT100" s="293" t="e">
        <f t="array" aca="1" ref="AT100" ca="1">VLOOKUP($B100,KOMBI!$A:$ADS,MATCH(Tulem!AT$3,KOMBI!$A$1:$ADS$1,0),FALSE)</f>
        <v>#NUM!</v>
      </c>
      <c r="AU100" s="293" t="e">
        <f t="array" aca="1" ref="AU100" ca="1">VLOOKUP($B100,KOMBI!$A:$ADS,MATCH(Tulem!AU$3,KOMBI!$A$1:$ADS$1,0),FALSE)</f>
        <v>#NUM!</v>
      </c>
      <c r="AV100" s="293" t="e">
        <f t="shared" ca="1" si="4"/>
        <v>#NUM!</v>
      </c>
      <c r="AW100" s="293" t="e">
        <f t="shared" ca="1" si="5"/>
        <v>#NUM!</v>
      </c>
      <c r="AX100" s="291" t="e">
        <f ca="1">VLOOKUP($B100,KOMBI!$A:$ACA,MATCH(AX$5,KOMBI!$10:$10,0),FALSE)</f>
        <v>#NUM!</v>
      </c>
      <c r="AY100" s="292" t="e">
        <f t="array" aca="1" ref="AY100" ca="1">VLOOKUP($B100,KOMBI!$A:$ADS,MATCH(Tulem!AY$3,KOMBI!$A$1:$ADS$1,0),FALSE)</f>
        <v>#NUM!</v>
      </c>
      <c r="AZ100" s="292" t="e">
        <f t="array" aca="1" ref="AZ100" ca="1">VLOOKUP($B100,KOMBI!$A:$ADS,MATCH(Tulem!AZ$3,KOMBI!$A$1:$ADS$1,0),FALSE)</f>
        <v>#NUM!</v>
      </c>
      <c r="BA100" s="292" t="e">
        <f t="array" aca="1" ref="BA100" ca="1">VLOOKUP($B100,KOMBI!$A:$ADS,MATCH(Tulem!BA$3,KOMBI!$A$1:$ADS$1,0),FALSE)</f>
        <v>#NUM!</v>
      </c>
      <c r="BB100" s="292" t="e">
        <f t="array" aca="1" ref="BB100" ca="1">VLOOKUP($B100,KOMBI!$A:$ADS,MATCH(Tulem!BB$3,KOMBI!$A$1:$ADS$1,0),FALSE)</f>
        <v>#NUM!</v>
      </c>
      <c r="BC100" s="292" t="e">
        <f t="array" aca="1" ref="BC100" ca="1">VLOOKUP($B100,KOMBI!$A:$ADS,MATCH(Tulem!BC$3,KOMBI!$A$1:$ADS$1,0),FALSE)</f>
        <v>#NUM!</v>
      </c>
      <c r="BD100" s="292" t="e">
        <f t="array" aca="1" ref="BD100" ca="1">VLOOKUP($B100,KOMBI!$A:$ADS,MATCH(Tulem!BD$3,KOMBI!$A$1:$ADS$1,0),FALSE)</f>
        <v>#NUM!</v>
      </c>
      <c r="BE100" s="292" t="e">
        <f t="array" aca="1" ref="BE100" ca="1">VLOOKUP($B100,KOMBI!$A:$ADS,MATCH(Tulem!BE$3,KOMBI!$A$1:$ADS$1,0),FALSE)</f>
        <v>#NUM!</v>
      </c>
      <c r="BF100" s="292" t="e">
        <f t="array" aca="1" ref="BF100" ca="1">VLOOKUP($B100,KOMBI!$A:$ADS,MATCH(Tulem!BF$3,KOMBI!$A$1:$ADS$1,0),FALSE)</f>
        <v>#NUM!</v>
      </c>
      <c r="BG100" s="292" t="e">
        <f t="array" aca="1" ref="BG100" ca="1">VLOOKUP($B100,KOMBI!$A:$ADS,MATCH(Tulem!BG$3,KOMBI!$A$1:$ADS$1,0),FALSE)</f>
        <v>#NUM!</v>
      </c>
      <c r="BH100" s="292" t="e">
        <f t="array" aca="1" ref="BH100" ca="1">VLOOKUP($B100,KOMBI!$A:$ADS,MATCH(Tulem!BH$3,KOMBI!$A$1:$ADS$1,0),FALSE)</f>
        <v>#NUM!</v>
      </c>
      <c r="BI100" s="292" t="e">
        <f t="array" aca="1" ref="BI100" ca="1">VLOOKUP($B100,KOMBI!$A:$ADS,MATCH(Tulem!BI$3,KOMBI!$A$1:$ADS$1,0),FALSE)</f>
        <v>#NUM!</v>
      </c>
      <c r="BJ100" s="292" t="e">
        <f t="array" aca="1" ref="BJ100" ca="1">VLOOKUP($B100,KOMBI!$A:$ADS,MATCH(Tulem!BJ$3,KOMBI!$A$1:$ADS$1,0),FALSE)</f>
        <v>#NUM!</v>
      </c>
      <c r="BK100" s="292" t="e">
        <f t="array" aca="1" ref="BK100" ca="1">VLOOKUP($B100,KOMBI!$A:$ADS,MATCH(Tulem!BK$3,KOMBI!$A$1:$ADS$1,0),FALSE)</f>
        <v>#NUM!</v>
      </c>
      <c r="BL100" s="292" t="e">
        <f t="array" aca="1" ref="BL100" ca="1">VLOOKUP($B100,KOMBI!$A:$ADS,MATCH(Tulem!BL$3,KOMBI!$A$1:$ADS$1,0),FALSE)</f>
        <v>#NUM!</v>
      </c>
      <c r="BM100" s="292" t="e">
        <f t="array" aca="1" ref="BM100" ca="1">VLOOKUP($B100,KOMBI!$A:$ADS,MATCH(Tulem!BM$3,KOMBI!$A$1:$ADS$1,0),FALSE)</f>
        <v>#NUM!</v>
      </c>
      <c r="BN100" s="292" t="e">
        <f t="array" aca="1" ref="BN100" ca="1">VLOOKUP($B100,KOMBI!$A:$ADS,MATCH(Tulem!BN$3,KOMBI!$A$1:$ADS$1,0),FALSE)</f>
        <v>#NUM!</v>
      </c>
      <c r="BO100" s="292" t="e">
        <f t="array" aca="1" ref="BO100" ca="1">VLOOKUP($B100,KOMBI!$A:$ADS,MATCH(Tulem!BO$3,KOMBI!$A$1:$ADS$1,0),FALSE)</f>
        <v>#NUM!</v>
      </c>
      <c r="BP100" s="291"/>
      <c r="BQ100" s="292" t="e">
        <f t="array" aca="1" ref="BQ100" ca="1">VLOOKUP($B100,KOMBI!$A:$ADS,MATCH(Tulem!BQ$3,KOMBI!$A$1:$ADS$1,0),FALSE)</f>
        <v>#NUM!</v>
      </c>
      <c r="BR100" s="292" t="e">
        <f t="array" aca="1" ref="BR100" ca="1">VLOOKUP($B100,KOMBI!$A:$ADS,MATCH(Tulem!BR$3,KOMBI!$A$1:$ADS$1,0),FALSE)</f>
        <v>#NUM!</v>
      </c>
      <c r="BS100" s="292" t="e">
        <f t="array" aca="1" ref="BS100" ca="1">VLOOKUP($B100,KOMBI!$A:$ADS,MATCH(Tulem!BS$3,KOMBI!$A$1:$ADS$1,0),FALSE)</f>
        <v>#NUM!</v>
      </c>
      <c r="BT100" s="292" t="e">
        <f t="array" aca="1" ref="BT100" ca="1">VLOOKUP($B100,KOMBI!$A:$ADS,MATCH(Tulem!BT$3,KOMBI!$A$1:$ADS$1,0),FALSE)</f>
        <v>#NUM!</v>
      </c>
      <c r="BU100" s="292" t="e">
        <f t="array" aca="1" ref="BU100" ca="1">VLOOKUP($B100,KOMBI!$A:$ADS,MATCH(Tulem!BU$3,KOMBI!$A$1:$ADS$1,0),FALSE)</f>
        <v>#NUM!</v>
      </c>
      <c r="BV100" s="291"/>
      <c r="BW100" s="292" t="e">
        <f t="array" aca="1" ref="BW100" ca="1">VLOOKUP($B100,KOMBI!$A:$ADS,MATCH(Tulem!BW$3,KOMBI!$A$1:$ADS$1,0),FALSE)</f>
        <v>#NUM!</v>
      </c>
      <c r="BX100" s="291"/>
      <c r="BY100" s="291"/>
      <c r="BZ100" s="292" t="e">
        <f t="array" aca="1" ref="BZ100" ca="1">VLOOKUP($B100,KOMBI!$A:$ADS,MATCH(Tulem!BZ$3,KOMBI!$A$1:$ADS$1,0),FALSE)</f>
        <v>#NUM!</v>
      </c>
      <c r="CA100" s="292" t="e">
        <f t="array" aca="1" ref="CA100" ca="1">VLOOKUP($B100,KOMBI!$A:$ADS,MATCH(Tulem!CA$3,KOMBI!$A$1:$ADS$1,0),FALSE)</f>
        <v>#NUM!</v>
      </c>
      <c r="CB100" s="292" t="e">
        <f t="array" aca="1" ref="CB100" ca="1">VLOOKUP($B100,KOMBI!$A:$ADS,MATCH(Tulem!CB$3,KOMBI!$A$1:$ADS$1,0),FALSE)</f>
        <v>#NUM!</v>
      </c>
      <c r="CC100" s="292" t="e">
        <f t="array" aca="1" ref="CC100" ca="1">VLOOKUP($B100,KOMBI!$A:$ADS,MATCH(Tulem!CC$3,KOMBI!$A$1:$ADS$1,0),FALSE)</f>
        <v>#NUM!</v>
      </c>
      <c r="CD100" s="292" t="e">
        <f t="array" aca="1" ref="CD100" ca="1">VLOOKUP($B100,KOMBI!$A:$ADS,MATCH(Tulem!CD$3,KOMBI!$A$1:$ADS$1,0),FALSE)</f>
        <v>#NUM!</v>
      </c>
      <c r="CF100" s="51" t="e">
        <f ca="1">VLOOKUP($B100,KOMBI!$A:$ACG,MATCH(CF$5,KOMBI!$10:$10,0),FALSE)</f>
        <v>#NUM!</v>
      </c>
    </row>
    <row r="101" spans="1:84" x14ac:dyDescent="0.2">
      <c r="A101" s="51">
        <v>96</v>
      </c>
      <c r="B101" s="51" t="e">
        <f ca="1">KOMBI!GI106</f>
        <v>#NUM!</v>
      </c>
      <c r="C101" s="51">
        <f t="shared" si="3"/>
        <v>96</v>
      </c>
      <c r="D101" s="290" t="e">
        <f ca="1">VLOOKUP(VLOOKUP($B101,KOMBI!$A:$H,3,FALSE),data!$I$27:$J$29,2,FALSE)</f>
        <v>#NUM!</v>
      </c>
      <c r="E101" s="290" t="e">
        <f ca="1">VLOOKUP(VLOOKUP($B101,KOMBI!$A:$H,2,FALSE),data!$I$21:$J$23,2,FALSE)</f>
        <v>#NUM!</v>
      </c>
      <c r="F101" s="290" t="e">
        <f ca="1">VLOOKUP(VLOOKUP($B101,KOMBI!$A:$H,5,FALSE),data!$I$39:$J$41,2,FALSE)</f>
        <v>#NUM!</v>
      </c>
      <c r="G101" s="290" t="e">
        <f ca="1">VLOOKUP(VLOOKUP($B101,KOMBI!$A:$H,4,FALSE),data!$I$32:$J$36,2,FALSE)</f>
        <v>#NUM!</v>
      </c>
      <c r="I101" s="51" t="e">
        <f ca="1">VLOOKUP($B101,KOMBI!$A:$Z,MATCH(I$5,KOMBI!$10:$10,0),FALSE)</f>
        <v>#NUM!</v>
      </c>
      <c r="J101" s="291" t="e">
        <f ca="1">VLOOKUP($B101,KOMBI!$A:$ADS,J$3,FALSE)</f>
        <v>#NUM!</v>
      </c>
      <c r="K101" s="291" t="e">
        <f ca="1">VLOOKUP($B101,KOMBI!$A:$ADS,K$3,FALSE)</f>
        <v>#NUM!</v>
      </c>
      <c r="L101" s="291" t="e">
        <f ca="1">VLOOKUP($B101,KOMBI!$A:$ADS,L$3,FALSE)</f>
        <v>#NUM!</v>
      </c>
      <c r="M101" s="291" t="e">
        <f ca="1">VLOOKUP($B101,KOMBI!$A:$ADS,M$3,FALSE)</f>
        <v>#NUM!</v>
      </c>
      <c r="N101" s="291" t="e">
        <f ca="1">VLOOKUP($B101,KOMBI!$A:$ADS,N$3,FALSE)</f>
        <v>#NUM!</v>
      </c>
      <c r="O101" s="291" t="e">
        <f ca="1">VLOOKUP($B101,KOMBI!$A:$ADS,O$3,FALSE)</f>
        <v>#NUM!</v>
      </c>
      <c r="P101" s="291" t="e">
        <f ca="1">VLOOKUP($B101,KOMBI!$A:$ADS,P$3,FALSE)</f>
        <v>#NUM!</v>
      </c>
      <c r="Q101" s="292" t="e">
        <f t="array" aca="1" ref="Q101" ca="1">VLOOKUP($B101,KOMBI!$A:$ADS,MATCH(Tulem!Q$3,KOMBI!$A$1:$ADS$1,0),FALSE)</f>
        <v>#NUM!</v>
      </c>
      <c r="S101" s="332" t="e">
        <f t="array" aca="1" ref="S101" ca="1">VLOOKUP($B101,KOMBI!$A:$ADS,MATCH(Tulem!S$3,KOMBI!$A$1:$ADS$1,0),FALSE)</f>
        <v>#NUM!</v>
      </c>
      <c r="T101" s="293" t="e">
        <f ca="1">VLOOKUP($B101,KOMBI!$A:$ADS,T$3,FALSE)</f>
        <v>#NUM!</v>
      </c>
      <c r="U101" s="293" t="e">
        <f ca="1">VLOOKUP($B101,KOMBI!$A:$ADS,U$3,FALSE)</f>
        <v>#NUM!</v>
      </c>
      <c r="V101" s="293" t="e">
        <f ca="1">VLOOKUP($B101,KOMBI!$A:$ADS,V$3,FALSE)</f>
        <v>#NUM!</v>
      </c>
      <c r="W101" s="293"/>
      <c r="X101" s="293" t="e">
        <f ca="1">VLOOKUP($B101,KOMBI!$A:$ADS,X$3,FALSE)</f>
        <v>#NUM!</v>
      </c>
      <c r="Y101" s="293" t="e">
        <f ca="1">VLOOKUP($B101,KOMBI!$A:$ADS,Y$3,FALSE)</f>
        <v>#NUM!</v>
      </c>
      <c r="Z101" s="293" t="e">
        <f ca="1">VLOOKUP($B101,KOMBI!$A:$ADS,Z$3,FALSE)</f>
        <v>#NUM!</v>
      </c>
      <c r="AA101" s="294"/>
      <c r="AB101" s="293" t="e">
        <f ca="1">VLOOKUP($B101,KOMBI!$A:$ADS,AB$3,FALSE)</f>
        <v>#NUM!</v>
      </c>
      <c r="AC101" s="293" t="e">
        <f ca="1">VLOOKUP($B101,KOMBI!$A:$ADS,AC$3,FALSE)-AB101</f>
        <v>#NUM!</v>
      </c>
      <c r="AD101" s="293" t="e">
        <f ca="1">VLOOKUP($B101,KOMBI!$A:$ADS,AD$3,FALSE)</f>
        <v>#NUM!</v>
      </c>
      <c r="AE101" s="293" t="e">
        <f ca="1">VLOOKUP($B101,KOMBI!$A:$ADS,AE$3,FALSE)</f>
        <v>#NUM!</v>
      </c>
      <c r="AF101" s="293" t="e">
        <f ca="1">VLOOKUP($B101,KOMBI!$A:$ADS,AF$3,FALSE)-AE101</f>
        <v>#NUM!</v>
      </c>
      <c r="AG101" s="293" t="e">
        <f ca="1">VLOOKUP($B101,KOMBI!$A:$ADS,AG$3,FALSE)</f>
        <v>#NUM!</v>
      </c>
      <c r="AI101" s="293" t="e">
        <f t="array" aca="1" ref="AI101" ca="1">VLOOKUP($B101,KOMBI!$A:$ADS,MATCH(Tulem!AI$3,KOMBI!$A$1:$ADS$1,0),FALSE)</f>
        <v>#NUM!</v>
      </c>
      <c r="AJ101" s="293" t="e">
        <f t="array" aca="1" ref="AJ101" ca="1">VLOOKUP($B101,KOMBI!$A:$ADS,MATCH(Tulem!AJ$3,KOMBI!$A$1:$ADS$1,0),FALSE)</f>
        <v>#NUM!</v>
      </c>
      <c r="AK101" s="293" t="e">
        <f t="array" aca="1" ref="AK101" ca="1">VLOOKUP($B101,KOMBI!$A:$ADS,MATCH(Tulem!AK$3,KOMBI!$A$1:$ADS$1,0),FALSE)</f>
        <v>#NUM!</v>
      </c>
      <c r="AL101" s="293" t="e">
        <f t="array" aca="1" ref="AL101" ca="1">VLOOKUP($B101,KOMBI!$A:$ADS,MATCH(Tulem!AL$3,KOMBI!$A$1:$ADS$1,0),FALSE)</f>
        <v>#NUM!</v>
      </c>
      <c r="AM101" s="293" t="e">
        <f t="array" aca="1" ref="AM101" ca="1">VLOOKUP($B101,KOMBI!$A:$ADS,MATCH(Tulem!AM$3,KOMBI!$A$1:$ADS$1,0),FALSE)</f>
        <v>#NUM!</v>
      </c>
      <c r="AN101" s="293" t="e">
        <f t="array" aca="1" ref="AN101" ca="1">VLOOKUP($B101,KOMBI!$A:$ADS,MATCH(Tulem!AN$3,KOMBI!$A$1:$ADS$1,0),FALSE)</f>
        <v>#NUM!</v>
      </c>
      <c r="AO101" s="293" t="e">
        <f t="array" aca="1" ref="AO101" ca="1">VLOOKUP($B101,KOMBI!$A:$ADS,MATCH(Tulem!AO$3,KOMBI!$A$1:$ADS$1,0),FALSE)</f>
        <v>#NUM!</v>
      </c>
      <c r="AP101" s="293" t="e">
        <f t="array" aca="1" ref="AP101" ca="1">VLOOKUP($B101,KOMBI!$A:$ADS,MATCH(Tulem!AP$3,KOMBI!$A$1:$ADS$1,0),FALSE)</f>
        <v>#NUM!</v>
      </c>
      <c r="AQ101" s="293" t="e">
        <f t="array" aca="1" ref="AQ101" ca="1">VLOOKUP($B101,KOMBI!$A:$ADS,MATCH(Tulem!AQ$3,KOMBI!$A$1:$ADS$1,0),FALSE)</f>
        <v>#NUM!</v>
      </c>
      <c r="AR101" s="293" t="e">
        <f t="array" aca="1" ref="AR101" ca="1">VLOOKUP($B101,KOMBI!$A:$ADS,MATCH(Tulem!AR$3,KOMBI!$A$1:$ADS$1,0),FALSE)</f>
        <v>#NUM!</v>
      </c>
      <c r="AS101" s="293" t="e">
        <f t="array" aca="1" ref="AS101" ca="1">VLOOKUP($B101,KOMBI!$A:$ADS,MATCH(Tulem!AS$3,KOMBI!$A$1:$ADS$1,0),FALSE)</f>
        <v>#NUM!</v>
      </c>
      <c r="AT101" s="293" t="e">
        <f t="array" aca="1" ref="AT101" ca="1">VLOOKUP($B101,KOMBI!$A:$ADS,MATCH(Tulem!AT$3,KOMBI!$A$1:$ADS$1,0),FALSE)</f>
        <v>#NUM!</v>
      </c>
      <c r="AU101" s="293" t="e">
        <f t="array" aca="1" ref="AU101" ca="1">VLOOKUP($B101,KOMBI!$A:$ADS,MATCH(Tulem!AU$3,KOMBI!$A$1:$ADS$1,0),FALSE)</f>
        <v>#NUM!</v>
      </c>
      <c r="AV101" s="293" t="e">
        <f t="shared" ca="1" si="4"/>
        <v>#NUM!</v>
      </c>
      <c r="AW101" s="293" t="e">
        <f t="shared" ca="1" si="5"/>
        <v>#NUM!</v>
      </c>
      <c r="AX101" s="291" t="e">
        <f ca="1">VLOOKUP($B101,KOMBI!$A:$ACA,MATCH(AX$5,KOMBI!$10:$10,0),FALSE)</f>
        <v>#NUM!</v>
      </c>
      <c r="AY101" s="292" t="e">
        <f t="array" aca="1" ref="AY101" ca="1">VLOOKUP($B101,KOMBI!$A:$ADS,MATCH(Tulem!AY$3,KOMBI!$A$1:$ADS$1,0),FALSE)</f>
        <v>#NUM!</v>
      </c>
      <c r="AZ101" s="292" t="e">
        <f t="array" aca="1" ref="AZ101" ca="1">VLOOKUP($B101,KOMBI!$A:$ADS,MATCH(Tulem!AZ$3,KOMBI!$A$1:$ADS$1,0),FALSE)</f>
        <v>#NUM!</v>
      </c>
      <c r="BA101" s="292" t="e">
        <f t="array" aca="1" ref="BA101" ca="1">VLOOKUP($B101,KOMBI!$A:$ADS,MATCH(Tulem!BA$3,KOMBI!$A$1:$ADS$1,0),FALSE)</f>
        <v>#NUM!</v>
      </c>
      <c r="BB101" s="292" t="e">
        <f t="array" aca="1" ref="BB101" ca="1">VLOOKUP($B101,KOMBI!$A:$ADS,MATCH(Tulem!BB$3,KOMBI!$A$1:$ADS$1,0),FALSE)</f>
        <v>#NUM!</v>
      </c>
      <c r="BC101" s="292" t="e">
        <f t="array" aca="1" ref="BC101" ca="1">VLOOKUP($B101,KOMBI!$A:$ADS,MATCH(Tulem!BC$3,KOMBI!$A$1:$ADS$1,0),FALSE)</f>
        <v>#NUM!</v>
      </c>
      <c r="BD101" s="292" t="e">
        <f t="array" aca="1" ref="BD101" ca="1">VLOOKUP($B101,KOMBI!$A:$ADS,MATCH(Tulem!BD$3,KOMBI!$A$1:$ADS$1,0),FALSE)</f>
        <v>#NUM!</v>
      </c>
      <c r="BE101" s="292" t="e">
        <f t="array" aca="1" ref="BE101" ca="1">VLOOKUP($B101,KOMBI!$A:$ADS,MATCH(Tulem!BE$3,KOMBI!$A$1:$ADS$1,0),FALSE)</f>
        <v>#NUM!</v>
      </c>
      <c r="BF101" s="292" t="e">
        <f t="array" aca="1" ref="BF101" ca="1">VLOOKUP($B101,KOMBI!$A:$ADS,MATCH(Tulem!BF$3,KOMBI!$A$1:$ADS$1,0),FALSE)</f>
        <v>#NUM!</v>
      </c>
      <c r="BG101" s="292" t="e">
        <f t="array" aca="1" ref="BG101" ca="1">VLOOKUP($B101,KOMBI!$A:$ADS,MATCH(Tulem!BG$3,KOMBI!$A$1:$ADS$1,0),FALSE)</f>
        <v>#NUM!</v>
      </c>
      <c r="BH101" s="292" t="e">
        <f t="array" aca="1" ref="BH101" ca="1">VLOOKUP($B101,KOMBI!$A:$ADS,MATCH(Tulem!BH$3,KOMBI!$A$1:$ADS$1,0),FALSE)</f>
        <v>#NUM!</v>
      </c>
      <c r="BI101" s="292" t="e">
        <f t="array" aca="1" ref="BI101" ca="1">VLOOKUP($B101,KOMBI!$A:$ADS,MATCH(Tulem!BI$3,KOMBI!$A$1:$ADS$1,0),FALSE)</f>
        <v>#NUM!</v>
      </c>
      <c r="BJ101" s="292" t="e">
        <f t="array" aca="1" ref="BJ101" ca="1">VLOOKUP($B101,KOMBI!$A:$ADS,MATCH(Tulem!BJ$3,KOMBI!$A$1:$ADS$1,0),FALSE)</f>
        <v>#NUM!</v>
      </c>
      <c r="BK101" s="292" t="e">
        <f t="array" aca="1" ref="BK101" ca="1">VLOOKUP($B101,KOMBI!$A:$ADS,MATCH(Tulem!BK$3,KOMBI!$A$1:$ADS$1,0),FALSE)</f>
        <v>#NUM!</v>
      </c>
      <c r="BL101" s="292" t="e">
        <f t="array" aca="1" ref="BL101" ca="1">VLOOKUP($B101,KOMBI!$A:$ADS,MATCH(Tulem!BL$3,KOMBI!$A$1:$ADS$1,0),FALSE)</f>
        <v>#NUM!</v>
      </c>
      <c r="BM101" s="292" t="e">
        <f t="array" aca="1" ref="BM101" ca="1">VLOOKUP($B101,KOMBI!$A:$ADS,MATCH(Tulem!BM$3,KOMBI!$A$1:$ADS$1,0),FALSE)</f>
        <v>#NUM!</v>
      </c>
      <c r="BN101" s="292" t="e">
        <f t="array" aca="1" ref="BN101" ca="1">VLOOKUP($B101,KOMBI!$A:$ADS,MATCH(Tulem!BN$3,KOMBI!$A$1:$ADS$1,0),FALSE)</f>
        <v>#NUM!</v>
      </c>
      <c r="BO101" s="292" t="e">
        <f t="array" aca="1" ref="BO101" ca="1">VLOOKUP($B101,KOMBI!$A:$ADS,MATCH(Tulem!BO$3,KOMBI!$A$1:$ADS$1,0),FALSE)</f>
        <v>#NUM!</v>
      </c>
      <c r="BP101" s="291"/>
      <c r="BQ101" s="292" t="e">
        <f t="array" aca="1" ref="BQ101" ca="1">VLOOKUP($B101,KOMBI!$A:$ADS,MATCH(Tulem!BQ$3,KOMBI!$A$1:$ADS$1,0),FALSE)</f>
        <v>#NUM!</v>
      </c>
      <c r="BR101" s="292" t="e">
        <f t="array" aca="1" ref="BR101" ca="1">VLOOKUP($B101,KOMBI!$A:$ADS,MATCH(Tulem!BR$3,KOMBI!$A$1:$ADS$1,0),FALSE)</f>
        <v>#NUM!</v>
      </c>
      <c r="BS101" s="292" t="e">
        <f t="array" aca="1" ref="BS101" ca="1">VLOOKUP($B101,KOMBI!$A:$ADS,MATCH(Tulem!BS$3,KOMBI!$A$1:$ADS$1,0),FALSE)</f>
        <v>#NUM!</v>
      </c>
      <c r="BT101" s="292" t="e">
        <f t="array" aca="1" ref="BT101" ca="1">VLOOKUP($B101,KOMBI!$A:$ADS,MATCH(Tulem!BT$3,KOMBI!$A$1:$ADS$1,0),FALSE)</f>
        <v>#NUM!</v>
      </c>
      <c r="BU101" s="292" t="e">
        <f t="array" aca="1" ref="BU101" ca="1">VLOOKUP($B101,KOMBI!$A:$ADS,MATCH(Tulem!BU$3,KOMBI!$A$1:$ADS$1,0),FALSE)</f>
        <v>#NUM!</v>
      </c>
      <c r="BV101" s="291"/>
      <c r="BW101" s="292" t="e">
        <f t="array" aca="1" ref="BW101" ca="1">VLOOKUP($B101,KOMBI!$A:$ADS,MATCH(Tulem!BW$3,KOMBI!$A$1:$ADS$1,0),FALSE)</f>
        <v>#NUM!</v>
      </c>
      <c r="BX101" s="291"/>
      <c r="BY101" s="291"/>
      <c r="BZ101" s="292" t="e">
        <f t="array" aca="1" ref="BZ101" ca="1">VLOOKUP($B101,KOMBI!$A:$ADS,MATCH(Tulem!BZ$3,KOMBI!$A$1:$ADS$1,0),FALSE)</f>
        <v>#NUM!</v>
      </c>
      <c r="CA101" s="292" t="e">
        <f t="array" aca="1" ref="CA101" ca="1">VLOOKUP($B101,KOMBI!$A:$ADS,MATCH(Tulem!CA$3,KOMBI!$A$1:$ADS$1,0),FALSE)</f>
        <v>#NUM!</v>
      </c>
      <c r="CB101" s="292" t="e">
        <f t="array" aca="1" ref="CB101" ca="1">VLOOKUP($B101,KOMBI!$A:$ADS,MATCH(Tulem!CB$3,KOMBI!$A$1:$ADS$1,0),FALSE)</f>
        <v>#NUM!</v>
      </c>
      <c r="CC101" s="292" t="e">
        <f t="array" aca="1" ref="CC101" ca="1">VLOOKUP($B101,KOMBI!$A:$ADS,MATCH(Tulem!CC$3,KOMBI!$A$1:$ADS$1,0),FALSE)</f>
        <v>#NUM!</v>
      </c>
      <c r="CD101" s="292" t="e">
        <f t="array" aca="1" ref="CD101" ca="1">VLOOKUP($B101,KOMBI!$A:$ADS,MATCH(Tulem!CD$3,KOMBI!$A$1:$ADS$1,0),FALSE)</f>
        <v>#NUM!</v>
      </c>
      <c r="CF101" s="51" t="e">
        <f ca="1">VLOOKUP($B101,KOMBI!$A:$ACG,MATCH(CF$5,KOMBI!$10:$10,0),FALSE)</f>
        <v>#NUM!</v>
      </c>
    </row>
    <row r="102" spans="1:84" x14ac:dyDescent="0.2">
      <c r="A102" s="51">
        <v>97</v>
      </c>
      <c r="B102" s="51" t="e">
        <f ca="1">KOMBI!GI107</f>
        <v>#NUM!</v>
      </c>
      <c r="C102" s="51">
        <f t="shared" si="3"/>
        <v>97</v>
      </c>
      <c r="D102" s="290" t="e">
        <f ca="1">VLOOKUP(VLOOKUP($B102,KOMBI!$A:$H,3,FALSE),data!$I$27:$J$29,2,FALSE)</f>
        <v>#NUM!</v>
      </c>
      <c r="E102" s="290" t="e">
        <f ca="1">VLOOKUP(VLOOKUP($B102,KOMBI!$A:$H,2,FALSE),data!$I$21:$J$23,2,FALSE)</f>
        <v>#NUM!</v>
      </c>
      <c r="F102" s="290" t="e">
        <f ca="1">VLOOKUP(VLOOKUP($B102,KOMBI!$A:$H,5,FALSE),data!$I$39:$J$41,2,FALSE)</f>
        <v>#NUM!</v>
      </c>
      <c r="G102" s="290" t="e">
        <f ca="1">VLOOKUP(VLOOKUP($B102,KOMBI!$A:$H,4,FALSE),data!$I$32:$J$36,2,FALSE)</f>
        <v>#NUM!</v>
      </c>
      <c r="I102" s="51" t="e">
        <f ca="1">VLOOKUP($B102,KOMBI!$A:$Z,MATCH(I$5,KOMBI!$10:$10,0),FALSE)</f>
        <v>#NUM!</v>
      </c>
      <c r="J102" s="291" t="e">
        <f ca="1">VLOOKUP($B102,KOMBI!$A:$ADS,J$3,FALSE)</f>
        <v>#NUM!</v>
      </c>
      <c r="K102" s="291" t="e">
        <f ca="1">VLOOKUP($B102,KOMBI!$A:$ADS,K$3,FALSE)</f>
        <v>#NUM!</v>
      </c>
      <c r="L102" s="291" t="e">
        <f ca="1">VLOOKUP($B102,KOMBI!$A:$ADS,L$3,FALSE)</f>
        <v>#NUM!</v>
      </c>
      <c r="M102" s="291" t="e">
        <f ca="1">VLOOKUP($B102,KOMBI!$A:$ADS,M$3,FALSE)</f>
        <v>#NUM!</v>
      </c>
      <c r="N102" s="291" t="e">
        <f ca="1">VLOOKUP($B102,KOMBI!$A:$ADS,N$3,FALSE)</f>
        <v>#NUM!</v>
      </c>
      <c r="O102" s="291" t="e">
        <f ca="1">VLOOKUP($B102,KOMBI!$A:$ADS,O$3,FALSE)</f>
        <v>#NUM!</v>
      </c>
      <c r="P102" s="291" t="e">
        <f ca="1">VLOOKUP($B102,KOMBI!$A:$ADS,P$3,FALSE)</f>
        <v>#NUM!</v>
      </c>
      <c r="Q102" s="292" t="e">
        <f t="array" aca="1" ref="Q102" ca="1">VLOOKUP($B102,KOMBI!$A:$ADS,MATCH(Tulem!Q$3,KOMBI!$A$1:$ADS$1,0),FALSE)</f>
        <v>#NUM!</v>
      </c>
      <c r="S102" s="332" t="e">
        <f t="array" aca="1" ref="S102" ca="1">VLOOKUP($B102,KOMBI!$A:$ADS,MATCH(Tulem!S$3,KOMBI!$A$1:$ADS$1,0),FALSE)</f>
        <v>#NUM!</v>
      </c>
      <c r="T102" s="293" t="e">
        <f ca="1">VLOOKUP($B102,KOMBI!$A:$ADS,T$3,FALSE)</f>
        <v>#NUM!</v>
      </c>
      <c r="U102" s="293" t="e">
        <f ca="1">VLOOKUP($B102,KOMBI!$A:$ADS,U$3,FALSE)</f>
        <v>#NUM!</v>
      </c>
      <c r="V102" s="293" t="e">
        <f ca="1">VLOOKUP($B102,KOMBI!$A:$ADS,V$3,FALSE)</f>
        <v>#NUM!</v>
      </c>
      <c r="W102" s="293"/>
      <c r="X102" s="293" t="e">
        <f ca="1">VLOOKUP($B102,KOMBI!$A:$ADS,X$3,FALSE)</f>
        <v>#NUM!</v>
      </c>
      <c r="Y102" s="293" t="e">
        <f ca="1">VLOOKUP($B102,KOMBI!$A:$ADS,Y$3,FALSE)</f>
        <v>#NUM!</v>
      </c>
      <c r="Z102" s="293" t="e">
        <f ca="1">VLOOKUP($B102,KOMBI!$A:$ADS,Z$3,FALSE)</f>
        <v>#NUM!</v>
      </c>
      <c r="AA102" s="294"/>
      <c r="AB102" s="293" t="e">
        <f ca="1">VLOOKUP($B102,KOMBI!$A:$ADS,AB$3,FALSE)</f>
        <v>#NUM!</v>
      </c>
      <c r="AC102" s="293" t="e">
        <f ca="1">VLOOKUP($B102,KOMBI!$A:$ADS,AC$3,FALSE)-AB102</f>
        <v>#NUM!</v>
      </c>
      <c r="AD102" s="293" t="e">
        <f ca="1">VLOOKUP($B102,KOMBI!$A:$ADS,AD$3,FALSE)</f>
        <v>#NUM!</v>
      </c>
      <c r="AE102" s="293" t="e">
        <f ca="1">VLOOKUP($B102,KOMBI!$A:$ADS,AE$3,FALSE)</f>
        <v>#NUM!</v>
      </c>
      <c r="AF102" s="293" t="e">
        <f ca="1">VLOOKUP($B102,KOMBI!$A:$ADS,AF$3,FALSE)-AE102</f>
        <v>#NUM!</v>
      </c>
      <c r="AG102" s="293" t="e">
        <f ca="1">VLOOKUP($B102,KOMBI!$A:$ADS,AG$3,FALSE)</f>
        <v>#NUM!</v>
      </c>
      <c r="AI102" s="293" t="e">
        <f t="array" aca="1" ref="AI102" ca="1">VLOOKUP($B102,KOMBI!$A:$ADS,MATCH(Tulem!AI$3,KOMBI!$A$1:$ADS$1,0),FALSE)</f>
        <v>#NUM!</v>
      </c>
      <c r="AJ102" s="293" t="e">
        <f t="array" aca="1" ref="AJ102" ca="1">VLOOKUP($B102,KOMBI!$A:$ADS,MATCH(Tulem!AJ$3,KOMBI!$A$1:$ADS$1,0),FALSE)</f>
        <v>#NUM!</v>
      </c>
      <c r="AK102" s="293" t="e">
        <f t="array" aca="1" ref="AK102" ca="1">VLOOKUP($B102,KOMBI!$A:$ADS,MATCH(Tulem!AK$3,KOMBI!$A$1:$ADS$1,0),FALSE)</f>
        <v>#NUM!</v>
      </c>
      <c r="AL102" s="293" t="e">
        <f t="array" aca="1" ref="AL102" ca="1">VLOOKUP($B102,KOMBI!$A:$ADS,MATCH(Tulem!AL$3,KOMBI!$A$1:$ADS$1,0),FALSE)</f>
        <v>#NUM!</v>
      </c>
      <c r="AM102" s="293" t="e">
        <f t="array" aca="1" ref="AM102" ca="1">VLOOKUP($B102,KOMBI!$A:$ADS,MATCH(Tulem!AM$3,KOMBI!$A$1:$ADS$1,0),FALSE)</f>
        <v>#NUM!</v>
      </c>
      <c r="AN102" s="293" t="e">
        <f t="array" aca="1" ref="AN102" ca="1">VLOOKUP($B102,KOMBI!$A:$ADS,MATCH(Tulem!AN$3,KOMBI!$A$1:$ADS$1,0),FALSE)</f>
        <v>#NUM!</v>
      </c>
      <c r="AO102" s="293" t="e">
        <f t="array" aca="1" ref="AO102" ca="1">VLOOKUP($B102,KOMBI!$A:$ADS,MATCH(Tulem!AO$3,KOMBI!$A$1:$ADS$1,0),FALSE)</f>
        <v>#NUM!</v>
      </c>
      <c r="AP102" s="293" t="e">
        <f t="array" aca="1" ref="AP102" ca="1">VLOOKUP($B102,KOMBI!$A:$ADS,MATCH(Tulem!AP$3,KOMBI!$A$1:$ADS$1,0),FALSE)</f>
        <v>#NUM!</v>
      </c>
      <c r="AQ102" s="293" t="e">
        <f t="array" aca="1" ref="AQ102" ca="1">VLOOKUP($B102,KOMBI!$A:$ADS,MATCH(Tulem!AQ$3,KOMBI!$A$1:$ADS$1,0),FALSE)</f>
        <v>#NUM!</v>
      </c>
      <c r="AR102" s="293" t="e">
        <f t="array" aca="1" ref="AR102" ca="1">VLOOKUP($B102,KOMBI!$A:$ADS,MATCH(Tulem!AR$3,KOMBI!$A$1:$ADS$1,0),FALSE)</f>
        <v>#NUM!</v>
      </c>
      <c r="AS102" s="293" t="e">
        <f t="array" aca="1" ref="AS102" ca="1">VLOOKUP($B102,KOMBI!$A:$ADS,MATCH(Tulem!AS$3,KOMBI!$A$1:$ADS$1,0),FALSE)</f>
        <v>#NUM!</v>
      </c>
      <c r="AT102" s="293" t="e">
        <f t="array" aca="1" ref="AT102" ca="1">VLOOKUP($B102,KOMBI!$A:$ADS,MATCH(Tulem!AT$3,KOMBI!$A$1:$ADS$1,0),FALSE)</f>
        <v>#NUM!</v>
      </c>
      <c r="AU102" s="293" t="e">
        <f t="array" aca="1" ref="AU102" ca="1">VLOOKUP($B102,KOMBI!$A:$ADS,MATCH(Tulem!AU$3,KOMBI!$A$1:$ADS$1,0),FALSE)</f>
        <v>#NUM!</v>
      </c>
      <c r="AV102" s="293" t="e">
        <f t="shared" ca="1" si="4"/>
        <v>#NUM!</v>
      </c>
      <c r="AW102" s="293" t="e">
        <f t="shared" ca="1" si="5"/>
        <v>#NUM!</v>
      </c>
      <c r="AX102" s="291" t="e">
        <f ca="1">VLOOKUP($B102,KOMBI!$A:$ACA,MATCH(AX$5,KOMBI!$10:$10,0),FALSE)</f>
        <v>#NUM!</v>
      </c>
      <c r="AY102" s="292" t="e">
        <f t="array" aca="1" ref="AY102" ca="1">VLOOKUP($B102,KOMBI!$A:$ADS,MATCH(Tulem!AY$3,KOMBI!$A$1:$ADS$1,0),FALSE)</f>
        <v>#NUM!</v>
      </c>
      <c r="AZ102" s="292" t="e">
        <f t="array" aca="1" ref="AZ102" ca="1">VLOOKUP($B102,KOMBI!$A:$ADS,MATCH(Tulem!AZ$3,KOMBI!$A$1:$ADS$1,0),FALSE)</f>
        <v>#NUM!</v>
      </c>
      <c r="BA102" s="292" t="e">
        <f t="array" aca="1" ref="BA102" ca="1">VLOOKUP($B102,KOMBI!$A:$ADS,MATCH(Tulem!BA$3,KOMBI!$A$1:$ADS$1,0),FALSE)</f>
        <v>#NUM!</v>
      </c>
      <c r="BB102" s="292" t="e">
        <f t="array" aca="1" ref="BB102" ca="1">VLOOKUP($B102,KOMBI!$A:$ADS,MATCH(Tulem!BB$3,KOMBI!$A$1:$ADS$1,0),FALSE)</f>
        <v>#NUM!</v>
      </c>
      <c r="BC102" s="292" t="e">
        <f t="array" aca="1" ref="BC102" ca="1">VLOOKUP($B102,KOMBI!$A:$ADS,MATCH(Tulem!BC$3,KOMBI!$A$1:$ADS$1,0),FALSE)</f>
        <v>#NUM!</v>
      </c>
      <c r="BD102" s="292" t="e">
        <f t="array" aca="1" ref="BD102" ca="1">VLOOKUP($B102,KOMBI!$A:$ADS,MATCH(Tulem!BD$3,KOMBI!$A$1:$ADS$1,0),FALSE)</f>
        <v>#NUM!</v>
      </c>
      <c r="BE102" s="292" t="e">
        <f t="array" aca="1" ref="BE102" ca="1">VLOOKUP($B102,KOMBI!$A:$ADS,MATCH(Tulem!BE$3,KOMBI!$A$1:$ADS$1,0),FALSE)</f>
        <v>#NUM!</v>
      </c>
      <c r="BF102" s="292" t="e">
        <f t="array" aca="1" ref="BF102" ca="1">VLOOKUP($B102,KOMBI!$A:$ADS,MATCH(Tulem!BF$3,KOMBI!$A$1:$ADS$1,0),FALSE)</f>
        <v>#NUM!</v>
      </c>
      <c r="BG102" s="292" t="e">
        <f t="array" aca="1" ref="BG102" ca="1">VLOOKUP($B102,KOMBI!$A:$ADS,MATCH(Tulem!BG$3,KOMBI!$A$1:$ADS$1,0),FALSE)</f>
        <v>#NUM!</v>
      </c>
      <c r="BH102" s="292" t="e">
        <f t="array" aca="1" ref="BH102" ca="1">VLOOKUP($B102,KOMBI!$A:$ADS,MATCH(Tulem!BH$3,KOMBI!$A$1:$ADS$1,0),FALSE)</f>
        <v>#NUM!</v>
      </c>
      <c r="BI102" s="292" t="e">
        <f t="array" aca="1" ref="BI102" ca="1">VLOOKUP($B102,KOMBI!$A:$ADS,MATCH(Tulem!BI$3,KOMBI!$A$1:$ADS$1,0),FALSE)</f>
        <v>#NUM!</v>
      </c>
      <c r="BJ102" s="292" t="e">
        <f t="array" aca="1" ref="BJ102" ca="1">VLOOKUP($B102,KOMBI!$A:$ADS,MATCH(Tulem!BJ$3,KOMBI!$A$1:$ADS$1,0),FALSE)</f>
        <v>#NUM!</v>
      </c>
      <c r="BK102" s="292" t="e">
        <f t="array" aca="1" ref="BK102" ca="1">VLOOKUP($B102,KOMBI!$A:$ADS,MATCH(Tulem!BK$3,KOMBI!$A$1:$ADS$1,0),FALSE)</f>
        <v>#NUM!</v>
      </c>
      <c r="BL102" s="292" t="e">
        <f t="array" aca="1" ref="BL102" ca="1">VLOOKUP($B102,KOMBI!$A:$ADS,MATCH(Tulem!BL$3,KOMBI!$A$1:$ADS$1,0),FALSE)</f>
        <v>#NUM!</v>
      </c>
      <c r="BM102" s="292" t="e">
        <f t="array" aca="1" ref="BM102" ca="1">VLOOKUP($B102,KOMBI!$A:$ADS,MATCH(Tulem!BM$3,KOMBI!$A$1:$ADS$1,0),FALSE)</f>
        <v>#NUM!</v>
      </c>
      <c r="BN102" s="292" t="e">
        <f t="array" aca="1" ref="BN102" ca="1">VLOOKUP($B102,KOMBI!$A:$ADS,MATCH(Tulem!BN$3,KOMBI!$A$1:$ADS$1,0),FALSE)</f>
        <v>#NUM!</v>
      </c>
      <c r="BO102" s="292" t="e">
        <f t="array" aca="1" ref="BO102" ca="1">VLOOKUP($B102,KOMBI!$A:$ADS,MATCH(Tulem!BO$3,KOMBI!$A$1:$ADS$1,0),FALSE)</f>
        <v>#NUM!</v>
      </c>
      <c r="BP102" s="291"/>
      <c r="BQ102" s="292" t="e">
        <f t="array" aca="1" ref="BQ102" ca="1">VLOOKUP($B102,KOMBI!$A:$ADS,MATCH(Tulem!BQ$3,KOMBI!$A$1:$ADS$1,0),FALSE)</f>
        <v>#NUM!</v>
      </c>
      <c r="BR102" s="292" t="e">
        <f t="array" aca="1" ref="BR102" ca="1">VLOOKUP($B102,KOMBI!$A:$ADS,MATCH(Tulem!BR$3,KOMBI!$A$1:$ADS$1,0),FALSE)</f>
        <v>#NUM!</v>
      </c>
      <c r="BS102" s="292" t="e">
        <f t="array" aca="1" ref="BS102" ca="1">VLOOKUP($B102,KOMBI!$A:$ADS,MATCH(Tulem!BS$3,KOMBI!$A$1:$ADS$1,0),FALSE)</f>
        <v>#NUM!</v>
      </c>
      <c r="BT102" s="292" t="e">
        <f t="array" aca="1" ref="BT102" ca="1">VLOOKUP($B102,KOMBI!$A:$ADS,MATCH(Tulem!BT$3,KOMBI!$A$1:$ADS$1,0),FALSE)</f>
        <v>#NUM!</v>
      </c>
      <c r="BU102" s="292" t="e">
        <f t="array" aca="1" ref="BU102" ca="1">VLOOKUP($B102,KOMBI!$A:$ADS,MATCH(Tulem!BU$3,KOMBI!$A$1:$ADS$1,0),FALSE)</f>
        <v>#NUM!</v>
      </c>
      <c r="BV102" s="291"/>
      <c r="BW102" s="292" t="e">
        <f t="array" aca="1" ref="BW102" ca="1">VLOOKUP($B102,KOMBI!$A:$ADS,MATCH(Tulem!BW$3,KOMBI!$A$1:$ADS$1,0),FALSE)</f>
        <v>#NUM!</v>
      </c>
      <c r="BX102" s="291"/>
      <c r="BY102" s="291"/>
      <c r="BZ102" s="292" t="e">
        <f t="array" aca="1" ref="BZ102" ca="1">VLOOKUP($B102,KOMBI!$A:$ADS,MATCH(Tulem!BZ$3,KOMBI!$A$1:$ADS$1,0),FALSE)</f>
        <v>#NUM!</v>
      </c>
      <c r="CA102" s="292" t="e">
        <f t="array" aca="1" ref="CA102" ca="1">VLOOKUP($B102,KOMBI!$A:$ADS,MATCH(Tulem!CA$3,KOMBI!$A$1:$ADS$1,0),FALSE)</f>
        <v>#NUM!</v>
      </c>
      <c r="CB102" s="292" t="e">
        <f t="array" aca="1" ref="CB102" ca="1">VLOOKUP($B102,KOMBI!$A:$ADS,MATCH(Tulem!CB$3,KOMBI!$A$1:$ADS$1,0),FALSE)</f>
        <v>#NUM!</v>
      </c>
      <c r="CC102" s="292" t="e">
        <f t="array" aca="1" ref="CC102" ca="1">VLOOKUP($B102,KOMBI!$A:$ADS,MATCH(Tulem!CC$3,KOMBI!$A$1:$ADS$1,0),FALSE)</f>
        <v>#NUM!</v>
      </c>
      <c r="CD102" s="292" t="e">
        <f t="array" aca="1" ref="CD102" ca="1">VLOOKUP($B102,KOMBI!$A:$ADS,MATCH(Tulem!CD$3,KOMBI!$A$1:$ADS$1,0),FALSE)</f>
        <v>#NUM!</v>
      </c>
      <c r="CF102" s="51" t="e">
        <f ca="1">VLOOKUP($B102,KOMBI!$A:$ACG,MATCH(CF$5,KOMBI!$10:$10,0),FALSE)</f>
        <v>#NUM!</v>
      </c>
    </row>
    <row r="103" spans="1:84" x14ac:dyDescent="0.2">
      <c r="A103" s="51">
        <v>98</v>
      </c>
      <c r="B103" s="51" t="e">
        <f ca="1">KOMBI!GI108</f>
        <v>#NUM!</v>
      </c>
      <c r="C103" s="51">
        <f t="shared" si="3"/>
        <v>98</v>
      </c>
      <c r="D103" s="290" t="e">
        <f ca="1">VLOOKUP(VLOOKUP($B103,KOMBI!$A:$H,3,FALSE),data!$I$27:$J$29,2,FALSE)</f>
        <v>#NUM!</v>
      </c>
      <c r="E103" s="290" t="e">
        <f ca="1">VLOOKUP(VLOOKUP($B103,KOMBI!$A:$H,2,FALSE),data!$I$21:$J$23,2,FALSE)</f>
        <v>#NUM!</v>
      </c>
      <c r="F103" s="290" t="e">
        <f ca="1">VLOOKUP(VLOOKUP($B103,KOMBI!$A:$H,5,FALSE),data!$I$39:$J$41,2,FALSE)</f>
        <v>#NUM!</v>
      </c>
      <c r="G103" s="290" t="e">
        <f ca="1">VLOOKUP(VLOOKUP($B103,KOMBI!$A:$H,4,FALSE),data!$I$32:$J$36,2,FALSE)</f>
        <v>#NUM!</v>
      </c>
      <c r="I103" s="51" t="e">
        <f ca="1">VLOOKUP($B103,KOMBI!$A:$Z,MATCH(I$5,KOMBI!$10:$10,0),FALSE)</f>
        <v>#NUM!</v>
      </c>
      <c r="J103" s="291" t="e">
        <f ca="1">VLOOKUP($B103,KOMBI!$A:$ADS,J$3,FALSE)</f>
        <v>#NUM!</v>
      </c>
      <c r="K103" s="291" t="e">
        <f ca="1">VLOOKUP($B103,KOMBI!$A:$ADS,K$3,FALSE)</f>
        <v>#NUM!</v>
      </c>
      <c r="L103" s="291" t="e">
        <f ca="1">VLOOKUP($B103,KOMBI!$A:$ADS,L$3,FALSE)</f>
        <v>#NUM!</v>
      </c>
      <c r="M103" s="291" t="e">
        <f ca="1">VLOOKUP($B103,KOMBI!$A:$ADS,M$3,FALSE)</f>
        <v>#NUM!</v>
      </c>
      <c r="N103" s="291" t="e">
        <f ca="1">VLOOKUP($B103,KOMBI!$A:$ADS,N$3,FALSE)</f>
        <v>#NUM!</v>
      </c>
      <c r="O103" s="291" t="e">
        <f ca="1">VLOOKUP($B103,KOMBI!$A:$ADS,O$3,FALSE)</f>
        <v>#NUM!</v>
      </c>
      <c r="P103" s="291" t="e">
        <f ca="1">VLOOKUP($B103,KOMBI!$A:$ADS,P$3,FALSE)</f>
        <v>#NUM!</v>
      </c>
      <c r="Q103" s="292" t="e">
        <f t="array" aca="1" ref="Q103" ca="1">VLOOKUP($B103,KOMBI!$A:$ADS,MATCH(Tulem!Q$3,KOMBI!$A$1:$ADS$1,0),FALSE)</f>
        <v>#NUM!</v>
      </c>
      <c r="S103" s="332" t="e">
        <f t="array" aca="1" ref="S103" ca="1">VLOOKUP($B103,KOMBI!$A:$ADS,MATCH(Tulem!S$3,KOMBI!$A$1:$ADS$1,0),FALSE)</f>
        <v>#NUM!</v>
      </c>
      <c r="T103" s="293" t="e">
        <f ca="1">VLOOKUP($B103,KOMBI!$A:$ADS,T$3,FALSE)</f>
        <v>#NUM!</v>
      </c>
      <c r="U103" s="293" t="e">
        <f ca="1">VLOOKUP($B103,KOMBI!$A:$ADS,U$3,FALSE)</f>
        <v>#NUM!</v>
      </c>
      <c r="V103" s="293" t="e">
        <f ca="1">VLOOKUP($B103,KOMBI!$A:$ADS,V$3,FALSE)</f>
        <v>#NUM!</v>
      </c>
      <c r="W103" s="293"/>
      <c r="X103" s="293" t="e">
        <f ca="1">VLOOKUP($B103,KOMBI!$A:$ADS,X$3,FALSE)</f>
        <v>#NUM!</v>
      </c>
      <c r="Y103" s="293" t="e">
        <f ca="1">VLOOKUP($B103,KOMBI!$A:$ADS,Y$3,FALSE)</f>
        <v>#NUM!</v>
      </c>
      <c r="Z103" s="293" t="e">
        <f ca="1">VLOOKUP($B103,KOMBI!$A:$ADS,Z$3,FALSE)</f>
        <v>#NUM!</v>
      </c>
      <c r="AA103" s="294"/>
      <c r="AB103" s="293" t="e">
        <f ca="1">VLOOKUP($B103,KOMBI!$A:$ADS,AB$3,FALSE)</f>
        <v>#NUM!</v>
      </c>
      <c r="AC103" s="293" t="e">
        <f ca="1">VLOOKUP($B103,KOMBI!$A:$ADS,AC$3,FALSE)-AB103</f>
        <v>#NUM!</v>
      </c>
      <c r="AD103" s="293" t="e">
        <f ca="1">VLOOKUP($B103,KOMBI!$A:$ADS,AD$3,FALSE)</f>
        <v>#NUM!</v>
      </c>
      <c r="AE103" s="293" t="e">
        <f ca="1">VLOOKUP($B103,KOMBI!$A:$ADS,AE$3,FALSE)</f>
        <v>#NUM!</v>
      </c>
      <c r="AF103" s="293" t="e">
        <f ca="1">VLOOKUP($B103,KOMBI!$A:$ADS,AF$3,FALSE)-AE103</f>
        <v>#NUM!</v>
      </c>
      <c r="AG103" s="293" t="e">
        <f ca="1">VLOOKUP($B103,KOMBI!$A:$ADS,AG$3,FALSE)</f>
        <v>#NUM!</v>
      </c>
      <c r="AI103" s="293" t="e">
        <f t="array" aca="1" ref="AI103" ca="1">VLOOKUP($B103,KOMBI!$A:$ADS,MATCH(Tulem!AI$3,KOMBI!$A$1:$ADS$1,0),FALSE)</f>
        <v>#NUM!</v>
      </c>
      <c r="AJ103" s="293" t="e">
        <f t="array" aca="1" ref="AJ103" ca="1">VLOOKUP($B103,KOMBI!$A:$ADS,MATCH(Tulem!AJ$3,KOMBI!$A$1:$ADS$1,0),FALSE)</f>
        <v>#NUM!</v>
      </c>
      <c r="AK103" s="293" t="e">
        <f t="array" aca="1" ref="AK103" ca="1">VLOOKUP($B103,KOMBI!$A:$ADS,MATCH(Tulem!AK$3,KOMBI!$A$1:$ADS$1,0),FALSE)</f>
        <v>#NUM!</v>
      </c>
      <c r="AL103" s="293" t="e">
        <f t="array" aca="1" ref="AL103" ca="1">VLOOKUP($B103,KOMBI!$A:$ADS,MATCH(Tulem!AL$3,KOMBI!$A$1:$ADS$1,0),FALSE)</f>
        <v>#NUM!</v>
      </c>
      <c r="AM103" s="293" t="e">
        <f t="array" aca="1" ref="AM103" ca="1">VLOOKUP($B103,KOMBI!$A:$ADS,MATCH(Tulem!AM$3,KOMBI!$A$1:$ADS$1,0),FALSE)</f>
        <v>#NUM!</v>
      </c>
      <c r="AN103" s="293" t="e">
        <f t="array" aca="1" ref="AN103" ca="1">VLOOKUP($B103,KOMBI!$A:$ADS,MATCH(Tulem!AN$3,KOMBI!$A$1:$ADS$1,0),FALSE)</f>
        <v>#NUM!</v>
      </c>
      <c r="AO103" s="293" t="e">
        <f t="array" aca="1" ref="AO103" ca="1">VLOOKUP($B103,KOMBI!$A:$ADS,MATCH(Tulem!AO$3,KOMBI!$A$1:$ADS$1,0),FALSE)</f>
        <v>#NUM!</v>
      </c>
      <c r="AP103" s="293" t="e">
        <f t="array" aca="1" ref="AP103" ca="1">VLOOKUP($B103,KOMBI!$A:$ADS,MATCH(Tulem!AP$3,KOMBI!$A$1:$ADS$1,0),FALSE)</f>
        <v>#NUM!</v>
      </c>
      <c r="AQ103" s="293" t="e">
        <f t="array" aca="1" ref="AQ103" ca="1">VLOOKUP($B103,KOMBI!$A:$ADS,MATCH(Tulem!AQ$3,KOMBI!$A$1:$ADS$1,0),FALSE)</f>
        <v>#NUM!</v>
      </c>
      <c r="AR103" s="293" t="e">
        <f t="array" aca="1" ref="AR103" ca="1">VLOOKUP($B103,KOMBI!$A:$ADS,MATCH(Tulem!AR$3,KOMBI!$A$1:$ADS$1,0),FALSE)</f>
        <v>#NUM!</v>
      </c>
      <c r="AS103" s="293" t="e">
        <f t="array" aca="1" ref="AS103" ca="1">VLOOKUP($B103,KOMBI!$A:$ADS,MATCH(Tulem!AS$3,KOMBI!$A$1:$ADS$1,0),FALSE)</f>
        <v>#NUM!</v>
      </c>
      <c r="AT103" s="293" t="e">
        <f t="array" aca="1" ref="AT103" ca="1">VLOOKUP($B103,KOMBI!$A:$ADS,MATCH(Tulem!AT$3,KOMBI!$A$1:$ADS$1,0),FALSE)</f>
        <v>#NUM!</v>
      </c>
      <c r="AU103" s="293" t="e">
        <f t="array" aca="1" ref="AU103" ca="1">VLOOKUP($B103,KOMBI!$A:$ADS,MATCH(Tulem!AU$3,KOMBI!$A$1:$ADS$1,0),FALSE)</f>
        <v>#NUM!</v>
      </c>
      <c r="AV103" s="293" t="e">
        <f t="shared" ca="1" si="4"/>
        <v>#NUM!</v>
      </c>
      <c r="AW103" s="293" t="e">
        <f t="shared" ca="1" si="5"/>
        <v>#NUM!</v>
      </c>
      <c r="AX103" s="291" t="e">
        <f ca="1">VLOOKUP($B103,KOMBI!$A:$ACA,MATCH(AX$5,KOMBI!$10:$10,0),FALSE)</f>
        <v>#NUM!</v>
      </c>
      <c r="AY103" s="292" t="e">
        <f t="array" aca="1" ref="AY103" ca="1">VLOOKUP($B103,KOMBI!$A:$ADS,MATCH(Tulem!AY$3,KOMBI!$A$1:$ADS$1,0),FALSE)</f>
        <v>#NUM!</v>
      </c>
      <c r="AZ103" s="292" t="e">
        <f t="array" aca="1" ref="AZ103" ca="1">VLOOKUP($B103,KOMBI!$A:$ADS,MATCH(Tulem!AZ$3,KOMBI!$A$1:$ADS$1,0),FALSE)</f>
        <v>#NUM!</v>
      </c>
      <c r="BA103" s="292" t="e">
        <f t="array" aca="1" ref="BA103" ca="1">VLOOKUP($B103,KOMBI!$A:$ADS,MATCH(Tulem!BA$3,KOMBI!$A$1:$ADS$1,0),FALSE)</f>
        <v>#NUM!</v>
      </c>
      <c r="BB103" s="292" t="e">
        <f t="array" aca="1" ref="BB103" ca="1">VLOOKUP($B103,KOMBI!$A:$ADS,MATCH(Tulem!BB$3,KOMBI!$A$1:$ADS$1,0),FALSE)</f>
        <v>#NUM!</v>
      </c>
      <c r="BC103" s="292" t="e">
        <f t="array" aca="1" ref="BC103" ca="1">VLOOKUP($B103,KOMBI!$A:$ADS,MATCH(Tulem!BC$3,KOMBI!$A$1:$ADS$1,0),FALSE)</f>
        <v>#NUM!</v>
      </c>
      <c r="BD103" s="292" t="e">
        <f t="array" aca="1" ref="BD103" ca="1">VLOOKUP($B103,KOMBI!$A:$ADS,MATCH(Tulem!BD$3,KOMBI!$A$1:$ADS$1,0),FALSE)</f>
        <v>#NUM!</v>
      </c>
      <c r="BE103" s="292" t="e">
        <f t="array" aca="1" ref="BE103" ca="1">VLOOKUP($B103,KOMBI!$A:$ADS,MATCH(Tulem!BE$3,KOMBI!$A$1:$ADS$1,0),FALSE)</f>
        <v>#NUM!</v>
      </c>
      <c r="BF103" s="292" t="e">
        <f t="array" aca="1" ref="BF103" ca="1">VLOOKUP($B103,KOMBI!$A:$ADS,MATCH(Tulem!BF$3,KOMBI!$A$1:$ADS$1,0),FALSE)</f>
        <v>#NUM!</v>
      </c>
      <c r="BG103" s="292" t="e">
        <f t="array" aca="1" ref="BG103" ca="1">VLOOKUP($B103,KOMBI!$A:$ADS,MATCH(Tulem!BG$3,KOMBI!$A$1:$ADS$1,0),FALSE)</f>
        <v>#NUM!</v>
      </c>
      <c r="BH103" s="292" t="e">
        <f t="array" aca="1" ref="BH103" ca="1">VLOOKUP($B103,KOMBI!$A:$ADS,MATCH(Tulem!BH$3,KOMBI!$A$1:$ADS$1,0),FALSE)</f>
        <v>#NUM!</v>
      </c>
      <c r="BI103" s="292" t="e">
        <f t="array" aca="1" ref="BI103" ca="1">VLOOKUP($B103,KOMBI!$A:$ADS,MATCH(Tulem!BI$3,KOMBI!$A$1:$ADS$1,0),FALSE)</f>
        <v>#NUM!</v>
      </c>
      <c r="BJ103" s="292" t="e">
        <f t="array" aca="1" ref="BJ103" ca="1">VLOOKUP($B103,KOMBI!$A:$ADS,MATCH(Tulem!BJ$3,KOMBI!$A$1:$ADS$1,0),FALSE)</f>
        <v>#NUM!</v>
      </c>
      <c r="BK103" s="292" t="e">
        <f t="array" aca="1" ref="BK103" ca="1">VLOOKUP($B103,KOMBI!$A:$ADS,MATCH(Tulem!BK$3,KOMBI!$A$1:$ADS$1,0),FALSE)</f>
        <v>#NUM!</v>
      </c>
      <c r="BL103" s="292" t="e">
        <f t="array" aca="1" ref="BL103" ca="1">VLOOKUP($B103,KOMBI!$A:$ADS,MATCH(Tulem!BL$3,KOMBI!$A$1:$ADS$1,0),FALSE)</f>
        <v>#NUM!</v>
      </c>
      <c r="BM103" s="292" t="e">
        <f t="array" aca="1" ref="BM103" ca="1">VLOOKUP($B103,KOMBI!$A:$ADS,MATCH(Tulem!BM$3,KOMBI!$A$1:$ADS$1,0),FALSE)</f>
        <v>#NUM!</v>
      </c>
      <c r="BN103" s="292" t="e">
        <f t="array" aca="1" ref="BN103" ca="1">VLOOKUP($B103,KOMBI!$A:$ADS,MATCH(Tulem!BN$3,KOMBI!$A$1:$ADS$1,0),FALSE)</f>
        <v>#NUM!</v>
      </c>
      <c r="BO103" s="292" t="e">
        <f t="array" aca="1" ref="BO103" ca="1">VLOOKUP($B103,KOMBI!$A:$ADS,MATCH(Tulem!BO$3,KOMBI!$A$1:$ADS$1,0),FALSE)</f>
        <v>#NUM!</v>
      </c>
      <c r="BP103" s="291"/>
      <c r="BQ103" s="292" t="e">
        <f t="array" aca="1" ref="BQ103" ca="1">VLOOKUP($B103,KOMBI!$A:$ADS,MATCH(Tulem!BQ$3,KOMBI!$A$1:$ADS$1,0),FALSE)</f>
        <v>#NUM!</v>
      </c>
      <c r="BR103" s="292" t="e">
        <f t="array" aca="1" ref="BR103" ca="1">VLOOKUP($B103,KOMBI!$A:$ADS,MATCH(Tulem!BR$3,KOMBI!$A$1:$ADS$1,0),FALSE)</f>
        <v>#NUM!</v>
      </c>
      <c r="BS103" s="292" t="e">
        <f t="array" aca="1" ref="BS103" ca="1">VLOOKUP($B103,KOMBI!$A:$ADS,MATCH(Tulem!BS$3,KOMBI!$A$1:$ADS$1,0),FALSE)</f>
        <v>#NUM!</v>
      </c>
      <c r="BT103" s="292" t="e">
        <f t="array" aca="1" ref="BT103" ca="1">VLOOKUP($B103,KOMBI!$A:$ADS,MATCH(Tulem!BT$3,KOMBI!$A$1:$ADS$1,0),FALSE)</f>
        <v>#NUM!</v>
      </c>
      <c r="BU103" s="292" t="e">
        <f t="array" aca="1" ref="BU103" ca="1">VLOOKUP($B103,KOMBI!$A:$ADS,MATCH(Tulem!BU$3,KOMBI!$A$1:$ADS$1,0),FALSE)</f>
        <v>#NUM!</v>
      </c>
      <c r="BV103" s="291"/>
      <c r="BW103" s="292" t="e">
        <f t="array" aca="1" ref="BW103" ca="1">VLOOKUP($B103,KOMBI!$A:$ADS,MATCH(Tulem!BW$3,KOMBI!$A$1:$ADS$1,0),FALSE)</f>
        <v>#NUM!</v>
      </c>
      <c r="BX103" s="291"/>
      <c r="BY103" s="291"/>
      <c r="BZ103" s="292" t="e">
        <f t="array" aca="1" ref="BZ103" ca="1">VLOOKUP($B103,KOMBI!$A:$ADS,MATCH(Tulem!BZ$3,KOMBI!$A$1:$ADS$1,0),FALSE)</f>
        <v>#NUM!</v>
      </c>
      <c r="CA103" s="292" t="e">
        <f t="array" aca="1" ref="CA103" ca="1">VLOOKUP($B103,KOMBI!$A:$ADS,MATCH(Tulem!CA$3,KOMBI!$A$1:$ADS$1,0),FALSE)</f>
        <v>#NUM!</v>
      </c>
      <c r="CB103" s="292" t="e">
        <f t="array" aca="1" ref="CB103" ca="1">VLOOKUP($B103,KOMBI!$A:$ADS,MATCH(Tulem!CB$3,KOMBI!$A$1:$ADS$1,0),FALSE)</f>
        <v>#NUM!</v>
      </c>
      <c r="CC103" s="292" t="e">
        <f t="array" aca="1" ref="CC103" ca="1">VLOOKUP($B103,KOMBI!$A:$ADS,MATCH(Tulem!CC$3,KOMBI!$A$1:$ADS$1,0),FALSE)</f>
        <v>#NUM!</v>
      </c>
      <c r="CD103" s="292" t="e">
        <f t="array" aca="1" ref="CD103" ca="1">VLOOKUP($B103,KOMBI!$A:$ADS,MATCH(Tulem!CD$3,KOMBI!$A$1:$ADS$1,0),FALSE)</f>
        <v>#NUM!</v>
      </c>
      <c r="CF103" s="51" t="e">
        <f ca="1">VLOOKUP($B103,KOMBI!$A:$ACG,MATCH(CF$5,KOMBI!$10:$10,0),FALSE)</f>
        <v>#NUM!</v>
      </c>
    </row>
    <row r="104" spans="1:84" x14ac:dyDescent="0.2">
      <c r="A104" s="51">
        <v>99</v>
      </c>
      <c r="B104" s="51" t="e">
        <f ca="1">KOMBI!GI109</f>
        <v>#NUM!</v>
      </c>
      <c r="C104" s="51">
        <f t="shared" si="3"/>
        <v>99</v>
      </c>
      <c r="D104" s="290" t="e">
        <f ca="1">VLOOKUP(VLOOKUP($B104,KOMBI!$A:$H,3,FALSE),data!$I$27:$J$29,2,FALSE)</f>
        <v>#NUM!</v>
      </c>
      <c r="E104" s="290" t="e">
        <f ca="1">VLOOKUP(VLOOKUP($B104,KOMBI!$A:$H,2,FALSE),data!$I$21:$J$23,2,FALSE)</f>
        <v>#NUM!</v>
      </c>
      <c r="F104" s="290" t="e">
        <f ca="1">VLOOKUP(VLOOKUP($B104,KOMBI!$A:$H,5,FALSE),data!$I$39:$J$41,2,FALSE)</f>
        <v>#NUM!</v>
      </c>
      <c r="G104" s="290" t="e">
        <f ca="1">VLOOKUP(VLOOKUP($B104,KOMBI!$A:$H,4,FALSE),data!$I$32:$J$36,2,FALSE)</f>
        <v>#NUM!</v>
      </c>
      <c r="I104" s="51" t="e">
        <f ca="1">VLOOKUP($B104,KOMBI!$A:$Z,MATCH(I$5,KOMBI!$10:$10,0),FALSE)</f>
        <v>#NUM!</v>
      </c>
      <c r="J104" s="291" t="e">
        <f ca="1">VLOOKUP($B104,KOMBI!$A:$ADS,J$3,FALSE)</f>
        <v>#NUM!</v>
      </c>
      <c r="K104" s="291" t="e">
        <f ca="1">VLOOKUP($B104,KOMBI!$A:$ADS,K$3,FALSE)</f>
        <v>#NUM!</v>
      </c>
      <c r="L104" s="291" t="e">
        <f ca="1">VLOOKUP($B104,KOMBI!$A:$ADS,L$3,FALSE)</f>
        <v>#NUM!</v>
      </c>
      <c r="M104" s="291" t="e">
        <f ca="1">VLOOKUP($B104,KOMBI!$A:$ADS,M$3,FALSE)</f>
        <v>#NUM!</v>
      </c>
      <c r="N104" s="291" t="e">
        <f ca="1">VLOOKUP($B104,KOMBI!$A:$ADS,N$3,FALSE)</f>
        <v>#NUM!</v>
      </c>
      <c r="O104" s="291" t="e">
        <f ca="1">VLOOKUP($B104,KOMBI!$A:$ADS,O$3,FALSE)</f>
        <v>#NUM!</v>
      </c>
      <c r="P104" s="291" t="e">
        <f ca="1">VLOOKUP($B104,KOMBI!$A:$ADS,P$3,FALSE)</f>
        <v>#NUM!</v>
      </c>
      <c r="Q104" s="292" t="e">
        <f t="array" aca="1" ref="Q104" ca="1">VLOOKUP($B104,KOMBI!$A:$ADS,MATCH(Tulem!Q$3,KOMBI!$A$1:$ADS$1,0),FALSE)</f>
        <v>#NUM!</v>
      </c>
      <c r="S104" s="332" t="e">
        <f t="array" aca="1" ref="S104" ca="1">VLOOKUP($B104,KOMBI!$A:$ADS,MATCH(Tulem!S$3,KOMBI!$A$1:$ADS$1,0),FALSE)</f>
        <v>#NUM!</v>
      </c>
      <c r="T104" s="293" t="e">
        <f ca="1">VLOOKUP($B104,KOMBI!$A:$ADS,T$3,FALSE)</f>
        <v>#NUM!</v>
      </c>
      <c r="U104" s="293" t="e">
        <f ca="1">VLOOKUP($B104,KOMBI!$A:$ADS,U$3,FALSE)</f>
        <v>#NUM!</v>
      </c>
      <c r="V104" s="293" t="e">
        <f ca="1">VLOOKUP($B104,KOMBI!$A:$ADS,V$3,FALSE)</f>
        <v>#NUM!</v>
      </c>
      <c r="W104" s="293"/>
      <c r="X104" s="293" t="e">
        <f ca="1">VLOOKUP($B104,KOMBI!$A:$ADS,X$3,FALSE)</f>
        <v>#NUM!</v>
      </c>
      <c r="Y104" s="293" t="e">
        <f ca="1">VLOOKUP($B104,KOMBI!$A:$ADS,Y$3,FALSE)</f>
        <v>#NUM!</v>
      </c>
      <c r="Z104" s="293" t="e">
        <f ca="1">VLOOKUP($B104,KOMBI!$A:$ADS,Z$3,FALSE)</f>
        <v>#NUM!</v>
      </c>
      <c r="AA104" s="294"/>
      <c r="AB104" s="293" t="e">
        <f ca="1">VLOOKUP($B104,KOMBI!$A:$ADS,AB$3,FALSE)</f>
        <v>#NUM!</v>
      </c>
      <c r="AC104" s="293" t="e">
        <f ca="1">VLOOKUP($B104,KOMBI!$A:$ADS,AC$3,FALSE)-AB104</f>
        <v>#NUM!</v>
      </c>
      <c r="AD104" s="293" t="e">
        <f ca="1">VLOOKUP($B104,KOMBI!$A:$ADS,AD$3,FALSE)</f>
        <v>#NUM!</v>
      </c>
      <c r="AE104" s="293" t="e">
        <f ca="1">VLOOKUP($B104,KOMBI!$A:$ADS,AE$3,FALSE)</f>
        <v>#NUM!</v>
      </c>
      <c r="AF104" s="293" t="e">
        <f ca="1">VLOOKUP($B104,KOMBI!$A:$ADS,AF$3,FALSE)-AE104</f>
        <v>#NUM!</v>
      </c>
      <c r="AG104" s="293" t="e">
        <f ca="1">VLOOKUP($B104,KOMBI!$A:$ADS,AG$3,FALSE)</f>
        <v>#NUM!</v>
      </c>
      <c r="AI104" s="293" t="e">
        <f t="array" aca="1" ref="AI104" ca="1">VLOOKUP($B104,KOMBI!$A:$ADS,MATCH(Tulem!AI$3,KOMBI!$A$1:$ADS$1,0),FALSE)</f>
        <v>#NUM!</v>
      </c>
      <c r="AJ104" s="293" t="e">
        <f t="array" aca="1" ref="AJ104" ca="1">VLOOKUP($B104,KOMBI!$A:$ADS,MATCH(Tulem!AJ$3,KOMBI!$A$1:$ADS$1,0),FALSE)</f>
        <v>#NUM!</v>
      </c>
      <c r="AK104" s="293" t="e">
        <f t="array" aca="1" ref="AK104" ca="1">VLOOKUP($B104,KOMBI!$A:$ADS,MATCH(Tulem!AK$3,KOMBI!$A$1:$ADS$1,0),FALSE)</f>
        <v>#NUM!</v>
      </c>
      <c r="AL104" s="293" t="e">
        <f t="array" aca="1" ref="AL104" ca="1">VLOOKUP($B104,KOMBI!$A:$ADS,MATCH(Tulem!AL$3,KOMBI!$A$1:$ADS$1,0),FALSE)</f>
        <v>#NUM!</v>
      </c>
      <c r="AM104" s="293" t="e">
        <f t="array" aca="1" ref="AM104" ca="1">VLOOKUP($B104,KOMBI!$A:$ADS,MATCH(Tulem!AM$3,KOMBI!$A$1:$ADS$1,0),FALSE)</f>
        <v>#NUM!</v>
      </c>
      <c r="AN104" s="293" t="e">
        <f t="array" aca="1" ref="AN104" ca="1">VLOOKUP($B104,KOMBI!$A:$ADS,MATCH(Tulem!AN$3,KOMBI!$A$1:$ADS$1,0),FALSE)</f>
        <v>#NUM!</v>
      </c>
      <c r="AO104" s="293" t="e">
        <f t="array" aca="1" ref="AO104" ca="1">VLOOKUP($B104,KOMBI!$A:$ADS,MATCH(Tulem!AO$3,KOMBI!$A$1:$ADS$1,0),FALSE)</f>
        <v>#NUM!</v>
      </c>
      <c r="AP104" s="293" t="e">
        <f t="array" aca="1" ref="AP104" ca="1">VLOOKUP($B104,KOMBI!$A:$ADS,MATCH(Tulem!AP$3,KOMBI!$A$1:$ADS$1,0),FALSE)</f>
        <v>#NUM!</v>
      </c>
      <c r="AQ104" s="293" t="e">
        <f t="array" aca="1" ref="AQ104" ca="1">VLOOKUP($B104,KOMBI!$A:$ADS,MATCH(Tulem!AQ$3,KOMBI!$A$1:$ADS$1,0),FALSE)</f>
        <v>#NUM!</v>
      </c>
      <c r="AR104" s="293" t="e">
        <f t="array" aca="1" ref="AR104" ca="1">VLOOKUP($B104,KOMBI!$A:$ADS,MATCH(Tulem!AR$3,KOMBI!$A$1:$ADS$1,0),FALSE)</f>
        <v>#NUM!</v>
      </c>
      <c r="AS104" s="293" t="e">
        <f t="array" aca="1" ref="AS104" ca="1">VLOOKUP($B104,KOMBI!$A:$ADS,MATCH(Tulem!AS$3,KOMBI!$A$1:$ADS$1,0),FALSE)</f>
        <v>#NUM!</v>
      </c>
      <c r="AT104" s="293" t="e">
        <f t="array" aca="1" ref="AT104" ca="1">VLOOKUP($B104,KOMBI!$A:$ADS,MATCH(Tulem!AT$3,KOMBI!$A$1:$ADS$1,0),FALSE)</f>
        <v>#NUM!</v>
      </c>
      <c r="AU104" s="293" t="e">
        <f t="array" aca="1" ref="AU104" ca="1">VLOOKUP($B104,KOMBI!$A:$ADS,MATCH(Tulem!AU$3,KOMBI!$A$1:$ADS$1,0),FALSE)</f>
        <v>#NUM!</v>
      </c>
      <c r="AV104" s="293" t="e">
        <f t="shared" ca="1" si="4"/>
        <v>#NUM!</v>
      </c>
      <c r="AW104" s="293" t="e">
        <f t="shared" ca="1" si="5"/>
        <v>#NUM!</v>
      </c>
      <c r="AX104" s="291" t="e">
        <f ca="1">VLOOKUP($B104,KOMBI!$A:$ACA,MATCH(AX$5,KOMBI!$10:$10,0),FALSE)</f>
        <v>#NUM!</v>
      </c>
      <c r="AY104" s="292" t="e">
        <f t="array" aca="1" ref="AY104" ca="1">VLOOKUP($B104,KOMBI!$A:$ADS,MATCH(Tulem!AY$3,KOMBI!$A$1:$ADS$1,0),FALSE)</f>
        <v>#NUM!</v>
      </c>
      <c r="AZ104" s="292" t="e">
        <f t="array" aca="1" ref="AZ104" ca="1">VLOOKUP($B104,KOMBI!$A:$ADS,MATCH(Tulem!AZ$3,KOMBI!$A$1:$ADS$1,0),FALSE)</f>
        <v>#NUM!</v>
      </c>
      <c r="BA104" s="292" t="e">
        <f t="array" aca="1" ref="BA104" ca="1">VLOOKUP($B104,KOMBI!$A:$ADS,MATCH(Tulem!BA$3,KOMBI!$A$1:$ADS$1,0),FALSE)</f>
        <v>#NUM!</v>
      </c>
      <c r="BB104" s="292" t="e">
        <f t="array" aca="1" ref="BB104" ca="1">VLOOKUP($B104,KOMBI!$A:$ADS,MATCH(Tulem!BB$3,KOMBI!$A$1:$ADS$1,0),FALSE)</f>
        <v>#NUM!</v>
      </c>
      <c r="BC104" s="292" t="e">
        <f t="array" aca="1" ref="BC104" ca="1">VLOOKUP($B104,KOMBI!$A:$ADS,MATCH(Tulem!BC$3,KOMBI!$A$1:$ADS$1,0),FALSE)</f>
        <v>#NUM!</v>
      </c>
      <c r="BD104" s="292" t="e">
        <f t="array" aca="1" ref="BD104" ca="1">VLOOKUP($B104,KOMBI!$A:$ADS,MATCH(Tulem!BD$3,KOMBI!$A$1:$ADS$1,0),FALSE)</f>
        <v>#NUM!</v>
      </c>
      <c r="BE104" s="292" t="e">
        <f t="array" aca="1" ref="BE104" ca="1">VLOOKUP($B104,KOMBI!$A:$ADS,MATCH(Tulem!BE$3,KOMBI!$A$1:$ADS$1,0),FALSE)</f>
        <v>#NUM!</v>
      </c>
      <c r="BF104" s="292" t="e">
        <f t="array" aca="1" ref="BF104" ca="1">VLOOKUP($B104,KOMBI!$A:$ADS,MATCH(Tulem!BF$3,KOMBI!$A$1:$ADS$1,0),FALSE)</f>
        <v>#NUM!</v>
      </c>
      <c r="BG104" s="292" t="e">
        <f t="array" aca="1" ref="BG104" ca="1">VLOOKUP($B104,KOMBI!$A:$ADS,MATCH(Tulem!BG$3,KOMBI!$A$1:$ADS$1,0),FALSE)</f>
        <v>#NUM!</v>
      </c>
      <c r="BH104" s="292" t="e">
        <f t="array" aca="1" ref="BH104" ca="1">VLOOKUP($B104,KOMBI!$A:$ADS,MATCH(Tulem!BH$3,KOMBI!$A$1:$ADS$1,0),FALSE)</f>
        <v>#NUM!</v>
      </c>
      <c r="BI104" s="292" t="e">
        <f t="array" aca="1" ref="BI104" ca="1">VLOOKUP($B104,KOMBI!$A:$ADS,MATCH(Tulem!BI$3,KOMBI!$A$1:$ADS$1,0),FALSE)</f>
        <v>#NUM!</v>
      </c>
      <c r="BJ104" s="292" t="e">
        <f t="array" aca="1" ref="BJ104" ca="1">VLOOKUP($B104,KOMBI!$A:$ADS,MATCH(Tulem!BJ$3,KOMBI!$A$1:$ADS$1,0),FALSE)</f>
        <v>#NUM!</v>
      </c>
      <c r="BK104" s="292" t="e">
        <f t="array" aca="1" ref="BK104" ca="1">VLOOKUP($B104,KOMBI!$A:$ADS,MATCH(Tulem!BK$3,KOMBI!$A$1:$ADS$1,0),FALSE)</f>
        <v>#NUM!</v>
      </c>
      <c r="BL104" s="292" t="e">
        <f t="array" aca="1" ref="BL104" ca="1">VLOOKUP($B104,KOMBI!$A:$ADS,MATCH(Tulem!BL$3,KOMBI!$A$1:$ADS$1,0),FALSE)</f>
        <v>#NUM!</v>
      </c>
      <c r="BM104" s="292" t="e">
        <f t="array" aca="1" ref="BM104" ca="1">VLOOKUP($B104,KOMBI!$A:$ADS,MATCH(Tulem!BM$3,KOMBI!$A$1:$ADS$1,0),FALSE)</f>
        <v>#NUM!</v>
      </c>
      <c r="BN104" s="292" t="e">
        <f t="array" aca="1" ref="BN104" ca="1">VLOOKUP($B104,KOMBI!$A:$ADS,MATCH(Tulem!BN$3,KOMBI!$A$1:$ADS$1,0),FALSE)</f>
        <v>#NUM!</v>
      </c>
      <c r="BO104" s="292" t="e">
        <f t="array" aca="1" ref="BO104" ca="1">VLOOKUP($B104,KOMBI!$A:$ADS,MATCH(Tulem!BO$3,KOMBI!$A$1:$ADS$1,0),FALSE)</f>
        <v>#NUM!</v>
      </c>
      <c r="BP104" s="291"/>
      <c r="BQ104" s="292" t="e">
        <f t="array" aca="1" ref="BQ104" ca="1">VLOOKUP($B104,KOMBI!$A:$ADS,MATCH(Tulem!BQ$3,KOMBI!$A$1:$ADS$1,0),FALSE)</f>
        <v>#NUM!</v>
      </c>
      <c r="BR104" s="292" t="e">
        <f t="array" aca="1" ref="BR104" ca="1">VLOOKUP($B104,KOMBI!$A:$ADS,MATCH(Tulem!BR$3,KOMBI!$A$1:$ADS$1,0),FALSE)</f>
        <v>#NUM!</v>
      </c>
      <c r="BS104" s="292" t="e">
        <f t="array" aca="1" ref="BS104" ca="1">VLOOKUP($B104,KOMBI!$A:$ADS,MATCH(Tulem!BS$3,KOMBI!$A$1:$ADS$1,0),FALSE)</f>
        <v>#NUM!</v>
      </c>
      <c r="BT104" s="292" t="e">
        <f t="array" aca="1" ref="BT104" ca="1">VLOOKUP($B104,KOMBI!$A:$ADS,MATCH(Tulem!BT$3,KOMBI!$A$1:$ADS$1,0),FALSE)</f>
        <v>#NUM!</v>
      </c>
      <c r="BU104" s="292" t="e">
        <f t="array" aca="1" ref="BU104" ca="1">VLOOKUP($B104,KOMBI!$A:$ADS,MATCH(Tulem!BU$3,KOMBI!$A$1:$ADS$1,0),FALSE)</f>
        <v>#NUM!</v>
      </c>
      <c r="BV104" s="291"/>
      <c r="BW104" s="292" t="e">
        <f t="array" aca="1" ref="BW104" ca="1">VLOOKUP($B104,KOMBI!$A:$ADS,MATCH(Tulem!BW$3,KOMBI!$A$1:$ADS$1,0),FALSE)</f>
        <v>#NUM!</v>
      </c>
      <c r="BX104" s="291"/>
      <c r="BY104" s="291"/>
      <c r="BZ104" s="292" t="e">
        <f t="array" aca="1" ref="BZ104" ca="1">VLOOKUP($B104,KOMBI!$A:$ADS,MATCH(Tulem!BZ$3,KOMBI!$A$1:$ADS$1,0),FALSE)</f>
        <v>#NUM!</v>
      </c>
      <c r="CA104" s="292" t="e">
        <f t="array" aca="1" ref="CA104" ca="1">VLOOKUP($B104,KOMBI!$A:$ADS,MATCH(Tulem!CA$3,KOMBI!$A$1:$ADS$1,0),FALSE)</f>
        <v>#NUM!</v>
      </c>
      <c r="CB104" s="292" t="e">
        <f t="array" aca="1" ref="CB104" ca="1">VLOOKUP($B104,KOMBI!$A:$ADS,MATCH(Tulem!CB$3,KOMBI!$A$1:$ADS$1,0),FALSE)</f>
        <v>#NUM!</v>
      </c>
      <c r="CC104" s="292" t="e">
        <f t="array" aca="1" ref="CC104" ca="1">VLOOKUP($B104,KOMBI!$A:$ADS,MATCH(Tulem!CC$3,KOMBI!$A$1:$ADS$1,0),FALSE)</f>
        <v>#NUM!</v>
      </c>
      <c r="CD104" s="292" t="e">
        <f t="array" aca="1" ref="CD104" ca="1">VLOOKUP($B104,KOMBI!$A:$ADS,MATCH(Tulem!CD$3,KOMBI!$A$1:$ADS$1,0),FALSE)</f>
        <v>#NUM!</v>
      </c>
      <c r="CF104" s="51" t="e">
        <f ca="1">VLOOKUP($B104,KOMBI!$A:$ACG,MATCH(CF$5,KOMBI!$10:$10,0),FALSE)</f>
        <v>#NUM!</v>
      </c>
    </row>
    <row r="105" spans="1:84" x14ac:dyDescent="0.2">
      <c r="A105" s="51">
        <v>100</v>
      </c>
      <c r="B105" s="51" t="e">
        <f ca="1">KOMBI!GI110</f>
        <v>#NUM!</v>
      </c>
      <c r="C105" s="51">
        <f t="shared" si="3"/>
        <v>100</v>
      </c>
      <c r="D105" s="290" t="e">
        <f ca="1">VLOOKUP(VLOOKUP($B105,KOMBI!$A:$H,3,FALSE),data!$I$27:$J$29,2,FALSE)</f>
        <v>#NUM!</v>
      </c>
      <c r="E105" s="290" t="e">
        <f ca="1">VLOOKUP(VLOOKUP($B105,KOMBI!$A:$H,2,FALSE),data!$I$21:$J$23,2,FALSE)</f>
        <v>#NUM!</v>
      </c>
      <c r="F105" s="290" t="e">
        <f ca="1">VLOOKUP(VLOOKUP($B105,KOMBI!$A:$H,5,FALSE),data!$I$39:$J$41,2,FALSE)</f>
        <v>#NUM!</v>
      </c>
      <c r="G105" s="290" t="e">
        <f ca="1">VLOOKUP(VLOOKUP($B105,KOMBI!$A:$H,4,FALSE),data!$I$32:$J$36,2,FALSE)</f>
        <v>#NUM!</v>
      </c>
      <c r="I105" s="51" t="e">
        <f ca="1">VLOOKUP($B105,KOMBI!$A:$Z,MATCH(I$5,KOMBI!$10:$10,0),FALSE)</f>
        <v>#NUM!</v>
      </c>
      <c r="J105" s="291" t="e">
        <f ca="1">VLOOKUP($B105,KOMBI!$A:$ADS,J$3,FALSE)</f>
        <v>#NUM!</v>
      </c>
      <c r="K105" s="291" t="e">
        <f ca="1">VLOOKUP($B105,KOMBI!$A:$ADS,K$3,FALSE)</f>
        <v>#NUM!</v>
      </c>
      <c r="L105" s="291" t="e">
        <f ca="1">VLOOKUP($B105,KOMBI!$A:$ADS,L$3,FALSE)</f>
        <v>#NUM!</v>
      </c>
      <c r="M105" s="291" t="e">
        <f ca="1">VLOOKUP($B105,KOMBI!$A:$ADS,M$3,FALSE)</f>
        <v>#NUM!</v>
      </c>
      <c r="N105" s="291" t="e">
        <f ca="1">VLOOKUP($B105,KOMBI!$A:$ADS,N$3,FALSE)</f>
        <v>#NUM!</v>
      </c>
      <c r="O105" s="291" t="e">
        <f ca="1">VLOOKUP($B105,KOMBI!$A:$ADS,O$3,FALSE)</f>
        <v>#NUM!</v>
      </c>
      <c r="P105" s="291" t="e">
        <f ca="1">VLOOKUP($B105,KOMBI!$A:$ADS,P$3,FALSE)</f>
        <v>#NUM!</v>
      </c>
      <c r="Q105" s="292" t="e">
        <f t="array" aca="1" ref="Q105" ca="1">VLOOKUP($B105,KOMBI!$A:$ADS,MATCH(Tulem!Q$3,KOMBI!$A$1:$ADS$1,0),FALSE)</f>
        <v>#NUM!</v>
      </c>
      <c r="S105" s="332" t="e">
        <f t="array" aca="1" ref="S105" ca="1">VLOOKUP($B105,KOMBI!$A:$ADS,MATCH(Tulem!S$3,KOMBI!$A$1:$ADS$1,0),FALSE)</f>
        <v>#NUM!</v>
      </c>
      <c r="T105" s="293" t="e">
        <f ca="1">VLOOKUP($B105,KOMBI!$A:$ADS,T$3,FALSE)</f>
        <v>#NUM!</v>
      </c>
      <c r="U105" s="293" t="e">
        <f ca="1">VLOOKUP($B105,KOMBI!$A:$ADS,U$3,FALSE)</f>
        <v>#NUM!</v>
      </c>
      <c r="V105" s="293" t="e">
        <f ca="1">VLOOKUP($B105,KOMBI!$A:$ADS,V$3,FALSE)</f>
        <v>#NUM!</v>
      </c>
      <c r="W105" s="293"/>
      <c r="X105" s="293" t="e">
        <f ca="1">VLOOKUP($B105,KOMBI!$A:$ADS,X$3,FALSE)</f>
        <v>#NUM!</v>
      </c>
      <c r="Y105" s="293" t="e">
        <f ca="1">VLOOKUP($B105,KOMBI!$A:$ADS,Y$3,FALSE)</f>
        <v>#NUM!</v>
      </c>
      <c r="Z105" s="293" t="e">
        <f ca="1">VLOOKUP($B105,KOMBI!$A:$ADS,Z$3,FALSE)</f>
        <v>#NUM!</v>
      </c>
      <c r="AA105" s="294"/>
      <c r="AB105" s="293" t="e">
        <f ca="1">VLOOKUP($B105,KOMBI!$A:$ADS,AB$3,FALSE)</f>
        <v>#NUM!</v>
      </c>
      <c r="AC105" s="293" t="e">
        <f ca="1">VLOOKUP($B105,KOMBI!$A:$ADS,AC$3,FALSE)-AB105</f>
        <v>#NUM!</v>
      </c>
      <c r="AD105" s="293" t="e">
        <f ca="1">VLOOKUP($B105,KOMBI!$A:$ADS,AD$3,FALSE)</f>
        <v>#NUM!</v>
      </c>
      <c r="AE105" s="293" t="e">
        <f ca="1">VLOOKUP($B105,KOMBI!$A:$ADS,AE$3,FALSE)</f>
        <v>#NUM!</v>
      </c>
      <c r="AF105" s="293" t="e">
        <f ca="1">VLOOKUP($B105,KOMBI!$A:$ADS,AF$3,FALSE)-AE105</f>
        <v>#NUM!</v>
      </c>
      <c r="AG105" s="293" t="e">
        <f ca="1">VLOOKUP($B105,KOMBI!$A:$ADS,AG$3,FALSE)</f>
        <v>#NUM!</v>
      </c>
      <c r="AI105" s="293" t="e">
        <f t="array" aca="1" ref="AI105" ca="1">VLOOKUP($B105,KOMBI!$A:$ADS,MATCH(Tulem!AI$3,KOMBI!$A$1:$ADS$1,0),FALSE)</f>
        <v>#NUM!</v>
      </c>
      <c r="AJ105" s="293" t="e">
        <f t="array" aca="1" ref="AJ105" ca="1">VLOOKUP($B105,KOMBI!$A:$ADS,MATCH(Tulem!AJ$3,KOMBI!$A$1:$ADS$1,0),FALSE)</f>
        <v>#NUM!</v>
      </c>
      <c r="AK105" s="293" t="e">
        <f t="array" aca="1" ref="AK105" ca="1">VLOOKUP($B105,KOMBI!$A:$ADS,MATCH(Tulem!AK$3,KOMBI!$A$1:$ADS$1,0),FALSE)</f>
        <v>#NUM!</v>
      </c>
      <c r="AL105" s="293" t="e">
        <f t="array" aca="1" ref="AL105" ca="1">VLOOKUP($B105,KOMBI!$A:$ADS,MATCH(Tulem!AL$3,KOMBI!$A$1:$ADS$1,0),FALSE)</f>
        <v>#NUM!</v>
      </c>
      <c r="AM105" s="293" t="e">
        <f t="array" aca="1" ref="AM105" ca="1">VLOOKUP($B105,KOMBI!$A:$ADS,MATCH(Tulem!AM$3,KOMBI!$A$1:$ADS$1,0),FALSE)</f>
        <v>#NUM!</v>
      </c>
      <c r="AN105" s="293" t="e">
        <f t="array" aca="1" ref="AN105" ca="1">VLOOKUP($B105,KOMBI!$A:$ADS,MATCH(Tulem!AN$3,KOMBI!$A$1:$ADS$1,0),FALSE)</f>
        <v>#NUM!</v>
      </c>
      <c r="AO105" s="293" t="e">
        <f t="array" aca="1" ref="AO105" ca="1">VLOOKUP($B105,KOMBI!$A:$ADS,MATCH(Tulem!AO$3,KOMBI!$A$1:$ADS$1,0),FALSE)</f>
        <v>#NUM!</v>
      </c>
      <c r="AP105" s="293" t="e">
        <f t="array" aca="1" ref="AP105" ca="1">VLOOKUP($B105,KOMBI!$A:$ADS,MATCH(Tulem!AP$3,KOMBI!$A$1:$ADS$1,0),FALSE)</f>
        <v>#NUM!</v>
      </c>
      <c r="AQ105" s="293" t="e">
        <f t="array" aca="1" ref="AQ105" ca="1">VLOOKUP($B105,KOMBI!$A:$ADS,MATCH(Tulem!AQ$3,KOMBI!$A$1:$ADS$1,0),FALSE)</f>
        <v>#NUM!</v>
      </c>
      <c r="AR105" s="293" t="e">
        <f t="array" aca="1" ref="AR105" ca="1">VLOOKUP($B105,KOMBI!$A:$ADS,MATCH(Tulem!AR$3,KOMBI!$A$1:$ADS$1,0),FALSE)</f>
        <v>#NUM!</v>
      </c>
      <c r="AS105" s="293" t="e">
        <f t="array" aca="1" ref="AS105" ca="1">VLOOKUP($B105,KOMBI!$A:$ADS,MATCH(Tulem!AS$3,KOMBI!$A$1:$ADS$1,0),FALSE)</f>
        <v>#NUM!</v>
      </c>
      <c r="AT105" s="293" t="e">
        <f t="array" aca="1" ref="AT105" ca="1">VLOOKUP($B105,KOMBI!$A:$ADS,MATCH(Tulem!AT$3,KOMBI!$A$1:$ADS$1,0),FALSE)</f>
        <v>#NUM!</v>
      </c>
      <c r="AU105" s="293" t="e">
        <f t="array" aca="1" ref="AU105" ca="1">VLOOKUP($B105,KOMBI!$A:$ADS,MATCH(Tulem!AU$3,KOMBI!$A$1:$ADS$1,0),FALSE)</f>
        <v>#NUM!</v>
      </c>
      <c r="AV105" s="293" t="e">
        <f t="shared" ca="1" si="4"/>
        <v>#NUM!</v>
      </c>
      <c r="AW105" s="293" t="e">
        <f t="shared" ca="1" si="5"/>
        <v>#NUM!</v>
      </c>
      <c r="AX105" s="291" t="e">
        <f ca="1">VLOOKUP($B105,KOMBI!$A:$ACA,MATCH(AX$5,KOMBI!$10:$10,0),FALSE)</f>
        <v>#NUM!</v>
      </c>
      <c r="AY105" s="292" t="e">
        <f t="array" aca="1" ref="AY105" ca="1">VLOOKUP($B105,KOMBI!$A:$ADS,MATCH(Tulem!AY$3,KOMBI!$A$1:$ADS$1,0),FALSE)</f>
        <v>#NUM!</v>
      </c>
      <c r="AZ105" s="292" t="e">
        <f t="array" aca="1" ref="AZ105" ca="1">VLOOKUP($B105,KOMBI!$A:$ADS,MATCH(Tulem!AZ$3,KOMBI!$A$1:$ADS$1,0),FALSE)</f>
        <v>#NUM!</v>
      </c>
      <c r="BA105" s="292" t="e">
        <f t="array" aca="1" ref="BA105" ca="1">VLOOKUP($B105,KOMBI!$A:$ADS,MATCH(Tulem!BA$3,KOMBI!$A$1:$ADS$1,0),FALSE)</f>
        <v>#NUM!</v>
      </c>
      <c r="BB105" s="292" t="e">
        <f t="array" aca="1" ref="BB105" ca="1">VLOOKUP($B105,KOMBI!$A:$ADS,MATCH(Tulem!BB$3,KOMBI!$A$1:$ADS$1,0),FALSE)</f>
        <v>#NUM!</v>
      </c>
      <c r="BC105" s="292" t="e">
        <f t="array" aca="1" ref="BC105" ca="1">VLOOKUP($B105,KOMBI!$A:$ADS,MATCH(Tulem!BC$3,KOMBI!$A$1:$ADS$1,0),FALSE)</f>
        <v>#NUM!</v>
      </c>
      <c r="BD105" s="292" t="e">
        <f t="array" aca="1" ref="BD105" ca="1">VLOOKUP($B105,KOMBI!$A:$ADS,MATCH(Tulem!BD$3,KOMBI!$A$1:$ADS$1,0),FALSE)</f>
        <v>#NUM!</v>
      </c>
      <c r="BE105" s="292" t="e">
        <f t="array" aca="1" ref="BE105" ca="1">VLOOKUP($B105,KOMBI!$A:$ADS,MATCH(Tulem!BE$3,KOMBI!$A$1:$ADS$1,0),FALSE)</f>
        <v>#NUM!</v>
      </c>
      <c r="BF105" s="292" t="e">
        <f t="array" aca="1" ref="BF105" ca="1">VLOOKUP($B105,KOMBI!$A:$ADS,MATCH(Tulem!BF$3,KOMBI!$A$1:$ADS$1,0),FALSE)</f>
        <v>#NUM!</v>
      </c>
      <c r="BG105" s="292" t="e">
        <f t="array" aca="1" ref="BG105" ca="1">VLOOKUP($B105,KOMBI!$A:$ADS,MATCH(Tulem!BG$3,KOMBI!$A$1:$ADS$1,0),FALSE)</f>
        <v>#NUM!</v>
      </c>
      <c r="BH105" s="292" t="e">
        <f t="array" aca="1" ref="BH105" ca="1">VLOOKUP($B105,KOMBI!$A:$ADS,MATCH(Tulem!BH$3,KOMBI!$A$1:$ADS$1,0),FALSE)</f>
        <v>#NUM!</v>
      </c>
      <c r="BI105" s="292" t="e">
        <f t="array" aca="1" ref="BI105" ca="1">VLOOKUP($B105,KOMBI!$A:$ADS,MATCH(Tulem!BI$3,KOMBI!$A$1:$ADS$1,0),FALSE)</f>
        <v>#NUM!</v>
      </c>
      <c r="BJ105" s="292" t="e">
        <f t="array" aca="1" ref="BJ105" ca="1">VLOOKUP($B105,KOMBI!$A:$ADS,MATCH(Tulem!BJ$3,KOMBI!$A$1:$ADS$1,0),FALSE)</f>
        <v>#NUM!</v>
      </c>
      <c r="BK105" s="292" t="e">
        <f t="array" aca="1" ref="BK105" ca="1">VLOOKUP($B105,KOMBI!$A:$ADS,MATCH(Tulem!BK$3,KOMBI!$A$1:$ADS$1,0),FALSE)</f>
        <v>#NUM!</v>
      </c>
      <c r="BL105" s="292" t="e">
        <f t="array" aca="1" ref="BL105" ca="1">VLOOKUP($B105,KOMBI!$A:$ADS,MATCH(Tulem!BL$3,KOMBI!$A$1:$ADS$1,0),FALSE)</f>
        <v>#NUM!</v>
      </c>
      <c r="BM105" s="292" t="e">
        <f t="array" aca="1" ref="BM105" ca="1">VLOOKUP($B105,KOMBI!$A:$ADS,MATCH(Tulem!BM$3,KOMBI!$A$1:$ADS$1,0),FALSE)</f>
        <v>#NUM!</v>
      </c>
      <c r="BN105" s="292" t="e">
        <f t="array" aca="1" ref="BN105" ca="1">VLOOKUP($B105,KOMBI!$A:$ADS,MATCH(Tulem!BN$3,KOMBI!$A$1:$ADS$1,0),FALSE)</f>
        <v>#NUM!</v>
      </c>
      <c r="BO105" s="292" t="e">
        <f t="array" aca="1" ref="BO105" ca="1">VLOOKUP($B105,KOMBI!$A:$ADS,MATCH(Tulem!BO$3,KOMBI!$A$1:$ADS$1,0),FALSE)</f>
        <v>#NUM!</v>
      </c>
      <c r="BP105" s="291"/>
      <c r="BQ105" s="292" t="e">
        <f t="array" aca="1" ref="BQ105" ca="1">VLOOKUP($B105,KOMBI!$A:$ADS,MATCH(Tulem!BQ$3,KOMBI!$A$1:$ADS$1,0),FALSE)</f>
        <v>#NUM!</v>
      </c>
      <c r="BR105" s="292" t="e">
        <f t="array" aca="1" ref="BR105" ca="1">VLOOKUP($B105,KOMBI!$A:$ADS,MATCH(Tulem!BR$3,KOMBI!$A$1:$ADS$1,0),FALSE)</f>
        <v>#NUM!</v>
      </c>
      <c r="BS105" s="292" t="e">
        <f t="array" aca="1" ref="BS105" ca="1">VLOOKUP($B105,KOMBI!$A:$ADS,MATCH(Tulem!BS$3,KOMBI!$A$1:$ADS$1,0),FALSE)</f>
        <v>#NUM!</v>
      </c>
      <c r="BT105" s="292" t="e">
        <f t="array" aca="1" ref="BT105" ca="1">VLOOKUP($B105,KOMBI!$A:$ADS,MATCH(Tulem!BT$3,KOMBI!$A$1:$ADS$1,0),FALSE)</f>
        <v>#NUM!</v>
      </c>
      <c r="BU105" s="292" t="e">
        <f t="array" aca="1" ref="BU105" ca="1">VLOOKUP($B105,KOMBI!$A:$ADS,MATCH(Tulem!BU$3,KOMBI!$A$1:$ADS$1,0),FALSE)</f>
        <v>#NUM!</v>
      </c>
      <c r="BV105" s="291"/>
      <c r="BW105" s="292" t="e">
        <f t="array" aca="1" ref="BW105" ca="1">VLOOKUP($B105,KOMBI!$A:$ADS,MATCH(Tulem!BW$3,KOMBI!$A$1:$ADS$1,0),FALSE)</f>
        <v>#NUM!</v>
      </c>
      <c r="BX105" s="291"/>
      <c r="BY105" s="291"/>
      <c r="BZ105" s="292" t="e">
        <f t="array" aca="1" ref="BZ105" ca="1">VLOOKUP($B105,KOMBI!$A:$ADS,MATCH(Tulem!BZ$3,KOMBI!$A$1:$ADS$1,0),FALSE)</f>
        <v>#NUM!</v>
      </c>
      <c r="CA105" s="292" t="e">
        <f t="array" aca="1" ref="CA105" ca="1">VLOOKUP($B105,KOMBI!$A:$ADS,MATCH(Tulem!CA$3,KOMBI!$A$1:$ADS$1,0),FALSE)</f>
        <v>#NUM!</v>
      </c>
      <c r="CB105" s="292" t="e">
        <f t="array" aca="1" ref="CB105" ca="1">VLOOKUP($B105,KOMBI!$A:$ADS,MATCH(Tulem!CB$3,KOMBI!$A$1:$ADS$1,0),FALSE)</f>
        <v>#NUM!</v>
      </c>
      <c r="CC105" s="292" t="e">
        <f t="array" aca="1" ref="CC105" ca="1">VLOOKUP($B105,KOMBI!$A:$ADS,MATCH(Tulem!CC$3,KOMBI!$A$1:$ADS$1,0),FALSE)</f>
        <v>#NUM!</v>
      </c>
      <c r="CD105" s="292" t="e">
        <f t="array" aca="1" ref="CD105" ca="1">VLOOKUP($B105,KOMBI!$A:$ADS,MATCH(Tulem!CD$3,KOMBI!$A$1:$ADS$1,0),FALSE)</f>
        <v>#NUM!</v>
      </c>
      <c r="CF105" s="51" t="e">
        <f ca="1">VLOOKUP($B105,KOMBI!$A:$ACG,MATCH(CF$5,KOMBI!$10:$10,0),FALSE)</f>
        <v>#NUM!</v>
      </c>
    </row>
    <row r="106" spans="1:84" x14ac:dyDescent="0.2">
      <c r="A106" s="51">
        <v>101</v>
      </c>
      <c r="B106" s="51" t="e">
        <f ca="1">KOMBI!GI111</f>
        <v>#NUM!</v>
      </c>
      <c r="C106" s="51">
        <f t="shared" si="3"/>
        <v>101</v>
      </c>
      <c r="D106" s="290" t="e">
        <f ca="1">VLOOKUP(VLOOKUP($B106,KOMBI!$A:$H,3,FALSE),data!$I$27:$J$29,2,FALSE)</f>
        <v>#NUM!</v>
      </c>
      <c r="E106" s="290" t="e">
        <f ca="1">VLOOKUP(VLOOKUP($B106,KOMBI!$A:$H,2,FALSE),data!$I$21:$J$23,2,FALSE)</f>
        <v>#NUM!</v>
      </c>
      <c r="F106" s="290" t="e">
        <f ca="1">VLOOKUP(VLOOKUP($B106,KOMBI!$A:$H,5,FALSE),data!$I$39:$J$41,2,FALSE)</f>
        <v>#NUM!</v>
      </c>
      <c r="G106" s="290" t="e">
        <f ca="1">VLOOKUP(VLOOKUP($B106,KOMBI!$A:$H,4,FALSE),data!$I$32:$J$36,2,FALSE)</f>
        <v>#NUM!</v>
      </c>
      <c r="I106" s="51" t="e">
        <f ca="1">VLOOKUP($B106,KOMBI!$A:$Z,MATCH(I$5,KOMBI!$10:$10,0),FALSE)</f>
        <v>#NUM!</v>
      </c>
      <c r="J106" s="291" t="e">
        <f ca="1">VLOOKUP($B106,KOMBI!$A:$ADS,J$3,FALSE)</f>
        <v>#NUM!</v>
      </c>
      <c r="K106" s="291" t="e">
        <f ca="1">VLOOKUP($B106,KOMBI!$A:$ADS,K$3,FALSE)</f>
        <v>#NUM!</v>
      </c>
      <c r="L106" s="291" t="e">
        <f ca="1">VLOOKUP($B106,KOMBI!$A:$ADS,L$3,FALSE)</f>
        <v>#NUM!</v>
      </c>
      <c r="M106" s="291" t="e">
        <f ca="1">VLOOKUP($B106,KOMBI!$A:$ADS,M$3,FALSE)</f>
        <v>#NUM!</v>
      </c>
      <c r="N106" s="291" t="e">
        <f ca="1">VLOOKUP($B106,KOMBI!$A:$ADS,N$3,FALSE)</f>
        <v>#NUM!</v>
      </c>
      <c r="O106" s="291" t="e">
        <f ca="1">VLOOKUP($B106,KOMBI!$A:$ADS,O$3,FALSE)</f>
        <v>#NUM!</v>
      </c>
      <c r="P106" s="291" t="e">
        <f ca="1">VLOOKUP($B106,KOMBI!$A:$ADS,P$3,FALSE)</f>
        <v>#NUM!</v>
      </c>
      <c r="Q106" s="292" t="e">
        <f t="array" aca="1" ref="Q106" ca="1">VLOOKUP($B106,KOMBI!$A:$ADS,MATCH(Tulem!Q$3,KOMBI!$A$1:$ADS$1,0),FALSE)</f>
        <v>#NUM!</v>
      </c>
      <c r="S106" s="332" t="e">
        <f t="array" aca="1" ref="S106" ca="1">VLOOKUP($B106,KOMBI!$A:$ADS,MATCH(Tulem!S$3,KOMBI!$A$1:$ADS$1,0),FALSE)</f>
        <v>#NUM!</v>
      </c>
      <c r="T106" s="293" t="e">
        <f ca="1">VLOOKUP($B106,KOMBI!$A:$ADS,T$3,FALSE)</f>
        <v>#NUM!</v>
      </c>
      <c r="U106" s="293" t="e">
        <f ca="1">VLOOKUP($B106,KOMBI!$A:$ADS,U$3,FALSE)</f>
        <v>#NUM!</v>
      </c>
      <c r="V106" s="293" t="e">
        <f ca="1">VLOOKUP($B106,KOMBI!$A:$ADS,V$3,FALSE)</f>
        <v>#NUM!</v>
      </c>
      <c r="W106" s="293"/>
      <c r="X106" s="293" t="e">
        <f ca="1">VLOOKUP($B106,KOMBI!$A:$ADS,X$3,FALSE)</f>
        <v>#NUM!</v>
      </c>
      <c r="Y106" s="293" t="e">
        <f ca="1">VLOOKUP($B106,KOMBI!$A:$ADS,Y$3,FALSE)</f>
        <v>#NUM!</v>
      </c>
      <c r="Z106" s="293" t="e">
        <f ca="1">VLOOKUP($B106,KOMBI!$A:$ADS,Z$3,FALSE)</f>
        <v>#NUM!</v>
      </c>
      <c r="AA106" s="294"/>
      <c r="AB106" s="293" t="e">
        <f ca="1">VLOOKUP($B106,KOMBI!$A:$ADS,AB$3,FALSE)</f>
        <v>#NUM!</v>
      </c>
      <c r="AC106" s="293" t="e">
        <f ca="1">VLOOKUP($B106,KOMBI!$A:$ADS,AC$3,FALSE)-AB106</f>
        <v>#NUM!</v>
      </c>
      <c r="AD106" s="293" t="e">
        <f ca="1">VLOOKUP($B106,KOMBI!$A:$ADS,AD$3,FALSE)</f>
        <v>#NUM!</v>
      </c>
      <c r="AE106" s="293" t="e">
        <f ca="1">VLOOKUP($B106,KOMBI!$A:$ADS,AE$3,FALSE)</f>
        <v>#NUM!</v>
      </c>
      <c r="AF106" s="293" t="e">
        <f ca="1">VLOOKUP($B106,KOMBI!$A:$ADS,AF$3,FALSE)-AE106</f>
        <v>#NUM!</v>
      </c>
      <c r="AG106" s="293" t="e">
        <f ca="1">VLOOKUP($B106,KOMBI!$A:$ADS,AG$3,FALSE)</f>
        <v>#NUM!</v>
      </c>
      <c r="AI106" s="293" t="e">
        <f t="array" aca="1" ref="AI106" ca="1">VLOOKUP($B106,KOMBI!$A:$ADS,MATCH(Tulem!AI$3,KOMBI!$A$1:$ADS$1,0),FALSE)</f>
        <v>#NUM!</v>
      </c>
      <c r="AJ106" s="293" t="e">
        <f t="array" aca="1" ref="AJ106" ca="1">VLOOKUP($B106,KOMBI!$A:$ADS,MATCH(Tulem!AJ$3,KOMBI!$A$1:$ADS$1,0),FALSE)</f>
        <v>#NUM!</v>
      </c>
      <c r="AK106" s="293" t="e">
        <f t="array" aca="1" ref="AK106" ca="1">VLOOKUP($B106,KOMBI!$A:$ADS,MATCH(Tulem!AK$3,KOMBI!$A$1:$ADS$1,0),FALSE)</f>
        <v>#NUM!</v>
      </c>
      <c r="AL106" s="293" t="e">
        <f t="array" aca="1" ref="AL106" ca="1">VLOOKUP($B106,KOMBI!$A:$ADS,MATCH(Tulem!AL$3,KOMBI!$A$1:$ADS$1,0),FALSE)</f>
        <v>#NUM!</v>
      </c>
      <c r="AM106" s="293" t="e">
        <f t="array" aca="1" ref="AM106" ca="1">VLOOKUP($B106,KOMBI!$A:$ADS,MATCH(Tulem!AM$3,KOMBI!$A$1:$ADS$1,0),FALSE)</f>
        <v>#NUM!</v>
      </c>
      <c r="AN106" s="293" t="e">
        <f t="array" aca="1" ref="AN106" ca="1">VLOOKUP($B106,KOMBI!$A:$ADS,MATCH(Tulem!AN$3,KOMBI!$A$1:$ADS$1,0),FALSE)</f>
        <v>#NUM!</v>
      </c>
      <c r="AO106" s="293" t="e">
        <f t="array" aca="1" ref="AO106" ca="1">VLOOKUP($B106,KOMBI!$A:$ADS,MATCH(Tulem!AO$3,KOMBI!$A$1:$ADS$1,0),FALSE)</f>
        <v>#NUM!</v>
      </c>
      <c r="AP106" s="293" t="e">
        <f t="array" aca="1" ref="AP106" ca="1">VLOOKUP($B106,KOMBI!$A:$ADS,MATCH(Tulem!AP$3,KOMBI!$A$1:$ADS$1,0),FALSE)</f>
        <v>#NUM!</v>
      </c>
      <c r="AQ106" s="293" t="e">
        <f t="array" aca="1" ref="AQ106" ca="1">VLOOKUP($B106,KOMBI!$A:$ADS,MATCH(Tulem!AQ$3,KOMBI!$A$1:$ADS$1,0),FALSE)</f>
        <v>#NUM!</v>
      </c>
      <c r="AR106" s="293" t="e">
        <f t="array" aca="1" ref="AR106" ca="1">VLOOKUP($B106,KOMBI!$A:$ADS,MATCH(Tulem!AR$3,KOMBI!$A$1:$ADS$1,0),FALSE)</f>
        <v>#NUM!</v>
      </c>
      <c r="AS106" s="293" t="e">
        <f t="array" aca="1" ref="AS106" ca="1">VLOOKUP($B106,KOMBI!$A:$ADS,MATCH(Tulem!AS$3,KOMBI!$A$1:$ADS$1,0),FALSE)</f>
        <v>#NUM!</v>
      </c>
      <c r="AT106" s="293" t="e">
        <f t="array" aca="1" ref="AT106" ca="1">VLOOKUP($B106,KOMBI!$A:$ADS,MATCH(Tulem!AT$3,KOMBI!$A$1:$ADS$1,0),FALSE)</f>
        <v>#NUM!</v>
      </c>
      <c r="AU106" s="293" t="e">
        <f t="array" aca="1" ref="AU106" ca="1">VLOOKUP($B106,KOMBI!$A:$ADS,MATCH(Tulem!AU$3,KOMBI!$A$1:$ADS$1,0),FALSE)</f>
        <v>#NUM!</v>
      </c>
      <c r="AV106" s="293" t="e">
        <f t="shared" ca="1" si="4"/>
        <v>#NUM!</v>
      </c>
      <c r="AW106" s="293" t="e">
        <f t="shared" ca="1" si="5"/>
        <v>#NUM!</v>
      </c>
      <c r="AX106" s="291" t="e">
        <f ca="1">VLOOKUP($B106,KOMBI!$A:$ACA,MATCH(AX$5,KOMBI!$10:$10,0),FALSE)</f>
        <v>#NUM!</v>
      </c>
      <c r="AY106" s="292" t="e">
        <f t="array" aca="1" ref="AY106" ca="1">VLOOKUP($B106,KOMBI!$A:$ADS,MATCH(Tulem!AY$3,KOMBI!$A$1:$ADS$1,0),FALSE)</f>
        <v>#NUM!</v>
      </c>
      <c r="AZ106" s="292" t="e">
        <f t="array" aca="1" ref="AZ106" ca="1">VLOOKUP($B106,KOMBI!$A:$ADS,MATCH(Tulem!AZ$3,KOMBI!$A$1:$ADS$1,0),FALSE)</f>
        <v>#NUM!</v>
      </c>
      <c r="BA106" s="292" t="e">
        <f t="array" aca="1" ref="BA106" ca="1">VLOOKUP($B106,KOMBI!$A:$ADS,MATCH(Tulem!BA$3,KOMBI!$A$1:$ADS$1,0),FALSE)</f>
        <v>#NUM!</v>
      </c>
      <c r="BB106" s="292" t="e">
        <f t="array" aca="1" ref="BB106" ca="1">VLOOKUP($B106,KOMBI!$A:$ADS,MATCH(Tulem!BB$3,KOMBI!$A$1:$ADS$1,0),FALSE)</f>
        <v>#NUM!</v>
      </c>
      <c r="BC106" s="292" t="e">
        <f t="array" aca="1" ref="BC106" ca="1">VLOOKUP($B106,KOMBI!$A:$ADS,MATCH(Tulem!BC$3,KOMBI!$A$1:$ADS$1,0),FALSE)</f>
        <v>#NUM!</v>
      </c>
      <c r="BD106" s="292" t="e">
        <f t="array" aca="1" ref="BD106" ca="1">VLOOKUP($B106,KOMBI!$A:$ADS,MATCH(Tulem!BD$3,KOMBI!$A$1:$ADS$1,0),FALSE)</f>
        <v>#NUM!</v>
      </c>
      <c r="BE106" s="292" t="e">
        <f t="array" aca="1" ref="BE106" ca="1">VLOOKUP($B106,KOMBI!$A:$ADS,MATCH(Tulem!BE$3,KOMBI!$A$1:$ADS$1,0),FALSE)</f>
        <v>#NUM!</v>
      </c>
      <c r="BF106" s="292" t="e">
        <f t="array" aca="1" ref="BF106" ca="1">VLOOKUP($B106,KOMBI!$A:$ADS,MATCH(Tulem!BF$3,KOMBI!$A$1:$ADS$1,0),FALSE)</f>
        <v>#NUM!</v>
      </c>
      <c r="BG106" s="292" t="e">
        <f t="array" aca="1" ref="BG106" ca="1">VLOOKUP($B106,KOMBI!$A:$ADS,MATCH(Tulem!BG$3,KOMBI!$A$1:$ADS$1,0),FALSE)</f>
        <v>#NUM!</v>
      </c>
      <c r="BH106" s="292" t="e">
        <f t="array" aca="1" ref="BH106" ca="1">VLOOKUP($B106,KOMBI!$A:$ADS,MATCH(Tulem!BH$3,KOMBI!$A$1:$ADS$1,0),FALSE)</f>
        <v>#NUM!</v>
      </c>
      <c r="BI106" s="292" t="e">
        <f t="array" aca="1" ref="BI106" ca="1">VLOOKUP($B106,KOMBI!$A:$ADS,MATCH(Tulem!BI$3,KOMBI!$A$1:$ADS$1,0),FALSE)</f>
        <v>#NUM!</v>
      </c>
      <c r="BJ106" s="292" t="e">
        <f t="array" aca="1" ref="BJ106" ca="1">VLOOKUP($B106,KOMBI!$A:$ADS,MATCH(Tulem!BJ$3,KOMBI!$A$1:$ADS$1,0),FALSE)</f>
        <v>#NUM!</v>
      </c>
      <c r="BK106" s="292" t="e">
        <f t="array" aca="1" ref="BK106" ca="1">VLOOKUP($B106,KOMBI!$A:$ADS,MATCH(Tulem!BK$3,KOMBI!$A$1:$ADS$1,0),FALSE)</f>
        <v>#NUM!</v>
      </c>
      <c r="BL106" s="292" t="e">
        <f t="array" aca="1" ref="BL106" ca="1">VLOOKUP($B106,KOMBI!$A:$ADS,MATCH(Tulem!BL$3,KOMBI!$A$1:$ADS$1,0),FALSE)</f>
        <v>#NUM!</v>
      </c>
      <c r="BM106" s="292" t="e">
        <f t="array" aca="1" ref="BM106" ca="1">VLOOKUP($B106,KOMBI!$A:$ADS,MATCH(Tulem!BM$3,KOMBI!$A$1:$ADS$1,0),FALSE)</f>
        <v>#NUM!</v>
      </c>
      <c r="BN106" s="292" t="e">
        <f t="array" aca="1" ref="BN106" ca="1">VLOOKUP($B106,KOMBI!$A:$ADS,MATCH(Tulem!BN$3,KOMBI!$A$1:$ADS$1,0),FALSE)</f>
        <v>#NUM!</v>
      </c>
      <c r="BO106" s="292" t="e">
        <f t="array" aca="1" ref="BO106" ca="1">VLOOKUP($B106,KOMBI!$A:$ADS,MATCH(Tulem!BO$3,KOMBI!$A$1:$ADS$1,0),FALSE)</f>
        <v>#NUM!</v>
      </c>
      <c r="BP106" s="291"/>
      <c r="BQ106" s="292" t="e">
        <f t="array" aca="1" ref="BQ106" ca="1">VLOOKUP($B106,KOMBI!$A:$ADS,MATCH(Tulem!BQ$3,KOMBI!$A$1:$ADS$1,0),FALSE)</f>
        <v>#NUM!</v>
      </c>
      <c r="BR106" s="292" t="e">
        <f t="array" aca="1" ref="BR106" ca="1">VLOOKUP($B106,KOMBI!$A:$ADS,MATCH(Tulem!BR$3,KOMBI!$A$1:$ADS$1,0),FALSE)</f>
        <v>#NUM!</v>
      </c>
      <c r="BS106" s="292" t="e">
        <f t="array" aca="1" ref="BS106" ca="1">VLOOKUP($B106,KOMBI!$A:$ADS,MATCH(Tulem!BS$3,KOMBI!$A$1:$ADS$1,0),FALSE)</f>
        <v>#NUM!</v>
      </c>
      <c r="BT106" s="292" t="e">
        <f t="array" aca="1" ref="BT106" ca="1">VLOOKUP($B106,KOMBI!$A:$ADS,MATCH(Tulem!BT$3,KOMBI!$A$1:$ADS$1,0),FALSE)</f>
        <v>#NUM!</v>
      </c>
      <c r="BU106" s="292" t="e">
        <f t="array" aca="1" ref="BU106" ca="1">VLOOKUP($B106,KOMBI!$A:$ADS,MATCH(Tulem!BU$3,KOMBI!$A$1:$ADS$1,0),FALSE)</f>
        <v>#NUM!</v>
      </c>
      <c r="BV106" s="291"/>
      <c r="BW106" s="292" t="e">
        <f t="array" aca="1" ref="BW106" ca="1">VLOOKUP($B106,KOMBI!$A:$ADS,MATCH(Tulem!BW$3,KOMBI!$A$1:$ADS$1,0),FALSE)</f>
        <v>#NUM!</v>
      </c>
      <c r="BX106" s="291"/>
      <c r="BY106" s="291"/>
      <c r="BZ106" s="292" t="e">
        <f t="array" aca="1" ref="BZ106" ca="1">VLOOKUP($B106,KOMBI!$A:$ADS,MATCH(Tulem!BZ$3,KOMBI!$A$1:$ADS$1,0),FALSE)</f>
        <v>#NUM!</v>
      </c>
      <c r="CA106" s="292" t="e">
        <f t="array" aca="1" ref="CA106" ca="1">VLOOKUP($B106,KOMBI!$A:$ADS,MATCH(Tulem!CA$3,KOMBI!$A$1:$ADS$1,0),FALSE)</f>
        <v>#NUM!</v>
      </c>
      <c r="CB106" s="292" t="e">
        <f t="array" aca="1" ref="CB106" ca="1">VLOOKUP($B106,KOMBI!$A:$ADS,MATCH(Tulem!CB$3,KOMBI!$A$1:$ADS$1,0),FALSE)</f>
        <v>#NUM!</v>
      </c>
      <c r="CC106" s="292" t="e">
        <f t="array" aca="1" ref="CC106" ca="1">VLOOKUP($B106,KOMBI!$A:$ADS,MATCH(Tulem!CC$3,KOMBI!$A$1:$ADS$1,0),FALSE)</f>
        <v>#NUM!</v>
      </c>
      <c r="CD106" s="292" t="e">
        <f t="array" aca="1" ref="CD106" ca="1">VLOOKUP($B106,KOMBI!$A:$ADS,MATCH(Tulem!CD$3,KOMBI!$A$1:$ADS$1,0),FALSE)</f>
        <v>#NUM!</v>
      </c>
      <c r="CF106" s="51" t="e">
        <f ca="1">VLOOKUP($B106,KOMBI!$A:$ACG,MATCH(CF$5,KOMBI!$10:$10,0),FALSE)</f>
        <v>#NUM!</v>
      </c>
    </row>
    <row r="107" spans="1:84" x14ac:dyDescent="0.2">
      <c r="A107" s="51">
        <v>102</v>
      </c>
      <c r="B107" s="51" t="e">
        <f ca="1">KOMBI!GI112</f>
        <v>#NUM!</v>
      </c>
      <c r="C107" s="51">
        <f t="shared" si="3"/>
        <v>102</v>
      </c>
      <c r="D107" s="290" t="e">
        <f ca="1">VLOOKUP(VLOOKUP($B107,KOMBI!$A:$H,3,FALSE),data!$I$27:$J$29,2,FALSE)</f>
        <v>#NUM!</v>
      </c>
      <c r="E107" s="290" t="e">
        <f ca="1">VLOOKUP(VLOOKUP($B107,KOMBI!$A:$H,2,FALSE),data!$I$21:$J$23,2,FALSE)</f>
        <v>#NUM!</v>
      </c>
      <c r="F107" s="290" t="e">
        <f ca="1">VLOOKUP(VLOOKUP($B107,KOMBI!$A:$H,5,FALSE),data!$I$39:$J$41,2,FALSE)</f>
        <v>#NUM!</v>
      </c>
      <c r="G107" s="290" t="e">
        <f ca="1">VLOOKUP(VLOOKUP($B107,KOMBI!$A:$H,4,FALSE),data!$I$32:$J$36,2,FALSE)</f>
        <v>#NUM!</v>
      </c>
      <c r="I107" s="51" t="e">
        <f ca="1">VLOOKUP($B107,KOMBI!$A:$Z,MATCH(I$5,KOMBI!$10:$10,0),FALSE)</f>
        <v>#NUM!</v>
      </c>
      <c r="J107" s="291" t="e">
        <f ca="1">VLOOKUP($B107,KOMBI!$A:$ADS,J$3,FALSE)</f>
        <v>#NUM!</v>
      </c>
      <c r="K107" s="291" t="e">
        <f ca="1">VLOOKUP($B107,KOMBI!$A:$ADS,K$3,FALSE)</f>
        <v>#NUM!</v>
      </c>
      <c r="L107" s="291" t="e">
        <f ca="1">VLOOKUP($B107,KOMBI!$A:$ADS,L$3,FALSE)</f>
        <v>#NUM!</v>
      </c>
      <c r="M107" s="291" t="e">
        <f ca="1">VLOOKUP($B107,KOMBI!$A:$ADS,M$3,FALSE)</f>
        <v>#NUM!</v>
      </c>
      <c r="N107" s="291" t="e">
        <f ca="1">VLOOKUP($B107,KOMBI!$A:$ADS,N$3,FALSE)</f>
        <v>#NUM!</v>
      </c>
      <c r="O107" s="291" t="e">
        <f ca="1">VLOOKUP($B107,KOMBI!$A:$ADS,O$3,FALSE)</f>
        <v>#NUM!</v>
      </c>
      <c r="P107" s="291" t="e">
        <f ca="1">VLOOKUP($B107,KOMBI!$A:$ADS,P$3,FALSE)</f>
        <v>#NUM!</v>
      </c>
      <c r="Q107" s="292" t="e">
        <f t="array" aca="1" ref="Q107" ca="1">VLOOKUP($B107,KOMBI!$A:$ADS,MATCH(Tulem!Q$3,KOMBI!$A$1:$ADS$1,0),FALSE)</f>
        <v>#NUM!</v>
      </c>
      <c r="S107" s="332" t="e">
        <f t="array" aca="1" ref="S107" ca="1">VLOOKUP($B107,KOMBI!$A:$ADS,MATCH(Tulem!S$3,KOMBI!$A$1:$ADS$1,0),FALSE)</f>
        <v>#NUM!</v>
      </c>
      <c r="T107" s="293" t="e">
        <f ca="1">VLOOKUP($B107,KOMBI!$A:$ADS,T$3,FALSE)</f>
        <v>#NUM!</v>
      </c>
      <c r="U107" s="293" t="e">
        <f ca="1">VLOOKUP($B107,KOMBI!$A:$ADS,U$3,FALSE)</f>
        <v>#NUM!</v>
      </c>
      <c r="V107" s="293" t="e">
        <f ca="1">VLOOKUP($B107,KOMBI!$A:$ADS,V$3,FALSE)</f>
        <v>#NUM!</v>
      </c>
      <c r="W107" s="293"/>
      <c r="X107" s="293" t="e">
        <f ca="1">VLOOKUP($B107,KOMBI!$A:$ADS,X$3,FALSE)</f>
        <v>#NUM!</v>
      </c>
      <c r="Y107" s="293" t="e">
        <f ca="1">VLOOKUP($B107,KOMBI!$A:$ADS,Y$3,FALSE)</f>
        <v>#NUM!</v>
      </c>
      <c r="Z107" s="293" t="e">
        <f ca="1">VLOOKUP($B107,KOMBI!$A:$ADS,Z$3,FALSE)</f>
        <v>#NUM!</v>
      </c>
      <c r="AA107" s="294"/>
      <c r="AB107" s="293" t="e">
        <f ca="1">VLOOKUP($B107,KOMBI!$A:$ADS,AB$3,FALSE)</f>
        <v>#NUM!</v>
      </c>
      <c r="AC107" s="293" t="e">
        <f ca="1">VLOOKUP($B107,KOMBI!$A:$ADS,AC$3,FALSE)-AB107</f>
        <v>#NUM!</v>
      </c>
      <c r="AD107" s="293" t="e">
        <f ca="1">VLOOKUP($B107,KOMBI!$A:$ADS,AD$3,FALSE)</f>
        <v>#NUM!</v>
      </c>
      <c r="AE107" s="293" t="e">
        <f ca="1">VLOOKUP($B107,KOMBI!$A:$ADS,AE$3,FALSE)</f>
        <v>#NUM!</v>
      </c>
      <c r="AF107" s="293" t="e">
        <f ca="1">VLOOKUP($B107,KOMBI!$A:$ADS,AF$3,FALSE)-AE107</f>
        <v>#NUM!</v>
      </c>
      <c r="AG107" s="293" t="e">
        <f ca="1">VLOOKUP($B107,KOMBI!$A:$ADS,AG$3,FALSE)</f>
        <v>#NUM!</v>
      </c>
      <c r="AI107" s="293" t="e">
        <f t="array" aca="1" ref="AI107" ca="1">VLOOKUP($B107,KOMBI!$A:$ADS,MATCH(Tulem!AI$3,KOMBI!$A$1:$ADS$1,0),FALSE)</f>
        <v>#NUM!</v>
      </c>
      <c r="AJ107" s="293" t="e">
        <f t="array" aca="1" ref="AJ107" ca="1">VLOOKUP($B107,KOMBI!$A:$ADS,MATCH(Tulem!AJ$3,KOMBI!$A$1:$ADS$1,0),FALSE)</f>
        <v>#NUM!</v>
      </c>
      <c r="AK107" s="293" t="e">
        <f t="array" aca="1" ref="AK107" ca="1">VLOOKUP($B107,KOMBI!$A:$ADS,MATCH(Tulem!AK$3,KOMBI!$A$1:$ADS$1,0),FALSE)</f>
        <v>#NUM!</v>
      </c>
      <c r="AL107" s="293" t="e">
        <f t="array" aca="1" ref="AL107" ca="1">VLOOKUP($B107,KOMBI!$A:$ADS,MATCH(Tulem!AL$3,KOMBI!$A$1:$ADS$1,0),FALSE)</f>
        <v>#NUM!</v>
      </c>
      <c r="AM107" s="293" t="e">
        <f t="array" aca="1" ref="AM107" ca="1">VLOOKUP($B107,KOMBI!$A:$ADS,MATCH(Tulem!AM$3,KOMBI!$A$1:$ADS$1,0),FALSE)</f>
        <v>#NUM!</v>
      </c>
      <c r="AN107" s="293" t="e">
        <f t="array" aca="1" ref="AN107" ca="1">VLOOKUP($B107,KOMBI!$A:$ADS,MATCH(Tulem!AN$3,KOMBI!$A$1:$ADS$1,0),FALSE)</f>
        <v>#NUM!</v>
      </c>
      <c r="AO107" s="293" t="e">
        <f t="array" aca="1" ref="AO107" ca="1">VLOOKUP($B107,KOMBI!$A:$ADS,MATCH(Tulem!AO$3,KOMBI!$A$1:$ADS$1,0),FALSE)</f>
        <v>#NUM!</v>
      </c>
      <c r="AP107" s="293" t="e">
        <f t="array" aca="1" ref="AP107" ca="1">VLOOKUP($B107,KOMBI!$A:$ADS,MATCH(Tulem!AP$3,KOMBI!$A$1:$ADS$1,0),FALSE)</f>
        <v>#NUM!</v>
      </c>
      <c r="AQ107" s="293" t="e">
        <f t="array" aca="1" ref="AQ107" ca="1">VLOOKUP($B107,KOMBI!$A:$ADS,MATCH(Tulem!AQ$3,KOMBI!$A$1:$ADS$1,0),FALSE)</f>
        <v>#NUM!</v>
      </c>
      <c r="AR107" s="293" t="e">
        <f t="array" aca="1" ref="AR107" ca="1">VLOOKUP($B107,KOMBI!$A:$ADS,MATCH(Tulem!AR$3,KOMBI!$A$1:$ADS$1,0),FALSE)</f>
        <v>#NUM!</v>
      </c>
      <c r="AS107" s="293" t="e">
        <f t="array" aca="1" ref="AS107" ca="1">VLOOKUP($B107,KOMBI!$A:$ADS,MATCH(Tulem!AS$3,KOMBI!$A$1:$ADS$1,0),FALSE)</f>
        <v>#NUM!</v>
      </c>
      <c r="AT107" s="293" t="e">
        <f t="array" aca="1" ref="AT107" ca="1">VLOOKUP($B107,KOMBI!$A:$ADS,MATCH(Tulem!AT$3,KOMBI!$A$1:$ADS$1,0),FALSE)</f>
        <v>#NUM!</v>
      </c>
      <c r="AU107" s="293" t="e">
        <f t="array" aca="1" ref="AU107" ca="1">VLOOKUP($B107,KOMBI!$A:$ADS,MATCH(Tulem!AU$3,KOMBI!$A$1:$ADS$1,0),FALSE)</f>
        <v>#NUM!</v>
      </c>
      <c r="AV107" s="293" t="e">
        <f t="shared" ca="1" si="4"/>
        <v>#NUM!</v>
      </c>
      <c r="AW107" s="293" t="e">
        <f t="shared" ca="1" si="5"/>
        <v>#NUM!</v>
      </c>
      <c r="AX107" s="291" t="e">
        <f ca="1">VLOOKUP($B107,KOMBI!$A:$ACA,MATCH(AX$5,KOMBI!$10:$10,0),FALSE)</f>
        <v>#NUM!</v>
      </c>
      <c r="AY107" s="292" t="e">
        <f t="array" aca="1" ref="AY107" ca="1">VLOOKUP($B107,KOMBI!$A:$ADS,MATCH(Tulem!AY$3,KOMBI!$A$1:$ADS$1,0),FALSE)</f>
        <v>#NUM!</v>
      </c>
      <c r="AZ107" s="292" t="e">
        <f t="array" aca="1" ref="AZ107" ca="1">VLOOKUP($B107,KOMBI!$A:$ADS,MATCH(Tulem!AZ$3,KOMBI!$A$1:$ADS$1,0),FALSE)</f>
        <v>#NUM!</v>
      </c>
      <c r="BA107" s="292" t="e">
        <f t="array" aca="1" ref="BA107" ca="1">VLOOKUP($B107,KOMBI!$A:$ADS,MATCH(Tulem!BA$3,KOMBI!$A$1:$ADS$1,0),FALSE)</f>
        <v>#NUM!</v>
      </c>
      <c r="BB107" s="292" t="e">
        <f t="array" aca="1" ref="BB107" ca="1">VLOOKUP($B107,KOMBI!$A:$ADS,MATCH(Tulem!BB$3,KOMBI!$A$1:$ADS$1,0),FALSE)</f>
        <v>#NUM!</v>
      </c>
      <c r="BC107" s="292" t="e">
        <f t="array" aca="1" ref="BC107" ca="1">VLOOKUP($B107,KOMBI!$A:$ADS,MATCH(Tulem!BC$3,KOMBI!$A$1:$ADS$1,0),FALSE)</f>
        <v>#NUM!</v>
      </c>
      <c r="BD107" s="292" t="e">
        <f t="array" aca="1" ref="BD107" ca="1">VLOOKUP($B107,KOMBI!$A:$ADS,MATCH(Tulem!BD$3,KOMBI!$A$1:$ADS$1,0),FALSE)</f>
        <v>#NUM!</v>
      </c>
      <c r="BE107" s="292" t="e">
        <f t="array" aca="1" ref="BE107" ca="1">VLOOKUP($B107,KOMBI!$A:$ADS,MATCH(Tulem!BE$3,KOMBI!$A$1:$ADS$1,0),FALSE)</f>
        <v>#NUM!</v>
      </c>
      <c r="BF107" s="292" t="e">
        <f t="array" aca="1" ref="BF107" ca="1">VLOOKUP($B107,KOMBI!$A:$ADS,MATCH(Tulem!BF$3,KOMBI!$A$1:$ADS$1,0),FALSE)</f>
        <v>#NUM!</v>
      </c>
      <c r="BG107" s="292" t="e">
        <f t="array" aca="1" ref="BG107" ca="1">VLOOKUP($B107,KOMBI!$A:$ADS,MATCH(Tulem!BG$3,KOMBI!$A$1:$ADS$1,0),FALSE)</f>
        <v>#NUM!</v>
      </c>
      <c r="BH107" s="292" t="e">
        <f t="array" aca="1" ref="BH107" ca="1">VLOOKUP($B107,KOMBI!$A:$ADS,MATCH(Tulem!BH$3,KOMBI!$A$1:$ADS$1,0),FALSE)</f>
        <v>#NUM!</v>
      </c>
      <c r="BI107" s="292" t="e">
        <f t="array" aca="1" ref="BI107" ca="1">VLOOKUP($B107,KOMBI!$A:$ADS,MATCH(Tulem!BI$3,KOMBI!$A$1:$ADS$1,0),FALSE)</f>
        <v>#NUM!</v>
      </c>
      <c r="BJ107" s="292" t="e">
        <f t="array" aca="1" ref="BJ107" ca="1">VLOOKUP($B107,KOMBI!$A:$ADS,MATCH(Tulem!BJ$3,KOMBI!$A$1:$ADS$1,0),FALSE)</f>
        <v>#NUM!</v>
      </c>
      <c r="BK107" s="292" t="e">
        <f t="array" aca="1" ref="BK107" ca="1">VLOOKUP($B107,KOMBI!$A:$ADS,MATCH(Tulem!BK$3,KOMBI!$A$1:$ADS$1,0),FALSE)</f>
        <v>#NUM!</v>
      </c>
      <c r="BL107" s="292" t="e">
        <f t="array" aca="1" ref="BL107" ca="1">VLOOKUP($B107,KOMBI!$A:$ADS,MATCH(Tulem!BL$3,KOMBI!$A$1:$ADS$1,0),FALSE)</f>
        <v>#NUM!</v>
      </c>
      <c r="BM107" s="292" t="e">
        <f t="array" aca="1" ref="BM107" ca="1">VLOOKUP($B107,KOMBI!$A:$ADS,MATCH(Tulem!BM$3,KOMBI!$A$1:$ADS$1,0),FALSE)</f>
        <v>#NUM!</v>
      </c>
      <c r="BN107" s="292" t="e">
        <f t="array" aca="1" ref="BN107" ca="1">VLOOKUP($B107,KOMBI!$A:$ADS,MATCH(Tulem!BN$3,KOMBI!$A$1:$ADS$1,0),FALSE)</f>
        <v>#NUM!</v>
      </c>
      <c r="BO107" s="292" t="e">
        <f t="array" aca="1" ref="BO107" ca="1">VLOOKUP($B107,KOMBI!$A:$ADS,MATCH(Tulem!BO$3,KOMBI!$A$1:$ADS$1,0),FALSE)</f>
        <v>#NUM!</v>
      </c>
      <c r="BP107" s="291"/>
      <c r="BQ107" s="292" t="e">
        <f t="array" aca="1" ref="BQ107" ca="1">VLOOKUP($B107,KOMBI!$A:$ADS,MATCH(Tulem!BQ$3,KOMBI!$A$1:$ADS$1,0),FALSE)</f>
        <v>#NUM!</v>
      </c>
      <c r="BR107" s="292" t="e">
        <f t="array" aca="1" ref="BR107" ca="1">VLOOKUP($B107,KOMBI!$A:$ADS,MATCH(Tulem!BR$3,KOMBI!$A$1:$ADS$1,0),FALSE)</f>
        <v>#NUM!</v>
      </c>
      <c r="BS107" s="292" t="e">
        <f t="array" aca="1" ref="BS107" ca="1">VLOOKUP($B107,KOMBI!$A:$ADS,MATCH(Tulem!BS$3,KOMBI!$A$1:$ADS$1,0),FALSE)</f>
        <v>#NUM!</v>
      </c>
      <c r="BT107" s="292" t="e">
        <f t="array" aca="1" ref="BT107" ca="1">VLOOKUP($B107,KOMBI!$A:$ADS,MATCH(Tulem!BT$3,KOMBI!$A$1:$ADS$1,0),FALSE)</f>
        <v>#NUM!</v>
      </c>
      <c r="BU107" s="292" t="e">
        <f t="array" aca="1" ref="BU107" ca="1">VLOOKUP($B107,KOMBI!$A:$ADS,MATCH(Tulem!BU$3,KOMBI!$A$1:$ADS$1,0),FALSE)</f>
        <v>#NUM!</v>
      </c>
      <c r="BV107" s="291"/>
      <c r="BW107" s="292" t="e">
        <f t="array" aca="1" ref="BW107" ca="1">VLOOKUP($B107,KOMBI!$A:$ADS,MATCH(Tulem!BW$3,KOMBI!$A$1:$ADS$1,0),FALSE)</f>
        <v>#NUM!</v>
      </c>
      <c r="BX107" s="291"/>
      <c r="BY107" s="291"/>
      <c r="BZ107" s="292" t="e">
        <f t="array" aca="1" ref="BZ107" ca="1">VLOOKUP($B107,KOMBI!$A:$ADS,MATCH(Tulem!BZ$3,KOMBI!$A$1:$ADS$1,0),FALSE)</f>
        <v>#NUM!</v>
      </c>
      <c r="CA107" s="292" t="e">
        <f t="array" aca="1" ref="CA107" ca="1">VLOOKUP($B107,KOMBI!$A:$ADS,MATCH(Tulem!CA$3,KOMBI!$A$1:$ADS$1,0),FALSE)</f>
        <v>#NUM!</v>
      </c>
      <c r="CB107" s="292" t="e">
        <f t="array" aca="1" ref="CB107" ca="1">VLOOKUP($B107,KOMBI!$A:$ADS,MATCH(Tulem!CB$3,KOMBI!$A$1:$ADS$1,0),FALSE)</f>
        <v>#NUM!</v>
      </c>
      <c r="CC107" s="292" t="e">
        <f t="array" aca="1" ref="CC107" ca="1">VLOOKUP($B107,KOMBI!$A:$ADS,MATCH(Tulem!CC$3,KOMBI!$A$1:$ADS$1,0),FALSE)</f>
        <v>#NUM!</v>
      </c>
      <c r="CD107" s="292" t="e">
        <f t="array" aca="1" ref="CD107" ca="1">VLOOKUP($B107,KOMBI!$A:$ADS,MATCH(Tulem!CD$3,KOMBI!$A$1:$ADS$1,0),FALSE)</f>
        <v>#NUM!</v>
      </c>
      <c r="CF107" s="51" t="e">
        <f ca="1">VLOOKUP($B107,KOMBI!$A:$ACG,MATCH(CF$5,KOMBI!$10:$10,0),FALSE)</f>
        <v>#NUM!</v>
      </c>
    </row>
    <row r="108" spans="1:84" x14ac:dyDescent="0.2">
      <c r="A108" s="51">
        <v>103</v>
      </c>
      <c r="B108" s="51" t="e">
        <f ca="1">KOMBI!GI113</f>
        <v>#NUM!</v>
      </c>
      <c r="C108" s="51">
        <f t="shared" si="3"/>
        <v>103</v>
      </c>
      <c r="D108" s="290" t="e">
        <f ca="1">VLOOKUP(VLOOKUP($B108,KOMBI!$A:$H,3,FALSE),data!$I$27:$J$29,2,FALSE)</f>
        <v>#NUM!</v>
      </c>
      <c r="E108" s="290" t="e">
        <f ca="1">VLOOKUP(VLOOKUP($B108,KOMBI!$A:$H,2,FALSE),data!$I$21:$J$23,2,FALSE)</f>
        <v>#NUM!</v>
      </c>
      <c r="F108" s="290" t="e">
        <f ca="1">VLOOKUP(VLOOKUP($B108,KOMBI!$A:$H,5,FALSE),data!$I$39:$J$41,2,FALSE)</f>
        <v>#NUM!</v>
      </c>
      <c r="G108" s="290" t="e">
        <f ca="1">VLOOKUP(VLOOKUP($B108,KOMBI!$A:$H,4,FALSE),data!$I$32:$J$36,2,FALSE)</f>
        <v>#NUM!</v>
      </c>
      <c r="I108" s="51" t="e">
        <f ca="1">VLOOKUP($B108,KOMBI!$A:$Z,MATCH(I$5,KOMBI!$10:$10,0),FALSE)</f>
        <v>#NUM!</v>
      </c>
      <c r="J108" s="291" t="e">
        <f ca="1">VLOOKUP($B108,KOMBI!$A:$ADS,J$3,FALSE)</f>
        <v>#NUM!</v>
      </c>
      <c r="K108" s="291" t="e">
        <f ca="1">VLOOKUP($B108,KOMBI!$A:$ADS,K$3,FALSE)</f>
        <v>#NUM!</v>
      </c>
      <c r="L108" s="291" t="e">
        <f ca="1">VLOOKUP($B108,KOMBI!$A:$ADS,L$3,FALSE)</f>
        <v>#NUM!</v>
      </c>
      <c r="M108" s="291" t="e">
        <f ca="1">VLOOKUP($B108,KOMBI!$A:$ADS,M$3,FALSE)</f>
        <v>#NUM!</v>
      </c>
      <c r="N108" s="291" t="e">
        <f ca="1">VLOOKUP($B108,KOMBI!$A:$ADS,N$3,FALSE)</f>
        <v>#NUM!</v>
      </c>
      <c r="O108" s="291" t="e">
        <f ca="1">VLOOKUP($B108,KOMBI!$A:$ADS,O$3,FALSE)</f>
        <v>#NUM!</v>
      </c>
      <c r="P108" s="291" t="e">
        <f ca="1">VLOOKUP($B108,KOMBI!$A:$ADS,P$3,FALSE)</f>
        <v>#NUM!</v>
      </c>
      <c r="Q108" s="292" t="e">
        <f t="array" aca="1" ref="Q108" ca="1">VLOOKUP($B108,KOMBI!$A:$ADS,MATCH(Tulem!Q$3,KOMBI!$A$1:$ADS$1,0),FALSE)</f>
        <v>#NUM!</v>
      </c>
      <c r="S108" s="332" t="e">
        <f t="array" aca="1" ref="S108" ca="1">VLOOKUP($B108,KOMBI!$A:$ADS,MATCH(Tulem!S$3,KOMBI!$A$1:$ADS$1,0),FALSE)</f>
        <v>#NUM!</v>
      </c>
      <c r="T108" s="293" t="e">
        <f ca="1">VLOOKUP($B108,KOMBI!$A:$ADS,T$3,FALSE)</f>
        <v>#NUM!</v>
      </c>
      <c r="U108" s="293" t="e">
        <f ca="1">VLOOKUP($B108,KOMBI!$A:$ADS,U$3,FALSE)</f>
        <v>#NUM!</v>
      </c>
      <c r="V108" s="293" t="e">
        <f ca="1">VLOOKUP($B108,KOMBI!$A:$ADS,V$3,FALSE)</f>
        <v>#NUM!</v>
      </c>
      <c r="W108" s="293"/>
      <c r="X108" s="293" t="e">
        <f ca="1">VLOOKUP($B108,KOMBI!$A:$ADS,X$3,FALSE)</f>
        <v>#NUM!</v>
      </c>
      <c r="Y108" s="293" t="e">
        <f ca="1">VLOOKUP($B108,KOMBI!$A:$ADS,Y$3,FALSE)</f>
        <v>#NUM!</v>
      </c>
      <c r="Z108" s="293" t="e">
        <f ca="1">VLOOKUP($B108,KOMBI!$A:$ADS,Z$3,FALSE)</f>
        <v>#NUM!</v>
      </c>
      <c r="AA108" s="294"/>
      <c r="AB108" s="293" t="e">
        <f ca="1">VLOOKUP($B108,KOMBI!$A:$ADS,AB$3,FALSE)</f>
        <v>#NUM!</v>
      </c>
      <c r="AC108" s="293" t="e">
        <f ca="1">VLOOKUP($B108,KOMBI!$A:$ADS,AC$3,FALSE)-AB108</f>
        <v>#NUM!</v>
      </c>
      <c r="AD108" s="293" t="e">
        <f ca="1">VLOOKUP($B108,KOMBI!$A:$ADS,AD$3,FALSE)</f>
        <v>#NUM!</v>
      </c>
      <c r="AE108" s="293" t="e">
        <f ca="1">VLOOKUP($B108,KOMBI!$A:$ADS,AE$3,FALSE)</f>
        <v>#NUM!</v>
      </c>
      <c r="AF108" s="293" t="e">
        <f ca="1">VLOOKUP($B108,KOMBI!$A:$ADS,AF$3,FALSE)-AE108</f>
        <v>#NUM!</v>
      </c>
      <c r="AG108" s="293" t="e">
        <f ca="1">VLOOKUP($B108,KOMBI!$A:$ADS,AG$3,FALSE)</f>
        <v>#NUM!</v>
      </c>
      <c r="AI108" s="293" t="e">
        <f t="array" aca="1" ref="AI108" ca="1">VLOOKUP($B108,KOMBI!$A:$ADS,MATCH(Tulem!AI$3,KOMBI!$A$1:$ADS$1,0),FALSE)</f>
        <v>#NUM!</v>
      </c>
      <c r="AJ108" s="293" t="e">
        <f t="array" aca="1" ref="AJ108" ca="1">VLOOKUP($B108,KOMBI!$A:$ADS,MATCH(Tulem!AJ$3,KOMBI!$A$1:$ADS$1,0),FALSE)</f>
        <v>#NUM!</v>
      </c>
      <c r="AK108" s="293" t="e">
        <f t="array" aca="1" ref="AK108" ca="1">VLOOKUP($B108,KOMBI!$A:$ADS,MATCH(Tulem!AK$3,KOMBI!$A$1:$ADS$1,0),FALSE)</f>
        <v>#NUM!</v>
      </c>
      <c r="AL108" s="293" t="e">
        <f t="array" aca="1" ref="AL108" ca="1">VLOOKUP($B108,KOMBI!$A:$ADS,MATCH(Tulem!AL$3,KOMBI!$A$1:$ADS$1,0),FALSE)</f>
        <v>#NUM!</v>
      </c>
      <c r="AM108" s="293" t="e">
        <f t="array" aca="1" ref="AM108" ca="1">VLOOKUP($B108,KOMBI!$A:$ADS,MATCH(Tulem!AM$3,KOMBI!$A$1:$ADS$1,0),FALSE)</f>
        <v>#NUM!</v>
      </c>
      <c r="AN108" s="293" t="e">
        <f t="array" aca="1" ref="AN108" ca="1">VLOOKUP($B108,KOMBI!$A:$ADS,MATCH(Tulem!AN$3,KOMBI!$A$1:$ADS$1,0),FALSE)</f>
        <v>#NUM!</v>
      </c>
      <c r="AO108" s="293" t="e">
        <f t="array" aca="1" ref="AO108" ca="1">VLOOKUP($B108,KOMBI!$A:$ADS,MATCH(Tulem!AO$3,KOMBI!$A$1:$ADS$1,0),FALSE)</f>
        <v>#NUM!</v>
      </c>
      <c r="AP108" s="293" t="e">
        <f t="array" aca="1" ref="AP108" ca="1">VLOOKUP($B108,KOMBI!$A:$ADS,MATCH(Tulem!AP$3,KOMBI!$A$1:$ADS$1,0),FALSE)</f>
        <v>#NUM!</v>
      </c>
      <c r="AQ108" s="293" t="e">
        <f t="array" aca="1" ref="AQ108" ca="1">VLOOKUP($B108,KOMBI!$A:$ADS,MATCH(Tulem!AQ$3,KOMBI!$A$1:$ADS$1,0),FALSE)</f>
        <v>#NUM!</v>
      </c>
      <c r="AR108" s="293" t="e">
        <f t="array" aca="1" ref="AR108" ca="1">VLOOKUP($B108,KOMBI!$A:$ADS,MATCH(Tulem!AR$3,KOMBI!$A$1:$ADS$1,0),FALSE)</f>
        <v>#NUM!</v>
      </c>
      <c r="AS108" s="293" t="e">
        <f t="array" aca="1" ref="AS108" ca="1">VLOOKUP($B108,KOMBI!$A:$ADS,MATCH(Tulem!AS$3,KOMBI!$A$1:$ADS$1,0),FALSE)</f>
        <v>#NUM!</v>
      </c>
      <c r="AT108" s="293" t="e">
        <f t="array" aca="1" ref="AT108" ca="1">VLOOKUP($B108,KOMBI!$A:$ADS,MATCH(Tulem!AT$3,KOMBI!$A$1:$ADS$1,0),FALSE)</f>
        <v>#NUM!</v>
      </c>
      <c r="AU108" s="293" t="e">
        <f t="array" aca="1" ref="AU108" ca="1">VLOOKUP($B108,KOMBI!$A:$ADS,MATCH(Tulem!AU$3,KOMBI!$A$1:$ADS$1,0),FALSE)</f>
        <v>#NUM!</v>
      </c>
      <c r="AV108" s="293" t="e">
        <f t="shared" ca="1" si="4"/>
        <v>#NUM!</v>
      </c>
      <c r="AW108" s="293" t="e">
        <f t="shared" ca="1" si="5"/>
        <v>#NUM!</v>
      </c>
      <c r="AX108" s="291" t="e">
        <f ca="1">VLOOKUP($B108,KOMBI!$A:$ACA,MATCH(AX$5,KOMBI!$10:$10,0),FALSE)</f>
        <v>#NUM!</v>
      </c>
      <c r="AY108" s="292" t="e">
        <f t="array" aca="1" ref="AY108" ca="1">VLOOKUP($B108,KOMBI!$A:$ADS,MATCH(Tulem!AY$3,KOMBI!$A$1:$ADS$1,0),FALSE)</f>
        <v>#NUM!</v>
      </c>
      <c r="AZ108" s="292" t="e">
        <f t="array" aca="1" ref="AZ108" ca="1">VLOOKUP($B108,KOMBI!$A:$ADS,MATCH(Tulem!AZ$3,KOMBI!$A$1:$ADS$1,0),FALSE)</f>
        <v>#NUM!</v>
      </c>
      <c r="BA108" s="292" t="e">
        <f t="array" aca="1" ref="BA108" ca="1">VLOOKUP($B108,KOMBI!$A:$ADS,MATCH(Tulem!BA$3,KOMBI!$A$1:$ADS$1,0),FALSE)</f>
        <v>#NUM!</v>
      </c>
      <c r="BB108" s="292" t="e">
        <f t="array" aca="1" ref="BB108" ca="1">VLOOKUP($B108,KOMBI!$A:$ADS,MATCH(Tulem!BB$3,KOMBI!$A$1:$ADS$1,0),FALSE)</f>
        <v>#NUM!</v>
      </c>
      <c r="BC108" s="292" t="e">
        <f t="array" aca="1" ref="BC108" ca="1">VLOOKUP($B108,KOMBI!$A:$ADS,MATCH(Tulem!BC$3,KOMBI!$A$1:$ADS$1,0),FALSE)</f>
        <v>#NUM!</v>
      </c>
      <c r="BD108" s="292" t="e">
        <f t="array" aca="1" ref="BD108" ca="1">VLOOKUP($B108,KOMBI!$A:$ADS,MATCH(Tulem!BD$3,KOMBI!$A$1:$ADS$1,0),FALSE)</f>
        <v>#NUM!</v>
      </c>
      <c r="BE108" s="292" t="e">
        <f t="array" aca="1" ref="BE108" ca="1">VLOOKUP($B108,KOMBI!$A:$ADS,MATCH(Tulem!BE$3,KOMBI!$A$1:$ADS$1,0),FALSE)</f>
        <v>#NUM!</v>
      </c>
      <c r="BF108" s="292" t="e">
        <f t="array" aca="1" ref="BF108" ca="1">VLOOKUP($B108,KOMBI!$A:$ADS,MATCH(Tulem!BF$3,KOMBI!$A$1:$ADS$1,0),FALSE)</f>
        <v>#NUM!</v>
      </c>
      <c r="BG108" s="292" t="e">
        <f t="array" aca="1" ref="BG108" ca="1">VLOOKUP($B108,KOMBI!$A:$ADS,MATCH(Tulem!BG$3,KOMBI!$A$1:$ADS$1,0),FALSE)</f>
        <v>#NUM!</v>
      </c>
      <c r="BH108" s="292" t="e">
        <f t="array" aca="1" ref="BH108" ca="1">VLOOKUP($B108,KOMBI!$A:$ADS,MATCH(Tulem!BH$3,KOMBI!$A$1:$ADS$1,0),FALSE)</f>
        <v>#NUM!</v>
      </c>
      <c r="BI108" s="292" t="e">
        <f t="array" aca="1" ref="BI108" ca="1">VLOOKUP($B108,KOMBI!$A:$ADS,MATCH(Tulem!BI$3,KOMBI!$A$1:$ADS$1,0),FALSE)</f>
        <v>#NUM!</v>
      </c>
      <c r="BJ108" s="292" t="e">
        <f t="array" aca="1" ref="BJ108" ca="1">VLOOKUP($B108,KOMBI!$A:$ADS,MATCH(Tulem!BJ$3,KOMBI!$A$1:$ADS$1,0),FALSE)</f>
        <v>#NUM!</v>
      </c>
      <c r="BK108" s="292" t="e">
        <f t="array" aca="1" ref="BK108" ca="1">VLOOKUP($B108,KOMBI!$A:$ADS,MATCH(Tulem!BK$3,KOMBI!$A$1:$ADS$1,0),FALSE)</f>
        <v>#NUM!</v>
      </c>
      <c r="BL108" s="292" t="e">
        <f t="array" aca="1" ref="BL108" ca="1">VLOOKUP($B108,KOMBI!$A:$ADS,MATCH(Tulem!BL$3,KOMBI!$A$1:$ADS$1,0),FALSE)</f>
        <v>#NUM!</v>
      </c>
      <c r="BM108" s="292" t="e">
        <f t="array" aca="1" ref="BM108" ca="1">VLOOKUP($B108,KOMBI!$A:$ADS,MATCH(Tulem!BM$3,KOMBI!$A$1:$ADS$1,0),FALSE)</f>
        <v>#NUM!</v>
      </c>
      <c r="BN108" s="292" t="e">
        <f t="array" aca="1" ref="BN108" ca="1">VLOOKUP($B108,KOMBI!$A:$ADS,MATCH(Tulem!BN$3,KOMBI!$A$1:$ADS$1,0),FALSE)</f>
        <v>#NUM!</v>
      </c>
      <c r="BO108" s="292" t="e">
        <f t="array" aca="1" ref="BO108" ca="1">VLOOKUP($B108,KOMBI!$A:$ADS,MATCH(Tulem!BO$3,KOMBI!$A$1:$ADS$1,0),FALSE)</f>
        <v>#NUM!</v>
      </c>
      <c r="BP108" s="291"/>
      <c r="BQ108" s="292" t="e">
        <f t="array" aca="1" ref="BQ108" ca="1">VLOOKUP($B108,KOMBI!$A:$ADS,MATCH(Tulem!BQ$3,KOMBI!$A$1:$ADS$1,0),FALSE)</f>
        <v>#NUM!</v>
      </c>
      <c r="BR108" s="292" t="e">
        <f t="array" aca="1" ref="BR108" ca="1">VLOOKUP($B108,KOMBI!$A:$ADS,MATCH(Tulem!BR$3,KOMBI!$A$1:$ADS$1,0),FALSE)</f>
        <v>#NUM!</v>
      </c>
      <c r="BS108" s="292" t="e">
        <f t="array" aca="1" ref="BS108" ca="1">VLOOKUP($B108,KOMBI!$A:$ADS,MATCH(Tulem!BS$3,KOMBI!$A$1:$ADS$1,0),FALSE)</f>
        <v>#NUM!</v>
      </c>
      <c r="BT108" s="292" t="e">
        <f t="array" aca="1" ref="BT108" ca="1">VLOOKUP($B108,KOMBI!$A:$ADS,MATCH(Tulem!BT$3,KOMBI!$A$1:$ADS$1,0),FALSE)</f>
        <v>#NUM!</v>
      </c>
      <c r="BU108" s="292" t="e">
        <f t="array" aca="1" ref="BU108" ca="1">VLOOKUP($B108,KOMBI!$A:$ADS,MATCH(Tulem!BU$3,KOMBI!$A$1:$ADS$1,0),FALSE)</f>
        <v>#NUM!</v>
      </c>
      <c r="BV108" s="291"/>
      <c r="BW108" s="292" t="e">
        <f t="array" aca="1" ref="BW108" ca="1">VLOOKUP($B108,KOMBI!$A:$ADS,MATCH(Tulem!BW$3,KOMBI!$A$1:$ADS$1,0),FALSE)</f>
        <v>#NUM!</v>
      </c>
      <c r="BX108" s="291"/>
      <c r="BY108" s="291"/>
      <c r="BZ108" s="292" t="e">
        <f t="array" aca="1" ref="BZ108" ca="1">VLOOKUP($B108,KOMBI!$A:$ADS,MATCH(Tulem!BZ$3,KOMBI!$A$1:$ADS$1,0),FALSE)</f>
        <v>#NUM!</v>
      </c>
      <c r="CA108" s="292" t="e">
        <f t="array" aca="1" ref="CA108" ca="1">VLOOKUP($B108,KOMBI!$A:$ADS,MATCH(Tulem!CA$3,KOMBI!$A$1:$ADS$1,0),FALSE)</f>
        <v>#NUM!</v>
      </c>
      <c r="CB108" s="292" t="e">
        <f t="array" aca="1" ref="CB108" ca="1">VLOOKUP($B108,KOMBI!$A:$ADS,MATCH(Tulem!CB$3,KOMBI!$A$1:$ADS$1,0),FALSE)</f>
        <v>#NUM!</v>
      </c>
      <c r="CC108" s="292" t="e">
        <f t="array" aca="1" ref="CC108" ca="1">VLOOKUP($B108,KOMBI!$A:$ADS,MATCH(Tulem!CC$3,KOMBI!$A$1:$ADS$1,0),FALSE)</f>
        <v>#NUM!</v>
      </c>
      <c r="CD108" s="292" t="e">
        <f t="array" aca="1" ref="CD108" ca="1">VLOOKUP($B108,KOMBI!$A:$ADS,MATCH(Tulem!CD$3,KOMBI!$A$1:$ADS$1,0),FALSE)</f>
        <v>#NUM!</v>
      </c>
      <c r="CF108" s="51" t="e">
        <f ca="1">VLOOKUP($B108,KOMBI!$A:$ACG,MATCH(CF$5,KOMBI!$10:$10,0),FALSE)</f>
        <v>#NUM!</v>
      </c>
    </row>
    <row r="109" spans="1:84" x14ac:dyDescent="0.2">
      <c r="A109" s="51">
        <v>104</v>
      </c>
      <c r="B109" s="51" t="e">
        <f ca="1">KOMBI!GI114</f>
        <v>#NUM!</v>
      </c>
      <c r="C109" s="51">
        <f t="shared" si="3"/>
        <v>104</v>
      </c>
      <c r="D109" s="290" t="e">
        <f ca="1">VLOOKUP(VLOOKUP($B109,KOMBI!$A:$H,3,FALSE),data!$I$27:$J$29,2,FALSE)</f>
        <v>#NUM!</v>
      </c>
      <c r="E109" s="290" t="e">
        <f ca="1">VLOOKUP(VLOOKUP($B109,KOMBI!$A:$H,2,FALSE),data!$I$21:$J$23,2,FALSE)</f>
        <v>#NUM!</v>
      </c>
      <c r="F109" s="290" t="e">
        <f ca="1">VLOOKUP(VLOOKUP($B109,KOMBI!$A:$H,5,FALSE),data!$I$39:$J$41,2,FALSE)</f>
        <v>#NUM!</v>
      </c>
      <c r="G109" s="290" t="e">
        <f ca="1">VLOOKUP(VLOOKUP($B109,KOMBI!$A:$H,4,FALSE),data!$I$32:$J$36,2,FALSE)</f>
        <v>#NUM!</v>
      </c>
      <c r="I109" s="51" t="e">
        <f ca="1">VLOOKUP($B109,KOMBI!$A:$Z,MATCH(I$5,KOMBI!$10:$10,0),FALSE)</f>
        <v>#NUM!</v>
      </c>
      <c r="J109" s="291" t="e">
        <f ca="1">VLOOKUP($B109,KOMBI!$A:$ADS,J$3,FALSE)</f>
        <v>#NUM!</v>
      </c>
      <c r="K109" s="291" t="e">
        <f ca="1">VLOOKUP($B109,KOMBI!$A:$ADS,K$3,FALSE)</f>
        <v>#NUM!</v>
      </c>
      <c r="L109" s="291" t="e">
        <f ca="1">VLOOKUP($B109,KOMBI!$A:$ADS,L$3,FALSE)</f>
        <v>#NUM!</v>
      </c>
      <c r="M109" s="291" t="e">
        <f ca="1">VLOOKUP($B109,KOMBI!$A:$ADS,M$3,FALSE)</f>
        <v>#NUM!</v>
      </c>
      <c r="N109" s="291" t="e">
        <f ca="1">VLOOKUP($B109,KOMBI!$A:$ADS,N$3,FALSE)</f>
        <v>#NUM!</v>
      </c>
      <c r="O109" s="291" t="e">
        <f ca="1">VLOOKUP($B109,KOMBI!$A:$ADS,O$3,FALSE)</f>
        <v>#NUM!</v>
      </c>
      <c r="P109" s="291" t="e">
        <f ca="1">VLOOKUP($B109,KOMBI!$A:$ADS,P$3,FALSE)</f>
        <v>#NUM!</v>
      </c>
      <c r="Q109" s="292" t="e">
        <f t="array" aca="1" ref="Q109" ca="1">VLOOKUP($B109,KOMBI!$A:$ADS,MATCH(Tulem!Q$3,KOMBI!$A$1:$ADS$1,0),FALSE)</f>
        <v>#NUM!</v>
      </c>
      <c r="S109" s="332" t="e">
        <f t="array" aca="1" ref="S109" ca="1">VLOOKUP($B109,KOMBI!$A:$ADS,MATCH(Tulem!S$3,KOMBI!$A$1:$ADS$1,0),FALSE)</f>
        <v>#NUM!</v>
      </c>
      <c r="T109" s="293" t="e">
        <f ca="1">VLOOKUP($B109,KOMBI!$A:$ADS,T$3,FALSE)</f>
        <v>#NUM!</v>
      </c>
      <c r="U109" s="293" t="e">
        <f ca="1">VLOOKUP($B109,KOMBI!$A:$ADS,U$3,FALSE)</f>
        <v>#NUM!</v>
      </c>
      <c r="V109" s="293" t="e">
        <f ca="1">VLOOKUP($B109,KOMBI!$A:$ADS,V$3,FALSE)</f>
        <v>#NUM!</v>
      </c>
      <c r="W109" s="293"/>
      <c r="X109" s="293" t="e">
        <f ca="1">VLOOKUP($B109,KOMBI!$A:$ADS,X$3,FALSE)</f>
        <v>#NUM!</v>
      </c>
      <c r="Y109" s="293" t="e">
        <f ca="1">VLOOKUP($B109,KOMBI!$A:$ADS,Y$3,FALSE)</f>
        <v>#NUM!</v>
      </c>
      <c r="Z109" s="293" t="e">
        <f ca="1">VLOOKUP($B109,KOMBI!$A:$ADS,Z$3,FALSE)</f>
        <v>#NUM!</v>
      </c>
      <c r="AA109" s="294"/>
      <c r="AB109" s="293" t="e">
        <f ca="1">VLOOKUP($B109,KOMBI!$A:$ADS,AB$3,FALSE)</f>
        <v>#NUM!</v>
      </c>
      <c r="AC109" s="293" t="e">
        <f ca="1">VLOOKUP($B109,KOMBI!$A:$ADS,AC$3,FALSE)-AB109</f>
        <v>#NUM!</v>
      </c>
      <c r="AD109" s="293" t="e">
        <f ca="1">VLOOKUP($B109,KOMBI!$A:$ADS,AD$3,FALSE)</f>
        <v>#NUM!</v>
      </c>
      <c r="AE109" s="293" t="e">
        <f ca="1">VLOOKUP($B109,KOMBI!$A:$ADS,AE$3,FALSE)</f>
        <v>#NUM!</v>
      </c>
      <c r="AF109" s="293" t="e">
        <f ca="1">VLOOKUP($B109,KOMBI!$A:$ADS,AF$3,FALSE)-AE109</f>
        <v>#NUM!</v>
      </c>
      <c r="AG109" s="293" t="e">
        <f ca="1">VLOOKUP($B109,KOMBI!$A:$ADS,AG$3,FALSE)</f>
        <v>#NUM!</v>
      </c>
      <c r="AI109" s="293" t="e">
        <f t="array" aca="1" ref="AI109" ca="1">VLOOKUP($B109,KOMBI!$A:$ADS,MATCH(Tulem!AI$3,KOMBI!$A$1:$ADS$1,0),FALSE)</f>
        <v>#NUM!</v>
      </c>
      <c r="AJ109" s="293" t="e">
        <f t="array" aca="1" ref="AJ109" ca="1">VLOOKUP($B109,KOMBI!$A:$ADS,MATCH(Tulem!AJ$3,KOMBI!$A$1:$ADS$1,0),FALSE)</f>
        <v>#NUM!</v>
      </c>
      <c r="AK109" s="293" t="e">
        <f t="array" aca="1" ref="AK109" ca="1">VLOOKUP($B109,KOMBI!$A:$ADS,MATCH(Tulem!AK$3,KOMBI!$A$1:$ADS$1,0),FALSE)</f>
        <v>#NUM!</v>
      </c>
      <c r="AL109" s="293" t="e">
        <f t="array" aca="1" ref="AL109" ca="1">VLOOKUP($B109,KOMBI!$A:$ADS,MATCH(Tulem!AL$3,KOMBI!$A$1:$ADS$1,0),FALSE)</f>
        <v>#NUM!</v>
      </c>
      <c r="AM109" s="293" t="e">
        <f t="array" aca="1" ref="AM109" ca="1">VLOOKUP($B109,KOMBI!$A:$ADS,MATCH(Tulem!AM$3,KOMBI!$A$1:$ADS$1,0),FALSE)</f>
        <v>#NUM!</v>
      </c>
      <c r="AN109" s="293" t="e">
        <f t="array" aca="1" ref="AN109" ca="1">VLOOKUP($B109,KOMBI!$A:$ADS,MATCH(Tulem!AN$3,KOMBI!$A$1:$ADS$1,0),FALSE)</f>
        <v>#NUM!</v>
      </c>
      <c r="AO109" s="293" t="e">
        <f t="array" aca="1" ref="AO109" ca="1">VLOOKUP($B109,KOMBI!$A:$ADS,MATCH(Tulem!AO$3,KOMBI!$A$1:$ADS$1,0),FALSE)</f>
        <v>#NUM!</v>
      </c>
      <c r="AP109" s="293" t="e">
        <f t="array" aca="1" ref="AP109" ca="1">VLOOKUP($B109,KOMBI!$A:$ADS,MATCH(Tulem!AP$3,KOMBI!$A$1:$ADS$1,0),FALSE)</f>
        <v>#NUM!</v>
      </c>
      <c r="AQ109" s="293" t="e">
        <f t="array" aca="1" ref="AQ109" ca="1">VLOOKUP($B109,KOMBI!$A:$ADS,MATCH(Tulem!AQ$3,KOMBI!$A$1:$ADS$1,0),FALSE)</f>
        <v>#NUM!</v>
      </c>
      <c r="AR109" s="293" t="e">
        <f t="array" aca="1" ref="AR109" ca="1">VLOOKUP($B109,KOMBI!$A:$ADS,MATCH(Tulem!AR$3,KOMBI!$A$1:$ADS$1,0),FALSE)</f>
        <v>#NUM!</v>
      </c>
      <c r="AS109" s="293" t="e">
        <f t="array" aca="1" ref="AS109" ca="1">VLOOKUP($B109,KOMBI!$A:$ADS,MATCH(Tulem!AS$3,KOMBI!$A$1:$ADS$1,0),FALSE)</f>
        <v>#NUM!</v>
      </c>
      <c r="AT109" s="293" t="e">
        <f t="array" aca="1" ref="AT109" ca="1">VLOOKUP($B109,KOMBI!$A:$ADS,MATCH(Tulem!AT$3,KOMBI!$A$1:$ADS$1,0),FALSE)</f>
        <v>#NUM!</v>
      </c>
      <c r="AU109" s="293" t="e">
        <f t="array" aca="1" ref="AU109" ca="1">VLOOKUP($B109,KOMBI!$A:$ADS,MATCH(Tulem!AU$3,KOMBI!$A$1:$ADS$1,0),FALSE)</f>
        <v>#NUM!</v>
      </c>
      <c r="AV109" s="293" t="e">
        <f t="shared" ca="1" si="4"/>
        <v>#NUM!</v>
      </c>
      <c r="AW109" s="293" t="e">
        <f t="shared" ca="1" si="5"/>
        <v>#NUM!</v>
      </c>
      <c r="AX109" s="291" t="e">
        <f ca="1">VLOOKUP($B109,KOMBI!$A:$ACA,MATCH(AX$5,KOMBI!$10:$10,0),FALSE)</f>
        <v>#NUM!</v>
      </c>
      <c r="AY109" s="292" t="e">
        <f t="array" aca="1" ref="AY109" ca="1">VLOOKUP($B109,KOMBI!$A:$ADS,MATCH(Tulem!AY$3,KOMBI!$A$1:$ADS$1,0),FALSE)</f>
        <v>#NUM!</v>
      </c>
      <c r="AZ109" s="292" t="e">
        <f t="array" aca="1" ref="AZ109" ca="1">VLOOKUP($B109,KOMBI!$A:$ADS,MATCH(Tulem!AZ$3,KOMBI!$A$1:$ADS$1,0),FALSE)</f>
        <v>#NUM!</v>
      </c>
      <c r="BA109" s="292" t="e">
        <f t="array" aca="1" ref="BA109" ca="1">VLOOKUP($B109,KOMBI!$A:$ADS,MATCH(Tulem!BA$3,KOMBI!$A$1:$ADS$1,0),FALSE)</f>
        <v>#NUM!</v>
      </c>
      <c r="BB109" s="292" t="e">
        <f t="array" aca="1" ref="BB109" ca="1">VLOOKUP($B109,KOMBI!$A:$ADS,MATCH(Tulem!BB$3,KOMBI!$A$1:$ADS$1,0),FALSE)</f>
        <v>#NUM!</v>
      </c>
      <c r="BC109" s="292" t="e">
        <f t="array" aca="1" ref="BC109" ca="1">VLOOKUP($B109,KOMBI!$A:$ADS,MATCH(Tulem!BC$3,KOMBI!$A$1:$ADS$1,0),FALSE)</f>
        <v>#NUM!</v>
      </c>
      <c r="BD109" s="292" t="e">
        <f t="array" aca="1" ref="BD109" ca="1">VLOOKUP($B109,KOMBI!$A:$ADS,MATCH(Tulem!BD$3,KOMBI!$A$1:$ADS$1,0),FALSE)</f>
        <v>#NUM!</v>
      </c>
      <c r="BE109" s="292" t="e">
        <f t="array" aca="1" ref="BE109" ca="1">VLOOKUP($B109,KOMBI!$A:$ADS,MATCH(Tulem!BE$3,KOMBI!$A$1:$ADS$1,0),FALSE)</f>
        <v>#NUM!</v>
      </c>
      <c r="BF109" s="292" t="e">
        <f t="array" aca="1" ref="BF109" ca="1">VLOOKUP($B109,KOMBI!$A:$ADS,MATCH(Tulem!BF$3,KOMBI!$A$1:$ADS$1,0),FALSE)</f>
        <v>#NUM!</v>
      </c>
      <c r="BG109" s="292" t="e">
        <f t="array" aca="1" ref="BG109" ca="1">VLOOKUP($B109,KOMBI!$A:$ADS,MATCH(Tulem!BG$3,KOMBI!$A$1:$ADS$1,0),FALSE)</f>
        <v>#NUM!</v>
      </c>
      <c r="BH109" s="292" t="e">
        <f t="array" aca="1" ref="BH109" ca="1">VLOOKUP($B109,KOMBI!$A:$ADS,MATCH(Tulem!BH$3,KOMBI!$A$1:$ADS$1,0),FALSE)</f>
        <v>#NUM!</v>
      </c>
      <c r="BI109" s="292" t="e">
        <f t="array" aca="1" ref="BI109" ca="1">VLOOKUP($B109,KOMBI!$A:$ADS,MATCH(Tulem!BI$3,KOMBI!$A$1:$ADS$1,0),FALSE)</f>
        <v>#NUM!</v>
      </c>
      <c r="BJ109" s="292" t="e">
        <f t="array" aca="1" ref="BJ109" ca="1">VLOOKUP($B109,KOMBI!$A:$ADS,MATCH(Tulem!BJ$3,KOMBI!$A$1:$ADS$1,0),FALSE)</f>
        <v>#NUM!</v>
      </c>
      <c r="BK109" s="292" t="e">
        <f t="array" aca="1" ref="BK109" ca="1">VLOOKUP($B109,KOMBI!$A:$ADS,MATCH(Tulem!BK$3,KOMBI!$A$1:$ADS$1,0),FALSE)</f>
        <v>#NUM!</v>
      </c>
      <c r="BL109" s="292" t="e">
        <f t="array" aca="1" ref="BL109" ca="1">VLOOKUP($B109,KOMBI!$A:$ADS,MATCH(Tulem!BL$3,KOMBI!$A$1:$ADS$1,0),FALSE)</f>
        <v>#NUM!</v>
      </c>
      <c r="BM109" s="292" t="e">
        <f t="array" aca="1" ref="BM109" ca="1">VLOOKUP($B109,KOMBI!$A:$ADS,MATCH(Tulem!BM$3,KOMBI!$A$1:$ADS$1,0),FALSE)</f>
        <v>#NUM!</v>
      </c>
      <c r="BN109" s="292" t="e">
        <f t="array" aca="1" ref="BN109" ca="1">VLOOKUP($B109,KOMBI!$A:$ADS,MATCH(Tulem!BN$3,KOMBI!$A$1:$ADS$1,0),FALSE)</f>
        <v>#NUM!</v>
      </c>
      <c r="BO109" s="292" t="e">
        <f t="array" aca="1" ref="BO109" ca="1">VLOOKUP($B109,KOMBI!$A:$ADS,MATCH(Tulem!BO$3,KOMBI!$A$1:$ADS$1,0),FALSE)</f>
        <v>#NUM!</v>
      </c>
      <c r="BP109" s="291"/>
      <c r="BQ109" s="292" t="e">
        <f t="array" aca="1" ref="BQ109" ca="1">VLOOKUP($B109,KOMBI!$A:$ADS,MATCH(Tulem!BQ$3,KOMBI!$A$1:$ADS$1,0),FALSE)</f>
        <v>#NUM!</v>
      </c>
      <c r="BR109" s="292" t="e">
        <f t="array" aca="1" ref="BR109" ca="1">VLOOKUP($B109,KOMBI!$A:$ADS,MATCH(Tulem!BR$3,KOMBI!$A$1:$ADS$1,0),FALSE)</f>
        <v>#NUM!</v>
      </c>
      <c r="BS109" s="292" t="e">
        <f t="array" aca="1" ref="BS109" ca="1">VLOOKUP($B109,KOMBI!$A:$ADS,MATCH(Tulem!BS$3,KOMBI!$A$1:$ADS$1,0),FALSE)</f>
        <v>#NUM!</v>
      </c>
      <c r="BT109" s="292" t="e">
        <f t="array" aca="1" ref="BT109" ca="1">VLOOKUP($B109,KOMBI!$A:$ADS,MATCH(Tulem!BT$3,KOMBI!$A$1:$ADS$1,0),FALSE)</f>
        <v>#NUM!</v>
      </c>
      <c r="BU109" s="292" t="e">
        <f t="array" aca="1" ref="BU109" ca="1">VLOOKUP($B109,KOMBI!$A:$ADS,MATCH(Tulem!BU$3,KOMBI!$A$1:$ADS$1,0),FALSE)</f>
        <v>#NUM!</v>
      </c>
      <c r="BV109" s="291"/>
      <c r="BW109" s="292" t="e">
        <f t="array" aca="1" ref="BW109" ca="1">VLOOKUP($B109,KOMBI!$A:$ADS,MATCH(Tulem!BW$3,KOMBI!$A$1:$ADS$1,0),FALSE)</f>
        <v>#NUM!</v>
      </c>
      <c r="BX109" s="291"/>
      <c r="BY109" s="291"/>
      <c r="BZ109" s="292" t="e">
        <f t="array" aca="1" ref="BZ109" ca="1">VLOOKUP($B109,KOMBI!$A:$ADS,MATCH(Tulem!BZ$3,KOMBI!$A$1:$ADS$1,0),FALSE)</f>
        <v>#NUM!</v>
      </c>
      <c r="CA109" s="292" t="e">
        <f t="array" aca="1" ref="CA109" ca="1">VLOOKUP($B109,KOMBI!$A:$ADS,MATCH(Tulem!CA$3,KOMBI!$A$1:$ADS$1,0),FALSE)</f>
        <v>#NUM!</v>
      </c>
      <c r="CB109" s="292" t="e">
        <f t="array" aca="1" ref="CB109" ca="1">VLOOKUP($B109,KOMBI!$A:$ADS,MATCH(Tulem!CB$3,KOMBI!$A$1:$ADS$1,0),FALSE)</f>
        <v>#NUM!</v>
      </c>
      <c r="CC109" s="292" t="e">
        <f t="array" aca="1" ref="CC109" ca="1">VLOOKUP($B109,KOMBI!$A:$ADS,MATCH(Tulem!CC$3,KOMBI!$A$1:$ADS$1,0),FALSE)</f>
        <v>#NUM!</v>
      </c>
      <c r="CD109" s="292" t="e">
        <f t="array" aca="1" ref="CD109" ca="1">VLOOKUP($B109,KOMBI!$A:$ADS,MATCH(Tulem!CD$3,KOMBI!$A$1:$ADS$1,0),FALSE)</f>
        <v>#NUM!</v>
      </c>
      <c r="CF109" s="51" t="e">
        <f ca="1">VLOOKUP($B109,KOMBI!$A:$ACG,MATCH(CF$5,KOMBI!$10:$10,0),FALSE)</f>
        <v>#NUM!</v>
      </c>
    </row>
    <row r="110" spans="1:84" x14ac:dyDescent="0.2">
      <c r="A110" s="51">
        <v>105</v>
      </c>
      <c r="B110" s="51" t="e">
        <f ca="1">KOMBI!GI115</f>
        <v>#NUM!</v>
      </c>
      <c r="C110" s="51">
        <f t="shared" si="3"/>
        <v>105</v>
      </c>
      <c r="D110" s="290" t="e">
        <f ca="1">VLOOKUP(VLOOKUP($B110,KOMBI!$A:$H,3,FALSE),data!$I$27:$J$29,2,FALSE)</f>
        <v>#NUM!</v>
      </c>
      <c r="E110" s="290" t="e">
        <f ca="1">VLOOKUP(VLOOKUP($B110,KOMBI!$A:$H,2,FALSE),data!$I$21:$J$23,2,FALSE)</f>
        <v>#NUM!</v>
      </c>
      <c r="F110" s="290" t="e">
        <f ca="1">VLOOKUP(VLOOKUP($B110,KOMBI!$A:$H,5,FALSE),data!$I$39:$J$41,2,FALSE)</f>
        <v>#NUM!</v>
      </c>
      <c r="G110" s="290" t="e">
        <f ca="1">VLOOKUP(VLOOKUP($B110,KOMBI!$A:$H,4,FALSE),data!$I$32:$J$36,2,FALSE)</f>
        <v>#NUM!</v>
      </c>
      <c r="I110" s="51" t="e">
        <f ca="1">VLOOKUP($B110,KOMBI!$A:$Z,MATCH(I$5,KOMBI!$10:$10,0),FALSE)</f>
        <v>#NUM!</v>
      </c>
      <c r="J110" s="291" t="e">
        <f ca="1">VLOOKUP($B110,KOMBI!$A:$ADS,J$3,FALSE)</f>
        <v>#NUM!</v>
      </c>
      <c r="K110" s="291" t="e">
        <f ca="1">VLOOKUP($B110,KOMBI!$A:$ADS,K$3,FALSE)</f>
        <v>#NUM!</v>
      </c>
      <c r="L110" s="291" t="e">
        <f ca="1">VLOOKUP($B110,KOMBI!$A:$ADS,L$3,FALSE)</f>
        <v>#NUM!</v>
      </c>
      <c r="M110" s="291" t="e">
        <f ca="1">VLOOKUP($B110,KOMBI!$A:$ADS,M$3,FALSE)</f>
        <v>#NUM!</v>
      </c>
      <c r="N110" s="291" t="e">
        <f ca="1">VLOOKUP($B110,KOMBI!$A:$ADS,N$3,FALSE)</f>
        <v>#NUM!</v>
      </c>
      <c r="O110" s="291" t="e">
        <f ca="1">VLOOKUP($B110,KOMBI!$A:$ADS,O$3,FALSE)</f>
        <v>#NUM!</v>
      </c>
      <c r="P110" s="291" t="e">
        <f ca="1">VLOOKUP($B110,KOMBI!$A:$ADS,P$3,FALSE)</f>
        <v>#NUM!</v>
      </c>
      <c r="Q110" s="292" t="e">
        <f t="array" aca="1" ref="Q110" ca="1">VLOOKUP($B110,KOMBI!$A:$ADS,MATCH(Tulem!Q$3,KOMBI!$A$1:$ADS$1,0),FALSE)</f>
        <v>#NUM!</v>
      </c>
      <c r="S110" s="332" t="e">
        <f t="array" aca="1" ref="S110" ca="1">VLOOKUP($B110,KOMBI!$A:$ADS,MATCH(Tulem!S$3,KOMBI!$A$1:$ADS$1,0),FALSE)</f>
        <v>#NUM!</v>
      </c>
      <c r="T110" s="293" t="e">
        <f ca="1">VLOOKUP($B110,KOMBI!$A:$ADS,T$3,FALSE)</f>
        <v>#NUM!</v>
      </c>
      <c r="U110" s="293" t="e">
        <f ca="1">VLOOKUP($B110,KOMBI!$A:$ADS,U$3,FALSE)</f>
        <v>#NUM!</v>
      </c>
      <c r="V110" s="293" t="e">
        <f ca="1">VLOOKUP($B110,KOMBI!$A:$ADS,V$3,FALSE)</f>
        <v>#NUM!</v>
      </c>
      <c r="W110" s="293"/>
      <c r="X110" s="293" t="e">
        <f ca="1">VLOOKUP($B110,KOMBI!$A:$ADS,X$3,FALSE)</f>
        <v>#NUM!</v>
      </c>
      <c r="Y110" s="293" t="e">
        <f ca="1">VLOOKUP($B110,KOMBI!$A:$ADS,Y$3,FALSE)</f>
        <v>#NUM!</v>
      </c>
      <c r="Z110" s="293" t="e">
        <f ca="1">VLOOKUP($B110,KOMBI!$A:$ADS,Z$3,FALSE)</f>
        <v>#NUM!</v>
      </c>
      <c r="AA110" s="294"/>
      <c r="AB110" s="293" t="e">
        <f ca="1">VLOOKUP($B110,KOMBI!$A:$ADS,AB$3,FALSE)</f>
        <v>#NUM!</v>
      </c>
      <c r="AC110" s="293" t="e">
        <f ca="1">VLOOKUP($B110,KOMBI!$A:$ADS,AC$3,FALSE)-AB110</f>
        <v>#NUM!</v>
      </c>
      <c r="AD110" s="293" t="e">
        <f ca="1">VLOOKUP($B110,KOMBI!$A:$ADS,AD$3,FALSE)</f>
        <v>#NUM!</v>
      </c>
      <c r="AE110" s="293" t="e">
        <f ca="1">VLOOKUP($B110,KOMBI!$A:$ADS,AE$3,FALSE)</f>
        <v>#NUM!</v>
      </c>
      <c r="AF110" s="293" t="e">
        <f ca="1">VLOOKUP($B110,KOMBI!$A:$ADS,AF$3,FALSE)-AE110</f>
        <v>#NUM!</v>
      </c>
      <c r="AG110" s="293" t="e">
        <f ca="1">VLOOKUP($B110,KOMBI!$A:$ADS,AG$3,FALSE)</f>
        <v>#NUM!</v>
      </c>
      <c r="AI110" s="293" t="e">
        <f t="array" aca="1" ref="AI110" ca="1">VLOOKUP($B110,KOMBI!$A:$ADS,MATCH(Tulem!AI$3,KOMBI!$A$1:$ADS$1,0),FALSE)</f>
        <v>#NUM!</v>
      </c>
      <c r="AJ110" s="293" t="e">
        <f t="array" aca="1" ref="AJ110" ca="1">VLOOKUP($B110,KOMBI!$A:$ADS,MATCH(Tulem!AJ$3,KOMBI!$A$1:$ADS$1,0),FALSE)</f>
        <v>#NUM!</v>
      </c>
      <c r="AK110" s="293" t="e">
        <f t="array" aca="1" ref="AK110" ca="1">VLOOKUP($B110,KOMBI!$A:$ADS,MATCH(Tulem!AK$3,KOMBI!$A$1:$ADS$1,0),FALSE)</f>
        <v>#NUM!</v>
      </c>
      <c r="AL110" s="293" t="e">
        <f t="array" aca="1" ref="AL110" ca="1">VLOOKUP($B110,KOMBI!$A:$ADS,MATCH(Tulem!AL$3,KOMBI!$A$1:$ADS$1,0),FALSE)</f>
        <v>#NUM!</v>
      </c>
      <c r="AM110" s="293" t="e">
        <f t="array" aca="1" ref="AM110" ca="1">VLOOKUP($B110,KOMBI!$A:$ADS,MATCH(Tulem!AM$3,KOMBI!$A$1:$ADS$1,0),FALSE)</f>
        <v>#NUM!</v>
      </c>
      <c r="AN110" s="293" t="e">
        <f t="array" aca="1" ref="AN110" ca="1">VLOOKUP($B110,KOMBI!$A:$ADS,MATCH(Tulem!AN$3,KOMBI!$A$1:$ADS$1,0),FALSE)</f>
        <v>#NUM!</v>
      </c>
      <c r="AO110" s="293" t="e">
        <f t="array" aca="1" ref="AO110" ca="1">VLOOKUP($B110,KOMBI!$A:$ADS,MATCH(Tulem!AO$3,KOMBI!$A$1:$ADS$1,0),FALSE)</f>
        <v>#NUM!</v>
      </c>
      <c r="AP110" s="293" t="e">
        <f t="array" aca="1" ref="AP110" ca="1">VLOOKUP($B110,KOMBI!$A:$ADS,MATCH(Tulem!AP$3,KOMBI!$A$1:$ADS$1,0),FALSE)</f>
        <v>#NUM!</v>
      </c>
      <c r="AQ110" s="293" t="e">
        <f t="array" aca="1" ref="AQ110" ca="1">VLOOKUP($B110,KOMBI!$A:$ADS,MATCH(Tulem!AQ$3,KOMBI!$A$1:$ADS$1,0),FALSE)</f>
        <v>#NUM!</v>
      </c>
      <c r="AR110" s="293" t="e">
        <f t="array" aca="1" ref="AR110" ca="1">VLOOKUP($B110,KOMBI!$A:$ADS,MATCH(Tulem!AR$3,KOMBI!$A$1:$ADS$1,0),FALSE)</f>
        <v>#NUM!</v>
      </c>
      <c r="AS110" s="293" t="e">
        <f t="array" aca="1" ref="AS110" ca="1">VLOOKUP($B110,KOMBI!$A:$ADS,MATCH(Tulem!AS$3,KOMBI!$A$1:$ADS$1,0),FALSE)</f>
        <v>#NUM!</v>
      </c>
      <c r="AT110" s="293" t="e">
        <f t="array" aca="1" ref="AT110" ca="1">VLOOKUP($B110,KOMBI!$A:$ADS,MATCH(Tulem!AT$3,KOMBI!$A$1:$ADS$1,0),FALSE)</f>
        <v>#NUM!</v>
      </c>
      <c r="AU110" s="293" t="e">
        <f t="array" aca="1" ref="AU110" ca="1">VLOOKUP($B110,KOMBI!$A:$ADS,MATCH(Tulem!AU$3,KOMBI!$A$1:$ADS$1,0),FALSE)</f>
        <v>#NUM!</v>
      </c>
      <c r="AV110" s="293" t="e">
        <f t="shared" ca="1" si="4"/>
        <v>#NUM!</v>
      </c>
      <c r="AW110" s="293" t="e">
        <f t="shared" ca="1" si="5"/>
        <v>#NUM!</v>
      </c>
      <c r="AX110" s="291" t="e">
        <f ca="1">VLOOKUP($B110,KOMBI!$A:$ACA,MATCH(AX$5,KOMBI!$10:$10,0),FALSE)</f>
        <v>#NUM!</v>
      </c>
      <c r="AY110" s="292" t="e">
        <f t="array" aca="1" ref="AY110" ca="1">VLOOKUP($B110,KOMBI!$A:$ADS,MATCH(Tulem!AY$3,KOMBI!$A$1:$ADS$1,0),FALSE)</f>
        <v>#NUM!</v>
      </c>
      <c r="AZ110" s="292" t="e">
        <f t="array" aca="1" ref="AZ110" ca="1">VLOOKUP($B110,KOMBI!$A:$ADS,MATCH(Tulem!AZ$3,KOMBI!$A$1:$ADS$1,0),FALSE)</f>
        <v>#NUM!</v>
      </c>
      <c r="BA110" s="292" t="e">
        <f t="array" aca="1" ref="BA110" ca="1">VLOOKUP($B110,KOMBI!$A:$ADS,MATCH(Tulem!BA$3,KOMBI!$A$1:$ADS$1,0),FALSE)</f>
        <v>#NUM!</v>
      </c>
      <c r="BB110" s="292" t="e">
        <f t="array" aca="1" ref="BB110" ca="1">VLOOKUP($B110,KOMBI!$A:$ADS,MATCH(Tulem!BB$3,KOMBI!$A$1:$ADS$1,0),FALSE)</f>
        <v>#NUM!</v>
      </c>
      <c r="BC110" s="292" t="e">
        <f t="array" aca="1" ref="BC110" ca="1">VLOOKUP($B110,KOMBI!$A:$ADS,MATCH(Tulem!BC$3,KOMBI!$A$1:$ADS$1,0),FALSE)</f>
        <v>#NUM!</v>
      </c>
      <c r="BD110" s="292" t="e">
        <f t="array" aca="1" ref="BD110" ca="1">VLOOKUP($B110,KOMBI!$A:$ADS,MATCH(Tulem!BD$3,KOMBI!$A$1:$ADS$1,0),FALSE)</f>
        <v>#NUM!</v>
      </c>
      <c r="BE110" s="292" t="e">
        <f t="array" aca="1" ref="BE110" ca="1">VLOOKUP($B110,KOMBI!$A:$ADS,MATCH(Tulem!BE$3,KOMBI!$A$1:$ADS$1,0),FALSE)</f>
        <v>#NUM!</v>
      </c>
      <c r="BF110" s="292" t="e">
        <f t="array" aca="1" ref="BF110" ca="1">VLOOKUP($B110,KOMBI!$A:$ADS,MATCH(Tulem!BF$3,KOMBI!$A$1:$ADS$1,0),FALSE)</f>
        <v>#NUM!</v>
      </c>
      <c r="BG110" s="292" t="e">
        <f t="array" aca="1" ref="BG110" ca="1">VLOOKUP($B110,KOMBI!$A:$ADS,MATCH(Tulem!BG$3,KOMBI!$A$1:$ADS$1,0),FALSE)</f>
        <v>#NUM!</v>
      </c>
      <c r="BH110" s="292" t="e">
        <f t="array" aca="1" ref="BH110" ca="1">VLOOKUP($B110,KOMBI!$A:$ADS,MATCH(Tulem!BH$3,KOMBI!$A$1:$ADS$1,0),FALSE)</f>
        <v>#NUM!</v>
      </c>
      <c r="BI110" s="292" t="e">
        <f t="array" aca="1" ref="BI110" ca="1">VLOOKUP($B110,KOMBI!$A:$ADS,MATCH(Tulem!BI$3,KOMBI!$A$1:$ADS$1,0),FALSE)</f>
        <v>#NUM!</v>
      </c>
      <c r="BJ110" s="292" t="e">
        <f t="array" aca="1" ref="BJ110" ca="1">VLOOKUP($B110,KOMBI!$A:$ADS,MATCH(Tulem!BJ$3,KOMBI!$A$1:$ADS$1,0),FALSE)</f>
        <v>#NUM!</v>
      </c>
      <c r="BK110" s="292" t="e">
        <f t="array" aca="1" ref="BK110" ca="1">VLOOKUP($B110,KOMBI!$A:$ADS,MATCH(Tulem!BK$3,KOMBI!$A$1:$ADS$1,0),FALSE)</f>
        <v>#NUM!</v>
      </c>
      <c r="BL110" s="292" t="e">
        <f t="array" aca="1" ref="BL110" ca="1">VLOOKUP($B110,KOMBI!$A:$ADS,MATCH(Tulem!BL$3,KOMBI!$A$1:$ADS$1,0),FALSE)</f>
        <v>#NUM!</v>
      </c>
      <c r="BM110" s="292" t="e">
        <f t="array" aca="1" ref="BM110" ca="1">VLOOKUP($B110,KOMBI!$A:$ADS,MATCH(Tulem!BM$3,KOMBI!$A$1:$ADS$1,0),FALSE)</f>
        <v>#NUM!</v>
      </c>
      <c r="BN110" s="292" t="e">
        <f t="array" aca="1" ref="BN110" ca="1">VLOOKUP($B110,KOMBI!$A:$ADS,MATCH(Tulem!BN$3,KOMBI!$A$1:$ADS$1,0),FALSE)</f>
        <v>#NUM!</v>
      </c>
      <c r="BO110" s="292" t="e">
        <f t="array" aca="1" ref="BO110" ca="1">VLOOKUP($B110,KOMBI!$A:$ADS,MATCH(Tulem!BO$3,KOMBI!$A$1:$ADS$1,0),FALSE)</f>
        <v>#NUM!</v>
      </c>
      <c r="BP110" s="291"/>
      <c r="BQ110" s="292" t="e">
        <f t="array" aca="1" ref="BQ110" ca="1">VLOOKUP($B110,KOMBI!$A:$ADS,MATCH(Tulem!BQ$3,KOMBI!$A$1:$ADS$1,0),FALSE)</f>
        <v>#NUM!</v>
      </c>
      <c r="BR110" s="292" t="e">
        <f t="array" aca="1" ref="BR110" ca="1">VLOOKUP($B110,KOMBI!$A:$ADS,MATCH(Tulem!BR$3,KOMBI!$A$1:$ADS$1,0),FALSE)</f>
        <v>#NUM!</v>
      </c>
      <c r="BS110" s="292" t="e">
        <f t="array" aca="1" ref="BS110" ca="1">VLOOKUP($B110,KOMBI!$A:$ADS,MATCH(Tulem!BS$3,KOMBI!$A$1:$ADS$1,0),FALSE)</f>
        <v>#NUM!</v>
      </c>
      <c r="BT110" s="292" t="e">
        <f t="array" aca="1" ref="BT110" ca="1">VLOOKUP($B110,KOMBI!$A:$ADS,MATCH(Tulem!BT$3,KOMBI!$A$1:$ADS$1,0),FALSE)</f>
        <v>#NUM!</v>
      </c>
      <c r="BU110" s="292" t="e">
        <f t="array" aca="1" ref="BU110" ca="1">VLOOKUP($B110,KOMBI!$A:$ADS,MATCH(Tulem!BU$3,KOMBI!$A$1:$ADS$1,0),FALSE)</f>
        <v>#NUM!</v>
      </c>
      <c r="BV110" s="291"/>
      <c r="BW110" s="292" t="e">
        <f t="array" aca="1" ref="BW110" ca="1">VLOOKUP($B110,KOMBI!$A:$ADS,MATCH(Tulem!BW$3,KOMBI!$A$1:$ADS$1,0),FALSE)</f>
        <v>#NUM!</v>
      </c>
      <c r="BX110" s="291"/>
      <c r="BY110" s="291"/>
      <c r="BZ110" s="292" t="e">
        <f t="array" aca="1" ref="BZ110" ca="1">VLOOKUP($B110,KOMBI!$A:$ADS,MATCH(Tulem!BZ$3,KOMBI!$A$1:$ADS$1,0),FALSE)</f>
        <v>#NUM!</v>
      </c>
      <c r="CA110" s="292" t="e">
        <f t="array" aca="1" ref="CA110" ca="1">VLOOKUP($B110,KOMBI!$A:$ADS,MATCH(Tulem!CA$3,KOMBI!$A$1:$ADS$1,0),FALSE)</f>
        <v>#NUM!</v>
      </c>
      <c r="CB110" s="292" t="e">
        <f t="array" aca="1" ref="CB110" ca="1">VLOOKUP($B110,KOMBI!$A:$ADS,MATCH(Tulem!CB$3,KOMBI!$A$1:$ADS$1,0),FALSE)</f>
        <v>#NUM!</v>
      </c>
      <c r="CC110" s="292" t="e">
        <f t="array" aca="1" ref="CC110" ca="1">VLOOKUP($B110,KOMBI!$A:$ADS,MATCH(Tulem!CC$3,KOMBI!$A$1:$ADS$1,0),FALSE)</f>
        <v>#NUM!</v>
      </c>
      <c r="CD110" s="292" t="e">
        <f t="array" aca="1" ref="CD110" ca="1">VLOOKUP($B110,KOMBI!$A:$ADS,MATCH(Tulem!CD$3,KOMBI!$A$1:$ADS$1,0),FALSE)</f>
        <v>#NUM!</v>
      </c>
      <c r="CF110" s="51" t="e">
        <f ca="1">VLOOKUP($B110,KOMBI!$A:$ACG,MATCH(CF$5,KOMBI!$10:$10,0),FALSE)</f>
        <v>#NUM!</v>
      </c>
    </row>
    <row r="111" spans="1:84" x14ac:dyDescent="0.2">
      <c r="A111" s="51">
        <v>106</v>
      </c>
      <c r="B111" s="51" t="e">
        <f ca="1">KOMBI!GI116</f>
        <v>#NUM!</v>
      </c>
      <c r="C111" s="51">
        <f t="shared" si="3"/>
        <v>106</v>
      </c>
      <c r="D111" s="290" t="e">
        <f ca="1">VLOOKUP(VLOOKUP($B111,KOMBI!$A:$H,3,FALSE),data!$I$27:$J$29,2,FALSE)</f>
        <v>#NUM!</v>
      </c>
      <c r="E111" s="290" t="e">
        <f ca="1">VLOOKUP(VLOOKUP($B111,KOMBI!$A:$H,2,FALSE),data!$I$21:$J$23,2,FALSE)</f>
        <v>#NUM!</v>
      </c>
      <c r="F111" s="290" t="e">
        <f ca="1">VLOOKUP(VLOOKUP($B111,KOMBI!$A:$H,5,FALSE),data!$I$39:$J$41,2,FALSE)</f>
        <v>#NUM!</v>
      </c>
      <c r="G111" s="290" t="e">
        <f ca="1">VLOOKUP(VLOOKUP($B111,KOMBI!$A:$H,4,FALSE),data!$I$32:$J$36,2,FALSE)</f>
        <v>#NUM!</v>
      </c>
      <c r="I111" s="51" t="e">
        <f ca="1">VLOOKUP($B111,KOMBI!$A:$Z,MATCH(I$5,KOMBI!$10:$10,0),FALSE)</f>
        <v>#NUM!</v>
      </c>
      <c r="J111" s="291" t="e">
        <f ca="1">VLOOKUP($B111,KOMBI!$A:$ADS,J$3,FALSE)</f>
        <v>#NUM!</v>
      </c>
      <c r="K111" s="291" t="e">
        <f ca="1">VLOOKUP($B111,KOMBI!$A:$ADS,K$3,FALSE)</f>
        <v>#NUM!</v>
      </c>
      <c r="L111" s="291" t="e">
        <f ca="1">VLOOKUP($B111,KOMBI!$A:$ADS,L$3,FALSE)</f>
        <v>#NUM!</v>
      </c>
      <c r="M111" s="291" t="e">
        <f ca="1">VLOOKUP($B111,KOMBI!$A:$ADS,M$3,FALSE)</f>
        <v>#NUM!</v>
      </c>
      <c r="N111" s="291" t="e">
        <f ca="1">VLOOKUP($B111,KOMBI!$A:$ADS,N$3,FALSE)</f>
        <v>#NUM!</v>
      </c>
      <c r="O111" s="291" t="e">
        <f ca="1">VLOOKUP($B111,KOMBI!$A:$ADS,O$3,FALSE)</f>
        <v>#NUM!</v>
      </c>
      <c r="P111" s="291" t="e">
        <f ca="1">VLOOKUP($B111,KOMBI!$A:$ADS,P$3,FALSE)</f>
        <v>#NUM!</v>
      </c>
      <c r="Q111" s="292" t="e">
        <f t="array" aca="1" ref="Q111" ca="1">VLOOKUP($B111,KOMBI!$A:$ADS,MATCH(Tulem!Q$3,KOMBI!$A$1:$ADS$1,0),FALSE)</f>
        <v>#NUM!</v>
      </c>
      <c r="S111" s="332" t="e">
        <f t="array" aca="1" ref="S111" ca="1">VLOOKUP($B111,KOMBI!$A:$ADS,MATCH(Tulem!S$3,KOMBI!$A$1:$ADS$1,0),FALSE)</f>
        <v>#NUM!</v>
      </c>
      <c r="T111" s="293" t="e">
        <f ca="1">VLOOKUP($B111,KOMBI!$A:$ADS,T$3,FALSE)</f>
        <v>#NUM!</v>
      </c>
      <c r="U111" s="293" t="e">
        <f ca="1">VLOOKUP($B111,KOMBI!$A:$ADS,U$3,FALSE)</f>
        <v>#NUM!</v>
      </c>
      <c r="V111" s="293" t="e">
        <f ca="1">VLOOKUP($B111,KOMBI!$A:$ADS,V$3,FALSE)</f>
        <v>#NUM!</v>
      </c>
      <c r="W111" s="293"/>
      <c r="X111" s="293" t="e">
        <f ca="1">VLOOKUP($B111,KOMBI!$A:$ADS,X$3,FALSE)</f>
        <v>#NUM!</v>
      </c>
      <c r="Y111" s="293" t="e">
        <f ca="1">VLOOKUP($B111,KOMBI!$A:$ADS,Y$3,FALSE)</f>
        <v>#NUM!</v>
      </c>
      <c r="Z111" s="293" t="e">
        <f ca="1">VLOOKUP($B111,KOMBI!$A:$ADS,Z$3,FALSE)</f>
        <v>#NUM!</v>
      </c>
      <c r="AA111" s="294"/>
      <c r="AB111" s="293" t="e">
        <f ca="1">VLOOKUP($B111,KOMBI!$A:$ADS,AB$3,FALSE)</f>
        <v>#NUM!</v>
      </c>
      <c r="AC111" s="293" t="e">
        <f ca="1">VLOOKUP($B111,KOMBI!$A:$ADS,AC$3,FALSE)-AB111</f>
        <v>#NUM!</v>
      </c>
      <c r="AD111" s="293" t="e">
        <f ca="1">VLOOKUP($B111,KOMBI!$A:$ADS,AD$3,FALSE)</f>
        <v>#NUM!</v>
      </c>
      <c r="AE111" s="293" t="e">
        <f ca="1">VLOOKUP($B111,KOMBI!$A:$ADS,AE$3,FALSE)</f>
        <v>#NUM!</v>
      </c>
      <c r="AF111" s="293" t="e">
        <f ca="1">VLOOKUP($B111,KOMBI!$A:$ADS,AF$3,FALSE)-AE111</f>
        <v>#NUM!</v>
      </c>
      <c r="AG111" s="293" t="e">
        <f ca="1">VLOOKUP($B111,KOMBI!$A:$ADS,AG$3,FALSE)</f>
        <v>#NUM!</v>
      </c>
      <c r="AI111" s="293" t="e">
        <f t="array" aca="1" ref="AI111" ca="1">VLOOKUP($B111,KOMBI!$A:$ADS,MATCH(Tulem!AI$3,KOMBI!$A$1:$ADS$1,0),FALSE)</f>
        <v>#NUM!</v>
      </c>
      <c r="AJ111" s="293" t="e">
        <f t="array" aca="1" ref="AJ111" ca="1">VLOOKUP($B111,KOMBI!$A:$ADS,MATCH(Tulem!AJ$3,KOMBI!$A$1:$ADS$1,0),FALSE)</f>
        <v>#NUM!</v>
      </c>
      <c r="AK111" s="293" t="e">
        <f t="array" aca="1" ref="AK111" ca="1">VLOOKUP($B111,KOMBI!$A:$ADS,MATCH(Tulem!AK$3,KOMBI!$A$1:$ADS$1,0),FALSE)</f>
        <v>#NUM!</v>
      </c>
      <c r="AL111" s="293" t="e">
        <f t="array" aca="1" ref="AL111" ca="1">VLOOKUP($B111,KOMBI!$A:$ADS,MATCH(Tulem!AL$3,KOMBI!$A$1:$ADS$1,0),FALSE)</f>
        <v>#NUM!</v>
      </c>
      <c r="AM111" s="293" t="e">
        <f t="array" aca="1" ref="AM111" ca="1">VLOOKUP($B111,KOMBI!$A:$ADS,MATCH(Tulem!AM$3,KOMBI!$A$1:$ADS$1,0),FALSE)</f>
        <v>#NUM!</v>
      </c>
      <c r="AN111" s="293" t="e">
        <f t="array" aca="1" ref="AN111" ca="1">VLOOKUP($B111,KOMBI!$A:$ADS,MATCH(Tulem!AN$3,KOMBI!$A$1:$ADS$1,0),FALSE)</f>
        <v>#NUM!</v>
      </c>
      <c r="AO111" s="293" t="e">
        <f t="array" aca="1" ref="AO111" ca="1">VLOOKUP($B111,KOMBI!$A:$ADS,MATCH(Tulem!AO$3,KOMBI!$A$1:$ADS$1,0),FALSE)</f>
        <v>#NUM!</v>
      </c>
      <c r="AP111" s="293" t="e">
        <f t="array" aca="1" ref="AP111" ca="1">VLOOKUP($B111,KOMBI!$A:$ADS,MATCH(Tulem!AP$3,KOMBI!$A$1:$ADS$1,0),FALSE)</f>
        <v>#NUM!</v>
      </c>
      <c r="AQ111" s="293" t="e">
        <f t="array" aca="1" ref="AQ111" ca="1">VLOOKUP($B111,KOMBI!$A:$ADS,MATCH(Tulem!AQ$3,KOMBI!$A$1:$ADS$1,0),FALSE)</f>
        <v>#NUM!</v>
      </c>
      <c r="AR111" s="293" t="e">
        <f t="array" aca="1" ref="AR111" ca="1">VLOOKUP($B111,KOMBI!$A:$ADS,MATCH(Tulem!AR$3,KOMBI!$A$1:$ADS$1,0),FALSE)</f>
        <v>#NUM!</v>
      </c>
      <c r="AS111" s="293" t="e">
        <f t="array" aca="1" ref="AS111" ca="1">VLOOKUP($B111,KOMBI!$A:$ADS,MATCH(Tulem!AS$3,KOMBI!$A$1:$ADS$1,0),FALSE)</f>
        <v>#NUM!</v>
      </c>
      <c r="AT111" s="293" t="e">
        <f t="array" aca="1" ref="AT111" ca="1">VLOOKUP($B111,KOMBI!$A:$ADS,MATCH(Tulem!AT$3,KOMBI!$A$1:$ADS$1,0),FALSE)</f>
        <v>#NUM!</v>
      </c>
      <c r="AU111" s="293" t="e">
        <f t="array" aca="1" ref="AU111" ca="1">VLOOKUP($B111,KOMBI!$A:$ADS,MATCH(Tulem!AU$3,KOMBI!$A$1:$ADS$1,0),FALSE)</f>
        <v>#NUM!</v>
      </c>
      <c r="AV111" s="293" t="e">
        <f t="shared" ca="1" si="4"/>
        <v>#NUM!</v>
      </c>
      <c r="AW111" s="293" t="e">
        <f t="shared" ca="1" si="5"/>
        <v>#NUM!</v>
      </c>
      <c r="AX111" s="291" t="e">
        <f ca="1">VLOOKUP($B111,KOMBI!$A:$ACA,MATCH(AX$5,KOMBI!$10:$10,0),FALSE)</f>
        <v>#NUM!</v>
      </c>
      <c r="AY111" s="292" t="e">
        <f t="array" aca="1" ref="AY111" ca="1">VLOOKUP($B111,KOMBI!$A:$ADS,MATCH(Tulem!AY$3,KOMBI!$A$1:$ADS$1,0),FALSE)</f>
        <v>#NUM!</v>
      </c>
      <c r="AZ111" s="292" t="e">
        <f t="array" aca="1" ref="AZ111" ca="1">VLOOKUP($B111,KOMBI!$A:$ADS,MATCH(Tulem!AZ$3,KOMBI!$A$1:$ADS$1,0),FALSE)</f>
        <v>#NUM!</v>
      </c>
      <c r="BA111" s="292" t="e">
        <f t="array" aca="1" ref="BA111" ca="1">VLOOKUP($B111,KOMBI!$A:$ADS,MATCH(Tulem!BA$3,KOMBI!$A$1:$ADS$1,0),FALSE)</f>
        <v>#NUM!</v>
      </c>
      <c r="BB111" s="292" t="e">
        <f t="array" aca="1" ref="BB111" ca="1">VLOOKUP($B111,KOMBI!$A:$ADS,MATCH(Tulem!BB$3,KOMBI!$A$1:$ADS$1,0),FALSE)</f>
        <v>#NUM!</v>
      </c>
      <c r="BC111" s="292" t="e">
        <f t="array" aca="1" ref="BC111" ca="1">VLOOKUP($B111,KOMBI!$A:$ADS,MATCH(Tulem!BC$3,KOMBI!$A$1:$ADS$1,0),FALSE)</f>
        <v>#NUM!</v>
      </c>
      <c r="BD111" s="292" t="e">
        <f t="array" aca="1" ref="BD111" ca="1">VLOOKUP($B111,KOMBI!$A:$ADS,MATCH(Tulem!BD$3,KOMBI!$A$1:$ADS$1,0),FALSE)</f>
        <v>#NUM!</v>
      </c>
      <c r="BE111" s="292" t="e">
        <f t="array" aca="1" ref="BE111" ca="1">VLOOKUP($B111,KOMBI!$A:$ADS,MATCH(Tulem!BE$3,KOMBI!$A$1:$ADS$1,0),FALSE)</f>
        <v>#NUM!</v>
      </c>
      <c r="BF111" s="292" t="e">
        <f t="array" aca="1" ref="BF111" ca="1">VLOOKUP($B111,KOMBI!$A:$ADS,MATCH(Tulem!BF$3,KOMBI!$A$1:$ADS$1,0),FALSE)</f>
        <v>#NUM!</v>
      </c>
      <c r="BG111" s="292" t="e">
        <f t="array" aca="1" ref="BG111" ca="1">VLOOKUP($B111,KOMBI!$A:$ADS,MATCH(Tulem!BG$3,KOMBI!$A$1:$ADS$1,0),FALSE)</f>
        <v>#NUM!</v>
      </c>
      <c r="BH111" s="292" t="e">
        <f t="array" aca="1" ref="BH111" ca="1">VLOOKUP($B111,KOMBI!$A:$ADS,MATCH(Tulem!BH$3,KOMBI!$A$1:$ADS$1,0),FALSE)</f>
        <v>#NUM!</v>
      </c>
      <c r="BI111" s="292" t="e">
        <f t="array" aca="1" ref="BI111" ca="1">VLOOKUP($B111,KOMBI!$A:$ADS,MATCH(Tulem!BI$3,KOMBI!$A$1:$ADS$1,0),FALSE)</f>
        <v>#NUM!</v>
      </c>
      <c r="BJ111" s="292" t="e">
        <f t="array" aca="1" ref="BJ111" ca="1">VLOOKUP($B111,KOMBI!$A:$ADS,MATCH(Tulem!BJ$3,KOMBI!$A$1:$ADS$1,0),FALSE)</f>
        <v>#NUM!</v>
      </c>
      <c r="BK111" s="292" t="e">
        <f t="array" aca="1" ref="BK111" ca="1">VLOOKUP($B111,KOMBI!$A:$ADS,MATCH(Tulem!BK$3,KOMBI!$A$1:$ADS$1,0),FALSE)</f>
        <v>#NUM!</v>
      </c>
      <c r="BL111" s="292" t="e">
        <f t="array" aca="1" ref="BL111" ca="1">VLOOKUP($B111,KOMBI!$A:$ADS,MATCH(Tulem!BL$3,KOMBI!$A$1:$ADS$1,0),FALSE)</f>
        <v>#NUM!</v>
      </c>
      <c r="BM111" s="292" t="e">
        <f t="array" aca="1" ref="BM111" ca="1">VLOOKUP($B111,KOMBI!$A:$ADS,MATCH(Tulem!BM$3,KOMBI!$A$1:$ADS$1,0),FALSE)</f>
        <v>#NUM!</v>
      </c>
      <c r="BN111" s="292" t="e">
        <f t="array" aca="1" ref="BN111" ca="1">VLOOKUP($B111,KOMBI!$A:$ADS,MATCH(Tulem!BN$3,KOMBI!$A$1:$ADS$1,0),FALSE)</f>
        <v>#NUM!</v>
      </c>
      <c r="BO111" s="292" t="e">
        <f t="array" aca="1" ref="BO111" ca="1">VLOOKUP($B111,KOMBI!$A:$ADS,MATCH(Tulem!BO$3,KOMBI!$A$1:$ADS$1,0),FALSE)</f>
        <v>#NUM!</v>
      </c>
      <c r="BP111" s="291"/>
      <c r="BQ111" s="292" t="e">
        <f t="array" aca="1" ref="BQ111" ca="1">VLOOKUP($B111,KOMBI!$A:$ADS,MATCH(Tulem!BQ$3,KOMBI!$A$1:$ADS$1,0),FALSE)</f>
        <v>#NUM!</v>
      </c>
      <c r="BR111" s="292" t="e">
        <f t="array" aca="1" ref="BR111" ca="1">VLOOKUP($B111,KOMBI!$A:$ADS,MATCH(Tulem!BR$3,KOMBI!$A$1:$ADS$1,0),FALSE)</f>
        <v>#NUM!</v>
      </c>
      <c r="BS111" s="292" t="e">
        <f t="array" aca="1" ref="BS111" ca="1">VLOOKUP($B111,KOMBI!$A:$ADS,MATCH(Tulem!BS$3,KOMBI!$A$1:$ADS$1,0),FALSE)</f>
        <v>#NUM!</v>
      </c>
      <c r="BT111" s="292" t="e">
        <f t="array" aca="1" ref="BT111" ca="1">VLOOKUP($B111,KOMBI!$A:$ADS,MATCH(Tulem!BT$3,KOMBI!$A$1:$ADS$1,0),FALSE)</f>
        <v>#NUM!</v>
      </c>
      <c r="BU111" s="292" t="e">
        <f t="array" aca="1" ref="BU111" ca="1">VLOOKUP($B111,KOMBI!$A:$ADS,MATCH(Tulem!BU$3,KOMBI!$A$1:$ADS$1,0),FALSE)</f>
        <v>#NUM!</v>
      </c>
      <c r="BV111" s="291"/>
      <c r="BW111" s="292" t="e">
        <f t="array" aca="1" ref="BW111" ca="1">VLOOKUP($B111,KOMBI!$A:$ADS,MATCH(Tulem!BW$3,KOMBI!$A$1:$ADS$1,0),FALSE)</f>
        <v>#NUM!</v>
      </c>
      <c r="BX111" s="291"/>
      <c r="BY111" s="291"/>
      <c r="BZ111" s="292" t="e">
        <f t="array" aca="1" ref="BZ111" ca="1">VLOOKUP($B111,KOMBI!$A:$ADS,MATCH(Tulem!BZ$3,KOMBI!$A$1:$ADS$1,0),FALSE)</f>
        <v>#NUM!</v>
      </c>
      <c r="CA111" s="292" t="e">
        <f t="array" aca="1" ref="CA111" ca="1">VLOOKUP($B111,KOMBI!$A:$ADS,MATCH(Tulem!CA$3,KOMBI!$A$1:$ADS$1,0),FALSE)</f>
        <v>#NUM!</v>
      </c>
      <c r="CB111" s="292" t="e">
        <f t="array" aca="1" ref="CB111" ca="1">VLOOKUP($B111,KOMBI!$A:$ADS,MATCH(Tulem!CB$3,KOMBI!$A$1:$ADS$1,0),FALSE)</f>
        <v>#NUM!</v>
      </c>
      <c r="CC111" s="292" t="e">
        <f t="array" aca="1" ref="CC111" ca="1">VLOOKUP($B111,KOMBI!$A:$ADS,MATCH(Tulem!CC$3,KOMBI!$A$1:$ADS$1,0),FALSE)</f>
        <v>#NUM!</v>
      </c>
      <c r="CD111" s="292" t="e">
        <f t="array" aca="1" ref="CD111" ca="1">VLOOKUP($B111,KOMBI!$A:$ADS,MATCH(Tulem!CD$3,KOMBI!$A$1:$ADS$1,0),FALSE)</f>
        <v>#NUM!</v>
      </c>
      <c r="CF111" s="51" t="e">
        <f ca="1">VLOOKUP($B111,KOMBI!$A:$ACG,MATCH(CF$5,KOMBI!$10:$10,0),FALSE)</f>
        <v>#NUM!</v>
      </c>
    </row>
    <row r="112" spans="1:84" x14ac:dyDescent="0.2">
      <c r="A112" s="51">
        <v>107</v>
      </c>
      <c r="B112" s="51" t="e">
        <f ca="1">KOMBI!GI117</f>
        <v>#NUM!</v>
      </c>
      <c r="C112" s="51">
        <f t="shared" si="3"/>
        <v>107</v>
      </c>
      <c r="D112" s="290" t="e">
        <f ca="1">VLOOKUP(VLOOKUP($B112,KOMBI!$A:$H,3,FALSE),data!$I$27:$J$29,2,FALSE)</f>
        <v>#NUM!</v>
      </c>
      <c r="E112" s="290" t="e">
        <f ca="1">VLOOKUP(VLOOKUP($B112,KOMBI!$A:$H,2,FALSE),data!$I$21:$J$23,2,FALSE)</f>
        <v>#NUM!</v>
      </c>
      <c r="F112" s="290" t="e">
        <f ca="1">VLOOKUP(VLOOKUP($B112,KOMBI!$A:$H,5,FALSE),data!$I$39:$J$41,2,FALSE)</f>
        <v>#NUM!</v>
      </c>
      <c r="G112" s="290" t="e">
        <f ca="1">VLOOKUP(VLOOKUP($B112,KOMBI!$A:$H,4,FALSE),data!$I$32:$J$36,2,FALSE)</f>
        <v>#NUM!</v>
      </c>
      <c r="I112" s="51" t="e">
        <f ca="1">VLOOKUP($B112,KOMBI!$A:$Z,MATCH(I$5,KOMBI!$10:$10,0),FALSE)</f>
        <v>#NUM!</v>
      </c>
      <c r="J112" s="291" t="e">
        <f ca="1">VLOOKUP($B112,KOMBI!$A:$ADS,J$3,FALSE)</f>
        <v>#NUM!</v>
      </c>
      <c r="K112" s="291" t="e">
        <f ca="1">VLOOKUP($B112,KOMBI!$A:$ADS,K$3,FALSE)</f>
        <v>#NUM!</v>
      </c>
      <c r="L112" s="291" t="e">
        <f ca="1">VLOOKUP($B112,KOMBI!$A:$ADS,L$3,FALSE)</f>
        <v>#NUM!</v>
      </c>
      <c r="M112" s="291" t="e">
        <f ca="1">VLOOKUP($B112,KOMBI!$A:$ADS,M$3,FALSE)</f>
        <v>#NUM!</v>
      </c>
      <c r="N112" s="291" t="e">
        <f ca="1">VLOOKUP($B112,KOMBI!$A:$ADS,N$3,FALSE)</f>
        <v>#NUM!</v>
      </c>
      <c r="O112" s="291" t="e">
        <f ca="1">VLOOKUP($B112,KOMBI!$A:$ADS,O$3,FALSE)</f>
        <v>#NUM!</v>
      </c>
      <c r="P112" s="291" t="e">
        <f ca="1">VLOOKUP($B112,KOMBI!$A:$ADS,P$3,FALSE)</f>
        <v>#NUM!</v>
      </c>
      <c r="Q112" s="292" t="e">
        <f t="array" aca="1" ref="Q112" ca="1">VLOOKUP($B112,KOMBI!$A:$ADS,MATCH(Tulem!Q$3,KOMBI!$A$1:$ADS$1,0),FALSE)</f>
        <v>#NUM!</v>
      </c>
      <c r="S112" s="332" t="e">
        <f t="array" aca="1" ref="S112" ca="1">VLOOKUP($B112,KOMBI!$A:$ADS,MATCH(Tulem!S$3,KOMBI!$A$1:$ADS$1,0),FALSE)</f>
        <v>#NUM!</v>
      </c>
      <c r="T112" s="293" t="e">
        <f ca="1">VLOOKUP($B112,KOMBI!$A:$ADS,T$3,FALSE)</f>
        <v>#NUM!</v>
      </c>
      <c r="U112" s="293" t="e">
        <f ca="1">VLOOKUP($B112,KOMBI!$A:$ADS,U$3,FALSE)</f>
        <v>#NUM!</v>
      </c>
      <c r="V112" s="293" t="e">
        <f ca="1">VLOOKUP($B112,KOMBI!$A:$ADS,V$3,FALSE)</f>
        <v>#NUM!</v>
      </c>
      <c r="W112" s="293"/>
      <c r="X112" s="293" t="e">
        <f ca="1">VLOOKUP($B112,KOMBI!$A:$ADS,X$3,FALSE)</f>
        <v>#NUM!</v>
      </c>
      <c r="Y112" s="293" t="e">
        <f ca="1">VLOOKUP($B112,KOMBI!$A:$ADS,Y$3,FALSE)</f>
        <v>#NUM!</v>
      </c>
      <c r="Z112" s="293" t="e">
        <f ca="1">VLOOKUP($B112,KOMBI!$A:$ADS,Z$3,FALSE)</f>
        <v>#NUM!</v>
      </c>
      <c r="AA112" s="294"/>
      <c r="AB112" s="293" t="e">
        <f ca="1">VLOOKUP($B112,KOMBI!$A:$ADS,AB$3,FALSE)</f>
        <v>#NUM!</v>
      </c>
      <c r="AC112" s="293" t="e">
        <f ca="1">VLOOKUP($B112,KOMBI!$A:$ADS,AC$3,FALSE)-AB112</f>
        <v>#NUM!</v>
      </c>
      <c r="AD112" s="293" t="e">
        <f ca="1">VLOOKUP($B112,KOMBI!$A:$ADS,AD$3,FALSE)</f>
        <v>#NUM!</v>
      </c>
      <c r="AE112" s="293" t="e">
        <f ca="1">VLOOKUP($B112,KOMBI!$A:$ADS,AE$3,FALSE)</f>
        <v>#NUM!</v>
      </c>
      <c r="AF112" s="293" t="e">
        <f ca="1">VLOOKUP($B112,KOMBI!$A:$ADS,AF$3,FALSE)-AE112</f>
        <v>#NUM!</v>
      </c>
      <c r="AG112" s="293" t="e">
        <f ca="1">VLOOKUP($B112,KOMBI!$A:$ADS,AG$3,FALSE)</f>
        <v>#NUM!</v>
      </c>
      <c r="AI112" s="293" t="e">
        <f t="array" aca="1" ref="AI112" ca="1">VLOOKUP($B112,KOMBI!$A:$ADS,MATCH(Tulem!AI$3,KOMBI!$A$1:$ADS$1,0),FALSE)</f>
        <v>#NUM!</v>
      </c>
      <c r="AJ112" s="293" t="e">
        <f t="array" aca="1" ref="AJ112" ca="1">VLOOKUP($B112,KOMBI!$A:$ADS,MATCH(Tulem!AJ$3,KOMBI!$A$1:$ADS$1,0),FALSE)</f>
        <v>#NUM!</v>
      </c>
      <c r="AK112" s="293" t="e">
        <f t="array" aca="1" ref="AK112" ca="1">VLOOKUP($B112,KOMBI!$A:$ADS,MATCH(Tulem!AK$3,KOMBI!$A$1:$ADS$1,0),FALSE)</f>
        <v>#NUM!</v>
      </c>
      <c r="AL112" s="293" t="e">
        <f t="array" aca="1" ref="AL112" ca="1">VLOOKUP($B112,KOMBI!$A:$ADS,MATCH(Tulem!AL$3,KOMBI!$A$1:$ADS$1,0),FALSE)</f>
        <v>#NUM!</v>
      </c>
      <c r="AM112" s="293" t="e">
        <f t="array" aca="1" ref="AM112" ca="1">VLOOKUP($B112,KOMBI!$A:$ADS,MATCH(Tulem!AM$3,KOMBI!$A$1:$ADS$1,0),FALSE)</f>
        <v>#NUM!</v>
      </c>
      <c r="AN112" s="293" t="e">
        <f t="array" aca="1" ref="AN112" ca="1">VLOOKUP($B112,KOMBI!$A:$ADS,MATCH(Tulem!AN$3,KOMBI!$A$1:$ADS$1,0),FALSE)</f>
        <v>#NUM!</v>
      </c>
      <c r="AO112" s="293" t="e">
        <f t="array" aca="1" ref="AO112" ca="1">VLOOKUP($B112,KOMBI!$A:$ADS,MATCH(Tulem!AO$3,KOMBI!$A$1:$ADS$1,0),FALSE)</f>
        <v>#NUM!</v>
      </c>
      <c r="AP112" s="293" t="e">
        <f t="array" aca="1" ref="AP112" ca="1">VLOOKUP($B112,KOMBI!$A:$ADS,MATCH(Tulem!AP$3,KOMBI!$A$1:$ADS$1,0),FALSE)</f>
        <v>#NUM!</v>
      </c>
      <c r="AQ112" s="293" t="e">
        <f t="array" aca="1" ref="AQ112" ca="1">VLOOKUP($B112,KOMBI!$A:$ADS,MATCH(Tulem!AQ$3,KOMBI!$A$1:$ADS$1,0),FALSE)</f>
        <v>#NUM!</v>
      </c>
      <c r="AR112" s="293" t="e">
        <f t="array" aca="1" ref="AR112" ca="1">VLOOKUP($B112,KOMBI!$A:$ADS,MATCH(Tulem!AR$3,KOMBI!$A$1:$ADS$1,0),FALSE)</f>
        <v>#NUM!</v>
      </c>
      <c r="AS112" s="293" t="e">
        <f t="array" aca="1" ref="AS112" ca="1">VLOOKUP($B112,KOMBI!$A:$ADS,MATCH(Tulem!AS$3,KOMBI!$A$1:$ADS$1,0),FALSE)</f>
        <v>#NUM!</v>
      </c>
      <c r="AT112" s="293" t="e">
        <f t="array" aca="1" ref="AT112" ca="1">VLOOKUP($B112,KOMBI!$A:$ADS,MATCH(Tulem!AT$3,KOMBI!$A$1:$ADS$1,0),FALSE)</f>
        <v>#NUM!</v>
      </c>
      <c r="AU112" s="293" t="e">
        <f t="array" aca="1" ref="AU112" ca="1">VLOOKUP($B112,KOMBI!$A:$ADS,MATCH(Tulem!AU$3,KOMBI!$A$1:$ADS$1,0),FALSE)</f>
        <v>#NUM!</v>
      </c>
      <c r="AV112" s="293" t="e">
        <f t="shared" ca="1" si="4"/>
        <v>#NUM!</v>
      </c>
      <c r="AW112" s="293" t="e">
        <f t="shared" ca="1" si="5"/>
        <v>#NUM!</v>
      </c>
      <c r="AX112" s="291" t="e">
        <f ca="1">VLOOKUP($B112,KOMBI!$A:$ACA,MATCH(AX$5,KOMBI!$10:$10,0),FALSE)</f>
        <v>#NUM!</v>
      </c>
      <c r="AY112" s="292" t="e">
        <f t="array" aca="1" ref="AY112" ca="1">VLOOKUP($B112,KOMBI!$A:$ADS,MATCH(Tulem!AY$3,KOMBI!$A$1:$ADS$1,0),FALSE)</f>
        <v>#NUM!</v>
      </c>
      <c r="AZ112" s="292" t="e">
        <f t="array" aca="1" ref="AZ112" ca="1">VLOOKUP($B112,KOMBI!$A:$ADS,MATCH(Tulem!AZ$3,KOMBI!$A$1:$ADS$1,0),FALSE)</f>
        <v>#NUM!</v>
      </c>
      <c r="BA112" s="292" t="e">
        <f t="array" aca="1" ref="BA112" ca="1">VLOOKUP($B112,KOMBI!$A:$ADS,MATCH(Tulem!BA$3,KOMBI!$A$1:$ADS$1,0),FALSE)</f>
        <v>#NUM!</v>
      </c>
      <c r="BB112" s="292" t="e">
        <f t="array" aca="1" ref="BB112" ca="1">VLOOKUP($B112,KOMBI!$A:$ADS,MATCH(Tulem!BB$3,KOMBI!$A$1:$ADS$1,0),FALSE)</f>
        <v>#NUM!</v>
      </c>
      <c r="BC112" s="292" t="e">
        <f t="array" aca="1" ref="BC112" ca="1">VLOOKUP($B112,KOMBI!$A:$ADS,MATCH(Tulem!BC$3,KOMBI!$A$1:$ADS$1,0),FALSE)</f>
        <v>#NUM!</v>
      </c>
      <c r="BD112" s="292" t="e">
        <f t="array" aca="1" ref="BD112" ca="1">VLOOKUP($B112,KOMBI!$A:$ADS,MATCH(Tulem!BD$3,KOMBI!$A$1:$ADS$1,0),FALSE)</f>
        <v>#NUM!</v>
      </c>
      <c r="BE112" s="292" t="e">
        <f t="array" aca="1" ref="BE112" ca="1">VLOOKUP($B112,KOMBI!$A:$ADS,MATCH(Tulem!BE$3,KOMBI!$A$1:$ADS$1,0),FALSE)</f>
        <v>#NUM!</v>
      </c>
      <c r="BF112" s="292" t="e">
        <f t="array" aca="1" ref="BF112" ca="1">VLOOKUP($B112,KOMBI!$A:$ADS,MATCH(Tulem!BF$3,KOMBI!$A$1:$ADS$1,0),FALSE)</f>
        <v>#NUM!</v>
      </c>
      <c r="BG112" s="292" t="e">
        <f t="array" aca="1" ref="BG112" ca="1">VLOOKUP($B112,KOMBI!$A:$ADS,MATCH(Tulem!BG$3,KOMBI!$A$1:$ADS$1,0),FALSE)</f>
        <v>#NUM!</v>
      </c>
      <c r="BH112" s="292" t="e">
        <f t="array" aca="1" ref="BH112" ca="1">VLOOKUP($B112,KOMBI!$A:$ADS,MATCH(Tulem!BH$3,KOMBI!$A$1:$ADS$1,0),FALSE)</f>
        <v>#NUM!</v>
      </c>
      <c r="BI112" s="292" t="e">
        <f t="array" aca="1" ref="BI112" ca="1">VLOOKUP($B112,KOMBI!$A:$ADS,MATCH(Tulem!BI$3,KOMBI!$A$1:$ADS$1,0),FALSE)</f>
        <v>#NUM!</v>
      </c>
      <c r="BJ112" s="292" t="e">
        <f t="array" aca="1" ref="BJ112" ca="1">VLOOKUP($B112,KOMBI!$A:$ADS,MATCH(Tulem!BJ$3,KOMBI!$A$1:$ADS$1,0),FALSE)</f>
        <v>#NUM!</v>
      </c>
      <c r="BK112" s="292" t="e">
        <f t="array" aca="1" ref="BK112" ca="1">VLOOKUP($B112,KOMBI!$A:$ADS,MATCH(Tulem!BK$3,KOMBI!$A$1:$ADS$1,0),FALSE)</f>
        <v>#NUM!</v>
      </c>
      <c r="BL112" s="292" t="e">
        <f t="array" aca="1" ref="BL112" ca="1">VLOOKUP($B112,KOMBI!$A:$ADS,MATCH(Tulem!BL$3,KOMBI!$A$1:$ADS$1,0),FALSE)</f>
        <v>#NUM!</v>
      </c>
      <c r="BM112" s="292" t="e">
        <f t="array" aca="1" ref="BM112" ca="1">VLOOKUP($B112,KOMBI!$A:$ADS,MATCH(Tulem!BM$3,KOMBI!$A$1:$ADS$1,0),FALSE)</f>
        <v>#NUM!</v>
      </c>
      <c r="BN112" s="292" t="e">
        <f t="array" aca="1" ref="BN112" ca="1">VLOOKUP($B112,KOMBI!$A:$ADS,MATCH(Tulem!BN$3,KOMBI!$A$1:$ADS$1,0),FALSE)</f>
        <v>#NUM!</v>
      </c>
      <c r="BO112" s="292" t="e">
        <f t="array" aca="1" ref="BO112" ca="1">VLOOKUP($B112,KOMBI!$A:$ADS,MATCH(Tulem!BO$3,KOMBI!$A$1:$ADS$1,0),FALSE)</f>
        <v>#NUM!</v>
      </c>
      <c r="BP112" s="291"/>
      <c r="BQ112" s="292" t="e">
        <f t="array" aca="1" ref="BQ112" ca="1">VLOOKUP($B112,KOMBI!$A:$ADS,MATCH(Tulem!BQ$3,KOMBI!$A$1:$ADS$1,0),FALSE)</f>
        <v>#NUM!</v>
      </c>
      <c r="BR112" s="292" t="e">
        <f t="array" aca="1" ref="BR112" ca="1">VLOOKUP($B112,KOMBI!$A:$ADS,MATCH(Tulem!BR$3,KOMBI!$A$1:$ADS$1,0),FALSE)</f>
        <v>#NUM!</v>
      </c>
      <c r="BS112" s="292" t="e">
        <f t="array" aca="1" ref="BS112" ca="1">VLOOKUP($B112,KOMBI!$A:$ADS,MATCH(Tulem!BS$3,KOMBI!$A$1:$ADS$1,0),FALSE)</f>
        <v>#NUM!</v>
      </c>
      <c r="BT112" s="292" t="e">
        <f t="array" aca="1" ref="BT112" ca="1">VLOOKUP($B112,KOMBI!$A:$ADS,MATCH(Tulem!BT$3,KOMBI!$A$1:$ADS$1,0),FALSE)</f>
        <v>#NUM!</v>
      </c>
      <c r="BU112" s="292" t="e">
        <f t="array" aca="1" ref="BU112" ca="1">VLOOKUP($B112,KOMBI!$A:$ADS,MATCH(Tulem!BU$3,KOMBI!$A$1:$ADS$1,0),FALSE)</f>
        <v>#NUM!</v>
      </c>
      <c r="BV112" s="291"/>
      <c r="BW112" s="292" t="e">
        <f t="array" aca="1" ref="BW112" ca="1">VLOOKUP($B112,KOMBI!$A:$ADS,MATCH(Tulem!BW$3,KOMBI!$A$1:$ADS$1,0),FALSE)</f>
        <v>#NUM!</v>
      </c>
      <c r="BX112" s="291"/>
      <c r="BY112" s="291"/>
      <c r="BZ112" s="292" t="e">
        <f t="array" aca="1" ref="BZ112" ca="1">VLOOKUP($B112,KOMBI!$A:$ADS,MATCH(Tulem!BZ$3,KOMBI!$A$1:$ADS$1,0),FALSE)</f>
        <v>#NUM!</v>
      </c>
      <c r="CA112" s="292" t="e">
        <f t="array" aca="1" ref="CA112" ca="1">VLOOKUP($B112,KOMBI!$A:$ADS,MATCH(Tulem!CA$3,KOMBI!$A$1:$ADS$1,0),FALSE)</f>
        <v>#NUM!</v>
      </c>
      <c r="CB112" s="292" t="e">
        <f t="array" aca="1" ref="CB112" ca="1">VLOOKUP($B112,KOMBI!$A:$ADS,MATCH(Tulem!CB$3,KOMBI!$A$1:$ADS$1,0),FALSE)</f>
        <v>#NUM!</v>
      </c>
      <c r="CC112" s="292" t="e">
        <f t="array" aca="1" ref="CC112" ca="1">VLOOKUP($B112,KOMBI!$A:$ADS,MATCH(Tulem!CC$3,KOMBI!$A$1:$ADS$1,0),FALSE)</f>
        <v>#NUM!</v>
      </c>
      <c r="CD112" s="292" t="e">
        <f t="array" aca="1" ref="CD112" ca="1">VLOOKUP($B112,KOMBI!$A:$ADS,MATCH(Tulem!CD$3,KOMBI!$A$1:$ADS$1,0),FALSE)</f>
        <v>#NUM!</v>
      </c>
      <c r="CF112" s="51" t="e">
        <f ca="1">VLOOKUP($B112,KOMBI!$A:$ACG,MATCH(CF$5,KOMBI!$10:$10,0),FALSE)</f>
        <v>#NUM!</v>
      </c>
    </row>
    <row r="113" spans="1:84" x14ac:dyDescent="0.2">
      <c r="A113" s="51">
        <v>108</v>
      </c>
      <c r="B113" s="51" t="e">
        <f ca="1">KOMBI!GI118</f>
        <v>#NUM!</v>
      </c>
      <c r="C113" s="51">
        <f t="shared" si="3"/>
        <v>108</v>
      </c>
      <c r="D113" s="290" t="e">
        <f ca="1">VLOOKUP(VLOOKUP($B113,KOMBI!$A:$H,3,FALSE),data!$I$27:$J$29,2,FALSE)</f>
        <v>#NUM!</v>
      </c>
      <c r="E113" s="290" t="e">
        <f ca="1">VLOOKUP(VLOOKUP($B113,KOMBI!$A:$H,2,FALSE),data!$I$21:$J$23,2,FALSE)</f>
        <v>#NUM!</v>
      </c>
      <c r="F113" s="290" t="e">
        <f ca="1">VLOOKUP(VLOOKUP($B113,KOMBI!$A:$H,5,FALSE),data!$I$39:$J$41,2,FALSE)</f>
        <v>#NUM!</v>
      </c>
      <c r="G113" s="290" t="e">
        <f ca="1">VLOOKUP(VLOOKUP($B113,KOMBI!$A:$H,4,FALSE),data!$I$32:$J$36,2,FALSE)</f>
        <v>#NUM!</v>
      </c>
      <c r="I113" s="51" t="e">
        <f ca="1">VLOOKUP($B113,KOMBI!$A:$Z,MATCH(I$5,KOMBI!$10:$10,0),FALSE)</f>
        <v>#NUM!</v>
      </c>
      <c r="J113" s="291" t="e">
        <f ca="1">VLOOKUP($B113,KOMBI!$A:$ADS,J$3,FALSE)</f>
        <v>#NUM!</v>
      </c>
      <c r="K113" s="291" t="e">
        <f ca="1">VLOOKUP($B113,KOMBI!$A:$ADS,K$3,FALSE)</f>
        <v>#NUM!</v>
      </c>
      <c r="L113" s="291" t="e">
        <f ca="1">VLOOKUP($B113,KOMBI!$A:$ADS,L$3,FALSE)</f>
        <v>#NUM!</v>
      </c>
      <c r="M113" s="291" t="e">
        <f ca="1">VLOOKUP($B113,KOMBI!$A:$ADS,M$3,FALSE)</f>
        <v>#NUM!</v>
      </c>
      <c r="N113" s="291" t="e">
        <f ca="1">VLOOKUP($B113,KOMBI!$A:$ADS,N$3,FALSE)</f>
        <v>#NUM!</v>
      </c>
      <c r="O113" s="291" t="e">
        <f ca="1">VLOOKUP($B113,KOMBI!$A:$ADS,O$3,FALSE)</f>
        <v>#NUM!</v>
      </c>
      <c r="P113" s="291" t="e">
        <f ca="1">VLOOKUP($B113,KOMBI!$A:$ADS,P$3,FALSE)</f>
        <v>#NUM!</v>
      </c>
      <c r="Q113" s="292" t="e">
        <f t="array" aca="1" ref="Q113" ca="1">VLOOKUP($B113,KOMBI!$A:$ADS,MATCH(Tulem!Q$3,KOMBI!$A$1:$ADS$1,0),FALSE)</f>
        <v>#NUM!</v>
      </c>
      <c r="S113" s="332" t="e">
        <f t="array" aca="1" ref="S113" ca="1">VLOOKUP($B113,KOMBI!$A:$ADS,MATCH(Tulem!S$3,KOMBI!$A$1:$ADS$1,0),FALSE)</f>
        <v>#NUM!</v>
      </c>
      <c r="T113" s="293" t="e">
        <f ca="1">VLOOKUP($B113,KOMBI!$A:$ADS,T$3,FALSE)</f>
        <v>#NUM!</v>
      </c>
      <c r="U113" s="293" t="e">
        <f ca="1">VLOOKUP($B113,KOMBI!$A:$ADS,U$3,FALSE)</f>
        <v>#NUM!</v>
      </c>
      <c r="V113" s="293" t="e">
        <f ca="1">VLOOKUP($B113,KOMBI!$A:$ADS,V$3,FALSE)</f>
        <v>#NUM!</v>
      </c>
      <c r="W113" s="293"/>
      <c r="X113" s="293" t="e">
        <f ca="1">VLOOKUP($B113,KOMBI!$A:$ADS,X$3,FALSE)</f>
        <v>#NUM!</v>
      </c>
      <c r="Y113" s="293" t="e">
        <f ca="1">VLOOKUP($B113,KOMBI!$A:$ADS,Y$3,FALSE)</f>
        <v>#NUM!</v>
      </c>
      <c r="Z113" s="293" t="e">
        <f ca="1">VLOOKUP($B113,KOMBI!$A:$ADS,Z$3,FALSE)</f>
        <v>#NUM!</v>
      </c>
      <c r="AA113" s="294"/>
      <c r="AB113" s="293" t="e">
        <f ca="1">VLOOKUP($B113,KOMBI!$A:$ADS,AB$3,FALSE)</f>
        <v>#NUM!</v>
      </c>
      <c r="AC113" s="293" t="e">
        <f ca="1">VLOOKUP($B113,KOMBI!$A:$ADS,AC$3,FALSE)-AB113</f>
        <v>#NUM!</v>
      </c>
      <c r="AD113" s="293" t="e">
        <f ca="1">VLOOKUP($B113,KOMBI!$A:$ADS,AD$3,FALSE)</f>
        <v>#NUM!</v>
      </c>
      <c r="AE113" s="293" t="e">
        <f ca="1">VLOOKUP($B113,KOMBI!$A:$ADS,AE$3,FALSE)</f>
        <v>#NUM!</v>
      </c>
      <c r="AF113" s="293" t="e">
        <f ca="1">VLOOKUP($B113,KOMBI!$A:$ADS,AF$3,FALSE)-AE113</f>
        <v>#NUM!</v>
      </c>
      <c r="AG113" s="293" t="e">
        <f ca="1">VLOOKUP($B113,KOMBI!$A:$ADS,AG$3,FALSE)</f>
        <v>#NUM!</v>
      </c>
      <c r="AI113" s="293" t="e">
        <f t="array" aca="1" ref="AI113" ca="1">VLOOKUP($B113,KOMBI!$A:$ADS,MATCH(Tulem!AI$3,KOMBI!$A$1:$ADS$1,0),FALSE)</f>
        <v>#NUM!</v>
      </c>
      <c r="AJ113" s="293" t="e">
        <f t="array" aca="1" ref="AJ113" ca="1">VLOOKUP($B113,KOMBI!$A:$ADS,MATCH(Tulem!AJ$3,KOMBI!$A$1:$ADS$1,0),FALSE)</f>
        <v>#NUM!</v>
      </c>
      <c r="AK113" s="293" t="e">
        <f t="array" aca="1" ref="AK113" ca="1">VLOOKUP($B113,KOMBI!$A:$ADS,MATCH(Tulem!AK$3,KOMBI!$A$1:$ADS$1,0),FALSE)</f>
        <v>#NUM!</v>
      </c>
      <c r="AL113" s="293" t="e">
        <f t="array" aca="1" ref="AL113" ca="1">VLOOKUP($B113,KOMBI!$A:$ADS,MATCH(Tulem!AL$3,KOMBI!$A$1:$ADS$1,0),FALSE)</f>
        <v>#NUM!</v>
      </c>
      <c r="AM113" s="293" t="e">
        <f t="array" aca="1" ref="AM113" ca="1">VLOOKUP($B113,KOMBI!$A:$ADS,MATCH(Tulem!AM$3,KOMBI!$A$1:$ADS$1,0),FALSE)</f>
        <v>#NUM!</v>
      </c>
      <c r="AN113" s="293" t="e">
        <f t="array" aca="1" ref="AN113" ca="1">VLOOKUP($B113,KOMBI!$A:$ADS,MATCH(Tulem!AN$3,KOMBI!$A$1:$ADS$1,0),FALSE)</f>
        <v>#NUM!</v>
      </c>
      <c r="AO113" s="293" t="e">
        <f t="array" aca="1" ref="AO113" ca="1">VLOOKUP($B113,KOMBI!$A:$ADS,MATCH(Tulem!AO$3,KOMBI!$A$1:$ADS$1,0),FALSE)</f>
        <v>#NUM!</v>
      </c>
      <c r="AP113" s="293" t="e">
        <f t="array" aca="1" ref="AP113" ca="1">VLOOKUP($B113,KOMBI!$A:$ADS,MATCH(Tulem!AP$3,KOMBI!$A$1:$ADS$1,0),FALSE)</f>
        <v>#NUM!</v>
      </c>
      <c r="AQ113" s="293" t="e">
        <f t="array" aca="1" ref="AQ113" ca="1">VLOOKUP($B113,KOMBI!$A:$ADS,MATCH(Tulem!AQ$3,KOMBI!$A$1:$ADS$1,0),FALSE)</f>
        <v>#NUM!</v>
      </c>
      <c r="AR113" s="293" t="e">
        <f t="array" aca="1" ref="AR113" ca="1">VLOOKUP($B113,KOMBI!$A:$ADS,MATCH(Tulem!AR$3,KOMBI!$A$1:$ADS$1,0),FALSE)</f>
        <v>#NUM!</v>
      </c>
      <c r="AS113" s="293" t="e">
        <f t="array" aca="1" ref="AS113" ca="1">VLOOKUP($B113,KOMBI!$A:$ADS,MATCH(Tulem!AS$3,KOMBI!$A$1:$ADS$1,0),FALSE)</f>
        <v>#NUM!</v>
      </c>
      <c r="AT113" s="293" t="e">
        <f t="array" aca="1" ref="AT113" ca="1">VLOOKUP($B113,KOMBI!$A:$ADS,MATCH(Tulem!AT$3,KOMBI!$A$1:$ADS$1,0),FALSE)</f>
        <v>#NUM!</v>
      </c>
      <c r="AU113" s="293" t="e">
        <f t="array" aca="1" ref="AU113" ca="1">VLOOKUP($B113,KOMBI!$A:$ADS,MATCH(Tulem!AU$3,KOMBI!$A$1:$ADS$1,0),FALSE)</f>
        <v>#NUM!</v>
      </c>
      <c r="AV113" s="293" t="e">
        <f t="shared" ca="1" si="4"/>
        <v>#NUM!</v>
      </c>
      <c r="AW113" s="293" t="e">
        <f t="shared" ca="1" si="5"/>
        <v>#NUM!</v>
      </c>
      <c r="AX113" s="291" t="e">
        <f ca="1">VLOOKUP($B113,KOMBI!$A:$ACA,MATCH(AX$5,KOMBI!$10:$10,0),FALSE)</f>
        <v>#NUM!</v>
      </c>
      <c r="AY113" s="292" t="e">
        <f t="array" aca="1" ref="AY113" ca="1">VLOOKUP($B113,KOMBI!$A:$ADS,MATCH(Tulem!AY$3,KOMBI!$A$1:$ADS$1,0),FALSE)</f>
        <v>#NUM!</v>
      </c>
      <c r="AZ113" s="292" t="e">
        <f t="array" aca="1" ref="AZ113" ca="1">VLOOKUP($B113,KOMBI!$A:$ADS,MATCH(Tulem!AZ$3,KOMBI!$A$1:$ADS$1,0),FALSE)</f>
        <v>#NUM!</v>
      </c>
      <c r="BA113" s="292" t="e">
        <f t="array" aca="1" ref="BA113" ca="1">VLOOKUP($B113,KOMBI!$A:$ADS,MATCH(Tulem!BA$3,KOMBI!$A$1:$ADS$1,0),FALSE)</f>
        <v>#NUM!</v>
      </c>
      <c r="BB113" s="292" t="e">
        <f t="array" aca="1" ref="BB113" ca="1">VLOOKUP($B113,KOMBI!$A:$ADS,MATCH(Tulem!BB$3,KOMBI!$A$1:$ADS$1,0),FALSE)</f>
        <v>#NUM!</v>
      </c>
      <c r="BC113" s="292" t="e">
        <f t="array" aca="1" ref="BC113" ca="1">VLOOKUP($B113,KOMBI!$A:$ADS,MATCH(Tulem!BC$3,KOMBI!$A$1:$ADS$1,0),FALSE)</f>
        <v>#NUM!</v>
      </c>
      <c r="BD113" s="292" t="e">
        <f t="array" aca="1" ref="BD113" ca="1">VLOOKUP($B113,KOMBI!$A:$ADS,MATCH(Tulem!BD$3,KOMBI!$A$1:$ADS$1,0),FALSE)</f>
        <v>#NUM!</v>
      </c>
      <c r="BE113" s="292" t="e">
        <f t="array" aca="1" ref="BE113" ca="1">VLOOKUP($B113,KOMBI!$A:$ADS,MATCH(Tulem!BE$3,KOMBI!$A$1:$ADS$1,0),FALSE)</f>
        <v>#NUM!</v>
      </c>
      <c r="BF113" s="292" t="e">
        <f t="array" aca="1" ref="BF113" ca="1">VLOOKUP($B113,KOMBI!$A:$ADS,MATCH(Tulem!BF$3,KOMBI!$A$1:$ADS$1,0),FALSE)</f>
        <v>#NUM!</v>
      </c>
      <c r="BG113" s="292" t="e">
        <f t="array" aca="1" ref="BG113" ca="1">VLOOKUP($B113,KOMBI!$A:$ADS,MATCH(Tulem!BG$3,KOMBI!$A$1:$ADS$1,0),FALSE)</f>
        <v>#NUM!</v>
      </c>
      <c r="BH113" s="292" t="e">
        <f t="array" aca="1" ref="BH113" ca="1">VLOOKUP($B113,KOMBI!$A:$ADS,MATCH(Tulem!BH$3,KOMBI!$A$1:$ADS$1,0),FALSE)</f>
        <v>#NUM!</v>
      </c>
      <c r="BI113" s="292" t="e">
        <f t="array" aca="1" ref="BI113" ca="1">VLOOKUP($B113,KOMBI!$A:$ADS,MATCH(Tulem!BI$3,KOMBI!$A$1:$ADS$1,0),FALSE)</f>
        <v>#NUM!</v>
      </c>
      <c r="BJ113" s="292" t="e">
        <f t="array" aca="1" ref="BJ113" ca="1">VLOOKUP($B113,KOMBI!$A:$ADS,MATCH(Tulem!BJ$3,KOMBI!$A$1:$ADS$1,0),FALSE)</f>
        <v>#NUM!</v>
      </c>
      <c r="BK113" s="292" t="e">
        <f t="array" aca="1" ref="BK113" ca="1">VLOOKUP($B113,KOMBI!$A:$ADS,MATCH(Tulem!BK$3,KOMBI!$A$1:$ADS$1,0),FALSE)</f>
        <v>#NUM!</v>
      </c>
      <c r="BL113" s="292" t="e">
        <f t="array" aca="1" ref="BL113" ca="1">VLOOKUP($B113,KOMBI!$A:$ADS,MATCH(Tulem!BL$3,KOMBI!$A$1:$ADS$1,0),FALSE)</f>
        <v>#NUM!</v>
      </c>
      <c r="BM113" s="292" t="e">
        <f t="array" aca="1" ref="BM113" ca="1">VLOOKUP($B113,KOMBI!$A:$ADS,MATCH(Tulem!BM$3,KOMBI!$A$1:$ADS$1,0),FALSE)</f>
        <v>#NUM!</v>
      </c>
      <c r="BN113" s="292" t="e">
        <f t="array" aca="1" ref="BN113" ca="1">VLOOKUP($B113,KOMBI!$A:$ADS,MATCH(Tulem!BN$3,KOMBI!$A$1:$ADS$1,0),FALSE)</f>
        <v>#NUM!</v>
      </c>
      <c r="BO113" s="292" t="e">
        <f t="array" aca="1" ref="BO113" ca="1">VLOOKUP($B113,KOMBI!$A:$ADS,MATCH(Tulem!BO$3,KOMBI!$A$1:$ADS$1,0),FALSE)</f>
        <v>#NUM!</v>
      </c>
      <c r="BP113" s="291"/>
      <c r="BQ113" s="292" t="e">
        <f t="array" aca="1" ref="BQ113" ca="1">VLOOKUP($B113,KOMBI!$A:$ADS,MATCH(Tulem!BQ$3,KOMBI!$A$1:$ADS$1,0),FALSE)</f>
        <v>#NUM!</v>
      </c>
      <c r="BR113" s="292" t="e">
        <f t="array" aca="1" ref="BR113" ca="1">VLOOKUP($B113,KOMBI!$A:$ADS,MATCH(Tulem!BR$3,KOMBI!$A$1:$ADS$1,0),FALSE)</f>
        <v>#NUM!</v>
      </c>
      <c r="BS113" s="292" t="e">
        <f t="array" aca="1" ref="BS113" ca="1">VLOOKUP($B113,KOMBI!$A:$ADS,MATCH(Tulem!BS$3,KOMBI!$A$1:$ADS$1,0),FALSE)</f>
        <v>#NUM!</v>
      </c>
      <c r="BT113" s="292" t="e">
        <f t="array" aca="1" ref="BT113" ca="1">VLOOKUP($B113,KOMBI!$A:$ADS,MATCH(Tulem!BT$3,KOMBI!$A$1:$ADS$1,0),FALSE)</f>
        <v>#NUM!</v>
      </c>
      <c r="BU113" s="292" t="e">
        <f t="array" aca="1" ref="BU113" ca="1">VLOOKUP($B113,KOMBI!$A:$ADS,MATCH(Tulem!BU$3,KOMBI!$A$1:$ADS$1,0),FALSE)</f>
        <v>#NUM!</v>
      </c>
      <c r="BV113" s="291"/>
      <c r="BW113" s="292" t="e">
        <f t="array" aca="1" ref="BW113" ca="1">VLOOKUP($B113,KOMBI!$A:$ADS,MATCH(Tulem!BW$3,KOMBI!$A$1:$ADS$1,0),FALSE)</f>
        <v>#NUM!</v>
      </c>
      <c r="BX113" s="291"/>
      <c r="BY113" s="291"/>
      <c r="BZ113" s="292" t="e">
        <f t="array" aca="1" ref="BZ113" ca="1">VLOOKUP($B113,KOMBI!$A:$ADS,MATCH(Tulem!BZ$3,KOMBI!$A$1:$ADS$1,0),FALSE)</f>
        <v>#NUM!</v>
      </c>
      <c r="CA113" s="292" t="e">
        <f t="array" aca="1" ref="CA113" ca="1">VLOOKUP($B113,KOMBI!$A:$ADS,MATCH(Tulem!CA$3,KOMBI!$A$1:$ADS$1,0),FALSE)</f>
        <v>#NUM!</v>
      </c>
      <c r="CB113" s="292" t="e">
        <f t="array" aca="1" ref="CB113" ca="1">VLOOKUP($B113,KOMBI!$A:$ADS,MATCH(Tulem!CB$3,KOMBI!$A$1:$ADS$1,0),FALSE)</f>
        <v>#NUM!</v>
      </c>
      <c r="CC113" s="292" t="e">
        <f t="array" aca="1" ref="CC113" ca="1">VLOOKUP($B113,KOMBI!$A:$ADS,MATCH(Tulem!CC$3,KOMBI!$A$1:$ADS$1,0),FALSE)</f>
        <v>#NUM!</v>
      </c>
      <c r="CD113" s="292" t="e">
        <f t="array" aca="1" ref="CD113" ca="1">VLOOKUP($B113,KOMBI!$A:$ADS,MATCH(Tulem!CD$3,KOMBI!$A$1:$ADS$1,0),FALSE)</f>
        <v>#NUM!</v>
      </c>
      <c r="CF113" s="51" t="e">
        <f ca="1">VLOOKUP($B113,KOMBI!$A:$ACG,MATCH(CF$5,KOMBI!$10:$10,0),FALSE)</f>
        <v>#NUM!</v>
      </c>
    </row>
    <row r="114" spans="1:84" x14ac:dyDescent="0.2">
      <c r="A114" s="51">
        <v>109</v>
      </c>
      <c r="B114" s="51" t="e">
        <f ca="1">KOMBI!GI119</f>
        <v>#NUM!</v>
      </c>
      <c r="C114" s="51">
        <f t="shared" si="3"/>
        <v>109</v>
      </c>
      <c r="D114" s="290" t="e">
        <f ca="1">VLOOKUP(VLOOKUP($B114,KOMBI!$A:$H,3,FALSE),data!$I$27:$J$29,2,FALSE)</f>
        <v>#NUM!</v>
      </c>
      <c r="E114" s="290" t="e">
        <f ca="1">VLOOKUP(VLOOKUP($B114,KOMBI!$A:$H,2,FALSE),data!$I$21:$J$23,2,FALSE)</f>
        <v>#NUM!</v>
      </c>
      <c r="F114" s="290" t="e">
        <f ca="1">VLOOKUP(VLOOKUP($B114,KOMBI!$A:$H,5,FALSE),data!$I$39:$J$41,2,FALSE)</f>
        <v>#NUM!</v>
      </c>
      <c r="G114" s="290" t="e">
        <f ca="1">VLOOKUP(VLOOKUP($B114,KOMBI!$A:$H,4,FALSE),data!$I$32:$J$36,2,FALSE)</f>
        <v>#NUM!</v>
      </c>
      <c r="I114" s="51" t="e">
        <f ca="1">VLOOKUP($B114,KOMBI!$A:$Z,MATCH(I$5,KOMBI!$10:$10,0),FALSE)</f>
        <v>#NUM!</v>
      </c>
      <c r="J114" s="291" t="e">
        <f ca="1">VLOOKUP($B114,KOMBI!$A:$ADS,J$3,FALSE)</f>
        <v>#NUM!</v>
      </c>
      <c r="K114" s="291" t="e">
        <f ca="1">VLOOKUP($B114,KOMBI!$A:$ADS,K$3,FALSE)</f>
        <v>#NUM!</v>
      </c>
      <c r="L114" s="291" t="e">
        <f ca="1">VLOOKUP($B114,KOMBI!$A:$ADS,L$3,FALSE)</f>
        <v>#NUM!</v>
      </c>
      <c r="M114" s="291" t="e">
        <f ca="1">VLOOKUP($B114,KOMBI!$A:$ADS,M$3,FALSE)</f>
        <v>#NUM!</v>
      </c>
      <c r="N114" s="291" t="e">
        <f ca="1">VLOOKUP($B114,KOMBI!$A:$ADS,N$3,FALSE)</f>
        <v>#NUM!</v>
      </c>
      <c r="O114" s="291" t="e">
        <f ca="1">VLOOKUP($B114,KOMBI!$A:$ADS,O$3,FALSE)</f>
        <v>#NUM!</v>
      </c>
      <c r="P114" s="291" t="e">
        <f ca="1">VLOOKUP($B114,KOMBI!$A:$ADS,P$3,FALSE)</f>
        <v>#NUM!</v>
      </c>
      <c r="Q114" s="292" t="e">
        <f t="array" aca="1" ref="Q114" ca="1">VLOOKUP($B114,KOMBI!$A:$ADS,MATCH(Tulem!Q$3,KOMBI!$A$1:$ADS$1,0),FALSE)</f>
        <v>#NUM!</v>
      </c>
      <c r="S114" s="332" t="e">
        <f t="array" aca="1" ref="S114" ca="1">VLOOKUP($B114,KOMBI!$A:$ADS,MATCH(Tulem!S$3,KOMBI!$A$1:$ADS$1,0),FALSE)</f>
        <v>#NUM!</v>
      </c>
      <c r="T114" s="293" t="e">
        <f ca="1">VLOOKUP($B114,KOMBI!$A:$ADS,T$3,FALSE)</f>
        <v>#NUM!</v>
      </c>
      <c r="U114" s="293" t="e">
        <f ca="1">VLOOKUP($B114,KOMBI!$A:$ADS,U$3,FALSE)</f>
        <v>#NUM!</v>
      </c>
      <c r="V114" s="293" t="e">
        <f ca="1">VLOOKUP($B114,KOMBI!$A:$ADS,V$3,FALSE)</f>
        <v>#NUM!</v>
      </c>
      <c r="W114" s="293"/>
      <c r="X114" s="293" t="e">
        <f ca="1">VLOOKUP($B114,KOMBI!$A:$ADS,X$3,FALSE)</f>
        <v>#NUM!</v>
      </c>
      <c r="Y114" s="293" t="e">
        <f ca="1">VLOOKUP($B114,KOMBI!$A:$ADS,Y$3,FALSE)</f>
        <v>#NUM!</v>
      </c>
      <c r="Z114" s="293" t="e">
        <f ca="1">VLOOKUP($B114,KOMBI!$A:$ADS,Z$3,FALSE)</f>
        <v>#NUM!</v>
      </c>
      <c r="AA114" s="294"/>
      <c r="AB114" s="293" t="e">
        <f ca="1">VLOOKUP($B114,KOMBI!$A:$ADS,AB$3,FALSE)</f>
        <v>#NUM!</v>
      </c>
      <c r="AC114" s="293" t="e">
        <f ca="1">VLOOKUP($B114,KOMBI!$A:$ADS,AC$3,FALSE)-AB114</f>
        <v>#NUM!</v>
      </c>
      <c r="AD114" s="293" t="e">
        <f ca="1">VLOOKUP($B114,KOMBI!$A:$ADS,AD$3,FALSE)</f>
        <v>#NUM!</v>
      </c>
      <c r="AE114" s="293" t="e">
        <f ca="1">VLOOKUP($B114,KOMBI!$A:$ADS,AE$3,FALSE)</f>
        <v>#NUM!</v>
      </c>
      <c r="AF114" s="293" t="e">
        <f ca="1">VLOOKUP($B114,KOMBI!$A:$ADS,AF$3,FALSE)-AE114</f>
        <v>#NUM!</v>
      </c>
      <c r="AG114" s="293" t="e">
        <f ca="1">VLOOKUP($B114,KOMBI!$A:$ADS,AG$3,FALSE)</f>
        <v>#NUM!</v>
      </c>
      <c r="AI114" s="293" t="e">
        <f t="array" aca="1" ref="AI114" ca="1">VLOOKUP($B114,KOMBI!$A:$ADS,MATCH(Tulem!AI$3,KOMBI!$A$1:$ADS$1,0),FALSE)</f>
        <v>#NUM!</v>
      </c>
      <c r="AJ114" s="293" t="e">
        <f t="array" aca="1" ref="AJ114" ca="1">VLOOKUP($B114,KOMBI!$A:$ADS,MATCH(Tulem!AJ$3,KOMBI!$A$1:$ADS$1,0),FALSE)</f>
        <v>#NUM!</v>
      </c>
      <c r="AK114" s="293" t="e">
        <f t="array" aca="1" ref="AK114" ca="1">VLOOKUP($B114,KOMBI!$A:$ADS,MATCH(Tulem!AK$3,KOMBI!$A$1:$ADS$1,0),FALSE)</f>
        <v>#NUM!</v>
      </c>
      <c r="AL114" s="293" t="e">
        <f t="array" aca="1" ref="AL114" ca="1">VLOOKUP($B114,KOMBI!$A:$ADS,MATCH(Tulem!AL$3,KOMBI!$A$1:$ADS$1,0),FALSE)</f>
        <v>#NUM!</v>
      </c>
      <c r="AM114" s="293" t="e">
        <f t="array" aca="1" ref="AM114" ca="1">VLOOKUP($B114,KOMBI!$A:$ADS,MATCH(Tulem!AM$3,KOMBI!$A$1:$ADS$1,0),FALSE)</f>
        <v>#NUM!</v>
      </c>
      <c r="AN114" s="293" t="e">
        <f t="array" aca="1" ref="AN114" ca="1">VLOOKUP($B114,KOMBI!$A:$ADS,MATCH(Tulem!AN$3,KOMBI!$A$1:$ADS$1,0),FALSE)</f>
        <v>#NUM!</v>
      </c>
      <c r="AO114" s="293" t="e">
        <f t="array" aca="1" ref="AO114" ca="1">VLOOKUP($B114,KOMBI!$A:$ADS,MATCH(Tulem!AO$3,KOMBI!$A$1:$ADS$1,0),FALSE)</f>
        <v>#NUM!</v>
      </c>
      <c r="AP114" s="293" t="e">
        <f t="array" aca="1" ref="AP114" ca="1">VLOOKUP($B114,KOMBI!$A:$ADS,MATCH(Tulem!AP$3,KOMBI!$A$1:$ADS$1,0),FALSE)</f>
        <v>#NUM!</v>
      </c>
      <c r="AQ114" s="293" t="e">
        <f t="array" aca="1" ref="AQ114" ca="1">VLOOKUP($B114,KOMBI!$A:$ADS,MATCH(Tulem!AQ$3,KOMBI!$A$1:$ADS$1,0),FALSE)</f>
        <v>#NUM!</v>
      </c>
      <c r="AR114" s="293" t="e">
        <f t="array" aca="1" ref="AR114" ca="1">VLOOKUP($B114,KOMBI!$A:$ADS,MATCH(Tulem!AR$3,KOMBI!$A$1:$ADS$1,0),FALSE)</f>
        <v>#NUM!</v>
      </c>
      <c r="AS114" s="293" t="e">
        <f t="array" aca="1" ref="AS114" ca="1">VLOOKUP($B114,KOMBI!$A:$ADS,MATCH(Tulem!AS$3,KOMBI!$A$1:$ADS$1,0),FALSE)</f>
        <v>#NUM!</v>
      </c>
      <c r="AT114" s="293" t="e">
        <f t="array" aca="1" ref="AT114" ca="1">VLOOKUP($B114,KOMBI!$A:$ADS,MATCH(Tulem!AT$3,KOMBI!$A$1:$ADS$1,0),FALSE)</f>
        <v>#NUM!</v>
      </c>
      <c r="AU114" s="293" t="e">
        <f t="array" aca="1" ref="AU114" ca="1">VLOOKUP($B114,KOMBI!$A:$ADS,MATCH(Tulem!AU$3,KOMBI!$A$1:$ADS$1,0),FALSE)</f>
        <v>#NUM!</v>
      </c>
      <c r="AV114" s="293" t="e">
        <f t="shared" ca="1" si="4"/>
        <v>#NUM!</v>
      </c>
      <c r="AW114" s="293" t="e">
        <f t="shared" ca="1" si="5"/>
        <v>#NUM!</v>
      </c>
      <c r="AX114" s="291" t="e">
        <f ca="1">VLOOKUP($B114,KOMBI!$A:$ACA,MATCH(AX$5,KOMBI!$10:$10,0),FALSE)</f>
        <v>#NUM!</v>
      </c>
      <c r="AY114" s="292" t="e">
        <f t="array" aca="1" ref="AY114" ca="1">VLOOKUP($B114,KOMBI!$A:$ADS,MATCH(Tulem!AY$3,KOMBI!$A$1:$ADS$1,0),FALSE)</f>
        <v>#NUM!</v>
      </c>
      <c r="AZ114" s="292" t="e">
        <f t="array" aca="1" ref="AZ114" ca="1">VLOOKUP($B114,KOMBI!$A:$ADS,MATCH(Tulem!AZ$3,KOMBI!$A$1:$ADS$1,0),FALSE)</f>
        <v>#NUM!</v>
      </c>
      <c r="BA114" s="292" t="e">
        <f t="array" aca="1" ref="BA114" ca="1">VLOOKUP($B114,KOMBI!$A:$ADS,MATCH(Tulem!BA$3,KOMBI!$A$1:$ADS$1,0),FALSE)</f>
        <v>#NUM!</v>
      </c>
      <c r="BB114" s="292" t="e">
        <f t="array" aca="1" ref="BB114" ca="1">VLOOKUP($B114,KOMBI!$A:$ADS,MATCH(Tulem!BB$3,KOMBI!$A$1:$ADS$1,0),FALSE)</f>
        <v>#NUM!</v>
      </c>
      <c r="BC114" s="292" t="e">
        <f t="array" aca="1" ref="BC114" ca="1">VLOOKUP($B114,KOMBI!$A:$ADS,MATCH(Tulem!BC$3,KOMBI!$A$1:$ADS$1,0),FALSE)</f>
        <v>#NUM!</v>
      </c>
      <c r="BD114" s="292" t="e">
        <f t="array" aca="1" ref="BD114" ca="1">VLOOKUP($B114,KOMBI!$A:$ADS,MATCH(Tulem!BD$3,KOMBI!$A$1:$ADS$1,0),FALSE)</f>
        <v>#NUM!</v>
      </c>
      <c r="BE114" s="292" t="e">
        <f t="array" aca="1" ref="BE114" ca="1">VLOOKUP($B114,KOMBI!$A:$ADS,MATCH(Tulem!BE$3,KOMBI!$A$1:$ADS$1,0),FALSE)</f>
        <v>#NUM!</v>
      </c>
      <c r="BF114" s="292" t="e">
        <f t="array" aca="1" ref="BF114" ca="1">VLOOKUP($B114,KOMBI!$A:$ADS,MATCH(Tulem!BF$3,KOMBI!$A$1:$ADS$1,0),FALSE)</f>
        <v>#NUM!</v>
      </c>
      <c r="BG114" s="292" t="e">
        <f t="array" aca="1" ref="BG114" ca="1">VLOOKUP($B114,KOMBI!$A:$ADS,MATCH(Tulem!BG$3,KOMBI!$A$1:$ADS$1,0),FALSE)</f>
        <v>#NUM!</v>
      </c>
      <c r="BH114" s="292" t="e">
        <f t="array" aca="1" ref="BH114" ca="1">VLOOKUP($B114,KOMBI!$A:$ADS,MATCH(Tulem!BH$3,KOMBI!$A$1:$ADS$1,0),FALSE)</f>
        <v>#NUM!</v>
      </c>
      <c r="BI114" s="292" t="e">
        <f t="array" aca="1" ref="BI114" ca="1">VLOOKUP($B114,KOMBI!$A:$ADS,MATCH(Tulem!BI$3,KOMBI!$A$1:$ADS$1,0),FALSE)</f>
        <v>#NUM!</v>
      </c>
      <c r="BJ114" s="292" t="e">
        <f t="array" aca="1" ref="BJ114" ca="1">VLOOKUP($B114,KOMBI!$A:$ADS,MATCH(Tulem!BJ$3,KOMBI!$A$1:$ADS$1,0),FALSE)</f>
        <v>#NUM!</v>
      </c>
      <c r="BK114" s="292" t="e">
        <f t="array" aca="1" ref="BK114" ca="1">VLOOKUP($B114,KOMBI!$A:$ADS,MATCH(Tulem!BK$3,KOMBI!$A$1:$ADS$1,0),FALSE)</f>
        <v>#NUM!</v>
      </c>
      <c r="BL114" s="292" t="e">
        <f t="array" aca="1" ref="BL114" ca="1">VLOOKUP($B114,KOMBI!$A:$ADS,MATCH(Tulem!BL$3,KOMBI!$A$1:$ADS$1,0),FALSE)</f>
        <v>#NUM!</v>
      </c>
      <c r="BM114" s="292" t="e">
        <f t="array" aca="1" ref="BM114" ca="1">VLOOKUP($B114,KOMBI!$A:$ADS,MATCH(Tulem!BM$3,KOMBI!$A$1:$ADS$1,0),FALSE)</f>
        <v>#NUM!</v>
      </c>
      <c r="BN114" s="292" t="e">
        <f t="array" aca="1" ref="BN114" ca="1">VLOOKUP($B114,KOMBI!$A:$ADS,MATCH(Tulem!BN$3,KOMBI!$A$1:$ADS$1,0),FALSE)</f>
        <v>#NUM!</v>
      </c>
      <c r="BO114" s="292" t="e">
        <f t="array" aca="1" ref="BO114" ca="1">VLOOKUP($B114,KOMBI!$A:$ADS,MATCH(Tulem!BO$3,KOMBI!$A$1:$ADS$1,0),FALSE)</f>
        <v>#NUM!</v>
      </c>
      <c r="BP114" s="291"/>
      <c r="BQ114" s="292" t="e">
        <f t="array" aca="1" ref="BQ114" ca="1">VLOOKUP($B114,KOMBI!$A:$ADS,MATCH(Tulem!BQ$3,KOMBI!$A$1:$ADS$1,0),FALSE)</f>
        <v>#NUM!</v>
      </c>
      <c r="BR114" s="292" t="e">
        <f t="array" aca="1" ref="BR114" ca="1">VLOOKUP($B114,KOMBI!$A:$ADS,MATCH(Tulem!BR$3,KOMBI!$A$1:$ADS$1,0),FALSE)</f>
        <v>#NUM!</v>
      </c>
      <c r="BS114" s="292" t="e">
        <f t="array" aca="1" ref="BS114" ca="1">VLOOKUP($B114,KOMBI!$A:$ADS,MATCH(Tulem!BS$3,KOMBI!$A$1:$ADS$1,0),FALSE)</f>
        <v>#NUM!</v>
      </c>
      <c r="BT114" s="292" t="e">
        <f t="array" aca="1" ref="BT114" ca="1">VLOOKUP($B114,KOMBI!$A:$ADS,MATCH(Tulem!BT$3,KOMBI!$A$1:$ADS$1,0),FALSE)</f>
        <v>#NUM!</v>
      </c>
      <c r="BU114" s="292" t="e">
        <f t="array" aca="1" ref="BU114" ca="1">VLOOKUP($B114,KOMBI!$A:$ADS,MATCH(Tulem!BU$3,KOMBI!$A$1:$ADS$1,0),FALSE)</f>
        <v>#NUM!</v>
      </c>
      <c r="BV114" s="291"/>
      <c r="BW114" s="292" t="e">
        <f t="array" aca="1" ref="BW114" ca="1">VLOOKUP($B114,KOMBI!$A:$ADS,MATCH(Tulem!BW$3,KOMBI!$A$1:$ADS$1,0),FALSE)</f>
        <v>#NUM!</v>
      </c>
      <c r="BX114" s="291"/>
      <c r="BY114" s="291"/>
      <c r="BZ114" s="292" t="e">
        <f t="array" aca="1" ref="BZ114" ca="1">VLOOKUP($B114,KOMBI!$A:$ADS,MATCH(Tulem!BZ$3,KOMBI!$A$1:$ADS$1,0),FALSE)</f>
        <v>#NUM!</v>
      </c>
      <c r="CA114" s="292" t="e">
        <f t="array" aca="1" ref="CA114" ca="1">VLOOKUP($B114,KOMBI!$A:$ADS,MATCH(Tulem!CA$3,KOMBI!$A$1:$ADS$1,0),FALSE)</f>
        <v>#NUM!</v>
      </c>
      <c r="CB114" s="292" t="e">
        <f t="array" aca="1" ref="CB114" ca="1">VLOOKUP($B114,KOMBI!$A:$ADS,MATCH(Tulem!CB$3,KOMBI!$A$1:$ADS$1,0),FALSE)</f>
        <v>#NUM!</v>
      </c>
      <c r="CC114" s="292" t="e">
        <f t="array" aca="1" ref="CC114" ca="1">VLOOKUP($B114,KOMBI!$A:$ADS,MATCH(Tulem!CC$3,KOMBI!$A$1:$ADS$1,0),FALSE)</f>
        <v>#NUM!</v>
      </c>
      <c r="CD114" s="292" t="e">
        <f t="array" aca="1" ref="CD114" ca="1">VLOOKUP($B114,KOMBI!$A:$ADS,MATCH(Tulem!CD$3,KOMBI!$A$1:$ADS$1,0),FALSE)</f>
        <v>#NUM!</v>
      </c>
      <c r="CF114" s="51" t="e">
        <f ca="1">VLOOKUP($B114,KOMBI!$A:$ACG,MATCH(CF$5,KOMBI!$10:$10,0),FALSE)</f>
        <v>#NUM!</v>
      </c>
    </row>
    <row r="115" spans="1:84" x14ac:dyDescent="0.2">
      <c r="A115" s="51">
        <v>110</v>
      </c>
      <c r="B115" s="51" t="e">
        <f ca="1">KOMBI!GI120</f>
        <v>#NUM!</v>
      </c>
      <c r="C115" s="51">
        <f t="shared" si="3"/>
        <v>110</v>
      </c>
      <c r="D115" s="290" t="e">
        <f ca="1">VLOOKUP(VLOOKUP($B115,KOMBI!$A:$H,3,FALSE),data!$I$27:$J$29,2,FALSE)</f>
        <v>#NUM!</v>
      </c>
      <c r="E115" s="290" t="e">
        <f ca="1">VLOOKUP(VLOOKUP($B115,KOMBI!$A:$H,2,FALSE),data!$I$21:$J$23,2,FALSE)</f>
        <v>#NUM!</v>
      </c>
      <c r="F115" s="290" t="e">
        <f ca="1">VLOOKUP(VLOOKUP($B115,KOMBI!$A:$H,5,FALSE),data!$I$39:$J$41,2,FALSE)</f>
        <v>#NUM!</v>
      </c>
      <c r="G115" s="290" t="e">
        <f ca="1">VLOOKUP(VLOOKUP($B115,KOMBI!$A:$H,4,FALSE),data!$I$32:$J$36,2,FALSE)</f>
        <v>#NUM!</v>
      </c>
      <c r="I115" s="51" t="e">
        <f ca="1">VLOOKUP($B115,KOMBI!$A:$Z,MATCH(I$5,KOMBI!$10:$10,0),FALSE)</f>
        <v>#NUM!</v>
      </c>
      <c r="J115" s="291" t="e">
        <f ca="1">VLOOKUP($B115,KOMBI!$A:$ADS,J$3,FALSE)</f>
        <v>#NUM!</v>
      </c>
      <c r="K115" s="291" t="e">
        <f ca="1">VLOOKUP($B115,KOMBI!$A:$ADS,K$3,FALSE)</f>
        <v>#NUM!</v>
      </c>
      <c r="L115" s="291" t="e">
        <f ca="1">VLOOKUP($B115,KOMBI!$A:$ADS,L$3,FALSE)</f>
        <v>#NUM!</v>
      </c>
      <c r="M115" s="291" t="e">
        <f ca="1">VLOOKUP($B115,KOMBI!$A:$ADS,M$3,FALSE)</f>
        <v>#NUM!</v>
      </c>
      <c r="N115" s="291" t="e">
        <f ca="1">VLOOKUP($B115,KOMBI!$A:$ADS,N$3,FALSE)</f>
        <v>#NUM!</v>
      </c>
      <c r="O115" s="291" t="e">
        <f ca="1">VLOOKUP($B115,KOMBI!$A:$ADS,O$3,FALSE)</f>
        <v>#NUM!</v>
      </c>
      <c r="P115" s="291" t="e">
        <f ca="1">VLOOKUP($B115,KOMBI!$A:$ADS,P$3,FALSE)</f>
        <v>#NUM!</v>
      </c>
      <c r="Q115" s="292" t="e">
        <f t="array" aca="1" ref="Q115" ca="1">VLOOKUP($B115,KOMBI!$A:$ADS,MATCH(Tulem!Q$3,KOMBI!$A$1:$ADS$1,0),FALSE)</f>
        <v>#NUM!</v>
      </c>
      <c r="S115" s="332" t="e">
        <f t="array" aca="1" ref="S115" ca="1">VLOOKUP($B115,KOMBI!$A:$ADS,MATCH(Tulem!S$3,KOMBI!$A$1:$ADS$1,0),FALSE)</f>
        <v>#NUM!</v>
      </c>
      <c r="T115" s="293" t="e">
        <f ca="1">VLOOKUP($B115,KOMBI!$A:$ADS,T$3,FALSE)</f>
        <v>#NUM!</v>
      </c>
      <c r="U115" s="293" t="e">
        <f ca="1">VLOOKUP($B115,KOMBI!$A:$ADS,U$3,FALSE)</f>
        <v>#NUM!</v>
      </c>
      <c r="V115" s="293" t="e">
        <f ca="1">VLOOKUP($B115,KOMBI!$A:$ADS,V$3,FALSE)</f>
        <v>#NUM!</v>
      </c>
      <c r="W115" s="293"/>
      <c r="X115" s="293" t="e">
        <f ca="1">VLOOKUP($B115,KOMBI!$A:$ADS,X$3,FALSE)</f>
        <v>#NUM!</v>
      </c>
      <c r="Y115" s="293" t="e">
        <f ca="1">VLOOKUP($B115,KOMBI!$A:$ADS,Y$3,FALSE)</f>
        <v>#NUM!</v>
      </c>
      <c r="Z115" s="293" t="e">
        <f ca="1">VLOOKUP($B115,KOMBI!$A:$ADS,Z$3,FALSE)</f>
        <v>#NUM!</v>
      </c>
      <c r="AA115" s="294"/>
      <c r="AB115" s="293" t="e">
        <f ca="1">VLOOKUP($B115,KOMBI!$A:$ADS,AB$3,FALSE)</f>
        <v>#NUM!</v>
      </c>
      <c r="AC115" s="293" t="e">
        <f ca="1">VLOOKUP($B115,KOMBI!$A:$ADS,AC$3,FALSE)-AB115</f>
        <v>#NUM!</v>
      </c>
      <c r="AD115" s="293" t="e">
        <f ca="1">VLOOKUP($B115,KOMBI!$A:$ADS,AD$3,FALSE)</f>
        <v>#NUM!</v>
      </c>
      <c r="AE115" s="293" t="e">
        <f ca="1">VLOOKUP($B115,KOMBI!$A:$ADS,AE$3,FALSE)</f>
        <v>#NUM!</v>
      </c>
      <c r="AF115" s="293" t="e">
        <f ca="1">VLOOKUP($B115,KOMBI!$A:$ADS,AF$3,FALSE)-AE115</f>
        <v>#NUM!</v>
      </c>
      <c r="AG115" s="293" t="e">
        <f ca="1">VLOOKUP($B115,KOMBI!$A:$ADS,AG$3,FALSE)</f>
        <v>#NUM!</v>
      </c>
      <c r="AI115" s="293" t="e">
        <f t="array" aca="1" ref="AI115" ca="1">VLOOKUP($B115,KOMBI!$A:$ADS,MATCH(Tulem!AI$3,KOMBI!$A$1:$ADS$1,0),FALSE)</f>
        <v>#NUM!</v>
      </c>
      <c r="AJ115" s="293" t="e">
        <f t="array" aca="1" ref="AJ115" ca="1">VLOOKUP($B115,KOMBI!$A:$ADS,MATCH(Tulem!AJ$3,KOMBI!$A$1:$ADS$1,0),FALSE)</f>
        <v>#NUM!</v>
      </c>
      <c r="AK115" s="293" t="e">
        <f t="array" aca="1" ref="AK115" ca="1">VLOOKUP($B115,KOMBI!$A:$ADS,MATCH(Tulem!AK$3,KOMBI!$A$1:$ADS$1,0),FALSE)</f>
        <v>#NUM!</v>
      </c>
      <c r="AL115" s="293" t="e">
        <f t="array" aca="1" ref="AL115" ca="1">VLOOKUP($B115,KOMBI!$A:$ADS,MATCH(Tulem!AL$3,KOMBI!$A$1:$ADS$1,0),FALSE)</f>
        <v>#NUM!</v>
      </c>
      <c r="AM115" s="293" t="e">
        <f t="array" aca="1" ref="AM115" ca="1">VLOOKUP($B115,KOMBI!$A:$ADS,MATCH(Tulem!AM$3,KOMBI!$A$1:$ADS$1,0),FALSE)</f>
        <v>#NUM!</v>
      </c>
      <c r="AN115" s="293" t="e">
        <f t="array" aca="1" ref="AN115" ca="1">VLOOKUP($B115,KOMBI!$A:$ADS,MATCH(Tulem!AN$3,KOMBI!$A$1:$ADS$1,0),FALSE)</f>
        <v>#NUM!</v>
      </c>
      <c r="AO115" s="293" t="e">
        <f t="array" aca="1" ref="AO115" ca="1">VLOOKUP($B115,KOMBI!$A:$ADS,MATCH(Tulem!AO$3,KOMBI!$A$1:$ADS$1,0),FALSE)</f>
        <v>#NUM!</v>
      </c>
      <c r="AP115" s="293" t="e">
        <f t="array" aca="1" ref="AP115" ca="1">VLOOKUP($B115,KOMBI!$A:$ADS,MATCH(Tulem!AP$3,KOMBI!$A$1:$ADS$1,0),FALSE)</f>
        <v>#NUM!</v>
      </c>
      <c r="AQ115" s="293" t="e">
        <f t="array" aca="1" ref="AQ115" ca="1">VLOOKUP($B115,KOMBI!$A:$ADS,MATCH(Tulem!AQ$3,KOMBI!$A$1:$ADS$1,0),FALSE)</f>
        <v>#NUM!</v>
      </c>
      <c r="AR115" s="293" t="e">
        <f t="array" aca="1" ref="AR115" ca="1">VLOOKUP($B115,KOMBI!$A:$ADS,MATCH(Tulem!AR$3,KOMBI!$A$1:$ADS$1,0),FALSE)</f>
        <v>#NUM!</v>
      </c>
      <c r="AS115" s="293" t="e">
        <f t="array" aca="1" ref="AS115" ca="1">VLOOKUP($B115,KOMBI!$A:$ADS,MATCH(Tulem!AS$3,KOMBI!$A$1:$ADS$1,0),FALSE)</f>
        <v>#NUM!</v>
      </c>
      <c r="AT115" s="293" t="e">
        <f t="array" aca="1" ref="AT115" ca="1">VLOOKUP($B115,KOMBI!$A:$ADS,MATCH(Tulem!AT$3,KOMBI!$A$1:$ADS$1,0),FALSE)</f>
        <v>#NUM!</v>
      </c>
      <c r="AU115" s="293" t="e">
        <f t="array" aca="1" ref="AU115" ca="1">VLOOKUP($B115,KOMBI!$A:$ADS,MATCH(Tulem!AU$3,KOMBI!$A$1:$ADS$1,0),FALSE)</f>
        <v>#NUM!</v>
      </c>
      <c r="AV115" s="293" t="e">
        <f t="shared" ca="1" si="4"/>
        <v>#NUM!</v>
      </c>
      <c r="AW115" s="293" t="e">
        <f t="shared" ca="1" si="5"/>
        <v>#NUM!</v>
      </c>
      <c r="AX115" s="291" t="e">
        <f ca="1">VLOOKUP($B115,KOMBI!$A:$ACA,MATCH(AX$5,KOMBI!$10:$10,0),FALSE)</f>
        <v>#NUM!</v>
      </c>
      <c r="AY115" s="292" t="e">
        <f t="array" aca="1" ref="AY115" ca="1">VLOOKUP($B115,KOMBI!$A:$ADS,MATCH(Tulem!AY$3,KOMBI!$A$1:$ADS$1,0),FALSE)</f>
        <v>#NUM!</v>
      </c>
      <c r="AZ115" s="292" t="e">
        <f t="array" aca="1" ref="AZ115" ca="1">VLOOKUP($B115,KOMBI!$A:$ADS,MATCH(Tulem!AZ$3,KOMBI!$A$1:$ADS$1,0),FALSE)</f>
        <v>#NUM!</v>
      </c>
      <c r="BA115" s="292" t="e">
        <f t="array" aca="1" ref="BA115" ca="1">VLOOKUP($B115,KOMBI!$A:$ADS,MATCH(Tulem!BA$3,KOMBI!$A$1:$ADS$1,0),FALSE)</f>
        <v>#NUM!</v>
      </c>
      <c r="BB115" s="292" t="e">
        <f t="array" aca="1" ref="BB115" ca="1">VLOOKUP($B115,KOMBI!$A:$ADS,MATCH(Tulem!BB$3,KOMBI!$A$1:$ADS$1,0),FALSE)</f>
        <v>#NUM!</v>
      </c>
      <c r="BC115" s="292" t="e">
        <f t="array" aca="1" ref="BC115" ca="1">VLOOKUP($B115,KOMBI!$A:$ADS,MATCH(Tulem!BC$3,KOMBI!$A$1:$ADS$1,0),FALSE)</f>
        <v>#NUM!</v>
      </c>
      <c r="BD115" s="292" t="e">
        <f t="array" aca="1" ref="BD115" ca="1">VLOOKUP($B115,KOMBI!$A:$ADS,MATCH(Tulem!BD$3,KOMBI!$A$1:$ADS$1,0),FALSE)</f>
        <v>#NUM!</v>
      </c>
      <c r="BE115" s="292" t="e">
        <f t="array" aca="1" ref="BE115" ca="1">VLOOKUP($B115,KOMBI!$A:$ADS,MATCH(Tulem!BE$3,KOMBI!$A$1:$ADS$1,0),FALSE)</f>
        <v>#NUM!</v>
      </c>
      <c r="BF115" s="292" t="e">
        <f t="array" aca="1" ref="BF115" ca="1">VLOOKUP($B115,KOMBI!$A:$ADS,MATCH(Tulem!BF$3,KOMBI!$A$1:$ADS$1,0),FALSE)</f>
        <v>#NUM!</v>
      </c>
      <c r="BG115" s="292" t="e">
        <f t="array" aca="1" ref="BG115" ca="1">VLOOKUP($B115,KOMBI!$A:$ADS,MATCH(Tulem!BG$3,KOMBI!$A$1:$ADS$1,0),FALSE)</f>
        <v>#NUM!</v>
      </c>
      <c r="BH115" s="292" t="e">
        <f t="array" aca="1" ref="BH115" ca="1">VLOOKUP($B115,KOMBI!$A:$ADS,MATCH(Tulem!BH$3,KOMBI!$A$1:$ADS$1,0),FALSE)</f>
        <v>#NUM!</v>
      </c>
      <c r="BI115" s="292" t="e">
        <f t="array" aca="1" ref="BI115" ca="1">VLOOKUP($B115,KOMBI!$A:$ADS,MATCH(Tulem!BI$3,KOMBI!$A$1:$ADS$1,0),FALSE)</f>
        <v>#NUM!</v>
      </c>
      <c r="BJ115" s="292" t="e">
        <f t="array" aca="1" ref="BJ115" ca="1">VLOOKUP($B115,KOMBI!$A:$ADS,MATCH(Tulem!BJ$3,KOMBI!$A$1:$ADS$1,0),FALSE)</f>
        <v>#NUM!</v>
      </c>
      <c r="BK115" s="292" t="e">
        <f t="array" aca="1" ref="BK115" ca="1">VLOOKUP($B115,KOMBI!$A:$ADS,MATCH(Tulem!BK$3,KOMBI!$A$1:$ADS$1,0),FALSE)</f>
        <v>#NUM!</v>
      </c>
      <c r="BL115" s="292" t="e">
        <f t="array" aca="1" ref="BL115" ca="1">VLOOKUP($B115,KOMBI!$A:$ADS,MATCH(Tulem!BL$3,KOMBI!$A$1:$ADS$1,0),FALSE)</f>
        <v>#NUM!</v>
      </c>
      <c r="BM115" s="292" t="e">
        <f t="array" aca="1" ref="BM115" ca="1">VLOOKUP($B115,KOMBI!$A:$ADS,MATCH(Tulem!BM$3,KOMBI!$A$1:$ADS$1,0),FALSE)</f>
        <v>#NUM!</v>
      </c>
      <c r="BN115" s="292" t="e">
        <f t="array" aca="1" ref="BN115" ca="1">VLOOKUP($B115,KOMBI!$A:$ADS,MATCH(Tulem!BN$3,KOMBI!$A$1:$ADS$1,0),FALSE)</f>
        <v>#NUM!</v>
      </c>
      <c r="BO115" s="292" t="e">
        <f t="array" aca="1" ref="BO115" ca="1">VLOOKUP($B115,KOMBI!$A:$ADS,MATCH(Tulem!BO$3,KOMBI!$A$1:$ADS$1,0),FALSE)</f>
        <v>#NUM!</v>
      </c>
      <c r="BP115" s="291"/>
      <c r="BQ115" s="292" t="e">
        <f t="array" aca="1" ref="BQ115" ca="1">VLOOKUP($B115,KOMBI!$A:$ADS,MATCH(Tulem!BQ$3,KOMBI!$A$1:$ADS$1,0),FALSE)</f>
        <v>#NUM!</v>
      </c>
      <c r="BR115" s="292" t="e">
        <f t="array" aca="1" ref="BR115" ca="1">VLOOKUP($B115,KOMBI!$A:$ADS,MATCH(Tulem!BR$3,KOMBI!$A$1:$ADS$1,0),FALSE)</f>
        <v>#NUM!</v>
      </c>
      <c r="BS115" s="292" t="e">
        <f t="array" aca="1" ref="BS115" ca="1">VLOOKUP($B115,KOMBI!$A:$ADS,MATCH(Tulem!BS$3,KOMBI!$A$1:$ADS$1,0),FALSE)</f>
        <v>#NUM!</v>
      </c>
      <c r="BT115" s="292" t="e">
        <f t="array" aca="1" ref="BT115" ca="1">VLOOKUP($B115,KOMBI!$A:$ADS,MATCH(Tulem!BT$3,KOMBI!$A$1:$ADS$1,0),FALSE)</f>
        <v>#NUM!</v>
      </c>
      <c r="BU115" s="292" t="e">
        <f t="array" aca="1" ref="BU115" ca="1">VLOOKUP($B115,KOMBI!$A:$ADS,MATCH(Tulem!BU$3,KOMBI!$A$1:$ADS$1,0),FALSE)</f>
        <v>#NUM!</v>
      </c>
      <c r="BV115" s="291"/>
      <c r="BW115" s="292" t="e">
        <f t="array" aca="1" ref="BW115" ca="1">VLOOKUP($B115,KOMBI!$A:$ADS,MATCH(Tulem!BW$3,KOMBI!$A$1:$ADS$1,0),FALSE)</f>
        <v>#NUM!</v>
      </c>
      <c r="BX115" s="291"/>
      <c r="BY115" s="291"/>
      <c r="BZ115" s="292" t="e">
        <f t="array" aca="1" ref="BZ115" ca="1">VLOOKUP($B115,KOMBI!$A:$ADS,MATCH(Tulem!BZ$3,KOMBI!$A$1:$ADS$1,0),FALSE)</f>
        <v>#NUM!</v>
      </c>
      <c r="CA115" s="292" t="e">
        <f t="array" aca="1" ref="CA115" ca="1">VLOOKUP($B115,KOMBI!$A:$ADS,MATCH(Tulem!CA$3,KOMBI!$A$1:$ADS$1,0),FALSE)</f>
        <v>#NUM!</v>
      </c>
      <c r="CB115" s="292" t="e">
        <f t="array" aca="1" ref="CB115" ca="1">VLOOKUP($B115,KOMBI!$A:$ADS,MATCH(Tulem!CB$3,KOMBI!$A$1:$ADS$1,0),FALSE)</f>
        <v>#NUM!</v>
      </c>
      <c r="CC115" s="292" t="e">
        <f t="array" aca="1" ref="CC115" ca="1">VLOOKUP($B115,KOMBI!$A:$ADS,MATCH(Tulem!CC$3,KOMBI!$A$1:$ADS$1,0),FALSE)</f>
        <v>#NUM!</v>
      </c>
      <c r="CD115" s="292" t="e">
        <f t="array" aca="1" ref="CD115" ca="1">VLOOKUP($B115,KOMBI!$A:$ADS,MATCH(Tulem!CD$3,KOMBI!$A$1:$ADS$1,0),FALSE)</f>
        <v>#NUM!</v>
      </c>
      <c r="CF115" s="51" t="e">
        <f ca="1">VLOOKUP($B115,KOMBI!$A:$ACG,MATCH(CF$5,KOMBI!$10:$10,0),FALSE)</f>
        <v>#NUM!</v>
      </c>
    </row>
    <row r="116" spans="1:84" x14ac:dyDescent="0.2">
      <c r="A116" s="51">
        <v>111</v>
      </c>
      <c r="B116" s="51" t="e">
        <f ca="1">KOMBI!GI121</f>
        <v>#NUM!</v>
      </c>
      <c r="C116" s="51">
        <f t="shared" si="3"/>
        <v>111</v>
      </c>
      <c r="D116" s="290" t="e">
        <f ca="1">VLOOKUP(VLOOKUP($B116,KOMBI!$A:$H,3,FALSE),data!$I$27:$J$29,2,FALSE)</f>
        <v>#NUM!</v>
      </c>
      <c r="E116" s="290" t="e">
        <f ca="1">VLOOKUP(VLOOKUP($B116,KOMBI!$A:$H,2,FALSE),data!$I$21:$J$23,2,FALSE)</f>
        <v>#NUM!</v>
      </c>
      <c r="F116" s="290" t="e">
        <f ca="1">VLOOKUP(VLOOKUP($B116,KOMBI!$A:$H,5,FALSE),data!$I$39:$J$41,2,FALSE)</f>
        <v>#NUM!</v>
      </c>
      <c r="G116" s="290" t="e">
        <f ca="1">VLOOKUP(VLOOKUP($B116,KOMBI!$A:$H,4,FALSE),data!$I$32:$J$36,2,FALSE)</f>
        <v>#NUM!</v>
      </c>
      <c r="I116" s="51" t="e">
        <f ca="1">VLOOKUP($B116,KOMBI!$A:$Z,MATCH(I$5,KOMBI!$10:$10,0),FALSE)</f>
        <v>#NUM!</v>
      </c>
      <c r="J116" s="291" t="e">
        <f ca="1">VLOOKUP($B116,KOMBI!$A:$ADS,J$3,FALSE)</f>
        <v>#NUM!</v>
      </c>
      <c r="K116" s="291" t="e">
        <f ca="1">VLOOKUP($B116,KOMBI!$A:$ADS,K$3,FALSE)</f>
        <v>#NUM!</v>
      </c>
      <c r="L116" s="291" t="e">
        <f ca="1">VLOOKUP($B116,KOMBI!$A:$ADS,L$3,FALSE)</f>
        <v>#NUM!</v>
      </c>
      <c r="M116" s="291" t="e">
        <f ca="1">VLOOKUP($B116,KOMBI!$A:$ADS,M$3,FALSE)</f>
        <v>#NUM!</v>
      </c>
      <c r="N116" s="291" t="e">
        <f ca="1">VLOOKUP($B116,KOMBI!$A:$ADS,N$3,FALSE)</f>
        <v>#NUM!</v>
      </c>
      <c r="O116" s="291" t="e">
        <f ca="1">VLOOKUP($B116,KOMBI!$A:$ADS,O$3,FALSE)</f>
        <v>#NUM!</v>
      </c>
      <c r="P116" s="291" t="e">
        <f ca="1">VLOOKUP($B116,KOMBI!$A:$ADS,P$3,FALSE)</f>
        <v>#NUM!</v>
      </c>
      <c r="Q116" s="292" t="e">
        <f t="array" aca="1" ref="Q116" ca="1">VLOOKUP($B116,KOMBI!$A:$ADS,MATCH(Tulem!Q$3,KOMBI!$A$1:$ADS$1,0),FALSE)</f>
        <v>#NUM!</v>
      </c>
      <c r="S116" s="332" t="e">
        <f t="array" aca="1" ref="S116" ca="1">VLOOKUP($B116,KOMBI!$A:$ADS,MATCH(Tulem!S$3,KOMBI!$A$1:$ADS$1,0),FALSE)</f>
        <v>#NUM!</v>
      </c>
      <c r="T116" s="293" t="e">
        <f ca="1">VLOOKUP($B116,KOMBI!$A:$ADS,T$3,FALSE)</f>
        <v>#NUM!</v>
      </c>
      <c r="U116" s="293" t="e">
        <f ca="1">VLOOKUP($B116,KOMBI!$A:$ADS,U$3,FALSE)</f>
        <v>#NUM!</v>
      </c>
      <c r="V116" s="293" t="e">
        <f ca="1">VLOOKUP($B116,KOMBI!$A:$ADS,V$3,FALSE)</f>
        <v>#NUM!</v>
      </c>
      <c r="W116" s="293"/>
      <c r="X116" s="293" t="e">
        <f ca="1">VLOOKUP($B116,KOMBI!$A:$ADS,X$3,FALSE)</f>
        <v>#NUM!</v>
      </c>
      <c r="Y116" s="293" t="e">
        <f ca="1">VLOOKUP($B116,KOMBI!$A:$ADS,Y$3,FALSE)</f>
        <v>#NUM!</v>
      </c>
      <c r="Z116" s="293" t="e">
        <f ca="1">VLOOKUP($B116,KOMBI!$A:$ADS,Z$3,FALSE)</f>
        <v>#NUM!</v>
      </c>
      <c r="AA116" s="294"/>
      <c r="AB116" s="293" t="e">
        <f ca="1">VLOOKUP($B116,KOMBI!$A:$ADS,AB$3,FALSE)</f>
        <v>#NUM!</v>
      </c>
      <c r="AC116" s="293" t="e">
        <f ca="1">VLOOKUP($B116,KOMBI!$A:$ADS,AC$3,FALSE)-AB116</f>
        <v>#NUM!</v>
      </c>
      <c r="AD116" s="293" t="e">
        <f ca="1">VLOOKUP($B116,KOMBI!$A:$ADS,AD$3,FALSE)</f>
        <v>#NUM!</v>
      </c>
      <c r="AE116" s="293" t="e">
        <f ca="1">VLOOKUP($B116,KOMBI!$A:$ADS,AE$3,FALSE)</f>
        <v>#NUM!</v>
      </c>
      <c r="AF116" s="293" t="e">
        <f ca="1">VLOOKUP($B116,KOMBI!$A:$ADS,AF$3,FALSE)-AE116</f>
        <v>#NUM!</v>
      </c>
      <c r="AG116" s="293" t="e">
        <f ca="1">VLOOKUP($B116,KOMBI!$A:$ADS,AG$3,FALSE)</f>
        <v>#NUM!</v>
      </c>
      <c r="AI116" s="293" t="e">
        <f t="array" aca="1" ref="AI116" ca="1">VLOOKUP($B116,KOMBI!$A:$ADS,MATCH(Tulem!AI$3,KOMBI!$A$1:$ADS$1,0),FALSE)</f>
        <v>#NUM!</v>
      </c>
      <c r="AJ116" s="293" t="e">
        <f t="array" aca="1" ref="AJ116" ca="1">VLOOKUP($B116,KOMBI!$A:$ADS,MATCH(Tulem!AJ$3,KOMBI!$A$1:$ADS$1,0),FALSE)</f>
        <v>#NUM!</v>
      </c>
      <c r="AK116" s="293" t="e">
        <f t="array" aca="1" ref="AK116" ca="1">VLOOKUP($B116,KOMBI!$A:$ADS,MATCH(Tulem!AK$3,KOMBI!$A$1:$ADS$1,0),FALSE)</f>
        <v>#NUM!</v>
      </c>
      <c r="AL116" s="293" t="e">
        <f t="array" aca="1" ref="AL116" ca="1">VLOOKUP($B116,KOMBI!$A:$ADS,MATCH(Tulem!AL$3,KOMBI!$A$1:$ADS$1,0),FALSE)</f>
        <v>#NUM!</v>
      </c>
      <c r="AM116" s="293" t="e">
        <f t="array" aca="1" ref="AM116" ca="1">VLOOKUP($B116,KOMBI!$A:$ADS,MATCH(Tulem!AM$3,KOMBI!$A$1:$ADS$1,0),FALSE)</f>
        <v>#NUM!</v>
      </c>
      <c r="AN116" s="293" t="e">
        <f t="array" aca="1" ref="AN116" ca="1">VLOOKUP($B116,KOMBI!$A:$ADS,MATCH(Tulem!AN$3,KOMBI!$A$1:$ADS$1,0),FALSE)</f>
        <v>#NUM!</v>
      </c>
      <c r="AO116" s="293" t="e">
        <f t="array" aca="1" ref="AO116" ca="1">VLOOKUP($B116,KOMBI!$A:$ADS,MATCH(Tulem!AO$3,KOMBI!$A$1:$ADS$1,0),FALSE)</f>
        <v>#NUM!</v>
      </c>
      <c r="AP116" s="293" t="e">
        <f t="array" aca="1" ref="AP116" ca="1">VLOOKUP($B116,KOMBI!$A:$ADS,MATCH(Tulem!AP$3,KOMBI!$A$1:$ADS$1,0),FALSE)</f>
        <v>#NUM!</v>
      </c>
      <c r="AQ116" s="293" t="e">
        <f t="array" aca="1" ref="AQ116" ca="1">VLOOKUP($B116,KOMBI!$A:$ADS,MATCH(Tulem!AQ$3,KOMBI!$A$1:$ADS$1,0),FALSE)</f>
        <v>#NUM!</v>
      </c>
      <c r="AR116" s="293" t="e">
        <f t="array" aca="1" ref="AR116" ca="1">VLOOKUP($B116,KOMBI!$A:$ADS,MATCH(Tulem!AR$3,KOMBI!$A$1:$ADS$1,0),FALSE)</f>
        <v>#NUM!</v>
      </c>
      <c r="AS116" s="293" t="e">
        <f t="array" aca="1" ref="AS116" ca="1">VLOOKUP($B116,KOMBI!$A:$ADS,MATCH(Tulem!AS$3,KOMBI!$A$1:$ADS$1,0),FALSE)</f>
        <v>#NUM!</v>
      </c>
      <c r="AT116" s="293" t="e">
        <f t="array" aca="1" ref="AT116" ca="1">VLOOKUP($B116,KOMBI!$A:$ADS,MATCH(Tulem!AT$3,KOMBI!$A$1:$ADS$1,0),FALSE)</f>
        <v>#NUM!</v>
      </c>
      <c r="AU116" s="293" t="e">
        <f t="array" aca="1" ref="AU116" ca="1">VLOOKUP($B116,KOMBI!$A:$ADS,MATCH(Tulem!AU$3,KOMBI!$A$1:$ADS$1,0),FALSE)</f>
        <v>#NUM!</v>
      </c>
      <c r="AV116" s="293" t="e">
        <f t="shared" ca="1" si="4"/>
        <v>#NUM!</v>
      </c>
      <c r="AW116" s="293" t="e">
        <f t="shared" ca="1" si="5"/>
        <v>#NUM!</v>
      </c>
      <c r="AX116" s="291" t="e">
        <f ca="1">VLOOKUP($B116,KOMBI!$A:$ACA,MATCH(AX$5,KOMBI!$10:$10,0),FALSE)</f>
        <v>#NUM!</v>
      </c>
      <c r="AY116" s="292" t="e">
        <f t="array" aca="1" ref="AY116" ca="1">VLOOKUP($B116,KOMBI!$A:$ADS,MATCH(Tulem!AY$3,KOMBI!$A$1:$ADS$1,0),FALSE)</f>
        <v>#NUM!</v>
      </c>
      <c r="AZ116" s="292" t="e">
        <f t="array" aca="1" ref="AZ116" ca="1">VLOOKUP($B116,KOMBI!$A:$ADS,MATCH(Tulem!AZ$3,KOMBI!$A$1:$ADS$1,0),FALSE)</f>
        <v>#NUM!</v>
      </c>
      <c r="BA116" s="292" t="e">
        <f t="array" aca="1" ref="BA116" ca="1">VLOOKUP($B116,KOMBI!$A:$ADS,MATCH(Tulem!BA$3,KOMBI!$A$1:$ADS$1,0),FALSE)</f>
        <v>#NUM!</v>
      </c>
      <c r="BB116" s="292" t="e">
        <f t="array" aca="1" ref="BB116" ca="1">VLOOKUP($B116,KOMBI!$A:$ADS,MATCH(Tulem!BB$3,KOMBI!$A$1:$ADS$1,0),FALSE)</f>
        <v>#NUM!</v>
      </c>
      <c r="BC116" s="292" t="e">
        <f t="array" aca="1" ref="BC116" ca="1">VLOOKUP($B116,KOMBI!$A:$ADS,MATCH(Tulem!BC$3,KOMBI!$A$1:$ADS$1,0),FALSE)</f>
        <v>#NUM!</v>
      </c>
      <c r="BD116" s="292" t="e">
        <f t="array" aca="1" ref="BD116" ca="1">VLOOKUP($B116,KOMBI!$A:$ADS,MATCH(Tulem!BD$3,KOMBI!$A$1:$ADS$1,0),FALSE)</f>
        <v>#NUM!</v>
      </c>
      <c r="BE116" s="292" t="e">
        <f t="array" aca="1" ref="BE116" ca="1">VLOOKUP($B116,KOMBI!$A:$ADS,MATCH(Tulem!BE$3,KOMBI!$A$1:$ADS$1,0),FALSE)</f>
        <v>#NUM!</v>
      </c>
      <c r="BF116" s="292" t="e">
        <f t="array" aca="1" ref="BF116" ca="1">VLOOKUP($B116,KOMBI!$A:$ADS,MATCH(Tulem!BF$3,KOMBI!$A$1:$ADS$1,0),FALSE)</f>
        <v>#NUM!</v>
      </c>
      <c r="BG116" s="292" t="e">
        <f t="array" aca="1" ref="BG116" ca="1">VLOOKUP($B116,KOMBI!$A:$ADS,MATCH(Tulem!BG$3,KOMBI!$A$1:$ADS$1,0),FALSE)</f>
        <v>#NUM!</v>
      </c>
      <c r="BH116" s="292" t="e">
        <f t="array" aca="1" ref="BH116" ca="1">VLOOKUP($B116,KOMBI!$A:$ADS,MATCH(Tulem!BH$3,KOMBI!$A$1:$ADS$1,0),FALSE)</f>
        <v>#NUM!</v>
      </c>
      <c r="BI116" s="292" t="e">
        <f t="array" aca="1" ref="BI116" ca="1">VLOOKUP($B116,KOMBI!$A:$ADS,MATCH(Tulem!BI$3,KOMBI!$A$1:$ADS$1,0),FALSE)</f>
        <v>#NUM!</v>
      </c>
      <c r="BJ116" s="292" t="e">
        <f t="array" aca="1" ref="BJ116" ca="1">VLOOKUP($B116,KOMBI!$A:$ADS,MATCH(Tulem!BJ$3,KOMBI!$A$1:$ADS$1,0),FALSE)</f>
        <v>#NUM!</v>
      </c>
      <c r="BK116" s="292" t="e">
        <f t="array" aca="1" ref="BK116" ca="1">VLOOKUP($B116,KOMBI!$A:$ADS,MATCH(Tulem!BK$3,KOMBI!$A$1:$ADS$1,0),FALSE)</f>
        <v>#NUM!</v>
      </c>
      <c r="BL116" s="292" t="e">
        <f t="array" aca="1" ref="BL116" ca="1">VLOOKUP($B116,KOMBI!$A:$ADS,MATCH(Tulem!BL$3,KOMBI!$A$1:$ADS$1,0),FALSE)</f>
        <v>#NUM!</v>
      </c>
      <c r="BM116" s="292" t="e">
        <f t="array" aca="1" ref="BM116" ca="1">VLOOKUP($B116,KOMBI!$A:$ADS,MATCH(Tulem!BM$3,KOMBI!$A$1:$ADS$1,0),FALSE)</f>
        <v>#NUM!</v>
      </c>
      <c r="BN116" s="292" t="e">
        <f t="array" aca="1" ref="BN116" ca="1">VLOOKUP($B116,KOMBI!$A:$ADS,MATCH(Tulem!BN$3,KOMBI!$A$1:$ADS$1,0),FALSE)</f>
        <v>#NUM!</v>
      </c>
      <c r="BO116" s="292" t="e">
        <f t="array" aca="1" ref="BO116" ca="1">VLOOKUP($B116,KOMBI!$A:$ADS,MATCH(Tulem!BO$3,KOMBI!$A$1:$ADS$1,0),FALSE)</f>
        <v>#NUM!</v>
      </c>
      <c r="BP116" s="291"/>
      <c r="BQ116" s="292" t="e">
        <f t="array" aca="1" ref="BQ116" ca="1">VLOOKUP($B116,KOMBI!$A:$ADS,MATCH(Tulem!BQ$3,KOMBI!$A$1:$ADS$1,0),FALSE)</f>
        <v>#NUM!</v>
      </c>
      <c r="BR116" s="292" t="e">
        <f t="array" aca="1" ref="BR116" ca="1">VLOOKUP($B116,KOMBI!$A:$ADS,MATCH(Tulem!BR$3,KOMBI!$A$1:$ADS$1,0),FALSE)</f>
        <v>#NUM!</v>
      </c>
      <c r="BS116" s="292" t="e">
        <f t="array" aca="1" ref="BS116" ca="1">VLOOKUP($B116,KOMBI!$A:$ADS,MATCH(Tulem!BS$3,KOMBI!$A$1:$ADS$1,0),FALSE)</f>
        <v>#NUM!</v>
      </c>
      <c r="BT116" s="292" t="e">
        <f t="array" aca="1" ref="BT116" ca="1">VLOOKUP($B116,KOMBI!$A:$ADS,MATCH(Tulem!BT$3,KOMBI!$A$1:$ADS$1,0),FALSE)</f>
        <v>#NUM!</v>
      </c>
      <c r="BU116" s="292" t="e">
        <f t="array" aca="1" ref="BU116" ca="1">VLOOKUP($B116,KOMBI!$A:$ADS,MATCH(Tulem!BU$3,KOMBI!$A$1:$ADS$1,0),FALSE)</f>
        <v>#NUM!</v>
      </c>
      <c r="BV116" s="291"/>
      <c r="BW116" s="292" t="e">
        <f t="array" aca="1" ref="BW116" ca="1">VLOOKUP($B116,KOMBI!$A:$ADS,MATCH(Tulem!BW$3,KOMBI!$A$1:$ADS$1,0),FALSE)</f>
        <v>#NUM!</v>
      </c>
      <c r="BX116" s="291"/>
      <c r="BY116" s="291"/>
      <c r="BZ116" s="292" t="e">
        <f t="array" aca="1" ref="BZ116" ca="1">VLOOKUP($B116,KOMBI!$A:$ADS,MATCH(Tulem!BZ$3,KOMBI!$A$1:$ADS$1,0),FALSE)</f>
        <v>#NUM!</v>
      </c>
      <c r="CA116" s="292" t="e">
        <f t="array" aca="1" ref="CA116" ca="1">VLOOKUP($B116,KOMBI!$A:$ADS,MATCH(Tulem!CA$3,KOMBI!$A$1:$ADS$1,0),FALSE)</f>
        <v>#NUM!</v>
      </c>
      <c r="CB116" s="292" t="e">
        <f t="array" aca="1" ref="CB116" ca="1">VLOOKUP($B116,KOMBI!$A:$ADS,MATCH(Tulem!CB$3,KOMBI!$A$1:$ADS$1,0),FALSE)</f>
        <v>#NUM!</v>
      </c>
      <c r="CC116" s="292" t="e">
        <f t="array" aca="1" ref="CC116" ca="1">VLOOKUP($B116,KOMBI!$A:$ADS,MATCH(Tulem!CC$3,KOMBI!$A$1:$ADS$1,0),FALSE)</f>
        <v>#NUM!</v>
      </c>
      <c r="CD116" s="292" t="e">
        <f t="array" aca="1" ref="CD116" ca="1">VLOOKUP($B116,KOMBI!$A:$ADS,MATCH(Tulem!CD$3,KOMBI!$A$1:$ADS$1,0),FALSE)</f>
        <v>#NUM!</v>
      </c>
      <c r="CF116" s="51" t="e">
        <f ca="1">VLOOKUP($B116,KOMBI!$A:$ACG,MATCH(CF$5,KOMBI!$10:$10,0),FALSE)</f>
        <v>#NUM!</v>
      </c>
    </row>
    <row r="117" spans="1:84" x14ac:dyDescent="0.2">
      <c r="A117" s="51">
        <v>112</v>
      </c>
      <c r="B117" s="51" t="e">
        <f ca="1">KOMBI!GI122</f>
        <v>#NUM!</v>
      </c>
      <c r="C117" s="51">
        <f t="shared" si="3"/>
        <v>112</v>
      </c>
      <c r="D117" s="290" t="e">
        <f ca="1">VLOOKUP(VLOOKUP($B117,KOMBI!$A:$H,3,FALSE),data!$I$27:$J$29,2,FALSE)</f>
        <v>#NUM!</v>
      </c>
      <c r="E117" s="290" t="e">
        <f ca="1">VLOOKUP(VLOOKUP($B117,KOMBI!$A:$H,2,FALSE),data!$I$21:$J$23,2,FALSE)</f>
        <v>#NUM!</v>
      </c>
      <c r="F117" s="290" t="e">
        <f ca="1">VLOOKUP(VLOOKUP($B117,KOMBI!$A:$H,5,FALSE),data!$I$39:$J$41,2,FALSE)</f>
        <v>#NUM!</v>
      </c>
      <c r="G117" s="290" t="e">
        <f ca="1">VLOOKUP(VLOOKUP($B117,KOMBI!$A:$H,4,FALSE),data!$I$32:$J$36,2,FALSE)</f>
        <v>#NUM!</v>
      </c>
      <c r="I117" s="51" t="e">
        <f ca="1">VLOOKUP($B117,KOMBI!$A:$Z,MATCH(I$5,KOMBI!$10:$10,0),FALSE)</f>
        <v>#NUM!</v>
      </c>
      <c r="J117" s="291" t="e">
        <f ca="1">VLOOKUP($B117,KOMBI!$A:$ADS,J$3,FALSE)</f>
        <v>#NUM!</v>
      </c>
      <c r="K117" s="291" t="e">
        <f ca="1">VLOOKUP($B117,KOMBI!$A:$ADS,K$3,FALSE)</f>
        <v>#NUM!</v>
      </c>
      <c r="L117" s="291" t="e">
        <f ca="1">VLOOKUP($B117,KOMBI!$A:$ADS,L$3,FALSE)</f>
        <v>#NUM!</v>
      </c>
      <c r="M117" s="291" t="e">
        <f ca="1">VLOOKUP($B117,KOMBI!$A:$ADS,M$3,FALSE)</f>
        <v>#NUM!</v>
      </c>
      <c r="N117" s="291" t="e">
        <f ca="1">VLOOKUP($B117,KOMBI!$A:$ADS,N$3,FALSE)</f>
        <v>#NUM!</v>
      </c>
      <c r="O117" s="291" t="e">
        <f ca="1">VLOOKUP($B117,KOMBI!$A:$ADS,O$3,FALSE)</f>
        <v>#NUM!</v>
      </c>
      <c r="P117" s="291" t="e">
        <f ca="1">VLOOKUP($B117,KOMBI!$A:$ADS,P$3,FALSE)</f>
        <v>#NUM!</v>
      </c>
      <c r="Q117" s="292" t="e">
        <f t="array" aca="1" ref="Q117" ca="1">VLOOKUP($B117,KOMBI!$A:$ADS,MATCH(Tulem!Q$3,KOMBI!$A$1:$ADS$1,0),FALSE)</f>
        <v>#NUM!</v>
      </c>
      <c r="S117" s="332" t="e">
        <f t="array" aca="1" ref="S117" ca="1">VLOOKUP($B117,KOMBI!$A:$ADS,MATCH(Tulem!S$3,KOMBI!$A$1:$ADS$1,0),FALSE)</f>
        <v>#NUM!</v>
      </c>
      <c r="T117" s="293" t="e">
        <f ca="1">VLOOKUP($B117,KOMBI!$A:$ADS,T$3,FALSE)</f>
        <v>#NUM!</v>
      </c>
      <c r="U117" s="293" t="e">
        <f ca="1">VLOOKUP($B117,KOMBI!$A:$ADS,U$3,FALSE)</f>
        <v>#NUM!</v>
      </c>
      <c r="V117" s="293" t="e">
        <f ca="1">VLOOKUP($B117,KOMBI!$A:$ADS,V$3,FALSE)</f>
        <v>#NUM!</v>
      </c>
      <c r="W117" s="293"/>
      <c r="X117" s="293" t="e">
        <f ca="1">VLOOKUP($B117,KOMBI!$A:$ADS,X$3,FALSE)</f>
        <v>#NUM!</v>
      </c>
      <c r="Y117" s="293" t="e">
        <f ca="1">VLOOKUP($B117,KOMBI!$A:$ADS,Y$3,FALSE)</f>
        <v>#NUM!</v>
      </c>
      <c r="Z117" s="293" t="e">
        <f ca="1">VLOOKUP($B117,KOMBI!$A:$ADS,Z$3,FALSE)</f>
        <v>#NUM!</v>
      </c>
      <c r="AA117" s="294"/>
      <c r="AB117" s="293" t="e">
        <f ca="1">VLOOKUP($B117,KOMBI!$A:$ADS,AB$3,FALSE)</f>
        <v>#NUM!</v>
      </c>
      <c r="AC117" s="293" t="e">
        <f ca="1">VLOOKUP($B117,KOMBI!$A:$ADS,AC$3,FALSE)-AB117</f>
        <v>#NUM!</v>
      </c>
      <c r="AD117" s="293" t="e">
        <f ca="1">VLOOKUP($B117,KOMBI!$A:$ADS,AD$3,FALSE)</f>
        <v>#NUM!</v>
      </c>
      <c r="AE117" s="293" t="e">
        <f ca="1">VLOOKUP($B117,KOMBI!$A:$ADS,AE$3,FALSE)</f>
        <v>#NUM!</v>
      </c>
      <c r="AF117" s="293" t="e">
        <f ca="1">VLOOKUP($B117,KOMBI!$A:$ADS,AF$3,FALSE)-AE117</f>
        <v>#NUM!</v>
      </c>
      <c r="AG117" s="293" t="e">
        <f ca="1">VLOOKUP($B117,KOMBI!$A:$ADS,AG$3,FALSE)</f>
        <v>#NUM!</v>
      </c>
      <c r="AI117" s="293" t="e">
        <f t="array" aca="1" ref="AI117" ca="1">VLOOKUP($B117,KOMBI!$A:$ADS,MATCH(Tulem!AI$3,KOMBI!$A$1:$ADS$1,0),FALSE)</f>
        <v>#NUM!</v>
      </c>
      <c r="AJ117" s="293" t="e">
        <f t="array" aca="1" ref="AJ117" ca="1">VLOOKUP($B117,KOMBI!$A:$ADS,MATCH(Tulem!AJ$3,KOMBI!$A$1:$ADS$1,0),FALSE)</f>
        <v>#NUM!</v>
      </c>
      <c r="AK117" s="293" t="e">
        <f t="array" aca="1" ref="AK117" ca="1">VLOOKUP($B117,KOMBI!$A:$ADS,MATCH(Tulem!AK$3,KOMBI!$A$1:$ADS$1,0),FALSE)</f>
        <v>#NUM!</v>
      </c>
      <c r="AL117" s="293" t="e">
        <f t="array" aca="1" ref="AL117" ca="1">VLOOKUP($B117,KOMBI!$A:$ADS,MATCH(Tulem!AL$3,KOMBI!$A$1:$ADS$1,0),FALSE)</f>
        <v>#NUM!</v>
      </c>
      <c r="AM117" s="293" t="e">
        <f t="array" aca="1" ref="AM117" ca="1">VLOOKUP($B117,KOMBI!$A:$ADS,MATCH(Tulem!AM$3,KOMBI!$A$1:$ADS$1,0),FALSE)</f>
        <v>#NUM!</v>
      </c>
      <c r="AN117" s="293" t="e">
        <f t="array" aca="1" ref="AN117" ca="1">VLOOKUP($B117,KOMBI!$A:$ADS,MATCH(Tulem!AN$3,KOMBI!$A$1:$ADS$1,0),FALSE)</f>
        <v>#NUM!</v>
      </c>
      <c r="AO117" s="293" t="e">
        <f t="array" aca="1" ref="AO117" ca="1">VLOOKUP($B117,KOMBI!$A:$ADS,MATCH(Tulem!AO$3,KOMBI!$A$1:$ADS$1,0),FALSE)</f>
        <v>#NUM!</v>
      </c>
      <c r="AP117" s="293" t="e">
        <f t="array" aca="1" ref="AP117" ca="1">VLOOKUP($B117,KOMBI!$A:$ADS,MATCH(Tulem!AP$3,KOMBI!$A$1:$ADS$1,0),FALSE)</f>
        <v>#NUM!</v>
      </c>
      <c r="AQ117" s="293" t="e">
        <f t="array" aca="1" ref="AQ117" ca="1">VLOOKUP($B117,KOMBI!$A:$ADS,MATCH(Tulem!AQ$3,KOMBI!$A$1:$ADS$1,0),FALSE)</f>
        <v>#NUM!</v>
      </c>
      <c r="AR117" s="293" t="e">
        <f t="array" aca="1" ref="AR117" ca="1">VLOOKUP($B117,KOMBI!$A:$ADS,MATCH(Tulem!AR$3,KOMBI!$A$1:$ADS$1,0),FALSE)</f>
        <v>#NUM!</v>
      </c>
      <c r="AS117" s="293" t="e">
        <f t="array" aca="1" ref="AS117" ca="1">VLOOKUP($B117,KOMBI!$A:$ADS,MATCH(Tulem!AS$3,KOMBI!$A$1:$ADS$1,0),FALSE)</f>
        <v>#NUM!</v>
      </c>
      <c r="AT117" s="293" t="e">
        <f t="array" aca="1" ref="AT117" ca="1">VLOOKUP($B117,KOMBI!$A:$ADS,MATCH(Tulem!AT$3,KOMBI!$A$1:$ADS$1,0),FALSE)</f>
        <v>#NUM!</v>
      </c>
      <c r="AU117" s="293" t="e">
        <f t="array" aca="1" ref="AU117" ca="1">VLOOKUP($B117,KOMBI!$A:$ADS,MATCH(Tulem!AU$3,KOMBI!$A$1:$ADS$1,0),FALSE)</f>
        <v>#NUM!</v>
      </c>
      <c r="AV117" s="293" t="e">
        <f t="shared" ca="1" si="4"/>
        <v>#NUM!</v>
      </c>
      <c r="AW117" s="293" t="e">
        <f t="shared" ca="1" si="5"/>
        <v>#NUM!</v>
      </c>
      <c r="AX117" s="291" t="e">
        <f ca="1">VLOOKUP($B117,KOMBI!$A:$ACA,MATCH(AX$5,KOMBI!$10:$10,0),FALSE)</f>
        <v>#NUM!</v>
      </c>
      <c r="AY117" s="292" t="e">
        <f t="array" aca="1" ref="AY117" ca="1">VLOOKUP($B117,KOMBI!$A:$ADS,MATCH(Tulem!AY$3,KOMBI!$A$1:$ADS$1,0),FALSE)</f>
        <v>#NUM!</v>
      </c>
      <c r="AZ117" s="292" t="e">
        <f t="array" aca="1" ref="AZ117" ca="1">VLOOKUP($B117,KOMBI!$A:$ADS,MATCH(Tulem!AZ$3,KOMBI!$A$1:$ADS$1,0),FALSE)</f>
        <v>#NUM!</v>
      </c>
      <c r="BA117" s="292" t="e">
        <f t="array" aca="1" ref="BA117" ca="1">VLOOKUP($B117,KOMBI!$A:$ADS,MATCH(Tulem!BA$3,KOMBI!$A$1:$ADS$1,0),FALSE)</f>
        <v>#NUM!</v>
      </c>
      <c r="BB117" s="292" t="e">
        <f t="array" aca="1" ref="BB117" ca="1">VLOOKUP($B117,KOMBI!$A:$ADS,MATCH(Tulem!BB$3,KOMBI!$A$1:$ADS$1,0),FALSE)</f>
        <v>#NUM!</v>
      </c>
      <c r="BC117" s="292" t="e">
        <f t="array" aca="1" ref="BC117" ca="1">VLOOKUP($B117,KOMBI!$A:$ADS,MATCH(Tulem!BC$3,KOMBI!$A$1:$ADS$1,0),FALSE)</f>
        <v>#NUM!</v>
      </c>
      <c r="BD117" s="292" t="e">
        <f t="array" aca="1" ref="BD117" ca="1">VLOOKUP($B117,KOMBI!$A:$ADS,MATCH(Tulem!BD$3,KOMBI!$A$1:$ADS$1,0),FALSE)</f>
        <v>#NUM!</v>
      </c>
      <c r="BE117" s="292" t="e">
        <f t="array" aca="1" ref="BE117" ca="1">VLOOKUP($B117,KOMBI!$A:$ADS,MATCH(Tulem!BE$3,KOMBI!$A$1:$ADS$1,0),FALSE)</f>
        <v>#NUM!</v>
      </c>
      <c r="BF117" s="292" t="e">
        <f t="array" aca="1" ref="BF117" ca="1">VLOOKUP($B117,KOMBI!$A:$ADS,MATCH(Tulem!BF$3,KOMBI!$A$1:$ADS$1,0),FALSE)</f>
        <v>#NUM!</v>
      </c>
      <c r="BG117" s="292" t="e">
        <f t="array" aca="1" ref="BG117" ca="1">VLOOKUP($B117,KOMBI!$A:$ADS,MATCH(Tulem!BG$3,KOMBI!$A$1:$ADS$1,0),FALSE)</f>
        <v>#NUM!</v>
      </c>
      <c r="BH117" s="292" t="e">
        <f t="array" aca="1" ref="BH117" ca="1">VLOOKUP($B117,KOMBI!$A:$ADS,MATCH(Tulem!BH$3,KOMBI!$A$1:$ADS$1,0),FALSE)</f>
        <v>#NUM!</v>
      </c>
      <c r="BI117" s="292" t="e">
        <f t="array" aca="1" ref="BI117" ca="1">VLOOKUP($B117,KOMBI!$A:$ADS,MATCH(Tulem!BI$3,KOMBI!$A$1:$ADS$1,0),FALSE)</f>
        <v>#NUM!</v>
      </c>
      <c r="BJ117" s="292" t="e">
        <f t="array" aca="1" ref="BJ117" ca="1">VLOOKUP($B117,KOMBI!$A:$ADS,MATCH(Tulem!BJ$3,KOMBI!$A$1:$ADS$1,0),FALSE)</f>
        <v>#NUM!</v>
      </c>
      <c r="BK117" s="292" t="e">
        <f t="array" aca="1" ref="BK117" ca="1">VLOOKUP($B117,KOMBI!$A:$ADS,MATCH(Tulem!BK$3,KOMBI!$A$1:$ADS$1,0),FALSE)</f>
        <v>#NUM!</v>
      </c>
      <c r="BL117" s="292" t="e">
        <f t="array" aca="1" ref="BL117" ca="1">VLOOKUP($B117,KOMBI!$A:$ADS,MATCH(Tulem!BL$3,KOMBI!$A$1:$ADS$1,0),FALSE)</f>
        <v>#NUM!</v>
      </c>
      <c r="BM117" s="292" t="e">
        <f t="array" aca="1" ref="BM117" ca="1">VLOOKUP($B117,KOMBI!$A:$ADS,MATCH(Tulem!BM$3,KOMBI!$A$1:$ADS$1,0),FALSE)</f>
        <v>#NUM!</v>
      </c>
      <c r="BN117" s="292" t="e">
        <f t="array" aca="1" ref="BN117" ca="1">VLOOKUP($B117,KOMBI!$A:$ADS,MATCH(Tulem!BN$3,KOMBI!$A$1:$ADS$1,0),FALSE)</f>
        <v>#NUM!</v>
      </c>
      <c r="BO117" s="292" t="e">
        <f t="array" aca="1" ref="BO117" ca="1">VLOOKUP($B117,KOMBI!$A:$ADS,MATCH(Tulem!BO$3,KOMBI!$A$1:$ADS$1,0),FALSE)</f>
        <v>#NUM!</v>
      </c>
      <c r="BP117" s="291"/>
      <c r="BQ117" s="292" t="e">
        <f t="array" aca="1" ref="BQ117" ca="1">VLOOKUP($B117,KOMBI!$A:$ADS,MATCH(Tulem!BQ$3,KOMBI!$A$1:$ADS$1,0),FALSE)</f>
        <v>#NUM!</v>
      </c>
      <c r="BR117" s="292" t="e">
        <f t="array" aca="1" ref="BR117" ca="1">VLOOKUP($B117,KOMBI!$A:$ADS,MATCH(Tulem!BR$3,KOMBI!$A$1:$ADS$1,0),FALSE)</f>
        <v>#NUM!</v>
      </c>
      <c r="BS117" s="292" t="e">
        <f t="array" aca="1" ref="BS117" ca="1">VLOOKUP($B117,KOMBI!$A:$ADS,MATCH(Tulem!BS$3,KOMBI!$A$1:$ADS$1,0),FALSE)</f>
        <v>#NUM!</v>
      </c>
      <c r="BT117" s="292" t="e">
        <f t="array" aca="1" ref="BT117" ca="1">VLOOKUP($B117,KOMBI!$A:$ADS,MATCH(Tulem!BT$3,KOMBI!$A$1:$ADS$1,0),FALSE)</f>
        <v>#NUM!</v>
      </c>
      <c r="BU117" s="292" t="e">
        <f t="array" aca="1" ref="BU117" ca="1">VLOOKUP($B117,KOMBI!$A:$ADS,MATCH(Tulem!BU$3,KOMBI!$A$1:$ADS$1,0),FALSE)</f>
        <v>#NUM!</v>
      </c>
      <c r="BV117" s="291"/>
      <c r="BW117" s="292" t="e">
        <f t="array" aca="1" ref="BW117" ca="1">VLOOKUP($B117,KOMBI!$A:$ADS,MATCH(Tulem!BW$3,KOMBI!$A$1:$ADS$1,0),FALSE)</f>
        <v>#NUM!</v>
      </c>
      <c r="BX117" s="291"/>
      <c r="BY117" s="291"/>
      <c r="BZ117" s="292" t="e">
        <f t="array" aca="1" ref="BZ117" ca="1">VLOOKUP($B117,KOMBI!$A:$ADS,MATCH(Tulem!BZ$3,KOMBI!$A$1:$ADS$1,0),FALSE)</f>
        <v>#NUM!</v>
      </c>
      <c r="CA117" s="292" t="e">
        <f t="array" aca="1" ref="CA117" ca="1">VLOOKUP($B117,KOMBI!$A:$ADS,MATCH(Tulem!CA$3,KOMBI!$A$1:$ADS$1,0),FALSE)</f>
        <v>#NUM!</v>
      </c>
      <c r="CB117" s="292" t="e">
        <f t="array" aca="1" ref="CB117" ca="1">VLOOKUP($B117,KOMBI!$A:$ADS,MATCH(Tulem!CB$3,KOMBI!$A$1:$ADS$1,0),FALSE)</f>
        <v>#NUM!</v>
      </c>
      <c r="CC117" s="292" t="e">
        <f t="array" aca="1" ref="CC117" ca="1">VLOOKUP($B117,KOMBI!$A:$ADS,MATCH(Tulem!CC$3,KOMBI!$A$1:$ADS$1,0),FALSE)</f>
        <v>#NUM!</v>
      </c>
      <c r="CD117" s="292" t="e">
        <f t="array" aca="1" ref="CD117" ca="1">VLOOKUP($B117,KOMBI!$A:$ADS,MATCH(Tulem!CD$3,KOMBI!$A$1:$ADS$1,0),FALSE)</f>
        <v>#NUM!</v>
      </c>
      <c r="CF117" s="51" t="e">
        <f ca="1">VLOOKUP($B117,KOMBI!$A:$ACG,MATCH(CF$5,KOMBI!$10:$10,0),FALSE)</f>
        <v>#NUM!</v>
      </c>
    </row>
    <row r="118" spans="1:84" x14ac:dyDescent="0.2">
      <c r="A118" s="51">
        <v>113</v>
      </c>
      <c r="B118" s="51" t="e">
        <f ca="1">KOMBI!GI123</f>
        <v>#NUM!</v>
      </c>
      <c r="C118" s="51">
        <f t="shared" si="3"/>
        <v>113</v>
      </c>
      <c r="D118" s="290" t="e">
        <f ca="1">VLOOKUP(VLOOKUP($B118,KOMBI!$A:$H,3,FALSE),data!$I$27:$J$29,2,FALSE)</f>
        <v>#NUM!</v>
      </c>
      <c r="E118" s="290" t="e">
        <f ca="1">VLOOKUP(VLOOKUP($B118,KOMBI!$A:$H,2,FALSE),data!$I$21:$J$23,2,FALSE)</f>
        <v>#NUM!</v>
      </c>
      <c r="F118" s="290" t="e">
        <f ca="1">VLOOKUP(VLOOKUP($B118,KOMBI!$A:$H,5,FALSE),data!$I$39:$J$41,2,FALSE)</f>
        <v>#NUM!</v>
      </c>
      <c r="G118" s="290" t="e">
        <f ca="1">VLOOKUP(VLOOKUP($B118,KOMBI!$A:$H,4,FALSE),data!$I$32:$J$36,2,FALSE)</f>
        <v>#NUM!</v>
      </c>
      <c r="I118" s="51" t="e">
        <f ca="1">VLOOKUP($B118,KOMBI!$A:$Z,MATCH(I$5,KOMBI!$10:$10,0),FALSE)</f>
        <v>#NUM!</v>
      </c>
      <c r="J118" s="291" t="e">
        <f ca="1">VLOOKUP($B118,KOMBI!$A:$ADS,J$3,FALSE)</f>
        <v>#NUM!</v>
      </c>
      <c r="K118" s="291" t="e">
        <f ca="1">VLOOKUP($B118,KOMBI!$A:$ADS,K$3,FALSE)</f>
        <v>#NUM!</v>
      </c>
      <c r="L118" s="291" t="e">
        <f ca="1">VLOOKUP($B118,KOMBI!$A:$ADS,L$3,FALSE)</f>
        <v>#NUM!</v>
      </c>
      <c r="M118" s="291" t="e">
        <f ca="1">VLOOKUP($B118,KOMBI!$A:$ADS,M$3,FALSE)</f>
        <v>#NUM!</v>
      </c>
      <c r="N118" s="291" t="e">
        <f ca="1">VLOOKUP($B118,KOMBI!$A:$ADS,N$3,FALSE)</f>
        <v>#NUM!</v>
      </c>
      <c r="O118" s="291" t="e">
        <f ca="1">VLOOKUP($B118,KOMBI!$A:$ADS,O$3,FALSE)</f>
        <v>#NUM!</v>
      </c>
      <c r="P118" s="291" t="e">
        <f ca="1">VLOOKUP($B118,KOMBI!$A:$ADS,P$3,FALSE)</f>
        <v>#NUM!</v>
      </c>
      <c r="Q118" s="292" t="e">
        <f t="array" aca="1" ref="Q118" ca="1">VLOOKUP($B118,KOMBI!$A:$ADS,MATCH(Tulem!Q$3,KOMBI!$A$1:$ADS$1,0),FALSE)</f>
        <v>#NUM!</v>
      </c>
      <c r="S118" s="332" t="e">
        <f t="array" aca="1" ref="S118" ca="1">VLOOKUP($B118,KOMBI!$A:$ADS,MATCH(Tulem!S$3,KOMBI!$A$1:$ADS$1,0),FALSE)</f>
        <v>#NUM!</v>
      </c>
      <c r="T118" s="293" t="e">
        <f ca="1">VLOOKUP($B118,KOMBI!$A:$ADS,T$3,FALSE)</f>
        <v>#NUM!</v>
      </c>
      <c r="U118" s="293" t="e">
        <f ca="1">VLOOKUP($B118,KOMBI!$A:$ADS,U$3,FALSE)</f>
        <v>#NUM!</v>
      </c>
      <c r="V118" s="293" t="e">
        <f ca="1">VLOOKUP($B118,KOMBI!$A:$ADS,V$3,FALSE)</f>
        <v>#NUM!</v>
      </c>
      <c r="W118" s="293"/>
      <c r="X118" s="293" t="e">
        <f ca="1">VLOOKUP($B118,KOMBI!$A:$ADS,X$3,FALSE)</f>
        <v>#NUM!</v>
      </c>
      <c r="Y118" s="293" t="e">
        <f ca="1">VLOOKUP($B118,KOMBI!$A:$ADS,Y$3,FALSE)</f>
        <v>#NUM!</v>
      </c>
      <c r="Z118" s="293" t="e">
        <f ca="1">VLOOKUP($B118,KOMBI!$A:$ADS,Z$3,FALSE)</f>
        <v>#NUM!</v>
      </c>
      <c r="AA118" s="294"/>
      <c r="AB118" s="293" t="e">
        <f ca="1">VLOOKUP($B118,KOMBI!$A:$ADS,AB$3,FALSE)</f>
        <v>#NUM!</v>
      </c>
      <c r="AC118" s="293" t="e">
        <f ca="1">VLOOKUP($B118,KOMBI!$A:$ADS,AC$3,FALSE)-AB118</f>
        <v>#NUM!</v>
      </c>
      <c r="AD118" s="293" t="e">
        <f ca="1">VLOOKUP($B118,KOMBI!$A:$ADS,AD$3,FALSE)</f>
        <v>#NUM!</v>
      </c>
      <c r="AE118" s="293" t="e">
        <f ca="1">VLOOKUP($B118,KOMBI!$A:$ADS,AE$3,FALSE)</f>
        <v>#NUM!</v>
      </c>
      <c r="AF118" s="293" t="e">
        <f ca="1">VLOOKUP($B118,KOMBI!$A:$ADS,AF$3,FALSE)-AE118</f>
        <v>#NUM!</v>
      </c>
      <c r="AG118" s="293" t="e">
        <f ca="1">VLOOKUP($B118,KOMBI!$A:$ADS,AG$3,FALSE)</f>
        <v>#NUM!</v>
      </c>
      <c r="AI118" s="293" t="e">
        <f t="array" aca="1" ref="AI118" ca="1">VLOOKUP($B118,KOMBI!$A:$ADS,MATCH(Tulem!AI$3,KOMBI!$A$1:$ADS$1,0),FALSE)</f>
        <v>#NUM!</v>
      </c>
      <c r="AJ118" s="293" t="e">
        <f t="array" aca="1" ref="AJ118" ca="1">VLOOKUP($B118,KOMBI!$A:$ADS,MATCH(Tulem!AJ$3,KOMBI!$A$1:$ADS$1,0),FALSE)</f>
        <v>#NUM!</v>
      </c>
      <c r="AK118" s="293" t="e">
        <f t="array" aca="1" ref="AK118" ca="1">VLOOKUP($B118,KOMBI!$A:$ADS,MATCH(Tulem!AK$3,KOMBI!$A$1:$ADS$1,0),FALSE)</f>
        <v>#NUM!</v>
      </c>
      <c r="AL118" s="293" t="e">
        <f t="array" aca="1" ref="AL118" ca="1">VLOOKUP($B118,KOMBI!$A:$ADS,MATCH(Tulem!AL$3,KOMBI!$A$1:$ADS$1,0),FALSE)</f>
        <v>#NUM!</v>
      </c>
      <c r="AM118" s="293" t="e">
        <f t="array" aca="1" ref="AM118" ca="1">VLOOKUP($B118,KOMBI!$A:$ADS,MATCH(Tulem!AM$3,KOMBI!$A$1:$ADS$1,0),FALSE)</f>
        <v>#NUM!</v>
      </c>
      <c r="AN118" s="293" t="e">
        <f t="array" aca="1" ref="AN118" ca="1">VLOOKUP($B118,KOMBI!$A:$ADS,MATCH(Tulem!AN$3,KOMBI!$A$1:$ADS$1,0),FALSE)</f>
        <v>#NUM!</v>
      </c>
      <c r="AO118" s="293" t="e">
        <f t="array" aca="1" ref="AO118" ca="1">VLOOKUP($B118,KOMBI!$A:$ADS,MATCH(Tulem!AO$3,KOMBI!$A$1:$ADS$1,0),FALSE)</f>
        <v>#NUM!</v>
      </c>
      <c r="AP118" s="293" t="e">
        <f t="array" aca="1" ref="AP118" ca="1">VLOOKUP($B118,KOMBI!$A:$ADS,MATCH(Tulem!AP$3,KOMBI!$A$1:$ADS$1,0),FALSE)</f>
        <v>#NUM!</v>
      </c>
      <c r="AQ118" s="293" t="e">
        <f t="array" aca="1" ref="AQ118" ca="1">VLOOKUP($B118,KOMBI!$A:$ADS,MATCH(Tulem!AQ$3,KOMBI!$A$1:$ADS$1,0),FALSE)</f>
        <v>#NUM!</v>
      </c>
      <c r="AR118" s="293" t="e">
        <f t="array" aca="1" ref="AR118" ca="1">VLOOKUP($B118,KOMBI!$A:$ADS,MATCH(Tulem!AR$3,KOMBI!$A$1:$ADS$1,0),FALSE)</f>
        <v>#NUM!</v>
      </c>
      <c r="AS118" s="293" t="e">
        <f t="array" aca="1" ref="AS118" ca="1">VLOOKUP($B118,KOMBI!$A:$ADS,MATCH(Tulem!AS$3,KOMBI!$A$1:$ADS$1,0),FALSE)</f>
        <v>#NUM!</v>
      </c>
      <c r="AT118" s="293" t="e">
        <f t="array" aca="1" ref="AT118" ca="1">VLOOKUP($B118,KOMBI!$A:$ADS,MATCH(Tulem!AT$3,KOMBI!$A$1:$ADS$1,0),FALSE)</f>
        <v>#NUM!</v>
      </c>
      <c r="AU118" s="293" t="e">
        <f t="array" aca="1" ref="AU118" ca="1">VLOOKUP($B118,KOMBI!$A:$ADS,MATCH(Tulem!AU$3,KOMBI!$A$1:$ADS$1,0),FALSE)</f>
        <v>#NUM!</v>
      </c>
      <c r="AV118" s="293" t="e">
        <f t="shared" ca="1" si="4"/>
        <v>#NUM!</v>
      </c>
      <c r="AW118" s="293" t="e">
        <f t="shared" ca="1" si="5"/>
        <v>#NUM!</v>
      </c>
      <c r="AX118" s="291" t="e">
        <f ca="1">VLOOKUP($B118,KOMBI!$A:$ACA,MATCH(AX$5,KOMBI!$10:$10,0),FALSE)</f>
        <v>#NUM!</v>
      </c>
      <c r="AY118" s="292" t="e">
        <f t="array" aca="1" ref="AY118" ca="1">VLOOKUP($B118,KOMBI!$A:$ADS,MATCH(Tulem!AY$3,KOMBI!$A$1:$ADS$1,0),FALSE)</f>
        <v>#NUM!</v>
      </c>
      <c r="AZ118" s="292" t="e">
        <f t="array" aca="1" ref="AZ118" ca="1">VLOOKUP($B118,KOMBI!$A:$ADS,MATCH(Tulem!AZ$3,KOMBI!$A$1:$ADS$1,0),FALSE)</f>
        <v>#NUM!</v>
      </c>
      <c r="BA118" s="292" t="e">
        <f t="array" aca="1" ref="BA118" ca="1">VLOOKUP($B118,KOMBI!$A:$ADS,MATCH(Tulem!BA$3,KOMBI!$A$1:$ADS$1,0),FALSE)</f>
        <v>#NUM!</v>
      </c>
      <c r="BB118" s="292" t="e">
        <f t="array" aca="1" ref="BB118" ca="1">VLOOKUP($B118,KOMBI!$A:$ADS,MATCH(Tulem!BB$3,KOMBI!$A$1:$ADS$1,0),FALSE)</f>
        <v>#NUM!</v>
      </c>
      <c r="BC118" s="292" t="e">
        <f t="array" aca="1" ref="BC118" ca="1">VLOOKUP($B118,KOMBI!$A:$ADS,MATCH(Tulem!BC$3,KOMBI!$A$1:$ADS$1,0),FALSE)</f>
        <v>#NUM!</v>
      </c>
      <c r="BD118" s="292" t="e">
        <f t="array" aca="1" ref="BD118" ca="1">VLOOKUP($B118,KOMBI!$A:$ADS,MATCH(Tulem!BD$3,KOMBI!$A$1:$ADS$1,0),FALSE)</f>
        <v>#NUM!</v>
      </c>
      <c r="BE118" s="292" t="e">
        <f t="array" aca="1" ref="BE118" ca="1">VLOOKUP($B118,KOMBI!$A:$ADS,MATCH(Tulem!BE$3,KOMBI!$A$1:$ADS$1,0),FALSE)</f>
        <v>#NUM!</v>
      </c>
      <c r="BF118" s="292" t="e">
        <f t="array" aca="1" ref="BF118" ca="1">VLOOKUP($B118,KOMBI!$A:$ADS,MATCH(Tulem!BF$3,KOMBI!$A$1:$ADS$1,0),FALSE)</f>
        <v>#NUM!</v>
      </c>
      <c r="BG118" s="292" t="e">
        <f t="array" aca="1" ref="BG118" ca="1">VLOOKUP($B118,KOMBI!$A:$ADS,MATCH(Tulem!BG$3,KOMBI!$A$1:$ADS$1,0),FALSE)</f>
        <v>#NUM!</v>
      </c>
      <c r="BH118" s="292" t="e">
        <f t="array" aca="1" ref="BH118" ca="1">VLOOKUP($B118,KOMBI!$A:$ADS,MATCH(Tulem!BH$3,KOMBI!$A$1:$ADS$1,0),FALSE)</f>
        <v>#NUM!</v>
      </c>
      <c r="BI118" s="292" t="e">
        <f t="array" aca="1" ref="BI118" ca="1">VLOOKUP($B118,KOMBI!$A:$ADS,MATCH(Tulem!BI$3,KOMBI!$A$1:$ADS$1,0),FALSE)</f>
        <v>#NUM!</v>
      </c>
      <c r="BJ118" s="292" t="e">
        <f t="array" aca="1" ref="BJ118" ca="1">VLOOKUP($B118,KOMBI!$A:$ADS,MATCH(Tulem!BJ$3,KOMBI!$A$1:$ADS$1,0),FALSE)</f>
        <v>#NUM!</v>
      </c>
      <c r="BK118" s="292" t="e">
        <f t="array" aca="1" ref="BK118" ca="1">VLOOKUP($B118,KOMBI!$A:$ADS,MATCH(Tulem!BK$3,KOMBI!$A$1:$ADS$1,0),FALSE)</f>
        <v>#NUM!</v>
      </c>
      <c r="BL118" s="292" t="e">
        <f t="array" aca="1" ref="BL118" ca="1">VLOOKUP($B118,KOMBI!$A:$ADS,MATCH(Tulem!BL$3,KOMBI!$A$1:$ADS$1,0),FALSE)</f>
        <v>#NUM!</v>
      </c>
      <c r="BM118" s="292" t="e">
        <f t="array" aca="1" ref="BM118" ca="1">VLOOKUP($B118,KOMBI!$A:$ADS,MATCH(Tulem!BM$3,KOMBI!$A$1:$ADS$1,0),FALSE)</f>
        <v>#NUM!</v>
      </c>
      <c r="BN118" s="292" t="e">
        <f t="array" aca="1" ref="BN118" ca="1">VLOOKUP($B118,KOMBI!$A:$ADS,MATCH(Tulem!BN$3,KOMBI!$A$1:$ADS$1,0),FALSE)</f>
        <v>#NUM!</v>
      </c>
      <c r="BO118" s="292" t="e">
        <f t="array" aca="1" ref="BO118" ca="1">VLOOKUP($B118,KOMBI!$A:$ADS,MATCH(Tulem!BO$3,KOMBI!$A$1:$ADS$1,0),FALSE)</f>
        <v>#NUM!</v>
      </c>
      <c r="BP118" s="291"/>
      <c r="BQ118" s="292" t="e">
        <f t="array" aca="1" ref="BQ118" ca="1">VLOOKUP($B118,KOMBI!$A:$ADS,MATCH(Tulem!BQ$3,KOMBI!$A$1:$ADS$1,0),FALSE)</f>
        <v>#NUM!</v>
      </c>
      <c r="BR118" s="292" t="e">
        <f t="array" aca="1" ref="BR118" ca="1">VLOOKUP($B118,KOMBI!$A:$ADS,MATCH(Tulem!BR$3,KOMBI!$A$1:$ADS$1,0),FALSE)</f>
        <v>#NUM!</v>
      </c>
      <c r="BS118" s="292" t="e">
        <f t="array" aca="1" ref="BS118" ca="1">VLOOKUP($B118,KOMBI!$A:$ADS,MATCH(Tulem!BS$3,KOMBI!$A$1:$ADS$1,0),FALSE)</f>
        <v>#NUM!</v>
      </c>
      <c r="BT118" s="292" t="e">
        <f t="array" aca="1" ref="BT118" ca="1">VLOOKUP($B118,KOMBI!$A:$ADS,MATCH(Tulem!BT$3,KOMBI!$A$1:$ADS$1,0),FALSE)</f>
        <v>#NUM!</v>
      </c>
      <c r="BU118" s="292" t="e">
        <f t="array" aca="1" ref="BU118" ca="1">VLOOKUP($B118,KOMBI!$A:$ADS,MATCH(Tulem!BU$3,KOMBI!$A$1:$ADS$1,0),FALSE)</f>
        <v>#NUM!</v>
      </c>
      <c r="BV118" s="291"/>
      <c r="BW118" s="292" t="e">
        <f t="array" aca="1" ref="BW118" ca="1">VLOOKUP($B118,KOMBI!$A:$ADS,MATCH(Tulem!BW$3,KOMBI!$A$1:$ADS$1,0),FALSE)</f>
        <v>#NUM!</v>
      </c>
      <c r="BX118" s="291"/>
      <c r="BY118" s="291"/>
      <c r="BZ118" s="292" t="e">
        <f t="array" aca="1" ref="BZ118" ca="1">VLOOKUP($B118,KOMBI!$A:$ADS,MATCH(Tulem!BZ$3,KOMBI!$A$1:$ADS$1,0),FALSE)</f>
        <v>#NUM!</v>
      </c>
      <c r="CA118" s="292" t="e">
        <f t="array" aca="1" ref="CA118" ca="1">VLOOKUP($B118,KOMBI!$A:$ADS,MATCH(Tulem!CA$3,KOMBI!$A$1:$ADS$1,0),FALSE)</f>
        <v>#NUM!</v>
      </c>
      <c r="CB118" s="292" t="e">
        <f t="array" aca="1" ref="CB118" ca="1">VLOOKUP($B118,KOMBI!$A:$ADS,MATCH(Tulem!CB$3,KOMBI!$A$1:$ADS$1,0),FALSE)</f>
        <v>#NUM!</v>
      </c>
      <c r="CC118" s="292" t="e">
        <f t="array" aca="1" ref="CC118" ca="1">VLOOKUP($B118,KOMBI!$A:$ADS,MATCH(Tulem!CC$3,KOMBI!$A$1:$ADS$1,0),FALSE)</f>
        <v>#NUM!</v>
      </c>
      <c r="CD118" s="292" t="e">
        <f t="array" aca="1" ref="CD118" ca="1">VLOOKUP($B118,KOMBI!$A:$ADS,MATCH(Tulem!CD$3,KOMBI!$A$1:$ADS$1,0),FALSE)</f>
        <v>#NUM!</v>
      </c>
      <c r="CF118" s="51" t="e">
        <f ca="1">VLOOKUP($B118,KOMBI!$A:$ACG,MATCH(CF$5,KOMBI!$10:$10,0),FALSE)</f>
        <v>#NUM!</v>
      </c>
    </row>
    <row r="119" spans="1:84" x14ac:dyDescent="0.2">
      <c r="A119" s="51">
        <v>114</v>
      </c>
      <c r="B119" s="51" t="e">
        <f ca="1">KOMBI!GI124</f>
        <v>#NUM!</v>
      </c>
      <c r="C119" s="51">
        <f t="shared" si="3"/>
        <v>114</v>
      </c>
      <c r="D119" s="290" t="e">
        <f ca="1">VLOOKUP(VLOOKUP($B119,KOMBI!$A:$H,3,FALSE),data!$I$27:$J$29,2,FALSE)</f>
        <v>#NUM!</v>
      </c>
      <c r="E119" s="290" t="e">
        <f ca="1">VLOOKUP(VLOOKUP($B119,KOMBI!$A:$H,2,FALSE),data!$I$21:$J$23,2,FALSE)</f>
        <v>#NUM!</v>
      </c>
      <c r="F119" s="290" t="e">
        <f ca="1">VLOOKUP(VLOOKUP($B119,KOMBI!$A:$H,5,FALSE),data!$I$39:$J$41,2,FALSE)</f>
        <v>#NUM!</v>
      </c>
      <c r="G119" s="290" t="e">
        <f ca="1">VLOOKUP(VLOOKUP($B119,KOMBI!$A:$H,4,FALSE),data!$I$32:$J$36,2,FALSE)</f>
        <v>#NUM!</v>
      </c>
      <c r="I119" s="51" t="e">
        <f ca="1">VLOOKUP($B119,KOMBI!$A:$Z,MATCH(I$5,KOMBI!$10:$10,0),FALSE)</f>
        <v>#NUM!</v>
      </c>
      <c r="J119" s="291" t="e">
        <f ca="1">VLOOKUP($B119,KOMBI!$A:$ADS,J$3,FALSE)</f>
        <v>#NUM!</v>
      </c>
      <c r="K119" s="291" t="e">
        <f ca="1">VLOOKUP($B119,KOMBI!$A:$ADS,K$3,FALSE)</f>
        <v>#NUM!</v>
      </c>
      <c r="L119" s="291" t="e">
        <f ca="1">VLOOKUP($B119,KOMBI!$A:$ADS,L$3,FALSE)</f>
        <v>#NUM!</v>
      </c>
      <c r="M119" s="291" t="e">
        <f ca="1">VLOOKUP($B119,KOMBI!$A:$ADS,M$3,FALSE)</f>
        <v>#NUM!</v>
      </c>
      <c r="N119" s="291" t="e">
        <f ca="1">VLOOKUP($B119,KOMBI!$A:$ADS,N$3,FALSE)</f>
        <v>#NUM!</v>
      </c>
      <c r="O119" s="291" t="e">
        <f ca="1">VLOOKUP($B119,KOMBI!$A:$ADS,O$3,FALSE)</f>
        <v>#NUM!</v>
      </c>
      <c r="P119" s="291" t="e">
        <f ca="1">VLOOKUP($B119,KOMBI!$A:$ADS,P$3,FALSE)</f>
        <v>#NUM!</v>
      </c>
      <c r="Q119" s="292" t="e">
        <f t="array" aca="1" ref="Q119" ca="1">VLOOKUP($B119,KOMBI!$A:$ADS,MATCH(Tulem!Q$3,KOMBI!$A$1:$ADS$1,0),FALSE)</f>
        <v>#NUM!</v>
      </c>
      <c r="S119" s="332" t="e">
        <f t="array" aca="1" ref="S119" ca="1">VLOOKUP($B119,KOMBI!$A:$ADS,MATCH(Tulem!S$3,KOMBI!$A$1:$ADS$1,0),FALSE)</f>
        <v>#NUM!</v>
      </c>
      <c r="T119" s="293" t="e">
        <f ca="1">VLOOKUP($B119,KOMBI!$A:$ADS,T$3,FALSE)</f>
        <v>#NUM!</v>
      </c>
      <c r="U119" s="293" t="e">
        <f ca="1">VLOOKUP($B119,KOMBI!$A:$ADS,U$3,FALSE)</f>
        <v>#NUM!</v>
      </c>
      <c r="V119" s="293" t="e">
        <f ca="1">VLOOKUP($B119,KOMBI!$A:$ADS,V$3,FALSE)</f>
        <v>#NUM!</v>
      </c>
      <c r="W119" s="293"/>
      <c r="X119" s="293" t="e">
        <f ca="1">VLOOKUP($B119,KOMBI!$A:$ADS,X$3,FALSE)</f>
        <v>#NUM!</v>
      </c>
      <c r="Y119" s="293" t="e">
        <f ca="1">VLOOKUP($B119,KOMBI!$A:$ADS,Y$3,FALSE)</f>
        <v>#NUM!</v>
      </c>
      <c r="Z119" s="293" t="e">
        <f ca="1">VLOOKUP($B119,KOMBI!$A:$ADS,Z$3,FALSE)</f>
        <v>#NUM!</v>
      </c>
      <c r="AA119" s="294"/>
      <c r="AB119" s="293" t="e">
        <f ca="1">VLOOKUP($B119,KOMBI!$A:$ADS,AB$3,FALSE)</f>
        <v>#NUM!</v>
      </c>
      <c r="AC119" s="293" t="e">
        <f ca="1">VLOOKUP($B119,KOMBI!$A:$ADS,AC$3,FALSE)-AB119</f>
        <v>#NUM!</v>
      </c>
      <c r="AD119" s="293" t="e">
        <f ca="1">VLOOKUP($B119,KOMBI!$A:$ADS,AD$3,FALSE)</f>
        <v>#NUM!</v>
      </c>
      <c r="AE119" s="293" t="e">
        <f ca="1">VLOOKUP($B119,KOMBI!$A:$ADS,AE$3,FALSE)</f>
        <v>#NUM!</v>
      </c>
      <c r="AF119" s="293" t="e">
        <f ca="1">VLOOKUP($B119,KOMBI!$A:$ADS,AF$3,FALSE)-AE119</f>
        <v>#NUM!</v>
      </c>
      <c r="AG119" s="293" t="e">
        <f ca="1">VLOOKUP($B119,KOMBI!$A:$ADS,AG$3,FALSE)</f>
        <v>#NUM!</v>
      </c>
      <c r="AI119" s="293" t="e">
        <f t="array" aca="1" ref="AI119" ca="1">VLOOKUP($B119,KOMBI!$A:$ADS,MATCH(Tulem!AI$3,KOMBI!$A$1:$ADS$1,0),FALSE)</f>
        <v>#NUM!</v>
      </c>
      <c r="AJ119" s="293" t="e">
        <f t="array" aca="1" ref="AJ119" ca="1">VLOOKUP($B119,KOMBI!$A:$ADS,MATCH(Tulem!AJ$3,KOMBI!$A$1:$ADS$1,0),FALSE)</f>
        <v>#NUM!</v>
      </c>
      <c r="AK119" s="293" t="e">
        <f t="array" aca="1" ref="AK119" ca="1">VLOOKUP($B119,KOMBI!$A:$ADS,MATCH(Tulem!AK$3,KOMBI!$A$1:$ADS$1,0),FALSE)</f>
        <v>#NUM!</v>
      </c>
      <c r="AL119" s="293" t="e">
        <f t="array" aca="1" ref="AL119" ca="1">VLOOKUP($B119,KOMBI!$A:$ADS,MATCH(Tulem!AL$3,KOMBI!$A$1:$ADS$1,0),FALSE)</f>
        <v>#NUM!</v>
      </c>
      <c r="AM119" s="293" t="e">
        <f t="array" aca="1" ref="AM119" ca="1">VLOOKUP($B119,KOMBI!$A:$ADS,MATCH(Tulem!AM$3,KOMBI!$A$1:$ADS$1,0),FALSE)</f>
        <v>#NUM!</v>
      </c>
      <c r="AN119" s="293" t="e">
        <f t="array" aca="1" ref="AN119" ca="1">VLOOKUP($B119,KOMBI!$A:$ADS,MATCH(Tulem!AN$3,KOMBI!$A$1:$ADS$1,0),FALSE)</f>
        <v>#NUM!</v>
      </c>
      <c r="AO119" s="293" t="e">
        <f t="array" aca="1" ref="AO119" ca="1">VLOOKUP($B119,KOMBI!$A:$ADS,MATCH(Tulem!AO$3,KOMBI!$A$1:$ADS$1,0),FALSE)</f>
        <v>#NUM!</v>
      </c>
      <c r="AP119" s="293" t="e">
        <f t="array" aca="1" ref="AP119" ca="1">VLOOKUP($B119,KOMBI!$A:$ADS,MATCH(Tulem!AP$3,KOMBI!$A$1:$ADS$1,0),FALSE)</f>
        <v>#NUM!</v>
      </c>
      <c r="AQ119" s="293" t="e">
        <f t="array" aca="1" ref="AQ119" ca="1">VLOOKUP($B119,KOMBI!$A:$ADS,MATCH(Tulem!AQ$3,KOMBI!$A$1:$ADS$1,0),FALSE)</f>
        <v>#NUM!</v>
      </c>
      <c r="AR119" s="293" t="e">
        <f t="array" aca="1" ref="AR119" ca="1">VLOOKUP($B119,KOMBI!$A:$ADS,MATCH(Tulem!AR$3,KOMBI!$A$1:$ADS$1,0),FALSE)</f>
        <v>#NUM!</v>
      </c>
      <c r="AS119" s="293" t="e">
        <f t="array" aca="1" ref="AS119" ca="1">VLOOKUP($B119,KOMBI!$A:$ADS,MATCH(Tulem!AS$3,KOMBI!$A$1:$ADS$1,0),FALSE)</f>
        <v>#NUM!</v>
      </c>
      <c r="AT119" s="293" t="e">
        <f t="array" aca="1" ref="AT119" ca="1">VLOOKUP($B119,KOMBI!$A:$ADS,MATCH(Tulem!AT$3,KOMBI!$A$1:$ADS$1,0),FALSE)</f>
        <v>#NUM!</v>
      </c>
      <c r="AU119" s="293" t="e">
        <f t="array" aca="1" ref="AU119" ca="1">VLOOKUP($B119,KOMBI!$A:$ADS,MATCH(Tulem!AU$3,KOMBI!$A$1:$ADS$1,0),FALSE)</f>
        <v>#NUM!</v>
      </c>
      <c r="AV119" s="293" t="e">
        <f t="shared" ca="1" si="4"/>
        <v>#NUM!</v>
      </c>
      <c r="AW119" s="293" t="e">
        <f t="shared" ca="1" si="5"/>
        <v>#NUM!</v>
      </c>
      <c r="AX119" s="291" t="e">
        <f ca="1">VLOOKUP($B119,KOMBI!$A:$ACA,MATCH(AX$5,KOMBI!$10:$10,0),FALSE)</f>
        <v>#NUM!</v>
      </c>
      <c r="AY119" s="292" t="e">
        <f t="array" aca="1" ref="AY119" ca="1">VLOOKUP($B119,KOMBI!$A:$ADS,MATCH(Tulem!AY$3,KOMBI!$A$1:$ADS$1,0),FALSE)</f>
        <v>#NUM!</v>
      </c>
      <c r="AZ119" s="292" t="e">
        <f t="array" aca="1" ref="AZ119" ca="1">VLOOKUP($B119,KOMBI!$A:$ADS,MATCH(Tulem!AZ$3,KOMBI!$A$1:$ADS$1,0),FALSE)</f>
        <v>#NUM!</v>
      </c>
      <c r="BA119" s="292" t="e">
        <f t="array" aca="1" ref="BA119" ca="1">VLOOKUP($B119,KOMBI!$A:$ADS,MATCH(Tulem!BA$3,KOMBI!$A$1:$ADS$1,0),FALSE)</f>
        <v>#NUM!</v>
      </c>
      <c r="BB119" s="292" t="e">
        <f t="array" aca="1" ref="BB119" ca="1">VLOOKUP($B119,KOMBI!$A:$ADS,MATCH(Tulem!BB$3,KOMBI!$A$1:$ADS$1,0),FALSE)</f>
        <v>#NUM!</v>
      </c>
      <c r="BC119" s="292" t="e">
        <f t="array" aca="1" ref="BC119" ca="1">VLOOKUP($B119,KOMBI!$A:$ADS,MATCH(Tulem!BC$3,KOMBI!$A$1:$ADS$1,0),FALSE)</f>
        <v>#NUM!</v>
      </c>
      <c r="BD119" s="292" t="e">
        <f t="array" aca="1" ref="BD119" ca="1">VLOOKUP($B119,KOMBI!$A:$ADS,MATCH(Tulem!BD$3,KOMBI!$A$1:$ADS$1,0),FALSE)</f>
        <v>#NUM!</v>
      </c>
      <c r="BE119" s="292" t="e">
        <f t="array" aca="1" ref="BE119" ca="1">VLOOKUP($B119,KOMBI!$A:$ADS,MATCH(Tulem!BE$3,KOMBI!$A$1:$ADS$1,0),FALSE)</f>
        <v>#NUM!</v>
      </c>
      <c r="BF119" s="292" t="e">
        <f t="array" aca="1" ref="BF119" ca="1">VLOOKUP($B119,KOMBI!$A:$ADS,MATCH(Tulem!BF$3,KOMBI!$A$1:$ADS$1,0),FALSE)</f>
        <v>#NUM!</v>
      </c>
      <c r="BG119" s="292" t="e">
        <f t="array" aca="1" ref="BG119" ca="1">VLOOKUP($B119,KOMBI!$A:$ADS,MATCH(Tulem!BG$3,KOMBI!$A$1:$ADS$1,0),FALSE)</f>
        <v>#NUM!</v>
      </c>
      <c r="BH119" s="292" t="e">
        <f t="array" aca="1" ref="BH119" ca="1">VLOOKUP($B119,KOMBI!$A:$ADS,MATCH(Tulem!BH$3,KOMBI!$A$1:$ADS$1,0),FALSE)</f>
        <v>#NUM!</v>
      </c>
      <c r="BI119" s="292" t="e">
        <f t="array" aca="1" ref="BI119" ca="1">VLOOKUP($B119,KOMBI!$A:$ADS,MATCH(Tulem!BI$3,KOMBI!$A$1:$ADS$1,0),FALSE)</f>
        <v>#NUM!</v>
      </c>
      <c r="BJ119" s="292" t="e">
        <f t="array" aca="1" ref="BJ119" ca="1">VLOOKUP($B119,KOMBI!$A:$ADS,MATCH(Tulem!BJ$3,KOMBI!$A$1:$ADS$1,0),FALSE)</f>
        <v>#NUM!</v>
      </c>
      <c r="BK119" s="292" t="e">
        <f t="array" aca="1" ref="BK119" ca="1">VLOOKUP($B119,KOMBI!$A:$ADS,MATCH(Tulem!BK$3,KOMBI!$A$1:$ADS$1,0),FALSE)</f>
        <v>#NUM!</v>
      </c>
      <c r="BL119" s="292" t="e">
        <f t="array" aca="1" ref="BL119" ca="1">VLOOKUP($B119,KOMBI!$A:$ADS,MATCH(Tulem!BL$3,KOMBI!$A$1:$ADS$1,0),FALSE)</f>
        <v>#NUM!</v>
      </c>
      <c r="BM119" s="292" t="e">
        <f t="array" aca="1" ref="BM119" ca="1">VLOOKUP($B119,KOMBI!$A:$ADS,MATCH(Tulem!BM$3,KOMBI!$A$1:$ADS$1,0),FALSE)</f>
        <v>#NUM!</v>
      </c>
      <c r="BN119" s="292" t="e">
        <f t="array" aca="1" ref="BN119" ca="1">VLOOKUP($B119,KOMBI!$A:$ADS,MATCH(Tulem!BN$3,KOMBI!$A$1:$ADS$1,0),FALSE)</f>
        <v>#NUM!</v>
      </c>
      <c r="BO119" s="292" t="e">
        <f t="array" aca="1" ref="BO119" ca="1">VLOOKUP($B119,KOMBI!$A:$ADS,MATCH(Tulem!BO$3,KOMBI!$A$1:$ADS$1,0),FALSE)</f>
        <v>#NUM!</v>
      </c>
      <c r="BP119" s="291"/>
      <c r="BQ119" s="292" t="e">
        <f t="array" aca="1" ref="BQ119" ca="1">VLOOKUP($B119,KOMBI!$A:$ADS,MATCH(Tulem!BQ$3,KOMBI!$A$1:$ADS$1,0),FALSE)</f>
        <v>#NUM!</v>
      </c>
      <c r="BR119" s="292" t="e">
        <f t="array" aca="1" ref="BR119" ca="1">VLOOKUP($B119,KOMBI!$A:$ADS,MATCH(Tulem!BR$3,KOMBI!$A$1:$ADS$1,0),FALSE)</f>
        <v>#NUM!</v>
      </c>
      <c r="BS119" s="292" t="e">
        <f t="array" aca="1" ref="BS119" ca="1">VLOOKUP($B119,KOMBI!$A:$ADS,MATCH(Tulem!BS$3,KOMBI!$A$1:$ADS$1,0),FALSE)</f>
        <v>#NUM!</v>
      </c>
      <c r="BT119" s="292" t="e">
        <f t="array" aca="1" ref="BT119" ca="1">VLOOKUP($B119,KOMBI!$A:$ADS,MATCH(Tulem!BT$3,KOMBI!$A$1:$ADS$1,0),FALSE)</f>
        <v>#NUM!</v>
      </c>
      <c r="BU119" s="292" t="e">
        <f t="array" aca="1" ref="BU119" ca="1">VLOOKUP($B119,KOMBI!$A:$ADS,MATCH(Tulem!BU$3,KOMBI!$A$1:$ADS$1,0),FALSE)</f>
        <v>#NUM!</v>
      </c>
      <c r="BV119" s="291"/>
      <c r="BW119" s="292" t="e">
        <f t="array" aca="1" ref="BW119" ca="1">VLOOKUP($B119,KOMBI!$A:$ADS,MATCH(Tulem!BW$3,KOMBI!$A$1:$ADS$1,0),FALSE)</f>
        <v>#NUM!</v>
      </c>
      <c r="BX119" s="291"/>
      <c r="BY119" s="291"/>
      <c r="BZ119" s="292" t="e">
        <f t="array" aca="1" ref="BZ119" ca="1">VLOOKUP($B119,KOMBI!$A:$ADS,MATCH(Tulem!BZ$3,KOMBI!$A$1:$ADS$1,0),FALSE)</f>
        <v>#NUM!</v>
      </c>
      <c r="CA119" s="292" t="e">
        <f t="array" aca="1" ref="CA119" ca="1">VLOOKUP($B119,KOMBI!$A:$ADS,MATCH(Tulem!CA$3,KOMBI!$A$1:$ADS$1,0),FALSE)</f>
        <v>#NUM!</v>
      </c>
      <c r="CB119" s="292" t="e">
        <f t="array" aca="1" ref="CB119" ca="1">VLOOKUP($B119,KOMBI!$A:$ADS,MATCH(Tulem!CB$3,KOMBI!$A$1:$ADS$1,0),FALSE)</f>
        <v>#NUM!</v>
      </c>
      <c r="CC119" s="292" t="e">
        <f t="array" aca="1" ref="CC119" ca="1">VLOOKUP($B119,KOMBI!$A:$ADS,MATCH(Tulem!CC$3,KOMBI!$A$1:$ADS$1,0),FALSE)</f>
        <v>#NUM!</v>
      </c>
      <c r="CD119" s="292" t="e">
        <f t="array" aca="1" ref="CD119" ca="1">VLOOKUP($B119,KOMBI!$A:$ADS,MATCH(Tulem!CD$3,KOMBI!$A$1:$ADS$1,0),FALSE)</f>
        <v>#NUM!</v>
      </c>
      <c r="CF119" s="51" t="e">
        <f ca="1">VLOOKUP($B119,KOMBI!$A:$ACG,MATCH(CF$5,KOMBI!$10:$10,0),FALSE)</f>
        <v>#NUM!</v>
      </c>
    </row>
    <row r="120" spans="1:84" x14ac:dyDescent="0.2">
      <c r="A120" s="51">
        <v>115</v>
      </c>
      <c r="B120" s="51" t="e">
        <f ca="1">KOMBI!GI125</f>
        <v>#NUM!</v>
      </c>
      <c r="C120" s="51">
        <f t="shared" si="3"/>
        <v>115</v>
      </c>
      <c r="D120" s="290" t="e">
        <f ca="1">VLOOKUP(VLOOKUP($B120,KOMBI!$A:$H,3,FALSE),data!$I$27:$J$29,2,FALSE)</f>
        <v>#NUM!</v>
      </c>
      <c r="E120" s="290" t="e">
        <f ca="1">VLOOKUP(VLOOKUP($B120,KOMBI!$A:$H,2,FALSE),data!$I$21:$J$23,2,FALSE)</f>
        <v>#NUM!</v>
      </c>
      <c r="F120" s="290" t="e">
        <f ca="1">VLOOKUP(VLOOKUP($B120,KOMBI!$A:$H,5,FALSE),data!$I$39:$J$41,2,FALSE)</f>
        <v>#NUM!</v>
      </c>
      <c r="G120" s="290" t="e">
        <f ca="1">VLOOKUP(VLOOKUP($B120,KOMBI!$A:$H,4,FALSE),data!$I$32:$J$36,2,FALSE)</f>
        <v>#NUM!</v>
      </c>
      <c r="I120" s="51" t="e">
        <f ca="1">VLOOKUP($B120,KOMBI!$A:$Z,MATCH(I$5,KOMBI!$10:$10,0),FALSE)</f>
        <v>#NUM!</v>
      </c>
      <c r="J120" s="291" t="e">
        <f ca="1">VLOOKUP($B120,KOMBI!$A:$ADS,J$3,FALSE)</f>
        <v>#NUM!</v>
      </c>
      <c r="K120" s="291" t="e">
        <f ca="1">VLOOKUP($B120,KOMBI!$A:$ADS,K$3,FALSE)</f>
        <v>#NUM!</v>
      </c>
      <c r="L120" s="291" t="e">
        <f ca="1">VLOOKUP($B120,KOMBI!$A:$ADS,L$3,FALSE)</f>
        <v>#NUM!</v>
      </c>
      <c r="M120" s="291" t="e">
        <f ca="1">VLOOKUP($B120,KOMBI!$A:$ADS,M$3,FALSE)</f>
        <v>#NUM!</v>
      </c>
      <c r="N120" s="291" t="e">
        <f ca="1">VLOOKUP($B120,KOMBI!$A:$ADS,N$3,FALSE)</f>
        <v>#NUM!</v>
      </c>
      <c r="O120" s="291" t="e">
        <f ca="1">VLOOKUP($B120,KOMBI!$A:$ADS,O$3,FALSE)</f>
        <v>#NUM!</v>
      </c>
      <c r="P120" s="291" t="e">
        <f ca="1">VLOOKUP($B120,KOMBI!$A:$ADS,P$3,FALSE)</f>
        <v>#NUM!</v>
      </c>
      <c r="Q120" s="292" t="e">
        <f t="array" aca="1" ref="Q120" ca="1">VLOOKUP($B120,KOMBI!$A:$ADS,MATCH(Tulem!Q$3,KOMBI!$A$1:$ADS$1,0),FALSE)</f>
        <v>#NUM!</v>
      </c>
      <c r="S120" s="332" t="e">
        <f t="array" aca="1" ref="S120" ca="1">VLOOKUP($B120,KOMBI!$A:$ADS,MATCH(Tulem!S$3,KOMBI!$A$1:$ADS$1,0),FALSE)</f>
        <v>#NUM!</v>
      </c>
      <c r="T120" s="293" t="e">
        <f ca="1">VLOOKUP($B120,KOMBI!$A:$ADS,T$3,FALSE)</f>
        <v>#NUM!</v>
      </c>
      <c r="U120" s="293" t="e">
        <f ca="1">VLOOKUP($B120,KOMBI!$A:$ADS,U$3,FALSE)</f>
        <v>#NUM!</v>
      </c>
      <c r="V120" s="293" t="e">
        <f ca="1">VLOOKUP($B120,KOMBI!$A:$ADS,V$3,FALSE)</f>
        <v>#NUM!</v>
      </c>
      <c r="W120" s="293"/>
      <c r="X120" s="293" t="e">
        <f ca="1">VLOOKUP($B120,KOMBI!$A:$ADS,X$3,FALSE)</f>
        <v>#NUM!</v>
      </c>
      <c r="Y120" s="293" t="e">
        <f ca="1">VLOOKUP($B120,KOMBI!$A:$ADS,Y$3,FALSE)</f>
        <v>#NUM!</v>
      </c>
      <c r="Z120" s="293" t="e">
        <f ca="1">VLOOKUP($B120,KOMBI!$A:$ADS,Z$3,FALSE)</f>
        <v>#NUM!</v>
      </c>
      <c r="AA120" s="294"/>
      <c r="AB120" s="293" t="e">
        <f ca="1">VLOOKUP($B120,KOMBI!$A:$ADS,AB$3,FALSE)</f>
        <v>#NUM!</v>
      </c>
      <c r="AC120" s="293" t="e">
        <f ca="1">VLOOKUP($B120,KOMBI!$A:$ADS,AC$3,FALSE)-AB120</f>
        <v>#NUM!</v>
      </c>
      <c r="AD120" s="293" t="e">
        <f ca="1">VLOOKUP($B120,KOMBI!$A:$ADS,AD$3,FALSE)</f>
        <v>#NUM!</v>
      </c>
      <c r="AE120" s="293" t="e">
        <f ca="1">VLOOKUP($B120,KOMBI!$A:$ADS,AE$3,FALSE)</f>
        <v>#NUM!</v>
      </c>
      <c r="AF120" s="293" t="e">
        <f ca="1">VLOOKUP($B120,KOMBI!$A:$ADS,AF$3,FALSE)-AE120</f>
        <v>#NUM!</v>
      </c>
      <c r="AG120" s="293" t="e">
        <f ca="1">VLOOKUP($B120,KOMBI!$A:$ADS,AG$3,FALSE)</f>
        <v>#NUM!</v>
      </c>
      <c r="AI120" s="293" t="e">
        <f t="array" aca="1" ref="AI120" ca="1">VLOOKUP($B120,KOMBI!$A:$ADS,MATCH(Tulem!AI$3,KOMBI!$A$1:$ADS$1,0),FALSE)</f>
        <v>#NUM!</v>
      </c>
      <c r="AJ120" s="293" t="e">
        <f t="array" aca="1" ref="AJ120" ca="1">VLOOKUP($B120,KOMBI!$A:$ADS,MATCH(Tulem!AJ$3,KOMBI!$A$1:$ADS$1,0),FALSE)</f>
        <v>#NUM!</v>
      </c>
      <c r="AK120" s="293" t="e">
        <f t="array" aca="1" ref="AK120" ca="1">VLOOKUP($B120,KOMBI!$A:$ADS,MATCH(Tulem!AK$3,KOMBI!$A$1:$ADS$1,0),FALSE)</f>
        <v>#NUM!</v>
      </c>
      <c r="AL120" s="293" t="e">
        <f t="array" aca="1" ref="AL120" ca="1">VLOOKUP($B120,KOMBI!$A:$ADS,MATCH(Tulem!AL$3,KOMBI!$A$1:$ADS$1,0),FALSE)</f>
        <v>#NUM!</v>
      </c>
      <c r="AM120" s="293" t="e">
        <f t="array" aca="1" ref="AM120" ca="1">VLOOKUP($B120,KOMBI!$A:$ADS,MATCH(Tulem!AM$3,KOMBI!$A$1:$ADS$1,0),FALSE)</f>
        <v>#NUM!</v>
      </c>
      <c r="AN120" s="293" t="e">
        <f t="array" aca="1" ref="AN120" ca="1">VLOOKUP($B120,KOMBI!$A:$ADS,MATCH(Tulem!AN$3,KOMBI!$A$1:$ADS$1,0),FALSE)</f>
        <v>#NUM!</v>
      </c>
      <c r="AO120" s="293" t="e">
        <f t="array" aca="1" ref="AO120" ca="1">VLOOKUP($B120,KOMBI!$A:$ADS,MATCH(Tulem!AO$3,KOMBI!$A$1:$ADS$1,0),FALSE)</f>
        <v>#NUM!</v>
      </c>
      <c r="AP120" s="293" t="e">
        <f t="array" aca="1" ref="AP120" ca="1">VLOOKUP($B120,KOMBI!$A:$ADS,MATCH(Tulem!AP$3,KOMBI!$A$1:$ADS$1,0),FALSE)</f>
        <v>#NUM!</v>
      </c>
      <c r="AQ120" s="293" t="e">
        <f t="array" aca="1" ref="AQ120" ca="1">VLOOKUP($B120,KOMBI!$A:$ADS,MATCH(Tulem!AQ$3,KOMBI!$A$1:$ADS$1,0),FALSE)</f>
        <v>#NUM!</v>
      </c>
      <c r="AR120" s="293" t="e">
        <f t="array" aca="1" ref="AR120" ca="1">VLOOKUP($B120,KOMBI!$A:$ADS,MATCH(Tulem!AR$3,KOMBI!$A$1:$ADS$1,0),FALSE)</f>
        <v>#NUM!</v>
      </c>
      <c r="AS120" s="293" t="e">
        <f t="array" aca="1" ref="AS120" ca="1">VLOOKUP($B120,KOMBI!$A:$ADS,MATCH(Tulem!AS$3,KOMBI!$A$1:$ADS$1,0),FALSE)</f>
        <v>#NUM!</v>
      </c>
      <c r="AT120" s="293" t="e">
        <f t="array" aca="1" ref="AT120" ca="1">VLOOKUP($B120,KOMBI!$A:$ADS,MATCH(Tulem!AT$3,KOMBI!$A$1:$ADS$1,0),FALSE)</f>
        <v>#NUM!</v>
      </c>
      <c r="AU120" s="293" t="e">
        <f t="array" aca="1" ref="AU120" ca="1">VLOOKUP($B120,KOMBI!$A:$ADS,MATCH(Tulem!AU$3,KOMBI!$A$1:$ADS$1,0),FALSE)</f>
        <v>#NUM!</v>
      </c>
      <c r="AV120" s="293" t="e">
        <f t="shared" ca="1" si="4"/>
        <v>#NUM!</v>
      </c>
      <c r="AW120" s="293" t="e">
        <f t="shared" ca="1" si="5"/>
        <v>#NUM!</v>
      </c>
      <c r="AX120" s="291" t="e">
        <f ca="1">VLOOKUP($B120,KOMBI!$A:$ACA,MATCH(AX$5,KOMBI!$10:$10,0),FALSE)</f>
        <v>#NUM!</v>
      </c>
      <c r="AY120" s="292" t="e">
        <f t="array" aca="1" ref="AY120" ca="1">VLOOKUP($B120,KOMBI!$A:$ADS,MATCH(Tulem!AY$3,KOMBI!$A$1:$ADS$1,0),FALSE)</f>
        <v>#NUM!</v>
      </c>
      <c r="AZ120" s="292" t="e">
        <f t="array" aca="1" ref="AZ120" ca="1">VLOOKUP($B120,KOMBI!$A:$ADS,MATCH(Tulem!AZ$3,KOMBI!$A$1:$ADS$1,0),FALSE)</f>
        <v>#NUM!</v>
      </c>
      <c r="BA120" s="292" t="e">
        <f t="array" aca="1" ref="BA120" ca="1">VLOOKUP($B120,KOMBI!$A:$ADS,MATCH(Tulem!BA$3,KOMBI!$A$1:$ADS$1,0),FALSE)</f>
        <v>#NUM!</v>
      </c>
      <c r="BB120" s="292" t="e">
        <f t="array" aca="1" ref="BB120" ca="1">VLOOKUP($B120,KOMBI!$A:$ADS,MATCH(Tulem!BB$3,KOMBI!$A$1:$ADS$1,0),FALSE)</f>
        <v>#NUM!</v>
      </c>
      <c r="BC120" s="292" t="e">
        <f t="array" aca="1" ref="BC120" ca="1">VLOOKUP($B120,KOMBI!$A:$ADS,MATCH(Tulem!BC$3,KOMBI!$A$1:$ADS$1,0),FALSE)</f>
        <v>#NUM!</v>
      </c>
      <c r="BD120" s="292" t="e">
        <f t="array" aca="1" ref="BD120" ca="1">VLOOKUP($B120,KOMBI!$A:$ADS,MATCH(Tulem!BD$3,KOMBI!$A$1:$ADS$1,0),FALSE)</f>
        <v>#NUM!</v>
      </c>
      <c r="BE120" s="292" t="e">
        <f t="array" aca="1" ref="BE120" ca="1">VLOOKUP($B120,KOMBI!$A:$ADS,MATCH(Tulem!BE$3,KOMBI!$A$1:$ADS$1,0),FALSE)</f>
        <v>#NUM!</v>
      </c>
      <c r="BF120" s="292" t="e">
        <f t="array" aca="1" ref="BF120" ca="1">VLOOKUP($B120,KOMBI!$A:$ADS,MATCH(Tulem!BF$3,KOMBI!$A$1:$ADS$1,0),FALSE)</f>
        <v>#NUM!</v>
      </c>
      <c r="BG120" s="292" t="e">
        <f t="array" aca="1" ref="BG120" ca="1">VLOOKUP($B120,KOMBI!$A:$ADS,MATCH(Tulem!BG$3,KOMBI!$A$1:$ADS$1,0),FALSE)</f>
        <v>#NUM!</v>
      </c>
      <c r="BH120" s="292" t="e">
        <f t="array" aca="1" ref="BH120" ca="1">VLOOKUP($B120,KOMBI!$A:$ADS,MATCH(Tulem!BH$3,KOMBI!$A$1:$ADS$1,0),FALSE)</f>
        <v>#NUM!</v>
      </c>
      <c r="BI120" s="292" t="e">
        <f t="array" aca="1" ref="BI120" ca="1">VLOOKUP($B120,KOMBI!$A:$ADS,MATCH(Tulem!BI$3,KOMBI!$A$1:$ADS$1,0),FALSE)</f>
        <v>#NUM!</v>
      </c>
      <c r="BJ120" s="292" t="e">
        <f t="array" aca="1" ref="BJ120" ca="1">VLOOKUP($B120,KOMBI!$A:$ADS,MATCH(Tulem!BJ$3,KOMBI!$A$1:$ADS$1,0),FALSE)</f>
        <v>#NUM!</v>
      </c>
      <c r="BK120" s="292" t="e">
        <f t="array" aca="1" ref="BK120" ca="1">VLOOKUP($B120,KOMBI!$A:$ADS,MATCH(Tulem!BK$3,KOMBI!$A$1:$ADS$1,0),FALSE)</f>
        <v>#NUM!</v>
      </c>
      <c r="BL120" s="292" t="e">
        <f t="array" aca="1" ref="BL120" ca="1">VLOOKUP($B120,KOMBI!$A:$ADS,MATCH(Tulem!BL$3,KOMBI!$A$1:$ADS$1,0),FALSE)</f>
        <v>#NUM!</v>
      </c>
      <c r="BM120" s="292" t="e">
        <f t="array" aca="1" ref="BM120" ca="1">VLOOKUP($B120,KOMBI!$A:$ADS,MATCH(Tulem!BM$3,KOMBI!$A$1:$ADS$1,0),FALSE)</f>
        <v>#NUM!</v>
      </c>
      <c r="BN120" s="292" t="e">
        <f t="array" aca="1" ref="BN120" ca="1">VLOOKUP($B120,KOMBI!$A:$ADS,MATCH(Tulem!BN$3,KOMBI!$A$1:$ADS$1,0),FALSE)</f>
        <v>#NUM!</v>
      </c>
      <c r="BO120" s="292" t="e">
        <f t="array" aca="1" ref="BO120" ca="1">VLOOKUP($B120,KOMBI!$A:$ADS,MATCH(Tulem!BO$3,KOMBI!$A$1:$ADS$1,0),FALSE)</f>
        <v>#NUM!</v>
      </c>
      <c r="BP120" s="291"/>
      <c r="BQ120" s="292" t="e">
        <f t="array" aca="1" ref="BQ120" ca="1">VLOOKUP($B120,KOMBI!$A:$ADS,MATCH(Tulem!BQ$3,KOMBI!$A$1:$ADS$1,0),FALSE)</f>
        <v>#NUM!</v>
      </c>
      <c r="BR120" s="292" t="e">
        <f t="array" aca="1" ref="BR120" ca="1">VLOOKUP($B120,KOMBI!$A:$ADS,MATCH(Tulem!BR$3,KOMBI!$A$1:$ADS$1,0),FALSE)</f>
        <v>#NUM!</v>
      </c>
      <c r="BS120" s="292" t="e">
        <f t="array" aca="1" ref="BS120" ca="1">VLOOKUP($B120,KOMBI!$A:$ADS,MATCH(Tulem!BS$3,KOMBI!$A$1:$ADS$1,0),FALSE)</f>
        <v>#NUM!</v>
      </c>
      <c r="BT120" s="292" t="e">
        <f t="array" aca="1" ref="BT120" ca="1">VLOOKUP($B120,KOMBI!$A:$ADS,MATCH(Tulem!BT$3,KOMBI!$A$1:$ADS$1,0),FALSE)</f>
        <v>#NUM!</v>
      </c>
      <c r="BU120" s="292" t="e">
        <f t="array" aca="1" ref="BU120" ca="1">VLOOKUP($B120,KOMBI!$A:$ADS,MATCH(Tulem!BU$3,KOMBI!$A$1:$ADS$1,0),FALSE)</f>
        <v>#NUM!</v>
      </c>
      <c r="BV120" s="291"/>
      <c r="BW120" s="292" t="e">
        <f t="array" aca="1" ref="BW120" ca="1">VLOOKUP($B120,KOMBI!$A:$ADS,MATCH(Tulem!BW$3,KOMBI!$A$1:$ADS$1,0),FALSE)</f>
        <v>#NUM!</v>
      </c>
      <c r="BX120" s="291"/>
      <c r="BY120" s="291"/>
      <c r="BZ120" s="292" t="e">
        <f t="array" aca="1" ref="BZ120" ca="1">VLOOKUP($B120,KOMBI!$A:$ADS,MATCH(Tulem!BZ$3,KOMBI!$A$1:$ADS$1,0),FALSE)</f>
        <v>#NUM!</v>
      </c>
      <c r="CA120" s="292" t="e">
        <f t="array" aca="1" ref="CA120" ca="1">VLOOKUP($B120,KOMBI!$A:$ADS,MATCH(Tulem!CA$3,KOMBI!$A$1:$ADS$1,0),FALSE)</f>
        <v>#NUM!</v>
      </c>
      <c r="CB120" s="292" t="e">
        <f t="array" aca="1" ref="CB120" ca="1">VLOOKUP($B120,KOMBI!$A:$ADS,MATCH(Tulem!CB$3,KOMBI!$A$1:$ADS$1,0),FALSE)</f>
        <v>#NUM!</v>
      </c>
      <c r="CC120" s="292" t="e">
        <f t="array" aca="1" ref="CC120" ca="1">VLOOKUP($B120,KOMBI!$A:$ADS,MATCH(Tulem!CC$3,KOMBI!$A$1:$ADS$1,0),FALSE)</f>
        <v>#NUM!</v>
      </c>
      <c r="CD120" s="292" t="e">
        <f t="array" aca="1" ref="CD120" ca="1">VLOOKUP($B120,KOMBI!$A:$ADS,MATCH(Tulem!CD$3,KOMBI!$A$1:$ADS$1,0),FALSE)</f>
        <v>#NUM!</v>
      </c>
      <c r="CF120" s="51" t="e">
        <f ca="1">VLOOKUP($B120,KOMBI!$A:$ACG,MATCH(CF$5,KOMBI!$10:$10,0),FALSE)</f>
        <v>#NUM!</v>
      </c>
    </row>
    <row r="121" spans="1:84" x14ac:dyDescent="0.2">
      <c r="A121" s="51">
        <v>116</v>
      </c>
      <c r="B121" s="51" t="e">
        <f ca="1">KOMBI!GI126</f>
        <v>#NUM!</v>
      </c>
      <c r="C121" s="51">
        <f t="shared" si="3"/>
        <v>116</v>
      </c>
      <c r="D121" s="290" t="e">
        <f ca="1">VLOOKUP(VLOOKUP($B121,KOMBI!$A:$H,3,FALSE),data!$I$27:$J$29,2,FALSE)</f>
        <v>#NUM!</v>
      </c>
      <c r="E121" s="290" t="e">
        <f ca="1">VLOOKUP(VLOOKUP($B121,KOMBI!$A:$H,2,FALSE),data!$I$21:$J$23,2,FALSE)</f>
        <v>#NUM!</v>
      </c>
      <c r="F121" s="290" t="e">
        <f ca="1">VLOOKUP(VLOOKUP($B121,KOMBI!$A:$H,5,FALSE),data!$I$39:$J$41,2,FALSE)</f>
        <v>#NUM!</v>
      </c>
      <c r="G121" s="290" t="e">
        <f ca="1">VLOOKUP(VLOOKUP($B121,KOMBI!$A:$H,4,FALSE),data!$I$32:$J$36,2,FALSE)</f>
        <v>#NUM!</v>
      </c>
      <c r="I121" s="51" t="e">
        <f ca="1">VLOOKUP($B121,KOMBI!$A:$Z,MATCH(I$5,KOMBI!$10:$10,0),FALSE)</f>
        <v>#NUM!</v>
      </c>
      <c r="J121" s="291" t="e">
        <f ca="1">VLOOKUP($B121,KOMBI!$A:$ADS,J$3,FALSE)</f>
        <v>#NUM!</v>
      </c>
      <c r="K121" s="291" t="e">
        <f ca="1">VLOOKUP($B121,KOMBI!$A:$ADS,K$3,FALSE)</f>
        <v>#NUM!</v>
      </c>
      <c r="L121" s="291" t="e">
        <f ca="1">VLOOKUP($B121,KOMBI!$A:$ADS,L$3,FALSE)</f>
        <v>#NUM!</v>
      </c>
      <c r="M121" s="291" t="e">
        <f ca="1">VLOOKUP($B121,KOMBI!$A:$ADS,M$3,FALSE)</f>
        <v>#NUM!</v>
      </c>
      <c r="N121" s="291" t="e">
        <f ca="1">VLOOKUP($B121,KOMBI!$A:$ADS,N$3,FALSE)</f>
        <v>#NUM!</v>
      </c>
      <c r="O121" s="291" t="e">
        <f ca="1">VLOOKUP($B121,KOMBI!$A:$ADS,O$3,FALSE)</f>
        <v>#NUM!</v>
      </c>
      <c r="P121" s="291" t="e">
        <f ca="1">VLOOKUP($B121,KOMBI!$A:$ADS,P$3,FALSE)</f>
        <v>#NUM!</v>
      </c>
      <c r="Q121" s="292" t="e">
        <f t="array" aca="1" ref="Q121" ca="1">VLOOKUP($B121,KOMBI!$A:$ADS,MATCH(Tulem!Q$3,KOMBI!$A$1:$ADS$1,0),FALSE)</f>
        <v>#NUM!</v>
      </c>
      <c r="S121" s="332" t="e">
        <f t="array" aca="1" ref="S121" ca="1">VLOOKUP($B121,KOMBI!$A:$ADS,MATCH(Tulem!S$3,KOMBI!$A$1:$ADS$1,0),FALSE)</f>
        <v>#NUM!</v>
      </c>
      <c r="T121" s="293" t="e">
        <f ca="1">VLOOKUP($B121,KOMBI!$A:$ADS,T$3,FALSE)</f>
        <v>#NUM!</v>
      </c>
      <c r="U121" s="293" t="e">
        <f ca="1">VLOOKUP($B121,KOMBI!$A:$ADS,U$3,FALSE)</f>
        <v>#NUM!</v>
      </c>
      <c r="V121" s="293" t="e">
        <f ca="1">VLOOKUP($B121,KOMBI!$A:$ADS,V$3,FALSE)</f>
        <v>#NUM!</v>
      </c>
      <c r="W121" s="293"/>
      <c r="X121" s="293" t="e">
        <f ca="1">VLOOKUP($B121,KOMBI!$A:$ADS,X$3,FALSE)</f>
        <v>#NUM!</v>
      </c>
      <c r="Y121" s="293" t="e">
        <f ca="1">VLOOKUP($B121,KOMBI!$A:$ADS,Y$3,FALSE)</f>
        <v>#NUM!</v>
      </c>
      <c r="Z121" s="293" t="e">
        <f ca="1">VLOOKUP($B121,KOMBI!$A:$ADS,Z$3,FALSE)</f>
        <v>#NUM!</v>
      </c>
      <c r="AA121" s="294"/>
      <c r="AB121" s="293" t="e">
        <f ca="1">VLOOKUP($B121,KOMBI!$A:$ADS,AB$3,FALSE)</f>
        <v>#NUM!</v>
      </c>
      <c r="AC121" s="293" t="e">
        <f ca="1">VLOOKUP($B121,KOMBI!$A:$ADS,AC$3,FALSE)-AB121</f>
        <v>#NUM!</v>
      </c>
      <c r="AD121" s="293" t="e">
        <f ca="1">VLOOKUP($B121,KOMBI!$A:$ADS,AD$3,FALSE)</f>
        <v>#NUM!</v>
      </c>
      <c r="AE121" s="293" t="e">
        <f ca="1">VLOOKUP($B121,KOMBI!$A:$ADS,AE$3,FALSE)</f>
        <v>#NUM!</v>
      </c>
      <c r="AF121" s="293" t="e">
        <f ca="1">VLOOKUP($B121,KOMBI!$A:$ADS,AF$3,FALSE)-AE121</f>
        <v>#NUM!</v>
      </c>
      <c r="AG121" s="293" t="e">
        <f ca="1">VLOOKUP($B121,KOMBI!$A:$ADS,AG$3,FALSE)</f>
        <v>#NUM!</v>
      </c>
      <c r="AI121" s="293" t="e">
        <f t="array" aca="1" ref="AI121" ca="1">VLOOKUP($B121,KOMBI!$A:$ADS,MATCH(Tulem!AI$3,KOMBI!$A$1:$ADS$1,0),FALSE)</f>
        <v>#NUM!</v>
      </c>
      <c r="AJ121" s="293" t="e">
        <f t="array" aca="1" ref="AJ121" ca="1">VLOOKUP($B121,KOMBI!$A:$ADS,MATCH(Tulem!AJ$3,KOMBI!$A$1:$ADS$1,0),FALSE)</f>
        <v>#NUM!</v>
      </c>
      <c r="AK121" s="293" t="e">
        <f t="array" aca="1" ref="AK121" ca="1">VLOOKUP($B121,KOMBI!$A:$ADS,MATCH(Tulem!AK$3,KOMBI!$A$1:$ADS$1,0),FALSE)</f>
        <v>#NUM!</v>
      </c>
      <c r="AL121" s="293" t="e">
        <f t="array" aca="1" ref="AL121" ca="1">VLOOKUP($B121,KOMBI!$A:$ADS,MATCH(Tulem!AL$3,KOMBI!$A$1:$ADS$1,0),FALSE)</f>
        <v>#NUM!</v>
      </c>
      <c r="AM121" s="293" t="e">
        <f t="array" aca="1" ref="AM121" ca="1">VLOOKUP($B121,KOMBI!$A:$ADS,MATCH(Tulem!AM$3,KOMBI!$A$1:$ADS$1,0),FALSE)</f>
        <v>#NUM!</v>
      </c>
      <c r="AN121" s="293" t="e">
        <f t="array" aca="1" ref="AN121" ca="1">VLOOKUP($B121,KOMBI!$A:$ADS,MATCH(Tulem!AN$3,KOMBI!$A$1:$ADS$1,0),FALSE)</f>
        <v>#NUM!</v>
      </c>
      <c r="AO121" s="293" t="e">
        <f t="array" aca="1" ref="AO121" ca="1">VLOOKUP($B121,KOMBI!$A:$ADS,MATCH(Tulem!AO$3,KOMBI!$A$1:$ADS$1,0),FALSE)</f>
        <v>#NUM!</v>
      </c>
      <c r="AP121" s="293" t="e">
        <f t="array" aca="1" ref="AP121" ca="1">VLOOKUP($B121,KOMBI!$A:$ADS,MATCH(Tulem!AP$3,KOMBI!$A$1:$ADS$1,0),FALSE)</f>
        <v>#NUM!</v>
      </c>
      <c r="AQ121" s="293" t="e">
        <f t="array" aca="1" ref="AQ121" ca="1">VLOOKUP($B121,KOMBI!$A:$ADS,MATCH(Tulem!AQ$3,KOMBI!$A$1:$ADS$1,0),FALSE)</f>
        <v>#NUM!</v>
      </c>
      <c r="AR121" s="293" t="e">
        <f t="array" aca="1" ref="AR121" ca="1">VLOOKUP($B121,KOMBI!$A:$ADS,MATCH(Tulem!AR$3,KOMBI!$A$1:$ADS$1,0),FALSE)</f>
        <v>#NUM!</v>
      </c>
      <c r="AS121" s="293" t="e">
        <f t="array" aca="1" ref="AS121" ca="1">VLOOKUP($B121,KOMBI!$A:$ADS,MATCH(Tulem!AS$3,KOMBI!$A$1:$ADS$1,0),FALSE)</f>
        <v>#NUM!</v>
      </c>
      <c r="AT121" s="293" t="e">
        <f t="array" aca="1" ref="AT121" ca="1">VLOOKUP($B121,KOMBI!$A:$ADS,MATCH(Tulem!AT$3,KOMBI!$A$1:$ADS$1,0),FALSE)</f>
        <v>#NUM!</v>
      </c>
      <c r="AU121" s="293" t="e">
        <f t="array" aca="1" ref="AU121" ca="1">VLOOKUP($B121,KOMBI!$A:$ADS,MATCH(Tulem!AU$3,KOMBI!$A$1:$ADS$1,0),FALSE)</f>
        <v>#NUM!</v>
      </c>
      <c r="AV121" s="293" t="e">
        <f t="shared" ca="1" si="4"/>
        <v>#NUM!</v>
      </c>
      <c r="AW121" s="293" t="e">
        <f t="shared" ca="1" si="5"/>
        <v>#NUM!</v>
      </c>
      <c r="AX121" s="291" t="e">
        <f ca="1">VLOOKUP($B121,KOMBI!$A:$ACA,MATCH(AX$5,KOMBI!$10:$10,0),FALSE)</f>
        <v>#NUM!</v>
      </c>
      <c r="AY121" s="292" t="e">
        <f t="array" aca="1" ref="AY121" ca="1">VLOOKUP($B121,KOMBI!$A:$ADS,MATCH(Tulem!AY$3,KOMBI!$A$1:$ADS$1,0),FALSE)</f>
        <v>#NUM!</v>
      </c>
      <c r="AZ121" s="292" t="e">
        <f t="array" aca="1" ref="AZ121" ca="1">VLOOKUP($B121,KOMBI!$A:$ADS,MATCH(Tulem!AZ$3,KOMBI!$A$1:$ADS$1,0),FALSE)</f>
        <v>#NUM!</v>
      </c>
      <c r="BA121" s="292" t="e">
        <f t="array" aca="1" ref="BA121" ca="1">VLOOKUP($B121,KOMBI!$A:$ADS,MATCH(Tulem!BA$3,KOMBI!$A$1:$ADS$1,0),FALSE)</f>
        <v>#NUM!</v>
      </c>
      <c r="BB121" s="292" t="e">
        <f t="array" aca="1" ref="BB121" ca="1">VLOOKUP($B121,KOMBI!$A:$ADS,MATCH(Tulem!BB$3,KOMBI!$A$1:$ADS$1,0),FALSE)</f>
        <v>#NUM!</v>
      </c>
      <c r="BC121" s="292" t="e">
        <f t="array" aca="1" ref="BC121" ca="1">VLOOKUP($B121,KOMBI!$A:$ADS,MATCH(Tulem!BC$3,KOMBI!$A$1:$ADS$1,0),FALSE)</f>
        <v>#NUM!</v>
      </c>
      <c r="BD121" s="292" t="e">
        <f t="array" aca="1" ref="BD121" ca="1">VLOOKUP($B121,KOMBI!$A:$ADS,MATCH(Tulem!BD$3,KOMBI!$A$1:$ADS$1,0),FALSE)</f>
        <v>#NUM!</v>
      </c>
      <c r="BE121" s="292" t="e">
        <f t="array" aca="1" ref="BE121" ca="1">VLOOKUP($B121,KOMBI!$A:$ADS,MATCH(Tulem!BE$3,KOMBI!$A$1:$ADS$1,0),FALSE)</f>
        <v>#NUM!</v>
      </c>
      <c r="BF121" s="292" t="e">
        <f t="array" aca="1" ref="BF121" ca="1">VLOOKUP($B121,KOMBI!$A:$ADS,MATCH(Tulem!BF$3,KOMBI!$A$1:$ADS$1,0),FALSE)</f>
        <v>#NUM!</v>
      </c>
      <c r="BG121" s="292" t="e">
        <f t="array" aca="1" ref="BG121" ca="1">VLOOKUP($B121,KOMBI!$A:$ADS,MATCH(Tulem!BG$3,KOMBI!$A$1:$ADS$1,0),FALSE)</f>
        <v>#NUM!</v>
      </c>
      <c r="BH121" s="292" t="e">
        <f t="array" aca="1" ref="BH121" ca="1">VLOOKUP($B121,KOMBI!$A:$ADS,MATCH(Tulem!BH$3,KOMBI!$A$1:$ADS$1,0),FALSE)</f>
        <v>#NUM!</v>
      </c>
      <c r="BI121" s="292" t="e">
        <f t="array" aca="1" ref="BI121" ca="1">VLOOKUP($B121,KOMBI!$A:$ADS,MATCH(Tulem!BI$3,KOMBI!$A$1:$ADS$1,0),FALSE)</f>
        <v>#NUM!</v>
      </c>
      <c r="BJ121" s="292" t="e">
        <f t="array" aca="1" ref="BJ121" ca="1">VLOOKUP($B121,KOMBI!$A:$ADS,MATCH(Tulem!BJ$3,KOMBI!$A$1:$ADS$1,0),FALSE)</f>
        <v>#NUM!</v>
      </c>
      <c r="BK121" s="292" t="e">
        <f t="array" aca="1" ref="BK121" ca="1">VLOOKUP($B121,KOMBI!$A:$ADS,MATCH(Tulem!BK$3,KOMBI!$A$1:$ADS$1,0),FALSE)</f>
        <v>#NUM!</v>
      </c>
      <c r="BL121" s="292" t="e">
        <f t="array" aca="1" ref="BL121" ca="1">VLOOKUP($B121,KOMBI!$A:$ADS,MATCH(Tulem!BL$3,KOMBI!$A$1:$ADS$1,0),FALSE)</f>
        <v>#NUM!</v>
      </c>
      <c r="BM121" s="292" t="e">
        <f t="array" aca="1" ref="BM121" ca="1">VLOOKUP($B121,KOMBI!$A:$ADS,MATCH(Tulem!BM$3,KOMBI!$A$1:$ADS$1,0),FALSE)</f>
        <v>#NUM!</v>
      </c>
      <c r="BN121" s="292" t="e">
        <f t="array" aca="1" ref="BN121" ca="1">VLOOKUP($B121,KOMBI!$A:$ADS,MATCH(Tulem!BN$3,KOMBI!$A$1:$ADS$1,0),FALSE)</f>
        <v>#NUM!</v>
      </c>
      <c r="BO121" s="292" t="e">
        <f t="array" aca="1" ref="BO121" ca="1">VLOOKUP($B121,KOMBI!$A:$ADS,MATCH(Tulem!BO$3,KOMBI!$A$1:$ADS$1,0),FALSE)</f>
        <v>#NUM!</v>
      </c>
      <c r="BP121" s="291"/>
      <c r="BQ121" s="292" t="e">
        <f t="array" aca="1" ref="BQ121" ca="1">VLOOKUP($B121,KOMBI!$A:$ADS,MATCH(Tulem!BQ$3,KOMBI!$A$1:$ADS$1,0),FALSE)</f>
        <v>#NUM!</v>
      </c>
      <c r="BR121" s="292" t="e">
        <f t="array" aca="1" ref="BR121" ca="1">VLOOKUP($B121,KOMBI!$A:$ADS,MATCH(Tulem!BR$3,KOMBI!$A$1:$ADS$1,0),FALSE)</f>
        <v>#NUM!</v>
      </c>
      <c r="BS121" s="292" t="e">
        <f t="array" aca="1" ref="BS121" ca="1">VLOOKUP($B121,KOMBI!$A:$ADS,MATCH(Tulem!BS$3,KOMBI!$A$1:$ADS$1,0),FALSE)</f>
        <v>#NUM!</v>
      </c>
      <c r="BT121" s="292" t="e">
        <f t="array" aca="1" ref="BT121" ca="1">VLOOKUP($B121,KOMBI!$A:$ADS,MATCH(Tulem!BT$3,KOMBI!$A$1:$ADS$1,0),FALSE)</f>
        <v>#NUM!</v>
      </c>
      <c r="BU121" s="292" t="e">
        <f t="array" aca="1" ref="BU121" ca="1">VLOOKUP($B121,KOMBI!$A:$ADS,MATCH(Tulem!BU$3,KOMBI!$A$1:$ADS$1,0),FALSE)</f>
        <v>#NUM!</v>
      </c>
      <c r="BV121" s="291"/>
      <c r="BW121" s="292" t="e">
        <f t="array" aca="1" ref="BW121" ca="1">VLOOKUP($B121,KOMBI!$A:$ADS,MATCH(Tulem!BW$3,KOMBI!$A$1:$ADS$1,0),FALSE)</f>
        <v>#NUM!</v>
      </c>
      <c r="BX121" s="291"/>
      <c r="BY121" s="291"/>
      <c r="BZ121" s="292" t="e">
        <f t="array" aca="1" ref="BZ121" ca="1">VLOOKUP($B121,KOMBI!$A:$ADS,MATCH(Tulem!BZ$3,KOMBI!$A$1:$ADS$1,0),FALSE)</f>
        <v>#NUM!</v>
      </c>
      <c r="CA121" s="292" t="e">
        <f t="array" aca="1" ref="CA121" ca="1">VLOOKUP($B121,KOMBI!$A:$ADS,MATCH(Tulem!CA$3,KOMBI!$A$1:$ADS$1,0),FALSE)</f>
        <v>#NUM!</v>
      </c>
      <c r="CB121" s="292" t="e">
        <f t="array" aca="1" ref="CB121" ca="1">VLOOKUP($B121,KOMBI!$A:$ADS,MATCH(Tulem!CB$3,KOMBI!$A$1:$ADS$1,0),FALSE)</f>
        <v>#NUM!</v>
      </c>
      <c r="CC121" s="292" t="e">
        <f t="array" aca="1" ref="CC121" ca="1">VLOOKUP($B121,KOMBI!$A:$ADS,MATCH(Tulem!CC$3,KOMBI!$A$1:$ADS$1,0),FALSE)</f>
        <v>#NUM!</v>
      </c>
      <c r="CD121" s="292" t="e">
        <f t="array" aca="1" ref="CD121" ca="1">VLOOKUP($B121,KOMBI!$A:$ADS,MATCH(Tulem!CD$3,KOMBI!$A$1:$ADS$1,0),FALSE)</f>
        <v>#NUM!</v>
      </c>
      <c r="CF121" s="51" t="e">
        <f ca="1">VLOOKUP($B121,KOMBI!$A:$ACG,MATCH(CF$5,KOMBI!$10:$10,0),FALSE)</f>
        <v>#NUM!</v>
      </c>
    </row>
    <row r="122" spans="1:84" x14ac:dyDescent="0.2">
      <c r="A122" s="51">
        <v>117</v>
      </c>
      <c r="B122" s="51" t="e">
        <f ca="1">KOMBI!GI127</f>
        <v>#NUM!</v>
      </c>
      <c r="C122" s="51">
        <f t="shared" si="3"/>
        <v>117</v>
      </c>
      <c r="D122" s="290" t="e">
        <f ca="1">VLOOKUP(VLOOKUP($B122,KOMBI!$A:$H,3,FALSE),data!$I$27:$J$29,2,FALSE)</f>
        <v>#NUM!</v>
      </c>
      <c r="E122" s="290" t="e">
        <f ca="1">VLOOKUP(VLOOKUP($B122,KOMBI!$A:$H,2,FALSE),data!$I$21:$J$23,2,FALSE)</f>
        <v>#NUM!</v>
      </c>
      <c r="F122" s="290" t="e">
        <f ca="1">VLOOKUP(VLOOKUP($B122,KOMBI!$A:$H,5,FALSE),data!$I$39:$J$41,2,FALSE)</f>
        <v>#NUM!</v>
      </c>
      <c r="G122" s="290" t="e">
        <f ca="1">VLOOKUP(VLOOKUP($B122,KOMBI!$A:$H,4,FALSE),data!$I$32:$J$36,2,FALSE)</f>
        <v>#NUM!</v>
      </c>
      <c r="I122" s="51" t="e">
        <f ca="1">VLOOKUP($B122,KOMBI!$A:$Z,MATCH(I$5,KOMBI!$10:$10,0),FALSE)</f>
        <v>#NUM!</v>
      </c>
      <c r="J122" s="291" t="e">
        <f ca="1">VLOOKUP($B122,KOMBI!$A:$ADS,J$3,FALSE)</f>
        <v>#NUM!</v>
      </c>
      <c r="K122" s="291" t="e">
        <f ca="1">VLOOKUP($B122,KOMBI!$A:$ADS,K$3,FALSE)</f>
        <v>#NUM!</v>
      </c>
      <c r="L122" s="291" t="e">
        <f ca="1">VLOOKUP($B122,KOMBI!$A:$ADS,L$3,FALSE)</f>
        <v>#NUM!</v>
      </c>
      <c r="M122" s="291" t="e">
        <f ca="1">VLOOKUP($B122,KOMBI!$A:$ADS,M$3,FALSE)</f>
        <v>#NUM!</v>
      </c>
      <c r="N122" s="291" t="e">
        <f ca="1">VLOOKUP($B122,KOMBI!$A:$ADS,N$3,FALSE)</f>
        <v>#NUM!</v>
      </c>
      <c r="O122" s="291" t="e">
        <f ca="1">VLOOKUP($B122,KOMBI!$A:$ADS,O$3,FALSE)</f>
        <v>#NUM!</v>
      </c>
      <c r="P122" s="291" t="e">
        <f ca="1">VLOOKUP($B122,KOMBI!$A:$ADS,P$3,FALSE)</f>
        <v>#NUM!</v>
      </c>
      <c r="Q122" s="292" t="e">
        <f t="array" aca="1" ref="Q122" ca="1">VLOOKUP($B122,KOMBI!$A:$ADS,MATCH(Tulem!Q$3,KOMBI!$A$1:$ADS$1,0),FALSE)</f>
        <v>#NUM!</v>
      </c>
      <c r="S122" s="332" t="e">
        <f t="array" aca="1" ref="S122" ca="1">VLOOKUP($B122,KOMBI!$A:$ADS,MATCH(Tulem!S$3,KOMBI!$A$1:$ADS$1,0),FALSE)</f>
        <v>#NUM!</v>
      </c>
      <c r="T122" s="293" t="e">
        <f ca="1">VLOOKUP($B122,KOMBI!$A:$ADS,T$3,FALSE)</f>
        <v>#NUM!</v>
      </c>
      <c r="U122" s="293" t="e">
        <f ca="1">VLOOKUP($B122,KOMBI!$A:$ADS,U$3,FALSE)</f>
        <v>#NUM!</v>
      </c>
      <c r="V122" s="293" t="e">
        <f ca="1">VLOOKUP($B122,KOMBI!$A:$ADS,V$3,FALSE)</f>
        <v>#NUM!</v>
      </c>
      <c r="W122" s="293"/>
      <c r="X122" s="293" t="e">
        <f ca="1">VLOOKUP($B122,KOMBI!$A:$ADS,X$3,FALSE)</f>
        <v>#NUM!</v>
      </c>
      <c r="Y122" s="293" t="e">
        <f ca="1">VLOOKUP($B122,KOMBI!$A:$ADS,Y$3,FALSE)</f>
        <v>#NUM!</v>
      </c>
      <c r="Z122" s="293" t="e">
        <f ca="1">VLOOKUP($B122,KOMBI!$A:$ADS,Z$3,FALSE)</f>
        <v>#NUM!</v>
      </c>
      <c r="AA122" s="294"/>
      <c r="AB122" s="293" t="e">
        <f ca="1">VLOOKUP($B122,KOMBI!$A:$ADS,AB$3,FALSE)</f>
        <v>#NUM!</v>
      </c>
      <c r="AC122" s="293" t="e">
        <f ca="1">VLOOKUP($B122,KOMBI!$A:$ADS,AC$3,FALSE)-AB122</f>
        <v>#NUM!</v>
      </c>
      <c r="AD122" s="293" t="e">
        <f ca="1">VLOOKUP($B122,KOMBI!$A:$ADS,AD$3,FALSE)</f>
        <v>#NUM!</v>
      </c>
      <c r="AE122" s="293" t="e">
        <f ca="1">VLOOKUP($B122,KOMBI!$A:$ADS,AE$3,FALSE)</f>
        <v>#NUM!</v>
      </c>
      <c r="AF122" s="293" t="e">
        <f ca="1">VLOOKUP($B122,KOMBI!$A:$ADS,AF$3,FALSE)-AE122</f>
        <v>#NUM!</v>
      </c>
      <c r="AG122" s="293" t="e">
        <f ca="1">VLOOKUP($B122,KOMBI!$A:$ADS,AG$3,FALSE)</f>
        <v>#NUM!</v>
      </c>
      <c r="AI122" s="293" t="e">
        <f t="array" aca="1" ref="AI122" ca="1">VLOOKUP($B122,KOMBI!$A:$ADS,MATCH(Tulem!AI$3,KOMBI!$A$1:$ADS$1,0),FALSE)</f>
        <v>#NUM!</v>
      </c>
      <c r="AJ122" s="293" t="e">
        <f t="array" aca="1" ref="AJ122" ca="1">VLOOKUP($B122,KOMBI!$A:$ADS,MATCH(Tulem!AJ$3,KOMBI!$A$1:$ADS$1,0),FALSE)</f>
        <v>#NUM!</v>
      </c>
      <c r="AK122" s="293" t="e">
        <f t="array" aca="1" ref="AK122" ca="1">VLOOKUP($B122,KOMBI!$A:$ADS,MATCH(Tulem!AK$3,KOMBI!$A$1:$ADS$1,0),FALSE)</f>
        <v>#NUM!</v>
      </c>
      <c r="AL122" s="293" t="e">
        <f t="array" aca="1" ref="AL122" ca="1">VLOOKUP($B122,KOMBI!$A:$ADS,MATCH(Tulem!AL$3,KOMBI!$A$1:$ADS$1,0),FALSE)</f>
        <v>#NUM!</v>
      </c>
      <c r="AM122" s="293" t="e">
        <f t="array" aca="1" ref="AM122" ca="1">VLOOKUP($B122,KOMBI!$A:$ADS,MATCH(Tulem!AM$3,KOMBI!$A$1:$ADS$1,0),FALSE)</f>
        <v>#NUM!</v>
      </c>
      <c r="AN122" s="293" t="e">
        <f t="array" aca="1" ref="AN122" ca="1">VLOOKUP($B122,KOMBI!$A:$ADS,MATCH(Tulem!AN$3,KOMBI!$A$1:$ADS$1,0),FALSE)</f>
        <v>#NUM!</v>
      </c>
      <c r="AO122" s="293" t="e">
        <f t="array" aca="1" ref="AO122" ca="1">VLOOKUP($B122,KOMBI!$A:$ADS,MATCH(Tulem!AO$3,KOMBI!$A$1:$ADS$1,0),FALSE)</f>
        <v>#NUM!</v>
      </c>
      <c r="AP122" s="293" t="e">
        <f t="array" aca="1" ref="AP122" ca="1">VLOOKUP($B122,KOMBI!$A:$ADS,MATCH(Tulem!AP$3,KOMBI!$A$1:$ADS$1,0),FALSE)</f>
        <v>#NUM!</v>
      </c>
      <c r="AQ122" s="293" t="e">
        <f t="array" aca="1" ref="AQ122" ca="1">VLOOKUP($B122,KOMBI!$A:$ADS,MATCH(Tulem!AQ$3,KOMBI!$A$1:$ADS$1,0),FALSE)</f>
        <v>#NUM!</v>
      </c>
      <c r="AR122" s="293" t="e">
        <f t="array" aca="1" ref="AR122" ca="1">VLOOKUP($B122,KOMBI!$A:$ADS,MATCH(Tulem!AR$3,KOMBI!$A$1:$ADS$1,0),FALSE)</f>
        <v>#NUM!</v>
      </c>
      <c r="AS122" s="293" t="e">
        <f t="array" aca="1" ref="AS122" ca="1">VLOOKUP($B122,KOMBI!$A:$ADS,MATCH(Tulem!AS$3,KOMBI!$A$1:$ADS$1,0),FALSE)</f>
        <v>#NUM!</v>
      </c>
      <c r="AT122" s="293" t="e">
        <f t="array" aca="1" ref="AT122" ca="1">VLOOKUP($B122,KOMBI!$A:$ADS,MATCH(Tulem!AT$3,KOMBI!$A$1:$ADS$1,0),FALSE)</f>
        <v>#NUM!</v>
      </c>
      <c r="AU122" s="293" t="e">
        <f t="array" aca="1" ref="AU122" ca="1">VLOOKUP($B122,KOMBI!$A:$ADS,MATCH(Tulem!AU$3,KOMBI!$A$1:$ADS$1,0),FALSE)</f>
        <v>#NUM!</v>
      </c>
      <c r="AV122" s="293" t="e">
        <f t="shared" ca="1" si="4"/>
        <v>#NUM!</v>
      </c>
      <c r="AW122" s="293" t="e">
        <f t="shared" ca="1" si="5"/>
        <v>#NUM!</v>
      </c>
      <c r="AX122" s="291" t="e">
        <f ca="1">VLOOKUP($B122,KOMBI!$A:$ACA,MATCH(AX$5,KOMBI!$10:$10,0),FALSE)</f>
        <v>#NUM!</v>
      </c>
      <c r="AY122" s="292" t="e">
        <f t="array" aca="1" ref="AY122" ca="1">VLOOKUP($B122,KOMBI!$A:$ADS,MATCH(Tulem!AY$3,KOMBI!$A$1:$ADS$1,0),FALSE)</f>
        <v>#NUM!</v>
      </c>
      <c r="AZ122" s="292" t="e">
        <f t="array" aca="1" ref="AZ122" ca="1">VLOOKUP($B122,KOMBI!$A:$ADS,MATCH(Tulem!AZ$3,KOMBI!$A$1:$ADS$1,0),FALSE)</f>
        <v>#NUM!</v>
      </c>
      <c r="BA122" s="292" t="e">
        <f t="array" aca="1" ref="BA122" ca="1">VLOOKUP($B122,KOMBI!$A:$ADS,MATCH(Tulem!BA$3,KOMBI!$A$1:$ADS$1,0),FALSE)</f>
        <v>#NUM!</v>
      </c>
      <c r="BB122" s="292" t="e">
        <f t="array" aca="1" ref="BB122" ca="1">VLOOKUP($B122,KOMBI!$A:$ADS,MATCH(Tulem!BB$3,KOMBI!$A$1:$ADS$1,0),FALSE)</f>
        <v>#NUM!</v>
      </c>
      <c r="BC122" s="292" t="e">
        <f t="array" aca="1" ref="BC122" ca="1">VLOOKUP($B122,KOMBI!$A:$ADS,MATCH(Tulem!BC$3,KOMBI!$A$1:$ADS$1,0),FALSE)</f>
        <v>#NUM!</v>
      </c>
      <c r="BD122" s="292" t="e">
        <f t="array" aca="1" ref="BD122" ca="1">VLOOKUP($B122,KOMBI!$A:$ADS,MATCH(Tulem!BD$3,KOMBI!$A$1:$ADS$1,0),FALSE)</f>
        <v>#NUM!</v>
      </c>
      <c r="BE122" s="292" t="e">
        <f t="array" aca="1" ref="BE122" ca="1">VLOOKUP($B122,KOMBI!$A:$ADS,MATCH(Tulem!BE$3,KOMBI!$A$1:$ADS$1,0),FALSE)</f>
        <v>#NUM!</v>
      </c>
      <c r="BF122" s="292" t="e">
        <f t="array" aca="1" ref="BF122" ca="1">VLOOKUP($B122,KOMBI!$A:$ADS,MATCH(Tulem!BF$3,KOMBI!$A$1:$ADS$1,0),FALSE)</f>
        <v>#NUM!</v>
      </c>
      <c r="BG122" s="292" t="e">
        <f t="array" aca="1" ref="BG122" ca="1">VLOOKUP($B122,KOMBI!$A:$ADS,MATCH(Tulem!BG$3,KOMBI!$A$1:$ADS$1,0),FALSE)</f>
        <v>#NUM!</v>
      </c>
      <c r="BH122" s="292" t="e">
        <f t="array" aca="1" ref="BH122" ca="1">VLOOKUP($B122,KOMBI!$A:$ADS,MATCH(Tulem!BH$3,KOMBI!$A$1:$ADS$1,0),FALSE)</f>
        <v>#NUM!</v>
      </c>
      <c r="BI122" s="292" t="e">
        <f t="array" aca="1" ref="BI122" ca="1">VLOOKUP($B122,KOMBI!$A:$ADS,MATCH(Tulem!BI$3,KOMBI!$A$1:$ADS$1,0),FALSE)</f>
        <v>#NUM!</v>
      </c>
      <c r="BJ122" s="292" t="e">
        <f t="array" aca="1" ref="BJ122" ca="1">VLOOKUP($B122,KOMBI!$A:$ADS,MATCH(Tulem!BJ$3,KOMBI!$A$1:$ADS$1,0),FALSE)</f>
        <v>#NUM!</v>
      </c>
      <c r="BK122" s="292" t="e">
        <f t="array" aca="1" ref="BK122" ca="1">VLOOKUP($B122,KOMBI!$A:$ADS,MATCH(Tulem!BK$3,KOMBI!$A$1:$ADS$1,0),FALSE)</f>
        <v>#NUM!</v>
      </c>
      <c r="BL122" s="292" t="e">
        <f t="array" aca="1" ref="BL122" ca="1">VLOOKUP($B122,KOMBI!$A:$ADS,MATCH(Tulem!BL$3,KOMBI!$A$1:$ADS$1,0),FALSE)</f>
        <v>#NUM!</v>
      </c>
      <c r="BM122" s="292" t="e">
        <f t="array" aca="1" ref="BM122" ca="1">VLOOKUP($B122,KOMBI!$A:$ADS,MATCH(Tulem!BM$3,KOMBI!$A$1:$ADS$1,0),FALSE)</f>
        <v>#NUM!</v>
      </c>
      <c r="BN122" s="292" t="e">
        <f t="array" aca="1" ref="BN122" ca="1">VLOOKUP($B122,KOMBI!$A:$ADS,MATCH(Tulem!BN$3,KOMBI!$A$1:$ADS$1,0),FALSE)</f>
        <v>#NUM!</v>
      </c>
      <c r="BO122" s="292" t="e">
        <f t="array" aca="1" ref="BO122" ca="1">VLOOKUP($B122,KOMBI!$A:$ADS,MATCH(Tulem!BO$3,KOMBI!$A$1:$ADS$1,0),FALSE)</f>
        <v>#NUM!</v>
      </c>
      <c r="BP122" s="291"/>
      <c r="BQ122" s="292" t="e">
        <f t="array" aca="1" ref="BQ122" ca="1">VLOOKUP($B122,KOMBI!$A:$ADS,MATCH(Tulem!BQ$3,KOMBI!$A$1:$ADS$1,0),FALSE)</f>
        <v>#NUM!</v>
      </c>
      <c r="BR122" s="292" t="e">
        <f t="array" aca="1" ref="BR122" ca="1">VLOOKUP($B122,KOMBI!$A:$ADS,MATCH(Tulem!BR$3,KOMBI!$A$1:$ADS$1,0),FALSE)</f>
        <v>#NUM!</v>
      </c>
      <c r="BS122" s="292" t="e">
        <f t="array" aca="1" ref="BS122" ca="1">VLOOKUP($B122,KOMBI!$A:$ADS,MATCH(Tulem!BS$3,KOMBI!$A$1:$ADS$1,0),FALSE)</f>
        <v>#NUM!</v>
      </c>
      <c r="BT122" s="292" t="e">
        <f t="array" aca="1" ref="BT122" ca="1">VLOOKUP($B122,KOMBI!$A:$ADS,MATCH(Tulem!BT$3,KOMBI!$A$1:$ADS$1,0),FALSE)</f>
        <v>#NUM!</v>
      </c>
      <c r="BU122" s="292" t="e">
        <f t="array" aca="1" ref="BU122" ca="1">VLOOKUP($B122,KOMBI!$A:$ADS,MATCH(Tulem!BU$3,KOMBI!$A$1:$ADS$1,0),FALSE)</f>
        <v>#NUM!</v>
      </c>
      <c r="BV122" s="291"/>
      <c r="BW122" s="292" t="e">
        <f t="array" aca="1" ref="BW122" ca="1">VLOOKUP($B122,KOMBI!$A:$ADS,MATCH(Tulem!BW$3,KOMBI!$A$1:$ADS$1,0),FALSE)</f>
        <v>#NUM!</v>
      </c>
      <c r="BX122" s="291"/>
      <c r="BY122" s="291"/>
      <c r="BZ122" s="292" t="e">
        <f t="array" aca="1" ref="BZ122" ca="1">VLOOKUP($B122,KOMBI!$A:$ADS,MATCH(Tulem!BZ$3,KOMBI!$A$1:$ADS$1,0),FALSE)</f>
        <v>#NUM!</v>
      </c>
      <c r="CA122" s="292" t="e">
        <f t="array" aca="1" ref="CA122" ca="1">VLOOKUP($B122,KOMBI!$A:$ADS,MATCH(Tulem!CA$3,KOMBI!$A$1:$ADS$1,0),FALSE)</f>
        <v>#NUM!</v>
      </c>
      <c r="CB122" s="292" t="e">
        <f t="array" aca="1" ref="CB122" ca="1">VLOOKUP($B122,KOMBI!$A:$ADS,MATCH(Tulem!CB$3,KOMBI!$A$1:$ADS$1,0),FALSE)</f>
        <v>#NUM!</v>
      </c>
      <c r="CC122" s="292" t="e">
        <f t="array" aca="1" ref="CC122" ca="1">VLOOKUP($B122,KOMBI!$A:$ADS,MATCH(Tulem!CC$3,KOMBI!$A$1:$ADS$1,0),FALSE)</f>
        <v>#NUM!</v>
      </c>
      <c r="CD122" s="292" t="e">
        <f t="array" aca="1" ref="CD122" ca="1">VLOOKUP($B122,KOMBI!$A:$ADS,MATCH(Tulem!CD$3,KOMBI!$A$1:$ADS$1,0),FALSE)</f>
        <v>#NUM!</v>
      </c>
      <c r="CF122" s="51" t="e">
        <f ca="1">VLOOKUP($B122,KOMBI!$A:$ACG,MATCH(CF$5,KOMBI!$10:$10,0),FALSE)</f>
        <v>#NUM!</v>
      </c>
    </row>
    <row r="123" spans="1:84" x14ac:dyDescent="0.2">
      <c r="A123" s="51">
        <v>118</v>
      </c>
      <c r="B123" s="51" t="e">
        <f ca="1">KOMBI!GI128</f>
        <v>#NUM!</v>
      </c>
      <c r="C123" s="51">
        <f t="shared" si="3"/>
        <v>118</v>
      </c>
      <c r="D123" s="290" t="e">
        <f ca="1">VLOOKUP(VLOOKUP($B123,KOMBI!$A:$H,3,FALSE),data!$I$27:$J$29,2,FALSE)</f>
        <v>#NUM!</v>
      </c>
      <c r="E123" s="290" t="e">
        <f ca="1">VLOOKUP(VLOOKUP($B123,KOMBI!$A:$H,2,FALSE),data!$I$21:$J$23,2,FALSE)</f>
        <v>#NUM!</v>
      </c>
      <c r="F123" s="290" t="e">
        <f ca="1">VLOOKUP(VLOOKUP($B123,KOMBI!$A:$H,5,FALSE),data!$I$39:$J$41,2,FALSE)</f>
        <v>#NUM!</v>
      </c>
      <c r="G123" s="290" t="e">
        <f ca="1">VLOOKUP(VLOOKUP($B123,KOMBI!$A:$H,4,FALSE),data!$I$32:$J$36,2,FALSE)</f>
        <v>#NUM!</v>
      </c>
      <c r="I123" s="51" t="e">
        <f ca="1">VLOOKUP($B123,KOMBI!$A:$Z,MATCH(I$5,KOMBI!$10:$10,0),FALSE)</f>
        <v>#NUM!</v>
      </c>
      <c r="J123" s="291" t="e">
        <f ca="1">VLOOKUP($B123,KOMBI!$A:$ADS,J$3,FALSE)</f>
        <v>#NUM!</v>
      </c>
      <c r="K123" s="291" t="e">
        <f ca="1">VLOOKUP($B123,KOMBI!$A:$ADS,K$3,FALSE)</f>
        <v>#NUM!</v>
      </c>
      <c r="L123" s="291" t="e">
        <f ca="1">VLOOKUP($B123,KOMBI!$A:$ADS,L$3,FALSE)</f>
        <v>#NUM!</v>
      </c>
      <c r="M123" s="291" t="e">
        <f ca="1">VLOOKUP($B123,KOMBI!$A:$ADS,M$3,FALSE)</f>
        <v>#NUM!</v>
      </c>
      <c r="N123" s="291" t="e">
        <f ca="1">VLOOKUP($B123,KOMBI!$A:$ADS,N$3,FALSE)</f>
        <v>#NUM!</v>
      </c>
      <c r="O123" s="291" t="e">
        <f ca="1">VLOOKUP($B123,KOMBI!$A:$ADS,O$3,FALSE)</f>
        <v>#NUM!</v>
      </c>
      <c r="P123" s="291" t="e">
        <f ca="1">VLOOKUP($B123,KOMBI!$A:$ADS,P$3,FALSE)</f>
        <v>#NUM!</v>
      </c>
      <c r="Q123" s="292" t="e">
        <f t="array" aca="1" ref="Q123" ca="1">VLOOKUP($B123,KOMBI!$A:$ADS,MATCH(Tulem!Q$3,KOMBI!$A$1:$ADS$1,0),FALSE)</f>
        <v>#NUM!</v>
      </c>
      <c r="S123" s="332" t="e">
        <f t="array" aca="1" ref="S123" ca="1">VLOOKUP($B123,KOMBI!$A:$ADS,MATCH(Tulem!S$3,KOMBI!$A$1:$ADS$1,0),FALSE)</f>
        <v>#NUM!</v>
      </c>
      <c r="T123" s="293" t="e">
        <f ca="1">VLOOKUP($B123,KOMBI!$A:$ADS,T$3,FALSE)</f>
        <v>#NUM!</v>
      </c>
      <c r="U123" s="293" t="e">
        <f ca="1">VLOOKUP($B123,KOMBI!$A:$ADS,U$3,FALSE)</f>
        <v>#NUM!</v>
      </c>
      <c r="V123" s="293" t="e">
        <f ca="1">VLOOKUP($B123,KOMBI!$A:$ADS,V$3,FALSE)</f>
        <v>#NUM!</v>
      </c>
      <c r="W123" s="293"/>
      <c r="X123" s="293" t="e">
        <f ca="1">VLOOKUP($B123,KOMBI!$A:$ADS,X$3,FALSE)</f>
        <v>#NUM!</v>
      </c>
      <c r="Y123" s="293" t="e">
        <f ca="1">VLOOKUP($B123,KOMBI!$A:$ADS,Y$3,FALSE)</f>
        <v>#NUM!</v>
      </c>
      <c r="Z123" s="293" t="e">
        <f ca="1">VLOOKUP($B123,KOMBI!$A:$ADS,Z$3,FALSE)</f>
        <v>#NUM!</v>
      </c>
      <c r="AA123" s="294"/>
      <c r="AB123" s="293" t="e">
        <f ca="1">VLOOKUP($B123,KOMBI!$A:$ADS,AB$3,FALSE)</f>
        <v>#NUM!</v>
      </c>
      <c r="AC123" s="293" t="e">
        <f ca="1">VLOOKUP($B123,KOMBI!$A:$ADS,AC$3,FALSE)-AB123</f>
        <v>#NUM!</v>
      </c>
      <c r="AD123" s="293" t="e">
        <f ca="1">VLOOKUP($B123,KOMBI!$A:$ADS,AD$3,FALSE)</f>
        <v>#NUM!</v>
      </c>
      <c r="AE123" s="293" t="e">
        <f ca="1">VLOOKUP($B123,KOMBI!$A:$ADS,AE$3,FALSE)</f>
        <v>#NUM!</v>
      </c>
      <c r="AF123" s="293" t="e">
        <f ca="1">VLOOKUP($B123,KOMBI!$A:$ADS,AF$3,FALSE)-AE123</f>
        <v>#NUM!</v>
      </c>
      <c r="AG123" s="293" t="e">
        <f ca="1">VLOOKUP($B123,KOMBI!$A:$ADS,AG$3,FALSE)</f>
        <v>#NUM!</v>
      </c>
      <c r="AI123" s="293" t="e">
        <f t="array" aca="1" ref="AI123" ca="1">VLOOKUP($B123,KOMBI!$A:$ADS,MATCH(Tulem!AI$3,KOMBI!$A$1:$ADS$1,0),FALSE)</f>
        <v>#NUM!</v>
      </c>
      <c r="AJ123" s="293" t="e">
        <f t="array" aca="1" ref="AJ123" ca="1">VLOOKUP($B123,KOMBI!$A:$ADS,MATCH(Tulem!AJ$3,KOMBI!$A$1:$ADS$1,0),FALSE)</f>
        <v>#NUM!</v>
      </c>
      <c r="AK123" s="293" t="e">
        <f t="array" aca="1" ref="AK123" ca="1">VLOOKUP($B123,KOMBI!$A:$ADS,MATCH(Tulem!AK$3,KOMBI!$A$1:$ADS$1,0),FALSE)</f>
        <v>#NUM!</v>
      </c>
      <c r="AL123" s="293" t="e">
        <f t="array" aca="1" ref="AL123" ca="1">VLOOKUP($B123,KOMBI!$A:$ADS,MATCH(Tulem!AL$3,KOMBI!$A$1:$ADS$1,0),FALSE)</f>
        <v>#NUM!</v>
      </c>
      <c r="AM123" s="293" t="e">
        <f t="array" aca="1" ref="AM123" ca="1">VLOOKUP($B123,KOMBI!$A:$ADS,MATCH(Tulem!AM$3,KOMBI!$A$1:$ADS$1,0),FALSE)</f>
        <v>#NUM!</v>
      </c>
      <c r="AN123" s="293" t="e">
        <f t="array" aca="1" ref="AN123" ca="1">VLOOKUP($B123,KOMBI!$A:$ADS,MATCH(Tulem!AN$3,KOMBI!$A$1:$ADS$1,0),FALSE)</f>
        <v>#NUM!</v>
      </c>
      <c r="AO123" s="293" t="e">
        <f t="array" aca="1" ref="AO123" ca="1">VLOOKUP($B123,KOMBI!$A:$ADS,MATCH(Tulem!AO$3,KOMBI!$A$1:$ADS$1,0),FALSE)</f>
        <v>#NUM!</v>
      </c>
      <c r="AP123" s="293" t="e">
        <f t="array" aca="1" ref="AP123" ca="1">VLOOKUP($B123,KOMBI!$A:$ADS,MATCH(Tulem!AP$3,KOMBI!$A$1:$ADS$1,0),FALSE)</f>
        <v>#NUM!</v>
      </c>
      <c r="AQ123" s="293" t="e">
        <f t="array" aca="1" ref="AQ123" ca="1">VLOOKUP($B123,KOMBI!$A:$ADS,MATCH(Tulem!AQ$3,KOMBI!$A$1:$ADS$1,0),FALSE)</f>
        <v>#NUM!</v>
      </c>
      <c r="AR123" s="293" t="e">
        <f t="array" aca="1" ref="AR123" ca="1">VLOOKUP($B123,KOMBI!$A:$ADS,MATCH(Tulem!AR$3,KOMBI!$A$1:$ADS$1,0),FALSE)</f>
        <v>#NUM!</v>
      </c>
      <c r="AS123" s="293" t="e">
        <f t="array" aca="1" ref="AS123" ca="1">VLOOKUP($B123,KOMBI!$A:$ADS,MATCH(Tulem!AS$3,KOMBI!$A$1:$ADS$1,0),FALSE)</f>
        <v>#NUM!</v>
      </c>
      <c r="AT123" s="293" t="e">
        <f t="array" aca="1" ref="AT123" ca="1">VLOOKUP($B123,KOMBI!$A:$ADS,MATCH(Tulem!AT$3,KOMBI!$A$1:$ADS$1,0),FALSE)</f>
        <v>#NUM!</v>
      </c>
      <c r="AU123" s="293" t="e">
        <f t="array" aca="1" ref="AU123" ca="1">VLOOKUP($B123,KOMBI!$A:$ADS,MATCH(Tulem!AU$3,KOMBI!$A$1:$ADS$1,0),FALSE)</f>
        <v>#NUM!</v>
      </c>
      <c r="AV123" s="293" t="e">
        <f t="shared" ca="1" si="4"/>
        <v>#NUM!</v>
      </c>
      <c r="AW123" s="293" t="e">
        <f t="shared" ca="1" si="5"/>
        <v>#NUM!</v>
      </c>
      <c r="AX123" s="291" t="e">
        <f ca="1">VLOOKUP($B123,KOMBI!$A:$ACA,MATCH(AX$5,KOMBI!$10:$10,0),FALSE)</f>
        <v>#NUM!</v>
      </c>
      <c r="AY123" s="292" t="e">
        <f t="array" aca="1" ref="AY123" ca="1">VLOOKUP($B123,KOMBI!$A:$ADS,MATCH(Tulem!AY$3,KOMBI!$A$1:$ADS$1,0),FALSE)</f>
        <v>#NUM!</v>
      </c>
      <c r="AZ123" s="292" t="e">
        <f t="array" aca="1" ref="AZ123" ca="1">VLOOKUP($B123,KOMBI!$A:$ADS,MATCH(Tulem!AZ$3,KOMBI!$A$1:$ADS$1,0),FALSE)</f>
        <v>#NUM!</v>
      </c>
      <c r="BA123" s="292" t="e">
        <f t="array" aca="1" ref="BA123" ca="1">VLOOKUP($B123,KOMBI!$A:$ADS,MATCH(Tulem!BA$3,KOMBI!$A$1:$ADS$1,0),FALSE)</f>
        <v>#NUM!</v>
      </c>
      <c r="BB123" s="292" t="e">
        <f t="array" aca="1" ref="BB123" ca="1">VLOOKUP($B123,KOMBI!$A:$ADS,MATCH(Tulem!BB$3,KOMBI!$A$1:$ADS$1,0),FALSE)</f>
        <v>#NUM!</v>
      </c>
      <c r="BC123" s="292" t="e">
        <f t="array" aca="1" ref="BC123" ca="1">VLOOKUP($B123,KOMBI!$A:$ADS,MATCH(Tulem!BC$3,KOMBI!$A$1:$ADS$1,0),FALSE)</f>
        <v>#NUM!</v>
      </c>
      <c r="BD123" s="292" t="e">
        <f t="array" aca="1" ref="BD123" ca="1">VLOOKUP($B123,KOMBI!$A:$ADS,MATCH(Tulem!BD$3,KOMBI!$A$1:$ADS$1,0),FALSE)</f>
        <v>#NUM!</v>
      </c>
      <c r="BE123" s="292" t="e">
        <f t="array" aca="1" ref="BE123" ca="1">VLOOKUP($B123,KOMBI!$A:$ADS,MATCH(Tulem!BE$3,KOMBI!$A$1:$ADS$1,0),FALSE)</f>
        <v>#NUM!</v>
      </c>
      <c r="BF123" s="292" t="e">
        <f t="array" aca="1" ref="BF123" ca="1">VLOOKUP($B123,KOMBI!$A:$ADS,MATCH(Tulem!BF$3,KOMBI!$A$1:$ADS$1,0),FALSE)</f>
        <v>#NUM!</v>
      </c>
      <c r="BG123" s="292" t="e">
        <f t="array" aca="1" ref="BG123" ca="1">VLOOKUP($B123,KOMBI!$A:$ADS,MATCH(Tulem!BG$3,KOMBI!$A$1:$ADS$1,0),FALSE)</f>
        <v>#NUM!</v>
      </c>
      <c r="BH123" s="292" t="e">
        <f t="array" aca="1" ref="BH123" ca="1">VLOOKUP($B123,KOMBI!$A:$ADS,MATCH(Tulem!BH$3,KOMBI!$A$1:$ADS$1,0),FALSE)</f>
        <v>#NUM!</v>
      </c>
      <c r="BI123" s="292" t="e">
        <f t="array" aca="1" ref="BI123" ca="1">VLOOKUP($B123,KOMBI!$A:$ADS,MATCH(Tulem!BI$3,KOMBI!$A$1:$ADS$1,0),FALSE)</f>
        <v>#NUM!</v>
      </c>
      <c r="BJ123" s="292" t="e">
        <f t="array" aca="1" ref="BJ123" ca="1">VLOOKUP($B123,KOMBI!$A:$ADS,MATCH(Tulem!BJ$3,KOMBI!$A$1:$ADS$1,0),FALSE)</f>
        <v>#NUM!</v>
      </c>
      <c r="BK123" s="292" t="e">
        <f t="array" aca="1" ref="BK123" ca="1">VLOOKUP($B123,KOMBI!$A:$ADS,MATCH(Tulem!BK$3,KOMBI!$A$1:$ADS$1,0),FALSE)</f>
        <v>#NUM!</v>
      </c>
      <c r="BL123" s="292" t="e">
        <f t="array" aca="1" ref="BL123" ca="1">VLOOKUP($B123,KOMBI!$A:$ADS,MATCH(Tulem!BL$3,KOMBI!$A$1:$ADS$1,0),FALSE)</f>
        <v>#NUM!</v>
      </c>
      <c r="BM123" s="292" t="e">
        <f t="array" aca="1" ref="BM123" ca="1">VLOOKUP($B123,KOMBI!$A:$ADS,MATCH(Tulem!BM$3,KOMBI!$A$1:$ADS$1,0),FALSE)</f>
        <v>#NUM!</v>
      </c>
      <c r="BN123" s="292" t="e">
        <f t="array" aca="1" ref="BN123" ca="1">VLOOKUP($B123,KOMBI!$A:$ADS,MATCH(Tulem!BN$3,KOMBI!$A$1:$ADS$1,0),FALSE)</f>
        <v>#NUM!</v>
      </c>
      <c r="BO123" s="292" t="e">
        <f t="array" aca="1" ref="BO123" ca="1">VLOOKUP($B123,KOMBI!$A:$ADS,MATCH(Tulem!BO$3,KOMBI!$A$1:$ADS$1,0),FALSE)</f>
        <v>#NUM!</v>
      </c>
      <c r="BP123" s="291"/>
      <c r="BQ123" s="292" t="e">
        <f t="array" aca="1" ref="BQ123" ca="1">VLOOKUP($B123,KOMBI!$A:$ADS,MATCH(Tulem!BQ$3,KOMBI!$A$1:$ADS$1,0),FALSE)</f>
        <v>#NUM!</v>
      </c>
      <c r="BR123" s="292" t="e">
        <f t="array" aca="1" ref="BR123" ca="1">VLOOKUP($B123,KOMBI!$A:$ADS,MATCH(Tulem!BR$3,KOMBI!$A$1:$ADS$1,0),FALSE)</f>
        <v>#NUM!</v>
      </c>
      <c r="BS123" s="292" t="e">
        <f t="array" aca="1" ref="BS123" ca="1">VLOOKUP($B123,KOMBI!$A:$ADS,MATCH(Tulem!BS$3,KOMBI!$A$1:$ADS$1,0),FALSE)</f>
        <v>#NUM!</v>
      </c>
      <c r="BT123" s="292" t="e">
        <f t="array" aca="1" ref="BT123" ca="1">VLOOKUP($B123,KOMBI!$A:$ADS,MATCH(Tulem!BT$3,KOMBI!$A$1:$ADS$1,0),FALSE)</f>
        <v>#NUM!</v>
      </c>
      <c r="BU123" s="292" t="e">
        <f t="array" aca="1" ref="BU123" ca="1">VLOOKUP($B123,KOMBI!$A:$ADS,MATCH(Tulem!BU$3,KOMBI!$A$1:$ADS$1,0),FALSE)</f>
        <v>#NUM!</v>
      </c>
      <c r="BV123" s="291"/>
      <c r="BW123" s="292" t="e">
        <f t="array" aca="1" ref="BW123" ca="1">VLOOKUP($B123,KOMBI!$A:$ADS,MATCH(Tulem!BW$3,KOMBI!$A$1:$ADS$1,0),FALSE)</f>
        <v>#NUM!</v>
      </c>
      <c r="BX123" s="291"/>
      <c r="BY123" s="291"/>
      <c r="BZ123" s="292" t="e">
        <f t="array" aca="1" ref="BZ123" ca="1">VLOOKUP($B123,KOMBI!$A:$ADS,MATCH(Tulem!BZ$3,KOMBI!$A$1:$ADS$1,0),FALSE)</f>
        <v>#NUM!</v>
      </c>
      <c r="CA123" s="292" t="e">
        <f t="array" aca="1" ref="CA123" ca="1">VLOOKUP($B123,KOMBI!$A:$ADS,MATCH(Tulem!CA$3,KOMBI!$A$1:$ADS$1,0),FALSE)</f>
        <v>#NUM!</v>
      </c>
      <c r="CB123" s="292" t="e">
        <f t="array" aca="1" ref="CB123" ca="1">VLOOKUP($B123,KOMBI!$A:$ADS,MATCH(Tulem!CB$3,KOMBI!$A$1:$ADS$1,0),FALSE)</f>
        <v>#NUM!</v>
      </c>
      <c r="CC123" s="292" t="e">
        <f t="array" aca="1" ref="CC123" ca="1">VLOOKUP($B123,KOMBI!$A:$ADS,MATCH(Tulem!CC$3,KOMBI!$A$1:$ADS$1,0),FALSE)</f>
        <v>#NUM!</v>
      </c>
      <c r="CD123" s="292" t="e">
        <f t="array" aca="1" ref="CD123" ca="1">VLOOKUP($B123,KOMBI!$A:$ADS,MATCH(Tulem!CD$3,KOMBI!$A$1:$ADS$1,0),FALSE)</f>
        <v>#NUM!</v>
      </c>
      <c r="CF123" s="51" t="e">
        <f ca="1">VLOOKUP($B123,KOMBI!$A:$ACG,MATCH(CF$5,KOMBI!$10:$10,0),FALSE)</f>
        <v>#NUM!</v>
      </c>
    </row>
    <row r="124" spans="1:84" x14ac:dyDescent="0.2">
      <c r="A124" s="51">
        <v>119</v>
      </c>
      <c r="B124" s="51" t="e">
        <f ca="1">KOMBI!GI129</f>
        <v>#NUM!</v>
      </c>
      <c r="C124" s="51">
        <f t="shared" si="3"/>
        <v>119</v>
      </c>
      <c r="D124" s="290" t="e">
        <f ca="1">VLOOKUP(VLOOKUP($B124,KOMBI!$A:$H,3,FALSE),data!$I$27:$J$29,2,FALSE)</f>
        <v>#NUM!</v>
      </c>
      <c r="E124" s="290" t="e">
        <f ca="1">VLOOKUP(VLOOKUP($B124,KOMBI!$A:$H,2,FALSE),data!$I$21:$J$23,2,FALSE)</f>
        <v>#NUM!</v>
      </c>
      <c r="F124" s="290" t="e">
        <f ca="1">VLOOKUP(VLOOKUP($B124,KOMBI!$A:$H,5,FALSE),data!$I$39:$J$41,2,FALSE)</f>
        <v>#NUM!</v>
      </c>
      <c r="G124" s="290" t="e">
        <f ca="1">VLOOKUP(VLOOKUP($B124,KOMBI!$A:$H,4,FALSE),data!$I$32:$J$36,2,FALSE)</f>
        <v>#NUM!</v>
      </c>
      <c r="I124" s="51" t="e">
        <f ca="1">VLOOKUP($B124,KOMBI!$A:$Z,MATCH(I$5,KOMBI!$10:$10,0),FALSE)</f>
        <v>#NUM!</v>
      </c>
      <c r="J124" s="291" t="e">
        <f ca="1">VLOOKUP($B124,KOMBI!$A:$ADS,J$3,FALSE)</f>
        <v>#NUM!</v>
      </c>
      <c r="K124" s="291" t="e">
        <f ca="1">VLOOKUP($B124,KOMBI!$A:$ADS,K$3,FALSE)</f>
        <v>#NUM!</v>
      </c>
      <c r="L124" s="291" t="e">
        <f ca="1">VLOOKUP($B124,KOMBI!$A:$ADS,L$3,FALSE)</f>
        <v>#NUM!</v>
      </c>
      <c r="M124" s="291" t="e">
        <f ca="1">VLOOKUP($B124,KOMBI!$A:$ADS,M$3,FALSE)</f>
        <v>#NUM!</v>
      </c>
      <c r="N124" s="291" t="e">
        <f ca="1">VLOOKUP($B124,KOMBI!$A:$ADS,N$3,FALSE)</f>
        <v>#NUM!</v>
      </c>
      <c r="O124" s="291" t="e">
        <f ca="1">VLOOKUP($B124,KOMBI!$A:$ADS,O$3,FALSE)</f>
        <v>#NUM!</v>
      </c>
      <c r="P124" s="291" t="e">
        <f ca="1">VLOOKUP($B124,KOMBI!$A:$ADS,P$3,FALSE)</f>
        <v>#NUM!</v>
      </c>
      <c r="Q124" s="292" t="e">
        <f t="array" aca="1" ref="Q124" ca="1">VLOOKUP($B124,KOMBI!$A:$ADS,MATCH(Tulem!Q$3,KOMBI!$A$1:$ADS$1,0),FALSE)</f>
        <v>#NUM!</v>
      </c>
      <c r="S124" s="332" t="e">
        <f t="array" aca="1" ref="S124" ca="1">VLOOKUP($B124,KOMBI!$A:$ADS,MATCH(Tulem!S$3,KOMBI!$A$1:$ADS$1,0),FALSE)</f>
        <v>#NUM!</v>
      </c>
      <c r="T124" s="293" t="e">
        <f ca="1">VLOOKUP($B124,KOMBI!$A:$ADS,T$3,FALSE)</f>
        <v>#NUM!</v>
      </c>
      <c r="U124" s="293" t="e">
        <f ca="1">VLOOKUP($B124,KOMBI!$A:$ADS,U$3,FALSE)</f>
        <v>#NUM!</v>
      </c>
      <c r="V124" s="293" t="e">
        <f ca="1">VLOOKUP($B124,KOMBI!$A:$ADS,V$3,FALSE)</f>
        <v>#NUM!</v>
      </c>
      <c r="W124" s="293"/>
      <c r="X124" s="293" t="e">
        <f ca="1">VLOOKUP($B124,KOMBI!$A:$ADS,X$3,FALSE)</f>
        <v>#NUM!</v>
      </c>
      <c r="Y124" s="293" t="e">
        <f ca="1">VLOOKUP($B124,KOMBI!$A:$ADS,Y$3,FALSE)</f>
        <v>#NUM!</v>
      </c>
      <c r="Z124" s="293" t="e">
        <f ca="1">VLOOKUP($B124,KOMBI!$A:$ADS,Z$3,FALSE)</f>
        <v>#NUM!</v>
      </c>
      <c r="AA124" s="294"/>
      <c r="AB124" s="293" t="e">
        <f ca="1">VLOOKUP($B124,KOMBI!$A:$ADS,AB$3,FALSE)</f>
        <v>#NUM!</v>
      </c>
      <c r="AC124" s="293" t="e">
        <f ca="1">VLOOKUP($B124,KOMBI!$A:$ADS,AC$3,FALSE)-AB124</f>
        <v>#NUM!</v>
      </c>
      <c r="AD124" s="293" t="e">
        <f ca="1">VLOOKUP($B124,KOMBI!$A:$ADS,AD$3,FALSE)</f>
        <v>#NUM!</v>
      </c>
      <c r="AE124" s="293" t="e">
        <f ca="1">VLOOKUP($B124,KOMBI!$A:$ADS,AE$3,FALSE)</f>
        <v>#NUM!</v>
      </c>
      <c r="AF124" s="293" t="e">
        <f ca="1">VLOOKUP($B124,KOMBI!$A:$ADS,AF$3,FALSE)-AE124</f>
        <v>#NUM!</v>
      </c>
      <c r="AG124" s="293" t="e">
        <f ca="1">VLOOKUP($B124,KOMBI!$A:$ADS,AG$3,FALSE)</f>
        <v>#NUM!</v>
      </c>
      <c r="AI124" s="293" t="e">
        <f t="array" aca="1" ref="AI124" ca="1">VLOOKUP($B124,KOMBI!$A:$ADS,MATCH(Tulem!AI$3,KOMBI!$A$1:$ADS$1,0),FALSE)</f>
        <v>#NUM!</v>
      </c>
      <c r="AJ124" s="293" t="e">
        <f t="array" aca="1" ref="AJ124" ca="1">VLOOKUP($B124,KOMBI!$A:$ADS,MATCH(Tulem!AJ$3,KOMBI!$A$1:$ADS$1,0),FALSE)</f>
        <v>#NUM!</v>
      </c>
      <c r="AK124" s="293" t="e">
        <f t="array" aca="1" ref="AK124" ca="1">VLOOKUP($B124,KOMBI!$A:$ADS,MATCH(Tulem!AK$3,KOMBI!$A$1:$ADS$1,0),FALSE)</f>
        <v>#NUM!</v>
      </c>
      <c r="AL124" s="293" t="e">
        <f t="array" aca="1" ref="AL124" ca="1">VLOOKUP($B124,KOMBI!$A:$ADS,MATCH(Tulem!AL$3,KOMBI!$A$1:$ADS$1,0),FALSE)</f>
        <v>#NUM!</v>
      </c>
      <c r="AM124" s="293" t="e">
        <f t="array" aca="1" ref="AM124" ca="1">VLOOKUP($B124,KOMBI!$A:$ADS,MATCH(Tulem!AM$3,KOMBI!$A$1:$ADS$1,0),FALSE)</f>
        <v>#NUM!</v>
      </c>
      <c r="AN124" s="293" t="e">
        <f t="array" aca="1" ref="AN124" ca="1">VLOOKUP($B124,KOMBI!$A:$ADS,MATCH(Tulem!AN$3,KOMBI!$A$1:$ADS$1,0),FALSE)</f>
        <v>#NUM!</v>
      </c>
      <c r="AO124" s="293" t="e">
        <f t="array" aca="1" ref="AO124" ca="1">VLOOKUP($B124,KOMBI!$A:$ADS,MATCH(Tulem!AO$3,KOMBI!$A$1:$ADS$1,0),FALSE)</f>
        <v>#NUM!</v>
      </c>
      <c r="AP124" s="293" t="e">
        <f t="array" aca="1" ref="AP124" ca="1">VLOOKUP($B124,KOMBI!$A:$ADS,MATCH(Tulem!AP$3,KOMBI!$A$1:$ADS$1,0),FALSE)</f>
        <v>#NUM!</v>
      </c>
      <c r="AQ124" s="293" t="e">
        <f t="array" aca="1" ref="AQ124" ca="1">VLOOKUP($B124,KOMBI!$A:$ADS,MATCH(Tulem!AQ$3,KOMBI!$A$1:$ADS$1,0),FALSE)</f>
        <v>#NUM!</v>
      </c>
      <c r="AR124" s="293" t="e">
        <f t="array" aca="1" ref="AR124" ca="1">VLOOKUP($B124,KOMBI!$A:$ADS,MATCH(Tulem!AR$3,KOMBI!$A$1:$ADS$1,0),FALSE)</f>
        <v>#NUM!</v>
      </c>
      <c r="AS124" s="293" t="e">
        <f t="array" aca="1" ref="AS124" ca="1">VLOOKUP($B124,KOMBI!$A:$ADS,MATCH(Tulem!AS$3,KOMBI!$A$1:$ADS$1,0),FALSE)</f>
        <v>#NUM!</v>
      </c>
      <c r="AT124" s="293" t="e">
        <f t="array" aca="1" ref="AT124" ca="1">VLOOKUP($B124,KOMBI!$A:$ADS,MATCH(Tulem!AT$3,KOMBI!$A$1:$ADS$1,0),FALSE)</f>
        <v>#NUM!</v>
      </c>
      <c r="AU124" s="293" t="e">
        <f t="array" aca="1" ref="AU124" ca="1">VLOOKUP($B124,KOMBI!$A:$ADS,MATCH(Tulem!AU$3,KOMBI!$A$1:$ADS$1,0),FALSE)</f>
        <v>#NUM!</v>
      </c>
      <c r="AV124" s="293" t="e">
        <f t="shared" ca="1" si="4"/>
        <v>#NUM!</v>
      </c>
      <c r="AW124" s="293" t="e">
        <f t="shared" ca="1" si="5"/>
        <v>#NUM!</v>
      </c>
      <c r="AX124" s="291" t="e">
        <f ca="1">VLOOKUP($B124,KOMBI!$A:$ACA,MATCH(AX$5,KOMBI!$10:$10,0),FALSE)</f>
        <v>#NUM!</v>
      </c>
      <c r="AY124" s="292" t="e">
        <f t="array" aca="1" ref="AY124" ca="1">VLOOKUP($B124,KOMBI!$A:$ADS,MATCH(Tulem!AY$3,KOMBI!$A$1:$ADS$1,0),FALSE)</f>
        <v>#NUM!</v>
      </c>
      <c r="AZ124" s="292" t="e">
        <f t="array" aca="1" ref="AZ124" ca="1">VLOOKUP($B124,KOMBI!$A:$ADS,MATCH(Tulem!AZ$3,KOMBI!$A$1:$ADS$1,0),FALSE)</f>
        <v>#NUM!</v>
      </c>
      <c r="BA124" s="292" t="e">
        <f t="array" aca="1" ref="BA124" ca="1">VLOOKUP($B124,KOMBI!$A:$ADS,MATCH(Tulem!BA$3,KOMBI!$A$1:$ADS$1,0),FALSE)</f>
        <v>#NUM!</v>
      </c>
      <c r="BB124" s="292" t="e">
        <f t="array" aca="1" ref="BB124" ca="1">VLOOKUP($B124,KOMBI!$A:$ADS,MATCH(Tulem!BB$3,KOMBI!$A$1:$ADS$1,0),FALSE)</f>
        <v>#NUM!</v>
      </c>
      <c r="BC124" s="292" t="e">
        <f t="array" aca="1" ref="BC124" ca="1">VLOOKUP($B124,KOMBI!$A:$ADS,MATCH(Tulem!BC$3,KOMBI!$A$1:$ADS$1,0),FALSE)</f>
        <v>#NUM!</v>
      </c>
      <c r="BD124" s="292" t="e">
        <f t="array" aca="1" ref="BD124" ca="1">VLOOKUP($B124,KOMBI!$A:$ADS,MATCH(Tulem!BD$3,KOMBI!$A$1:$ADS$1,0),FALSE)</f>
        <v>#NUM!</v>
      </c>
      <c r="BE124" s="292" t="e">
        <f t="array" aca="1" ref="BE124" ca="1">VLOOKUP($B124,KOMBI!$A:$ADS,MATCH(Tulem!BE$3,KOMBI!$A$1:$ADS$1,0),FALSE)</f>
        <v>#NUM!</v>
      </c>
      <c r="BF124" s="292" t="e">
        <f t="array" aca="1" ref="BF124" ca="1">VLOOKUP($B124,KOMBI!$A:$ADS,MATCH(Tulem!BF$3,KOMBI!$A$1:$ADS$1,0),FALSE)</f>
        <v>#NUM!</v>
      </c>
      <c r="BG124" s="292" t="e">
        <f t="array" aca="1" ref="BG124" ca="1">VLOOKUP($B124,KOMBI!$A:$ADS,MATCH(Tulem!BG$3,KOMBI!$A$1:$ADS$1,0),FALSE)</f>
        <v>#NUM!</v>
      </c>
      <c r="BH124" s="292" t="e">
        <f t="array" aca="1" ref="BH124" ca="1">VLOOKUP($B124,KOMBI!$A:$ADS,MATCH(Tulem!BH$3,KOMBI!$A$1:$ADS$1,0),FALSE)</f>
        <v>#NUM!</v>
      </c>
      <c r="BI124" s="292" t="e">
        <f t="array" aca="1" ref="BI124" ca="1">VLOOKUP($B124,KOMBI!$A:$ADS,MATCH(Tulem!BI$3,KOMBI!$A$1:$ADS$1,0),FALSE)</f>
        <v>#NUM!</v>
      </c>
      <c r="BJ124" s="292" t="e">
        <f t="array" aca="1" ref="BJ124" ca="1">VLOOKUP($B124,KOMBI!$A:$ADS,MATCH(Tulem!BJ$3,KOMBI!$A$1:$ADS$1,0),FALSE)</f>
        <v>#NUM!</v>
      </c>
      <c r="BK124" s="292" t="e">
        <f t="array" aca="1" ref="BK124" ca="1">VLOOKUP($B124,KOMBI!$A:$ADS,MATCH(Tulem!BK$3,KOMBI!$A$1:$ADS$1,0),FALSE)</f>
        <v>#NUM!</v>
      </c>
      <c r="BL124" s="292" t="e">
        <f t="array" aca="1" ref="BL124" ca="1">VLOOKUP($B124,KOMBI!$A:$ADS,MATCH(Tulem!BL$3,KOMBI!$A$1:$ADS$1,0),FALSE)</f>
        <v>#NUM!</v>
      </c>
      <c r="BM124" s="292" t="e">
        <f t="array" aca="1" ref="BM124" ca="1">VLOOKUP($B124,KOMBI!$A:$ADS,MATCH(Tulem!BM$3,KOMBI!$A$1:$ADS$1,0),FALSE)</f>
        <v>#NUM!</v>
      </c>
      <c r="BN124" s="292" t="e">
        <f t="array" aca="1" ref="BN124" ca="1">VLOOKUP($B124,KOMBI!$A:$ADS,MATCH(Tulem!BN$3,KOMBI!$A$1:$ADS$1,0),FALSE)</f>
        <v>#NUM!</v>
      </c>
      <c r="BO124" s="292" t="e">
        <f t="array" aca="1" ref="BO124" ca="1">VLOOKUP($B124,KOMBI!$A:$ADS,MATCH(Tulem!BO$3,KOMBI!$A$1:$ADS$1,0),FALSE)</f>
        <v>#NUM!</v>
      </c>
      <c r="BP124" s="291"/>
      <c r="BQ124" s="292" t="e">
        <f t="array" aca="1" ref="BQ124" ca="1">VLOOKUP($B124,KOMBI!$A:$ADS,MATCH(Tulem!BQ$3,KOMBI!$A$1:$ADS$1,0),FALSE)</f>
        <v>#NUM!</v>
      </c>
      <c r="BR124" s="292" t="e">
        <f t="array" aca="1" ref="BR124" ca="1">VLOOKUP($B124,KOMBI!$A:$ADS,MATCH(Tulem!BR$3,KOMBI!$A$1:$ADS$1,0),FALSE)</f>
        <v>#NUM!</v>
      </c>
      <c r="BS124" s="292" t="e">
        <f t="array" aca="1" ref="BS124" ca="1">VLOOKUP($B124,KOMBI!$A:$ADS,MATCH(Tulem!BS$3,KOMBI!$A$1:$ADS$1,0),FALSE)</f>
        <v>#NUM!</v>
      </c>
      <c r="BT124" s="292" t="e">
        <f t="array" aca="1" ref="BT124" ca="1">VLOOKUP($B124,KOMBI!$A:$ADS,MATCH(Tulem!BT$3,KOMBI!$A$1:$ADS$1,0),FALSE)</f>
        <v>#NUM!</v>
      </c>
      <c r="BU124" s="292" t="e">
        <f t="array" aca="1" ref="BU124" ca="1">VLOOKUP($B124,KOMBI!$A:$ADS,MATCH(Tulem!BU$3,KOMBI!$A$1:$ADS$1,0),FALSE)</f>
        <v>#NUM!</v>
      </c>
      <c r="BV124" s="291"/>
      <c r="BW124" s="292" t="e">
        <f t="array" aca="1" ref="BW124" ca="1">VLOOKUP($B124,KOMBI!$A:$ADS,MATCH(Tulem!BW$3,KOMBI!$A$1:$ADS$1,0),FALSE)</f>
        <v>#NUM!</v>
      </c>
      <c r="BX124" s="291"/>
      <c r="BY124" s="291"/>
      <c r="BZ124" s="292" t="e">
        <f t="array" aca="1" ref="BZ124" ca="1">VLOOKUP($B124,KOMBI!$A:$ADS,MATCH(Tulem!BZ$3,KOMBI!$A$1:$ADS$1,0),FALSE)</f>
        <v>#NUM!</v>
      </c>
      <c r="CA124" s="292" t="e">
        <f t="array" aca="1" ref="CA124" ca="1">VLOOKUP($B124,KOMBI!$A:$ADS,MATCH(Tulem!CA$3,KOMBI!$A$1:$ADS$1,0),FALSE)</f>
        <v>#NUM!</v>
      </c>
      <c r="CB124" s="292" t="e">
        <f t="array" aca="1" ref="CB124" ca="1">VLOOKUP($B124,KOMBI!$A:$ADS,MATCH(Tulem!CB$3,KOMBI!$A$1:$ADS$1,0),FALSE)</f>
        <v>#NUM!</v>
      </c>
      <c r="CC124" s="292" t="e">
        <f t="array" aca="1" ref="CC124" ca="1">VLOOKUP($B124,KOMBI!$A:$ADS,MATCH(Tulem!CC$3,KOMBI!$A$1:$ADS$1,0),FALSE)</f>
        <v>#NUM!</v>
      </c>
      <c r="CD124" s="292" t="e">
        <f t="array" aca="1" ref="CD124" ca="1">VLOOKUP($B124,KOMBI!$A:$ADS,MATCH(Tulem!CD$3,KOMBI!$A$1:$ADS$1,0),FALSE)</f>
        <v>#NUM!</v>
      </c>
      <c r="CF124" s="51" t="e">
        <f ca="1">VLOOKUP($B124,KOMBI!$A:$ACG,MATCH(CF$5,KOMBI!$10:$10,0),FALSE)</f>
        <v>#NUM!</v>
      </c>
    </row>
    <row r="125" spans="1:84" x14ac:dyDescent="0.2">
      <c r="A125" s="51">
        <v>120</v>
      </c>
      <c r="B125" s="51" t="e">
        <f ca="1">KOMBI!GI130</f>
        <v>#NUM!</v>
      </c>
      <c r="C125" s="51">
        <f t="shared" si="3"/>
        <v>120</v>
      </c>
      <c r="D125" s="290" t="e">
        <f ca="1">VLOOKUP(VLOOKUP($B125,KOMBI!$A:$H,3,FALSE),data!$I$27:$J$29,2,FALSE)</f>
        <v>#NUM!</v>
      </c>
      <c r="E125" s="290" t="e">
        <f ca="1">VLOOKUP(VLOOKUP($B125,KOMBI!$A:$H,2,FALSE),data!$I$21:$J$23,2,FALSE)</f>
        <v>#NUM!</v>
      </c>
      <c r="F125" s="290" t="e">
        <f ca="1">VLOOKUP(VLOOKUP($B125,KOMBI!$A:$H,5,FALSE),data!$I$39:$J$41,2,FALSE)</f>
        <v>#NUM!</v>
      </c>
      <c r="G125" s="290" t="e">
        <f ca="1">VLOOKUP(VLOOKUP($B125,KOMBI!$A:$H,4,FALSE),data!$I$32:$J$36,2,FALSE)</f>
        <v>#NUM!</v>
      </c>
      <c r="I125" s="51" t="e">
        <f ca="1">VLOOKUP($B125,KOMBI!$A:$Z,MATCH(I$5,KOMBI!$10:$10,0),FALSE)</f>
        <v>#NUM!</v>
      </c>
      <c r="J125" s="291" t="e">
        <f ca="1">VLOOKUP($B125,KOMBI!$A:$ADS,J$3,FALSE)</f>
        <v>#NUM!</v>
      </c>
      <c r="K125" s="291" t="e">
        <f ca="1">VLOOKUP($B125,KOMBI!$A:$ADS,K$3,FALSE)</f>
        <v>#NUM!</v>
      </c>
      <c r="L125" s="291" t="e">
        <f ca="1">VLOOKUP($B125,KOMBI!$A:$ADS,L$3,FALSE)</f>
        <v>#NUM!</v>
      </c>
      <c r="M125" s="291" t="e">
        <f ca="1">VLOOKUP($B125,KOMBI!$A:$ADS,M$3,FALSE)</f>
        <v>#NUM!</v>
      </c>
      <c r="N125" s="291" t="e">
        <f ca="1">VLOOKUP($B125,KOMBI!$A:$ADS,N$3,FALSE)</f>
        <v>#NUM!</v>
      </c>
      <c r="O125" s="291" t="e">
        <f ca="1">VLOOKUP($B125,KOMBI!$A:$ADS,O$3,FALSE)</f>
        <v>#NUM!</v>
      </c>
      <c r="P125" s="291" t="e">
        <f ca="1">VLOOKUP($B125,KOMBI!$A:$ADS,P$3,FALSE)</f>
        <v>#NUM!</v>
      </c>
      <c r="Q125" s="292" t="e">
        <f t="array" aca="1" ref="Q125" ca="1">VLOOKUP($B125,KOMBI!$A:$ADS,MATCH(Tulem!Q$3,KOMBI!$A$1:$ADS$1,0),FALSE)</f>
        <v>#NUM!</v>
      </c>
      <c r="S125" s="332" t="e">
        <f t="array" aca="1" ref="S125" ca="1">VLOOKUP($B125,KOMBI!$A:$ADS,MATCH(Tulem!S$3,KOMBI!$A$1:$ADS$1,0),FALSE)</f>
        <v>#NUM!</v>
      </c>
      <c r="T125" s="293" t="e">
        <f ca="1">VLOOKUP($B125,KOMBI!$A:$ADS,T$3,FALSE)</f>
        <v>#NUM!</v>
      </c>
      <c r="U125" s="293" t="e">
        <f ca="1">VLOOKUP($B125,KOMBI!$A:$ADS,U$3,FALSE)</f>
        <v>#NUM!</v>
      </c>
      <c r="V125" s="293" t="e">
        <f ca="1">VLOOKUP($B125,KOMBI!$A:$ADS,V$3,FALSE)</f>
        <v>#NUM!</v>
      </c>
      <c r="W125" s="293"/>
      <c r="X125" s="293" t="e">
        <f ca="1">VLOOKUP($B125,KOMBI!$A:$ADS,X$3,FALSE)</f>
        <v>#NUM!</v>
      </c>
      <c r="Y125" s="293" t="e">
        <f ca="1">VLOOKUP($B125,KOMBI!$A:$ADS,Y$3,FALSE)</f>
        <v>#NUM!</v>
      </c>
      <c r="Z125" s="293" t="e">
        <f ca="1">VLOOKUP($B125,KOMBI!$A:$ADS,Z$3,FALSE)</f>
        <v>#NUM!</v>
      </c>
      <c r="AA125" s="294"/>
      <c r="AB125" s="293" t="e">
        <f ca="1">VLOOKUP($B125,KOMBI!$A:$ADS,AB$3,FALSE)</f>
        <v>#NUM!</v>
      </c>
      <c r="AC125" s="293" t="e">
        <f ca="1">VLOOKUP($B125,KOMBI!$A:$ADS,AC$3,FALSE)-AB125</f>
        <v>#NUM!</v>
      </c>
      <c r="AD125" s="293" t="e">
        <f ca="1">VLOOKUP($B125,KOMBI!$A:$ADS,AD$3,FALSE)</f>
        <v>#NUM!</v>
      </c>
      <c r="AE125" s="293" t="e">
        <f ca="1">VLOOKUP($B125,KOMBI!$A:$ADS,AE$3,FALSE)</f>
        <v>#NUM!</v>
      </c>
      <c r="AF125" s="293" t="e">
        <f ca="1">VLOOKUP($B125,KOMBI!$A:$ADS,AF$3,FALSE)-AE125</f>
        <v>#NUM!</v>
      </c>
      <c r="AG125" s="293" t="e">
        <f ca="1">VLOOKUP($B125,KOMBI!$A:$ADS,AG$3,FALSE)</f>
        <v>#NUM!</v>
      </c>
      <c r="AI125" s="293" t="e">
        <f t="array" aca="1" ref="AI125" ca="1">VLOOKUP($B125,KOMBI!$A:$ADS,MATCH(Tulem!AI$3,KOMBI!$A$1:$ADS$1,0),FALSE)</f>
        <v>#NUM!</v>
      </c>
      <c r="AJ125" s="293" t="e">
        <f t="array" aca="1" ref="AJ125" ca="1">VLOOKUP($B125,KOMBI!$A:$ADS,MATCH(Tulem!AJ$3,KOMBI!$A$1:$ADS$1,0),FALSE)</f>
        <v>#NUM!</v>
      </c>
      <c r="AK125" s="293" t="e">
        <f t="array" aca="1" ref="AK125" ca="1">VLOOKUP($B125,KOMBI!$A:$ADS,MATCH(Tulem!AK$3,KOMBI!$A$1:$ADS$1,0),FALSE)</f>
        <v>#NUM!</v>
      </c>
      <c r="AL125" s="293" t="e">
        <f t="array" aca="1" ref="AL125" ca="1">VLOOKUP($B125,KOMBI!$A:$ADS,MATCH(Tulem!AL$3,KOMBI!$A$1:$ADS$1,0),FALSE)</f>
        <v>#NUM!</v>
      </c>
      <c r="AM125" s="293" t="e">
        <f t="array" aca="1" ref="AM125" ca="1">VLOOKUP($B125,KOMBI!$A:$ADS,MATCH(Tulem!AM$3,KOMBI!$A$1:$ADS$1,0),FALSE)</f>
        <v>#NUM!</v>
      </c>
      <c r="AN125" s="293" t="e">
        <f t="array" aca="1" ref="AN125" ca="1">VLOOKUP($B125,KOMBI!$A:$ADS,MATCH(Tulem!AN$3,KOMBI!$A$1:$ADS$1,0),FALSE)</f>
        <v>#NUM!</v>
      </c>
      <c r="AO125" s="293" t="e">
        <f t="array" aca="1" ref="AO125" ca="1">VLOOKUP($B125,KOMBI!$A:$ADS,MATCH(Tulem!AO$3,KOMBI!$A$1:$ADS$1,0),FALSE)</f>
        <v>#NUM!</v>
      </c>
      <c r="AP125" s="293" t="e">
        <f t="array" aca="1" ref="AP125" ca="1">VLOOKUP($B125,KOMBI!$A:$ADS,MATCH(Tulem!AP$3,KOMBI!$A$1:$ADS$1,0),FALSE)</f>
        <v>#NUM!</v>
      </c>
      <c r="AQ125" s="293" t="e">
        <f t="array" aca="1" ref="AQ125" ca="1">VLOOKUP($B125,KOMBI!$A:$ADS,MATCH(Tulem!AQ$3,KOMBI!$A$1:$ADS$1,0),FALSE)</f>
        <v>#NUM!</v>
      </c>
      <c r="AR125" s="293" t="e">
        <f t="array" aca="1" ref="AR125" ca="1">VLOOKUP($B125,KOMBI!$A:$ADS,MATCH(Tulem!AR$3,KOMBI!$A$1:$ADS$1,0),FALSE)</f>
        <v>#NUM!</v>
      </c>
      <c r="AS125" s="293" t="e">
        <f t="array" aca="1" ref="AS125" ca="1">VLOOKUP($B125,KOMBI!$A:$ADS,MATCH(Tulem!AS$3,KOMBI!$A$1:$ADS$1,0),FALSE)</f>
        <v>#NUM!</v>
      </c>
      <c r="AT125" s="293" t="e">
        <f t="array" aca="1" ref="AT125" ca="1">VLOOKUP($B125,KOMBI!$A:$ADS,MATCH(Tulem!AT$3,KOMBI!$A$1:$ADS$1,0),FALSE)</f>
        <v>#NUM!</v>
      </c>
      <c r="AU125" s="293" t="e">
        <f t="array" aca="1" ref="AU125" ca="1">VLOOKUP($B125,KOMBI!$A:$ADS,MATCH(Tulem!AU$3,KOMBI!$A$1:$ADS$1,0),FALSE)</f>
        <v>#NUM!</v>
      </c>
      <c r="AV125" s="293" t="e">
        <f t="shared" ca="1" si="4"/>
        <v>#NUM!</v>
      </c>
      <c r="AW125" s="293" t="e">
        <f t="shared" ca="1" si="5"/>
        <v>#NUM!</v>
      </c>
      <c r="AX125" s="291" t="e">
        <f ca="1">VLOOKUP($B125,KOMBI!$A:$ACA,MATCH(AX$5,KOMBI!$10:$10,0),FALSE)</f>
        <v>#NUM!</v>
      </c>
      <c r="AY125" s="292" t="e">
        <f t="array" aca="1" ref="AY125" ca="1">VLOOKUP($B125,KOMBI!$A:$ADS,MATCH(Tulem!AY$3,KOMBI!$A$1:$ADS$1,0),FALSE)</f>
        <v>#NUM!</v>
      </c>
      <c r="AZ125" s="292" t="e">
        <f t="array" aca="1" ref="AZ125" ca="1">VLOOKUP($B125,KOMBI!$A:$ADS,MATCH(Tulem!AZ$3,KOMBI!$A$1:$ADS$1,0),FALSE)</f>
        <v>#NUM!</v>
      </c>
      <c r="BA125" s="292" t="e">
        <f t="array" aca="1" ref="BA125" ca="1">VLOOKUP($B125,KOMBI!$A:$ADS,MATCH(Tulem!BA$3,KOMBI!$A$1:$ADS$1,0),FALSE)</f>
        <v>#NUM!</v>
      </c>
      <c r="BB125" s="292" t="e">
        <f t="array" aca="1" ref="BB125" ca="1">VLOOKUP($B125,KOMBI!$A:$ADS,MATCH(Tulem!BB$3,KOMBI!$A$1:$ADS$1,0),FALSE)</f>
        <v>#NUM!</v>
      </c>
      <c r="BC125" s="292" t="e">
        <f t="array" aca="1" ref="BC125" ca="1">VLOOKUP($B125,KOMBI!$A:$ADS,MATCH(Tulem!BC$3,KOMBI!$A$1:$ADS$1,0),FALSE)</f>
        <v>#NUM!</v>
      </c>
      <c r="BD125" s="292" t="e">
        <f t="array" aca="1" ref="BD125" ca="1">VLOOKUP($B125,KOMBI!$A:$ADS,MATCH(Tulem!BD$3,KOMBI!$A$1:$ADS$1,0),FALSE)</f>
        <v>#NUM!</v>
      </c>
      <c r="BE125" s="292" t="e">
        <f t="array" aca="1" ref="BE125" ca="1">VLOOKUP($B125,KOMBI!$A:$ADS,MATCH(Tulem!BE$3,KOMBI!$A$1:$ADS$1,0),FALSE)</f>
        <v>#NUM!</v>
      </c>
      <c r="BF125" s="292" t="e">
        <f t="array" aca="1" ref="BF125" ca="1">VLOOKUP($B125,KOMBI!$A:$ADS,MATCH(Tulem!BF$3,KOMBI!$A$1:$ADS$1,0),FALSE)</f>
        <v>#NUM!</v>
      </c>
      <c r="BG125" s="292" t="e">
        <f t="array" aca="1" ref="BG125" ca="1">VLOOKUP($B125,KOMBI!$A:$ADS,MATCH(Tulem!BG$3,KOMBI!$A$1:$ADS$1,0),FALSE)</f>
        <v>#NUM!</v>
      </c>
      <c r="BH125" s="292" t="e">
        <f t="array" aca="1" ref="BH125" ca="1">VLOOKUP($B125,KOMBI!$A:$ADS,MATCH(Tulem!BH$3,KOMBI!$A$1:$ADS$1,0),FALSE)</f>
        <v>#NUM!</v>
      </c>
      <c r="BI125" s="292" t="e">
        <f t="array" aca="1" ref="BI125" ca="1">VLOOKUP($B125,KOMBI!$A:$ADS,MATCH(Tulem!BI$3,KOMBI!$A$1:$ADS$1,0),FALSE)</f>
        <v>#NUM!</v>
      </c>
      <c r="BJ125" s="292" t="e">
        <f t="array" aca="1" ref="BJ125" ca="1">VLOOKUP($B125,KOMBI!$A:$ADS,MATCH(Tulem!BJ$3,KOMBI!$A$1:$ADS$1,0),FALSE)</f>
        <v>#NUM!</v>
      </c>
      <c r="BK125" s="292" t="e">
        <f t="array" aca="1" ref="BK125" ca="1">VLOOKUP($B125,KOMBI!$A:$ADS,MATCH(Tulem!BK$3,KOMBI!$A$1:$ADS$1,0),FALSE)</f>
        <v>#NUM!</v>
      </c>
      <c r="BL125" s="292" t="e">
        <f t="array" aca="1" ref="BL125" ca="1">VLOOKUP($B125,KOMBI!$A:$ADS,MATCH(Tulem!BL$3,KOMBI!$A$1:$ADS$1,0),FALSE)</f>
        <v>#NUM!</v>
      </c>
      <c r="BM125" s="292" t="e">
        <f t="array" aca="1" ref="BM125" ca="1">VLOOKUP($B125,KOMBI!$A:$ADS,MATCH(Tulem!BM$3,KOMBI!$A$1:$ADS$1,0),FALSE)</f>
        <v>#NUM!</v>
      </c>
      <c r="BN125" s="292" t="e">
        <f t="array" aca="1" ref="BN125" ca="1">VLOOKUP($B125,KOMBI!$A:$ADS,MATCH(Tulem!BN$3,KOMBI!$A$1:$ADS$1,0),FALSE)</f>
        <v>#NUM!</v>
      </c>
      <c r="BO125" s="292" t="e">
        <f t="array" aca="1" ref="BO125" ca="1">VLOOKUP($B125,KOMBI!$A:$ADS,MATCH(Tulem!BO$3,KOMBI!$A$1:$ADS$1,0),FALSE)</f>
        <v>#NUM!</v>
      </c>
      <c r="BP125" s="291"/>
      <c r="BQ125" s="292" t="e">
        <f t="array" aca="1" ref="BQ125" ca="1">VLOOKUP($B125,KOMBI!$A:$ADS,MATCH(Tulem!BQ$3,KOMBI!$A$1:$ADS$1,0),FALSE)</f>
        <v>#NUM!</v>
      </c>
      <c r="BR125" s="292" t="e">
        <f t="array" aca="1" ref="BR125" ca="1">VLOOKUP($B125,KOMBI!$A:$ADS,MATCH(Tulem!BR$3,KOMBI!$A$1:$ADS$1,0),FALSE)</f>
        <v>#NUM!</v>
      </c>
      <c r="BS125" s="292" t="e">
        <f t="array" aca="1" ref="BS125" ca="1">VLOOKUP($B125,KOMBI!$A:$ADS,MATCH(Tulem!BS$3,KOMBI!$A$1:$ADS$1,0),FALSE)</f>
        <v>#NUM!</v>
      </c>
      <c r="BT125" s="292" t="e">
        <f t="array" aca="1" ref="BT125" ca="1">VLOOKUP($B125,KOMBI!$A:$ADS,MATCH(Tulem!BT$3,KOMBI!$A$1:$ADS$1,0),FALSE)</f>
        <v>#NUM!</v>
      </c>
      <c r="BU125" s="292" t="e">
        <f t="array" aca="1" ref="BU125" ca="1">VLOOKUP($B125,KOMBI!$A:$ADS,MATCH(Tulem!BU$3,KOMBI!$A$1:$ADS$1,0),FALSE)</f>
        <v>#NUM!</v>
      </c>
      <c r="BV125" s="291"/>
      <c r="BW125" s="292" t="e">
        <f t="array" aca="1" ref="BW125" ca="1">VLOOKUP($B125,KOMBI!$A:$ADS,MATCH(Tulem!BW$3,KOMBI!$A$1:$ADS$1,0),FALSE)</f>
        <v>#NUM!</v>
      </c>
      <c r="BX125" s="291"/>
      <c r="BY125" s="291"/>
      <c r="BZ125" s="292" t="e">
        <f t="array" aca="1" ref="BZ125" ca="1">VLOOKUP($B125,KOMBI!$A:$ADS,MATCH(Tulem!BZ$3,KOMBI!$A$1:$ADS$1,0),FALSE)</f>
        <v>#NUM!</v>
      </c>
      <c r="CA125" s="292" t="e">
        <f t="array" aca="1" ref="CA125" ca="1">VLOOKUP($B125,KOMBI!$A:$ADS,MATCH(Tulem!CA$3,KOMBI!$A$1:$ADS$1,0),FALSE)</f>
        <v>#NUM!</v>
      </c>
      <c r="CB125" s="292" t="e">
        <f t="array" aca="1" ref="CB125" ca="1">VLOOKUP($B125,KOMBI!$A:$ADS,MATCH(Tulem!CB$3,KOMBI!$A$1:$ADS$1,0),FALSE)</f>
        <v>#NUM!</v>
      </c>
      <c r="CC125" s="292" t="e">
        <f t="array" aca="1" ref="CC125" ca="1">VLOOKUP($B125,KOMBI!$A:$ADS,MATCH(Tulem!CC$3,KOMBI!$A$1:$ADS$1,0),FALSE)</f>
        <v>#NUM!</v>
      </c>
      <c r="CD125" s="292" t="e">
        <f t="array" aca="1" ref="CD125" ca="1">VLOOKUP($B125,KOMBI!$A:$ADS,MATCH(Tulem!CD$3,KOMBI!$A$1:$ADS$1,0),FALSE)</f>
        <v>#NUM!</v>
      </c>
      <c r="CF125" s="51" t="e">
        <f ca="1">VLOOKUP($B125,KOMBI!$A:$ACG,MATCH(CF$5,KOMBI!$10:$10,0),FALSE)</f>
        <v>#NUM!</v>
      </c>
    </row>
    <row r="126" spans="1:84" x14ac:dyDescent="0.2">
      <c r="A126" s="51">
        <v>121</v>
      </c>
      <c r="B126" s="51" t="e">
        <f ca="1">KOMBI!GI131</f>
        <v>#NUM!</v>
      </c>
      <c r="C126" s="51">
        <f t="shared" si="3"/>
        <v>121</v>
      </c>
      <c r="D126" s="290" t="e">
        <f ca="1">VLOOKUP(VLOOKUP($B126,KOMBI!$A:$H,3,FALSE),data!$I$27:$J$29,2,FALSE)</f>
        <v>#NUM!</v>
      </c>
      <c r="E126" s="290" t="e">
        <f ca="1">VLOOKUP(VLOOKUP($B126,KOMBI!$A:$H,2,FALSE),data!$I$21:$J$23,2,FALSE)</f>
        <v>#NUM!</v>
      </c>
      <c r="F126" s="290" t="e">
        <f ca="1">VLOOKUP(VLOOKUP($B126,KOMBI!$A:$H,5,FALSE),data!$I$39:$J$41,2,FALSE)</f>
        <v>#NUM!</v>
      </c>
      <c r="G126" s="290" t="e">
        <f ca="1">VLOOKUP(VLOOKUP($B126,KOMBI!$A:$H,4,FALSE),data!$I$32:$J$36,2,FALSE)</f>
        <v>#NUM!</v>
      </c>
      <c r="I126" s="51" t="e">
        <f ca="1">VLOOKUP($B126,KOMBI!$A:$Z,MATCH(I$5,KOMBI!$10:$10,0),FALSE)</f>
        <v>#NUM!</v>
      </c>
      <c r="J126" s="291" t="e">
        <f ca="1">VLOOKUP($B126,KOMBI!$A:$ADS,J$3,FALSE)</f>
        <v>#NUM!</v>
      </c>
      <c r="K126" s="291" t="e">
        <f ca="1">VLOOKUP($B126,KOMBI!$A:$ADS,K$3,FALSE)</f>
        <v>#NUM!</v>
      </c>
      <c r="L126" s="291" t="e">
        <f ca="1">VLOOKUP($B126,KOMBI!$A:$ADS,L$3,FALSE)</f>
        <v>#NUM!</v>
      </c>
      <c r="M126" s="291" t="e">
        <f ca="1">VLOOKUP($B126,KOMBI!$A:$ADS,M$3,FALSE)</f>
        <v>#NUM!</v>
      </c>
      <c r="N126" s="291" t="e">
        <f ca="1">VLOOKUP($B126,KOMBI!$A:$ADS,N$3,FALSE)</f>
        <v>#NUM!</v>
      </c>
      <c r="O126" s="291" t="e">
        <f ca="1">VLOOKUP($B126,KOMBI!$A:$ADS,O$3,FALSE)</f>
        <v>#NUM!</v>
      </c>
      <c r="P126" s="291" t="e">
        <f ca="1">VLOOKUP($B126,KOMBI!$A:$ADS,P$3,FALSE)</f>
        <v>#NUM!</v>
      </c>
      <c r="Q126" s="292" t="e">
        <f t="array" aca="1" ref="Q126" ca="1">VLOOKUP($B126,KOMBI!$A:$ADS,MATCH(Tulem!Q$3,KOMBI!$A$1:$ADS$1,0),FALSE)</f>
        <v>#NUM!</v>
      </c>
      <c r="S126" s="332" t="e">
        <f t="array" aca="1" ref="S126" ca="1">VLOOKUP($B126,KOMBI!$A:$ADS,MATCH(Tulem!S$3,KOMBI!$A$1:$ADS$1,0),FALSE)</f>
        <v>#NUM!</v>
      </c>
      <c r="T126" s="293" t="e">
        <f ca="1">VLOOKUP($B126,KOMBI!$A:$ADS,T$3,FALSE)</f>
        <v>#NUM!</v>
      </c>
      <c r="U126" s="293" t="e">
        <f ca="1">VLOOKUP($B126,KOMBI!$A:$ADS,U$3,FALSE)</f>
        <v>#NUM!</v>
      </c>
      <c r="V126" s="293" t="e">
        <f ca="1">VLOOKUP($B126,KOMBI!$A:$ADS,V$3,FALSE)</f>
        <v>#NUM!</v>
      </c>
      <c r="W126" s="293"/>
      <c r="X126" s="293" t="e">
        <f ca="1">VLOOKUP($B126,KOMBI!$A:$ADS,X$3,FALSE)</f>
        <v>#NUM!</v>
      </c>
      <c r="Y126" s="293" t="e">
        <f ca="1">VLOOKUP($B126,KOMBI!$A:$ADS,Y$3,FALSE)</f>
        <v>#NUM!</v>
      </c>
      <c r="Z126" s="293" t="e">
        <f ca="1">VLOOKUP($B126,KOMBI!$A:$ADS,Z$3,FALSE)</f>
        <v>#NUM!</v>
      </c>
      <c r="AA126" s="294"/>
      <c r="AB126" s="293" t="e">
        <f ca="1">VLOOKUP($B126,KOMBI!$A:$ADS,AB$3,FALSE)</f>
        <v>#NUM!</v>
      </c>
      <c r="AC126" s="293" t="e">
        <f ca="1">VLOOKUP($B126,KOMBI!$A:$ADS,AC$3,FALSE)-AB126</f>
        <v>#NUM!</v>
      </c>
      <c r="AD126" s="293" t="e">
        <f ca="1">VLOOKUP($B126,KOMBI!$A:$ADS,AD$3,FALSE)</f>
        <v>#NUM!</v>
      </c>
      <c r="AE126" s="293" t="e">
        <f ca="1">VLOOKUP($B126,KOMBI!$A:$ADS,AE$3,FALSE)</f>
        <v>#NUM!</v>
      </c>
      <c r="AF126" s="293" t="e">
        <f ca="1">VLOOKUP($B126,KOMBI!$A:$ADS,AF$3,FALSE)-AE126</f>
        <v>#NUM!</v>
      </c>
      <c r="AG126" s="293" t="e">
        <f ca="1">VLOOKUP($B126,KOMBI!$A:$ADS,AG$3,FALSE)</f>
        <v>#NUM!</v>
      </c>
      <c r="AI126" s="293" t="e">
        <f t="array" aca="1" ref="AI126" ca="1">VLOOKUP($B126,KOMBI!$A:$ADS,MATCH(Tulem!AI$3,KOMBI!$A$1:$ADS$1,0),FALSE)</f>
        <v>#NUM!</v>
      </c>
      <c r="AJ126" s="293" t="e">
        <f t="array" aca="1" ref="AJ126" ca="1">VLOOKUP($B126,KOMBI!$A:$ADS,MATCH(Tulem!AJ$3,KOMBI!$A$1:$ADS$1,0),FALSE)</f>
        <v>#NUM!</v>
      </c>
      <c r="AK126" s="293" t="e">
        <f t="array" aca="1" ref="AK126" ca="1">VLOOKUP($B126,KOMBI!$A:$ADS,MATCH(Tulem!AK$3,KOMBI!$A$1:$ADS$1,0),FALSE)</f>
        <v>#NUM!</v>
      </c>
      <c r="AL126" s="293" t="e">
        <f t="array" aca="1" ref="AL126" ca="1">VLOOKUP($B126,KOMBI!$A:$ADS,MATCH(Tulem!AL$3,KOMBI!$A$1:$ADS$1,0),FALSE)</f>
        <v>#NUM!</v>
      </c>
      <c r="AM126" s="293" t="e">
        <f t="array" aca="1" ref="AM126" ca="1">VLOOKUP($B126,KOMBI!$A:$ADS,MATCH(Tulem!AM$3,KOMBI!$A$1:$ADS$1,0),FALSE)</f>
        <v>#NUM!</v>
      </c>
      <c r="AN126" s="293" t="e">
        <f t="array" aca="1" ref="AN126" ca="1">VLOOKUP($B126,KOMBI!$A:$ADS,MATCH(Tulem!AN$3,KOMBI!$A$1:$ADS$1,0),FALSE)</f>
        <v>#NUM!</v>
      </c>
      <c r="AO126" s="293" t="e">
        <f t="array" aca="1" ref="AO126" ca="1">VLOOKUP($B126,KOMBI!$A:$ADS,MATCH(Tulem!AO$3,KOMBI!$A$1:$ADS$1,0),FALSE)</f>
        <v>#NUM!</v>
      </c>
      <c r="AP126" s="293" t="e">
        <f t="array" aca="1" ref="AP126" ca="1">VLOOKUP($B126,KOMBI!$A:$ADS,MATCH(Tulem!AP$3,KOMBI!$A$1:$ADS$1,0),FALSE)</f>
        <v>#NUM!</v>
      </c>
      <c r="AQ126" s="293" t="e">
        <f t="array" aca="1" ref="AQ126" ca="1">VLOOKUP($B126,KOMBI!$A:$ADS,MATCH(Tulem!AQ$3,KOMBI!$A$1:$ADS$1,0),FALSE)</f>
        <v>#NUM!</v>
      </c>
      <c r="AR126" s="293" t="e">
        <f t="array" aca="1" ref="AR126" ca="1">VLOOKUP($B126,KOMBI!$A:$ADS,MATCH(Tulem!AR$3,KOMBI!$A$1:$ADS$1,0),FALSE)</f>
        <v>#NUM!</v>
      </c>
      <c r="AS126" s="293" t="e">
        <f t="array" aca="1" ref="AS126" ca="1">VLOOKUP($B126,KOMBI!$A:$ADS,MATCH(Tulem!AS$3,KOMBI!$A$1:$ADS$1,0),FALSE)</f>
        <v>#NUM!</v>
      </c>
      <c r="AT126" s="293" t="e">
        <f t="array" aca="1" ref="AT126" ca="1">VLOOKUP($B126,KOMBI!$A:$ADS,MATCH(Tulem!AT$3,KOMBI!$A$1:$ADS$1,0),FALSE)</f>
        <v>#NUM!</v>
      </c>
      <c r="AU126" s="293" t="e">
        <f t="array" aca="1" ref="AU126" ca="1">VLOOKUP($B126,KOMBI!$A:$ADS,MATCH(Tulem!AU$3,KOMBI!$A$1:$ADS$1,0),FALSE)</f>
        <v>#NUM!</v>
      </c>
      <c r="AV126" s="293" t="e">
        <f t="shared" ca="1" si="4"/>
        <v>#NUM!</v>
      </c>
      <c r="AW126" s="293" t="e">
        <f t="shared" ca="1" si="5"/>
        <v>#NUM!</v>
      </c>
      <c r="AX126" s="291" t="e">
        <f ca="1">VLOOKUP($B126,KOMBI!$A:$ACA,MATCH(AX$5,KOMBI!$10:$10,0),FALSE)</f>
        <v>#NUM!</v>
      </c>
      <c r="AY126" s="292" t="e">
        <f t="array" aca="1" ref="AY126" ca="1">VLOOKUP($B126,KOMBI!$A:$ADS,MATCH(Tulem!AY$3,KOMBI!$A$1:$ADS$1,0),FALSE)</f>
        <v>#NUM!</v>
      </c>
      <c r="AZ126" s="292" t="e">
        <f t="array" aca="1" ref="AZ126" ca="1">VLOOKUP($B126,KOMBI!$A:$ADS,MATCH(Tulem!AZ$3,KOMBI!$A$1:$ADS$1,0),FALSE)</f>
        <v>#NUM!</v>
      </c>
      <c r="BA126" s="292" t="e">
        <f t="array" aca="1" ref="BA126" ca="1">VLOOKUP($B126,KOMBI!$A:$ADS,MATCH(Tulem!BA$3,KOMBI!$A$1:$ADS$1,0),FALSE)</f>
        <v>#NUM!</v>
      </c>
      <c r="BB126" s="292" t="e">
        <f t="array" aca="1" ref="BB126" ca="1">VLOOKUP($B126,KOMBI!$A:$ADS,MATCH(Tulem!BB$3,KOMBI!$A$1:$ADS$1,0),FALSE)</f>
        <v>#NUM!</v>
      </c>
      <c r="BC126" s="292" t="e">
        <f t="array" aca="1" ref="BC126" ca="1">VLOOKUP($B126,KOMBI!$A:$ADS,MATCH(Tulem!BC$3,KOMBI!$A$1:$ADS$1,0),FALSE)</f>
        <v>#NUM!</v>
      </c>
      <c r="BD126" s="292" t="e">
        <f t="array" aca="1" ref="BD126" ca="1">VLOOKUP($B126,KOMBI!$A:$ADS,MATCH(Tulem!BD$3,KOMBI!$A$1:$ADS$1,0),FALSE)</f>
        <v>#NUM!</v>
      </c>
      <c r="BE126" s="292" t="e">
        <f t="array" aca="1" ref="BE126" ca="1">VLOOKUP($B126,KOMBI!$A:$ADS,MATCH(Tulem!BE$3,KOMBI!$A$1:$ADS$1,0),FALSE)</f>
        <v>#NUM!</v>
      </c>
      <c r="BF126" s="292" t="e">
        <f t="array" aca="1" ref="BF126" ca="1">VLOOKUP($B126,KOMBI!$A:$ADS,MATCH(Tulem!BF$3,KOMBI!$A$1:$ADS$1,0),FALSE)</f>
        <v>#NUM!</v>
      </c>
      <c r="BG126" s="292" t="e">
        <f t="array" aca="1" ref="BG126" ca="1">VLOOKUP($B126,KOMBI!$A:$ADS,MATCH(Tulem!BG$3,KOMBI!$A$1:$ADS$1,0),FALSE)</f>
        <v>#NUM!</v>
      </c>
      <c r="BH126" s="292" t="e">
        <f t="array" aca="1" ref="BH126" ca="1">VLOOKUP($B126,KOMBI!$A:$ADS,MATCH(Tulem!BH$3,KOMBI!$A$1:$ADS$1,0),FALSE)</f>
        <v>#NUM!</v>
      </c>
      <c r="BI126" s="292" t="e">
        <f t="array" aca="1" ref="BI126" ca="1">VLOOKUP($B126,KOMBI!$A:$ADS,MATCH(Tulem!BI$3,KOMBI!$A$1:$ADS$1,0),FALSE)</f>
        <v>#NUM!</v>
      </c>
      <c r="BJ126" s="292" t="e">
        <f t="array" aca="1" ref="BJ126" ca="1">VLOOKUP($B126,KOMBI!$A:$ADS,MATCH(Tulem!BJ$3,KOMBI!$A$1:$ADS$1,0),FALSE)</f>
        <v>#NUM!</v>
      </c>
      <c r="BK126" s="292" t="e">
        <f t="array" aca="1" ref="BK126" ca="1">VLOOKUP($B126,KOMBI!$A:$ADS,MATCH(Tulem!BK$3,KOMBI!$A$1:$ADS$1,0),FALSE)</f>
        <v>#NUM!</v>
      </c>
      <c r="BL126" s="292" t="e">
        <f t="array" aca="1" ref="BL126" ca="1">VLOOKUP($B126,KOMBI!$A:$ADS,MATCH(Tulem!BL$3,KOMBI!$A$1:$ADS$1,0),FALSE)</f>
        <v>#NUM!</v>
      </c>
      <c r="BM126" s="292" t="e">
        <f t="array" aca="1" ref="BM126" ca="1">VLOOKUP($B126,KOMBI!$A:$ADS,MATCH(Tulem!BM$3,KOMBI!$A$1:$ADS$1,0),FALSE)</f>
        <v>#NUM!</v>
      </c>
      <c r="BN126" s="292" t="e">
        <f t="array" aca="1" ref="BN126" ca="1">VLOOKUP($B126,KOMBI!$A:$ADS,MATCH(Tulem!BN$3,KOMBI!$A$1:$ADS$1,0),FALSE)</f>
        <v>#NUM!</v>
      </c>
      <c r="BO126" s="292" t="e">
        <f t="array" aca="1" ref="BO126" ca="1">VLOOKUP($B126,KOMBI!$A:$ADS,MATCH(Tulem!BO$3,KOMBI!$A$1:$ADS$1,0),FALSE)</f>
        <v>#NUM!</v>
      </c>
      <c r="BP126" s="291"/>
      <c r="BQ126" s="292" t="e">
        <f t="array" aca="1" ref="BQ126" ca="1">VLOOKUP($B126,KOMBI!$A:$ADS,MATCH(Tulem!BQ$3,KOMBI!$A$1:$ADS$1,0),FALSE)</f>
        <v>#NUM!</v>
      </c>
      <c r="BR126" s="292" t="e">
        <f t="array" aca="1" ref="BR126" ca="1">VLOOKUP($B126,KOMBI!$A:$ADS,MATCH(Tulem!BR$3,KOMBI!$A$1:$ADS$1,0),FALSE)</f>
        <v>#NUM!</v>
      </c>
      <c r="BS126" s="292" t="e">
        <f t="array" aca="1" ref="BS126" ca="1">VLOOKUP($B126,KOMBI!$A:$ADS,MATCH(Tulem!BS$3,KOMBI!$A$1:$ADS$1,0),FALSE)</f>
        <v>#NUM!</v>
      </c>
      <c r="BT126" s="292" t="e">
        <f t="array" aca="1" ref="BT126" ca="1">VLOOKUP($B126,KOMBI!$A:$ADS,MATCH(Tulem!BT$3,KOMBI!$A$1:$ADS$1,0),FALSE)</f>
        <v>#NUM!</v>
      </c>
      <c r="BU126" s="292" t="e">
        <f t="array" aca="1" ref="BU126" ca="1">VLOOKUP($B126,KOMBI!$A:$ADS,MATCH(Tulem!BU$3,KOMBI!$A$1:$ADS$1,0),FALSE)</f>
        <v>#NUM!</v>
      </c>
      <c r="BV126" s="291"/>
      <c r="BW126" s="292" t="e">
        <f t="array" aca="1" ref="BW126" ca="1">VLOOKUP($B126,KOMBI!$A:$ADS,MATCH(Tulem!BW$3,KOMBI!$A$1:$ADS$1,0),FALSE)</f>
        <v>#NUM!</v>
      </c>
      <c r="BX126" s="291"/>
      <c r="BY126" s="291"/>
      <c r="BZ126" s="292" t="e">
        <f t="array" aca="1" ref="BZ126" ca="1">VLOOKUP($B126,KOMBI!$A:$ADS,MATCH(Tulem!BZ$3,KOMBI!$A$1:$ADS$1,0),FALSE)</f>
        <v>#NUM!</v>
      </c>
      <c r="CA126" s="292" t="e">
        <f t="array" aca="1" ref="CA126" ca="1">VLOOKUP($B126,KOMBI!$A:$ADS,MATCH(Tulem!CA$3,KOMBI!$A$1:$ADS$1,0),FALSE)</f>
        <v>#NUM!</v>
      </c>
      <c r="CB126" s="292" t="e">
        <f t="array" aca="1" ref="CB126" ca="1">VLOOKUP($B126,KOMBI!$A:$ADS,MATCH(Tulem!CB$3,KOMBI!$A$1:$ADS$1,0),FALSE)</f>
        <v>#NUM!</v>
      </c>
      <c r="CC126" s="292" t="e">
        <f t="array" aca="1" ref="CC126" ca="1">VLOOKUP($B126,KOMBI!$A:$ADS,MATCH(Tulem!CC$3,KOMBI!$A$1:$ADS$1,0),FALSE)</f>
        <v>#NUM!</v>
      </c>
      <c r="CD126" s="292" t="e">
        <f t="array" aca="1" ref="CD126" ca="1">VLOOKUP($B126,KOMBI!$A:$ADS,MATCH(Tulem!CD$3,KOMBI!$A$1:$ADS$1,0),FALSE)</f>
        <v>#NUM!</v>
      </c>
      <c r="CF126" s="51" t="e">
        <f ca="1">VLOOKUP($B126,KOMBI!$A:$ACG,MATCH(CF$5,KOMBI!$10:$10,0),FALSE)</f>
        <v>#NUM!</v>
      </c>
    </row>
    <row r="127" spans="1:84" x14ac:dyDescent="0.2">
      <c r="A127" s="51">
        <v>122</v>
      </c>
      <c r="B127" s="51" t="e">
        <f ca="1">KOMBI!GI132</f>
        <v>#NUM!</v>
      </c>
      <c r="C127" s="51">
        <f t="shared" si="3"/>
        <v>122</v>
      </c>
      <c r="D127" s="290" t="e">
        <f ca="1">VLOOKUP(VLOOKUP($B127,KOMBI!$A:$H,3,FALSE),data!$I$27:$J$29,2,FALSE)</f>
        <v>#NUM!</v>
      </c>
      <c r="E127" s="290" t="e">
        <f ca="1">VLOOKUP(VLOOKUP($B127,KOMBI!$A:$H,2,FALSE),data!$I$21:$J$23,2,FALSE)</f>
        <v>#NUM!</v>
      </c>
      <c r="F127" s="290" t="e">
        <f ca="1">VLOOKUP(VLOOKUP($B127,KOMBI!$A:$H,5,FALSE),data!$I$39:$J$41,2,FALSE)</f>
        <v>#NUM!</v>
      </c>
      <c r="G127" s="290" t="e">
        <f ca="1">VLOOKUP(VLOOKUP($B127,KOMBI!$A:$H,4,FALSE),data!$I$32:$J$36,2,FALSE)</f>
        <v>#NUM!</v>
      </c>
      <c r="I127" s="51" t="e">
        <f ca="1">VLOOKUP($B127,KOMBI!$A:$Z,MATCH(I$5,KOMBI!$10:$10,0),FALSE)</f>
        <v>#NUM!</v>
      </c>
      <c r="J127" s="291" t="e">
        <f ca="1">VLOOKUP($B127,KOMBI!$A:$ADS,J$3,FALSE)</f>
        <v>#NUM!</v>
      </c>
      <c r="K127" s="291" t="e">
        <f ca="1">VLOOKUP($B127,KOMBI!$A:$ADS,K$3,FALSE)</f>
        <v>#NUM!</v>
      </c>
      <c r="L127" s="291" t="e">
        <f ca="1">VLOOKUP($B127,KOMBI!$A:$ADS,L$3,FALSE)</f>
        <v>#NUM!</v>
      </c>
      <c r="M127" s="291" t="e">
        <f ca="1">VLOOKUP($B127,KOMBI!$A:$ADS,M$3,FALSE)</f>
        <v>#NUM!</v>
      </c>
      <c r="N127" s="291" t="e">
        <f ca="1">VLOOKUP($B127,KOMBI!$A:$ADS,N$3,FALSE)</f>
        <v>#NUM!</v>
      </c>
      <c r="O127" s="291" t="e">
        <f ca="1">VLOOKUP($B127,KOMBI!$A:$ADS,O$3,FALSE)</f>
        <v>#NUM!</v>
      </c>
      <c r="P127" s="291" t="e">
        <f ca="1">VLOOKUP($B127,KOMBI!$A:$ADS,P$3,FALSE)</f>
        <v>#NUM!</v>
      </c>
      <c r="Q127" s="292" t="e">
        <f t="array" aca="1" ref="Q127" ca="1">VLOOKUP($B127,KOMBI!$A:$ADS,MATCH(Tulem!Q$3,KOMBI!$A$1:$ADS$1,0),FALSE)</f>
        <v>#NUM!</v>
      </c>
      <c r="S127" s="332" t="e">
        <f t="array" aca="1" ref="S127" ca="1">VLOOKUP($B127,KOMBI!$A:$ADS,MATCH(Tulem!S$3,KOMBI!$A$1:$ADS$1,0),FALSE)</f>
        <v>#NUM!</v>
      </c>
      <c r="T127" s="293" t="e">
        <f ca="1">VLOOKUP($B127,KOMBI!$A:$ADS,T$3,FALSE)</f>
        <v>#NUM!</v>
      </c>
      <c r="U127" s="293" t="e">
        <f ca="1">VLOOKUP($B127,KOMBI!$A:$ADS,U$3,FALSE)</f>
        <v>#NUM!</v>
      </c>
      <c r="V127" s="293" t="e">
        <f ca="1">VLOOKUP($B127,KOMBI!$A:$ADS,V$3,FALSE)</f>
        <v>#NUM!</v>
      </c>
      <c r="W127" s="293"/>
      <c r="X127" s="293" t="e">
        <f ca="1">VLOOKUP($B127,KOMBI!$A:$ADS,X$3,FALSE)</f>
        <v>#NUM!</v>
      </c>
      <c r="Y127" s="293" t="e">
        <f ca="1">VLOOKUP($B127,KOMBI!$A:$ADS,Y$3,FALSE)</f>
        <v>#NUM!</v>
      </c>
      <c r="Z127" s="293" t="e">
        <f ca="1">VLOOKUP($B127,KOMBI!$A:$ADS,Z$3,FALSE)</f>
        <v>#NUM!</v>
      </c>
      <c r="AA127" s="294"/>
      <c r="AB127" s="293" t="e">
        <f ca="1">VLOOKUP($B127,KOMBI!$A:$ADS,AB$3,FALSE)</f>
        <v>#NUM!</v>
      </c>
      <c r="AC127" s="293" t="e">
        <f ca="1">VLOOKUP($B127,KOMBI!$A:$ADS,AC$3,FALSE)-AB127</f>
        <v>#NUM!</v>
      </c>
      <c r="AD127" s="293" t="e">
        <f ca="1">VLOOKUP($B127,KOMBI!$A:$ADS,AD$3,FALSE)</f>
        <v>#NUM!</v>
      </c>
      <c r="AE127" s="293" t="e">
        <f ca="1">VLOOKUP($B127,KOMBI!$A:$ADS,AE$3,FALSE)</f>
        <v>#NUM!</v>
      </c>
      <c r="AF127" s="293" t="e">
        <f ca="1">VLOOKUP($B127,KOMBI!$A:$ADS,AF$3,FALSE)-AE127</f>
        <v>#NUM!</v>
      </c>
      <c r="AG127" s="293" t="e">
        <f ca="1">VLOOKUP($B127,KOMBI!$A:$ADS,AG$3,FALSE)</f>
        <v>#NUM!</v>
      </c>
      <c r="AI127" s="293" t="e">
        <f t="array" aca="1" ref="AI127" ca="1">VLOOKUP($B127,KOMBI!$A:$ADS,MATCH(Tulem!AI$3,KOMBI!$A$1:$ADS$1,0),FALSE)</f>
        <v>#NUM!</v>
      </c>
      <c r="AJ127" s="293" t="e">
        <f t="array" aca="1" ref="AJ127" ca="1">VLOOKUP($B127,KOMBI!$A:$ADS,MATCH(Tulem!AJ$3,KOMBI!$A$1:$ADS$1,0),FALSE)</f>
        <v>#NUM!</v>
      </c>
      <c r="AK127" s="293" t="e">
        <f t="array" aca="1" ref="AK127" ca="1">VLOOKUP($B127,KOMBI!$A:$ADS,MATCH(Tulem!AK$3,KOMBI!$A$1:$ADS$1,0),FALSE)</f>
        <v>#NUM!</v>
      </c>
      <c r="AL127" s="293" t="e">
        <f t="array" aca="1" ref="AL127" ca="1">VLOOKUP($B127,KOMBI!$A:$ADS,MATCH(Tulem!AL$3,KOMBI!$A$1:$ADS$1,0),FALSE)</f>
        <v>#NUM!</v>
      </c>
      <c r="AM127" s="293" t="e">
        <f t="array" aca="1" ref="AM127" ca="1">VLOOKUP($B127,KOMBI!$A:$ADS,MATCH(Tulem!AM$3,KOMBI!$A$1:$ADS$1,0),FALSE)</f>
        <v>#NUM!</v>
      </c>
      <c r="AN127" s="293" t="e">
        <f t="array" aca="1" ref="AN127" ca="1">VLOOKUP($B127,KOMBI!$A:$ADS,MATCH(Tulem!AN$3,KOMBI!$A$1:$ADS$1,0),FALSE)</f>
        <v>#NUM!</v>
      </c>
      <c r="AO127" s="293" t="e">
        <f t="array" aca="1" ref="AO127" ca="1">VLOOKUP($B127,KOMBI!$A:$ADS,MATCH(Tulem!AO$3,KOMBI!$A$1:$ADS$1,0),FALSE)</f>
        <v>#NUM!</v>
      </c>
      <c r="AP127" s="293" t="e">
        <f t="array" aca="1" ref="AP127" ca="1">VLOOKUP($B127,KOMBI!$A:$ADS,MATCH(Tulem!AP$3,KOMBI!$A$1:$ADS$1,0),FALSE)</f>
        <v>#NUM!</v>
      </c>
      <c r="AQ127" s="293" t="e">
        <f t="array" aca="1" ref="AQ127" ca="1">VLOOKUP($B127,KOMBI!$A:$ADS,MATCH(Tulem!AQ$3,KOMBI!$A$1:$ADS$1,0),FALSE)</f>
        <v>#NUM!</v>
      </c>
      <c r="AR127" s="293" t="e">
        <f t="array" aca="1" ref="AR127" ca="1">VLOOKUP($B127,KOMBI!$A:$ADS,MATCH(Tulem!AR$3,KOMBI!$A$1:$ADS$1,0),FALSE)</f>
        <v>#NUM!</v>
      </c>
      <c r="AS127" s="293" t="e">
        <f t="array" aca="1" ref="AS127" ca="1">VLOOKUP($B127,KOMBI!$A:$ADS,MATCH(Tulem!AS$3,KOMBI!$A$1:$ADS$1,0),FALSE)</f>
        <v>#NUM!</v>
      </c>
      <c r="AT127" s="293" t="e">
        <f t="array" aca="1" ref="AT127" ca="1">VLOOKUP($B127,KOMBI!$A:$ADS,MATCH(Tulem!AT$3,KOMBI!$A$1:$ADS$1,0),FALSE)</f>
        <v>#NUM!</v>
      </c>
      <c r="AU127" s="293" t="e">
        <f t="array" aca="1" ref="AU127" ca="1">VLOOKUP($B127,KOMBI!$A:$ADS,MATCH(Tulem!AU$3,KOMBI!$A$1:$ADS$1,0),FALSE)</f>
        <v>#NUM!</v>
      </c>
      <c r="AV127" s="293" t="e">
        <f t="shared" ca="1" si="4"/>
        <v>#NUM!</v>
      </c>
      <c r="AW127" s="293" t="e">
        <f t="shared" ca="1" si="5"/>
        <v>#NUM!</v>
      </c>
      <c r="AX127" s="291" t="e">
        <f ca="1">VLOOKUP($B127,KOMBI!$A:$ACA,MATCH(AX$5,KOMBI!$10:$10,0),FALSE)</f>
        <v>#NUM!</v>
      </c>
      <c r="AY127" s="292" t="e">
        <f t="array" aca="1" ref="AY127" ca="1">VLOOKUP($B127,KOMBI!$A:$ADS,MATCH(Tulem!AY$3,KOMBI!$A$1:$ADS$1,0),FALSE)</f>
        <v>#NUM!</v>
      </c>
      <c r="AZ127" s="292" t="e">
        <f t="array" aca="1" ref="AZ127" ca="1">VLOOKUP($B127,KOMBI!$A:$ADS,MATCH(Tulem!AZ$3,KOMBI!$A$1:$ADS$1,0),FALSE)</f>
        <v>#NUM!</v>
      </c>
      <c r="BA127" s="292" t="e">
        <f t="array" aca="1" ref="BA127" ca="1">VLOOKUP($B127,KOMBI!$A:$ADS,MATCH(Tulem!BA$3,KOMBI!$A$1:$ADS$1,0),FALSE)</f>
        <v>#NUM!</v>
      </c>
      <c r="BB127" s="292" t="e">
        <f t="array" aca="1" ref="BB127" ca="1">VLOOKUP($B127,KOMBI!$A:$ADS,MATCH(Tulem!BB$3,KOMBI!$A$1:$ADS$1,0),FALSE)</f>
        <v>#NUM!</v>
      </c>
      <c r="BC127" s="292" t="e">
        <f t="array" aca="1" ref="BC127" ca="1">VLOOKUP($B127,KOMBI!$A:$ADS,MATCH(Tulem!BC$3,KOMBI!$A$1:$ADS$1,0),FALSE)</f>
        <v>#NUM!</v>
      </c>
      <c r="BD127" s="292" t="e">
        <f t="array" aca="1" ref="BD127" ca="1">VLOOKUP($B127,KOMBI!$A:$ADS,MATCH(Tulem!BD$3,KOMBI!$A$1:$ADS$1,0),FALSE)</f>
        <v>#NUM!</v>
      </c>
      <c r="BE127" s="292" t="e">
        <f t="array" aca="1" ref="BE127" ca="1">VLOOKUP($B127,KOMBI!$A:$ADS,MATCH(Tulem!BE$3,KOMBI!$A$1:$ADS$1,0),FALSE)</f>
        <v>#NUM!</v>
      </c>
      <c r="BF127" s="292" t="e">
        <f t="array" aca="1" ref="BF127" ca="1">VLOOKUP($B127,KOMBI!$A:$ADS,MATCH(Tulem!BF$3,KOMBI!$A$1:$ADS$1,0),FALSE)</f>
        <v>#NUM!</v>
      </c>
      <c r="BG127" s="292" t="e">
        <f t="array" aca="1" ref="BG127" ca="1">VLOOKUP($B127,KOMBI!$A:$ADS,MATCH(Tulem!BG$3,KOMBI!$A$1:$ADS$1,0),FALSE)</f>
        <v>#NUM!</v>
      </c>
      <c r="BH127" s="292" t="e">
        <f t="array" aca="1" ref="BH127" ca="1">VLOOKUP($B127,KOMBI!$A:$ADS,MATCH(Tulem!BH$3,KOMBI!$A$1:$ADS$1,0),FALSE)</f>
        <v>#NUM!</v>
      </c>
      <c r="BI127" s="292" t="e">
        <f t="array" aca="1" ref="BI127" ca="1">VLOOKUP($B127,KOMBI!$A:$ADS,MATCH(Tulem!BI$3,KOMBI!$A$1:$ADS$1,0),FALSE)</f>
        <v>#NUM!</v>
      </c>
      <c r="BJ127" s="292" t="e">
        <f t="array" aca="1" ref="BJ127" ca="1">VLOOKUP($B127,KOMBI!$A:$ADS,MATCH(Tulem!BJ$3,KOMBI!$A$1:$ADS$1,0),FALSE)</f>
        <v>#NUM!</v>
      </c>
      <c r="BK127" s="292" t="e">
        <f t="array" aca="1" ref="BK127" ca="1">VLOOKUP($B127,KOMBI!$A:$ADS,MATCH(Tulem!BK$3,KOMBI!$A$1:$ADS$1,0),FALSE)</f>
        <v>#NUM!</v>
      </c>
      <c r="BL127" s="292" t="e">
        <f t="array" aca="1" ref="BL127" ca="1">VLOOKUP($B127,KOMBI!$A:$ADS,MATCH(Tulem!BL$3,KOMBI!$A$1:$ADS$1,0),FALSE)</f>
        <v>#NUM!</v>
      </c>
      <c r="BM127" s="292" t="e">
        <f t="array" aca="1" ref="BM127" ca="1">VLOOKUP($B127,KOMBI!$A:$ADS,MATCH(Tulem!BM$3,KOMBI!$A$1:$ADS$1,0),FALSE)</f>
        <v>#NUM!</v>
      </c>
      <c r="BN127" s="292" t="e">
        <f t="array" aca="1" ref="BN127" ca="1">VLOOKUP($B127,KOMBI!$A:$ADS,MATCH(Tulem!BN$3,KOMBI!$A$1:$ADS$1,0),FALSE)</f>
        <v>#NUM!</v>
      </c>
      <c r="BO127" s="292" t="e">
        <f t="array" aca="1" ref="BO127" ca="1">VLOOKUP($B127,KOMBI!$A:$ADS,MATCH(Tulem!BO$3,KOMBI!$A$1:$ADS$1,0),FALSE)</f>
        <v>#NUM!</v>
      </c>
      <c r="BP127" s="291"/>
      <c r="BQ127" s="292" t="e">
        <f t="array" aca="1" ref="BQ127" ca="1">VLOOKUP($B127,KOMBI!$A:$ADS,MATCH(Tulem!BQ$3,KOMBI!$A$1:$ADS$1,0),FALSE)</f>
        <v>#NUM!</v>
      </c>
      <c r="BR127" s="292" t="e">
        <f t="array" aca="1" ref="BR127" ca="1">VLOOKUP($B127,KOMBI!$A:$ADS,MATCH(Tulem!BR$3,KOMBI!$A$1:$ADS$1,0),FALSE)</f>
        <v>#NUM!</v>
      </c>
      <c r="BS127" s="292" t="e">
        <f t="array" aca="1" ref="BS127" ca="1">VLOOKUP($B127,KOMBI!$A:$ADS,MATCH(Tulem!BS$3,KOMBI!$A$1:$ADS$1,0),FALSE)</f>
        <v>#NUM!</v>
      </c>
      <c r="BT127" s="292" t="e">
        <f t="array" aca="1" ref="BT127" ca="1">VLOOKUP($B127,KOMBI!$A:$ADS,MATCH(Tulem!BT$3,KOMBI!$A$1:$ADS$1,0),FALSE)</f>
        <v>#NUM!</v>
      </c>
      <c r="BU127" s="292" t="e">
        <f t="array" aca="1" ref="BU127" ca="1">VLOOKUP($B127,KOMBI!$A:$ADS,MATCH(Tulem!BU$3,KOMBI!$A$1:$ADS$1,0),FALSE)</f>
        <v>#NUM!</v>
      </c>
      <c r="BV127" s="291"/>
      <c r="BW127" s="292" t="e">
        <f t="array" aca="1" ref="BW127" ca="1">VLOOKUP($B127,KOMBI!$A:$ADS,MATCH(Tulem!BW$3,KOMBI!$A$1:$ADS$1,0),FALSE)</f>
        <v>#NUM!</v>
      </c>
      <c r="BX127" s="291"/>
      <c r="BY127" s="291"/>
      <c r="BZ127" s="292" t="e">
        <f t="array" aca="1" ref="BZ127" ca="1">VLOOKUP($B127,KOMBI!$A:$ADS,MATCH(Tulem!BZ$3,KOMBI!$A$1:$ADS$1,0),FALSE)</f>
        <v>#NUM!</v>
      </c>
      <c r="CA127" s="292" t="e">
        <f t="array" aca="1" ref="CA127" ca="1">VLOOKUP($B127,KOMBI!$A:$ADS,MATCH(Tulem!CA$3,KOMBI!$A$1:$ADS$1,0),FALSE)</f>
        <v>#NUM!</v>
      </c>
      <c r="CB127" s="292" t="e">
        <f t="array" aca="1" ref="CB127" ca="1">VLOOKUP($B127,KOMBI!$A:$ADS,MATCH(Tulem!CB$3,KOMBI!$A$1:$ADS$1,0),FALSE)</f>
        <v>#NUM!</v>
      </c>
      <c r="CC127" s="292" t="e">
        <f t="array" aca="1" ref="CC127" ca="1">VLOOKUP($B127,KOMBI!$A:$ADS,MATCH(Tulem!CC$3,KOMBI!$A$1:$ADS$1,0),FALSE)</f>
        <v>#NUM!</v>
      </c>
      <c r="CD127" s="292" t="e">
        <f t="array" aca="1" ref="CD127" ca="1">VLOOKUP($B127,KOMBI!$A:$ADS,MATCH(Tulem!CD$3,KOMBI!$A$1:$ADS$1,0),FALSE)</f>
        <v>#NUM!</v>
      </c>
      <c r="CF127" s="51" t="e">
        <f ca="1">VLOOKUP($B127,KOMBI!$A:$ACG,MATCH(CF$5,KOMBI!$10:$10,0),FALSE)</f>
        <v>#NUM!</v>
      </c>
    </row>
    <row r="128" spans="1:84" x14ac:dyDescent="0.2">
      <c r="A128" s="51">
        <v>123</v>
      </c>
      <c r="B128" s="51" t="e">
        <f ca="1">KOMBI!GI133</f>
        <v>#NUM!</v>
      </c>
      <c r="C128" s="51">
        <f t="shared" si="3"/>
        <v>123</v>
      </c>
      <c r="D128" s="290" t="e">
        <f ca="1">VLOOKUP(VLOOKUP($B128,KOMBI!$A:$H,3,FALSE),data!$I$27:$J$29,2,FALSE)</f>
        <v>#NUM!</v>
      </c>
      <c r="E128" s="290" t="e">
        <f ca="1">VLOOKUP(VLOOKUP($B128,KOMBI!$A:$H,2,FALSE),data!$I$21:$J$23,2,FALSE)</f>
        <v>#NUM!</v>
      </c>
      <c r="F128" s="290" t="e">
        <f ca="1">VLOOKUP(VLOOKUP($B128,KOMBI!$A:$H,5,FALSE),data!$I$39:$J$41,2,FALSE)</f>
        <v>#NUM!</v>
      </c>
      <c r="G128" s="290" t="e">
        <f ca="1">VLOOKUP(VLOOKUP($B128,KOMBI!$A:$H,4,FALSE),data!$I$32:$J$36,2,FALSE)</f>
        <v>#NUM!</v>
      </c>
      <c r="I128" s="51" t="e">
        <f ca="1">VLOOKUP($B128,KOMBI!$A:$Z,MATCH(I$5,KOMBI!$10:$10,0),FALSE)</f>
        <v>#NUM!</v>
      </c>
      <c r="J128" s="291" t="e">
        <f ca="1">VLOOKUP($B128,KOMBI!$A:$ADS,J$3,FALSE)</f>
        <v>#NUM!</v>
      </c>
      <c r="K128" s="291" t="e">
        <f ca="1">VLOOKUP($B128,KOMBI!$A:$ADS,K$3,FALSE)</f>
        <v>#NUM!</v>
      </c>
      <c r="L128" s="291" t="e">
        <f ca="1">VLOOKUP($B128,KOMBI!$A:$ADS,L$3,FALSE)</f>
        <v>#NUM!</v>
      </c>
      <c r="M128" s="291" t="e">
        <f ca="1">VLOOKUP($B128,KOMBI!$A:$ADS,M$3,FALSE)</f>
        <v>#NUM!</v>
      </c>
      <c r="N128" s="291" t="e">
        <f ca="1">VLOOKUP($B128,KOMBI!$A:$ADS,N$3,FALSE)</f>
        <v>#NUM!</v>
      </c>
      <c r="O128" s="291" t="e">
        <f ca="1">VLOOKUP($B128,KOMBI!$A:$ADS,O$3,FALSE)</f>
        <v>#NUM!</v>
      </c>
      <c r="P128" s="291" t="e">
        <f ca="1">VLOOKUP($B128,KOMBI!$A:$ADS,P$3,FALSE)</f>
        <v>#NUM!</v>
      </c>
      <c r="Q128" s="292" t="e">
        <f t="array" aca="1" ref="Q128" ca="1">VLOOKUP($B128,KOMBI!$A:$ADS,MATCH(Tulem!Q$3,KOMBI!$A$1:$ADS$1,0),FALSE)</f>
        <v>#NUM!</v>
      </c>
      <c r="S128" s="332" t="e">
        <f t="array" aca="1" ref="S128" ca="1">VLOOKUP($B128,KOMBI!$A:$ADS,MATCH(Tulem!S$3,KOMBI!$A$1:$ADS$1,0),FALSE)</f>
        <v>#NUM!</v>
      </c>
      <c r="T128" s="293" t="e">
        <f ca="1">VLOOKUP($B128,KOMBI!$A:$ADS,T$3,FALSE)</f>
        <v>#NUM!</v>
      </c>
      <c r="U128" s="293" t="e">
        <f ca="1">VLOOKUP($B128,KOMBI!$A:$ADS,U$3,FALSE)</f>
        <v>#NUM!</v>
      </c>
      <c r="V128" s="293" t="e">
        <f ca="1">VLOOKUP($B128,KOMBI!$A:$ADS,V$3,FALSE)</f>
        <v>#NUM!</v>
      </c>
      <c r="W128" s="293"/>
      <c r="X128" s="293" t="e">
        <f ca="1">VLOOKUP($B128,KOMBI!$A:$ADS,X$3,FALSE)</f>
        <v>#NUM!</v>
      </c>
      <c r="Y128" s="293" t="e">
        <f ca="1">VLOOKUP($B128,KOMBI!$A:$ADS,Y$3,FALSE)</f>
        <v>#NUM!</v>
      </c>
      <c r="Z128" s="293" t="e">
        <f ca="1">VLOOKUP($B128,KOMBI!$A:$ADS,Z$3,FALSE)</f>
        <v>#NUM!</v>
      </c>
      <c r="AA128" s="294"/>
      <c r="AB128" s="293" t="e">
        <f ca="1">VLOOKUP($B128,KOMBI!$A:$ADS,AB$3,FALSE)</f>
        <v>#NUM!</v>
      </c>
      <c r="AC128" s="293" t="e">
        <f ca="1">VLOOKUP($B128,KOMBI!$A:$ADS,AC$3,FALSE)-AB128</f>
        <v>#NUM!</v>
      </c>
      <c r="AD128" s="293" t="e">
        <f ca="1">VLOOKUP($B128,KOMBI!$A:$ADS,AD$3,FALSE)</f>
        <v>#NUM!</v>
      </c>
      <c r="AE128" s="293" t="e">
        <f ca="1">VLOOKUP($B128,KOMBI!$A:$ADS,AE$3,FALSE)</f>
        <v>#NUM!</v>
      </c>
      <c r="AF128" s="293" t="e">
        <f ca="1">VLOOKUP($B128,KOMBI!$A:$ADS,AF$3,FALSE)-AE128</f>
        <v>#NUM!</v>
      </c>
      <c r="AG128" s="293" t="e">
        <f ca="1">VLOOKUP($B128,KOMBI!$A:$ADS,AG$3,FALSE)</f>
        <v>#NUM!</v>
      </c>
      <c r="AI128" s="293" t="e">
        <f t="array" aca="1" ref="AI128" ca="1">VLOOKUP($B128,KOMBI!$A:$ADS,MATCH(Tulem!AI$3,KOMBI!$A$1:$ADS$1,0),FALSE)</f>
        <v>#NUM!</v>
      </c>
      <c r="AJ128" s="293" t="e">
        <f t="array" aca="1" ref="AJ128" ca="1">VLOOKUP($B128,KOMBI!$A:$ADS,MATCH(Tulem!AJ$3,KOMBI!$A$1:$ADS$1,0),FALSE)</f>
        <v>#NUM!</v>
      </c>
      <c r="AK128" s="293" t="e">
        <f t="array" aca="1" ref="AK128" ca="1">VLOOKUP($B128,KOMBI!$A:$ADS,MATCH(Tulem!AK$3,KOMBI!$A$1:$ADS$1,0),FALSE)</f>
        <v>#NUM!</v>
      </c>
      <c r="AL128" s="293" t="e">
        <f t="array" aca="1" ref="AL128" ca="1">VLOOKUP($B128,KOMBI!$A:$ADS,MATCH(Tulem!AL$3,KOMBI!$A$1:$ADS$1,0),FALSE)</f>
        <v>#NUM!</v>
      </c>
      <c r="AM128" s="293" t="e">
        <f t="array" aca="1" ref="AM128" ca="1">VLOOKUP($B128,KOMBI!$A:$ADS,MATCH(Tulem!AM$3,KOMBI!$A$1:$ADS$1,0),FALSE)</f>
        <v>#NUM!</v>
      </c>
      <c r="AN128" s="293" t="e">
        <f t="array" aca="1" ref="AN128" ca="1">VLOOKUP($B128,KOMBI!$A:$ADS,MATCH(Tulem!AN$3,KOMBI!$A$1:$ADS$1,0),FALSE)</f>
        <v>#NUM!</v>
      </c>
      <c r="AO128" s="293" t="e">
        <f t="array" aca="1" ref="AO128" ca="1">VLOOKUP($B128,KOMBI!$A:$ADS,MATCH(Tulem!AO$3,KOMBI!$A$1:$ADS$1,0),FALSE)</f>
        <v>#NUM!</v>
      </c>
      <c r="AP128" s="293" t="e">
        <f t="array" aca="1" ref="AP128" ca="1">VLOOKUP($B128,KOMBI!$A:$ADS,MATCH(Tulem!AP$3,KOMBI!$A$1:$ADS$1,0),FALSE)</f>
        <v>#NUM!</v>
      </c>
      <c r="AQ128" s="293" t="e">
        <f t="array" aca="1" ref="AQ128" ca="1">VLOOKUP($B128,KOMBI!$A:$ADS,MATCH(Tulem!AQ$3,KOMBI!$A$1:$ADS$1,0),FALSE)</f>
        <v>#NUM!</v>
      </c>
      <c r="AR128" s="293" t="e">
        <f t="array" aca="1" ref="AR128" ca="1">VLOOKUP($B128,KOMBI!$A:$ADS,MATCH(Tulem!AR$3,KOMBI!$A$1:$ADS$1,0),FALSE)</f>
        <v>#NUM!</v>
      </c>
      <c r="AS128" s="293" t="e">
        <f t="array" aca="1" ref="AS128" ca="1">VLOOKUP($B128,KOMBI!$A:$ADS,MATCH(Tulem!AS$3,KOMBI!$A$1:$ADS$1,0),FALSE)</f>
        <v>#NUM!</v>
      </c>
      <c r="AT128" s="293" t="e">
        <f t="array" aca="1" ref="AT128" ca="1">VLOOKUP($B128,KOMBI!$A:$ADS,MATCH(Tulem!AT$3,KOMBI!$A$1:$ADS$1,0),FALSE)</f>
        <v>#NUM!</v>
      </c>
      <c r="AU128" s="293" t="e">
        <f t="array" aca="1" ref="AU128" ca="1">VLOOKUP($B128,KOMBI!$A:$ADS,MATCH(Tulem!AU$3,KOMBI!$A$1:$ADS$1,0),FALSE)</f>
        <v>#NUM!</v>
      </c>
      <c r="AV128" s="293" t="e">
        <f t="shared" ca="1" si="4"/>
        <v>#NUM!</v>
      </c>
      <c r="AW128" s="293" t="e">
        <f t="shared" ca="1" si="5"/>
        <v>#NUM!</v>
      </c>
      <c r="AX128" s="291" t="e">
        <f ca="1">VLOOKUP($B128,KOMBI!$A:$ACA,MATCH(AX$5,KOMBI!$10:$10,0),FALSE)</f>
        <v>#NUM!</v>
      </c>
      <c r="AY128" s="292" t="e">
        <f t="array" aca="1" ref="AY128" ca="1">VLOOKUP($B128,KOMBI!$A:$ADS,MATCH(Tulem!AY$3,KOMBI!$A$1:$ADS$1,0),FALSE)</f>
        <v>#NUM!</v>
      </c>
      <c r="AZ128" s="292" t="e">
        <f t="array" aca="1" ref="AZ128" ca="1">VLOOKUP($B128,KOMBI!$A:$ADS,MATCH(Tulem!AZ$3,KOMBI!$A$1:$ADS$1,0),FALSE)</f>
        <v>#NUM!</v>
      </c>
      <c r="BA128" s="292" t="e">
        <f t="array" aca="1" ref="BA128" ca="1">VLOOKUP($B128,KOMBI!$A:$ADS,MATCH(Tulem!BA$3,KOMBI!$A$1:$ADS$1,0),FALSE)</f>
        <v>#NUM!</v>
      </c>
      <c r="BB128" s="292" t="e">
        <f t="array" aca="1" ref="BB128" ca="1">VLOOKUP($B128,KOMBI!$A:$ADS,MATCH(Tulem!BB$3,KOMBI!$A$1:$ADS$1,0),FALSE)</f>
        <v>#NUM!</v>
      </c>
      <c r="BC128" s="292" t="e">
        <f t="array" aca="1" ref="BC128" ca="1">VLOOKUP($B128,KOMBI!$A:$ADS,MATCH(Tulem!BC$3,KOMBI!$A$1:$ADS$1,0),FALSE)</f>
        <v>#NUM!</v>
      </c>
      <c r="BD128" s="292" t="e">
        <f t="array" aca="1" ref="BD128" ca="1">VLOOKUP($B128,KOMBI!$A:$ADS,MATCH(Tulem!BD$3,KOMBI!$A$1:$ADS$1,0),FALSE)</f>
        <v>#NUM!</v>
      </c>
      <c r="BE128" s="292" t="e">
        <f t="array" aca="1" ref="BE128" ca="1">VLOOKUP($B128,KOMBI!$A:$ADS,MATCH(Tulem!BE$3,KOMBI!$A$1:$ADS$1,0),FALSE)</f>
        <v>#NUM!</v>
      </c>
      <c r="BF128" s="292" t="e">
        <f t="array" aca="1" ref="BF128" ca="1">VLOOKUP($B128,KOMBI!$A:$ADS,MATCH(Tulem!BF$3,KOMBI!$A$1:$ADS$1,0),FALSE)</f>
        <v>#NUM!</v>
      </c>
      <c r="BG128" s="292" t="e">
        <f t="array" aca="1" ref="BG128" ca="1">VLOOKUP($B128,KOMBI!$A:$ADS,MATCH(Tulem!BG$3,KOMBI!$A$1:$ADS$1,0),FALSE)</f>
        <v>#NUM!</v>
      </c>
      <c r="BH128" s="292" t="e">
        <f t="array" aca="1" ref="BH128" ca="1">VLOOKUP($B128,KOMBI!$A:$ADS,MATCH(Tulem!BH$3,KOMBI!$A$1:$ADS$1,0),FALSE)</f>
        <v>#NUM!</v>
      </c>
      <c r="BI128" s="292" t="e">
        <f t="array" aca="1" ref="BI128" ca="1">VLOOKUP($B128,KOMBI!$A:$ADS,MATCH(Tulem!BI$3,KOMBI!$A$1:$ADS$1,0),FALSE)</f>
        <v>#NUM!</v>
      </c>
      <c r="BJ128" s="292" t="e">
        <f t="array" aca="1" ref="BJ128" ca="1">VLOOKUP($B128,KOMBI!$A:$ADS,MATCH(Tulem!BJ$3,KOMBI!$A$1:$ADS$1,0),FALSE)</f>
        <v>#NUM!</v>
      </c>
      <c r="BK128" s="292" t="e">
        <f t="array" aca="1" ref="BK128" ca="1">VLOOKUP($B128,KOMBI!$A:$ADS,MATCH(Tulem!BK$3,KOMBI!$A$1:$ADS$1,0),FALSE)</f>
        <v>#NUM!</v>
      </c>
      <c r="BL128" s="292" t="e">
        <f t="array" aca="1" ref="BL128" ca="1">VLOOKUP($B128,KOMBI!$A:$ADS,MATCH(Tulem!BL$3,KOMBI!$A$1:$ADS$1,0),FALSE)</f>
        <v>#NUM!</v>
      </c>
      <c r="BM128" s="292" t="e">
        <f t="array" aca="1" ref="BM128" ca="1">VLOOKUP($B128,KOMBI!$A:$ADS,MATCH(Tulem!BM$3,KOMBI!$A$1:$ADS$1,0),FALSE)</f>
        <v>#NUM!</v>
      </c>
      <c r="BN128" s="292" t="e">
        <f t="array" aca="1" ref="BN128" ca="1">VLOOKUP($B128,KOMBI!$A:$ADS,MATCH(Tulem!BN$3,KOMBI!$A$1:$ADS$1,0),FALSE)</f>
        <v>#NUM!</v>
      </c>
      <c r="BO128" s="292" t="e">
        <f t="array" aca="1" ref="BO128" ca="1">VLOOKUP($B128,KOMBI!$A:$ADS,MATCH(Tulem!BO$3,KOMBI!$A$1:$ADS$1,0),FALSE)</f>
        <v>#NUM!</v>
      </c>
      <c r="BP128" s="291"/>
      <c r="BQ128" s="292" t="e">
        <f t="array" aca="1" ref="BQ128" ca="1">VLOOKUP($B128,KOMBI!$A:$ADS,MATCH(Tulem!BQ$3,KOMBI!$A$1:$ADS$1,0),FALSE)</f>
        <v>#NUM!</v>
      </c>
      <c r="BR128" s="292" t="e">
        <f t="array" aca="1" ref="BR128" ca="1">VLOOKUP($B128,KOMBI!$A:$ADS,MATCH(Tulem!BR$3,KOMBI!$A$1:$ADS$1,0),FALSE)</f>
        <v>#NUM!</v>
      </c>
      <c r="BS128" s="292" t="e">
        <f t="array" aca="1" ref="BS128" ca="1">VLOOKUP($B128,KOMBI!$A:$ADS,MATCH(Tulem!BS$3,KOMBI!$A$1:$ADS$1,0),FALSE)</f>
        <v>#NUM!</v>
      </c>
      <c r="BT128" s="292" t="e">
        <f t="array" aca="1" ref="BT128" ca="1">VLOOKUP($B128,KOMBI!$A:$ADS,MATCH(Tulem!BT$3,KOMBI!$A$1:$ADS$1,0),FALSE)</f>
        <v>#NUM!</v>
      </c>
      <c r="BU128" s="292" t="e">
        <f t="array" aca="1" ref="BU128" ca="1">VLOOKUP($B128,KOMBI!$A:$ADS,MATCH(Tulem!BU$3,KOMBI!$A$1:$ADS$1,0),FALSE)</f>
        <v>#NUM!</v>
      </c>
      <c r="BV128" s="291"/>
      <c r="BW128" s="292" t="e">
        <f t="array" aca="1" ref="BW128" ca="1">VLOOKUP($B128,KOMBI!$A:$ADS,MATCH(Tulem!BW$3,KOMBI!$A$1:$ADS$1,0),FALSE)</f>
        <v>#NUM!</v>
      </c>
      <c r="BX128" s="291"/>
      <c r="BY128" s="291"/>
      <c r="BZ128" s="292" t="e">
        <f t="array" aca="1" ref="BZ128" ca="1">VLOOKUP($B128,KOMBI!$A:$ADS,MATCH(Tulem!BZ$3,KOMBI!$A$1:$ADS$1,0),FALSE)</f>
        <v>#NUM!</v>
      </c>
      <c r="CA128" s="292" t="e">
        <f t="array" aca="1" ref="CA128" ca="1">VLOOKUP($B128,KOMBI!$A:$ADS,MATCH(Tulem!CA$3,KOMBI!$A$1:$ADS$1,0),FALSE)</f>
        <v>#NUM!</v>
      </c>
      <c r="CB128" s="292" t="e">
        <f t="array" aca="1" ref="CB128" ca="1">VLOOKUP($B128,KOMBI!$A:$ADS,MATCH(Tulem!CB$3,KOMBI!$A$1:$ADS$1,0),FALSE)</f>
        <v>#NUM!</v>
      </c>
      <c r="CC128" s="292" t="e">
        <f t="array" aca="1" ref="CC128" ca="1">VLOOKUP($B128,KOMBI!$A:$ADS,MATCH(Tulem!CC$3,KOMBI!$A$1:$ADS$1,0),FALSE)</f>
        <v>#NUM!</v>
      </c>
      <c r="CD128" s="292" t="e">
        <f t="array" aca="1" ref="CD128" ca="1">VLOOKUP($B128,KOMBI!$A:$ADS,MATCH(Tulem!CD$3,KOMBI!$A$1:$ADS$1,0),FALSE)</f>
        <v>#NUM!</v>
      </c>
      <c r="CF128" s="51" t="e">
        <f ca="1">VLOOKUP($B128,KOMBI!$A:$ACG,MATCH(CF$5,KOMBI!$10:$10,0),FALSE)</f>
        <v>#NUM!</v>
      </c>
    </row>
    <row r="129" spans="1:84" x14ac:dyDescent="0.2">
      <c r="A129" s="51">
        <v>124</v>
      </c>
      <c r="B129" s="51" t="e">
        <f ca="1">KOMBI!GI134</f>
        <v>#NUM!</v>
      </c>
      <c r="C129" s="51">
        <f t="shared" si="3"/>
        <v>124</v>
      </c>
      <c r="D129" s="290" t="e">
        <f ca="1">VLOOKUP(VLOOKUP($B129,KOMBI!$A:$H,3,FALSE),data!$I$27:$J$29,2,FALSE)</f>
        <v>#NUM!</v>
      </c>
      <c r="E129" s="290" t="e">
        <f ca="1">VLOOKUP(VLOOKUP($B129,KOMBI!$A:$H,2,FALSE),data!$I$21:$J$23,2,FALSE)</f>
        <v>#NUM!</v>
      </c>
      <c r="F129" s="290" t="e">
        <f ca="1">VLOOKUP(VLOOKUP($B129,KOMBI!$A:$H,5,FALSE),data!$I$39:$J$41,2,FALSE)</f>
        <v>#NUM!</v>
      </c>
      <c r="G129" s="290" t="e">
        <f ca="1">VLOOKUP(VLOOKUP($B129,KOMBI!$A:$H,4,FALSE),data!$I$32:$J$36,2,FALSE)</f>
        <v>#NUM!</v>
      </c>
      <c r="I129" s="51" t="e">
        <f ca="1">VLOOKUP($B129,KOMBI!$A:$Z,MATCH(I$5,KOMBI!$10:$10,0),FALSE)</f>
        <v>#NUM!</v>
      </c>
      <c r="J129" s="291" t="e">
        <f ca="1">VLOOKUP($B129,KOMBI!$A:$ADS,J$3,FALSE)</f>
        <v>#NUM!</v>
      </c>
      <c r="K129" s="291" t="e">
        <f ca="1">VLOOKUP($B129,KOMBI!$A:$ADS,K$3,FALSE)</f>
        <v>#NUM!</v>
      </c>
      <c r="L129" s="291" t="e">
        <f ca="1">VLOOKUP($B129,KOMBI!$A:$ADS,L$3,FALSE)</f>
        <v>#NUM!</v>
      </c>
      <c r="M129" s="291" t="e">
        <f ca="1">VLOOKUP($B129,KOMBI!$A:$ADS,M$3,FALSE)</f>
        <v>#NUM!</v>
      </c>
      <c r="N129" s="291" t="e">
        <f ca="1">VLOOKUP($B129,KOMBI!$A:$ADS,N$3,FALSE)</f>
        <v>#NUM!</v>
      </c>
      <c r="O129" s="291" t="e">
        <f ca="1">VLOOKUP($B129,KOMBI!$A:$ADS,O$3,FALSE)</f>
        <v>#NUM!</v>
      </c>
      <c r="P129" s="291" t="e">
        <f ca="1">VLOOKUP($B129,KOMBI!$A:$ADS,P$3,FALSE)</f>
        <v>#NUM!</v>
      </c>
      <c r="Q129" s="292" t="e">
        <f t="array" aca="1" ref="Q129" ca="1">VLOOKUP($B129,KOMBI!$A:$ADS,MATCH(Tulem!Q$3,KOMBI!$A$1:$ADS$1,0),FALSE)</f>
        <v>#NUM!</v>
      </c>
      <c r="S129" s="332" t="e">
        <f t="array" aca="1" ref="S129" ca="1">VLOOKUP($B129,KOMBI!$A:$ADS,MATCH(Tulem!S$3,KOMBI!$A$1:$ADS$1,0),FALSE)</f>
        <v>#NUM!</v>
      </c>
      <c r="T129" s="293" t="e">
        <f ca="1">VLOOKUP($B129,KOMBI!$A:$ADS,T$3,FALSE)</f>
        <v>#NUM!</v>
      </c>
      <c r="U129" s="293" t="e">
        <f ca="1">VLOOKUP($B129,KOMBI!$A:$ADS,U$3,FALSE)</f>
        <v>#NUM!</v>
      </c>
      <c r="V129" s="293" t="e">
        <f ca="1">VLOOKUP($B129,KOMBI!$A:$ADS,V$3,FALSE)</f>
        <v>#NUM!</v>
      </c>
      <c r="W129" s="293"/>
      <c r="X129" s="293" t="e">
        <f ca="1">VLOOKUP($B129,KOMBI!$A:$ADS,X$3,FALSE)</f>
        <v>#NUM!</v>
      </c>
      <c r="Y129" s="293" t="e">
        <f ca="1">VLOOKUP($B129,KOMBI!$A:$ADS,Y$3,FALSE)</f>
        <v>#NUM!</v>
      </c>
      <c r="Z129" s="293" t="e">
        <f ca="1">VLOOKUP($B129,KOMBI!$A:$ADS,Z$3,FALSE)</f>
        <v>#NUM!</v>
      </c>
      <c r="AA129" s="294"/>
      <c r="AB129" s="293" t="e">
        <f ca="1">VLOOKUP($B129,KOMBI!$A:$ADS,AB$3,FALSE)</f>
        <v>#NUM!</v>
      </c>
      <c r="AC129" s="293" t="e">
        <f ca="1">VLOOKUP($B129,KOMBI!$A:$ADS,AC$3,FALSE)-AB129</f>
        <v>#NUM!</v>
      </c>
      <c r="AD129" s="293" t="e">
        <f ca="1">VLOOKUP($B129,KOMBI!$A:$ADS,AD$3,FALSE)</f>
        <v>#NUM!</v>
      </c>
      <c r="AE129" s="293" t="e">
        <f ca="1">VLOOKUP($B129,KOMBI!$A:$ADS,AE$3,FALSE)</f>
        <v>#NUM!</v>
      </c>
      <c r="AF129" s="293" t="e">
        <f ca="1">VLOOKUP($B129,KOMBI!$A:$ADS,AF$3,FALSE)-AE129</f>
        <v>#NUM!</v>
      </c>
      <c r="AG129" s="293" t="e">
        <f ca="1">VLOOKUP($B129,KOMBI!$A:$ADS,AG$3,FALSE)</f>
        <v>#NUM!</v>
      </c>
      <c r="AI129" s="293" t="e">
        <f t="array" aca="1" ref="AI129" ca="1">VLOOKUP($B129,KOMBI!$A:$ADS,MATCH(Tulem!AI$3,KOMBI!$A$1:$ADS$1,0),FALSE)</f>
        <v>#NUM!</v>
      </c>
      <c r="AJ129" s="293" t="e">
        <f t="array" aca="1" ref="AJ129" ca="1">VLOOKUP($B129,KOMBI!$A:$ADS,MATCH(Tulem!AJ$3,KOMBI!$A$1:$ADS$1,0),FALSE)</f>
        <v>#NUM!</v>
      </c>
      <c r="AK129" s="293" t="e">
        <f t="array" aca="1" ref="AK129" ca="1">VLOOKUP($B129,KOMBI!$A:$ADS,MATCH(Tulem!AK$3,KOMBI!$A$1:$ADS$1,0),FALSE)</f>
        <v>#NUM!</v>
      </c>
      <c r="AL129" s="293" t="e">
        <f t="array" aca="1" ref="AL129" ca="1">VLOOKUP($B129,KOMBI!$A:$ADS,MATCH(Tulem!AL$3,KOMBI!$A$1:$ADS$1,0),FALSE)</f>
        <v>#NUM!</v>
      </c>
      <c r="AM129" s="293" t="e">
        <f t="array" aca="1" ref="AM129" ca="1">VLOOKUP($B129,KOMBI!$A:$ADS,MATCH(Tulem!AM$3,KOMBI!$A$1:$ADS$1,0),FALSE)</f>
        <v>#NUM!</v>
      </c>
      <c r="AN129" s="293" t="e">
        <f t="array" aca="1" ref="AN129" ca="1">VLOOKUP($B129,KOMBI!$A:$ADS,MATCH(Tulem!AN$3,KOMBI!$A$1:$ADS$1,0),FALSE)</f>
        <v>#NUM!</v>
      </c>
      <c r="AO129" s="293" t="e">
        <f t="array" aca="1" ref="AO129" ca="1">VLOOKUP($B129,KOMBI!$A:$ADS,MATCH(Tulem!AO$3,KOMBI!$A$1:$ADS$1,0),FALSE)</f>
        <v>#NUM!</v>
      </c>
      <c r="AP129" s="293" t="e">
        <f t="array" aca="1" ref="AP129" ca="1">VLOOKUP($B129,KOMBI!$A:$ADS,MATCH(Tulem!AP$3,KOMBI!$A$1:$ADS$1,0),FALSE)</f>
        <v>#NUM!</v>
      </c>
      <c r="AQ129" s="293" t="e">
        <f t="array" aca="1" ref="AQ129" ca="1">VLOOKUP($B129,KOMBI!$A:$ADS,MATCH(Tulem!AQ$3,KOMBI!$A$1:$ADS$1,0),FALSE)</f>
        <v>#NUM!</v>
      </c>
      <c r="AR129" s="293" t="e">
        <f t="array" aca="1" ref="AR129" ca="1">VLOOKUP($B129,KOMBI!$A:$ADS,MATCH(Tulem!AR$3,KOMBI!$A$1:$ADS$1,0),FALSE)</f>
        <v>#NUM!</v>
      </c>
      <c r="AS129" s="293" t="e">
        <f t="array" aca="1" ref="AS129" ca="1">VLOOKUP($B129,KOMBI!$A:$ADS,MATCH(Tulem!AS$3,KOMBI!$A$1:$ADS$1,0),FALSE)</f>
        <v>#NUM!</v>
      </c>
      <c r="AT129" s="293" t="e">
        <f t="array" aca="1" ref="AT129" ca="1">VLOOKUP($B129,KOMBI!$A:$ADS,MATCH(Tulem!AT$3,KOMBI!$A$1:$ADS$1,0),FALSE)</f>
        <v>#NUM!</v>
      </c>
      <c r="AU129" s="293" t="e">
        <f t="array" aca="1" ref="AU129" ca="1">VLOOKUP($B129,KOMBI!$A:$ADS,MATCH(Tulem!AU$3,KOMBI!$A$1:$ADS$1,0),FALSE)</f>
        <v>#NUM!</v>
      </c>
      <c r="AV129" s="293" t="e">
        <f t="shared" ca="1" si="4"/>
        <v>#NUM!</v>
      </c>
      <c r="AW129" s="293" t="e">
        <f t="shared" ca="1" si="5"/>
        <v>#NUM!</v>
      </c>
      <c r="AX129" s="291" t="e">
        <f ca="1">VLOOKUP($B129,KOMBI!$A:$ACA,MATCH(AX$5,KOMBI!$10:$10,0),FALSE)</f>
        <v>#NUM!</v>
      </c>
      <c r="AY129" s="292" t="e">
        <f t="array" aca="1" ref="AY129" ca="1">VLOOKUP($B129,KOMBI!$A:$ADS,MATCH(Tulem!AY$3,KOMBI!$A$1:$ADS$1,0),FALSE)</f>
        <v>#NUM!</v>
      </c>
      <c r="AZ129" s="292" t="e">
        <f t="array" aca="1" ref="AZ129" ca="1">VLOOKUP($B129,KOMBI!$A:$ADS,MATCH(Tulem!AZ$3,KOMBI!$A$1:$ADS$1,0),FALSE)</f>
        <v>#NUM!</v>
      </c>
      <c r="BA129" s="292" t="e">
        <f t="array" aca="1" ref="BA129" ca="1">VLOOKUP($B129,KOMBI!$A:$ADS,MATCH(Tulem!BA$3,KOMBI!$A$1:$ADS$1,0),FALSE)</f>
        <v>#NUM!</v>
      </c>
      <c r="BB129" s="292" t="e">
        <f t="array" aca="1" ref="BB129" ca="1">VLOOKUP($B129,KOMBI!$A:$ADS,MATCH(Tulem!BB$3,KOMBI!$A$1:$ADS$1,0),FALSE)</f>
        <v>#NUM!</v>
      </c>
      <c r="BC129" s="292" t="e">
        <f t="array" aca="1" ref="BC129" ca="1">VLOOKUP($B129,KOMBI!$A:$ADS,MATCH(Tulem!BC$3,KOMBI!$A$1:$ADS$1,0),FALSE)</f>
        <v>#NUM!</v>
      </c>
      <c r="BD129" s="292" t="e">
        <f t="array" aca="1" ref="BD129" ca="1">VLOOKUP($B129,KOMBI!$A:$ADS,MATCH(Tulem!BD$3,KOMBI!$A$1:$ADS$1,0),FALSE)</f>
        <v>#NUM!</v>
      </c>
      <c r="BE129" s="292" t="e">
        <f t="array" aca="1" ref="BE129" ca="1">VLOOKUP($B129,KOMBI!$A:$ADS,MATCH(Tulem!BE$3,KOMBI!$A$1:$ADS$1,0),FALSE)</f>
        <v>#NUM!</v>
      </c>
      <c r="BF129" s="292" t="e">
        <f t="array" aca="1" ref="BF129" ca="1">VLOOKUP($B129,KOMBI!$A:$ADS,MATCH(Tulem!BF$3,KOMBI!$A$1:$ADS$1,0),FALSE)</f>
        <v>#NUM!</v>
      </c>
      <c r="BG129" s="292" t="e">
        <f t="array" aca="1" ref="BG129" ca="1">VLOOKUP($B129,KOMBI!$A:$ADS,MATCH(Tulem!BG$3,KOMBI!$A$1:$ADS$1,0),FALSE)</f>
        <v>#NUM!</v>
      </c>
      <c r="BH129" s="292" t="e">
        <f t="array" aca="1" ref="BH129" ca="1">VLOOKUP($B129,KOMBI!$A:$ADS,MATCH(Tulem!BH$3,KOMBI!$A$1:$ADS$1,0),FALSE)</f>
        <v>#NUM!</v>
      </c>
      <c r="BI129" s="292" t="e">
        <f t="array" aca="1" ref="BI129" ca="1">VLOOKUP($B129,KOMBI!$A:$ADS,MATCH(Tulem!BI$3,KOMBI!$A$1:$ADS$1,0),FALSE)</f>
        <v>#NUM!</v>
      </c>
      <c r="BJ129" s="292" t="e">
        <f t="array" aca="1" ref="BJ129" ca="1">VLOOKUP($B129,KOMBI!$A:$ADS,MATCH(Tulem!BJ$3,KOMBI!$A$1:$ADS$1,0),FALSE)</f>
        <v>#NUM!</v>
      </c>
      <c r="BK129" s="292" t="e">
        <f t="array" aca="1" ref="BK129" ca="1">VLOOKUP($B129,KOMBI!$A:$ADS,MATCH(Tulem!BK$3,KOMBI!$A$1:$ADS$1,0),FALSE)</f>
        <v>#NUM!</v>
      </c>
      <c r="BL129" s="292" t="e">
        <f t="array" aca="1" ref="BL129" ca="1">VLOOKUP($B129,KOMBI!$A:$ADS,MATCH(Tulem!BL$3,KOMBI!$A$1:$ADS$1,0),FALSE)</f>
        <v>#NUM!</v>
      </c>
      <c r="BM129" s="292" t="e">
        <f t="array" aca="1" ref="BM129" ca="1">VLOOKUP($B129,KOMBI!$A:$ADS,MATCH(Tulem!BM$3,KOMBI!$A$1:$ADS$1,0),FALSE)</f>
        <v>#NUM!</v>
      </c>
      <c r="BN129" s="292" t="e">
        <f t="array" aca="1" ref="BN129" ca="1">VLOOKUP($B129,KOMBI!$A:$ADS,MATCH(Tulem!BN$3,KOMBI!$A$1:$ADS$1,0),FALSE)</f>
        <v>#NUM!</v>
      </c>
      <c r="BO129" s="292" t="e">
        <f t="array" aca="1" ref="BO129" ca="1">VLOOKUP($B129,KOMBI!$A:$ADS,MATCH(Tulem!BO$3,KOMBI!$A$1:$ADS$1,0),FALSE)</f>
        <v>#NUM!</v>
      </c>
      <c r="BP129" s="291"/>
      <c r="BQ129" s="292" t="e">
        <f t="array" aca="1" ref="BQ129" ca="1">VLOOKUP($B129,KOMBI!$A:$ADS,MATCH(Tulem!BQ$3,KOMBI!$A$1:$ADS$1,0),FALSE)</f>
        <v>#NUM!</v>
      </c>
      <c r="BR129" s="292" t="e">
        <f t="array" aca="1" ref="BR129" ca="1">VLOOKUP($B129,KOMBI!$A:$ADS,MATCH(Tulem!BR$3,KOMBI!$A$1:$ADS$1,0),FALSE)</f>
        <v>#NUM!</v>
      </c>
      <c r="BS129" s="292" t="e">
        <f t="array" aca="1" ref="BS129" ca="1">VLOOKUP($B129,KOMBI!$A:$ADS,MATCH(Tulem!BS$3,KOMBI!$A$1:$ADS$1,0),FALSE)</f>
        <v>#NUM!</v>
      </c>
      <c r="BT129" s="292" t="e">
        <f t="array" aca="1" ref="BT129" ca="1">VLOOKUP($B129,KOMBI!$A:$ADS,MATCH(Tulem!BT$3,KOMBI!$A$1:$ADS$1,0),FALSE)</f>
        <v>#NUM!</v>
      </c>
      <c r="BU129" s="292" t="e">
        <f t="array" aca="1" ref="BU129" ca="1">VLOOKUP($B129,KOMBI!$A:$ADS,MATCH(Tulem!BU$3,KOMBI!$A$1:$ADS$1,0),FALSE)</f>
        <v>#NUM!</v>
      </c>
      <c r="BV129" s="291"/>
      <c r="BW129" s="292" t="e">
        <f t="array" aca="1" ref="BW129" ca="1">VLOOKUP($B129,KOMBI!$A:$ADS,MATCH(Tulem!BW$3,KOMBI!$A$1:$ADS$1,0),FALSE)</f>
        <v>#NUM!</v>
      </c>
      <c r="BX129" s="291"/>
      <c r="BY129" s="291"/>
      <c r="BZ129" s="292" t="e">
        <f t="array" aca="1" ref="BZ129" ca="1">VLOOKUP($B129,KOMBI!$A:$ADS,MATCH(Tulem!BZ$3,KOMBI!$A$1:$ADS$1,0),FALSE)</f>
        <v>#NUM!</v>
      </c>
      <c r="CA129" s="292" t="e">
        <f t="array" aca="1" ref="CA129" ca="1">VLOOKUP($B129,KOMBI!$A:$ADS,MATCH(Tulem!CA$3,KOMBI!$A$1:$ADS$1,0),FALSE)</f>
        <v>#NUM!</v>
      </c>
      <c r="CB129" s="292" t="e">
        <f t="array" aca="1" ref="CB129" ca="1">VLOOKUP($B129,KOMBI!$A:$ADS,MATCH(Tulem!CB$3,KOMBI!$A$1:$ADS$1,0),FALSE)</f>
        <v>#NUM!</v>
      </c>
      <c r="CC129" s="292" t="e">
        <f t="array" aca="1" ref="CC129" ca="1">VLOOKUP($B129,KOMBI!$A:$ADS,MATCH(Tulem!CC$3,KOMBI!$A$1:$ADS$1,0),FALSE)</f>
        <v>#NUM!</v>
      </c>
      <c r="CD129" s="292" t="e">
        <f t="array" aca="1" ref="CD129" ca="1">VLOOKUP($B129,KOMBI!$A:$ADS,MATCH(Tulem!CD$3,KOMBI!$A$1:$ADS$1,0),FALSE)</f>
        <v>#NUM!</v>
      </c>
      <c r="CF129" s="51" t="e">
        <f ca="1">VLOOKUP($B129,KOMBI!$A:$ACG,MATCH(CF$5,KOMBI!$10:$10,0),FALSE)</f>
        <v>#NUM!</v>
      </c>
    </row>
    <row r="130" spans="1:84" x14ac:dyDescent="0.2">
      <c r="A130" s="51">
        <v>125</v>
      </c>
      <c r="B130" s="51" t="e">
        <f ca="1">KOMBI!GI135</f>
        <v>#NUM!</v>
      </c>
      <c r="C130" s="51">
        <f t="shared" si="3"/>
        <v>125</v>
      </c>
      <c r="D130" s="290" t="e">
        <f ca="1">VLOOKUP(VLOOKUP($B130,KOMBI!$A:$H,3,FALSE),data!$I$27:$J$29,2,FALSE)</f>
        <v>#NUM!</v>
      </c>
      <c r="E130" s="290" t="e">
        <f ca="1">VLOOKUP(VLOOKUP($B130,KOMBI!$A:$H,2,FALSE),data!$I$21:$J$23,2,FALSE)</f>
        <v>#NUM!</v>
      </c>
      <c r="F130" s="290" t="e">
        <f ca="1">VLOOKUP(VLOOKUP($B130,KOMBI!$A:$H,5,FALSE),data!$I$39:$J$41,2,FALSE)</f>
        <v>#NUM!</v>
      </c>
      <c r="G130" s="290" t="e">
        <f ca="1">VLOOKUP(VLOOKUP($B130,KOMBI!$A:$H,4,FALSE),data!$I$32:$J$36,2,FALSE)</f>
        <v>#NUM!</v>
      </c>
      <c r="I130" s="51" t="e">
        <f ca="1">VLOOKUP($B130,KOMBI!$A:$Z,MATCH(I$5,KOMBI!$10:$10,0),FALSE)</f>
        <v>#NUM!</v>
      </c>
      <c r="J130" s="291" t="e">
        <f ca="1">VLOOKUP($B130,KOMBI!$A:$ADS,J$3,FALSE)</f>
        <v>#NUM!</v>
      </c>
      <c r="K130" s="291" t="e">
        <f ca="1">VLOOKUP($B130,KOMBI!$A:$ADS,K$3,FALSE)</f>
        <v>#NUM!</v>
      </c>
      <c r="L130" s="291" t="e">
        <f ca="1">VLOOKUP($B130,KOMBI!$A:$ADS,L$3,FALSE)</f>
        <v>#NUM!</v>
      </c>
      <c r="M130" s="291" t="e">
        <f ca="1">VLOOKUP($B130,KOMBI!$A:$ADS,M$3,FALSE)</f>
        <v>#NUM!</v>
      </c>
      <c r="N130" s="291" t="e">
        <f ca="1">VLOOKUP($B130,KOMBI!$A:$ADS,N$3,FALSE)</f>
        <v>#NUM!</v>
      </c>
      <c r="O130" s="291" t="e">
        <f ca="1">VLOOKUP($B130,KOMBI!$A:$ADS,O$3,FALSE)</f>
        <v>#NUM!</v>
      </c>
      <c r="P130" s="291" t="e">
        <f ca="1">VLOOKUP($B130,KOMBI!$A:$ADS,P$3,FALSE)</f>
        <v>#NUM!</v>
      </c>
      <c r="Q130" s="292" t="e">
        <f t="array" aca="1" ref="Q130" ca="1">VLOOKUP($B130,KOMBI!$A:$ADS,MATCH(Tulem!Q$3,KOMBI!$A$1:$ADS$1,0),FALSE)</f>
        <v>#NUM!</v>
      </c>
      <c r="S130" s="332" t="e">
        <f t="array" aca="1" ref="S130" ca="1">VLOOKUP($B130,KOMBI!$A:$ADS,MATCH(Tulem!S$3,KOMBI!$A$1:$ADS$1,0),FALSE)</f>
        <v>#NUM!</v>
      </c>
      <c r="T130" s="293" t="e">
        <f ca="1">VLOOKUP($B130,KOMBI!$A:$ADS,T$3,FALSE)</f>
        <v>#NUM!</v>
      </c>
      <c r="U130" s="293" t="e">
        <f ca="1">VLOOKUP($B130,KOMBI!$A:$ADS,U$3,FALSE)</f>
        <v>#NUM!</v>
      </c>
      <c r="V130" s="293" t="e">
        <f ca="1">VLOOKUP($B130,KOMBI!$A:$ADS,V$3,FALSE)</f>
        <v>#NUM!</v>
      </c>
      <c r="W130" s="293"/>
      <c r="X130" s="293" t="e">
        <f ca="1">VLOOKUP($B130,KOMBI!$A:$ADS,X$3,FALSE)</f>
        <v>#NUM!</v>
      </c>
      <c r="Y130" s="293" t="e">
        <f ca="1">VLOOKUP($B130,KOMBI!$A:$ADS,Y$3,FALSE)</f>
        <v>#NUM!</v>
      </c>
      <c r="Z130" s="293" t="e">
        <f ca="1">VLOOKUP($B130,KOMBI!$A:$ADS,Z$3,FALSE)</f>
        <v>#NUM!</v>
      </c>
      <c r="AA130" s="294"/>
      <c r="AB130" s="293" t="e">
        <f ca="1">VLOOKUP($B130,KOMBI!$A:$ADS,AB$3,FALSE)</f>
        <v>#NUM!</v>
      </c>
      <c r="AC130" s="293" t="e">
        <f ca="1">VLOOKUP($B130,KOMBI!$A:$ADS,AC$3,FALSE)-AB130</f>
        <v>#NUM!</v>
      </c>
      <c r="AD130" s="293" t="e">
        <f ca="1">VLOOKUP($B130,KOMBI!$A:$ADS,AD$3,FALSE)</f>
        <v>#NUM!</v>
      </c>
      <c r="AE130" s="293" t="e">
        <f ca="1">VLOOKUP($B130,KOMBI!$A:$ADS,AE$3,FALSE)</f>
        <v>#NUM!</v>
      </c>
      <c r="AF130" s="293" t="e">
        <f ca="1">VLOOKUP($B130,KOMBI!$A:$ADS,AF$3,FALSE)-AE130</f>
        <v>#NUM!</v>
      </c>
      <c r="AG130" s="293" t="e">
        <f ca="1">VLOOKUP($B130,KOMBI!$A:$ADS,AG$3,FALSE)</f>
        <v>#NUM!</v>
      </c>
      <c r="AI130" s="293" t="e">
        <f t="array" aca="1" ref="AI130" ca="1">VLOOKUP($B130,KOMBI!$A:$ADS,MATCH(Tulem!AI$3,KOMBI!$A$1:$ADS$1,0),FALSE)</f>
        <v>#NUM!</v>
      </c>
      <c r="AJ130" s="293" t="e">
        <f t="array" aca="1" ref="AJ130" ca="1">VLOOKUP($B130,KOMBI!$A:$ADS,MATCH(Tulem!AJ$3,KOMBI!$A$1:$ADS$1,0),FALSE)</f>
        <v>#NUM!</v>
      </c>
      <c r="AK130" s="293" t="e">
        <f t="array" aca="1" ref="AK130" ca="1">VLOOKUP($B130,KOMBI!$A:$ADS,MATCH(Tulem!AK$3,KOMBI!$A$1:$ADS$1,0),FALSE)</f>
        <v>#NUM!</v>
      </c>
      <c r="AL130" s="293" t="e">
        <f t="array" aca="1" ref="AL130" ca="1">VLOOKUP($B130,KOMBI!$A:$ADS,MATCH(Tulem!AL$3,KOMBI!$A$1:$ADS$1,0),FALSE)</f>
        <v>#NUM!</v>
      </c>
      <c r="AM130" s="293" t="e">
        <f t="array" aca="1" ref="AM130" ca="1">VLOOKUP($B130,KOMBI!$A:$ADS,MATCH(Tulem!AM$3,KOMBI!$A$1:$ADS$1,0),FALSE)</f>
        <v>#NUM!</v>
      </c>
      <c r="AN130" s="293" t="e">
        <f t="array" aca="1" ref="AN130" ca="1">VLOOKUP($B130,KOMBI!$A:$ADS,MATCH(Tulem!AN$3,KOMBI!$A$1:$ADS$1,0),FALSE)</f>
        <v>#NUM!</v>
      </c>
      <c r="AO130" s="293" t="e">
        <f t="array" aca="1" ref="AO130" ca="1">VLOOKUP($B130,KOMBI!$A:$ADS,MATCH(Tulem!AO$3,KOMBI!$A$1:$ADS$1,0),FALSE)</f>
        <v>#NUM!</v>
      </c>
      <c r="AP130" s="293" t="e">
        <f t="array" aca="1" ref="AP130" ca="1">VLOOKUP($B130,KOMBI!$A:$ADS,MATCH(Tulem!AP$3,KOMBI!$A$1:$ADS$1,0),FALSE)</f>
        <v>#NUM!</v>
      </c>
      <c r="AQ130" s="293" t="e">
        <f t="array" aca="1" ref="AQ130" ca="1">VLOOKUP($B130,KOMBI!$A:$ADS,MATCH(Tulem!AQ$3,KOMBI!$A$1:$ADS$1,0),FALSE)</f>
        <v>#NUM!</v>
      </c>
      <c r="AR130" s="293" t="e">
        <f t="array" aca="1" ref="AR130" ca="1">VLOOKUP($B130,KOMBI!$A:$ADS,MATCH(Tulem!AR$3,KOMBI!$A$1:$ADS$1,0),FALSE)</f>
        <v>#NUM!</v>
      </c>
      <c r="AS130" s="293" t="e">
        <f t="array" aca="1" ref="AS130" ca="1">VLOOKUP($B130,KOMBI!$A:$ADS,MATCH(Tulem!AS$3,KOMBI!$A$1:$ADS$1,0),FALSE)</f>
        <v>#NUM!</v>
      </c>
      <c r="AT130" s="293" t="e">
        <f t="array" aca="1" ref="AT130" ca="1">VLOOKUP($B130,KOMBI!$A:$ADS,MATCH(Tulem!AT$3,KOMBI!$A$1:$ADS$1,0),FALSE)</f>
        <v>#NUM!</v>
      </c>
      <c r="AU130" s="293" t="e">
        <f t="array" aca="1" ref="AU130" ca="1">VLOOKUP($B130,KOMBI!$A:$ADS,MATCH(Tulem!AU$3,KOMBI!$A$1:$ADS$1,0),FALSE)</f>
        <v>#NUM!</v>
      </c>
      <c r="AV130" s="293" t="e">
        <f t="shared" ca="1" si="4"/>
        <v>#NUM!</v>
      </c>
      <c r="AW130" s="293" t="e">
        <f t="shared" ca="1" si="5"/>
        <v>#NUM!</v>
      </c>
      <c r="AX130" s="291" t="e">
        <f ca="1">VLOOKUP($B130,KOMBI!$A:$ACA,MATCH(AX$5,KOMBI!$10:$10,0),FALSE)</f>
        <v>#NUM!</v>
      </c>
      <c r="AY130" s="292" t="e">
        <f t="array" aca="1" ref="AY130" ca="1">VLOOKUP($B130,KOMBI!$A:$ADS,MATCH(Tulem!AY$3,KOMBI!$A$1:$ADS$1,0),FALSE)</f>
        <v>#NUM!</v>
      </c>
      <c r="AZ130" s="292" t="e">
        <f t="array" aca="1" ref="AZ130" ca="1">VLOOKUP($B130,KOMBI!$A:$ADS,MATCH(Tulem!AZ$3,KOMBI!$A$1:$ADS$1,0),FALSE)</f>
        <v>#NUM!</v>
      </c>
      <c r="BA130" s="292" t="e">
        <f t="array" aca="1" ref="BA130" ca="1">VLOOKUP($B130,KOMBI!$A:$ADS,MATCH(Tulem!BA$3,KOMBI!$A$1:$ADS$1,0),FALSE)</f>
        <v>#NUM!</v>
      </c>
      <c r="BB130" s="292" t="e">
        <f t="array" aca="1" ref="BB130" ca="1">VLOOKUP($B130,KOMBI!$A:$ADS,MATCH(Tulem!BB$3,KOMBI!$A$1:$ADS$1,0),FALSE)</f>
        <v>#NUM!</v>
      </c>
      <c r="BC130" s="292" t="e">
        <f t="array" aca="1" ref="BC130" ca="1">VLOOKUP($B130,KOMBI!$A:$ADS,MATCH(Tulem!BC$3,KOMBI!$A$1:$ADS$1,0),FALSE)</f>
        <v>#NUM!</v>
      </c>
      <c r="BD130" s="292" t="e">
        <f t="array" aca="1" ref="BD130" ca="1">VLOOKUP($B130,KOMBI!$A:$ADS,MATCH(Tulem!BD$3,KOMBI!$A$1:$ADS$1,0),FALSE)</f>
        <v>#NUM!</v>
      </c>
      <c r="BE130" s="292" t="e">
        <f t="array" aca="1" ref="BE130" ca="1">VLOOKUP($B130,KOMBI!$A:$ADS,MATCH(Tulem!BE$3,KOMBI!$A$1:$ADS$1,0),FALSE)</f>
        <v>#NUM!</v>
      </c>
      <c r="BF130" s="292" t="e">
        <f t="array" aca="1" ref="BF130" ca="1">VLOOKUP($B130,KOMBI!$A:$ADS,MATCH(Tulem!BF$3,KOMBI!$A$1:$ADS$1,0),FALSE)</f>
        <v>#NUM!</v>
      </c>
      <c r="BG130" s="292" t="e">
        <f t="array" aca="1" ref="BG130" ca="1">VLOOKUP($B130,KOMBI!$A:$ADS,MATCH(Tulem!BG$3,KOMBI!$A$1:$ADS$1,0),FALSE)</f>
        <v>#NUM!</v>
      </c>
      <c r="BH130" s="292" t="e">
        <f t="array" aca="1" ref="BH130" ca="1">VLOOKUP($B130,KOMBI!$A:$ADS,MATCH(Tulem!BH$3,KOMBI!$A$1:$ADS$1,0),FALSE)</f>
        <v>#NUM!</v>
      </c>
      <c r="BI130" s="292" t="e">
        <f t="array" aca="1" ref="BI130" ca="1">VLOOKUP($B130,KOMBI!$A:$ADS,MATCH(Tulem!BI$3,KOMBI!$A$1:$ADS$1,0),FALSE)</f>
        <v>#NUM!</v>
      </c>
      <c r="BJ130" s="292" t="e">
        <f t="array" aca="1" ref="BJ130" ca="1">VLOOKUP($B130,KOMBI!$A:$ADS,MATCH(Tulem!BJ$3,KOMBI!$A$1:$ADS$1,0),FALSE)</f>
        <v>#NUM!</v>
      </c>
      <c r="BK130" s="292" t="e">
        <f t="array" aca="1" ref="BK130" ca="1">VLOOKUP($B130,KOMBI!$A:$ADS,MATCH(Tulem!BK$3,KOMBI!$A$1:$ADS$1,0),FALSE)</f>
        <v>#NUM!</v>
      </c>
      <c r="BL130" s="292" t="e">
        <f t="array" aca="1" ref="BL130" ca="1">VLOOKUP($B130,KOMBI!$A:$ADS,MATCH(Tulem!BL$3,KOMBI!$A$1:$ADS$1,0),FALSE)</f>
        <v>#NUM!</v>
      </c>
      <c r="BM130" s="292" t="e">
        <f t="array" aca="1" ref="BM130" ca="1">VLOOKUP($B130,KOMBI!$A:$ADS,MATCH(Tulem!BM$3,KOMBI!$A$1:$ADS$1,0),FALSE)</f>
        <v>#NUM!</v>
      </c>
      <c r="BN130" s="292" t="e">
        <f t="array" aca="1" ref="BN130" ca="1">VLOOKUP($B130,KOMBI!$A:$ADS,MATCH(Tulem!BN$3,KOMBI!$A$1:$ADS$1,0),FALSE)</f>
        <v>#NUM!</v>
      </c>
      <c r="BO130" s="292" t="e">
        <f t="array" aca="1" ref="BO130" ca="1">VLOOKUP($B130,KOMBI!$A:$ADS,MATCH(Tulem!BO$3,KOMBI!$A$1:$ADS$1,0),FALSE)</f>
        <v>#NUM!</v>
      </c>
      <c r="BP130" s="291"/>
      <c r="BQ130" s="292" t="e">
        <f t="array" aca="1" ref="BQ130" ca="1">VLOOKUP($B130,KOMBI!$A:$ADS,MATCH(Tulem!BQ$3,KOMBI!$A$1:$ADS$1,0),FALSE)</f>
        <v>#NUM!</v>
      </c>
      <c r="BR130" s="292" t="e">
        <f t="array" aca="1" ref="BR130" ca="1">VLOOKUP($B130,KOMBI!$A:$ADS,MATCH(Tulem!BR$3,KOMBI!$A$1:$ADS$1,0),FALSE)</f>
        <v>#NUM!</v>
      </c>
      <c r="BS130" s="292" t="e">
        <f t="array" aca="1" ref="BS130" ca="1">VLOOKUP($B130,KOMBI!$A:$ADS,MATCH(Tulem!BS$3,KOMBI!$A$1:$ADS$1,0),FALSE)</f>
        <v>#NUM!</v>
      </c>
      <c r="BT130" s="292" t="e">
        <f t="array" aca="1" ref="BT130" ca="1">VLOOKUP($B130,KOMBI!$A:$ADS,MATCH(Tulem!BT$3,KOMBI!$A$1:$ADS$1,0),FALSE)</f>
        <v>#NUM!</v>
      </c>
      <c r="BU130" s="292" t="e">
        <f t="array" aca="1" ref="BU130" ca="1">VLOOKUP($B130,KOMBI!$A:$ADS,MATCH(Tulem!BU$3,KOMBI!$A$1:$ADS$1,0),FALSE)</f>
        <v>#NUM!</v>
      </c>
      <c r="BV130" s="291"/>
      <c r="BW130" s="292" t="e">
        <f t="array" aca="1" ref="BW130" ca="1">VLOOKUP($B130,KOMBI!$A:$ADS,MATCH(Tulem!BW$3,KOMBI!$A$1:$ADS$1,0),FALSE)</f>
        <v>#NUM!</v>
      </c>
      <c r="BX130" s="291"/>
      <c r="BY130" s="291"/>
      <c r="BZ130" s="292" t="e">
        <f t="array" aca="1" ref="BZ130" ca="1">VLOOKUP($B130,KOMBI!$A:$ADS,MATCH(Tulem!BZ$3,KOMBI!$A$1:$ADS$1,0),FALSE)</f>
        <v>#NUM!</v>
      </c>
      <c r="CA130" s="292" t="e">
        <f t="array" aca="1" ref="CA130" ca="1">VLOOKUP($B130,KOMBI!$A:$ADS,MATCH(Tulem!CA$3,KOMBI!$A$1:$ADS$1,0),FALSE)</f>
        <v>#NUM!</v>
      </c>
      <c r="CB130" s="292" t="e">
        <f t="array" aca="1" ref="CB130" ca="1">VLOOKUP($B130,KOMBI!$A:$ADS,MATCH(Tulem!CB$3,KOMBI!$A$1:$ADS$1,0),FALSE)</f>
        <v>#NUM!</v>
      </c>
      <c r="CC130" s="292" t="e">
        <f t="array" aca="1" ref="CC130" ca="1">VLOOKUP($B130,KOMBI!$A:$ADS,MATCH(Tulem!CC$3,KOMBI!$A$1:$ADS$1,0),FALSE)</f>
        <v>#NUM!</v>
      </c>
      <c r="CD130" s="292" t="e">
        <f t="array" aca="1" ref="CD130" ca="1">VLOOKUP($B130,KOMBI!$A:$ADS,MATCH(Tulem!CD$3,KOMBI!$A$1:$ADS$1,0),FALSE)</f>
        <v>#NUM!</v>
      </c>
      <c r="CF130" s="51" t="e">
        <f ca="1">VLOOKUP($B130,KOMBI!$A:$ACG,MATCH(CF$5,KOMBI!$10:$10,0),FALSE)</f>
        <v>#NUM!</v>
      </c>
    </row>
    <row r="131" spans="1:84" x14ac:dyDescent="0.2">
      <c r="A131" s="51">
        <v>126</v>
      </c>
      <c r="B131" s="51" t="e">
        <f ca="1">KOMBI!GI136</f>
        <v>#NUM!</v>
      </c>
      <c r="C131" s="51">
        <f t="shared" si="3"/>
        <v>126</v>
      </c>
      <c r="D131" s="290" t="e">
        <f ca="1">VLOOKUP(VLOOKUP($B131,KOMBI!$A:$H,3,FALSE),data!$I$27:$J$29,2,FALSE)</f>
        <v>#NUM!</v>
      </c>
      <c r="E131" s="290" t="e">
        <f ca="1">VLOOKUP(VLOOKUP($B131,KOMBI!$A:$H,2,FALSE),data!$I$21:$J$23,2,FALSE)</f>
        <v>#NUM!</v>
      </c>
      <c r="F131" s="290" t="e">
        <f ca="1">VLOOKUP(VLOOKUP($B131,KOMBI!$A:$H,5,FALSE),data!$I$39:$J$41,2,FALSE)</f>
        <v>#NUM!</v>
      </c>
      <c r="G131" s="290" t="e">
        <f ca="1">VLOOKUP(VLOOKUP($B131,KOMBI!$A:$H,4,FALSE),data!$I$32:$J$36,2,FALSE)</f>
        <v>#NUM!</v>
      </c>
      <c r="I131" s="51" t="e">
        <f ca="1">VLOOKUP($B131,KOMBI!$A:$Z,MATCH(I$5,KOMBI!$10:$10,0),FALSE)</f>
        <v>#NUM!</v>
      </c>
      <c r="J131" s="291" t="e">
        <f ca="1">VLOOKUP($B131,KOMBI!$A:$ADS,J$3,FALSE)</f>
        <v>#NUM!</v>
      </c>
      <c r="K131" s="291" t="e">
        <f ca="1">VLOOKUP($B131,KOMBI!$A:$ADS,K$3,FALSE)</f>
        <v>#NUM!</v>
      </c>
      <c r="L131" s="291" t="e">
        <f ca="1">VLOOKUP($B131,KOMBI!$A:$ADS,L$3,FALSE)</f>
        <v>#NUM!</v>
      </c>
      <c r="M131" s="291" t="e">
        <f ca="1">VLOOKUP($B131,KOMBI!$A:$ADS,M$3,FALSE)</f>
        <v>#NUM!</v>
      </c>
      <c r="N131" s="291" t="e">
        <f ca="1">VLOOKUP($B131,KOMBI!$A:$ADS,N$3,FALSE)</f>
        <v>#NUM!</v>
      </c>
      <c r="O131" s="291" t="e">
        <f ca="1">VLOOKUP($B131,KOMBI!$A:$ADS,O$3,FALSE)</f>
        <v>#NUM!</v>
      </c>
      <c r="P131" s="291" t="e">
        <f ca="1">VLOOKUP($B131,KOMBI!$A:$ADS,P$3,FALSE)</f>
        <v>#NUM!</v>
      </c>
      <c r="Q131" s="292" t="e">
        <f t="array" aca="1" ref="Q131" ca="1">VLOOKUP($B131,KOMBI!$A:$ADS,MATCH(Tulem!Q$3,KOMBI!$A$1:$ADS$1,0),FALSE)</f>
        <v>#NUM!</v>
      </c>
      <c r="S131" s="332" t="e">
        <f t="array" aca="1" ref="S131" ca="1">VLOOKUP($B131,KOMBI!$A:$ADS,MATCH(Tulem!S$3,KOMBI!$A$1:$ADS$1,0),FALSE)</f>
        <v>#NUM!</v>
      </c>
      <c r="T131" s="293" t="e">
        <f ca="1">VLOOKUP($B131,KOMBI!$A:$ADS,T$3,FALSE)</f>
        <v>#NUM!</v>
      </c>
      <c r="U131" s="293" t="e">
        <f ca="1">VLOOKUP($B131,KOMBI!$A:$ADS,U$3,FALSE)</f>
        <v>#NUM!</v>
      </c>
      <c r="V131" s="293" t="e">
        <f ca="1">VLOOKUP($B131,KOMBI!$A:$ADS,V$3,FALSE)</f>
        <v>#NUM!</v>
      </c>
      <c r="W131" s="293"/>
      <c r="X131" s="293" t="e">
        <f ca="1">VLOOKUP($B131,KOMBI!$A:$ADS,X$3,FALSE)</f>
        <v>#NUM!</v>
      </c>
      <c r="Y131" s="293" t="e">
        <f ca="1">VLOOKUP($B131,KOMBI!$A:$ADS,Y$3,FALSE)</f>
        <v>#NUM!</v>
      </c>
      <c r="Z131" s="293" t="e">
        <f ca="1">VLOOKUP($B131,KOMBI!$A:$ADS,Z$3,FALSE)</f>
        <v>#NUM!</v>
      </c>
      <c r="AA131" s="294"/>
      <c r="AB131" s="293" t="e">
        <f ca="1">VLOOKUP($B131,KOMBI!$A:$ADS,AB$3,FALSE)</f>
        <v>#NUM!</v>
      </c>
      <c r="AC131" s="293" t="e">
        <f ca="1">VLOOKUP($B131,KOMBI!$A:$ADS,AC$3,FALSE)-AB131</f>
        <v>#NUM!</v>
      </c>
      <c r="AD131" s="293" t="e">
        <f ca="1">VLOOKUP($B131,KOMBI!$A:$ADS,AD$3,FALSE)</f>
        <v>#NUM!</v>
      </c>
      <c r="AE131" s="293" t="e">
        <f ca="1">VLOOKUP($B131,KOMBI!$A:$ADS,AE$3,FALSE)</f>
        <v>#NUM!</v>
      </c>
      <c r="AF131" s="293" t="e">
        <f ca="1">VLOOKUP($B131,KOMBI!$A:$ADS,AF$3,FALSE)-AE131</f>
        <v>#NUM!</v>
      </c>
      <c r="AG131" s="293" t="e">
        <f ca="1">VLOOKUP($B131,KOMBI!$A:$ADS,AG$3,FALSE)</f>
        <v>#NUM!</v>
      </c>
      <c r="AI131" s="293" t="e">
        <f t="array" aca="1" ref="AI131" ca="1">VLOOKUP($B131,KOMBI!$A:$ADS,MATCH(Tulem!AI$3,KOMBI!$A$1:$ADS$1,0),FALSE)</f>
        <v>#NUM!</v>
      </c>
      <c r="AJ131" s="293" t="e">
        <f t="array" aca="1" ref="AJ131" ca="1">VLOOKUP($B131,KOMBI!$A:$ADS,MATCH(Tulem!AJ$3,KOMBI!$A$1:$ADS$1,0),FALSE)</f>
        <v>#NUM!</v>
      </c>
      <c r="AK131" s="293" t="e">
        <f t="array" aca="1" ref="AK131" ca="1">VLOOKUP($B131,KOMBI!$A:$ADS,MATCH(Tulem!AK$3,KOMBI!$A$1:$ADS$1,0),FALSE)</f>
        <v>#NUM!</v>
      </c>
      <c r="AL131" s="293" t="e">
        <f t="array" aca="1" ref="AL131" ca="1">VLOOKUP($B131,KOMBI!$A:$ADS,MATCH(Tulem!AL$3,KOMBI!$A$1:$ADS$1,0),FALSE)</f>
        <v>#NUM!</v>
      </c>
      <c r="AM131" s="293" t="e">
        <f t="array" aca="1" ref="AM131" ca="1">VLOOKUP($B131,KOMBI!$A:$ADS,MATCH(Tulem!AM$3,KOMBI!$A$1:$ADS$1,0),FALSE)</f>
        <v>#NUM!</v>
      </c>
      <c r="AN131" s="293" t="e">
        <f t="array" aca="1" ref="AN131" ca="1">VLOOKUP($B131,KOMBI!$A:$ADS,MATCH(Tulem!AN$3,KOMBI!$A$1:$ADS$1,0),FALSE)</f>
        <v>#NUM!</v>
      </c>
      <c r="AO131" s="293" t="e">
        <f t="array" aca="1" ref="AO131" ca="1">VLOOKUP($B131,KOMBI!$A:$ADS,MATCH(Tulem!AO$3,KOMBI!$A$1:$ADS$1,0),FALSE)</f>
        <v>#NUM!</v>
      </c>
      <c r="AP131" s="293" t="e">
        <f t="array" aca="1" ref="AP131" ca="1">VLOOKUP($B131,KOMBI!$A:$ADS,MATCH(Tulem!AP$3,KOMBI!$A$1:$ADS$1,0),FALSE)</f>
        <v>#NUM!</v>
      </c>
      <c r="AQ131" s="293" t="e">
        <f t="array" aca="1" ref="AQ131" ca="1">VLOOKUP($B131,KOMBI!$A:$ADS,MATCH(Tulem!AQ$3,KOMBI!$A$1:$ADS$1,0),FALSE)</f>
        <v>#NUM!</v>
      </c>
      <c r="AR131" s="293" t="e">
        <f t="array" aca="1" ref="AR131" ca="1">VLOOKUP($B131,KOMBI!$A:$ADS,MATCH(Tulem!AR$3,KOMBI!$A$1:$ADS$1,0),FALSE)</f>
        <v>#NUM!</v>
      </c>
      <c r="AS131" s="293" t="e">
        <f t="array" aca="1" ref="AS131" ca="1">VLOOKUP($B131,KOMBI!$A:$ADS,MATCH(Tulem!AS$3,KOMBI!$A$1:$ADS$1,0),FALSE)</f>
        <v>#NUM!</v>
      </c>
      <c r="AT131" s="293" t="e">
        <f t="array" aca="1" ref="AT131" ca="1">VLOOKUP($B131,KOMBI!$A:$ADS,MATCH(Tulem!AT$3,KOMBI!$A$1:$ADS$1,0),FALSE)</f>
        <v>#NUM!</v>
      </c>
      <c r="AU131" s="293" t="e">
        <f t="array" aca="1" ref="AU131" ca="1">VLOOKUP($B131,KOMBI!$A:$ADS,MATCH(Tulem!AU$3,KOMBI!$A$1:$ADS$1,0),FALSE)</f>
        <v>#NUM!</v>
      </c>
      <c r="AV131" s="293" t="e">
        <f t="shared" ca="1" si="4"/>
        <v>#NUM!</v>
      </c>
      <c r="AW131" s="293" t="e">
        <f t="shared" ca="1" si="5"/>
        <v>#NUM!</v>
      </c>
      <c r="AX131" s="291" t="e">
        <f ca="1">VLOOKUP($B131,KOMBI!$A:$ACA,MATCH(AX$5,KOMBI!$10:$10,0),FALSE)</f>
        <v>#NUM!</v>
      </c>
      <c r="AY131" s="292" t="e">
        <f t="array" aca="1" ref="AY131" ca="1">VLOOKUP($B131,KOMBI!$A:$ADS,MATCH(Tulem!AY$3,KOMBI!$A$1:$ADS$1,0),FALSE)</f>
        <v>#NUM!</v>
      </c>
      <c r="AZ131" s="292" t="e">
        <f t="array" aca="1" ref="AZ131" ca="1">VLOOKUP($B131,KOMBI!$A:$ADS,MATCH(Tulem!AZ$3,KOMBI!$A$1:$ADS$1,0),FALSE)</f>
        <v>#NUM!</v>
      </c>
      <c r="BA131" s="292" t="e">
        <f t="array" aca="1" ref="BA131" ca="1">VLOOKUP($B131,KOMBI!$A:$ADS,MATCH(Tulem!BA$3,KOMBI!$A$1:$ADS$1,0),FALSE)</f>
        <v>#NUM!</v>
      </c>
      <c r="BB131" s="292" t="e">
        <f t="array" aca="1" ref="BB131" ca="1">VLOOKUP($B131,KOMBI!$A:$ADS,MATCH(Tulem!BB$3,KOMBI!$A$1:$ADS$1,0),FALSE)</f>
        <v>#NUM!</v>
      </c>
      <c r="BC131" s="292" t="e">
        <f t="array" aca="1" ref="BC131" ca="1">VLOOKUP($B131,KOMBI!$A:$ADS,MATCH(Tulem!BC$3,KOMBI!$A$1:$ADS$1,0),FALSE)</f>
        <v>#NUM!</v>
      </c>
      <c r="BD131" s="292" t="e">
        <f t="array" aca="1" ref="BD131" ca="1">VLOOKUP($B131,KOMBI!$A:$ADS,MATCH(Tulem!BD$3,KOMBI!$A$1:$ADS$1,0),FALSE)</f>
        <v>#NUM!</v>
      </c>
      <c r="BE131" s="292" t="e">
        <f t="array" aca="1" ref="BE131" ca="1">VLOOKUP($B131,KOMBI!$A:$ADS,MATCH(Tulem!BE$3,KOMBI!$A$1:$ADS$1,0),FALSE)</f>
        <v>#NUM!</v>
      </c>
      <c r="BF131" s="292" t="e">
        <f t="array" aca="1" ref="BF131" ca="1">VLOOKUP($B131,KOMBI!$A:$ADS,MATCH(Tulem!BF$3,KOMBI!$A$1:$ADS$1,0),FALSE)</f>
        <v>#NUM!</v>
      </c>
      <c r="BG131" s="292" t="e">
        <f t="array" aca="1" ref="BG131" ca="1">VLOOKUP($B131,KOMBI!$A:$ADS,MATCH(Tulem!BG$3,KOMBI!$A$1:$ADS$1,0),FALSE)</f>
        <v>#NUM!</v>
      </c>
      <c r="BH131" s="292" t="e">
        <f t="array" aca="1" ref="BH131" ca="1">VLOOKUP($B131,KOMBI!$A:$ADS,MATCH(Tulem!BH$3,KOMBI!$A$1:$ADS$1,0),FALSE)</f>
        <v>#NUM!</v>
      </c>
      <c r="BI131" s="292" t="e">
        <f t="array" aca="1" ref="BI131" ca="1">VLOOKUP($B131,KOMBI!$A:$ADS,MATCH(Tulem!BI$3,KOMBI!$A$1:$ADS$1,0),FALSE)</f>
        <v>#NUM!</v>
      </c>
      <c r="BJ131" s="292" t="e">
        <f t="array" aca="1" ref="BJ131" ca="1">VLOOKUP($B131,KOMBI!$A:$ADS,MATCH(Tulem!BJ$3,KOMBI!$A$1:$ADS$1,0),FALSE)</f>
        <v>#NUM!</v>
      </c>
      <c r="BK131" s="292" t="e">
        <f t="array" aca="1" ref="BK131" ca="1">VLOOKUP($B131,KOMBI!$A:$ADS,MATCH(Tulem!BK$3,KOMBI!$A$1:$ADS$1,0),FALSE)</f>
        <v>#NUM!</v>
      </c>
      <c r="BL131" s="292" t="e">
        <f t="array" aca="1" ref="BL131" ca="1">VLOOKUP($B131,KOMBI!$A:$ADS,MATCH(Tulem!BL$3,KOMBI!$A$1:$ADS$1,0),FALSE)</f>
        <v>#NUM!</v>
      </c>
      <c r="BM131" s="292" t="e">
        <f t="array" aca="1" ref="BM131" ca="1">VLOOKUP($B131,KOMBI!$A:$ADS,MATCH(Tulem!BM$3,KOMBI!$A$1:$ADS$1,0),FALSE)</f>
        <v>#NUM!</v>
      </c>
      <c r="BN131" s="292" t="e">
        <f t="array" aca="1" ref="BN131" ca="1">VLOOKUP($B131,KOMBI!$A:$ADS,MATCH(Tulem!BN$3,KOMBI!$A$1:$ADS$1,0),FALSE)</f>
        <v>#NUM!</v>
      </c>
      <c r="BO131" s="292" t="e">
        <f t="array" aca="1" ref="BO131" ca="1">VLOOKUP($B131,KOMBI!$A:$ADS,MATCH(Tulem!BO$3,KOMBI!$A$1:$ADS$1,0),FALSE)</f>
        <v>#NUM!</v>
      </c>
      <c r="BP131" s="291"/>
      <c r="BQ131" s="292" t="e">
        <f t="array" aca="1" ref="BQ131" ca="1">VLOOKUP($B131,KOMBI!$A:$ADS,MATCH(Tulem!BQ$3,KOMBI!$A$1:$ADS$1,0),FALSE)</f>
        <v>#NUM!</v>
      </c>
      <c r="BR131" s="292" t="e">
        <f t="array" aca="1" ref="BR131" ca="1">VLOOKUP($B131,KOMBI!$A:$ADS,MATCH(Tulem!BR$3,KOMBI!$A$1:$ADS$1,0),FALSE)</f>
        <v>#NUM!</v>
      </c>
      <c r="BS131" s="292" t="e">
        <f t="array" aca="1" ref="BS131" ca="1">VLOOKUP($B131,KOMBI!$A:$ADS,MATCH(Tulem!BS$3,KOMBI!$A$1:$ADS$1,0),FALSE)</f>
        <v>#NUM!</v>
      </c>
      <c r="BT131" s="292" t="e">
        <f t="array" aca="1" ref="BT131" ca="1">VLOOKUP($B131,KOMBI!$A:$ADS,MATCH(Tulem!BT$3,KOMBI!$A$1:$ADS$1,0),FALSE)</f>
        <v>#NUM!</v>
      </c>
      <c r="BU131" s="292" t="e">
        <f t="array" aca="1" ref="BU131" ca="1">VLOOKUP($B131,KOMBI!$A:$ADS,MATCH(Tulem!BU$3,KOMBI!$A$1:$ADS$1,0),FALSE)</f>
        <v>#NUM!</v>
      </c>
      <c r="BV131" s="291"/>
      <c r="BW131" s="292" t="e">
        <f t="array" aca="1" ref="BW131" ca="1">VLOOKUP($B131,KOMBI!$A:$ADS,MATCH(Tulem!BW$3,KOMBI!$A$1:$ADS$1,0),FALSE)</f>
        <v>#NUM!</v>
      </c>
      <c r="BX131" s="291"/>
      <c r="BY131" s="291"/>
      <c r="BZ131" s="292" t="e">
        <f t="array" aca="1" ref="BZ131" ca="1">VLOOKUP($B131,KOMBI!$A:$ADS,MATCH(Tulem!BZ$3,KOMBI!$A$1:$ADS$1,0),FALSE)</f>
        <v>#NUM!</v>
      </c>
      <c r="CA131" s="292" t="e">
        <f t="array" aca="1" ref="CA131" ca="1">VLOOKUP($B131,KOMBI!$A:$ADS,MATCH(Tulem!CA$3,KOMBI!$A$1:$ADS$1,0),FALSE)</f>
        <v>#NUM!</v>
      </c>
      <c r="CB131" s="292" t="e">
        <f t="array" aca="1" ref="CB131" ca="1">VLOOKUP($B131,KOMBI!$A:$ADS,MATCH(Tulem!CB$3,KOMBI!$A$1:$ADS$1,0),FALSE)</f>
        <v>#NUM!</v>
      </c>
      <c r="CC131" s="292" t="e">
        <f t="array" aca="1" ref="CC131" ca="1">VLOOKUP($B131,KOMBI!$A:$ADS,MATCH(Tulem!CC$3,KOMBI!$A$1:$ADS$1,0),FALSE)</f>
        <v>#NUM!</v>
      </c>
      <c r="CD131" s="292" t="e">
        <f t="array" aca="1" ref="CD131" ca="1">VLOOKUP($B131,KOMBI!$A:$ADS,MATCH(Tulem!CD$3,KOMBI!$A$1:$ADS$1,0),FALSE)</f>
        <v>#NUM!</v>
      </c>
      <c r="CF131" s="51" t="e">
        <f ca="1">VLOOKUP($B131,KOMBI!$A:$ACG,MATCH(CF$5,KOMBI!$10:$10,0),FALSE)</f>
        <v>#NUM!</v>
      </c>
    </row>
    <row r="132" spans="1:84" x14ac:dyDescent="0.2">
      <c r="A132" s="51">
        <v>127</v>
      </c>
      <c r="B132" s="51" t="e">
        <f ca="1">KOMBI!GI137</f>
        <v>#NUM!</v>
      </c>
      <c r="C132" s="51">
        <f t="shared" si="3"/>
        <v>127</v>
      </c>
      <c r="D132" s="290" t="e">
        <f ca="1">VLOOKUP(VLOOKUP($B132,KOMBI!$A:$H,3,FALSE),data!$I$27:$J$29,2,FALSE)</f>
        <v>#NUM!</v>
      </c>
      <c r="E132" s="290" t="e">
        <f ca="1">VLOOKUP(VLOOKUP($B132,KOMBI!$A:$H,2,FALSE),data!$I$21:$J$23,2,FALSE)</f>
        <v>#NUM!</v>
      </c>
      <c r="F132" s="290" t="e">
        <f ca="1">VLOOKUP(VLOOKUP($B132,KOMBI!$A:$H,5,FALSE),data!$I$39:$J$41,2,FALSE)</f>
        <v>#NUM!</v>
      </c>
      <c r="G132" s="290" t="e">
        <f ca="1">VLOOKUP(VLOOKUP($B132,KOMBI!$A:$H,4,FALSE),data!$I$32:$J$36,2,FALSE)</f>
        <v>#NUM!</v>
      </c>
      <c r="I132" s="51" t="e">
        <f ca="1">VLOOKUP($B132,KOMBI!$A:$Z,MATCH(I$5,KOMBI!$10:$10,0),FALSE)</f>
        <v>#NUM!</v>
      </c>
      <c r="J132" s="291" t="e">
        <f ca="1">VLOOKUP($B132,KOMBI!$A:$ADS,J$3,FALSE)</f>
        <v>#NUM!</v>
      </c>
      <c r="K132" s="291" t="e">
        <f ca="1">VLOOKUP($B132,KOMBI!$A:$ADS,K$3,FALSE)</f>
        <v>#NUM!</v>
      </c>
      <c r="L132" s="291" t="e">
        <f ca="1">VLOOKUP($B132,KOMBI!$A:$ADS,L$3,FALSE)</f>
        <v>#NUM!</v>
      </c>
      <c r="M132" s="291" t="e">
        <f ca="1">VLOOKUP($B132,KOMBI!$A:$ADS,M$3,FALSE)</f>
        <v>#NUM!</v>
      </c>
      <c r="N132" s="291" t="e">
        <f ca="1">VLOOKUP($B132,KOMBI!$A:$ADS,N$3,FALSE)</f>
        <v>#NUM!</v>
      </c>
      <c r="O132" s="291" t="e">
        <f ca="1">VLOOKUP($B132,KOMBI!$A:$ADS,O$3,FALSE)</f>
        <v>#NUM!</v>
      </c>
      <c r="P132" s="291" t="e">
        <f ca="1">VLOOKUP($B132,KOMBI!$A:$ADS,P$3,FALSE)</f>
        <v>#NUM!</v>
      </c>
      <c r="Q132" s="292" t="e">
        <f t="array" aca="1" ref="Q132" ca="1">VLOOKUP($B132,KOMBI!$A:$ADS,MATCH(Tulem!Q$3,KOMBI!$A$1:$ADS$1,0),FALSE)</f>
        <v>#NUM!</v>
      </c>
      <c r="S132" s="332" t="e">
        <f t="array" aca="1" ref="S132" ca="1">VLOOKUP($B132,KOMBI!$A:$ADS,MATCH(Tulem!S$3,KOMBI!$A$1:$ADS$1,0),FALSE)</f>
        <v>#NUM!</v>
      </c>
      <c r="T132" s="293" t="e">
        <f ca="1">VLOOKUP($B132,KOMBI!$A:$ADS,T$3,FALSE)</f>
        <v>#NUM!</v>
      </c>
      <c r="U132" s="293" t="e">
        <f ca="1">VLOOKUP($B132,KOMBI!$A:$ADS,U$3,FALSE)</f>
        <v>#NUM!</v>
      </c>
      <c r="V132" s="293" t="e">
        <f ca="1">VLOOKUP($B132,KOMBI!$A:$ADS,V$3,FALSE)</f>
        <v>#NUM!</v>
      </c>
      <c r="W132" s="293"/>
      <c r="X132" s="293" t="e">
        <f ca="1">VLOOKUP($B132,KOMBI!$A:$ADS,X$3,FALSE)</f>
        <v>#NUM!</v>
      </c>
      <c r="Y132" s="293" t="e">
        <f ca="1">VLOOKUP($B132,KOMBI!$A:$ADS,Y$3,FALSE)</f>
        <v>#NUM!</v>
      </c>
      <c r="Z132" s="293" t="e">
        <f ca="1">VLOOKUP($B132,KOMBI!$A:$ADS,Z$3,FALSE)</f>
        <v>#NUM!</v>
      </c>
      <c r="AA132" s="294"/>
      <c r="AB132" s="293" t="e">
        <f ca="1">VLOOKUP($B132,KOMBI!$A:$ADS,AB$3,FALSE)</f>
        <v>#NUM!</v>
      </c>
      <c r="AC132" s="293" t="e">
        <f ca="1">VLOOKUP($B132,KOMBI!$A:$ADS,AC$3,FALSE)-AB132</f>
        <v>#NUM!</v>
      </c>
      <c r="AD132" s="293" t="e">
        <f ca="1">VLOOKUP($B132,KOMBI!$A:$ADS,AD$3,FALSE)</f>
        <v>#NUM!</v>
      </c>
      <c r="AE132" s="293" t="e">
        <f ca="1">VLOOKUP($B132,KOMBI!$A:$ADS,AE$3,FALSE)</f>
        <v>#NUM!</v>
      </c>
      <c r="AF132" s="293" t="e">
        <f ca="1">VLOOKUP($B132,KOMBI!$A:$ADS,AF$3,FALSE)-AE132</f>
        <v>#NUM!</v>
      </c>
      <c r="AG132" s="293" t="e">
        <f ca="1">VLOOKUP($B132,KOMBI!$A:$ADS,AG$3,FALSE)</f>
        <v>#NUM!</v>
      </c>
      <c r="AI132" s="293" t="e">
        <f t="array" aca="1" ref="AI132" ca="1">VLOOKUP($B132,KOMBI!$A:$ADS,MATCH(Tulem!AI$3,KOMBI!$A$1:$ADS$1,0),FALSE)</f>
        <v>#NUM!</v>
      </c>
      <c r="AJ132" s="293" t="e">
        <f t="array" aca="1" ref="AJ132" ca="1">VLOOKUP($B132,KOMBI!$A:$ADS,MATCH(Tulem!AJ$3,KOMBI!$A$1:$ADS$1,0),FALSE)</f>
        <v>#NUM!</v>
      </c>
      <c r="AK132" s="293" t="e">
        <f t="array" aca="1" ref="AK132" ca="1">VLOOKUP($B132,KOMBI!$A:$ADS,MATCH(Tulem!AK$3,KOMBI!$A$1:$ADS$1,0),FALSE)</f>
        <v>#NUM!</v>
      </c>
      <c r="AL132" s="293" t="e">
        <f t="array" aca="1" ref="AL132" ca="1">VLOOKUP($B132,KOMBI!$A:$ADS,MATCH(Tulem!AL$3,KOMBI!$A$1:$ADS$1,0),FALSE)</f>
        <v>#NUM!</v>
      </c>
      <c r="AM132" s="293" t="e">
        <f t="array" aca="1" ref="AM132" ca="1">VLOOKUP($B132,KOMBI!$A:$ADS,MATCH(Tulem!AM$3,KOMBI!$A$1:$ADS$1,0),FALSE)</f>
        <v>#NUM!</v>
      </c>
      <c r="AN132" s="293" t="e">
        <f t="array" aca="1" ref="AN132" ca="1">VLOOKUP($B132,KOMBI!$A:$ADS,MATCH(Tulem!AN$3,KOMBI!$A$1:$ADS$1,0),FALSE)</f>
        <v>#NUM!</v>
      </c>
      <c r="AO132" s="293" t="e">
        <f t="array" aca="1" ref="AO132" ca="1">VLOOKUP($B132,KOMBI!$A:$ADS,MATCH(Tulem!AO$3,KOMBI!$A$1:$ADS$1,0),FALSE)</f>
        <v>#NUM!</v>
      </c>
      <c r="AP132" s="293" t="e">
        <f t="array" aca="1" ref="AP132" ca="1">VLOOKUP($B132,KOMBI!$A:$ADS,MATCH(Tulem!AP$3,KOMBI!$A$1:$ADS$1,0),FALSE)</f>
        <v>#NUM!</v>
      </c>
      <c r="AQ132" s="293" t="e">
        <f t="array" aca="1" ref="AQ132" ca="1">VLOOKUP($B132,KOMBI!$A:$ADS,MATCH(Tulem!AQ$3,KOMBI!$A$1:$ADS$1,0),FALSE)</f>
        <v>#NUM!</v>
      </c>
      <c r="AR132" s="293" t="e">
        <f t="array" aca="1" ref="AR132" ca="1">VLOOKUP($B132,KOMBI!$A:$ADS,MATCH(Tulem!AR$3,KOMBI!$A$1:$ADS$1,0),FALSE)</f>
        <v>#NUM!</v>
      </c>
      <c r="AS132" s="293" t="e">
        <f t="array" aca="1" ref="AS132" ca="1">VLOOKUP($B132,KOMBI!$A:$ADS,MATCH(Tulem!AS$3,KOMBI!$A$1:$ADS$1,0),FALSE)</f>
        <v>#NUM!</v>
      </c>
      <c r="AT132" s="293" t="e">
        <f t="array" aca="1" ref="AT132" ca="1">VLOOKUP($B132,KOMBI!$A:$ADS,MATCH(Tulem!AT$3,KOMBI!$A$1:$ADS$1,0),FALSE)</f>
        <v>#NUM!</v>
      </c>
      <c r="AU132" s="293" t="e">
        <f t="array" aca="1" ref="AU132" ca="1">VLOOKUP($B132,KOMBI!$A:$ADS,MATCH(Tulem!AU$3,KOMBI!$A$1:$ADS$1,0),FALSE)</f>
        <v>#NUM!</v>
      </c>
      <c r="AV132" s="293" t="e">
        <f t="shared" ca="1" si="4"/>
        <v>#NUM!</v>
      </c>
      <c r="AW132" s="293" t="e">
        <f t="shared" ca="1" si="5"/>
        <v>#NUM!</v>
      </c>
      <c r="AX132" s="291" t="e">
        <f ca="1">VLOOKUP($B132,KOMBI!$A:$ACA,MATCH(AX$5,KOMBI!$10:$10,0),FALSE)</f>
        <v>#NUM!</v>
      </c>
      <c r="AY132" s="292" t="e">
        <f t="array" aca="1" ref="AY132" ca="1">VLOOKUP($B132,KOMBI!$A:$ADS,MATCH(Tulem!AY$3,KOMBI!$A$1:$ADS$1,0),FALSE)</f>
        <v>#NUM!</v>
      </c>
      <c r="AZ132" s="292" t="e">
        <f t="array" aca="1" ref="AZ132" ca="1">VLOOKUP($B132,KOMBI!$A:$ADS,MATCH(Tulem!AZ$3,KOMBI!$A$1:$ADS$1,0),FALSE)</f>
        <v>#NUM!</v>
      </c>
      <c r="BA132" s="292" t="e">
        <f t="array" aca="1" ref="BA132" ca="1">VLOOKUP($B132,KOMBI!$A:$ADS,MATCH(Tulem!BA$3,KOMBI!$A$1:$ADS$1,0),FALSE)</f>
        <v>#NUM!</v>
      </c>
      <c r="BB132" s="292" t="e">
        <f t="array" aca="1" ref="BB132" ca="1">VLOOKUP($B132,KOMBI!$A:$ADS,MATCH(Tulem!BB$3,KOMBI!$A$1:$ADS$1,0),FALSE)</f>
        <v>#NUM!</v>
      </c>
      <c r="BC132" s="292" t="e">
        <f t="array" aca="1" ref="BC132" ca="1">VLOOKUP($B132,KOMBI!$A:$ADS,MATCH(Tulem!BC$3,KOMBI!$A$1:$ADS$1,0),FALSE)</f>
        <v>#NUM!</v>
      </c>
      <c r="BD132" s="292" t="e">
        <f t="array" aca="1" ref="BD132" ca="1">VLOOKUP($B132,KOMBI!$A:$ADS,MATCH(Tulem!BD$3,KOMBI!$A$1:$ADS$1,0),FALSE)</f>
        <v>#NUM!</v>
      </c>
      <c r="BE132" s="292" t="e">
        <f t="array" aca="1" ref="BE132" ca="1">VLOOKUP($B132,KOMBI!$A:$ADS,MATCH(Tulem!BE$3,KOMBI!$A$1:$ADS$1,0),FALSE)</f>
        <v>#NUM!</v>
      </c>
      <c r="BF132" s="292" t="e">
        <f t="array" aca="1" ref="BF132" ca="1">VLOOKUP($B132,KOMBI!$A:$ADS,MATCH(Tulem!BF$3,KOMBI!$A$1:$ADS$1,0),FALSE)</f>
        <v>#NUM!</v>
      </c>
      <c r="BG132" s="292" t="e">
        <f t="array" aca="1" ref="BG132" ca="1">VLOOKUP($B132,KOMBI!$A:$ADS,MATCH(Tulem!BG$3,KOMBI!$A$1:$ADS$1,0),FALSE)</f>
        <v>#NUM!</v>
      </c>
      <c r="BH132" s="292" t="e">
        <f t="array" aca="1" ref="BH132" ca="1">VLOOKUP($B132,KOMBI!$A:$ADS,MATCH(Tulem!BH$3,KOMBI!$A$1:$ADS$1,0),FALSE)</f>
        <v>#NUM!</v>
      </c>
      <c r="BI132" s="292" t="e">
        <f t="array" aca="1" ref="BI132" ca="1">VLOOKUP($B132,KOMBI!$A:$ADS,MATCH(Tulem!BI$3,KOMBI!$A$1:$ADS$1,0),FALSE)</f>
        <v>#NUM!</v>
      </c>
      <c r="BJ132" s="292" t="e">
        <f t="array" aca="1" ref="BJ132" ca="1">VLOOKUP($B132,KOMBI!$A:$ADS,MATCH(Tulem!BJ$3,KOMBI!$A$1:$ADS$1,0),FALSE)</f>
        <v>#NUM!</v>
      </c>
      <c r="BK132" s="292" t="e">
        <f t="array" aca="1" ref="BK132" ca="1">VLOOKUP($B132,KOMBI!$A:$ADS,MATCH(Tulem!BK$3,KOMBI!$A$1:$ADS$1,0),FALSE)</f>
        <v>#NUM!</v>
      </c>
      <c r="BL132" s="292" t="e">
        <f t="array" aca="1" ref="BL132" ca="1">VLOOKUP($B132,KOMBI!$A:$ADS,MATCH(Tulem!BL$3,KOMBI!$A$1:$ADS$1,0),FALSE)</f>
        <v>#NUM!</v>
      </c>
      <c r="BM132" s="292" t="e">
        <f t="array" aca="1" ref="BM132" ca="1">VLOOKUP($B132,KOMBI!$A:$ADS,MATCH(Tulem!BM$3,KOMBI!$A$1:$ADS$1,0),FALSE)</f>
        <v>#NUM!</v>
      </c>
      <c r="BN132" s="292" t="e">
        <f t="array" aca="1" ref="BN132" ca="1">VLOOKUP($B132,KOMBI!$A:$ADS,MATCH(Tulem!BN$3,KOMBI!$A$1:$ADS$1,0),FALSE)</f>
        <v>#NUM!</v>
      </c>
      <c r="BO132" s="292" t="e">
        <f t="array" aca="1" ref="BO132" ca="1">VLOOKUP($B132,KOMBI!$A:$ADS,MATCH(Tulem!BO$3,KOMBI!$A$1:$ADS$1,0),FALSE)</f>
        <v>#NUM!</v>
      </c>
      <c r="BP132" s="291"/>
      <c r="BQ132" s="292" t="e">
        <f t="array" aca="1" ref="BQ132" ca="1">VLOOKUP($B132,KOMBI!$A:$ADS,MATCH(Tulem!BQ$3,KOMBI!$A$1:$ADS$1,0),FALSE)</f>
        <v>#NUM!</v>
      </c>
      <c r="BR132" s="292" t="e">
        <f t="array" aca="1" ref="BR132" ca="1">VLOOKUP($B132,KOMBI!$A:$ADS,MATCH(Tulem!BR$3,KOMBI!$A$1:$ADS$1,0),FALSE)</f>
        <v>#NUM!</v>
      </c>
      <c r="BS132" s="292" t="e">
        <f t="array" aca="1" ref="BS132" ca="1">VLOOKUP($B132,KOMBI!$A:$ADS,MATCH(Tulem!BS$3,KOMBI!$A$1:$ADS$1,0),FALSE)</f>
        <v>#NUM!</v>
      </c>
      <c r="BT132" s="292" t="e">
        <f t="array" aca="1" ref="BT132" ca="1">VLOOKUP($B132,KOMBI!$A:$ADS,MATCH(Tulem!BT$3,KOMBI!$A$1:$ADS$1,0),FALSE)</f>
        <v>#NUM!</v>
      </c>
      <c r="BU132" s="292" t="e">
        <f t="array" aca="1" ref="BU132" ca="1">VLOOKUP($B132,KOMBI!$A:$ADS,MATCH(Tulem!BU$3,KOMBI!$A$1:$ADS$1,0),FALSE)</f>
        <v>#NUM!</v>
      </c>
      <c r="BV132" s="291"/>
      <c r="BW132" s="292" t="e">
        <f t="array" aca="1" ref="BW132" ca="1">VLOOKUP($B132,KOMBI!$A:$ADS,MATCH(Tulem!BW$3,KOMBI!$A$1:$ADS$1,0),FALSE)</f>
        <v>#NUM!</v>
      </c>
      <c r="BX132" s="291"/>
      <c r="BY132" s="291"/>
      <c r="BZ132" s="292" t="e">
        <f t="array" aca="1" ref="BZ132" ca="1">VLOOKUP($B132,KOMBI!$A:$ADS,MATCH(Tulem!BZ$3,KOMBI!$A$1:$ADS$1,0),FALSE)</f>
        <v>#NUM!</v>
      </c>
      <c r="CA132" s="292" t="e">
        <f t="array" aca="1" ref="CA132" ca="1">VLOOKUP($B132,KOMBI!$A:$ADS,MATCH(Tulem!CA$3,KOMBI!$A$1:$ADS$1,0),FALSE)</f>
        <v>#NUM!</v>
      </c>
      <c r="CB132" s="292" t="e">
        <f t="array" aca="1" ref="CB132" ca="1">VLOOKUP($B132,KOMBI!$A:$ADS,MATCH(Tulem!CB$3,KOMBI!$A$1:$ADS$1,0),FALSE)</f>
        <v>#NUM!</v>
      </c>
      <c r="CC132" s="292" t="e">
        <f t="array" aca="1" ref="CC132" ca="1">VLOOKUP($B132,KOMBI!$A:$ADS,MATCH(Tulem!CC$3,KOMBI!$A$1:$ADS$1,0),FALSE)</f>
        <v>#NUM!</v>
      </c>
      <c r="CD132" s="292" t="e">
        <f t="array" aca="1" ref="CD132" ca="1">VLOOKUP($B132,KOMBI!$A:$ADS,MATCH(Tulem!CD$3,KOMBI!$A$1:$ADS$1,0),FALSE)</f>
        <v>#NUM!</v>
      </c>
      <c r="CF132" s="51" t="e">
        <f ca="1">VLOOKUP($B132,KOMBI!$A:$ACG,MATCH(CF$5,KOMBI!$10:$10,0),FALSE)</f>
        <v>#NUM!</v>
      </c>
    </row>
    <row r="133" spans="1:84" x14ac:dyDescent="0.2">
      <c r="A133" s="51">
        <v>128</v>
      </c>
      <c r="B133" s="51" t="e">
        <f ca="1">KOMBI!GI138</f>
        <v>#NUM!</v>
      </c>
      <c r="C133" s="51">
        <f t="shared" si="3"/>
        <v>128</v>
      </c>
      <c r="D133" s="290" t="e">
        <f ca="1">VLOOKUP(VLOOKUP($B133,KOMBI!$A:$H,3,FALSE),data!$I$27:$J$29,2,FALSE)</f>
        <v>#NUM!</v>
      </c>
      <c r="E133" s="290" t="e">
        <f ca="1">VLOOKUP(VLOOKUP($B133,KOMBI!$A:$H,2,FALSE),data!$I$21:$J$23,2,FALSE)</f>
        <v>#NUM!</v>
      </c>
      <c r="F133" s="290" t="e">
        <f ca="1">VLOOKUP(VLOOKUP($B133,KOMBI!$A:$H,5,FALSE),data!$I$39:$J$41,2,FALSE)</f>
        <v>#NUM!</v>
      </c>
      <c r="G133" s="290" t="e">
        <f ca="1">VLOOKUP(VLOOKUP($B133,KOMBI!$A:$H,4,FALSE),data!$I$32:$J$36,2,FALSE)</f>
        <v>#NUM!</v>
      </c>
      <c r="I133" s="51" t="e">
        <f ca="1">VLOOKUP($B133,KOMBI!$A:$Z,MATCH(I$5,KOMBI!$10:$10,0),FALSE)</f>
        <v>#NUM!</v>
      </c>
      <c r="J133" s="291" t="e">
        <f ca="1">VLOOKUP($B133,KOMBI!$A:$ADS,J$3,FALSE)</f>
        <v>#NUM!</v>
      </c>
      <c r="K133" s="291" t="e">
        <f ca="1">VLOOKUP($B133,KOMBI!$A:$ADS,K$3,FALSE)</f>
        <v>#NUM!</v>
      </c>
      <c r="L133" s="291" t="e">
        <f ca="1">VLOOKUP($B133,KOMBI!$A:$ADS,L$3,FALSE)</f>
        <v>#NUM!</v>
      </c>
      <c r="M133" s="291" t="e">
        <f ca="1">VLOOKUP($B133,KOMBI!$A:$ADS,M$3,FALSE)</f>
        <v>#NUM!</v>
      </c>
      <c r="N133" s="291" t="e">
        <f ca="1">VLOOKUP($B133,KOMBI!$A:$ADS,N$3,FALSE)</f>
        <v>#NUM!</v>
      </c>
      <c r="O133" s="291" t="e">
        <f ca="1">VLOOKUP($B133,KOMBI!$A:$ADS,O$3,FALSE)</f>
        <v>#NUM!</v>
      </c>
      <c r="P133" s="291" t="e">
        <f ca="1">VLOOKUP($B133,KOMBI!$A:$ADS,P$3,FALSE)</f>
        <v>#NUM!</v>
      </c>
      <c r="Q133" s="292" t="e">
        <f t="array" aca="1" ref="Q133" ca="1">VLOOKUP($B133,KOMBI!$A:$ADS,MATCH(Tulem!Q$3,KOMBI!$A$1:$ADS$1,0),FALSE)</f>
        <v>#NUM!</v>
      </c>
      <c r="S133" s="332" t="e">
        <f t="array" aca="1" ref="S133" ca="1">VLOOKUP($B133,KOMBI!$A:$ADS,MATCH(Tulem!S$3,KOMBI!$A$1:$ADS$1,0),FALSE)</f>
        <v>#NUM!</v>
      </c>
      <c r="T133" s="293" t="e">
        <f ca="1">VLOOKUP($B133,KOMBI!$A:$ADS,T$3,FALSE)</f>
        <v>#NUM!</v>
      </c>
      <c r="U133" s="293" t="e">
        <f ca="1">VLOOKUP($B133,KOMBI!$A:$ADS,U$3,FALSE)</f>
        <v>#NUM!</v>
      </c>
      <c r="V133" s="293" t="e">
        <f ca="1">VLOOKUP($B133,KOMBI!$A:$ADS,V$3,FALSE)</f>
        <v>#NUM!</v>
      </c>
      <c r="W133" s="293"/>
      <c r="X133" s="293" t="e">
        <f ca="1">VLOOKUP($B133,KOMBI!$A:$ADS,X$3,FALSE)</f>
        <v>#NUM!</v>
      </c>
      <c r="Y133" s="293" t="e">
        <f ca="1">VLOOKUP($B133,KOMBI!$A:$ADS,Y$3,FALSE)</f>
        <v>#NUM!</v>
      </c>
      <c r="Z133" s="293" t="e">
        <f ca="1">VLOOKUP($B133,KOMBI!$A:$ADS,Z$3,FALSE)</f>
        <v>#NUM!</v>
      </c>
      <c r="AA133" s="294"/>
      <c r="AB133" s="293" t="e">
        <f ca="1">VLOOKUP($B133,KOMBI!$A:$ADS,AB$3,FALSE)</f>
        <v>#NUM!</v>
      </c>
      <c r="AC133" s="293" t="e">
        <f ca="1">VLOOKUP($B133,KOMBI!$A:$ADS,AC$3,FALSE)-AB133</f>
        <v>#NUM!</v>
      </c>
      <c r="AD133" s="293" t="e">
        <f ca="1">VLOOKUP($B133,KOMBI!$A:$ADS,AD$3,FALSE)</f>
        <v>#NUM!</v>
      </c>
      <c r="AE133" s="293" t="e">
        <f ca="1">VLOOKUP($B133,KOMBI!$A:$ADS,AE$3,FALSE)</f>
        <v>#NUM!</v>
      </c>
      <c r="AF133" s="293" t="e">
        <f ca="1">VLOOKUP($B133,KOMBI!$A:$ADS,AF$3,FALSE)-AE133</f>
        <v>#NUM!</v>
      </c>
      <c r="AG133" s="293" t="e">
        <f ca="1">VLOOKUP($B133,KOMBI!$A:$ADS,AG$3,FALSE)</f>
        <v>#NUM!</v>
      </c>
      <c r="AI133" s="293" t="e">
        <f t="array" aca="1" ref="AI133" ca="1">VLOOKUP($B133,KOMBI!$A:$ADS,MATCH(Tulem!AI$3,KOMBI!$A$1:$ADS$1,0),FALSE)</f>
        <v>#NUM!</v>
      </c>
      <c r="AJ133" s="293" t="e">
        <f t="array" aca="1" ref="AJ133" ca="1">VLOOKUP($B133,KOMBI!$A:$ADS,MATCH(Tulem!AJ$3,KOMBI!$A$1:$ADS$1,0),FALSE)</f>
        <v>#NUM!</v>
      </c>
      <c r="AK133" s="293" t="e">
        <f t="array" aca="1" ref="AK133" ca="1">VLOOKUP($B133,KOMBI!$A:$ADS,MATCH(Tulem!AK$3,KOMBI!$A$1:$ADS$1,0),FALSE)</f>
        <v>#NUM!</v>
      </c>
      <c r="AL133" s="293" t="e">
        <f t="array" aca="1" ref="AL133" ca="1">VLOOKUP($B133,KOMBI!$A:$ADS,MATCH(Tulem!AL$3,KOMBI!$A$1:$ADS$1,0),FALSE)</f>
        <v>#NUM!</v>
      </c>
      <c r="AM133" s="293" t="e">
        <f t="array" aca="1" ref="AM133" ca="1">VLOOKUP($B133,KOMBI!$A:$ADS,MATCH(Tulem!AM$3,KOMBI!$A$1:$ADS$1,0),FALSE)</f>
        <v>#NUM!</v>
      </c>
      <c r="AN133" s="293" t="e">
        <f t="array" aca="1" ref="AN133" ca="1">VLOOKUP($B133,KOMBI!$A:$ADS,MATCH(Tulem!AN$3,KOMBI!$A$1:$ADS$1,0),FALSE)</f>
        <v>#NUM!</v>
      </c>
      <c r="AO133" s="293" t="e">
        <f t="array" aca="1" ref="AO133" ca="1">VLOOKUP($B133,KOMBI!$A:$ADS,MATCH(Tulem!AO$3,KOMBI!$A$1:$ADS$1,0),FALSE)</f>
        <v>#NUM!</v>
      </c>
      <c r="AP133" s="293" t="e">
        <f t="array" aca="1" ref="AP133" ca="1">VLOOKUP($B133,KOMBI!$A:$ADS,MATCH(Tulem!AP$3,KOMBI!$A$1:$ADS$1,0),FALSE)</f>
        <v>#NUM!</v>
      </c>
      <c r="AQ133" s="293" t="e">
        <f t="array" aca="1" ref="AQ133" ca="1">VLOOKUP($B133,KOMBI!$A:$ADS,MATCH(Tulem!AQ$3,KOMBI!$A$1:$ADS$1,0),FALSE)</f>
        <v>#NUM!</v>
      </c>
      <c r="AR133" s="293" t="e">
        <f t="array" aca="1" ref="AR133" ca="1">VLOOKUP($B133,KOMBI!$A:$ADS,MATCH(Tulem!AR$3,KOMBI!$A$1:$ADS$1,0),FALSE)</f>
        <v>#NUM!</v>
      </c>
      <c r="AS133" s="293" t="e">
        <f t="array" aca="1" ref="AS133" ca="1">VLOOKUP($B133,KOMBI!$A:$ADS,MATCH(Tulem!AS$3,KOMBI!$A$1:$ADS$1,0),FALSE)</f>
        <v>#NUM!</v>
      </c>
      <c r="AT133" s="293" t="e">
        <f t="array" aca="1" ref="AT133" ca="1">VLOOKUP($B133,KOMBI!$A:$ADS,MATCH(Tulem!AT$3,KOMBI!$A$1:$ADS$1,0),FALSE)</f>
        <v>#NUM!</v>
      </c>
      <c r="AU133" s="293" t="e">
        <f t="array" aca="1" ref="AU133" ca="1">VLOOKUP($B133,KOMBI!$A:$ADS,MATCH(Tulem!AU$3,KOMBI!$A$1:$ADS$1,0),FALSE)</f>
        <v>#NUM!</v>
      </c>
      <c r="AV133" s="293" t="e">
        <f t="shared" ca="1" si="4"/>
        <v>#NUM!</v>
      </c>
      <c r="AW133" s="293" t="e">
        <f t="shared" ca="1" si="5"/>
        <v>#NUM!</v>
      </c>
      <c r="AX133" s="291" t="e">
        <f ca="1">VLOOKUP($B133,KOMBI!$A:$ACA,MATCH(AX$5,KOMBI!$10:$10,0),FALSE)</f>
        <v>#NUM!</v>
      </c>
      <c r="AY133" s="292" t="e">
        <f t="array" aca="1" ref="AY133" ca="1">VLOOKUP($B133,KOMBI!$A:$ADS,MATCH(Tulem!AY$3,KOMBI!$A$1:$ADS$1,0),FALSE)</f>
        <v>#NUM!</v>
      </c>
      <c r="AZ133" s="292" t="e">
        <f t="array" aca="1" ref="AZ133" ca="1">VLOOKUP($B133,KOMBI!$A:$ADS,MATCH(Tulem!AZ$3,KOMBI!$A$1:$ADS$1,0),FALSE)</f>
        <v>#NUM!</v>
      </c>
      <c r="BA133" s="292" t="e">
        <f t="array" aca="1" ref="BA133" ca="1">VLOOKUP($B133,KOMBI!$A:$ADS,MATCH(Tulem!BA$3,KOMBI!$A$1:$ADS$1,0),FALSE)</f>
        <v>#NUM!</v>
      </c>
      <c r="BB133" s="292" t="e">
        <f t="array" aca="1" ref="BB133" ca="1">VLOOKUP($B133,KOMBI!$A:$ADS,MATCH(Tulem!BB$3,KOMBI!$A$1:$ADS$1,0),FALSE)</f>
        <v>#NUM!</v>
      </c>
      <c r="BC133" s="292" t="e">
        <f t="array" aca="1" ref="BC133" ca="1">VLOOKUP($B133,KOMBI!$A:$ADS,MATCH(Tulem!BC$3,KOMBI!$A$1:$ADS$1,0),FALSE)</f>
        <v>#NUM!</v>
      </c>
      <c r="BD133" s="292" t="e">
        <f t="array" aca="1" ref="BD133" ca="1">VLOOKUP($B133,KOMBI!$A:$ADS,MATCH(Tulem!BD$3,KOMBI!$A$1:$ADS$1,0),FALSE)</f>
        <v>#NUM!</v>
      </c>
      <c r="BE133" s="292" t="e">
        <f t="array" aca="1" ref="BE133" ca="1">VLOOKUP($B133,KOMBI!$A:$ADS,MATCH(Tulem!BE$3,KOMBI!$A$1:$ADS$1,0),FALSE)</f>
        <v>#NUM!</v>
      </c>
      <c r="BF133" s="292" t="e">
        <f t="array" aca="1" ref="BF133" ca="1">VLOOKUP($B133,KOMBI!$A:$ADS,MATCH(Tulem!BF$3,KOMBI!$A$1:$ADS$1,0),FALSE)</f>
        <v>#NUM!</v>
      </c>
      <c r="BG133" s="292" t="e">
        <f t="array" aca="1" ref="BG133" ca="1">VLOOKUP($B133,KOMBI!$A:$ADS,MATCH(Tulem!BG$3,KOMBI!$A$1:$ADS$1,0),FALSE)</f>
        <v>#NUM!</v>
      </c>
      <c r="BH133" s="292" t="e">
        <f t="array" aca="1" ref="BH133" ca="1">VLOOKUP($B133,KOMBI!$A:$ADS,MATCH(Tulem!BH$3,KOMBI!$A$1:$ADS$1,0),FALSE)</f>
        <v>#NUM!</v>
      </c>
      <c r="BI133" s="292" t="e">
        <f t="array" aca="1" ref="BI133" ca="1">VLOOKUP($B133,KOMBI!$A:$ADS,MATCH(Tulem!BI$3,KOMBI!$A$1:$ADS$1,0),FALSE)</f>
        <v>#NUM!</v>
      </c>
      <c r="BJ133" s="292" t="e">
        <f t="array" aca="1" ref="BJ133" ca="1">VLOOKUP($B133,KOMBI!$A:$ADS,MATCH(Tulem!BJ$3,KOMBI!$A$1:$ADS$1,0),FALSE)</f>
        <v>#NUM!</v>
      </c>
      <c r="BK133" s="292" t="e">
        <f t="array" aca="1" ref="BK133" ca="1">VLOOKUP($B133,KOMBI!$A:$ADS,MATCH(Tulem!BK$3,KOMBI!$A$1:$ADS$1,0),FALSE)</f>
        <v>#NUM!</v>
      </c>
      <c r="BL133" s="292" t="e">
        <f t="array" aca="1" ref="BL133" ca="1">VLOOKUP($B133,KOMBI!$A:$ADS,MATCH(Tulem!BL$3,KOMBI!$A$1:$ADS$1,0),FALSE)</f>
        <v>#NUM!</v>
      </c>
      <c r="BM133" s="292" t="e">
        <f t="array" aca="1" ref="BM133" ca="1">VLOOKUP($B133,KOMBI!$A:$ADS,MATCH(Tulem!BM$3,KOMBI!$A$1:$ADS$1,0),FALSE)</f>
        <v>#NUM!</v>
      </c>
      <c r="BN133" s="292" t="e">
        <f t="array" aca="1" ref="BN133" ca="1">VLOOKUP($B133,KOMBI!$A:$ADS,MATCH(Tulem!BN$3,KOMBI!$A$1:$ADS$1,0),FALSE)</f>
        <v>#NUM!</v>
      </c>
      <c r="BO133" s="292" t="e">
        <f t="array" aca="1" ref="BO133" ca="1">VLOOKUP($B133,KOMBI!$A:$ADS,MATCH(Tulem!BO$3,KOMBI!$A$1:$ADS$1,0),FALSE)</f>
        <v>#NUM!</v>
      </c>
      <c r="BP133" s="291"/>
      <c r="BQ133" s="292" t="e">
        <f t="array" aca="1" ref="BQ133" ca="1">VLOOKUP($B133,KOMBI!$A:$ADS,MATCH(Tulem!BQ$3,KOMBI!$A$1:$ADS$1,0),FALSE)</f>
        <v>#NUM!</v>
      </c>
      <c r="BR133" s="292" t="e">
        <f t="array" aca="1" ref="BR133" ca="1">VLOOKUP($B133,KOMBI!$A:$ADS,MATCH(Tulem!BR$3,KOMBI!$A$1:$ADS$1,0),FALSE)</f>
        <v>#NUM!</v>
      </c>
      <c r="BS133" s="292" t="e">
        <f t="array" aca="1" ref="BS133" ca="1">VLOOKUP($B133,KOMBI!$A:$ADS,MATCH(Tulem!BS$3,KOMBI!$A$1:$ADS$1,0),FALSE)</f>
        <v>#NUM!</v>
      </c>
      <c r="BT133" s="292" t="e">
        <f t="array" aca="1" ref="BT133" ca="1">VLOOKUP($B133,KOMBI!$A:$ADS,MATCH(Tulem!BT$3,KOMBI!$A$1:$ADS$1,0),FALSE)</f>
        <v>#NUM!</v>
      </c>
      <c r="BU133" s="292" t="e">
        <f t="array" aca="1" ref="BU133" ca="1">VLOOKUP($B133,KOMBI!$A:$ADS,MATCH(Tulem!BU$3,KOMBI!$A$1:$ADS$1,0),FALSE)</f>
        <v>#NUM!</v>
      </c>
      <c r="BV133" s="291"/>
      <c r="BW133" s="292" t="e">
        <f t="array" aca="1" ref="BW133" ca="1">VLOOKUP($B133,KOMBI!$A:$ADS,MATCH(Tulem!BW$3,KOMBI!$A$1:$ADS$1,0),FALSE)</f>
        <v>#NUM!</v>
      </c>
      <c r="BX133" s="291"/>
      <c r="BY133" s="291"/>
      <c r="BZ133" s="292" t="e">
        <f t="array" aca="1" ref="BZ133" ca="1">VLOOKUP($B133,KOMBI!$A:$ADS,MATCH(Tulem!BZ$3,KOMBI!$A$1:$ADS$1,0),FALSE)</f>
        <v>#NUM!</v>
      </c>
      <c r="CA133" s="292" t="e">
        <f t="array" aca="1" ref="CA133" ca="1">VLOOKUP($B133,KOMBI!$A:$ADS,MATCH(Tulem!CA$3,KOMBI!$A$1:$ADS$1,0),FALSE)</f>
        <v>#NUM!</v>
      </c>
      <c r="CB133" s="292" t="e">
        <f t="array" aca="1" ref="CB133" ca="1">VLOOKUP($B133,KOMBI!$A:$ADS,MATCH(Tulem!CB$3,KOMBI!$A$1:$ADS$1,0),FALSE)</f>
        <v>#NUM!</v>
      </c>
      <c r="CC133" s="292" t="e">
        <f t="array" aca="1" ref="CC133" ca="1">VLOOKUP($B133,KOMBI!$A:$ADS,MATCH(Tulem!CC$3,KOMBI!$A$1:$ADS$1,0),FALSE)</f>
        <v>#NUM!</v>
      </c>
      <c r="CD133" s="292" t="e">
        <f t="array" aca="1" ref="CD133" ca="1">VLOOKUP($B133,KOMBI!$A:$ADS,MATCH(Tulem!CD$3,KOMBI!$A$1:$ADS$1,0),FALSE)</f>
        <v>#NUM!</v>
      </c>
      <c r="CF133" s="51" t="e">
        <f ca="1">VLOOKUP($B133,KOMBI!$A:$ACG,MATCH(CF$5,KOMBI!$10:$10,0),FALSE)</f>
        <v>#NUM!</v>
      </c>
    </row>
    <row r="134" spans="1:84" x14ac:dyDescent="0.2">
      <c r="A134" s="51">
        <v>129</v>
      </c>
      <c r="B134" s="51" t="e">
        <f ca="1">KOMBI!GI139</f>
        <v>#NUM!</v>
      </c>
      <c r="C134" s="51">
        <f t="shared" si="3"/>
        <v>129</v>
      </c>
      <c r="D134" s="290" t="e">
        <f ca="1">VLOOKUP(VLOOKUP($B134,KOMBI!$A:$H,3,FALSE),data!$I$27:$J$29,2,FALSE)</f>
        <v>#NUM!</v>
      </c>
      <c r="E134" s="290" t="e">
        <f ca="1">VLOOKUP(VLOOKUP($B134,KOMBI!$A:$H,2,FALSE),data!$I$21:$J$23,2,FALSE)</f>
        <v>#NUM!</v>
      </c>
      <c r="F134" s="290" t="e">
        <f ca="1">VLOOKUP(VLOOKUP($B134,KOMBI!$A:$H,5,FALSE),data!$I$39:$J$41,2,FALSE)</f>
        <v>#NUM!</v>
      </c>
      <c r="G134" s="290" t="e">
        <f ca="1">VLOOKUP(VLOOKUP($B134,KOMBI!$A:$H,4,FALSE),data!$I$32:$J$36,2,FALSE)</f>
        <v>#NUM!</v>
      </c>
      <c r="I134" s="51" t="e">
        <f ca="1">VLOOKUP($B134,KOMBI!$A:$Z,MATCH(I$5,KOMBI!$10:$10,0),FALSE)</f>
        <v>#NUM!</v>
      </c>
      <c r="J134" s="291" t="e">
        <f ca="1">VLOOKUP($B134,KOMBI!$A:$ADS,J$3,FALSE)</f>
        <v>#NUM!</v>
      </c>
      <c r="K134" s="291" t="e">
        <f ca="1">VLOOKUP($B134,KOMBI!$A:$ADS,K$3,FALSE)</f>
        <v>#NUM!</v>
      </c>
      <c r="L134" s="291" t="e">
        <f ca="1">VLOOKUP($B134,KOMBI!$A:$ADS,L$3,FALSE)</f>
        <v>#NUM!</v>
      </c>
      <c r="M134" s="291" t="e">
        <f ca="1">VLOOKUP($B134,KOMBI!$A:$ADS,M$3,FALSE)</f>
        <v>#NUM!</v>
      </c>
      <c r="N134" s="291" t="e">
        <f ca="1">VLOOKUP($B134,KOMBI!$A:$ADS,N$3,FALSE)</f>
        <v>#NUM!</v>
      </c>
      <c r="O134" s="291" t="e">
        <f ca="1">VLOOKUP($B134,KOMBI!$A:$ADS,O$3,FALSE)</f>
        <v>#NUM!</v>
      </c>
      <c r="P134" s="291" t="e">
        <f ca="1">VLOOKUP($B134,KOMBI!$A:$ADS,P$3,FALSE)</f>
        <v>#NUM!</v>
      </c>
      <c r="Q134" s="292" t="e">
        <f t="array" aca="1" ref="Q134" ca="1">VLOOKUP($B134,KOMBI!$A:$ADS,MATCH(Tulem!Q$3,KOMBI!$A$1:$ADS$1,0),FALSE)</f>
        <v>#NUM!</v>
      </c>
      <c r="S134" s="332" t="e">
        <f t="array" aca="1" ref="S134" ca="1">VLOOKUP($B134,KOMBI!$A:$ADS,MATCH(Tulem!S$3,KOMBI!$A$1:$ADS$1,0),FALSE)</f>
        <v>#NUM!</v>
      </c>
      <c r="T134" s="293" t="e">
        <f ca="1">VLOOKUP($B134,KOMBI!$A:$ADS,T$3,FALSE)</f>
        <v>#NUM!</v>
      </c>
      <c r="U134" s="293" t="e">
        <f ca="1">VLOOKUP($B134,KOMBI!$A:$ADS,U$3,FALSE)</f>
        <v>#NUM!</v>
      </c>
      <c r="V134" s="293" t="e">
        <f ca="1">VLOOKUP($B134,KOMBI!$A:$ADS,V$3,FALSE)</f>
        <v>#NUM!</v>
      </c>
      <c r="W134" s="293"/>
      <c r="X134" s="293" t="e">
        <f ca="1">VLOOKUP($B134,KOMBI!$A:$ADS,X$3,FALSE)</f>
        <v>#NUM!</v>
      </c>
      <c r="Y134" s="293" t="e">
        <f ca="1">VLOOKUP($B134,KOMBI!$A:$ADS,Y$3,FALSE)</f>
        <v>#NUM!</v>
      </c>
      <c r="Z134" s="293" t="e">
        <f ca="1">VLOOKUP($B134,KOMBI!$A:$ADS,Z$3,FALSE)</f>
        <v>#NUM!</v>
      </c>
      <c r="AA134" s="294"/>
      <c r="AB134" s="293" t="e">
        <f ca="1">VLOOKUP($B134,KOMBI!$A:$ADS,AB$3,FALSE)</f>
        <v>#NUM!</v>
      </c>
      <c r="AC134" s="293" t="e">
        <f ca="1">VLOOKUP($B134,KOMBI!$A:$ADS,AC$3,FALSE)-AB134</f>
        <v>#NUM!</v>
      </c>
      <c r="AD134" s="293" t="e">
        <f ca="1">VLOOKUP($B134,KOMBI!$A:$ADS,AD$3,FALSE)</f>
        <v>#NUM!</v>
      </c>
      <c r="AE134" s="293" t="e">
        <f ca="1">VLOOKUP($B134,KOMBI!$A:$ADS,AE$3,FALSE)</f>
        <v>#NUM!</v>
      </c>
      <c r="AF134" s="293" t="e">
        <f ca="1">VLOOKUP($B134,KOMBI!$A:$ADS,AF$3,FALSE)-AE134</f>
        <v>#NUM!</v>
      </c>
      <c r="AG134" s="293" t="e">
        <f ca="1">VLOOKUP($B134,KOMBI!$A:$ADS,AG$3,FALSE)</f>
        <v>#NUM!</v>
      </c>
      <c r="AI134" s="293" t="e">
        <f t="array" aca="1" ref="AI134" ca="1">VLOOKUP($B134,KOMBI!$A:$ADS,MATCH(Tulem!AI$3,KOMBI!$A$1:$ADS$1,0),FALSE)</f>
        <v>#NUM!</v>
      </c>
      <c r="AJ134" s="293" t="e">
        <f t="array" aca="1" ref="AJ134" ca="1">VLOOKUP($B134,KOMBI!$A:$ADS,MATCH(Tulem!AJ$3,KOMBI!$A$1:$ADS$1,0),FALSE)</f>
        <v>#NUM!</v>
      </c>
      <c r="AK134" s="293" t="e">
        <f t="array" aca="1" ref="AK134" ca="1">VLOOKUP($B134,KOMBI!$A:$ADS,MATCH(Tulem!AK$3,KOMBI!$A$1:$ADS$1,0),FALSE)</f>
        <v>#NUM!</v>
      </c>
      <c r="AL134" s="293" t="e">
        <f t="array" aca="1" ref="AL134" ca="1">VLOOKUP($B134,KOMBI!$A:$ADS,MATCH(Tulem!AL$3,KOMBI!$A$1:$ADS$1,0),FALSE)</f>
        <v>#NUM!</v>
      </c>
      <c r="AM134" s="293" t="e">
        <f t="array" aca="1" ref="AM134" ca="1">VLOOKUP($B134,KOMBI!$A:$ADS,MATCH(Tulem!AM$3,KOMBI!$A$1:$ADS$1,0),FALSE)</f>
        <v>#NUM!</v>
      </c>
      <c r="AN134" s="293" t="e">
        <f t="array" aca="1" ref="AN134" ca="1">VLOOKUP($B134,KOMBI!$A:$ADS,MATCH(Tulem!AN$3,KOMBI!$A$1:$ADS$1,0),FALSE)</f>
        <v>#NUM!</v>
      </c>
      <c r="AO134" s="293" t="e">
        <f t="array" aca="1" ref="AO134" ca="1">VLOOKUP($B134,KOMBI!$A:$ADS,MATCH(Tulem!AO$3,KOMBI!$A$1:$ADS$1,0),FALSE)</f>
        <v>#NUM!</v>
      </c>
      <c r="AP134" s="293" t="e">
        <f t="array" aca="1" ref="AP134" ca="1">VLOOKUP($B134,KOMBI!$A:$ADS,MATCH(Tulem!AP$3,KOMBI!$A$1:$ADS$1,0),FALSE)</f>
        <v>#NUM!</v>
      </c>
      <c r="AQ134" s="293" t="e">
        <f t="array" aca="1" ref="AQ134" ca="1">VLOOKUP($B134,KOMBI!$A:$ADS,MATCH(Tulem!AQ$3,KOMBI!$A$1:$ADS$1,0),FALSE)</f>
        <v>#NUM!</v>
      </c>
      <c r="AR134" s="293" t="e">
        <f t="array" aca="1" ref="AR134" ca="1">VLOOKUP($B134,KOMBI!$A:$ADS,MATCH(Tulem!AR$3,KOMBI!$A$1:$ADS$1,0),FALSE)</f>
        <v>#NUM!</v>
      </c>
      <c r="AS134" s="293" t="e">
        <f t="array" aca="1" ref="AS134" ca="1">VLOOKUP($B134,KOMBI!$A:$ADS,MATCH(Tulem!AS$3,KOMBI!$A$1:$ADS$1,0),FALSE)</f>
        <v>#NUM!</v>
      </c>
      <c r="AT134" s="293" t="e">
        <f t="array" aca="1" ref="AT134" ca="1">VLOOKUP($B134,KOMBI!$A:$ADS,MATCH(Tulem!AT$3,KOMBI!$A$1:$ADS$1,0),FALSE)</f>
        <v>#NUM!</v>
      </c>
      <c r="AU134" s="293" t="e">
        <f t="array" aca="1" ref="AU134" ca="1">VLOOKUP($B134,KOMBI!$A:$ADS,MATCH(Tulem!AU$3,KOMBI!$A$1:$ADS$1,0),FALSE)</f>
        <v>#NUM!</v>
      </c>
      <c r="AV134" s="293" t="e">
        <f t="shared" ca="1" si="4"/>
        <v>#NUM!</v>
      </c>
      <c r="AW134" s="293" t="e">
        <f t="shared" ca="1" si="5"/>
        <v>#NUM!</v>
      </c>
      <c r="AX134" s="291" t="e">
        <f ca="1">VLOOKUP($B134,KOMBI!$A:$ACA,MATCH(AX$5,KOMBI!$10:$10,0),FALSE)</f>
        <v>#NUM!</v>
      </c>
      <c r="AY134" s="292" t="e">
        <f t="array" aca="1" ref="AY134" ca="1">VLOOKUP($B134,KOMBI!$A:$ADS,MATCH(Tulem!AY$3,KOMBI!$A$1:$ADS$1,0),FALSE)</f>
        <v>#NUM!</v>
      </c>
      <c r="AZ134" s="292" t="e">
        <f t="array" aca="1" ref="AZ134" ca="1">VLOOKUP($B134,KOMBI!$A:$ADS,MATCH(Tulem!AZ$3,KOMBI!$A$1:$ADS$1,0),FALSE)</f>
        <v>#NUM!</v>
      </c>
      <c r="BA134" s="292" t="e">
        <f t="array" aca="1" ref="BA134" ca="1">VLOOKUP($B134,KOMBI!$A:$ADS,MATCH(Tulem!BA$3,KOMBI!$A$1:$ADS$1,0),FALSE)</f>
        <v>#NUM!</v>
      </c>
      <c r="BB134" s="292" t="e">
        <f t="array" aca="1" ref="BB134" ca="1">VLOOKUP($B134,KOMBI!$A:$ADS,MATCH(Tulem!BB$3,KOMBI!$A$1:$ADS$1,0),FALSE)</f>
        <v>#NUM!</v>
      </c>
      <c r="BC134" s="292" t="e">
        <f t="array" aca="1" ref="BC134" ca="1">VLOOKUP($B134,KOMBI!$A:$ADS,MATCH(Tulem!BC$3,KOMBI!$A$1:$ADS$1,0),FALSE)</f>
        <v>#NUM!</v>
      </c>
      <c r="BD134" s="292" t="e">
        <f t="array" aca="1" ref="BD134" ca="1">VLOOKUP($B134,KOMBI!$A:$ADS,MATCH(Tulem!BD$3,KOMBI!$A$1:$ADS$1,0),FALSE)</f>
        <v>#NUM!</v>
      </c>
      <c r="BE134" s="292" t="e">
        <f t="array" aca="1" ref="BE134" ca="1">VLOOKUP($B134,KOMBI!$A:$ADS,MATCH(Tulem!BE$3,KOMBI!$A$1:$ADS$1,0),FALSE)</f>
        <v>#NUM!</v>
      </c>
      <c r="BF134" s="292" t="e">
        <f t="array" aca="1" ref="BF134" ca="1">VLOOKUP($B134,KOMBI!$A:$ADS,MATCH(Tulem!BF$3,KOMBI!$A$1:$ADS$1,0),FALSE)</f>
        <v>#NUM!</v>
      </c>
      <c r="BG134" s="292" t="e">
        <f t="array" aca="1" ref="BG134" ca="1">VLOOKUP($B134,KOMBI!$A:$ADS,MATCH(Tulem!BG$3,KOMBI!$A$1:$ADS$1,0),FALSE)</f>
        <v>#NUM!</v>
      </c>
      <c r="BH134" s="292" t="e">
        <f t="array" aca="1" ref="BH134" ca="1">VLOOKUP($B134,KOMBI!$A:$ADS,MATCH(Tulem!BH$3,KOMBI!$A$1:$ADS$1,0),FALSE)</f>
        <v>#NUM!</v>
      </c>
      <c r="BI134" s="292" t="e">
        <f t="array" aca="1" ref="BI134" ca="1">VLOOKUP($B134,KOMBI!$A:$ADS,MATCH(Tulem!BI$3,KOMBI!$A$1:$ADS$1,0),FALSE)</f>
        <v>#NUM!</v>
      </c>
      <c r="BJ134" s="292" t="e">
        <f t="array" aca="1" ref="BJ134" ca="1">VLOOKUP($B134,KOMBI!$A:$ADS,MATCH(Tulem!BJ$3,KOMBI!$A$1:$ADS$1,0),FALSE)</f>
        <v>#NUM!</v>
      </c>
      <c r="BK134" s="292" t="e">
        <f t="array" aca="1" ref="BK134" ca="1">VLOOKUP($B134,KOMBI!$A:$ADS,MATCH(Tulem!BK$3,KOMBI!$A$1:$ADS$1,0),FALSE)</f>
        <v>#NUM!</v>
      </c>
      <c r="BL134" s="292" t="e">
        <f t="array" aca="1" ref="BL134" ca="1">VLOOKUP($B134,KOMBI!$A:$ADS,MATCH(Tulem!BL$3,KOMBI!$A$1:$ADS$1,0),FALSE)</f>
        <v>#NUM!</v>
      </c>
      <c r="BM134" s="292" t="e">
        <f t="array" aca="1" ref="BM134" ca="1">VLOOKUP($B134,KOMBI!$A:$ADS,MATCH(Tulem!BM$3,KOMBI!$A$1:$ADS$1,0),FALSE)</f>
        <v>#NUM!</v>
      </c>
      <c r="BN134" s="292" t="e">
        <f t="array" aca="1" ref="BN134" ca="1">VLOOKUP($B134,KOMBI!$A:$ADS,MATCH(Tulem!BN$3,KOMBI!$A$1:$ADS$1,0),FALSE)</f>
        <v>#NUM!</v>
      </c>
      <c r="BO134" s="292" t="e">
        <f t="array" aca="1" ref="BO134" ca="1">VLOOKUP($B134,KOMBI!$A:$ADS,MATCH(Tulem!BO$3,KOMBI!$A$1:$ADS$1,0),FALSE)</f>
        <v>#NUM!</v>
      </c>
      <c r="BP134" s="291"/>
      <c r="BQ134" s="292" t="e">
        <f t="array" aca="1" ref="BQ134" ca="1">VLOOKUP($B134,KOMBI!$A:$ADS,MATCH(Tulem!BQ$3,KOMBI!$A$1:$ADS$1,0),FALSE)</f>
        <v>#NUM!</v>
      </c>
      <c r="BR134" s="292" t="e">
        <f t="array" aca="1" ref="BR134" ca="1">VLOOKUP($B134,KOMBI!$A:$ADS,MATCH(Tulem!BR$3,KOMBI!$A$1:$ADS$1,0),FALSE)</f>
        <v>#NUM!</v>
      </c>
      <c r="BS134" s="292" t="e">
        <f t="array" aca="1" ref="BS134" ca="1">VLOOKUP($B134,KOMBI!$A:$ADS,MATCH(Tulem!BS$3,KOMBI!$A$1:$ADS$1,0),FALSE)</f>
        <v>#NUM!</v>
      </c>
      <c r="BT134" s="292" t="e">
        <f t="array" aca="1" ref="BT134" ca="1">VLOOKUP($B134,KOMBI!$A:$ADS,MATCH(Tulem!BT$3,KOMBI!$A$1:$ADS$1,0),FALSE)</f>
        <v>#NUM!</v>
      </c>
      <c r="BU134" s="292" t="e">
        <f t="array" aca="1" ref="BU134" ca="1">VLOOKUP($B134,KOMBI!$A:$ADS,MATCH(Tulem!BU$3,KOMBI!$A$1:$ADS$1,0),FALSE)</f>
        <v>#NUM!</v>
      </c>
      <c r="BV134" s="291"/>
      <c r="BW134" s="292" t="e">
        <f t="array" aca="1" ref="BW134" ca="1">VLOOKUP($B134,KOMBI!$A:$ADS,MATCH(Tulem!BW$3,KOMBI!$A$1:$ADS$1,0),FALSE)</f>
        <v>#NUM!</v>
      </c>
      <c r="BX134" s="291"/>
      <c r="BY134" s="291"/>
      <c r="BZ134" s="292" t="e">
        <f t="array" aca="1" ref="BZ134" ca="1">VLOOKUP($B134,KOMBI!$A:$ADS,MATCH(Tulem!BZ$3,KOMBI!$A$1:$ADS$1,0),FALSE)</f>
        <v>#NUM!</v>
      </c>
      <c r="CA134" s="292" t="e">
        <f t="array" aca="1" ref="CA134" ca="1">VLOOKUP($B134,KOMBI!$A:$ADS,MATCH(Tulem!CA$3,KOMBI!$A$1:$ADS$1,0),FALSE)</f>
        <v>#NUM!</v>
      </c>
      <c r="CB134" s="292" t="e">
        <f t="array" aca="1" ref="CB134" ca="1">VLOOKUP($B134,KOMBI!$A:$ADS,MATCH(Tulem!CB$3,KOMBI!$A$1:$ADS$1,0),FALSE)</f>
        <v>#NUM!</v>
      </c>
      <c r="CC134" s="292" t="e">
        <f t="array" aca="1" ref="CC134" ca="1">VLOOKUP($B134,KOMBI!$A:$ADS,MATCH(Tulem!CC$3,KOMBI!$A$1:$ADS$1,0),FALSE)</f>
        <v>#NUM!</v>
      </c>
      <c r="CD134" s="292" t="e">
        <f t="array" aca="1" ref="CD134" ca="1">VLOOKUP($B134,KOMBI!$A:$ADS,MATCH(Tulem!CD$3,KOMBI!$A$1:$ADS$1,0),FALSE)</f>
        <v>#NUM!</v>
      </c>
      <c r="CF134" s="51" t="e">
        <f ca="1">VLOOKUP($B134,KOMBI!$A:$ACG,MATCH(CF$5,KOMBI!$10:$10,0),FALSE)</f>
        <v>#NUM!</v>
      </c>
    </row>
    <row r="135" spans="1:84" x14ac:dyDescent="0.2">
      <c r="A135" s="51">
        <v>130</v>
      </c>
      <c r="B135" s="51" t="e">
        <f ca="1">KOMBI!GI140</f>
        <v>#NUM!</v>
      </c>
      <c r="C135" s="51">
        <f t="shared" ref="C135:C140" si="6">A135</f>
        <v>130</v>
      </c>
      <c r="D135" s="290" t="e">
        <f ca="1">VLOOKUP(VLOOKUP($B135,KOMBI!$A:$H,3,FALSE),data!$I$27:$J$29,2,FALSE)</f>
        <v>#NUM!</v>
      </c>
      <c r="E135" s="290" t="e">
        <f ca="1">VLOOKUP(VLOOKUP($B135,KOMBI!$A:$H,2,FALSE),data!$I$21:$J$23,2,FALSE)</f>
        <v>#NUM!</v>
      </c>
      <c r="F135" s="290" t="e">
        <f ca="1">VLOOKUP(VLOOKUP($B135,KOMBI!$A:$H,5,FALSE),data!$I$39:$J$41,2,FALSE)</f>
        <v>#NUM!</v>
      </c>
      <c r="G135" s="290" t="e">
        <f ca="1">VLOOKUP(VLOOKUP($B135,KOMBI!$A:$H,4,FALSE),data!$I$32:$J$36,2,FALSE)</f>
        <v>#NUM!</v>
      </c>
      <c r="I135" s="51" t="e">
        <f ca="1">VLOOKUP($B135,KOMBI!$A:$Z,MATCH(I$5,KOMBI!$10:$10,0),FALSE)</f>
        <v>#NUM!</v>
      </c>
      <c r="J135" s="291" t="e">
        <f ca="1">VLOOKUP($B135,KOMBI!$A:$ADS,J$3,FALSE)</f>
        <v>#NUM!</v>
      </c>
      <c r="K135" s="291" t="e">
        <f ca="1">VLOOKUP($B135,KOMBI!$A:$ADS,K$3,FALSE)</f>
        <v>#NUM!</v>
      </c>
      <c r="L135" s="291" t="e">
        <f ca="1">VLOOKUP($B135,KOMBI!$A:$ADS,L$3,FALSE)</f>
        <v>#NUM!</v>
      </c>
      <c r="M135" s="291" t="e">
        <f ca="1">VLOOKUP($B135,KOMBI!$A:$ADS,M$3,FALSE)</f>
        <v>#NUM!</v>
      </c>
      <c r="N135" s="291" t="e">
        <f ca="1">VLOOKUP($B135,KOMBI!$A:$ADS,N$3,FALSE)</f>
        <v>#NUM!</v>
      </c>
      <c r="O135" s="291" t="e">
        <f ca="1">VLOOKUP($B135,KOMBI!$A:$ADS,O$3,FALSE)</f>
        <v>#NUM!</v>
      </c>
      <c r="P135" s="291" t="e">
        <f ca="1">VLOOKUP($B135,KOMBI!$A:$ADS,P$3,FALSE)</f>
        <v>#NUM!</v>
      </c>
      <c r="Q135" s="292" t="e">
        <f t="array" aca="1" ref="Q135" ca="1">VLOOKUP($B135,KOMBI!$A:$ADS,MATCH(Tulem!Q$3,KOMBI!$A$1:$ADS$1,0),FALSE)</f>
        <v>#NUM!</v>
      </c>
      <c r="S135" s="332" t="e">
        <f t="array" aca="1" ref="S135" ca="1">VLOOKUP($B135,KOMBI!$A:$ADS,MATCH(Tulem!S$3,KOMBI!$A$1:$ADS$1,0),FALSE)</f>
        <v>#NUM!</v>
      </c>
      <c r="T135" s="293" t="e">
        <f ca="1">VLOOKUP($B135,KOMBI!$A:$ADS,T$3,FALSE)</f>
        <v>#NUM!</v>
      </c>
      <c r="U135" s="293" t="e">
        <f ca="1">VLOOKUP($B135,KOMBI!$A:$ADS,U$3,FALSE)</f>
        <v>#NUM!</v>
      </c>
      <c r="V135" s="293" t="e">
        <f ca="1">VLOOKUP($B135,KOMBI!$A:$ADS,V$3,FALSE)</f>
        <v>#NUM!</v>
      </c>
      <c r="W135" s="293"/>
      <c r="X135" s="293" t="e">
        <f ca="1">VLOOKUP($B135,KOMBI!$A:$ADS,X$3,FALSE)</f>
        <v>#NUM!</v>
      </c>
      <c r="Y135" s="293" t="e">
        <f ca="1">VLOOKUP($B135,KOMBI!$A:$ADS,Y$3,FALSE)</f>
        <v>#NUM!</v>
      </c>
      <c r="Z135" s="293" t="e">
        <f ca="1">VLOOKUP($B135,KOMBI!$A:$ADS,Z$3,FALSE)</f>
        <v>#NUM!</v>
      </c>
      <c r="AA135" s="294"/>
      <c r="AB135" s="293" t="e">
        <f ca="1">VLOOKUP($B135,KOMBI!$A:$ADS,AB$3,FALSE)</f>
        <v>#NUM!</v>
      </c>
      <c r="AC135" s="293" t="e">
        <f ca="1">VLOOKUP($B135,KOMBI!$A:$ADS,AC$3,FALSE)-AB135</f>
        <v>#NUM!</v>
      </c>
      <c r="AD135" s="293" t="e">
        <f ca="1">VLOOKUP($B135,KOMBI!$A:$ADS,AD$3,FALSE)</f>
        <v>#NUM!</v>
      </c>
      <c r="AE135" s="293" t="e">
        <f ca="1">VLOOKUP($B135,KOMBI!$A:$ADS,AE$3,FALSE)</f>
        <v>#NUM!</v>
      </c>
      <c r="AF135" s="293" t="e">
        <f ca="1">VLOOKUP($B135,KOMBI!$A:$ADS,AF$3,FALSE)-AE135</f>
        <v>#NUM!</v>
      </c>
      <c r="AG135" s="293" t="e">
        <f ca="1">VLOOKUP($B135,KOMBI!$A:$ADS,AG$3,FALSE)</f>
        <v>#NUM!</v>
      </c>
      <c r="AI135" s="293" t="e">
        <f t="array" aca="1" ref="AI135" ca="1">VLOOKUP($B135,KOMBI!$A:$ADS,MATCH(Tulem!AI$3,KOMBI!$A$1:$ADS$1,0),FALSE)</f>
        <v>#NUM!</v>
      </c>
      <c r="AJ135" s="293" t="e">
        <f t="array" aca="1" ref="AJ135" ca="1">VLOOKUP($B135,KOMBI!$A:$ADS,MATCH(Tulem!AJ$3,KOMBI!$A$1:$ADS$1,0),FALSE)</f>
        <v>#NUM!</v>
      </c>
      <c r="AK135" s="293" t="e">
        <f t="array" aca="1" ref="AK135" ca="1">VLOOKUP($B135,KOMBI!$A:$ADS,MATCH(Tulem!AK$3,KOMBI!$A$1:$ADS$1,0),FALSE)</f>
        <v>#NUM!</v>
      </c>
      <c r="AL135" s="293" t="e">
        <f t="array" aca="1" ref="AL135" ca="1">VLOOKUP($B135,KOMBI!$A:$ADS,MATCH(Tulem!AL$3,KOMBI!$A$1:$ADS$1,0),FALSE)</f>
        <v>#NUM!</v>
      </c>
      <c r="AM135" s="293" t="e">
        <f t="array" aca="1" ref="AM135" ca="1">VLOOKUP($B135,KOMBI!$A:$ADS,MATCH(Tulem!AM$3,KOMBI!$A$1:$ADS$1,0),FALSE)</f>
        <v>#NUM!</v>
      </c>
      <c r="AN135" s="293" t="e">
        <f t="array" aca="1" ref="AN135" ca="1">VLOOKUP($B135,KOMBI!$A:$ADS,MATCH(Tulem!AN$3,KOMBI!$A$1:$ADS$1,0),FALSE)</f>
        <v>#NUM!</v>
      </c>
      <c r="AO135" s="293" t="e">
        <f t="array" aca="1" ref="AO135" ca="1">VLOOKUP($B135,KOMBI!$A:$ADS,MATCH(Tulem!AO$3,KOMBI!$A$1:$ADS$1,0),FALSE)</f>
        <v>#NUM!</v>
      </c>
      <c r="AP135" s="293" t="e">
        <f t="array" aca="1" ref="AP135" ca="1">VLOOKUP($B135,KOMBI!$A:$ADS,MATCH(Tulem!AP$3,KOMBI!$A$1:$ADS$1,0),FALSE)</f>
        <v>#NUM!</v>
      </c>
      <c r="AQ135" s="293" t="e">
        <f t="array" aca="1" ref="AQ135" ca="1">VLOOKUP($B135,KOMBI!$A:$ADS,MATCH(Tulem!AQ$3,KOMBI!$A$1:$ADS$1,0),FALSE)</f>
        <v>#NUM!</v>
      </c>
      <c r="AR135" s="293" t="e">
        <f t="array" aca="1" ref="AR135" ca="1">VLOOKUP($B135,KOMBI!$A:$ADS,MATCH(Tulem!AR$3,KOMBI!$A$1:$ADS$1,0),FALSE)</f>
        <v>#NUM!</v>
      </c>
      <c r="AS135" s="293" t="e">
        <f t="array" aca="1" ref="AS135" ca="1">VLOOKUP($B135,KOMBI!$A:$ADS,MATCH(Tulem!AS$3,KOMBI!$A$1:$ADS$1,0),FALSE)</f>
        <v>#NUM!</v>
      </c>
      <c r="AT135" s="293" t="e">
        <f t="array" aca="1" ref="AT135" ca="1">VLOOKUP($B135,KOMBI!$A:$ADS,MATCH(Tulem!AT$3,KOMBI!$A$1:$ADS$1,0),FALSE)</f>
        <v>#NUM!</v>
      </c>
      <c r="AU135" s="293" t="e">
        <f t="array" aca="1" ref="AU135" ca="1">VLOOKUP($B135,KOMBI!$A:$ADS,MATCH(Tulem!AU$3,KOMBI!$A$1:$ADS$1,0),FALSE)</f>
        <v>#NUM!</v>
      </c>
      <c r="AV135" s="293" t="e">
        <f t="shared" ref="AV135:AV140" ca="1" si="7">MAX(0,AL135)</f>
        <v>#NUM!</v>
      </c>
      <c r="AW135" s="293" t="e">
        <f t="shared" ref="AW135:AW140" ca="1" si="8">MIN(0,AL135)</f>
        <v>#NUM!</v>
      </c>
      <c r="AX135" s="291" t="e">
        <f ca="1">VLOOKUP($B135,KOMBI!$A:$ACA,MATCH(AX$5,KOMBI!$10:$10,0),FALSE)</f>
        <v>#NUM!</v>
      </c>
      <c r="AY135" s="292" t="e">
        <f t="array" aca="1" ref="AY135" ca="1">VLOOKUP($B135,KOMBI!$A:$ADS,MATCH(Tulem!AY$3,KOMBI!$A$1:$ADS$1,0),FALSE)</f>
        <v>#NUM!</v>
      </c>
      <c r="AZ135" s="292" t="e">
        <f t="array" aca="1" ref="AZ135" ca="1">VLOOKUP($B135,KOMBI!$A:$ADS,MATCH(Tulem!AZ$3,KOMBI!$A$1:$ADS$1,0),FALSE)</f>
        <v>#NUM!</v>
      </c>
      <c r="BA135" s="292" t="e">
        <f t="array" aca="1" ref="BA135" ca="1">VLOOKUP($B135,KOMBI!$A:$ADS,MATCH(Tulem!BA$3,KOMBI!$A$1:$ADS$1,0),FALSE)</f>
        <v>#NUM!</v>
      </c>
      <c r="BB135" s="292" t="e">
        <f t="array" aca="1" ref="BB135" ca="1">VLOOKUP($B135,KOMBI!$A:$ADS,MATCH(Tulem!BB$3,KOMBI!$A$1:$ADS$1,0),FALSE)</f>
        <v>#NUM!</v>
      </c>
      <c r="BC135" s="292" t="e">
        <f t="array" aca="1" ref="BC135" ca="1">VLOOKUP($B135,KOMBI!$A:$ADS,MATCH(Tulem!BC$3,KOMBI!$A$1:$ADS$1,0),FALSE)</f>
        <v>#NUM!</v>
      </c>
      <c r="BD135" s="292" t="e">
        <f t="array" aca="1" ref="BD135" ca="1">VLOOKUP($B135,KOMBI!$A:$ADS,MATCH(Tulem!BD$3,KOMBI!$A$1:$ADS$1,0),FALSE)</f>
        <v>#NUM!</v>
      </c>
      <c r="BE135" s="292" t="e">
        <f t="array" aca="1" ref="BE135" ca="1">VLOOKUP($B135,KOMBI!$A:$ADS,MATCH(Tulem!BE$3,KOMBI!$A$1:$ADS$1,0),FALSE)</f>
        <v>#NUM!</v>
      </c>
      <c r="BF135" s="292" t="e">
        <f t="array" aca="1" ref="BF135" ca="1">VLOOKUP($B135,KOMBI!$A:$ADS,MATCH(Tulem!BF$3,KOMBI!$A$1:$ADS$1,0),FALSE)</f>
        <v>#NUM!</v>
      </c>
      <c r="BG135" s="292" t="e">
        <f t="array" aca="1" ref="BG135" ca="1">VLOOKUP($B135,KOMBI!$A:$ADS,MATCH(Tulem!BG$3,KOMBI!$A$1:$ADS$1,0),FALSE)</f>
        <v>#NUM!</v>
      </c>
      <c r="BH135" s="292" t="e">
        <f t="array" aca="1" ref="BH135" ca="1">VLOOKUP($B135,KOMBI!$A:$ADS,MATCH(Tulem!BH$3,KOMBI!$A$1:$ADS$1,0),FALSE)</f>
        <v>#NUM!</v>
      </c>
      <c r="BI135" s="292" t="e">
        <f t="array" aca="1" ref="BI135" ca="1">VLOOKUP($B135,KOMBI!$A:$ADS,MATCH(Tulem!BI$3,KOMBI!$A$1:$ADS$1,0),FALSE)</f>
        <v>#NUM!</v>
      </c>
      <c r="BJ135" s="292" t="e">
        <f t="array" aca="1" ref="BJ135" ca="1">VLOOKUP($B135,KOMBI!$A:$ADS,MATCH(Tulem!BJ$3,KOMBI!$A$1:$ADS$1,0),FALSE)</f>
        <v>#NUM!</v>
      </c>
      <c r="BK135" s="292" t="e">
        <f t="array" aca="1" ref="BK135" ca="1">VLOOKUP($B135,KOMBI!$A:$ADS,MATCH(Tulem!BK$3,KOMBI!$A$1:$ADS$1,0),FALSE)</f>
        <v>#NUM!</v>
      </c>
      <c r="BL135" s="292" t="e">
        <f t="array" aca="1" ref="BL135" ca="1">VLOOKUP($B135,KOMBI!$A:$ADS,MATCH(Tulem!BL$3,KOMBI!$A$1:$ADS$1,0),FALSE)</f>
        <v>#NUM!</v>
      </c>
      <c r="BM135" s="292" t="e">
        <f t="array" aca="1" ref="BM135" ca="1">VLOOKUP($B135,KOMBI!$A:$ADS,MATCH(Tulem!BM$3,KOMBI!$A$1:$ADS$1,0),FALSE)</f>
        <v>#NUM!</v>
      </c>
      <c r="BN135" s="292" t="e">
        <f t="array" aca="1" ref="BN135" ca="1">VLOOKUP($B135,KOMBI!$A:$ADS,MATCH(Tulem!BN$3,KOMBI!$A$1:$ADS$1,0),FALSE)</f>
        <v>#NUM!</v>
      </c>
      <c r="BO135" s="292" t="e">
        <f t="array" aca="1" ref="BO135" ca="1">VLOOKUP($B135,KOMBI!$A:$ADS,MATCH(Tulem!BO$3,KOMBI!$A$1:$ADS$1,0),FALSE)</f>
        <v>#NUM!</v>
      </c>
      <c r="BP135" s="291"/>
      <c r="BQ135" s="292" t="e">
        <f t="array" aca="1" ref="BQ135" ca="1">VLOOKUP($B135,KOMBI!$A:$ADS,MATCH(Tulem!BQ$3,KOMBI!$A$1:$ADS$1,0),FALSE)</f>
        <v>#NUM!</v>
      </c>
      <c r="BR135" s="292" t="e">
        <f t="array" aca="1" ref="BR135" ca="1">VLOOKUP($B135,KOMBI!$A:$ADS,MATCH(Tulem!BR$3,KOMBI!$A$1:$ADS$1,0),FALSE)</f>
        <v>#NUM!</v>
      </c>
      <c r="BS135" s="292" t="e">
        <f t="array" aca="1" ref="BS135" ca="1">VLOOKUP($B135,KOMBI!$A:$ADS,MATCH(Tulem!BS$3,KOMBI!$A$1:$ADS$1,0),FALSE)</f>
        <v>#NUM!</v>
      </c>
      <c r="BT135" s="292" t="e">
        <f t="array" aca="1" ref="BT135" ca="1">VLOOKUP($B135,KOMBI!$A:$ADS,MATCH(Tulem!BT$3,KOMBI!$A$1:$ADS$1,0),FALSE)</f>
        <v>#NUM!</v>
      </c>
      <c r="BU135" s="292" t="e">
        <f t="array" aca="1" ref="BU135" ca="1">VLOOKUP($B135,KOMBI!$A:$ADS,MATCH(Tulem!BU$3,KOMBI!$A$1:$ADS$1,0),FALSE)</f>
        <v>#NUM!</v>
      </c>
      <c r="BV135" s="291"/>
      <c r="BW135" s="292" t="e">
        <f t="array" aca="1" ref="BW135" ca="1">VLOOKUP($B135,KOMBI!$A:$ADS,MATCH(Tulem!BW$3,KOMBI!$A$1:$ADS$1,0),FALSE)</f>
        <v>#NUM!</v>
      </c>
      <c r="BX135" s="291"/>
      <c r="BY135" s="291"/>
      <c r="BZ135" s="292" t="e">
        <f t="array" aca="1" ref="BZ135" ca="1">VLOOKUP($B135,KOMBI!$A:$ADS,MATCH(Tulem!BZ$3,KOMBI!$A$1:$ADS$1,0),FALSE)</f>
        <v>#NUM!</v>
      </c>
      <c r="CA135" s="292" t="e">
        <f t="array" aca="1" ref="CA135" ca="1">VLOOKUP($B135,KOMBI!$A:$ADS,MATCH(Tulem!CA$3,KOMBI!$A$1:$ADS$1,0),FALSE)</f>
        <v>#NUM!</v>
      </c>
      <c r="CB135" s="292" t="e">
        <f t="array" aca="1" ref="CB135" ca="1">VLOOKUP($B135,KOMBI!$A:$ADS,MATCH(Tulem!CB$3,KOMBI!$A$1:$ADS$1,0),FALSE)</f>
        <v>#NUM!</v>
      </c>
      <c r="CC135" s="292" t="e">
        <f t="array" aca="1" ref="CC135" ca="1">VLOOKUP($B135,KOMBI!$A:$ADS,MATCH(Tulem!CC$3,KOMBI!$A$1:$ADS$1,0),FALSE)</f>
        <v>#NUM!</v>
      </c>
      <c r="CD135" s="292" t="e">
        <f t="array" aca="1" ref="CD135" ca="1">VLOOKUP($B135,KOMBI!$A:$ADS,MATCH(Tulem!CD$3,KOMBI!$A$1:$ADS$1,0),FALSE)</f>
        <v>#NUM!</v>
      </c>
      <c r="CF135" s="51" t="e">
        <f ca="1">VLOOKUP($B135,KOMBI!$A:$ACG,MATCH(CF$5,KOMBI!$10:$10,0),FALSE)</f>
        <v>#NUM!</v>
      </c>
    </row>
    <row r="136" spans="1:84" x14ac:dyDescent="0.2">
      <c r="A136" s="51">
        <v>131</v>
      </c>
      <c r="B136" s="51" t="e">
        <f ca="1">KOMBI!GI141</f>
        <v>#NUM!</v>
      </c>
      <c r="C136" s="51">
        <f t="shared" si="6"/>
        <v>131</v>
      </c>
      <c r="D136" s="290" t="e">
        <f ca="1">VLOOKUP(VLOOKUP($B136,KOMBI!$A:$H,3,FALSE),data!$I$27:$J$29,2,FALSE)</f>
        <v>#NUM!</v>
      </c>
      <c r="E136" s="290" t="e">
        <f ca="1">VLOOKUP(VLOOKUP($B136,KOMBI!$A:$H,2,FALSE),data!$I$21:$J$23,2,FALSE)</f>
        <v>#NUM!</v>
      </c>
      <c r="F136" s="290" t="e">
        <f ca="1">VLOOKUP(VLOOKUP($B136,KOMBI!$A:$H,5,FALSE),data!$I$39:$J$41,2,FALSE)</f>
        <v>#NUM!</v>
      </c>
      <c r="G136" s="290" t="e">
        <f ca="1">VLOOKUP(VLOOKUP($B136,KOMBI!$A:$H,4,FALSE),data!$I$32:$J$36,2,FALSE)</f>
        <v>#NUM!</v>
      </c>
      <c r="I136" s="51" t="e">
        <f ca="1">VLOOKUP($B136,KOMBI!$A:$Z,MATCH(I$5,KOMBI!$10:$10,0),FALSE)</f>
        <v>#NUM!</v>
      </c>
      <c r="J136" s="291" t="e">
        <f ca="1">VLOOKUP($B136,KOMBI!$A:$ADS,J$3,FALSE)</f>
        <v>#NUM!</v>
      </c>
      <c r="K136" s="291" t="e">
        <f ca="1">VLOOKUP($B136,KOMBI!$A:$ADS,K$3,FALSE)</f>
        <v>#NUM!</v>
      </c>
      <c r="L136" s="291" t="e">
        <f ca="1">VLOOKUP($B136,KOMBI!$A:$ADS,L$3,FALSE)</f>
        <v>#NUM!</v>
      </c>
      <c r="M136" s="291" t="e">
        <f ca="1">VLOOKUP($B136,KOMBI!$A:$ADS,M$3,FALSE)</f>
        <v>#NUM!</v>
      </c>
      <c r="N136" s="291" t="e">
        <f ca="1">VLOOKUP($B136,KOMBI!$A:$ADS,N$3,FALSE)</f>
        <v>#NUM!</v>
      </c>
      <c r="O136" s="291" t="e">
        <f ca="1">VLOOKUP($B136,KOMBI!$A:$ADS,O$3,FALSE)</f>
        <v>#NUM!</v>
      </c>
      <c r="P136" s="291" t="e">
        <f ca="1">VLOOKUP($B136,KOMBI!$A:$ADS,P$3,FALSE)</f>
        <v>#NUM!</v>
      </c>
      <c r="Q136" s="292" t="e">
        <f t="array" aca="1" ref="Q136" ca="1">VLOOKUP($B136,KOMBI!$A:$ADS,MATCH(Tulem!Q$3,KOMBI!$A$1:$ADS$1,0),FALSE)</f>
        <v>#NUM!</v>
      </c>
      <c r="S136" s="332" t="e">
        <f t="array" aca="1" ref="S136" ca="1">VLOOKUP($B136,KOMBI!$A:$ADS,MATCH(Tulem!S$3,KOMBI!$A$1:$ADS$1,0),FALSE)</f>
        <v>#NUM!</v>
      </c>
      <c r="T136" s="293" t="e">
        <f ca="1">VLOOKUP($B136,KOMBI!$A:$ADS,T$3,FALSE)</f>
        <v>#NUM!</v>
      </c>
      <c r="U136" s="293" t="e">
        <f ca="1">VLOOKUP($B136,KOMBI!$A:$ADS,U$3,FALSE)</f>
        <v>#NUM!</v>
      </c>
      <c r="V136" s="293" t="e">
        <f ca="1">VLOOKUP($B136,KOMBI!$A:$ADS,V$3,FALSE)</f>
        <v>#NUM!</v>
      </c>
      <c r="W136" s="293"/>
      <c r="X136" s="293" t="e">
        <f ca="1">VLOOKUP($B136,KOMBI!$A:$ADS,X$3,FALSE)</f>
        <v>#NUM!</v>
      </c>
      <c r="Y136" s="293" t="e">
        <f ca="1">VLOOKUP($B136,KOMBI!$A:$ADS,Y$3,FALSE)</f>
        <v>#NUM!</v>
      </c>
      <c r="Z136" s="293" t="e">
        <f ca="1">VLOOKUP($B136,KOMBI!$A:$ADS,Z$3,FALSE)</f>
        <v>#NUM!</v>
      </c>
      <c r="AA136" s="294"/>
      <c r="AB136" s="293" t="e">
        <f ca="1">VLOOKUP($B136,KOMBI!$A:$ADS,AB$3,FALSE)</f>
        <v>#NUM!</v>
      </c>
      <c r="AC136" s="293" t="e">
        <f ca="1">VLOOKUP($B136,KOMBI!$A:$ADS,AC$3,FALSE)-AB136</f>
        <v>#NUM!</v>
      </c>
      <c r="AD136" s="293" t="e">
        <f ca="1">VLOOKUP($B136,KOMBI!$A:$ADS,AD$3,FALSE)</f>
        <v>#NUM!</v>
      </c>
      <c r="AE136" s="293" t="e">
        <f ca="1">VLOOKUP($B136,KOMBI!$A:$ADS,AE$3,FALSE)</f>
        <v>#NUM!</v>
      </c>
      <c r="AF136" s="293" t="e">
        <f ca="1">VLOOKUP($B136,KOMBI!$A:$ADS,AF$3,FALSE)-AE136</f>
        <v>#NUM!</v>
      </c>
      <c r="AG136" s="293" t="e">
        <f ca="1">VLOOKUP($B136,KOMBI!$A:$ADS,AG$3,FALSE)</f>
        <v>#NUM!</v>
      </c>
      <c r="AI136" s="293" t="e">
        <f t="array" aca="1" ref="AI136" ca="1">VLOOKUP($B136,KOMBI!$A:$ADS,MATCH(Tulem!AI$3,KOMBI!$A$1:$ADS$1,0),FALSE)</f>
        <v>#NUM!</v>
      </c>
      <c r="AJ136" s="293" t="e">
        <f t="array" aca="1" ref="AJ136" ca="1">VLOOKUP($B136,KOMBI!$A:$ADS,MATCH(Tulem!AJ$3,KOMBI!$A$1:$ADS$1,0),FALSE)</f>
        <v>#NUM!</v>
      </c>
      <c r="AK136" s="293" t="e">
        <f t="array" aca="1" ref="AK136" ca="1">VLOOKUP($B136,KOMBI!$A:$ADS,MATCH(Tulem!AK$3,KOMBI!$A$1:$ADS$1,0),FALSE)</f>
        <v>#NUM!</v>
      </c>
      <c r="AL136" s="293" t="e">
        <f t="array" aca="1" ref="AL136" ca="1">VLOOKUP($B136,KOMBI!$A:$ADS,MATCH(Tulem!AL$3,KOMBI!$A$1:$ADS$1,0),FALSE)</f>
        <v>#NUM!</v>
      </c>
      <c r="AM136" s="293" t="e">
        <f t="array" aca="1" ref="AM136" ca="1">VLOOKUP($B136,KOMBI!$A:$ADS,MATCH(Tulem!AM$3,KOMBI!$A$1:$ADS$1,0),FALSE)</f>
        <v>#NUM!</v>
      </c>
      <c r="AN136" s="293" t="e">
        <f t="array" aca="1" ref="AN136" ca="1">VLOOKUP($B136,KOMBI!$A:$ADS,MATCH(Tulem!AN$3,KOMBI!$A$1:$ADS$1,0),FALSE)</f>
        <v>#NUM!</v>
      </c>
      <c r="AO136" s="293" t="e">
        <f t="array" aca="1" ref="AO136" ca="1">VLOOKUP($B136,KOMBI!$A:$ADS,MATCH(Tulem!AO$3,KOMBI!$A$1:$ADS$1,0),FALSE)</f>
        <v>#NUM!</v>
      </c>
      <c r="AP136" s="293" t="e">
        <f t="array" aca="1" ref="AP136" ca="1">VLOOKUP($B136,KOMBI!$A:$ADS,MATCH(Tulem!AP$3,KOMBI!$A$1:$ADS$1,0),FALSE)</f>
        <v>#NUM!</v>
      </c>
      <c r="AQ136" s="293" t="e">
        <f t="array" aca="1" ref="AQ136" ca="1">VLOOKUP($B136,KOMBI!$A:$ADS,MATCH(Tulem!AQ$3,KOMBI!$A$1:$ADS$1,0),FALSE)</f>
        <v>#NUM!</v>
      </c>
      <c r="AR136" s="293" t="e">
        <f t="array" aca="1" ref="AR136" ca="1">VLOOKUP($B136,KOMBI!$A:$ADS,MATCH(Tulem!AR$3,KOMBI!$A$1:$ADS$1,0),FALSE)</f>
        <v>#NUM!</v>
      </c>
      <c r="AS136" s="293" t="e">
        <f t="array" aca="1" ref="AS136" ca="1">VLOOKUP($B136,KOMBI!$A:$ADS,MATCH(Tulem!AS$3,KOMBI!$A$1:$ADS$1,0),FALSE)</f>
        <v>#NUM!</v>
      </c>
      <c r="AT136" s="293" t="e">
        <f t="array" aca="1" ref="AT136" ca="1">VLOOKUP($B136,KOMBI!$A:$ADS,MATCH(Tulem!AT$3,KOMBI!$A$1:$ADS$1,0),FALSE)</f>
        <v>#NUM!</v>
      </c>
      <c r="AU136" s="293" t="e">
        <f t="array" aca="1" ref="AU136" ca="1">VLOOKUP($B136,KOMBI!$A:$ADS,MATCH(Tulem!AU$3,KOMBI!$A$1:$ADS$1,0),FALSE)</f>
        <v>#NUM!</v>
      </c>
      <c r="AV136" s="293" t="e">
        <f t="shared" ca="1" si="7"/>
        <v>#NUM!</v>
      </c>
      <c r="AW136" s="293" t="e">
        <f t="shared" ca="1" si="8"/>
        <v>#NUM!</v>
      </c>
      <c r="AX136" s="291" t="e">
        <f ca="1">VLOOKUP($B136,KOMBI!$A:$ACA,MATCH(AX$5,KOMBI!$10:$10,0),FALSE)</f>
        <v>#NUM!</v>
      </c>
      <c r="AY136" s="292" t="e">
        <f t="array" aca="1" ref="AY136" ca="1">VLOOKUP($B136,KOMBI!$A:$ADS,MATCH(Tulem!AY$3,KOMBI!$A$1:$ADS$1,0),FALSE)</f>
        <v>#NUM!</v>
      </c>
      <c r="AZ136" s="292" t="e">
        <f t="array" aca="1" ref="AZ136" ca="1">VLOOKUP($B136,KOMBI!$A:$ADS,MATCH(Tulem!AZ$3,KOMBI!$A$1:$ADS$1,0),FALSE)</f>
        <v>#NUM!</v>
      </c>
      <c r="BA136" s="292" t="e">
        <f t="array" aca="1" ref="BA136" ca="1">VLOOKUP($B136,KOMBI!$A:$ADS,MATCH(Tulem!BA$3,KOMBI!$A$1:$ADS$1,0),FALSE)</f>
        <v>#NUM!</v>
      </c>
      <c r="BB136" s="292" t="e">
        <f t="array" aca="1" ref="BB136" ca="1">VLOOKUP($B136,KOMBI!$A:$ADS,MATCH(Tulem!BB$3,KOMBI!$A$1:$ADS$1,0),FALSE)</f>
        <v>#NUM!</v>
      </c>
      <c r="BC136" s="292" t="e">
        <f t="array" aca="1" ref="BC136" ca="1">VLOOKUP($B136,KOMBI!$A:$ADS,MATCH(Tulem!BC$3,KOMBI!$A$1:$ADS$1,0),FALSE)</f>
        <v>#NUM!</v>
      </c>
      <c r="BD136" s="292" t="e">
        <f t="array" aca="1" ref="BD136" ca="1">VLOOKUP($B136,KOMBI!$A:$ADS,MATCH(Tulem!BD$3,KOMBI!$A$1:$ADS$1,0),FALSE)</f>
        <v>#NUM!</v>
      </c>
      <c r="BE136" s="292" t="e">
        <f t="array" aca="1" ref="BE136" ca="1">VLOOKUP($B136,KOMBI!$A:$ADS,MATCH(Tulem!BE$3,KOMBI!$A$1:$ADS$1,0),FALSE)</f>
        <v>#NUM!</v>
      </c>
      <c r="BF136" s="292" t="e">
        <f t="array" aca="1" ref="BF136" ca="1">VLOOKUP($B136,KOMBI!$A:$ADS,MATCH(Tulem!BF$3,KOMBI!$A$1:$ADS$1,0),FALSE)</f>
        <v>#NUM!</v>
      </c>
      <c r="BG136" s="292" t="e">
        <f t="array" aca="1" ref="BG136" ca="1">VLOOKUP($B136,KOMBI!$A:$ADS,MATCH(Tulem!BG$3,KOMBI!$A$1:$ADS$1,0),FALSE)</f>
        <v>#NUM!</v>
      </c>
      <c r="BH136" s="292" t="e">
        <f t="array" aca="1" ref="BH136" ca="1">VLOOKUP($B136,KOMBI!$A:$ADS,MATCH(Tulem!BH$3,KOMBI!$A$1:$ADS$1,0),FALSE)</f>
        <v>#NUM!</v>
      </c>
      <c r="BI136" s="292" t="e">
        <f t="array" aca="1" ref="BI136" ca="1">VLOOKUP($B136,KOMBI!$A:$ADS,MATCH(Tulem!BI$3,KOMBI!$A$1:$ADS$1,0),FALSE)</f>
        <v>#NUM!</v>
      </c>
      <c r="BJ136" s="292" t="e">
        <f t="array" aca="1" ref="BJ136" ca="1">VLOOKUP($B136,KOMBI!$A:$ADS,MATCH(Tulem!BJ$3,KOMBI!$A$1:$ADS$1,0),FALSE)</f>
        <v>#NUM!</v>
      </c>
      <c r="BK136" s="292" t="e">
        <f t="array" aca="1" ref="BK136" ca="1">VLOOKUP($B136,KOMBI!$A:$ADS,MATCH(Tulem!BK$3,KOMBI!$A$1:$ADS$1,0),FALSE)</f>
        <v>#NUM!</v>
      </c>
      <c r="BL136" s="292" t="e">
        <f t="array" aca="1" ref="BL136" ca="1">VLOOKUP($B136,KOMBI!$A:$ADS,MATCH(Tulem!BL$3,KOMBI!$A$1:$ADS$1,0),FALSE)</f>
        <v>#NUM!</v>
      </c>
      <c r="BM136" s="292" t="e">
        <f t="array" aca="1" ref="BM136" ca="1">VLOOKUP($B136,KOMBI!$A:$ADS,MATCH(Tulem!BM$3,KOMBI!$A$1:$ADS$1,0),FALSE)</f>
        <v>#NUM!</v>
      </c>
      <c r="BN136" s="292" t="e">
        <f t="array" aca="1" ref="BN136" ca="1">VLOOKUP($B136,KOMBI!$A:$ADS,MATCH(Tulem!BN$3,KOMBI!$A$1:$ADS$1,0),FALSE)</f>
        <v>#NUM!</v>
      </c>
      <c r="BO136" s="292" t="e">
        <f t="array" aca="1" ref="BO136" ca="1">VLOOKUP($B136,KOMBI!$A:$ADS,MATCH(Tulem!BO$3,KOMBI!$A$1:$ADS$1,0),FALSE)</f>
        <v>#NUM!</v>
      </c>
      <c r="BP136" s="291"/>
      <c r="BQ136" s="292" t="e">
        <f t="array" aca="1" ref="BQ136" ca="1">VLOOKUP($B136,KOMBI!$A:$ADS,MATCH(Tulem!BQ$3,KOMBI!$A$1:$ADS$1,0),FALSE)</f>
        <v>#NUM!</v>
      </c>
      <c r="BR136" s="292" t="e">
        <f t="array" aca="1" ref="BR136" ca="1">VLOOKUP($B136,KOMBI!$A:$ADS,MATCH(Tulem!BR$3,KOMBI!$A$1:$ADS$1,0),FALSE)</f>
        <v>#NUM!</v>
      </c>
      <c r="BS136" s="292" t="e">
        <f t="array" aca="1" ref="BS136" ca="1">VLOOKUP($B136,KOMBI!$A:$ADS,MATCH(Tulem!BS$3,KOMBI!$A$1:$ADS$1,0),FALSE)</f>
        <v>#NUM!</v>
      </c>
      <c r="BT136" s="292" t="e">
        <f t="array" aca="1" ref="BT136" ca="1">VLOOKUP($B136,KOMBI!$A:$ADS,MATCH(Tulem!BT$3,KOMBI!$A$1:$ADS$1,0),FALSE)</f>
        <v>#NUM!</v>
      </c>
      <c r="BU136" s="292" t="e">
        <f t="array" aca="1" ref="BU136" ca="1">VLOOKUP($B136,KOMBI!$A:$ADS,MATCH(Tulem!BU$3,KOMBI!$A$1:$ADS$1,0),FALSE)</f>
        <v>#NUM!</v>
      </c>
      <c r="BV136" s="291"/>
      <c r="BW136" s="292" t="e">
        <f t="array" aca="1" ref="BW136" ca="1">VLOOKUP($B136,KOMBI!$A:$ADS,MATCH(Tulem!BW$3,KOMBI!$A$1:$ADS$1,0),FALSE)</f>
        <v>#NUM!</v>
      </c>
      <c r="BX136" s="291"/>
      <c r="BY136" s="291"/>
      <c r="BZ136" s="292" t="e">
        <f t="array" aca="1" ref="BZ136" ca="1">VLOOKUP($B136,KOMBI!$A:$ADS,MATCH(Tulem!BZ$3,KOMBI!$A$1:$ADS$1,0),FALSE)</f>
        <v>#NUM!</v>
      </c>
      <c r="CA136" s="292" t="e">
        <f t="array" aca="1" ref="CA136" ca="1">VLOOKUP($B136,KOMBI!$A:$ADS,MATCH(Tulem!CA$3,KOMBI!$A$1:$ADS$1,0),FALSE)</f>
        <v>#NUM!</v>
      </c>
      <c r="CB136" s="292" t="e">
        <f t="array" aca="1" ref="CB136" ca="1">VLOOKUP($B136,KOMBI!$A:$ADS,MATCH(Tulem!CB$3,KOMBI!$A$1:$ADS$1,0),FALSE)</f>
        <v>#NUM!</v>
      </c>
      <c r="CC136" s="292" t="e">
        <f t="array" aca="1" ref="CC136" ca="1">VLOOKUP($B136,KOMBI!$A:$ADS,MATCH(Tulem!CC$3,KOMBI!$A$1:$ADS$1,0),FALSE)</f>
        <v>#NUM!</v>
      </c>
      <c r="CD136" s="292" t="e">
        <f t="array" aca="1" ref="CD136" ca="1">VLOOKUP($B136,KOMBI!$A:$ADS,MATCH(Tulem!CD$3,KOMBI!$A$1:$ADS$1,0),FALSE)</f>
        <v>#NUM!</v>
      </c>
      <c r="CF136" s="51" t="e">
        <f ca="1">VLOOKUP($B136,KOMBI!$A:$ACG,MATCH(CF$5,KOMBI!$10:$10,0),FALSE)</f>
        <v>#NUM!</v>
      </c>
    </row>
    <row r="137" spans="1:84" x14ac:dyDescent="0.2">
      <c r="A137" s="51">
        <v>132</v>
      </c>
      <c r="B137" s="51" t="e">
        <f ca="1">KOMBI!GI142</f>
        <v>#NUM!</v>
      </c>
      <c r="C137" s="51">
        <f t="shared" si="6"/>
        <v>132</v>
      </c>
      <c r="D137" s="290" t="e">
        <f ca="1">VLOOKUP(VLOOKUP($B137,KOMBI!$A:$H,3,FALSE),data!$I$27:$J$29,2,FALSE)</f>
        <v>#NUM!</v>
      </c>
      <c r="E137" s="290" t="e">
        <f ca="1">VLOOKUP(VLOOKUP($B137,KOMBI!$A:$H,2,FALSE),data!$I$21:$J$23,2,FALSE)</f>
        <v>#NUM!</v>
      </c>
      <c r="F137" s="290" t="e">
        <f ca="1">VLOOKUP(VLOOKUP($B137,KOMBI!$A:$H,5,FALSE),data!$I$39:$J$41,2,FALSE)</f>
        <v>#NUM!</v>
      </c>
      <c r="G137" s="290" t="e">
        <f ca="1">VLOOKUP(VLOOKUP($B137,KOMBI!$A:$H,4,FALSE),data!$I$32:$J$36,2,FALSE)</f>
        <v>#NUM!</v>
      </c>
      <c r="I137" s="51" t="e">
        <f ca="1">VLOOKUP($B137,KOMBI!$A:$Z,MATCH(I$5,KOMBI!$10:$10,0),FALSE)</f>
        <v>#NUM!</v>
      </c>
      <c r="J137" s="291" t="e">
        <f ca="1">VLOOKUP($B137,KOMBI!$A:$ADS,J$3,FALSE)</f>
        <v>#NUM!</v>
      </c>
      <c r="K137" s="291" t="e">
        <f ca="1">VLOOKUP($B137,KOMBI!$A:$ADS,K$3,FALSE)</f>
        <v>#NUM!</v>
      </c>
      <c r="L137" s="291" t="e">
        <f ca="1">VLOOKUP($B137,KOMBI!$A:$ADS,L$3,FALSE)</f>
        <v>#NUM!</v>
      </c>
      <c r="M137" s="291" t="e">
        <f ca="1">VLOOKUP($B137,KOMBI!$A:$ADS,M$3,FALSE)</f>
        <v>#NUM!</v>
      </c>
      <c r="N137" s="291" t="e">
        <f ca="1">VLOOKUP($B137,KOMBI!$A:$ADS,N$3,FALSE)</f>
        <v>#NUM!</v>
      </c>
      <c r="O137" s="291" t="e">
        <f ca="1">VLOOKUP($B137,KOMBI!$A:$ADS,O$3,FALSE)</f>
        <v>#NUM!</v>
      </c>
      <c r="P137" s="291" t="e">
        <f ca="1">VLOOKUP($B137,KOMBI!$A:$ADS,P$3,FALSE)</f>
        <v>#NUM!</v>
      </c>
      <c r="Q137" s="292" t="e">
        <f t="array" aca="1" ref="Q137" ca="1">VLOOKUP($B137,KOMBI!$A:$ADS,MATCH(Tulem!Q$3,KOMBI!$A$1:$ADS$1,0),FALSE)</f>
        <v>#NUM!</v>
      </c>
      <c r="S137" s="332" t="e">
        <f t="array" aca="1" ref="S137" ca="1">VLOOKUP($B137,KOMBI!$A:$ADS,MATCH(Tulem!S$3,KOMBI!$A$1:$ADS$1,0),FALSE)</f>
        <v>#NUM!</v>
      </c>
      <c r="T137" s="293" t="e">
        <f ca="1">VLOOKUP($B137,KOMBI!$A:$ADS,T$3,FALSE)</f>
        <v>#NUM!</v>
      </c>
      <c r="U137" s="293" t="e">
        <f ca="1">VLOOKUP($B137,KOMBI!$A:$ADS,U$3,FALSE)</f>
        <v>#NUM!</v>
      </c>
      <c r="V137" s="293" t="e">
        <f ca="1">VLOOKUP($B137,KOMBI!$A:$ADS,V$3,FALSE)</f>
        <v>#NUM!</v>
      </c>
      <c r="W137" s="293"/>
      <c r="X137" s="293" t="e">
        <f ca="1">VLOOKUP($B137,KOMBI!$A:$ADS,X$3,FALSE)</f>
        <v>#NUM!</v>
      </c>
      <c r="Y137" s="293" t="e">
        <f ca="1">VLOOKUP($B137,KOMBI!$A:$ADS,Y$3,FALSE)</f>
        <v>#NUM!</v>
      </c>
      <c r="Z137" s="293" t="e">
        <f ca="1">VLOOKUP($B137,KOMBI!$A:$ADS,Z$3,FALSE)</f>
        <v>#NUM!</v>
      </c>
      <c r="AA137" s="294"/>
      <c r="AB137" s="293" t="e">
        <f ca="1">VLOOKUP($B137,KOMBI!$A:$ADS,AB$3,FALSE)</f>
        <v>#NUM!</v>
      </c>
      <c r="AC137" s="293" t="e">
        <f ca="1">VLOOKUP($B137,KOMBI!$A:$ADS,AC$3,FALSE)-AB137</f>
        <v>#NUM!</v>
      </c>
      <c r="AD137" s="293" t="e">
        <f ca="1">VLOOKUP($B137,KOMBI!$A:$ADS,AD$3,FALSE)</f>
        <v>#NUM!</v>
      </c>
      <c r="AE137" s="293" t="e">
        <f ca="1">VLOOKUP($B137,KOMBI!$A:$ADS,AE$3,FALSE)</f>
        <v>#NUM!</v>
      </c>
      <c r="AF137" s="293" t="e">
        <f ca="1">VLOOKUP($B137,KOMBI!$A:$ADS,AF$3,FALSE)-AE137</f>
        <v>#NUM!</v>
      </c>
      <c r="AG137" s="293" t="e">
        <f ca="1">VLOOKUP($B137,KOMBI!$A:$ADS,AG$3,FALSE)</f>
        <v>#NUM!</v>
      </c>
      <c r="AI137" s="293" t="e">
        <f t="array" aca="1" ref="AI137" ca="1">VLOOKUP($B137,KOMBI!$A:$ADS,MATCH(Tulem!AI$3,KOMBI!$A$1:$ADS$1,0),FALSE)</f>
        <v>#NUM!</v>
      </c>
      <c r="AJ137" s="293" t="e">
        <f t="array" aca="1" ref="AJ137" ca="1">VLOOKUP($B137,KOMBI!$A:$ADS,MATCH(Tulem!AJ$3,KOMBI!$A$1:$ADS$1,0),FALSE)</f>
        <v>#NUM!</v>
      </c>
      <c r="AK137" s="293" t="e">
        <f t="array" aca="1" ref="AK137" ca="1">VLOOKUP($B137,KOMBI!$A:$ADS,MATCH(Tulem!AK$3,KOMBI!$A$1:$ADS$1,0),FALSE)</f>
        <v>#NUM!</v>
      </c>
      <c r="AL137" s="293" t="e">
        <f t="array" aca="1" ref="AL137" ca="1">VLOOKUP($B137,KOMBI!$A:$ADS,MATCH(Tulem!AL$3,KOMBI!$A$1:$ADS$1,0),FALSE)</f>
        <v>#NUM!</v>
      </c>
      <c r="AM137" s="293" t="e">
        <f t="array" aca="1" ref="AM137" ca="1">VLOOKUP($B137,KOMBI!$A:$ADS,MATCH(Tulem!AM$3,KOMBI!$A$1:$ADS$1,0),FALSE)</f>
        <v>#NUM!</v>
      </c>
      <c r="AN137" s="293" t="e">
        <f t="array" aca="1" ref="AN137" ca="1">VLOOKUP($B137,KOMBI!$A:$ADS,MATCH(Tulem!AN$3,KOMBI!$A$1:$ADS$1,0),FALSE)</f>
        <v>#NUM!</v>
      </c>
      <c r="AO137" s="293" t="e">
        <f t="array" aca="1" ref="AO137" ca="1">VLOOKUP($B137,KOMBI!$A:$ADS,MATCH(Tulem!AO$3,KOMBI!$A$1:$ADS$1,0),FALSE)</f>
        <v>#NUM!</v>
      </c>
      <c r="AP137" s="293" t="e">
        <f t="array" aca="1" ref="AP137" ca="1">VLOOKUP($B137,KOMBI!$A:$ADS,MATCH(Tulem!AP$3,KOMBI!$A$1:$ADS$1,0),FALSE)</f>
        <v>#NUM!</v>
      </c>
      <c r="AQ137" s="293" t="e">
        <f t="array" aca="1" ref="AQ137" ca="1">VLOOKUP($B137,KOMBI!$A:$ADS,MATCH(Tulem!AQ$3,KOMBI!$A$1:$ADS$1,0),FALSE)</f>
        <v>#NUM!</v>
      </c>
      <c r="AR137" s="293" t="e">
        <f t="array" aca="1" ref="AR137" ca="1">VLOOKUP($B137,KOMBI!$A:$ADS,MATCH(Tulem!AR$3,KOMBI!$A$1:$ADS$1,0),FALSE)</f>
        <v>#NUM!</v>
      </c>
      <c r="AS137" s="293" t="e">
        <f t="array" aca="1" ref="AS137" ca="1">VLOOKUP($B137,KOMBI!$A:$ADS,MATCH(Tulem!AS$3,KOMBI!$A$1:$ADS$1,0),FALSE)</f>
        <v>#NUM!</v>
      </c>
      <c r="AT137" s="293" t="e">
        <f t="array" aca="1" ref="AT137" ca="1">VLOOKUP($B137,KOMBI!$A:$ADS,MATCH(Tulem!AT$3,KOMBI!$A$1:$ADS$1,0),FALSE)</f>
        <v>#NUM!</v>
      </c>
      <c r="AU137" s="293" t="e">
        <f t="array" aca="1" ref="AU137" ca="1">VLOOKUP($B137,KOMBI!$A:$ADS,MATCH(Tulem!AU$3,KOMBI!$A$1:$ADS$1,0),FALSE)</f>
        <v>#NUM!</v>
      </c>
      <c r="AV137" s="293" t="e">
        <f t="shared" ca="1" si="7"/>
        <v>#NUM!</v>
      </c>
      <c r="AW137" s="293" t="e">
        <f t="shared" ca="1" si="8"/>
        <v>#NUM!</v>
      </c>
      <c r="AX137" s="291" t="e">
        <f ca="1">VLOOKUP($B137,KOMBI!$A:$ACA,MATCH(AX$5,KOMBI!$10:$10,0),FALSE)</f>
        <v>#NUM!</v>
      </c>
      <c r="AY137" s="292" t="e">
        <f t="array" aca="1" ref="AY137" ca="1">VLOOKUP($B137,KOMBI!$A:$ADS,MATCH(Tulem!AY$3,KOMBI!$A$1:$ADS$1,0),FALSE)</f>
        <v>#NUM!</v>
      </c>
      <c r="AZ137" s="292" t="e">
        <f t="array" aca="1" ref="AZ137" ca="1">VLOOKUP($B137,KOMBI!$A:$ADS,MATCH(Tulem!AZ$3,KOMBI!$A$1:$ADS$1,0),FALSE)</f>
        <v>#NUM!</v>
      </c>
      <c r="BA137" s="292" t="e">
        <f t="array" aca="1" ref="BA137" ca="1">VLOOKUP($B137,KOMBI!$A:$ADS,MATCH(Tulem!BA$3,KOMBI!$A$1:$ADS$1,0),FALSE)</f>
        <v>#NUM!</v>
      </c>
      <c r="BB137" s="292" t="e">
        <f t="array" aca="1" ref="BB137" ca="1">VLOOKUP($B137,KOMBI!$A:$ADS,MATCH(Tulem!BB$3,KOMBI!$A$1:$ADS$1,0),FALSE)</f>
        <v>#NUM!</v>
      </c>
      <c r="BC137" s="292" t="e">
        <f t="array" aca="1" ref="BC137" ca="1">VLOOKUP($B137,KOMBI!$A:$ADS,MATCH(Tulem!BC$3,KOMBI!$A$1:$ADS$1,0),FALSE)</f>
        <v>#NUM!</v>
      </c>
      <c r="BD137" s="292" t="e">
        <f t="array" aca="1" ref="BD137" ca="1">VLOOKUP($B137,KOMBI!$A:$ADS,MATCH(Tulem!BD$3,KOMBI!$A$1:$ADS$1,0),FALSE)</f>
        <v>#NUM!</v>
      </c>
      <c r="BE137" s="292" t="e">
        <f t="array" aca="1" ref="BE137" ca="1">VLOOKUP($B137,KOMBI!$A:$ADS,MATCH(Tulem!BE$3,KOMBI!$A$1:$ADS$1,0),FALSE)</f>
        <v>#NUM!</v>
      </c>
      <c r="BF137" s="292" t="e">
        <f t="array" aca="1" ref="BF137" ca="1">VLOOKUP($B137,KOMBI!$A:$ADS,MATCH(Tulem!BF$3,KOMBI!$A$1:$ADS$1,0),FALSE)</f>
        <v>#NUM!</v>
      </c>
      <c r="BG137" s="292" t="e">
        <f t="array" aca="1" ref="BG137" ca="1">VLOOKUP($B137,KOMBI!$A:$ADS,MATCH(Tulem!BG$3,KOMBI!$A$1:$ADS$1,0),FALSE)</f>
        <v>#NUM!</v>
      </c>
      <c r="BH137" s="292" t="e">
        <f t="array" aca="1" ref="BH137" ca="1">VLOOKUP($B137,KOMBI!$A:$ADS,MATCH(Tulem!BH$3,KOMBI!$A$1:$ADS$1,0),FALSE)</f>
        <v>#NUM!</v>
      </c>
      <c r="BI137" s="292" t="e">
        <f t="array" aca="1" ref="BI137" ca="1">VLOOKUP($B137,KOMBI!$A:$ADS,MATCH(Tulem!BI$3,KOMBI!$A$1:$ADS$1,0),FALSE)</f>
        <v>#NUM!</v>
      </c>
      <c r="BJ137" s="292" t="e">
        <f t="array" aca="1" ref="BJ137" ca="1">VLOOKUP($B137,KOMBI!$A:$ADS,MATCH(Tulem!BJ$3,KOMBI!$A$1:$ADS$1,0),FALSE)</f>
        <v>#NUM!</v>
      </c>
      <c r="BK137" s="292" t="e">
        <f t="array" aca="1" ref="BK137" ca="1">VLOOKUP($B137,KOMBI!$A:$ADS,MATCH(Tulem!BK$3,KOMBI!$A$1:$ADS$1,0),FALSE)</f>
        <v>#NUM!</v>
      </c>
      <c r="BL137" s="292" t="e">
        <f t="array" aca="1" ref="BL137" ca="1">VLOOKUP($B137,KOMBI!$A:$ADS,MATCH(Tulem!BL$3,KOMBI!$A$1:$ADS$1,0),FALSE)</f>
        <v>#NUM!</v>
      </c>
      <c r="BM137" s="292" t="e">
        <f t="array" aca="1" ref="BM137" ca="1">VLOOKUP($B137,KOMBI!$A:$ADS,MATCH(Tulem!BM$3,KOMBI!$A$1:$ADS$1,0),FALSE)</f>
        <v>#NUM!</v>
      </c>
      <c r="BN137" s="292" t="e">
        <f t="array" aca="1" ref="BN137" ca="1">VLOOKUP($B137,KOMBI!$A:$ADS,MATCH(Tulem!BN$3,KOMBI!$A$1:$ADS$1,0),FALSE)</f>
        <v>#NUM!</v>
      </c>
      <c r="BO137" s="292" t="e">
        <f t="array" aca="1" ref="BO137" ca="1">VLOOKUP($B137,KOMBI!$A:$ADS,MATCH(Tulem!BO$3,KOMBI!$A$1:$ADS$1,0),FALSE)</f>
        <v>#NUM!</v>
      </c>
      <c r="BP137" s="291"/>
      <c r="BQ137" s="292" t="e">
        <f t="array" aca="1" ref="BQ137" ca="1">VLOOKUP($B137,KOMBI!$A:$ADS,MATCH(Tulem!BQ$3,KOMBI!$A$1:$ADS$1,0),FALSE)</f>
        <v>#NUM!</v>
      </c>
      <c r="BR137" s="292" t="e">
        <f t="array" aca="1" ref="BR137" ca="1">VLOOKUP($B137,KOMBI!$A:$ADS,MATCH(Tulem!BR$3,KOMBI!$A$1:$ADS$1,0),FALSE)</f>
        <v>#NUM!</v>
      </c>
      <c r="BS137" s="292" t="e">
        <f t="array" aca="1" ref="BS137" ca="1">VLOOKUP($B137,KOMBI!$A:$ADS,MATCH(Tulem!BS$3,KOMBI!$A$1:$ADS$1,0),FALSE)</f>
        <v>#NUM!</v>
      </c>
      <c r="BT137" s="292" t="e">
        <f t="array" aca="1" ref="BT137" ca="1">VLOOKUP($B137,KOMBI!$A:$ADS,MATCH(Tulem!BT$3,KOMBI!$A$1:$ADS$1,0),FALSE)</f>
        <v>#NUM!</v>
      </c>
      <c r="BU137" s="292" t="e">
        <f t="array" aca="1" ref="BU137" ca="1">VLOOKUP($B137,KOMBI!$A:$ADS,MATCH(Tulem!BU$3,KOMBI!$A$1:$ADS$1,0),FALSE)</f>
        <v>#NUM!</v>
      </c>
      <c r="BV137" s="291"/>
      <c r="BW137" s="292" t="e">
        <f t="array" aca="1" ref="BW137" ca="1">VLOOKUP($B137,KOMBI!$A:$ADS,MATCH(Tulem!BW$3,KOMBI!$A$1:$ADS$1,0),FALSE)</f>
        <v>#NUM!</v>
      </c>
      <c r="BX137" s="291"/>
      <c r="BY137" s="291"/>
      <c r="BZ137" s="292" t="e">
        <f t="array" aca="1" ref="BZ137" ca="1">VLOOKUP($B137,KOMBI!$A:$ADS,MATCH(Tulem!BZ$3,KOMBI!$A$1:$ADS$1,0),FALSE)</f>
        <v>#NUM!</v>
      </c>
      <c r="CA137" s="292" t="e">
        <f t="array" aca="1" ref="CA137" ca="1">VLOOKUP($B137,KOMBI!$A:$ADS,MATCH(Tulem!CA$3,KOMBI!$A$1:$ADS$1,0),FALSE)</f>
        <v>#NUM!</v>
      </c>
      <c r="CB137" s="292" t="e">
        <f t="array" aca="1" ref="CB137" ca="1">VLOOKUP($B137,KOMBI!$A:$ADS,MATCH(Tulem!CB$3,KOMBI!$A$1:$ADS$1,0),FALSE)</f>
        <v>#NUM!</v>
      </c>
      <c r="CC137" s="292" t="e">
        <f t="array" aca="1" ref="CC137" ca="1">VLOOKUP($B137,KOMBI!$A:$ADS,MATCH(Tulem!CC$3,KOMBI!$A$1:$ADS$1,0),FALSE)</f>
        <v>#NUM!</v>
      </c>
      <c r="CD137" s="292" t="e">
        <f t="array" aca="1" ref="CD137" ca="1">VLOOKUP($B137,KOMBI!$A:$ADS,MATCH(Tulem!CD$3,KOMBI!$A$1:$ADS$1,0),FALSE)</f>
        <v>#NUM!</v>
      </c>
      <c r="CF137" s="51" t="e">
        <f ca="1">VLOOKUP($B137,KOMBI!$A:$ACG,MATCH(CF$5,KOMBI!$10:$10,0),FALSE)</f>
        <v>#NUM!</v>
      </c>
    </row>
    <row r="138" spans="1:84" x14ac:dyDescent="0.2">
      <c r="A138" s="51">
        <v>133</v>
      </c>
      <c r="B138" s="51" t="e">
        <f ca="1">KOMBI!GI143</f>
        <v>#NUM!</v>
      </c>
      <c r="C138" s="51">
        <f t="shared" si="6"/>
        <v>133</v>
      </c>
      <c r="D138" s="290" t="e">
        <f ca="1">VLOOKUP(VLOOKUP($B138,KOMBI!$A:$H,3,FALSE),data!$I$27:$J$29,2,FALSE)</f>
        <v>#NUM!</v>
      </c>
      <c r="E138" s="290" t="e">
        <f ca="1">VLOOKUP(VLOOKUP($B138,KOMBI!$A:$H,2,FALSE),data!$I$21:$J$23,2,FALSE)</f>
        <v>#NUM!</v>
      </c>
      <c r="F138" s="290" t="e">
        <f ca="1">VLOOKUP(VLOOKUP($B138,KOMBI!$A:$H,5,FALSE),data!$I$39:$J$41,2,FALSE)</f>
        <v>#NUM!</v>
      </c>
      <c r="G138" s="290" t="e">
        <f ca="1">VLOOKUP(VLOOKUP($B138,KOMBI!$A:$H,4,FALSE),data!$I$32:$J$36,2,FALSE)</f>
        <v>#NUM!</v>
      </c>
      <c r="I138" s="51" t="e">
        <f ca="1">VLOOKUP($B138,KOMBI!$A:$Z,MATCH(I$5,KOMBI!$10:$10,0),FALSE)</f>
        <v>#NUM!</v>
      </c>
      <c r="J138" s="291" t="e">
        <f ca="1">VLOOKUP($B138,KOMBI!$A:$ADS,J$3,FALSE)</f>
        <v>#NUM!</v>
      </c>
      <c r="K138" s="291" t="e">
        <f ca="1">VLOOKUP($B138,KOMBI!$A:$ADS,K$3,FALSE)</f>
        <v>#NUM!</v>
      </c>
      <c r="L138" s="291" t="e">
        <f ca="1">VLOOKUP($B138,KOMBI!$A:$ADS,L$3,FALSE)</f>
        <v>#NUM!</v>
      </c>
      <c r="M138" s="291" t="e">
        <f ca="1">VLOOKUP($B138,KOMBI!$A:$ADS,M$3,FALSE)</f>
        <v>#NUM!</v>
      </c>
      <c r="N138" s="291" t="e">
        <f ca="1">VLOOKUP($B138,KOMBI!$A:$ADS,N$3,FALSE)</f>
        <v>#NUM!</v>
      </c>
      <c r="O138" s="291" t="e">
        <f ca="1">VLOOKUP($B138,KOMBI!$A:$ADS,O$3,FALSE)</f>
        <v>#NUM!</v>
      </c>
      <c r="P138" s="291" t="e">
        <f ca="1">VLOOKUP($B138,KOMBI!$A:$ADS,P$3,FALSE)</f>
        <v>#NUM!</v>
      </c>
      <c r="Q138" s="292" t="e">
        <f t="array" aca="1" ref="Q138" ca="1">VLOOKUP($B138,KOMBI!$A:$ADS,MATCH(Tulem!Q$3,KOMBI!$A$1:$ADS$1,0),FALSE)</f>
        <v>#NUM!</v>
      </c>
      <c r="S138" s="332" t="e">
        <f t="array" aca="1" ref="S138" ca="1">VLOOKUP($B138,KOMBI!$A:$ADS,MATCH(Tulem!S$3,KOMBI!$A$1:$ADS$1,0),FALSE)</f>
        <v>#NUM!</v>
      </c>
      <c r="T138" s="293" t="e">
        <f ca="1">VLOOKUP($B138,KOMBI!$A:$ADS,T$3,FALSE)</f>
        <v>#NUM!</v>
      </c>
      <c r="U138" s="293" t="e">
        <f ca="1">VLOOKUP($B138,KOMBI!$A:$ADS,U$3,FALSE)</f>
        <v>#NUM!</v>
      </c>
      <c r="V138" s="293" t="e">
        <f ca="1">VLOOKUP($B138,KOMBI!$A:$ADS,V$3,FALSE)</f>
        <v>#NUM!</v>
      </c>
      <c r="W138" s="293"/>
      <c r="X138" s="293" t="e">
        <f ca="1">VLOOKUP($B138,KOMBI!$A:$ADS,X$3,FALSE)</f>
        <v>#NUM!</v>
      </c>
      <c r="Y138" s="293" t="e">
        <f ca="1">VLOOKUP($B138,KOMBI!$A:$ADS,Y$3,FALSE)</f>
        <v>#NUM!</v>
      </c>
      <c r="Z138" s="293" t="e">
        <f ca="1">VLOOKUP($B138,KOMBI!$A:$ADS,Z$3,FALSE)</f>
        <v>#NUM!</v>
      </c>
      <c r="AA138" s="294"/>
      <c r="AB138" s="293" t="e">
        <f ca="1">VLOOKUP($B138,KOMBI!$A:$ADS,AB$3,FALSE)</f>
        <v>#NUM!</v>
      </c>
      <c r="AC138" s="293" t="e">
        <f ca="1">VLOOKUP($B138,KOMBI!$A:$ADS,AC$3,FALSE)-AB138</f>
        <v>#NUM!</v>
      </c>
      <c r="AD138" s="293" t="e">
        <f ca="1">VLOOKUP($B138,KOMBI!$A:$ADS,AD$3,FALSE)</f>
        <v>#NUM!</v>
      </c>
      <c r="AE138" s="293" t="e">
        <f ca="1">VLOOKUP($B138,KOMBI!$A:$ADS,AE$3,FALSE)</f>
        <v>#NUM!</v>
      </c>
      <c r="AF138" s="293" t="e">
        <f ca="1">VLOOKUP($B138,KOMBI!$A:$ADS,AF$3,FALSE)-AE138</f>
        <v>#NUM!</v>
      </c>
      <c r="AG138" s="293" t="e">
        <f ca="1">VLOOKUP($B138,KOMBI!$A:$ADS,AG$3,FALSE)</f>
        <v>#NUM!</v>
      </c>
      <c r="AI138" s="293" t="e">
        <f t="array" aca="1" ref="AI138" ca="1">VLOOKUP($B138,KOMBI!$A:$ADS,MATCH(Tulem!AI$3,KOMBI!$A$1:$ADS$1,0),FALSE)</f>
        <v>#NUM!</v>
      </c>
      <c r="AJ138" s="293" t="e">
        <f t="array" aca="1" ref="AJ138" ca="1">VLOOKUP($B138,KOMBI!$A:$ADS,MATCH(Tulem!AJ$3,KOMBI!$A$1:$ADS$1,0),FALSE)</f>
        <v>#NUM!</v>
      </c>
      <c r="AK138" s="293" t="e">
        <f t="array" aca="1" ref="AK138" ca="1">VLOOKUP($B138,KOMBI!$A:$ADS,MATCH(Tulem!AK$3,KOMBI!$A$1:$ADS$1,0),FALSE)</f>
        <v>#NUM!</v>
      </c>
      <c r="AL138" s="293" t="e">
        <f t="array" aca="1" ref="AL138" ca="1">VLOOKUP($B138,KOMBI!$A:$ADS,MATCH(Tulem!AL$3,KOMBI!$A$1:$ADS$1,0),FALSE)</f>
        <v>#NUM!</v>
      </c>
      <c r="AM138" s="293" t="e">
        <f t="array" aca="1" ref="AM138" ca="1">VLOOKUP($B138,KOMBI!$A:$ADS,MATCH(Tulem!AM$3,KOMBI!$A$1:$ADS$1,0),FALSE)</f>
        <v>#NUM!</v>
      </c>
      <c r="AN138" s="293" t="e">
        <f t="array" aca="1" ref="AN138" ca="1">VLOOKUP($B138,KOMBI!$A:$ADS,MATCH(Tulem!AN$3,KOMBI!$A$1:$ADS$1,0),FALSE)</f>
        <v>#NUM!</v>
      </c>
      <c r="AO138" s="293" t="e">
        <f t="array" aca="1" ref="AO138" ca="1">VLOOKUP($B138,KOMBI!$A:$ADS,MATCH(Tulem!AO$3,KOMBI!$A$1:$ADS$1,0),FALSE)</f>
        <v>#NUM!</v>
      </c>
      <c r="AP138" s="293" t="e">
        <f t="array" aca="1" ref="AP138" ca="1">VLOOKUP($B138,KOMBI!$A:$ADS,MATCH(Tulem!AP$3,KOMBI!$A$1:$ADS$1,0),FALSE)</f>
        <v>#NUM!</v>
      </c>
      <c r="AQ138" s="293" t="e">
        <f t="array" aca="1" ref="AQ138" ca="1">VLOOKUP($B138,KOMBI!$A:$ADS,MATCH(Tulem!AQ$3,KOMBI!$A$1:$ADS$1,0),FALSE)</f>
        <v>#NUM!</v>
      </c>
      <c r="AR138" s="293" t="e">
        <f t="array" aca="1" ref="AR138" ca="1">VLOOKUP($B138,KOMBI!$A:$ADS,MATCH(Tulem!AR$3,KOMBI!$A$1:$ADS$1,0),FALSE)</f>
        <v>#NUM!</v>
      </c>
      <c r="AS138" s="293" t="e">
        <f t="array" aca="1" ref="AS138" ca="1">VLOOKUP($B138,KOMBI!$A:$ADS,MATCH(Tulem!AS$3,KOMBI!$A$1:$ADS$1,0),FALSE)</f>
        <v>#NUM!</v>
      </c>
      <c r="AT138" s="293" t="e">
        <f t="array" aca="1" ref="AT138" ca="1">VLOOKUP($B138,KOMBI!$A:$ADS,MATCH(Tulem!AT$3,KOMBI!$A$1:$ADS$1,0),FALSE)</f>
        <v>#NUM!</v>
      </c>
      <c r="AU138" s="293" t="e">
        <f t="array" aca="1" ref="AU138" ca="1">VLOOKUP($B138,KOMBI!$A:$ADS,MATCH(Tulem!AU$3,KOMBI!$A$1:$ADS$1,0),FALSE)</f>
        <v>#NUM!</v>
      </c>
      <c r="AV138" s="293" t="e">
        <f t="shared" ca="1" si="7"/>
        <v>#NUM!</v>
      </c>
      <c r="AW138" s="293" t="e">
        <f t="shared" ca="1" si="8"/>
        <v>#NUM!</v>
      </c>
      <c r="AX138" s="291" t="e">
        <f ca="1">VLOOKUP($B138,KOMBI!$A:$ACA,MATCH(AX$5,KOMBI!$10:$10,0),FALSE)</f>
        <v>#NUM!</v>
      </c>
      <c r="AY138" s="292" t="e">
        <f t="array" aca="1" ref="AY138" ca="1">VLOOKUP($B138,KOMBI!$A:$ADS,MATCH(Tulem!AY$3,KOMBI!$A$1:$ADS$1,0),FALSE)</f>
        <v>#NUM!</v>
      </c>
      <c r="AZ138" s="292" t="e">
        <f t="array" aca="1" ref="AZ138" ca="1">VLOOKUP($B138,KOMBI!$A:$ADS,MATCH(Tulem!AZ$3,KOMBI!$A$1:$ADS$1,0),FALSE)</f>
        <v>#NUM!</v>
      </c>
      <c r="BA138" s="292" t="e">
        <f t="array" aca="1" ref="BA138" ca="1">VLOOKUP($B138,KOMBI!$A:$ADS,MATCH(Tulem!BA$3,KOMBI!$A$1:$ADS$1,0),FALSE)</f>
        <v>#NUM!</v>
      </c>
      <c r="BB138" s="292" t="e">
        <f t="array" aca="1" ref="BB138" ca="1">VLOOKUP($B138,KOMBI!$A:$ADS,MATCH(Tulem!BB$3,KOMBI!$A$1:$ADS$1,0),FALSE)</f>
        <v>#NUM!</v>
      </c>
      <c r="BC138" s="292" t="e">
        <f t="array" aca="1" ref="BC138" ca="1">VLOOKUP($B138,KOMBI!$A:$ADS,MATCH(Tulem!BC$3,KOMBI!$A$1:$ADS$1,0),FALSE)</f>
        <v>#NUM!</v>
      </c>
      <c r="BD138" s="292" t="e">
        <f t="array" aca="1" ref="BD138" ca="1">VLOOKUP($B138,KOMBI!$A:$ADS,MATCH(Tulem!BD$3,KOMBI!$A$1:$ADS$1,0),FALSE)</f>
        <v>#NUM!</v>
      </c>
      <c r="BE138" s="292" t="e">
        <f t="array" aca="1" ref="BE138" ca="1">VLOOKUP($B138,KOMBI!$A:$ADS,MATCH(Tulem!BE$3,KOMBI!$A$1:$ADS$1,0),FALSE)</f>
        <v>#NUM!</v>
      </c>
      <c r="BF138" s="292" t="e">
        <f t="array" aca="1" ref="BF138" ca="1">VLOOKUP($B138,KOMBI!$A:$ADS,MATCH(Tulem!BF$3,KOMBI!$A$1:$ADS$1,0),FALSE)</f>
        <v>#NUM!</v>
      </c>
      <c r="BG138" s="292" t="e">
        <f t="array" aca="1" ref="BG138" ca="1">VLOOKUP($B138,KOMBI!$A:$ADS,MATCH(Tulem!BG$3,KOMBI!$A$1:$ADS$1,0),FALSE)</f>
        <v>#NUM!</v>
      </c>
      <c r="BH138" s="292" t="e">
        <f t="array" aca="1" ref="BH138" ca="1">VLOOKUP($B138,KOMBI!$A:$ADS,MATCH(Tulem!BH$3,KOMBI!$A$1:$ADS$1,0),FALSE)</f>
        <v>#NUM!</v>
      </c>
      <c r="BI138" s="292" t="e">
        <f t="array" aca="1" ref="BI138" ca="1">VLOOKUP($B138,KOMBI!$A:$ADS,MATCH(Tulem!BI$3,KOMBI!$A$1:$ADS$1,0),FALSE)</f>
        <v>#NUM!</v>
      </c>
      <c r="BJ138" s="292" t="e">
        <f t="array" aca="1" ref="BJ138" ca="1">VLOOKUP($B138,KOMBI!$A:$ADS,MATCH(Tulem!BJ$3,KOMBI!$A$1:$ADS$1,0),FALSE)</f>
        <v>#NUM!</v>
      </c>
      <c r="BK138" s="292" t="e">
        <f t="array" aca="1" ref="BK138" ca="1">VLOOKUP($B138,KOMBI!$A:$ADS,MATCH(Tulem!BK$3,KOMBI!$A$1:$ADS$1,0),FALSE)</f>
        <v>#NUM!</v>
      </c>
      <c r="BL138" s="292" t="e">
        <f t="array" aca="1" ref="BL138" ca="1">VLOOKUP($B138,KOMBI!$A:$ADS,MATCH(Tulem!BL$3,KOMBI!$A$1:$ADS$1,0),FALSE)</f>
        <v>#NUM!</v>
      </c>
      <c r="BM138" s="292" t="e">
        <f t="array" aca="1" ref="BM138" ca="1">VLOOKUP($B138,KOMBI!$A:$ADS,MATCH(Tulem!BM$3,KOMBI!$A$1:$ADS$1,0),FALSE)</f>
        <v>#NUM!</v>
      </c>
      <c r="BN138" s="292" t="e">
        <f t="array" aca="1" ref="BN138" ca="1">VLOOKUP($B138,KOMBI!$A:$ADS,MATCH(Tulem!BN$3,KOMBI!$A$1:$ADS$1,0),FALSE)</f>
        <v>#NUM!</v>
      </c>
      <c r="BO138" s="292" t="e">
        <f t="array" aca="1" ref="BO138" ca="1">VLOOKUP($B138,KOMBI!$A:$ADS,MATCH(Tulem!BO$3,KOMBI!$A$1:$ADS$1,0),FALSE)</f>
        <v>#NUM!</v>
      </c>
      <c r="BP138" s="291"/>
      <c r="BQ138" s="292" t="e">
        <f t="array" aca="1" ref="BQ138" ca="1">VLOOKUP($B138,KOMBI!$A:$ADS,MATCH(Tulem!BQ$3,KOMBI!$A$1:$ADS$1,0),FALSE)</f>
        <v>#NUM!</v>
      </c>
      <c r="BR138" s="292" t="e">
        <f t="array" aca="1" ref="BR138" ca="1">VLOOKUP($B138,KOMBI!$A:$ADS,MATCH(Tulem!BR$3,KOMBI!$A$1:$ADS$1,0),FALSE)</f>
        <v>#NUM!</v>
      </c>
      <c r="BS138" s="292" t="e">
        <f t="array" aca="1" ref="BS138" ca="1">VLOOKUP($B138,KOMBI!$A:$ADS,MATCH(Tulem!BS$3,KOMBI!$A$1:$ADS$1,0),FALSE)</f>
        <v>#NUM!</v>
      </c>
      <c r="BT138" s="292" t="e">
        <f t="array" aca="1" ref="BT138" ca="1">VLOOKUP($B138,KOMBI!$A:$ADS,MATCH(Tulem!BT$3,KOMBI!$A$1:$ADS$1,0),FALSE)</f>
        <v>#NUM!</v>
      </c>
      <c r="BU138" s="292" t="e">
        <f t="array" aca="1" ref="BU138" ca="1">VLOOKUP($B138,KOMBI!$A:$ADS,MATCH(Tulem!BU$3,KOMBI!$A$1:$ADS$1,0),FALSE)</f>
        <v>#NUM!</v>
      </c>
      <c r="BV138" s="291"/>
      <c r="BW138" s="292" t="e">
        <f t="array" aca="1" ref="BW138" ca="1">VLOOKUP($B138,KOMBI!$A:$ADS,MATCH(Tulem!BW$3,KOMBI!$A$1:$ADS$1,0),FALSE)</f>
        <v>#NUM!</v>
      </c>
      <c r="BX138" s="291"/>
      <c r="BY138" s="291"/>
      <c r="BZ138" s="292" t="e">
        <f t="array" aca="1" ref="BZ138" ca="1">VLOOKUP($B138,KOMBI!$A:$ADS,MATCH(Tulem!BZ$3,KOMBI!$A$1:$ADS$1,0),FALSE)</f>
        <v>#NUM!</v>
      </c>
      <c r="CA138" s="292" t="e">
        <f t="array" aca="1" ref="CA138" ca="1">VLOOKUP($B138,KOMBI!$A:$ADS,MATCH(Tulem!CA$3,KOMBI!$A$1:$ADS$1,0),FALSE)</f>
        <v>#NUM!</v>
      </c>
      <c r="CB138" s="292" t="e">
        <f t="array" aca="1" ref="CB138" ca="1">VLOOKUP($B138,KOMBI!$A:$ADS,MATCH(Tulem!CB$3,KOMBI!$A$1:$ADS$1,0),FALSE)</f>
        <v>#NUM!</v>
      </c>
      <c r="CC138" s="292" t="e">
        <f t="array" aca="1" ref="CC138" ca="1">VLOOKUP($B138,KOMBI!$A:$ADS,MATCH(Tulem!CC$3,KOMBI!$A$1:$ADS$1,0),FALSE)</f>
        <v>#NUM!</v>
      </c>
      <c r="CD138" s="292" t="e">
        <f t="array" aca="1" ref="CD138" ca="1">VLOOKUP($B138,KOMBI!$A:$ADS,MATCH(Tulem!CD$3,KOMBI!$A$1:$ADS$1,0),FALSE)</f>
        <v>#NUM!</v>
      </c>
      <c r="CF138" s="51" t="e">
        <f ca="1">VLOOKUP($B138,KOMBI!$A:$ACG,MATCH(CF$5,KOMBI!$10:$10,0),FALSE)</f>
        <v>#NUM!</v>
      </c>
    </row>
    <row r="139" spans="1:84" x14ac:dyDescent="0.2">
      <c r="A139" s="51">
        <v>134</v>
      </c>
      <c r="B139" s="51" t="e">
        <f ca="1">KOMBI!GI144</f>
        <v>#NUM!</v>
      </c>
      <c r="C139" s="51">
        <f t="shared" si="6"/>
        <v>134</v>
      </c>
      <c r="D139" s="290" t="e">
        <f ca="1">VLOOKUP(VLOOKUP($B139,KOMBI!$A:$H,3,FALSE),data!$I$27:$J$29,2,FALSE)</f>
        <v>#NUM!</v>
      </c>
      <c r="E139" s="290" t="e">
        <f ca="1">VLOOKUP(VLOOKUP($B139,KOMBI!$A:$H,2,FALSE),data!$I$21:$J$23,2,FALSE)</f>
        <v>#NUM!</v>
      </c>
      <c r="F139" s="290" t="e">
        <f ca="1">VLOOKUP(VLOOKUP($B139,KOMBI!$A:$H,5,FALSE),data!$I$39:$J$41,2,FALSE)</f>
        <v>#NUM!</v>
      </c>
      <c r="G139" s="290" t="e">
        <f ca="1">VLOOKUP(VLOOKUP($B139,KOMBI!$A:$H,4,FALSE),data!$I$32:$J$36,2,FALSE)</f>
        <v>#NUM!</v>
      </c>
      <c r="I139" s="51" t="e">
        <f ca="1">VLOOKUP($B139,KOMBI!$A:$Z,MATCH(I$5,KOMBI!$10:$10,0),FALSE)</f>
        <v>#NUM!</v>
      </c>
      <c r="J139" s="291" t="e">
        <f ca="1">VLOOKUP($B139,KOMBI!$A:$ADS,J$3,FALSE)</f>
        <v>#NUM!</v>
      </c>
      <c r="K139" s="291" t="e">
        <f ca="1">VLOOKUP($B139,KOMBI!$A:$ADS,K$3,FALSE)</f>
        <v>#NUM!</v>
      </c>
      <c r="L139" s="291" t="e">
        <f ca="1">VLOOKUP($B139,KOMBI!$A:$ADS,L$3,FALSE)</f>
        <v>#NUM!</v>
      </c>
      <c r="M139" s="291" t="e">
        <f ca="1">VLOOKUP($B139,KOMBI!$A:$ADS,M$3,FALSE)</f>
        <v>#NUM!</v>
      </c>
      <c r="N139" s="291" t="e">
        <f ca="1">VLOOKUP($B139,KOMBI!$A:$ADS,N$3,FALSE)</f>
        <v>#NUM!</v>
      </c>
      <c r="O139" s="291" t="e">
        <f ca="1">VLOOKUP($B139,KOMBI!$A:$ADS,O$3,FALSE)</f>
        <v>#NUM!</v>
      </c>
      <c r="P139" s="291" t="e">
        <f ca="1">VLOOKUP($B139,KOMBI!$A:$ADS,P$3,FALSE)</f>
        <v>#NUM!</v>
      </c>
      <c r="Q139" s="292" t="e">
        <f t="array" aca="1" ref="Q139" ca="1">VLOOKUP($B139,KOMBI!$A:$ADS,MATCH(Tulem!Q$3,KOMBI!$A$1:$ADS$1,0),FALSE)</f>
        <v>#NUM!</v>
      </c>
      <c r="S139" s="332" t="e">
        <f t="array" aca="1" ref="S139" ca="1">VLOOKUP($B139,KOMBI!$A:$ADS,MATCH(Tulem!S$3,KOMBI!$A$1:$ADS$1,0),FALSE)</f>
        <v>#NUM!</v>
      </c>
      <c r="T139" s="293" t="e">
        <f ca="1">VLOOKUP($B139,KOMBI!$A:$ADS,T$3,FALSE)</f>
        <v>#NUM!</v>
      </c>
      <c r="U139" s="293" t="e">
        <f ca="1">VLOOKUP($B139,KOMBI!$A:$ADS,U$3,FALSE)</f>
        <v>#NUM!</v>
      </c>
      <c r="V139" s="293" t="e">
        <f ca="1">VLOOKUP($B139,KOMBI!$A:$ADS,V$3,FALSE)</f>
        <v>#NUM!</v>
      </c>
      <c r="W139" s="293"/>
      <c r="X139" s="293" t="e">
        <f ca="1">VLOOKUP($B139,KOMBI!$A:$ADS,X$3,FALSE)</f>
        <v>#NUM!</v>
      </c>
      <c r="Y139" s="293" t="e">
        <f ca="1">VLOOKUP($B139,KOMBI!$A:$ADS,Y$3,FALSE)</f>
        <v>#NUM!</v>
      </c>
      <c r="Z139" s="293" t="e">
        <f ca="1">VLOOKUP($B139,KOMBI!$A:$ADS,Z$3,FALSE)</f>
        <v>#NUM!</v>
      </c>
      <c r="AA139" s="294"/>
      <c r="AB139" s="293" t="e">
        <f ca="1">VLOOKUP($B139,KOMBI!$A:$ADS,AB$3,FALSE)</f>
        <v>#NUM!</v>
      </c>
      <c r="AC139" s="293" t="e">
        <f ca="1">VLOOKUP($B139,KOMBI!$A:$ADS,AC$3,FALSE)-AB139</f>
        <v>#NUM!</v>
      </c>
      <c r="AD139" s="293" t="e">
        <f ca="1">VLOOKUP($B139,KOMBI!$A:$ADS,AD$3,FALSE)</f>
        <v>#NUM!</v>
      </c>
      <c r="AE139" s="293" t="e">
        <f ca="1">VLOOKUP($B139,KOMBI!$A:$ADS,AE$3,FALSE)</f>
        <v>#NUM!</v>
      </c>
      <c r="AF139" s="293" t="e">
        <f ca="1">VLOOKUP($B139,KOMBI!$A:$ADS,AF$3,FALSE)-AE139</f>
        <v>#NUM!</v>
      </c>
      <c r="AG139" s="293" t="e">
        <f ca="1">VLOOKUP($B139,KOMBI!$A:$ADS,AG$3,FALSE)</f>
        <v>#NUM!</v>
      </c>
      <c r="AI139" s="293" t="e">
        <f t="array" aca="1" ref="AI139" ca="1">VLOOKUP($B139,KOMBI!$A:$ADS,MATCH(Tulem!AI$3,KOMBI!$A$1:$ADS$1,0),FALSE)</f>
        <v>#NUM!</v>
      </c>
      <c r="AJ139" s="293" t="e">
        <f t="array" aca="1" ref="AJ139" ca="1">VLOOKUP($B139,KOMBI!$A:$ADS,MATCH(Tulem!AJ$3,KOMBI!$A$1:$ADS$1,0),FALSE)</f>
        <v>#NUM!</v>
      </c>
      <c r="AK139" s="293" t="e">
        <f t="array" aca="1" ref="AK139" ca="1">VLOOKUP($B139,KOMBI!$A:$ADS,MATCH(Tulem!AK$3,KOMBI!$A$1:$ADS$1,0),FALSE)</f>
        <v>#NUM!</v>
      </c>
      <c r="AL139" s="293" t="e">
        <f t="array" aca="1" ref="AL139" ca="1">VLOOKUP($B139,KOMBI!$A:$ADS,MATCH(Tulem!AL$3,KOMBI!$A$1:$ADS$1,0),FALSE)</f>
        <v>#NUM!</v>
      </c>
      <c r="AM139" s="293" t="e">
        <f t="array" aca="1" ref="AM139" ca="1">VLOOKUP($B139,KOMBI!$A:$ADS,MATCH(Tulem!AM$3,KOMBI!$A$1:$ADS$1,0),FALSE)</f>
        <v>#NUM!</v>
      </c>
      <c r="AN139" s="293" t="e">
        <f t="array" aca="1" ref="AN139" ca="1">VLOOKUP($B139,KOMBI!$A:$ADS,MATCH(Tulem!AN$3,KOMBI!$A$1:$ADS$1,0),FALSE)</f>
        <v>#NUM!</v>
      </c>
      <c r="AO139" s="293" t="e">
        <f t="array" aca="1" ref="AO139" ca="1">VLOOKUP($B139,KOMBI!$A:$ADS,MATCH(Tulem!AO$3,KOMBI!$A$1:$ADS$1,0),FALSE)</f>
        <v>#NUM!</v>
      </c>
      <c r="AP139" s="293" t="e">
        <f t="array" aca="1" ref="AP139" ca="1">VLOOKUP($B139,KOMBI!$A:$ADS,MATCH(Tulem!AP$3,KOMBI!$A$1:$ADS$1,0),FALSE)</f>
        <v>#NUM!</v>
      </c>
      <c r="AQ139" s="293" t="e">
        <f t="array" aca="1" ref="AQ139" ca="1">VLOOKUP($B139,KOMBI!$A:$ADS,MATCH(Tulem!AQ$3,KOMBI!$A$1:$ADS$1,0),FALSE)</f>
        <v>#NUM!</v>
      </c>
      <c r="AR139" s="293" t="e">
        <f t="array" aca="1" ref="AR139" ca="1">VLOOKUP($B139,KOMBI!$A:$ADS,MATCH(Tulem!AR$3,KOMBI!$A$1:$ADS$1,0),FALSE)</f>
        <v>#NUM!</v>
      </c>
      <c r="AS139" s="293" t="e">
        <f t="array" aca="1" ref="AS139" ca="1">VLOOKUP($B139,KOMBI!$A:$ADS,MATCH(Tulem!AS$3,KOMBI!$A$1:$ADS$1,0),FALSE)</f>
        <v>#NUM!</v>
      </c>
      <c r="AT139" s="293" t="e">
        <f t="array" aca="1" ref="AT139" ca="1">VLOOKUP($B139,KOMBI!$A:$ADS,MATCH(Tulem!AT$3,KOMBI!$A$1:$ADS$1,0),FALSE)</f>
        <v>#NUM!</v>
      </c>
      <c r="AU139" s="293" t="e">
        <f t="array" aca="1" ref="AU139" ca="1">VLOOKUP($B139,KOMBI!$A:$ADS,MATCH(Tulem!AU$3,KOMBI!$A$1:$ADS$1,0),FALSE)</f>
        <v>#NUM!</v>
      </c>
      <c r="AV139" s="293" t="e">
        <f t="shared" ca="1" si="7"/>
        <v>#NUM!</v>
      </c>
      <c r="AW139" s="293" t="e">
        <f t="shared" ca="1" si="8"/>
        <v>#NUM!</v>
      </c>
      <c r="AX139" s="291" t="e">
        <f ca="1">VLOOKUP($B139,KOMBI!$A:$ACA,MATCH(AX$5,KOMBI!$10:$10,0),FALSE)</f>
        <v>#NUM!</v>
      </c>
      <c r="AY139" s="292" t="e">
        <f t="array" aca="1" ref="AY139" ca="1">VLOOKUP($B139,KOMBI!$A:$ADS,MATCH(Tulem!AY$3,KOMBI!$A$1:$ADS$1,0),FALSE)</f>
        <v>#NUM!</v>
      </c>
      <c r="AZ139" s="292" t="e">
        <f t="array" aca="1" ref="AZ139" ca="1">VLOOKUP($B139,KOMBI!$A:$ADS,MATCH(Tulem!AZ$3,KOMBI!$A$1:$ADS$1,0),FALSE)</f>
        <v>#NUM!</v>
      </c>
      <c r="BA139" s="292" t="e">
        <f t="array" aca="1" ref="BA139" ca="1">VLOOKUP($B139,KOMBI!$A:$ADS,MATCH(Tulem!BA$3,KOMBI!$A$1:$ADS$1,0),FALSE)</f>
        <v>#NUM!</v>
      </c>
      <c r="BB139" s="292" t="e">
        <f t="array" aca="1" ref="BB139" ca="1">VLOOKUP($B139,KOMBI!$A:$ADS,MATCH(Tulem!BB$3,KOMBI!$A$1:$ADS$1,0),FALSE)</f>
        <v>#NUM!</v>
      </c>
      <c r="BC139" s="292" t="e">
        <f t="array" aca="1" ref="BC139" ca="1">VLOOKUP($B139,KOMBI!$A:$ADS,MATCH(Tulem!BC$3,KOMBI!$A$1:$ADS$1,0),FALSE)</f>
        <v>#NUM!</v>
      </c>
      <c r="BD139" s="292" t="e">
        <f t="array" aca="1" ref="BD139" ca="1">VLOOKUP($B139,KOMBI!$A:$ADS,MATCH(Tulem!BD$3,KOMBI!$A$1:$ADS$1,0),FALSE)</f>
        <v>#NUM!</v>
      </c>
      <c r="BE139" s="292" t="e">
        <f t="array" aca="1" ref="BE139" ca="1">VLOOKUP($B139,KOMBI!$A:$ADS,MATCH(Tulem!BE$3,KOMBI!$A$1:$ADS$1,0),FALSE)</f>
        <v>#NUM!</v>
      </c>
      <c r="BF139" s="292" t="e">
        <f t="array" aca="1" ref="BF139" ca="1">VLOOKUP($B139,KOMBI!$A:$ADS,MATCH(Tulem!BF$3,KOMBI!$A$1:$ADS$1,0),FALSE)</f>
        <v>#NUM!</v>
      </c>
      <c r="BG139" s="292" t="e">
        <f t="array" aca="1" ref="BG139" ca="1">VLOOKUP($B139,KOMBI!$A:$ADS,MATCH(Tulem!BG$3,KOMBI!$A$1:$ADS$1,0),FALSE)</f>
        <v>#NUM!</v>
      </c>
      <c r="BH139" s="292" t="e">
        <f t="array" aca="1" ref="BH139" ca="1">VLOOKUP($B139,KOMBI!$A:$ADS,MATCH(Tulem!BH$3,KOMBI!$A$1:$ADS$1,0),FALSE)</f>
        <v>#NUM!</v>
      </c>
      <c r="BI139" s="292" t="e">
        <f t="array" aca="1" ref="BI139" ca="1">VLOOKUP($B139,KOMBI!$A:$ADS,MATCH(Tulem!BI$3,KOMBI!$A$1:$ADS$1,0),FALSE)</f>
        <v>#NUM!</v>
      </c>
      <c r="BJ139" s="292" t="e">
        <f t="array" aca="1" ref="BJ139" ca="1">VLOOKUP($B139,KOMBI!$A:$ADS,MATCH(Tulem!BJ$3,KOMBI!$A$1:$ADS$1,0),FALSE)</f>
        <v>#NUM!</v>
      </c>
      <c r="BK139" s="292" t="e">
        <f t="array" aca="1" ref="BK139" ca="1">VLOOKUP($B139,KOMBI!$A:$ADS,MATCH(Tulem!BK$3,KOMBI!$A$1:$ADS$1,0),FALSE)</f>
        <v>#NUM!</v>
      </c>
      <c r="BL139" s="292" t="e">
        <f t="array" aca="1" ref="BL139" ca="1">VLOOKUP($B139,KOMBI!$A:$ADS,MATCH(Tulem!BL$3,KOMBI!$A$1:$ADS$1,0),FALSE)</f>
        <v>#NUM!</v>
      </c>
      <c r="BM139" s="292" t="e">
        <f t="array" aca="1" ref="BM139" ca="1">VLOOKUP($B139,KOMBI!$A:$ADS,MATCH(Tulem!BM$3,KOMBI!$A$1:$ADS$1,0),FALSE)</f>
        <v>#NUM!</v>
      </c>
      <c r="BN139" s="292" t="e">
        <f t="array" aca="1" ref="BN139" ca="1">VLOOKUP($B139,KOMBI!$A:$ADS,MATCH(Tulem!BN$3,KOMBI!$A$1:$ADS$1,0),FALSE)</f>
        <v>#NUM!</v>
      </c>
      <c r="BO139" s="292" t="e">
        <f t="array" aca="1" ref="BO139" ca="1">VLOOKUP($B139,KOMBI!$A:$ADS,MATCH(Tulem!BO$3,KOMBI!$A$1:$ADS$1,0),FALSE)</f>
        <v>#NUM!</v>
      </c>
      <c r="BP139" s="291"/>
      <c r="BQ139" s="292" t="e">
        <f t="array" aca="1" ref="BQ139" ca="1">VLOOKUP($B139,KOMBI!$A:$ADS,MATCH(Tulem!BQ$3,KOMBI!$A$1:$ADS$1,0),FALSE)</f>
        <v>#NUM!</v>
      </c>
      <c r="BR139" s="292" t="e">
        <f t="array" aca="1" ref="BR139" ca="1">VLOOKUP($B139,KOMBI!$A:$ADS,MATCH(Tulem!BR$3,KOMBI!$A$1:$ADS$1,0),FALSE)</f>
        <v>#NUM!</v>
      </c>
      <c r="BS139" s="292" t="e">
        <f t="array" aca="1" ref="BS139" ca="1">VLOOKUP($B139,KOMBI!$A:$ADS,MATCH(Tulem!BS$3,KOMBI!$A$1:$ADS$1,0),FALSE)</f>
        <v>#NUM!</v>
      </c>
      <c r="BT139" s="292" t="e">
        <f t="array" aca="1" ref="BT139" ca="1">VLOOKUP($B139,KOMBI!$A:$ADS,MATCH(Tulem!BT$3,KOMBI!$A$1:$ADS$1,0),FALSE)</f>
        <v>#NUM!</v>
      </c>
      <c r="BU139" s="292" t="e">
        <f t="array" aca="1" ref="BU139" ca="1">VLOOKUP($B139,KOMBI!$A:$ADS,MATCH(Tulem!BU$3,KOMBI!$A$1:$ADS$1,0),FALSE)</f>
        <v>#NUM!</v>
      </c>
      <c r="BV139" s="291"/>
      <c r="BW139" s="292" t="e">
        <f t="array" aca="1" ref="BW139" ca="1">VLOOKUP($B139,KOMBI!$A:$ADS,MATCH(Tulem!BW$3,KOMBI!$A$1:$ADS$1,0),FALSE)</f>
        <v>#NUM!</v>
      </c>
      <c r="BX139" s="291"/>
      <c r="BY139" s="291"/>
      <c r="BZ139" s="292" t="e">
        <f t="array" aca="1" ref="BZ139" ca="1">VLOOKUP($B139,KOMBI!$A:$ADS,MATCH(Tulem!BZ$3,KOMBI!$A$1:$ADS$1,0),FALSE)</f>
        <v>#NUM!</v>
      </c>
      <c r="CA139" s="292" t="e">
        <f t="array" aca="1" ref="CA139" ca="1">VLOOKUP($B139,KOMBI!$A:$ADS,MATCH(Tulem!CA$3,KOMBI!$A$1:$ADS$1,0),FALSE)</f>
        <v>#NUM!</v>
      </c>
      <c r="CB139" s="292" t="e">
        <f t="array" aca="1" ref="CB139" ca="1">VLOOKUP($B139,KOMBI!$A:$ADS,MATCH(Tulem!CB$3,KOMBI!$A$1:$ADS$1,0),FALSE)</f>
        <v>#NUM!</v>
      </c>
      <c r="CC139" s="292" t="e">
        <f t="array" aca="1" ref="CC139" ca="1">VLOOKUP($B139,KOMBI!$A:$ADS,MATCH(Tulem!CC$3,KOMBI!$A$1:$ADS$1,0),FALSE)</f>
        <v>#NUM!</v>
      </c>
      <c r="CD139" s="292" t="e">
        <f t="array" aca="1" ref="CD139" ca="1">VLOOKUP($B139,KOMBI!$A:$ADS,MATCH(Tulem!CD$3,KOMBI!$A$1:$ADS$1,0),FALSE)</f>
        <v>#NUM!</v>
      </c>
      <c r="CF139" s="51" t="e">
        <f ca="1">VLOOKUP($B139,KOMBI!$A:$ACG,MATCH(CF$5,KOMBI!$10:$10,0),FALSE)</f>
        <v>#NUM!</v>
      </c>
    </row>
    <row r="140" spans="1:84" x14ac:dyDescent="0.2">
      <c r="A140" s="51">
        <v>135</v>
      </c>
      <c r="B140" s="51" t="e">
        <f ca="1">KOMBI!GI145</f>
        <v>#NUM!</v>
      </c>
      <c r="C140" s="51">
        <f t="shared" si="6"/>
        <v>135</v>
      </c>
      <c r="D140" s="290" t="e">
        <f ca="1">VLOOKUP(VLOOKUP($B140,KOMBI!$A:$H,3,FALSE),data!$I$27:$J$29,2,FALSE)</f>
        <v>#NUM!</v>
      </c>
      <c r="E140" s="290" t="e">
        <f ca="1">VLOOKUP(VLOOKUP($B140,KOMBI!$A:$H,2,FALSE),data!$I$21:$J$23,2,FALSE)</f>
        <v>#NUM!</v>
      </c>
      <c r="F140" s="290" t="e">
        <f ca="1">VLOOKUP(VLOOKUP($B140,KOMBI!$A:$H,5,FALSE),data!$I$39:$J$41,2,FALSE)</f>
        <v>#NUM!</v>
      </c>
      <c r="G140" s="290" t="e">
        <f ca="1">VLOOKUP(VLOOKUP($B140,KOMBI!$A:$H,4,FALSE),data!$I$32:$J$36,2,FALSE)</f>
        <v>#NUM!</v>
      </c>
      <c r="I140" s="51" t="e">
        <f ca="1">VLOOKUP($B140,KOMBI!$A:$Z,MATCH(I$5,KOMBI!$10:$10,0),FALSE)</f>
        <v>#NUM!</v>
      </c>
      <c r="J140" s="291" t="e">
        <f ca="1">VLOOKUP($B140,KOMBI!$A:$ADS,J$3,FALSE)</f>
        <v>#NUM!</v>
      </c>
      <c r="K140" s="291" t="e">
        <f ca="1">VLOOKUP($B140,KOMBI!$A:$ADS,K$3,FALSE)</f>
        <v>#NUM!</v>
      </c>
      <c r="L140" s="291" t="e">
        <f ca="1">VLOOKUP($B140,KOMBI!$A:$ADS,L$3,FALSE)</f>
        <v>#NUM!</v>
      </c>
      <c r="M140" s="291" t="e">
        <f ca="1">VLOOKUP($B140,KOMBI!$A:$ADS,M$3,FALSE)</f>
        <v>#NUM!</v>
      </c>
      <c r="N140" s="291" t="e">
        <f ca="1">VLOOKUP($B140,KOMBI!$A:$ADS,N$3,FALSE)</f>
        <v>#NUM!</v>
      </c>
      <c r="O140" s="291" t="e">
        <f ca="1">VLOOKUP($B140,KOMBI!$A:$ADS,O$3,FALSE)</f>
        <v>#NUM!</v>
      </c>
      <c r="P140" s="291" t="e">
        <f ca="1">VLOOKUP($B140,KOMBI!$A:$ADS,P$3,FALSE)</f>
        <v>#NUM!</v>
      </c>
      <c r="Q140" s="292" t="e">
        <f t="array" aca="1" ref="Q140" ca="1">VLOOKUP($B140,KOMBI!$A:$ADS,MATCH(Tulem!Q$3,KOMBI!$A$1:$ADS$1,0),FALSE)</f>
        <v>#NUM!</v>
      </c>
      <c r="S140" s="332" t="e">
        <f t="array" aca="1" ref="S140" ca="1">VLOOKUP($B140,KOMBI!$A:$ADS,MATCH(Tulem!S$3,KOMBI!$A$1:$ADS$1,0),FALSE)</f>
        <v>#NUM!</v>
      </c>
      <c r="T140" s="293" t="e">
        <f ca="1">VLOOKUP($B140,KOMBI!$A:$ADS,T$3,FALSE)</f>
        <v>#NUM!</v>
      </c>
      <c r="U140" s="293" t="e">
        <f ca="1">VLOOKUP($B140,KOMBI!$A:$ADS,U$3,FALSE)</f>
        <v>#NUM!</v>
      </c>
      <c r="V140" s="293" t="e">
        <f ca="1">VLOOKUP($B140,KOMBI!$A:$ADS,V$3,FALSE)</f>
        <v>#NUM!</v>
      </c>
      <c r="W140" s="293"/>
      <c r="X140" s="293" t="e">
        <f ca="1">VLOOKUP($B140,KOMBI!$A:$ADS,X$3,FALSE)</f>
        <v>#NUM!</v>
      </c>
      <c r="Y140" s="293" t="e">
        <f ca="1">VLOOKUP($B140,KOMBI!$A:$ADS,Y$3,FALSE)</f>
        <v>#NUM!</v>
      </c>
      <c r="Z140" s="293" t="e">
        <f ca="1">VLOOKUP($B140,KOMBI!$A:$ADS,Z$3,FALSE)</f>
        <v>#NUM!</v>
      </c>
      <c r="AA140" s="294"/>
      <c r="AB140" s="293" t="e">
        <f ca="1">VLOOKUP($B140,KOMBI!$A:$ADS,AB$3,FALSE)</f>
        <v>#NUM!</v>
      </c>
      <c r="AC140" s="293" t="e">
        <f ca="1">VLOOKUP($B140,KOMBI!$A:$ADS,AC$3,FALSE)-AB140</f>
        <v>#NUM!</v>
      </c>
      <c r="AD140" s="293" t="e">
        <f ca="1">VLOOKUP($B140,KOMBI!$A:$ADS,AD$3,FALSE)</f>
        <v>#NUM!</v>
      </c>
      <c r="AE140" s="293" t="e">
        <f ca="1">VLOOKUP($B140,KOMBI!$A:$ADS,AE$3,FALSE)</f>
        <v>#NUM!</v>
      </c>
      <c r="AF140" s="293" t="e">
        <f ca="1">VLOOKUP($B140,KOMBI!$A:$ADS,AF$3,FALSE)-AE140</f>
        <v>#NUM!</v>
      </c>
      <c r="AG140" s="293" t="e">
        <f ca="1">VLOOKUP($B140,KOMBI!$A:$ADS,AG$3,FALSE)</f>
        <v>#NUM!</v>
      </c>
      <c r="AI140" s="293" t="e">
        <f t="array" aca="1" ref="AI140" ca="1">VLOOKUP($B140,KOMBI!$A:$ADS,MATCH(Tulem!AI$3,KOMBI!$A$1:$ADS$1,0),FALSE)</f>
        <v>#NUM!</v>
      </c>
      <c r="AJ140" s="293" t="e">
        <f t="array" aca="1" ref="AJ140" ca="1">VLOOKUP($B140,KOMBI!$A:$ADS,MATCH(Tulem!AJ$3,KOMBI!$A$1:$ADS$1,0),FALSE)</f>
        <v>#NUM!</v>
      </c>
      <c r="AK140" s="293" t="e">
        <f t="array" aca="1" ref="AK140" ca="1">VLOOKUP($B140,KOMBI!$A:$ADS,MATCH(Tulem!AK$3,KOMBI!$A$1:$ADS$1,0),FALSE)</f>
        <v>#NUM!</v>
      </c>
      <c r="AL140" s="293" t="e">
        <f t="array" aca="1" ref="AL140" ca="1">VLOOKUP($B140,KOMBI!$A:$ADS,MATCH(Tulem!AL$3,KOMBI!$A$1:$ADS$1,0),FALSE)</f>
        <v>#NUM!</v>
      </c>
      <c r="AM140" s="293" t="e">
        <f t="array" aca="1" ref="AM140" ca="1">VLOOKUP($B140,KOMBI!$A:$ADS,MATCH(Tulem!AM$3,KOMBI!$A$1:$ADS$1,0),FALSE)</f>
        <v>#NUM!</v>
      </c>
      <c r="AN140" s="293" t="e">
        <f t="array" aca="1" ref="AN140" ca="1">VLOOKUP($B140,KOMBI!$A:$ADS,MATCH(Tulem!AN$3,KOMBI!$A$1:$ADS$1,0),FALSE)</f>
        <v>#NUM!</v>
      </c>
      <c r="AO140" s="293" t="e">
        <f t="array" aca="1" ref="AO140" ca="1">VLOOKUP($B140,KOMBI!$A:$ADS,MATCH(Tulem!AO$3,KOMBI!$A$1:$ADS$1,0),FALSE)</f>
        <v>#NUM!</v>
      </c>
      <c r="AP140" s="293" t="e">
        <f t="array" aca="1" ref="AP140" ca="1">VLOOKUP($B140,KOMBI!$A:$ADS,MATCH(Tulem!AP$3,KOMBI!$A$1:$ADS$1,0),FALSE)</f>
        <v>#NUM!</v>
      </c>
      <c r="AQ140" s="293" t="e">
        <f t="array" aca="1" ref="AQ140" ca="1">VLOOKUP($B140,KOMBI!$A:$ADS,MATCH(Tulem!AQ$3,KOMBI!$A$1:$ADS$1,0),FALSE)</f>
        <v>#NUM!</v>
      </c>
      <c r="AR140" s="293" t="e">
        <f t="array" aca="1" ref="AR140" ca="1">VLOOKUP($B140,KOMBI!$A:$ADS,MATCH(Tulem!AR$3,KOMBI!$A$1:$ADS$1,0),FALSE)</f>
        <v>#NUM!</v>
      </c>
      <c r="AS140" s="293" t="e">
        <f t="array" aca="1" ref="AS140" ca="1">VLOOKUP($B140,KOMBI!$A:$ADS,MATCH(Tulem!AS$3,KOMBI!$A$1:$ADS$1,0),FALSE)</f>
        <v>#NUM!</v>
      </c>
      <c r="AT140" s="293" t="e">
        <f t="array" aca="1" ref="AT140" ca="1">VLOOKUP($B140,KOMBI!$A:$ADS,MATCH(Tulem!AT$3,KOMBI!$A$1:$ADS$1,0),FALSE)</f>
        <v>#NUM!</v>
      </c>
      <c r="AU140" s="293" t="e">
        <f t="array" aca="1" ref="AU140" ca="1">VLOOKUP($B140,KOMBI!$A:$ADS,MATCH(Tulem!AU$3,KOMBI!$A$1:$ADS$1,0),FALSE)</f>
        <v>#NUM!</v>
      </c>
      <c r="AV140" s="293" t="e">
        <f t="shared" ca="1" si="7"/>
        <v>#NUM!</v>
      </c>
      <c r="AW140" s="293" t="e">
        <f t="shared" ca="1" si="8"/>
        <v>#NUM!</v>
      </c>
      <c r="AX140" s="291" t="e">
        <f ca="1">VLOOKUP($B140,KOMBI!$A:$ACA,MATCH(AX$5,KOMBI!$10:$10,0),FALSE)</f>
        <v>#NUM!</v>
      </c>
      <c r="AY140" s="292" t="e">
        <f t="array" aca="1" ref="AY140" ca="1">VLOOKUP($B140,KOMBI!$A:$ADS,MATCH(Tulem!AY$3,KOMBI!$A$1:$ADS$1,0),FALSE)</f>
        <v>#NUM!</v>
      </c>
      <c r="AZ140" s="292" t="e">
        <f t="array" aca="1" ref="AZ140" ca="1">VLOOKUP($B140,KOMBI!$A:$ADS,MATCH(Tulem!AZ$3,KOMBI!$A$1:$ADS$1,0),FALSE)</f>
        <v>#NUM!</v>
      </c>
      <c r="BA140" s="292" t="e">
        <f t="array" aca="1" ref="BA140" ca="1">VLOOKUP($B140,KOMBI!$A:$ADS,MATCH(Tulem!BA$3,KOMBI!$A$1:$ADS$1,0),FALSE)</f>
        <v>#NUM!</v>
      </c>
      <c r="BB140" s="292" t="e">
        <f t="array" aca="1" ref="BB140" ca="1">VLOOKUP($B140,KOMBI!$A:$ADS,MATCH(Tulem!BB$3,KOMBI!$A$1:$ADS$1,0),FALSE)</f>
        <v>#NUM!</v>
      </c>
      <c r="BC140" s="292" t="e">
        <f t="array" aca="1" ref="BC140" ca="1">VLOOKUP($B140,KOMBI!$A:$ADS,MATCH(Tulem!BC$3,KOMBI!$A$1:$ADS$1,0),FALSE)</f>
        <v>#NUM!</v>
      </c>
      <c r="BD140" s="292" t="e">
        <f t="array" aca="1" ref="BD140" ca="1">VLOOKUP($B140,KOMBI!$A:$ADS,MATCH(Tulem!BD$3,KOMBI!$A$1:$ADS$1,0),FALSE)</f>
        <v>#NUM!</v>
      </c>
      <c r="BE140" s="292" t="e">
        <f t="array" aca="1" ref="BE140" ca="1">VLOOKUP($B140,KOMBI!$A:$ADS,MATCH(Tulem!BE$3,KOMBI!$A$1:$ADS$1,0),FALSE)</f>
        <v>#NUM!</v>
      </c>
      <c r="BF140" s="292" t="e">
        <f t="array" aca="1" ref="BF140" ca="1">VLOOKUP($B140,KOMBI!$A:$ADS,MATCH(Tulem!BF$3,KOMBI!$A$1:$ADS$1,0),FALSE)</f>
        <v>#NUM!</v>
      </c>
      <c r="BG140" s="292" t="e">
        <f t="array" aca="1" ref="BG140" ca="1">VLOOKUP($B140,KOMBI!$A:$ADS,MATCH(Tulem!BG$3,KOMBI!$A$1:$ADS$1,0),FALSE)</f>
        <v>#NUM!</v>
      </c>
      <c r="BH140" s="292" t="e">
        <f t="array" aca="1" ref="BH140" ca="1">VLOOKUP($B140,KOMBI!$A:$ADS,MATCH(Tulem!BH$3,KOMBI!$A$1:$ADS$1,0),FALSE)</f>
        <v>#NUM!</v>
      </c>
      <c r="BI140" s="292" t="e">
        <f t="array" aca="1" ref="BI140" ca="1">VLOOKUP($B140,KOMBI!$A:$ADS,MATCH(Tulem!BI$3,KOMBI!$A$1:$ADS$1,0),FALSE)</f>
        <v>#NUM!</v>
      </c>
      <c r="BJ140" s="292" t="e">
        <f t="array" aca="1" ref="BJ140" ca="1">VLOOKUP($B140,KOMBI!$A:$ADS,MATCH(Tulem!BJ$3,KOMBI!$A$1:$ADS$1,0),FALSE)</f>
        <v>#NUM!</v>
      </c>
      <c r="BK140" s="292" t="e">
        <f t="array" aca="1" ref="BK140" ca="1">VLOOKUP($B140,KOMBI!$A:$ADS,MATCH(Tulem!BK$3,KOMBI!$A$1:$ADS$1,0),FALSE)</f>
        <v>#NUM!</v>
      </c>
      <c r="BL140" s="292" t="e">
        <f t="array" aca="1" ref="BL140" ca="1">VLOOKUP($B140,KOMBI!$A:$ADS,MATCH(Tulem!BL$3,KOMBI!$A$1:$ADS$1,0),FALSE)</f>
        <v>#NUM!</v>
      </c>
      <c r="BM140" s="292" t="e">
        <f t="array" aca="1" ref="BM140" ca="1">VLOOKUP($B140,KOMBI!$A:$ADS,MATCH(Tulem!BM$3,KOMBI!$A$1:$ADS$1,0),FALSE)</f>
        <v>#NUM!</v>
      </c>
      <c r="BN140" s="292" t="e">
        <f t="array" aca="1" ref="BN140" ca="1">VLOOKUP($B140,KOMBI!$A:$ADS,MATCH(Tulem!BN$3,KOMBI!$A$1:$ADS$1,0),FALSE)</f>
        <v>#NUM!</v>
      </c>
      <c r="BO140" s="292" t="e">
        <f t="array" aca="1" ref="BO140" ca="1">VLOOKUP($B140,KOMBI!$A:$ADS,MATCH(Tulem!BO$3,KOMBI!$A$1:$ADS$1,0),FALSE)</f>
        <v>#NUM!</v>
      </c>
      <c r="BP140" s="291"/>
      <c r="BQ140" s="292" t="e">
        <f t="array" aca="1" ref="BQ140" ca="1">VLOOKUP($B140,KOMBI!$A:$ADS,MATCH(Tulem!BQ$3,KOMBI!$A$1:$ADS$1,0),FALSE)</f>
        <v>#NUM!</v>
      </c>
      <c r="BR140" s="292" t="e">
        <f t="array" aca="1" ref="BR140" ca="1">VLOOKUP($B140,KOMBI!$A:$ADS,MATCH(Tulem!BR$3,KOMBI!$A$1:$ADS$1,0),FALSE)</f>
        <v>#NUM!</v>
      </c>
      <c r="BS140" s="292" t="e">
        <f t="array" aca="1" ref="BS140" ca="1">VLOOKUP($B140,KOMBI!$A:$ADS,MATCH(Tulem!BS$3,KOMBI!$A$1:$ADS$1,0),FALSE)</f>
        <v>#NUM!</v>
      </c>
      <c r="BT140" s="292" t="e">
        <f t="array" aca="1" ref="BT140" ca="1">VLOOKUP($B140,KOMBI!$A:$ADS,MATCH(Tulem!BT$3,KOMBI!$A$1:$ADS$1,0),FALSE)</f>
        <v>#NUM!</v>
      </c>
      <c r="BU140" s="292" t="e">
        <f t="array" aca="1" ref="BU140" ca="1">VLOOKUP($B140,KOMBI!$A:$ADS,MATCH(Tulem!BU$3,KOMBI!$A$1:$ADS$1,0),FALSE)</f>
        <v>#NUM!</v>
      </c>
      <c r="BV140" s="291"/>
      <c r="BW140" s="292" t="e">
        <f t="array" aca="1" ref="BW140" ca="1">VLOOKUP($B140,KOMBI!$A:$ADS,MATCH(Tulem!BW$3,KOMBI!$A$1:$ADS$1,0),FALSE)</f>
        <v>#NUM!</v>
      </c>
      <c r="BX140" s="291"/>
      <c r="BY140" s="291"/>
      <c r="BZ140" s="292" t="e">
        <f t="array" aca="1" ref="BZ140" ca="1">VLOOKUP($B140,KOMBI!$A:$ADS,MATCH(Tulem!BZ$3,KOMBI!$A$1:$ADS$1,0),FALSE)</f>
        <v>#NUM!</v>
      </c>
      <c r="CA140" s="292" t="e">
        <f t="array" aca="1" ref="CA140" ca="1">VLOOKUP($B140,KOMBI!$A:$ADS,MATCH(Tulem!CA$3,KOMBI!$A$1:$ADS$1,0),FALSE)</f>
        <v>#NUM!</v>
      </c>
      <c r="CB140" s="292" t="e">
        <f t="array" aca="1" ref="CB140" ca="1">VLOOKUP($B140,KOMBI!$A:$ADS,MATCH(Tulem!CB$3,KOMBI!$A$1:$ADS$1,0),FALSE)</f>
        <v>#NUM!</v>
      </c>
      <c r="CC140" s="292" t="e">
        <f t="array" aca="1" ref="CC140" ca="1">VLOOKUP($B140,KOMBI!$A:$ADS,MATCH(Tulem!CC$3,KOMBI!$A$1:$ADS$1,0),FALSE)</f>
        <v>#NUM!</v>
      </c>
      <c r="CD140" s="292" t="e">
        <f t="array" aca="1" ref="CD140" ca="1">VLOOKUP($B140,KOMBI!$A:$ADS,MATCH(Tulem!CD$3,KOMBI!$A$1:$ADS$1,0),FALSE)</f>
        <v>#NUM!</v>
      </c>
      <c r="CF140" s="51" t="e">
        <f ca="1">VLOOKUP($B140,KOMBI!$A:$ACG,MATCH(CF$5,KOMBI!$10:$10,0),FALSE)</f>
        <v>#NUM!</v>
      </c>
    </row>
  </sheetData>
  <pageMargins left="0.7" right="0.7" top="0.75" bottom="0.75" header="0.3" footer="0.3"/>
  <pageSetup paperSize="9" orientation="portrait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F183"/>
  <sheetViews>
    <sheetView topLeftCell="A55" workbookViewId="0">
      <selection activeCell="C79" sqref="C79"/>
    </sheetView>
  </sheetViews>
  <sheetFormatPr baseColWidth="10" defaultColWidth="8.796875" defaultRowHeight="15" x14ac:dyDescent="0.2"/>
  <cols>
    <col min="1" max="1" width="8.796875" style="87"/>
    <col min="2" max="2" width="23.3984375" style="87" customWidth="1"/>
    <col min="3" max="3" width="25.59765625" style="87" bestFit="1" customWidth="1"/>
    <col min="4" max="4" width="32" style="87" customWidth="1"/>
    <col min="5" max="5" width="22.19921875" style="87" bestFit="1" customWidth="1"/>
    <col min="6" max="6" width="23.3984375" style="87" bestFit="1" customWidth="1"/>
    <col min="7" max="7" width="8.796875" style="87"/>
    <col min="8" max="8" width="14.3984375" style="87" bestFit="1" customWidth="1"/>
    <col min="9" max="9" width="8.796875" style="87"/>
    <col min="10" max="10" width="24.59765625" style="87" bestFit="1" customWidth="1"/>
    <col min="11" max="11" width="2" style="87" bestFit="1" customWidth="1"/>
    <col min="12" max="12" width="8.796875" style="87"/>
    <col min="13" max="13" width="23.3984375" style="87" bestFit="1" customWidth="1"/>
    <col min="14" max="16384" width="8.796875" style="87"/>
  </cols>
  <sheetData>
    <row r="1" spans="1:21" x14ac:dyDescent="0.2">
      <c r="A1" s="87" t="e">
        <f>Input_kombineerimisalus</f>
        <v>#REF!</v>
      </c>
      <c r="H1" s="458" t="str">
        <f>HYPERLINK("http://www.energiatalgud.ee/index.php?title=K%C3%BCtuste_ENMAK_stsenaariumid#P.C3.B5levkivikasutuse_stsenaariumid","3 VALI PÕLEVKIVISTSENAARIUM")</f>
        <v>3 VALI PÕLEVKIVISTSENAARIUM</v>
      </c>
      <c r="I1" s="458"/>
      <c r="J1" s="458"/>
      <c r="K1" s="458"/>
      <c r="L1" s="458"/>
      <c r="M1" s="458"/>
      <c r="N1" s="458"/>
      <c r="O1" s="458"/>
      <c r="P1" s="458"/>
      <c r="Q1" s="458"/>
      <c r="R1" s="458"/>
      <c r="S1" s="458"/>
      <c r="T1" s="458"/>
      <c r="U1" s="458"/>
    </row>
    <row r="2" spans="1:21" x14ac:dyDescent="0.2">
      <c r="H2" s="455" t="s">
        <v>197</v>
      </c>
      <c r="I2" s="456"/>
      <c r="J2" s="456"/>
      <c r="K2" s="456"/>
      <c r="L2" s="456"/>
      <c r="M2" s="456"/>
      <c r="N2" s="456"/>
      <c r="O2" s="456"/>
      <c r="P2" s="456"/>
      <c r="Q2" s="456"/>
      <c r="R2" s="456"/>
      <c r="S2" s="456"/>
      <c r="T2" s="456"/>
      <c r="U2" s="457"/>
    </row>
    <row r="4" spans="1:21" x14ac:dyDescent="0.2">
      <c r="D4" s="87" t="s">
        <v>56</v>
      </c>
      <c r="E4" s="87" t="s">
        <v>49</v>
      </c>
    </row>
    <row r="5" spans="1:21" x14ac:dyDescent="0.2">
      <c r="D5" s="87" t="s">
        <v>57</v>
      </c>
      <c r="E5" s="87" t="s">
        <v>50</v>
      </c>
      <c r="J5" s="184" t="s">
        <v>54</v>
      </c>
    </row>
    <row r="6" spans="1:21" x14ac:dyDescent="0.2">
      <c r="D6" s="87" t="s">
        <v>218</v>
      </c>
      <c r="E6" s="87">
        <v>1</v>
      </c>
      <c r="J6" s="87" t="s">
        <v>157</v>
      </c>
      <c r="K6" s="87">
        <v>1</v>
      </c>
      <c r="M6" s="184" t="s">
        <v>52</v>
      </c>
    </row>
    <row r="7" spans="1:21" x14ac:dyDescent="0.2">
      <c r="D7" s="87" t="s">
        <v>58</v>
      </c>
      <c r="E7" s="87">
        <v>2</v>
      </c>
      <c r="J7" s="87" t="s">
        <v>72</v>
      </c>
      <c r="K7" s="87">
        <v>2</v>
      </c>
      <c r="M7" s="87" t="s">
        <v>224</v>
      </c>
      <c r="N7" s="87">
        <f>1.001*32.8</f>
        <v>32.832799999999992</v>
      </c>
      <c r="O7" s="87">
        <v>1</v>
      </c>
    </row>
    <row r="8" spans="1:21" x14ac:dyDescent="0.2">
      <c r="E8" s="87">
        <v>3</v>
      </c>
      <c r="J8" s="87" t="s">
        <v>73</v>
      </c>
      <c r="K8" s="87">
        <v>3</v>
      </c>
      <c r="M8" s="87" t="s">
        <v>225</v>
      </c>
      <c r="N8" s="87">
        <f>1.05*N$7</f>
        <v>34.474439999999994</v>
      </c>
      <c r="O8" s="87">
        <v>2</v>
      </c>
    </row>
    <row r="9" spans="1:21" x14ac:dyDescent="0.2">
      <c r="E9" s="87">
        <v>4</v>
      </c>
      <c r="M9" s="87" t="s">
        <v>226</v>
      </c>
      <c r="N9" s="87">
        <f>1.1*N$7</f>
        <v>36.116079999999997</v>
      </c>
      <c r="O9" s="87">
        <v>3</v>
      </c>
    </row>
    <row r="10" spans="1:21" x14ac:dyDescent="0.2">
      <c r="E10" s="87">
        <v>5</v>
      </c>
      <c r="M10" s="87" t="s">
        <v>227</v>
      </c>
      <c r="N10" s="87">
        <f>1.15*N$7</f>
        <v>37.757719999999985</v>
      </c>
      <c r="O10" s="87">
        <v>4</v>
      </c>
    </row>
    <row r="11" spans="1:21" x14ac:dyDescent="0.2">
      <c r="J11" s="184" t="s">
        <v>55</v>
      </c>
      <c r="M11" s="87" t="s">
        <v>228</v>
      </c>
      <c r="N11" s="87">
        <f>1.2*N$7</f>
        <v>39.399359999999987</v>
      </c>
      <c r="O11" s="87">
        <v>5</v>
      </c>
    </row>
    <row r="12" spans="1:21" x14ac:dyDescent="0.2">
      <c r="J12" s="87" t="s">
        <v>196</v>
      </c>
      <c r="K12" s="87">
        <v>1</v>
      </c>
      <c r="M12" s="87" t="s">
        <v>223</v>
      </c>
      <c r="N12" s="87">
        <v>1000</v>
      </c>
      <c r="O12" s="87">
        <v>6</v>
      </c>
    </row>
    <row r="13" spans="1:21" x14ac:dyDescent="0.2">
      <c r="J13" s="87" t="s">
        <v>197</v>
      </c>
      <c r="K13" s="87">
        <v>2</v>
      </c>
    </row>
    <row r="14" spans="1:21" x14ac:dyDescent="0.2">
      <c r="J14" s="87" t="s">
        <v>71</v>
      </c>
      <c r="K14" s="87">
        <v>3</v>
      </c>
    </row>
    <row r="18" spans="2:15" x14ac:dyDescent="0.2">
      <c r="M18" s="184" t="s">
        <v>230</v>
      </c>
      <c r="N18" s="87">
        <v>7700</v>
      </c>
    </row>
    <row r="19" spans="2:15" x14ac:dyDescent="0.2">
      <c r="C19" s="184" t="s">
        <v>49</v>
      </c>
      <c r="D19" s="184" t="s">
        <v>56</v>
      </c>
      <c r="E19" s="184"/>
      <c r="M19" s="87" t="s">
        <v>232</v>
      </c>
      <c r="N19" s="87">
        <f>O19*N$18</f>
        <v>-770</v>
      </c>
      <c r="O19" s="87">
        <v>-0.1</v>
      </c>
    </row>
    <row r="20" spans="2:15" x14ac:dyDescent="0.2">
      <c r="B20" s="87">
        <v>1</v>
      </c>
      <c r="C20" s="87" t="s">
        <v>331</v>
      </c>
      <c r="D20" s="87" t="s">
        <v>247</v>
      </c>
      <c r="J20" s="184" t="s">
        <v>35</v>
      </c>
      <c r="M20" s="87" t="s">
        <v>234</v>
      </c>
      <c r="N20" s="87">
        <f>O20*N$18</f>
        <v>-616</v>
      </c>
      <c r="O20" s="87">
        <v>-0.08</v>
      </c>
    </row>
    <row r="21" spans="2:15" x14ac:dyDescent="0.2">
      <c r="B21" s="87">
        <v>2</v>
      </c>
      <c r="C21" s="87" t="s">
        <v>15</v>
      </c>
      <c r="D21" s="87" t="s">
        <v>248</v>
      </c>
      <c r="I21" s="87">
        <v>1</v>
      </c>
      <c r="J21" s="87" t="s">
        <v>136</v>
      </c>
      <c r="M21" s="87" t="s">
        <v>233</v>
      </c>
      <c r="N21" s="87">
        <f>O21*N$18</f>
        <v>-385</v>
      </c>
      <c r="O21" s="87">
        <v>-0.05</v>
      </c>
    </row>
    <row r="22" spans="2:15" x14ac:dyDescent="0.2">
      <c r="B22" s="87">
        <v>3</v>
      </c>
      <c r="C22" s="87" t="s">
        <v>16</v>
      </c>
      <c r="D22" s="87" t="s">
        <v>249</v>
      </c>
      <c r="I22" s="87">
        <v>2</v>
      </c>
      <c r="J22" s="87" t="s">
        <v>11</v>
      </c>
      <c r="M22" s="87" t="s">
        <v>235</v>
      </c>
      <c r="N22" s="87">
        <f>O22*N$18</f>
        <v>0</v>
      </c>
      <c r="O22" s="87">
        <v>0</v>
      </c>
    </row>
    <row r="23" spans="2:15" x14ac:dyDescent="0.2">
      <c r="B23" s="87">
        <v>4</v>
      </c>
      <c r="C23" s="87" t="s">
        <v>17</v>
      </c>
      <c r="D23" s="87" t="s">
        <v>259</v>
      </c>
      <c r="I23" s="87">
        <v>3</v>
      </c>
      <c r="J23" s="87" t="s">
        <v>45</v>
      </c>
      <c r="M23" s="87" t="s">
        <v>223</v>
      </c>
      <c r="N23" s="87">
        <v>1000</v>
      </c>
    </row>
    <row r="24" spans="2:15" x14ac:dyDescent="0.2">
      <c r="B24" s="87">
        <v>5</v>
      </c>
      <c r="C24" s="87" t="s">
        <v>18</v>
      </c>
      <c r="D24" s="87" t="s">
        <v>250</v>
      </c>
    </row>
    <row r="25" spans="2:15" x14ac:dyDescent="0.2">
      <c r="B25" s="87">
        <v>6</v>
      </c>
      <c r="C25" s="87" t="s">
        <v>19</v>
      </c>
      <c r="D25" s="87" t="s">
        <v>251</v>
      </c>
    </row>
    <row r="26" spans="2:15" x14ac:dyDescent="0.2">
      <c r="B26" s="87">
        <v>7</v>
      </c>
      <c r="C26" s="87" t="s">
        <v>20</v>
      </c>
      <c r="D26" s="87" t="s">
        <v>252</v>
      </c>
      <c r="J26" s="184" t="s">
        <v>47</v>
      </c>
    </row>
    <row r="27" spans="2:15" x14ac:dyDescent="0.2">
      <c r="B27" s="87">
        <v>8</v>
      </c>
      <c r="D27" s="87" t="s">
        <v>253</v>
      </c>
      <c r="I27" s="87">
        <v>1</v>
      </c>
      <c r="J27" s="87" t="s">
        <v>136</v>
      </c>
    </row>
    <row r="28" spans="2:15" x14ac:dyDescent="0.2">
      <c r="B28" s="87">
        <v>9</v>
      </c>
      <c r="D28" s="87" t="s">
        <v>254</v>
      </c>
      <c r="I28" s="87">
        <v>2</v>
      </c>
      <c r="J28" s="87" t="s">
        <v>11</v>
      </c>
    </row>
    <row r="29" spans="2:15" x14ac:dyDescent="0.2">
      <c r="B29" s="87">
        <v>10</v>
      </c>
      <c r="D29" s="87" t="s">
        <v>255</v>
      </c>
      <c r="I29" s="87">
        <v>3</v>
      </c>
      <c r="J29" s="87" t="s">
        <v>272</v>
      </c>
    </row>
    <row r="30" spans="2:15" x14ac:dyDescent="0.2">
      <c r="B30" s="87">
        <v>11</v>
      </c>
      <c r="D30" s="87" t="s">
        <v>260</v>
      </c>
    </row>
    <row r="31" spans="2:15" x14ac:dyDescent="0.2">
      <c r="B31" s="87">
        <v>12</v>
      </c>
      <c r="D31" s="87" t="s">
        <v>261</v>
      </c>
      <c r="J31" s="184" t="s">
        <v>37</v>
      </c>
    </row>
    <row r="32" spans="2:15" x14ac:dyDescent="0.2">
      <c r="B32" s="87">
        <v>13</v>
      </c>
      <c r="D32" s="87" t="s">
        <v>266</v>
      </c>
      <c r="I32" s="87">
        <v>1</v>
      </c>
      <c r="J32" s="185" t="s">
        <v>268</v>
      </c>
    </row>
    <row r="33" spans="2:10" x14ac:dyDescent="0.2">
      <c r="B33" s="87">
        <v>14</v>
      </c>
      <c r="D33" s="87" t="s">
        <v>307</v>
      </c>
      <c r="I33" s="87">
        <v>2</v>
      </c>
      <c r="J33" s="185" t="s">
        <v>269</v>
      </c>
    </row>
    <row r="34" spans="2:10" x14ac:dyDescent="0.2">
      <c r="B34" s="87">
        <v>15</v>
      </c>
      <c r="I34" s="87">
        <v>3</v>
      </c>
      <c r="J34" s="185" t="s">
        <v>270</v>
      </c>
    </row>
    <row r="35" spans="2:10" x14ac:dyDescent="0.2">
      <c r="I35" s="87">
        <v>4</v>
      </c>
      <c r="J35" s="185" t="s">
        <v>271</v>
      </c>
    </row>
    <row r="36" spans="2:10" x14ac:dyDescent="0.2">
      <c r="B36" s="184" t="s">
        <v>154</v>
      </c>
      <c r="D36" s="87">
        <v>1</v>
      </c>
      <c r="E36" s="87" t="s">
        <v>236</v>
      </c>
      <c r="F36" s="87">
        <v>0.2</v>
      </c>
      <c r="I36" s="87">
        <v>5</v>
      </c>
      <c r="J36" s="185" t="s">
        <v>640</v>
      </c>
    </row>
    <row r="37" spans="2:10" x14ac:dyDescent="0.2">
      <c r="B37" s="87" t="s">
        <v>59</v>
      </c>
      <c r="C37" s="87">
        <v>1</v>
      </c>
      <c r="D37" s="87">
        <v>2</v>
      </c>
      <c r="E37" s="87" t="s">
        <v>237</v>
      </c>
      <c r="F37" s="87">
        <v>0.3</v>
      </c>
    </row>
    <row r="38" spans="2:10" x14ac:dyDescent="0.2">
      <c r="B38" s="87" t="s">
        <v>60</v>
      </c>
      <c r="C38" s="87">
        <v>2</v>
      </c>
      <c r="D38" s="87">
        <v>3</v>
      </c>
      <c r="E38" s="87" t="s">
        <v>222</v>
      </c>
      <c r="F38" s="87">
        <v>0.4</v>
      </c>
      <c r="J38" s="184" t="s">
        <v>38</v>
      </c>
    </row>
    <row r="39" spans="2:10" x14ac:dyDescent="0.2">
      <c r="B39" s="87" t="s">
        <v>61</v>
      </c>
      <c r="C39" s="87">
        <v>3</v>
      </c>
      <c r="D39" s="87">
        <v>4</v>
      </c>
      <c r="E39" s="186" t="str">
        <f>"100%"</f>
        <v>100%</v>
      </c>
      <c r="F39" s="87">
        <v>1</v>
      </c>
      <c r="I39" s="87">
        <v>1</v>
      </c>
      <c r="J39" s="87" t="s">
        <v>136</v>
      </c>
    </row>
    <row r="40" spans="2:10" x14ac:dyDescent="0.2">
      <c r="B40" s="87" t="s">
        <v>147</v>
      </c>
      <c r="C40" s="87">
        <v>4</v>
      </c>
      <c r="I40" s="87">
        <v>2</v>
      </c>
      <c r="J40" s="87" t="s">
        <v>11</v>
      </c>
    </row>
    <row r="41" spans="2:10" x14ac:dyDescent="0.2">
      <c r="B41" s="87" t="s">
        <v>148</v>
      </c>
      <c r="C41" s="87">
        <v>5</v>
      </c>
      <c r="I41" s="87">
        <v>3</v>
      </c>
      <c r="J41" s="87" t="s">
        <v>45</v>
      </c>
    </row>
    <row r="42" spans="2:10" x14ac:dyDescent="0.2">
      <c r="B42" s="87" t="s">
        <v>149</v>
      </c>
      <c r="C42" s="87">
        <v>6</v>
      </c>
    </row>
    <row r="43" spans="2:10" x14ac:dyDescent="0.2">
      <c r="B43" s="87" t="s">
        <v>150</v>
      </c>
      <c r="C43" s="87">
        <v>7</v>
      </c>
      <c r="J43" s="184" t="s">
        <v>115</v>
      </c>
    </row>
    <row r="44" spans="2:10" x14ac:dyDescent="0.2">
      <c r="B44" s="87" t="s">
        <v>151</v>
      </c>
      <c r="C44" s="87">
        <v>8</v>
      </c>
      <c r="I44" s="87">
        <v>1</v>
      </c>
      <c r="J44" s="87" t="s">
        <v>116</v>
      </c>
    </row>
    <row r="45" spans="2:10" x14ac:dyDescent="0.2">
      <c r="B45" s="87" t="s">
        <v>152</v>
      </c>
      <c r="C45" s="87">
        <v>9</v>
      </c>
      <c r="I45" s="87">
        <v>2</v>
      </c>
      <c r="J45" s="87" t="s">
        <v>117</v>
      </c>
    </row>
    <row r="46" spans="2:10" x14ac:dyDescent="0.2">
      <c r="B46" s="87" t="s">
        <v>153</v>
      </c>
      <c r="C46" s="87">
        <v>10</v>
      </c>
    </row>
    <row r="47" spans="2:10" x14ac:dyDescent="0.2">
      <c r="J47" s="184" t="s">
        <v>118</v>
      </c>
    </row>
    <row r="48" spans="2:10" x14ac:dyDescent="0.2">
      <c r="I48" s="87">
        <v>1</v>
      </c>
      <c r="J48" s="87" t="s">
        <v>116</v>
      </c>
    </row>
    <row r="49" spans="2:58" x14ac:dyDescent="0.2">
      <c r="B49" s="87" t="s">
        <v>358</v>
      </c>
      <c r="I49" s="87">
        <v>2</v>
      </c>
      <c r="J49" s="87" t="s">
        <v>117</v>
      </c>
    </row>
    <row r="50" spans="2:58" x14ac:dyDescent="0.2">
      <c r="B50" s="187" t="s">
        <v>355</v>
      </c>
      <c r="C50" s="188" t="s">
        <v>356</v>
      </c>
    </row>
    <row r="51" spans="2:58" x14ac:dyDescent="0.2">
      <c r="B51" s="189"/>
      <c r="C51" s="190"/>
      <c r="H51" s="87" t="s">
        <v>218</v>
      </c>
      <c r="I51" s="87" t="s">
        <v>137</v>
      </c>
      <c r="J51" s="184" t="s">
        <v>137</v>
      </c>
    </row>
    <row r="52" spans="2:58" x14ac:dyDescent="0.2">
      <c r="B52" s="191" t="s">
        <v>354</v>
      </c>
      <c r="C52" s="192"/>
      <c r="I52" s="87">
        <v>1</v>
      </c>
      <c r="J52" s="87" t="s">
        <v>138</v>
      </c>
    </row>
    <row r="53" spans="2:58" x14ac:dyDescent="0.2">
      <c r="B53" s="193" t="s">
        <v>383</v>
      </c>
      <c r="I53" s="87">
        <v>2</v>
      </c>
      <c r="J53" s="87" t="s">
        <v>139</v>
      </c>
    </row>
    <row r="54" spans="2:58" x14ac:dyDescent="0.2">
      <c r="H54" s="87" t="s">
        <v>58</v>
      </c>
      <c r="I54" s="87" t="s">
        <v>319</v>
      </c>
      <c r="J54" s="87" t="s">
        <v>320</v>
      </c>
    </row>
    <row r="55" spans="2:58" x14ac:dyDescent="0.2">
      <c r="B55" s="87" t="s">
        <v>359</v>
      </c>
    </row>
    <row r="56" spans="2:58" x14ac:dyDescent="0.2">
      <c r="B56" s="187" t="s">
        <v>360</v>
      </c>
      <c r="C56" s="194" t="s">
        <v>361</v>
      </c>
      <c r="D56" s="188" t="s">
        <v>362</v>
      </c>
      <c r="J56" s="184" t="s">
        <v>274</v>
      </c>
    </row>
    <row r="57" spans="2:58" x14ac:dyDescent="0.2">
      <c r="B57" s="195">
        <v>1</v>
      </c>
      <c r="C57" s="196">
        <v>1</v>
      </c>
      <c r="D57" s="190">
        <v>0</v>
      </c>
      <c r="I57" s="87">
        <v>1</v>
      </c>
      <c r="J57" s="87" t="s">
        <v>289</v>
      </c>
      <c r="M57" s="87" t="s">
        <v>304</v>
      </c>
    </row>
    <row r="58" spans="2:58" x14ac:dyDescent="0.2">
      <c r="B58" s="195">
        <v>2</v>
      </c>
      <c r="C58" s="196">
        <v>2</v>
      </c>
      <c r="D58" s="190">
        <v>1</v>
      </c>
      <c r="I58" s="87">
        <v>2</v>
      </c>
      <c r="J58" s="87" t="s">
        <v>275</v>
      </c>
      <c r="M58" s="87" t="s">
        <v>290</v>
      </c>
      <c r="N58" s="197">
        <v>1</v>
      </c>
      <c r="O58" s="197">
        <v>2</v>
      </c>
      <c r="P58" s="197">
        <v>3</v>
      </c>
      <c r="Q58" s="197">
        <v>4</v>
      </c>
      <c r="R58" s="197">
        <v>5</v>
      </c>
      <c r="S58" s="197">
        <v>6</v>
      </c>
      <c r="T58" s="197">
        <v>7</v>
      </c>
      <c r="U58" s="197">
        <v>8</v>
      </c>
      <c r="V58" s="197">
        <v>9</v>
      </c>
      <c r="W58" s="197">
        <v>10</v>
      </c>
      <c r="X58" s="197">
        <v>11</v>
      </c>
      <c r="Y58" s="197">
        <v>12</v>
      </c>
      <c r="Z58" s="197">
        <v>13</v>
      </c>
      <c r="AA58" s="197">
        <v>14</v>
      </c>
      <c r="AB58" s="197">
        <v>15</v>
      </c>
      <c r="AC58" s="197">
        <v>16</v>
      </c>
      <c r="AD58" s="197">
        <v>17</v>
      </c>
      <c r="AE58" s="197">
        <v>18</v>
      </c>
      <c r="AF58" s="197">
        <v>19</v>
      </c>
      <c r="AG58" s="197">
        <v>20</v>
      </c>
      <c r="AH58" s="197">
        <v>21</v>
      </c>
      <c r="AI58" s="197">
        <v>22</v>
      </c>
      <c r="AJ58" s="197">
        <v>23</v>
      </c>
      <c r="AK58" s="197">
        <v>24</v>
      </c>
      <c r="AL58" s="197">
        <v>25</v>
      </c>
      <c r="AM58" s="197">
        <v>26</v>
      </c>
      <c r="AN58" s="197">
        <v>27</v>
      </c>
      <c r="AO58" s="197">
        <v>28</v>
      </c>
      <c r="AP58" s="197">
        <v>29</v>
      </c>
      <c r="AQ58" s="197">
        <v>30</v>
      </c>
      <c r="AR58" s="197">
        <v>31</v>
      </c>
      <c r="AS58" s="197">
        <v>32</v>
      </c>
      <c r="AT58" s="197">
        <v>33</v>
      </c>
      <c r="AU58" s="197">
        <v>34</v>
      </c>
      <c r="AV58" s="197">
        <v>35</v>
      </c>
      <c r="AW58" s="197">
        <v>36</v>
      </c>
      <c r="AX58" s="197">
        <v>37</v>
      </c>
      <c r="AY58" s="197">
        <v>38</v>
      </c>
      <c r="AZ58" s="197">
        <v>39</v>
      </c>
      <c r="BA58" s="197">
        <v>40</v>
      </c>
      <c r="BB58" s="197">
        <v>41</v>
      </c>
      <c r="BC58" s="197">
        <v>42</v>
      </c>
      <c r="BD58" s="197">
        <v>43</v>
      </c>
      <c r="BE58" s="197">
        <v>44</v>
      </c>
      <c r="BF58" s="197">
        <v>45</v>
      </c>
    </row>
    <row r="59" spans="2:58" x14ac:dyDescent="0.2">
      <c r="B59" s="195">
        <v>3</v>
      </c>
      <c r="C59" s="196">
        <v>3</v>
      </c>
      <c r="D59" s="190">
        <v>2</v>
      </c>
      <c r="I59" s="87">
        <v>3</v>
      </c>
      <c r="J59" s="87" t="s">
        <v>277</v>
      </c>
      <c r="M59" s="87" t="s">
        <v>291</v>
      </c>
      <c r="N59" s="197">
        <v>46</v>
      </c>
      <c r="O59" s="197">
        <v>47</v>
      </c>
      <c r="P59" s="197">
        <v>48</v>
      </c>
      <c r="Q59" s="197">
        <v>49</v>
      </c>
      <c r="R59" s="197">
        <v>50</v>
      </c>
      <c r="S59" s="197">
        <v>51</v>
      </c>
      <c r="T59" s="197">
        <v>52</v>
      </c>
      <c r="U59" s="197">
        <v>53</v>
      </c>
      <c r="V59" s="197">
        <v>54</v>
      </c>
      <c r="W59" s="197">
        <v>55</v>
      </c>
      <c r="X59" s="197">
        <v>56</v>
      </c>
      <c r="Y59" s="197">
        <v>57</v>
      </c>
      <c r="Z59" s="197">
        <v>58</v>
      </c>
      <c r="AA59" s="197">
        <v>59</v>
      </c>
      <c r="AB59" s="197">
        <v>60</v>
      </c>
      <c r="AC59" s="197">
        <v>61</v>
      </c>
      <c r="AD59" s="197">
        <v>62</v>
      </c>
      <c r="AE59" s="197">
        <v>63</v>
      </c>
      <c r="AF59" s="197">
        <v>64</v>
      </c>
      <c r="AG59" s="197">
        <v>65</v>
      </c>
      <c r="AH59" s="197">
        <v>66</v>
      </c>
      <c r="AI59" s="197">
        <v>67</v>
      </c>
      <c r="AJ59" s="197">
        <v>68</v>
      </c>
      <c r="AK59" s="197">
        <v>69</v>
      </c>
      <c r="AL59" s="197">
        <v>70</v>
      </c>
      <c r="AM59" s="197">
        <v>71</v>
      </c>
      <c r="AN59" s="197">
        <v>72</v>
      </c>
      <c r="AO59" s="197">
        <v>73</v>
      </c>
      <c r="AP59" s="197">
        <v>74</v>
      </c>
      <c r="AQ59" s="197">
        <v>75</v>
      </c>
      <c r="AR59" s="197">
        <v>76</v>
      </c>
      <c r="AS59" s="197">
        <v>77</v>
      </c>
      <c r="AT59" s="197">
        <v>78</v>
      </c>
      <c r="AU59" s="197">
        <v>79</v>
      </c>
      <c r="AV59" s="197">
        <v>80</v>
      </c>
      <c r="AW59" s="197">
        <v>81</v>
      </c>
      <c r="AX59" s="197">
        <v>82</v>
      </c>
      <c r="AY59" s="197">
        <v>83</v>
      </c>
      <c r="AZ59" s="197">
        <v>84</v>
      </c>
      <c r="BA59" s="197">
        <v>85</v>
      </c>
      <c r="BB59" s="197">
        <v>86</v>
      </c>
      <c r="BC59" s="197">
        <v>87</v>
      </c>
      <c r="BD59" s="197">
        <v>88</v>
      </c>
      <c r="BE59" s="197">
        <v>89</v>
      </c>
      <c r="BF59" s="197">
        <v>90</v>
      </c>
    </row>
    <row r="60" spans="2:58" x14ac:dyDescent="0.2">
      <c r="B60" s="195"/>
      <c r="C60" s="196">
        <v>4</v>
      </c>
      <c r="D60" s="190">
        <v>3</v>
      </c>
      <c r="I60" s="87">
        <v>4</v>
      </c>
      <c r="J60" s="87" t="s">
        <v>276</v>
      </c>
      <c r="M60" s="87" t="s">
        <v>292</v>
      </c>
      <c r="N60" s="197">
        <v>91</v>
      </c>
      <c r="O60" s="197">
        <v>92</v>
      </c>
      <c r="P60" s="197">
        <v>93</v>
      </c>
      <c r="Q60" s="197">
        <v>94</v>
      </c>
      <c r="R60" s="197">
        <v>95</v>
      </c>
      <c r="S60" s="197">
        <v>96</v>
      </c>
      <c r="T60" s="197">
        <v>97</v>
      </c>
      <c r="U60" s="197">
        <v>98</v>
      </c>
      <c r="V60" s="197">
        <v>99</v>
      </c>
      <c r="W60" s="197">
        <v>100</v>
      </c>
      <c r="X60" s="197">
        <v>101</v>
      </c>
      <c r="Y60" s="197">
        <v>102</v>
      </c>
      <c r="Z60" s="197">
        <v>103</v>
      </c>
      <c r="AA60" s="197">
        <v>104</v>
      </c>
      <c r="AB60" s="197">
        <v>105</v>
      </c>
      <c r="AC60" s="197">
        <v>106</v>
      </c>
      <c r="AD60" s="197">
        <v>107</v>
      </c>
      <c r="AE60" s="197">
        <v>108</v>
      </c>
      <c r="AF60" s="197">
        <v>109</v>
      </c>
      <c r="AG60" s="197">
        <v>110</v>
      </c>
      <c r="AH60" s="197">
        <v>111</v>
      </c>
      <c r="AI60" s="197">
        <v>112</v>
      </c>
      <c r="AJ60" s="197">
        <v>113</v>
      </c>
      <c r="AK60" s="197">
        <v>114</v>
      </c>
      <c r="AL60" s="197">
        <v>115</v>
      </c>
      <c r="AM60" s="197">
        <v>116</v>
      </c>
      <c r="AN60" s="197">
        <v>117</v>
      </c>
      <c r="AO60" s="197">
        <v>118</v>
      </c>
      <c r="AP60" s="197">
        <v>119</v>
      </c>
      <c r="AQ60" s="197">
        <v>120</v>
      </c>
      <c r="AR60" s="197">
        <v>121</v>
      </c>
      <c r="AS60" s="197">
        <v>122</v>
      </c>
      <c r="AT60" s="197">
        <v>123</v>
      </c>
      <c r="AU60" s="197">
        <v>124</v>
      </c>
      <c r="AV60" s="197">
        <v>125</v>
      </c>
      <c r="AW60" s="197">
        <v>126</v>
      </c>
      <c r="AX60" s="197">
        <v>127</v>
      </c>
      <c r="AY60" s="197">
        <v>128</v>
      </c>
      <c r="AZ60" s="197">
        <v>129</v>
      </c>
      <c r="BA60" s="197">
        <v>130</v>
      </c>
      <c r="BB60" s="197">
        <v>131</v>
      </c>
      <c r="BC60" s="197">
        <v>132</v>
      </c>
      <c r="BD60" s="197">
        <v>133</v>
      </c>
      <c r="BE60" s="197">
        <v>134</v>
      </c>
      <c r="BF60" s="197">
        <v>135</v>
      </c>
    </row>
    <row r="61" spans="2:58" x14ac:dyDescent="0.2">
      <c r="B61" s="198"/>
      <c r="C61" s="199">
        <v>5</v>
      </c>
      <c r="D61" s="192"/>
      <c r="I61" s="87">
        <v>5</v>
      </c>
      <c r="J61" s="87" t="s">
        <v>278</v>
      </c>
      <c r="M61" s="87" t="s">
        <v>293</v>
      </c>
      <c r="N61" s="197">
        <v>1</v>
      </c>
      <c r="O61" s="197">
        <v>2</v>
      </c>
      <c r="P61" s="197">
        <v>3</v>
      </c>
      <c r="Q61" s="197">
        <v>4</v>
      </c>
      <c r="R61" s="197">
        <v>5</v>
      </c>
      <c r="S61" s="197">
        <v>6</v>
      </c>
      <c r="T61" s="197">
        <v>7</v>
      </c>
      <c r="U61" s="197">
        <v>8</v>
      </c>
      <c r="V61" s="197">
        <v>9</v>
      </c>
      <c r="W61" s="197">
        <v>10</v>
      </c>
      <c r="X61" s="197">
        <v>11</v>
      </c>
      <c r="Y61" s="197">
        <v>12</v>
      </c>
      <c r="Z61" s="197">
        <v>13</v>
      </c>
      <c r="AA61" s="197">
        <v>14</v>
      </c>
      <c r="AB61" s="197">
        <v>15</v>
      </c>
      <c r="AC61" s="197">
        <v>46</v>
      </c>
      <c r="AD61" s="197">
        <v>47</v>
      </c>
      <c r="AE61" s="197">
        <v>48</v>
      </c>
      <c r="AF61" s="197">
        <v>49</v>
      </c>
      <c r="AG61" s="197">
        <v>50</v>
      </c>
      <c r="AH61" s="197">
        <v>51</v>
      </c>
      <c r="AI61" s="197">
        <v>52</v>
      </c>
      <c r="AJ61" s="197">
        <v>53</v>
      </c>
      <c r="AK61" s="197">
        <v>54</v>
      </c>
      <c r="AL61" s="197">
        <v>55</v>
      </c>
      <c r="AM61" s="197">
        <v>56</v>
      </c>
      <c r="AN61" s="197">
        <v>57</v>
      </c>
      <c r="AO61" s="197">
        <v>58</v>
      </c>
      <c r="AP61" s="197">
        <v>59</v>
      </c>
      <c r="AQ61" s="197">
        <v>60</v>
      </c>
      <c r="AR61" s="197">
        <v>91</v>
      </c>
      <c r="AS61" s="197">
        <v>92</v>
      </c>
      <c r="AT61" s="197">
        <v>93</v>
      </c>
      <c r="AU61" s="197">
        <v>94</v>
      </c>
      <c r="AV61" s="197">
        <v>95</v>
      </c>
      <c r="AW61" s="197">
        <v>96</v>
      </c>
      <c r="AX61" s="197">
        <v>97</v>
      </c>
      <c r="AY61" s="197">
        <v>98</v>
      </c>
      <c r="AZ61" s="197">
        <v>99</v>
      </c>
      <c r="BA61" s="197">
        <v>100</v>
      </c>
      <c r="BB61" s="197">
        <v>101</v>
      </c>
      <c r="BC61" s="197">
        <v>102</v>
      </c>
      <c r="BD61" s="197">
        <v>103</v>
      </c>
      <c r="BE61" s="197">
        <v>104</v>
      </c>
      <c r="BF61" s="197">
        <v>105</v>
      </c>
    </row>
    <row r="62" spans="2:58" x14ac:dyDescent="0.2">
      <c r="I62" s="87">
        <v>6</v>
      </c>
      <c r="J62" s="87" t="s">
        <v>279</v>
      </c>
      <c r="M62" s="87" t="s">
        <v>294</v>
      </c>
      <c r="N62" s="197">
        <v>16</v>
      </c>
      <c r="O62" s="197">
        <v>17</v>
      </c>
      <c r="P62" s="197">
        <v>18</v>
      </c>
      <c r="Q62" s="197">
        <v>19</v>
      </c>
      <c r="R62" s="197">
        <v>20</v>
      </c>
      <c r="S62" s="197">
        <v>21</v>
      </c>
      <c r="T62" s="197">
        <v>22</v>
      </c>
      <c r="U62" s="197">
        <v>23</v>
      </c>
      <c r="V62" s="197">
        <v>24</v>
      </c>
      <c r="W62" s="197">
        <v>25</v>
      </c>
      <c r="X62" s="197">
        <v>26</v>
      </c>
      <c r="Y62" s="197">
        <v>27</v>
      </c>
      <c r="Z62" s="197">
        <v>28</v>
      </c>
      <c r="AA62" s="197">
        <v>29</v>
      </c>
      <c r="AB62" s="197">
        <v>30</v>
      </c>
      <c r="AC62" s="197">
        <v>61</v>
      </c>
      <c r="AD62" s="197">
        <v>62</v>
      </c>
      <c r="AE62" s="197">
        <v>63</v>
      </c>
      <c r="AF62" s="197">
        <v>64</v>
      </c>
      <c r="AG62" s="197">
        <v>65</v>
      </c>
      <c r="AH62" s="197">
        <v>66</v>
      </c>
      <c r="AI62" s="197">
        <v>67</v>
      </c>
      <c r="AJ62" s="197">
        <v>68</v>
      </c>
      <c r="AK62" s="197">
        <v>69</v>
      </c>
      <c r="AL62" s="197">
        <v>70</v>
      </c>
      <c r="AM62" s="197">
        <v>71</v>
      </c>
      <c r="AN62" s="197">
        <v>72</v>
      </c>
      <c r="AO62" s="197">
        <v>73</v>
      </c>
      <c r="AP62" s="197">
        <v>74</v>
      </c>
      <c r="AQ62" s="197">
        <v>75</v>
      </c>
      <c r="AR62" s="197">
        <v>106</v>
      </c>
      <c r="AS62" s="197">
        <v>107</v>
      </c>
      <c r="AT62" s="197">
        <v>108</v>
      </c>
      <c r="AU62" s="197">
        <v>109</v>
      </c>
      <c r="AV62" s="197">
        <v>110</v>
      </c>
      <c r="AW62" s="197">
        <v>111</v>
      </c>
      <c r="AX62" s="197">
        <v>112</v>
      </c>
      <c r="AY62" s="197">
        <v>113</v>
      </c>
      <c r="AZ62" s="197">
        <v>114</v>
      </c>
      <c r="BA62" s="197">
        <v>115</v>
      </c>
      <c r="BB62" s="197">
        <v>116</v>
      </c>
      <c r="BC62" s="197">
        <v>117</v>
      </c>
      <c r="BD62" s="197">
        <v>118</v>
      </c>
      <c r="BE62" s="197">
        <v>119</v>
      </c>
      <c r="BF62" s="197">
        <v>120</v>
      </c>
    </row>
    <row r="63" spans="2:58" x14ac:dyDescent="0.2">
      <c r="I63" s="87">
        <v>7</v>
      </c>
      <c r="J63" s="87" t="s">
        <v>280</v>
      </c>
      <c r="M63" s="87" t="s">
        <v>295</v>
      </c>
      <c r="N63" s="197">
        <v>31</v>
      </c>
      <c r="O63" s="197">
        <v>32</v>
      </c>
      <c r="P63" s="197">
        <v>33</v>
      </c>
      <c r="Q63" s="197">
        <v>34</v>
      </c>
      <c r="R63" s="197">
        <v>35</v>
      </c>
      <c r="S63" s="197">
        <v>36</v>
      </c>
      <c r="T63" s="197">
        <v>37</v>
      </c>
      <c r="U63" s="197">
        <v>38</v>
      </c>
      <c r="V63" s="197">
        <v>39</v>
      </c>
      <c r="W63" s="197">
        <v>40</v>
      </c>
      <c r="X63" s="197">
        <v>41</v>
      </c>
      <c r="Y63" s="197">
        <v>42</v>
      </c>
      <c r="Z63" s="197">
        <v>43</v>
      </c>
      <c r="AA63" s="197">
        <v>44</v>
      </c>
      <c r="AB63" s="197">
        <v>45</v>
      </c>
      <c r="AC63" s="197">
        <v>76</v>
      </c>
      <c r="AD63" s="197">
        <v>77</v>
      </c>
      <c r="AE63" s="197">
        <v>78</v>
      </c>
      <c r="AF63" s="197">
        <v>79</v>
      </c>
      <c r="AG63" s="197">
        <v>80</v>
      </c>
      <c r="AH63" s="197">
        <v>81</v>
      </c>
      <c r="AI63" s="197">
        <v>82</v>
      </c>
      <c r="AJ63" s="197">
        <v>83</v>
      </c>
      <c r="AK63" s="197">
        <v>84</v>
      </c>
      <c r="AL63" s="197">
        <v>85</v>
      </c>
      <c r="AM63" s="197">
        <v>86</v>
      </c>
      <c r="AN63" s="197">
        <v>87</v>
      </c>
      <c r="AO63" s="197">
        <v>88</v>
      </c>
      <c r="AP63" s="197">
        <v>89</v>
      </c>
      <c r="AQ63" s="197">
        <v>90</v>
      </c>
      <c r="AR63" s="197">
        <v>121</v>
      </c>
      <c r="AS63" s="197">
        <v>122</v>
      </c>
      <c r="AT63" s="197">
        <v>123</v>
      </c>
      <c r="AU63" s="197">
        <v>124</v>
      </c>
      <c r="AV63" s="197">
        <v>125</v>
      </c>
      <c r="AW63" s="197">
        <v>126</v>
      </c>
      <c r="AX63" s="197">
        <v>127</v>
      </c>
      <c r="AY63" s="197">
        <v>128</v>
      </c>
      <c r="AZ63" s="197">
        <v>129</v>
      </c>
      <c r="BA63" s="197">
        <v>130</v>
      </c>
      <c r="BB63" s="197">
        <v>131</v>
      </c>
      <c r="BC63" s="197">
        <v>132</v>
      </c>
      <c r="BD63" s="197">
        <v>133</v>
      </c>
      <c r="BE63" s="197">
        <v>134</v>
      </c>
      <c r="BF63" s="197">
        <v>135</v>
      </c>
    </row>
    <row r="64" spans="2:58" x14ac:dyDescent="0.2">
      <c r="I64" s="87">
        <v>8</v>
      </c>
      <c r="J64" s="87" t="s">
        <v>281</v>
      </c>
      <c r="M64" s="87" t="s">
        <v>296</v>
      </c>
      <c r="N64" s="197">
        <v>1</v>
      </c>
      <c r="O64" s="197">
        <v>2</v>
      </c>
      <c r="P64" s="197">
        <v>3</v>
      </c>
      <c r="Q64" s="197">
        <v>16</v>
      </c>
      <c r="R64" s="197">
        <v>17</v>
      </c>
      <c r="S64" s="197">
        <v>18</v>
      </c>
      <c r="T64" s="197">
        <v>31</v>
      </c>
      <c r="U64" s="197">
        <v>32</v>
      </c>
      <c r="V64" s="197">
        <v>33</v>
      </c>
      <c r="W64" s="197">
        <v>46</v>
      </c>
      <c r="X64" s="197">
        <v>47</v>
      </c>
      <c r="Y64" s="197">
        <v>48</v>
      </c>
      <c r="Z64" s="197">
        <v>61</v>
      </c>
      <c r="AA64" s="197">
        <v>62</v>
      </c>
      <c r="AB64" s="197">
        <v>63</v>
      </c>
      <c r="AC64" s="197">
        <v>76</v>
      </c>
      <c r="AD64" s="197">
        <v>77</v>
      </c>
      <c r="AE64" s="197">
        <v>78</v>
      </c>
      <c r="AF64" s="197">
        <v>91</v>
      </c>
      <c r="AG64" s="197">
        <v>92</v>
      </c>
      <c r="AH64" s="197">
        <v>93</v>
      </c>
      <c r="AI64" s="197">
        <v>106</v>
      </c>
      <c r="AJ64" s="197">
        <v>107</v>
      </c>
      <c r="AK64" s="197">
        <v>108</v>
      </c>
      <c r="AL64" s="197">
        <v>121</v>
      </c>
      <c r="AM64" s="197">
        <v>122</v>
      </c>
      <c r="AN64" s="197">
        <v>123</v>
      </c>
      <c r="AO64" s="197"/>
      <c r="AP64" s="197"/>
      <c r="AQ64" s="197"/>
      <c r="AR64" s="197"/>
      <c r="AS64" s="197"/>
      <c r="AT64" s="197"/>
      <c r="AU64" s="197"/>
      <c r="AV64" s="197"/>
      <c r="AW64" s="197"/>
      <c r="AX64" s="197"/>
      <c r="AY64" s="197"/>
      <c r="AZ64" s="197"/>
      <c r="BA64" s="197"/>
      <c r="BB64" s="197"/>
      <c r="BC64" s="197"/>
      <c r="BD64" s="197"/>
      <c r="BE64" s="197"/>
      <c r="BF64" s="197"/>
    </row>
    <row r="65" spans="3:58" x14ac:dyDescent="0.2">
      <c r="I65" s="87">
        <v>9</v>
      </c>
      <c r="J65" s="87" t="s">
        <v>282</v>
      </c>
      <c r="M65" s="87" t="s">
        <v>297</v>
      </c>
      <c r="N65" s="197">
        <v>4</v>
      </c>
      <c r="O65" s="197">
        <v>5</v>
      </c>
      <c r="P65" s="197">
        <v>6</v>
      </c>
      <c r="Q65" s="197">
        <v>19</v>
      </c>
      <c r="R65" s="197">
        <v>20</v>
      </c>
      <c r="S65" s="197">
        <v>21</v>
      </c>
      <c r="T65" s="197">
        <v>34</v>
      </c>
      <c r="U65" s="197">
        <v>35</v>
      </c>
      <c r="V65" s="197">
        <v>36</v>
      </c>
      <c r="W65" s="197">
        <v>49</v>
      </c>
      <c r="X65" s="197">
        <v>50</v>
      </c>
      <c r="Y65" s="197">
        <v>51</v>
      </c>
      <c r="Z65" s="197">
        <v>64</v>
      </c>
      <c r="AA65" s="197">
        <v>65</v>
      </c>
      <c r="AB65" s="197">
        <v>66</v>
      </c>
      <c r="AC65" s="197">
        <v>79</v>
      </c>
      <c r="AD65" s="197">
        <v>80</v>
      </c>
      <c r="AE65" s="197">
        <v>81</v>
      </c>
      <c r="AF65" s="197">
        <v>94</v>
      </c>
      <c r="AG65" s="197">
        <v>95</v>
      </c>
      <c r="AH65" s="197">
        <v>96</v>
      </c>
      <c r="AI65" s="197">
        <v>109</v>
      </c>
      <c r="AJ65" s="197">
        <v>110</v>
      </c>
      <c r="AK65" s="197">
        <v>111</v>
      </c>
      <c r="AL65" s="197">
        <v>124</v>
      </c>
      <c r="AM65" s="197">
        <v>125</v>
      </c>
      <c r="AN65" s="197">
        <v>126</v>
      </c>
      <c r="AO65" s="197"/>
      <c r="AP65" s="197"/>
      <c r="AQ65" s="197"/>
      <c r="AR65" s="197"/>
      <c r="AS65" s="197"/>
      <c r="AT65" s="197"/>
      <c r="AU65" s="197"/>
      <c r="AV65" s="197"/>
      <c r="AW65" s="197"/>
      <c r="AX65" s="197"/>
      <c r="AY65" s="197"/>
      <c r="AZ65" s="197"/>
      <c r="BA65" s="197"/>
      <c r="BB65" s="197"/>
      <c r="BC65" s="197"/>
      <c r="BD65" s="197"/>
      <c r="BE65" s="197"/>
      <c r="BF65" s="197"/>
    </row>
    <row r="66" spans="3:58" x14ac:dyDescent="0.2">
      <c r="I66" s="87">
        <v>10</v>
      </c>
      <c r="J66" s="87" t="s">
        <v>283</v>
      </c>
      <c r="M66" s="87" t="s">
        <v>298</v>
      </c>
      <c r="N66" s="197">
        <v>7</v>
      </c>
      <c r="O66" s="197">
        <v>8</v>
      </c>
      <c r="P66" s="197">
        <v>9</v>
      </c>
      <c r="Q66" s="197">
        <v>22</v>
      </c>
      <c r="R66" s="197">
        <v>23</v>
      </c>
      <c r="S66" s="197">
        <v>24</v>
      </c>
      <c r="T66" s="197">
        <v>37</v>
      </c>
      <c r="U66" s="197">
        <v>38</v>
      </c>
      <c r="V66" s="197">
        <v>39</v>
      </c>
      <c r="W66" s="197">
        <v>52</v>
      </c>
      <c r="X66" s="197">
        <v>53</v>
      </c>
      <c r="Y66" s="197">
        <v>54</v>
      </c>
      <c r="Z66" s="197">
        <v>67</v>
      </c>
      <c r="AA66" s="197">
        <v>68</v>
      </c>
      <c r="AB66" s="197">
        <v>69</v>
      </c>
      <c r="AC66" s="197">
        <v>82</v>
      </c>
      <c r="AD66" s="197">
        <v>83</v>
      </c>
      <c r="AE66" s="197">
        <v>84</v>
      </c>
      <c r="AF66" s="197">
        <v>97</v>
      </c>
      <c r="AG66" s="197">
        <v>98</v>
      </c>
      <c r="AH66" s="197">
        <v>99</v>
      </c>
      <c r="AI66" s="197">
        <v>112</v>
      </c>
      <c r="AJ66" s="197">
        <v>113</v>
      </c>
      <c r="AK66" s="197">
        <v>114</v>
      </c>
      <c r="AL66" s="197">
        <v>127</v>
      </c>
      <c r="AM66" s="197">
        <v>128</v>
      </c>
      <c r="AN66" s="197">
        <v>129</v>
      </c>
      <c r="AO66" s="197"/>
      <c r="AP66" s="197"/>
      <c r="AQ66" s="197"/>
      <c r="AR66" s="197"/>
      <c r="AS66" s="197"/>
      <c r="AT66" s="197"/>
      <c r="AU66" s="197"/>
      <c r="AV66" s="197"/>
      <c r="AW66" s="197"/>
      <c r="AX66" s="197"/>
      <c r="AY66" s="197"/>
      <c r="AZ66" s="197"/>
      <c r="BA66" s="197"/>
      <c r="BB66" s="197"/>
      <c r="BC66" s="197"/>
      <c r="BD66" s="197"/>
      <c r="BE66" s="197"/>
      <c r="BF66" s="197"/>
    </row>
    <row r="67" spans="3:58" x14ac:dyDescent="0.2">
      <c r="C67" s="87" t="s">
        <v>363</v>
      </c>
      <c r="D67" s="87">
        <f t="array" ref="D67">INDEX(KOMBI!$A$1:$EV$10,1,MATCH(data!$C67,KOMBI!$A$10:$EV$10,0))</f>
        <v>26</v>
      </c>
      <c r="E67" s="87">
        <v>0</v>
      </c>
      <c r="I67" s="87">
        <v>11</v>
      </c>
      <c r="J67" s="87" t="s">
        <v>284</v>
      </c>
      <c r="M67" s="87" t="s">
        <v>299</v>
      </c>
      <c r="N67" s="197">
        <v>10</v>
      </c>
      <c r="O67" s="197">
        <v>11</v>
      </c>
      <c r="P67" s="197">
        <v>12</v>
      </c>
      <c r="Q67" s="197">
        <v>25</v>
      </c>
      <c r="R67" s="197">
        <v>26</v>
      </c>
      <c r="S67" s="197">
        <v>27</v>
      </c>
      <c r="T67" s="197">
        <v>40</v>
      </c>
      <c r="U67" s="197">
        <v>41</v>
      </c>
      <c r="V67" s="197">
        <v>42</v>
      </c>
      <c r="W67" s="197">
        <v>55</v>
      </c>
      <c r="X67" s="197">
        <v>56</v>
      </c>
      <c r="Y67" s="197">
        <v>57</v>
      </c>
      <c r="Z67" s="197">
        <v>70</v>
      </c>
      <c r="AA67" s="197">
        <v>71</v>
      </c>
      <c r="AB67" s="197">
        <v>72</v>
      </c>
      <c r="AC67" s="197">
        <v>85</v>
      </c>
      <c r="AD67" s="197">
        <v>86</v>
      </c>
      <c r="AE67" s="197">
        <v>87</v>
      </c>
      <c r="AF67" s="197">
        <v>100</v>
      </c>
      <c r="AG67" s="197">
        <v>101</v>
      </c>
      <c r="AH67" s="197">
        <v>102</v>
      </c>
      <c r="AI67" s="197">
        <v>115</v>
      </c>
      <c r="AJ67" s="197">
        <v>116</v>
      </c>
      <c r="AK67" s="197">
        <v>117</v>
      </c>
      <c r="AL67" s="197">
        <v>130</v>
      </c>
      <c r="AM67" s="197">
        <v>131</v>
      </c>
      <c r="AN67" s="197">
        <v>132</v>
      </c>
    </row>
    <row r="68" spans="3:58" x14ac:dyDescent="0.2">
      <c r="C68" s="87" t="s">
        <v>246</v>
      </c>
      <c r="D68" s="87">
        <v>157</v>
      </c>
      <c r="E68" s="87">
        <v>0</v>
      </c>
      <c r="I68" s="87">
        <v>12</v>
      </c>
      <c r="J68" s="87" t="s">
        <v>285</v>
      </c>
      <c r="M68" s="87" t="s">
        <v>300</v>
      </c>
      <c r="N68" s="197">
        <v>13</v>
      </c>
      <c r="O68" s="197">
        <v>14</v>
      </c>
      <c r="P68" s="197">
        <v>15</v>
      </c>
      <c r="Q68" s="197">
        <v>28</v>
      </c>
      <c r="R68" s="197">
        <v>29</v>
      </c>
      <c r="S68" s="197">
        <v>30</v>
      </c>
      <c r="T68" s="197">
        <v>43</v>
      </c>
      <c r="U68" s="197">
        <v>44</v>
      </c>
      <c r="V68" s="197">
        <v>45</v>
      </c>
      <c r="W68" s="197">
        <v>58</v>
      </c>
      <c r="X68" s="197">
        <v>59</v>
      </c>
      <c r="Y68" s="197">
        <v>60</v>
      </c>
      <c r="Z68" s="197">
        <v>73</v>
      </c>
      <c r="AA68" s="197">
        <v>74</v>
      </c>
      <c r="AB68" s="197">
        <v>75</v>
      </c>
      <c r="AC68" s="197">
        <v>88</v>
      </c>
      <c r="AD68" s="197">
        <v>89</v>
      </c>
      <c r="AE68" s="197">
        <v>90</v>
      </c>
      <c r="AF68" s="197">
        <v>103</v>
      </c>
      <c r="AG68" s="197">
        <v>104</v>
      </c>
      <c r="AH68" s="197">
        <v>105</v>
      </c>
      <c r="AI68" s="197">
        <v>118</v>
      </c>
      <c r="AJ68" s="197">
        <v>119</v>
      </c>
      <c r="AK68" s="197">
        <v>120</v>
      </c>
      <c r="AL68" s="197">
        <v>133</v>
      </c>
      <c r="AM68" s="197">
        <v>134</v>
      </c>
      <c r="AN68" s="197">
        <v>135</v>
      </c>
    </row>
    <row r="69" spans="3:58" x14ac:dyDescent="0.2">
      <c r="C69" s="87" t="s">
        <v>686</v>
      </c>
      <c r="D69" s="87">
        <f>KOMBI!FE1</f>
        <v>155</v>
      </c>
      <c r="E69" s="87">
        <v>1</v>
      </c>
      <c r="I69" s="87">
        <v>13</v>
      </c>
      <c r="J69" s="87" t="s">
        <v>286</v>
      </c>
      <c r="M69" s="87" t="s">
        <v>301</v>
      </c>
      <c r="N69" s="197">
        <v>1</v>
      </c>
      <c r="O69" s="197">
        <v>4</v>
      </c>
      <c r="P69" s="197">
        <v>7</v>
      </c>
      <c r="Q69" s="197">
        <v>10</v>
      </c>
      <c r="R69" s="197">
        <v>13</v>
      </c>
      <c r="S69" s="197">
        <v>16</v>
      </c>
      <c r="T69" s="197">
        <v>19</v>
      </c>
      <c r="U69" s="197">
        <v>22</v>
      </c>
      <c r="V69" s="197">
        <v>25</v>
      </c>
      <c r="W69" s="197">
        <v>28</v>
      </c>
      <c r="X69" s="197">
        <v>31</v>
      </c>
      <c r="Y69" s="197">
        <v>34</v>
      </c>
      <c r="Z69" s="197">
        <v>37</v>
      </c>
      <c r="AA69" s="197">
        <v>40</v>
      </c>
      <c r="AB69" s="197">
        <v>43</v>
      </c>
      <c r="AC69" s="197">
        <v>46</v>
      </c>
      <c r="AD69" s="197">
        <v>49</v>
      </c>
      <c r="AE69" s="197">
        <v>52</v>
      </c>
      <c r="AF69" s="197">
        <v>55</v>
      </c>
      <c r="AG69" s="197">
        <v>58</v>
      </c>
      <c r="AH69" s="197">
        <v>61</v>
      </c>
      <c r="AI69" s="197">
        <v>64</v>
      </c>
      <c r="AJ69" s="197">
        <v>67</v>
      </c>
      <c r="AK69" s="197">
        <v>70</v>
      </c>
      <c r="AL69" s="197">
        <v>73</v>
      </c>
      <c r="AM69" s="197">
        <v>76</v>
      </c>
      <c r="AN69" s="197">
        <v>79</v>
      </c>
      <c r="AO69" s="197">
        <v>82</v>
      </c>
      <c r="AP69" s="197">
        <v>85</v>
      </c>
      <c r="AQ69" s="197">
        <v>88</v>
      </c>
      <c r="AR69" s="197">
        <v>91</v>
      </c>
      <c r="AS69" s="197">
        <v>94</v>
      </c>
      <c r="AT69" s="197">
        <v>97</v>
      </c>
      <c r="AU69" s="197">
        <v>100</v>
      </c>
      <c r="AV69" s="197">
        <v>103</v>
      </c>
      <c r="AW69" s="197">
        <v>106</v>
      </c>
      <c r="AX69" s="197">
        <v>109</v>
      </c>
      <c r="AY69" s="197">
        <v>112</v>
      </c>
      <c r="AZ69" s="197">
        <v>115</v>
      </c>
      <c r="BA69" s="197">
        <v>118</v>
      </c>
      <c r="BB69" s="197">
        <v>121</v>
      </c>
      <c r="BC69" s="197">
        <v>124</v>
      </c>
      <c r="BD69" s="197">
        <v>127</v>
      </c>
      <c r="BE69" s="197">
        <v>130</v>
      </c>
      <c r="BF69" s="197">
        <v>133</v>
      </c>
    </row>
    <row r="70" spans="3:58" x14ac:dyDescent="0.2">
      <c r="C70" s="87" t="s">
        <v>687</v>
      </c>
      <c r="D70" s="87">
        <f>KOMBI!FF1</f>
        <v>156</v>
      </c>
      <c r="E70" s="87">
        <v>0</v>
      </c>
      <c r="I70" s="87">
        <v>14</v>
      </c>
      <c r="J70" s="87" t="s">
        <v>287</v>
      </c>
      <c r="M70" s="87" t="s">
        <v>302</v>
      </c>
      <c r="N70" s="197">
        <v>2</v>
      </c>
      <c r="O70" s="197">
        <v>5</v>
      </c>
      <c r="P70" s="197">
        <v>8</v>
      </c>
      <c r="Q70" s="197">
        <v>11</v>
      </c>
      <c r="R70" s="197">
        <v>14</v>
      </c>
      <c r="S70" s="197">
        <v>17</v>
      </c>
      <c r="T70" s="197">
        <v>20</v>
      </c>
      <c r="U70" s="197">
        <v>23</v>
      </c>
      <c r="V70" s="197">
        <v>26</v>
      </c>
      <c r="W70" s="197">
        <v>29</v>
      </c>
      <c r="X70" s="197">
        <v>32</v>
      </c>
      <c r="Y70" s="197">
        <v>35</v>
      </c>
      <c r="Z70" s="197">
        <v>38</v>
      </c>
      <c r="AA70" s="197">
        <v>41</v>
      </c>
      <c r="AB70" s="197">
        <v>44</v>
      </c>
      <c r="AC70" s="197">
        <v>47</v>
      </c>
      <c r="AD70" s="197">
        <v>50</v>
      </c>
      <c r="AE70" s="197">
        <v>53</v>
      </c>
      <c r="AF70" s="197">
        <v>56</v>
      </c>
      <c r="AG70" s="197">
        <v>59</v>
      </c>
      <c r="AH70" s="197">
        <v>62</v>
      </c>
      <c r="AI70" s="197">
        <v>65</v>
      </c>
      <c r="AJ70" s="197">
        <v>68</v>
      </c>
      <c r="AK70" s="197">
        <v>71</v>
      </c>
      <c r="AL70" s="197">
        <v>74</v>
      </c>
      <c r="AM70" s="197">
        <v>77</v>
      </c>
      <c r="AN70" s="197">
        <v>80</v>
      </c>
      <c r="AO70" s="197">
        <v>83</v>
      </c>
      <c r="AP70" s="197">
        <v>86</v>
      </c>
      <c r="AQ70" s="197">
        <v>89</v>
      </c>
      <c r="AR70" s="197">
        <v>92</v>
      </c>
      <c r="AS70" s="197">
        <v>95</v>
      </c>
      <c r="AT70" s="197">
        <v>98</v>
      </c>
      <c r="AU70" s="197">
        <v>101</v>
      </c>
      <c r="AV70" s="197">
        <v>104</v>
      </c>
      <c r="AW70" s="197">
        <v>107</v>
      </c>
      <c r="AX70" s="197">
        <v>110</v>
      </c>
      <c r="AY70" s="197">
        <v>113</v>
      </c>
      <c r="AZ70" s="197">
        <v>116</v>
      </c>
      <c r="BA70" s="197">
        <v>119</v>
      </c>
      <c r="BB70" s="197">
        <v>122</v>
      </c>
      <c r="BC70" s="197">
        <v>125</v>
      </c>
      <c r="BD70" s="197">
        <v>128</v>
      </c>
      <c r="BE70" s="197">
        <v>131</v>
      </c>
      <c r="BF70" s="197">
        <v>134</v>
      </c>
    </row>
    <row r="71" spans="3:58" x14ac:dyDescent="0.2">
      <c r="C71" s="87" t="s">
        <v>238</v>
      </c>
      <c r="D71" s="87">
        <f t="array" ref="D71">INDEX(KOMBI!$A$1:$EV$10,1,MATCH(data!$C71,KOMBI!$A$10:$EV$10,0))</f>
        <v>127</v>
      </c>
      <c r="E71" s="87">
        <v>0</v>
      </c>
      <c r="I71" s="87">
        <v>15</v>
      </c>
      <c r="J71" s="87" t="s">
        <v>288</v>
      </c>
      <c r="M71" s="87" t="s">
        <v>303</v>
      </c>
      <c r="N71" s="197">
        <v>3</v>
      </c>
      <c r="O71" s="197">
        <v>6</v>
      </c>
      <c r="P71" s="197">
        <v>9</v>
      </c>
      <c r="Q71" s="197">
        <v>12</v>
      </c>
      <c r="R71" s="197">
        <v>15</v>
      </c>
      <c r="S71" s="197">
        <v>18</v>
      </c>
      <c r="T71" s="197">
        <v>21</v>
      </c>
      <c r="U71" s="197">
        <v>24</v>
      </c>
      <c r="V71" s="197">
        <v>27</v>
      </c>
      <c r="W71" s="197">
        <v>30</v>
      </c>
      <c r="X71" s="197">
        <v>33</v>
      </c>
      <c r="Y71" s="197">
        <v>36</v>
      </c>
      <c r="Z71" s="197">
        <v>39</v>
      </c>
      <c r="AA71" s="197">
        <v>42</v>
      </c>
      <c r="AB71" s="197">
        <v>45</v>
      </c>
      <c r="AC71" s="197">
        <v>48</v>
      </c>
      <c r="AD71" s="197">
        <v>51</v>
      </c>
      <c r="AE71" s="197">
        <v>54</v>
      </c>
      <c r="AF71" s="197">
        <v>57</v>
      </c>
      <c r="AG71" s="197">
        <v>60</v>
      </c>
      <c r="AH71" s="197">
        <v>63</v>
      </c>
      <c r="AI71" s="197">
        <v>66</v>
      </c>
      <c r="AJ71" s="197">
        <v>69</v>
      </c>
      <c r="AK71" s="197">
        <v>72</v>
      </c>
      <c r="AL71" s="197">
        <v>75</v>
      </c>
      <c r="AM71" s="197">
        <v>78</v>
      </c>
      <c r="AN71" s="197">
        <v>81</v>
      </c>
      <c r="AO71" s="197">
        <v>84</v>
      </c>
      <c r="AP71" s="197">
        <v>87</v>
      </c>
      <c r="AQ71" s="197">
        <v>90</v>
      </c>
      <c r="AR71" s="197">
        <v>93</v>
      </c>
      <c r="AS71" s="197">
        <v>96</v>
      </c>
      <c r="AT71" s="197">
        <v>99</v>
      </c>
      <c r="AU71" s="197">
        <v>102</v>
      </c>
      <c r="AV71" s="197">
        <v>105</v>
      </c>
      <c r="AW71" s="197">
        <v>108</v>
      </c>
      <c r="AX71" s="197">
        <v>111</v>
      </c>
      <c r="AY71" s="197">
        <v>114</v>
      </c>
      <c r="AZ71" s="197">
        <v>117</v>
      </c>
      <c r="BA71" s="197">
        <v>120</v>
      </c>
      <c r="BB71" s="197">
        <v>123</v>
      </c>
      <c r="BC71" s="197">
        <v>126</v>
      </c>
      <c r="BD71" s="197">
        <v>129</v>
      </c>
      <c r="BE71" s="197">
        <v>132</v>
      </c>
      <c r="BF71" s="197">
        <v>135</v>
      </c>
    </row>
    <row r="72" spans="3:58" x14ac:dyDescent="0.2">
      <c r="C72" s="87" t="s">
        <v>219</v>
      </c>
      <c r="D72" s="87">
        <f t="array" ref="D72">INDEX(KOMBI!$A$1:$EV$10,1,MATCH(data!$C72,KOMBI!$A$10:$EV$10,0))</f>
        <v>47</v>
      </c>
      <c r="E72" s="87">
        <v>1</v>
      </c>
    </row>
    <row r="73" spans="3:58" x14ac:dyDescent="0.2">
      <c r="C73" s="87" t="s">
        <v>267</v>
      </c>
      <c r="D73" s="87">
        <f t="array" ref="D73">INDEX(KOMBI!$A$1:$EV$10,1,MATCH(data!$C73,KOMBI!$A$10:$EV$10,0))</f>
        <v>83</v>
      </c>
      <c r="E73" s="87">
        <v>1</v>
      </c>
    </row>
    <row r="74" spans="3:58" x14ac:dyDescent="0.2">
      <c r="C74" s="87" t="s">
        <v>322</v>
      </c>
      <c r="D74" s="87">
        <f t="array" ref="D74">INDEX(KOMBI!$A$1:$EV$10,1,MATCH(data!$C74,KOMBI!$A$10:$EV$10,0))</f>
        <v>85</v>
      </c>
      <c r="E74" s="87">
        <v>1</v>
      </c>
    </row>
    <row r="75" spans="3:58" x14ac:dyDescent="0.2">
      <c r="C75" s="87" t="s">
        <v>394</v>
      </c>
      <c r="D75" s="184">
        <v>150</v>
      </c>
      <c r="E75" s="87">
        <v>1</v>
      </c>
    </row>
    <row r="76" spans="3:58" x14ac:dyDescent="0.2">
      <c r="C76" s="87" t="s">
        <v>240</v>
      </c>
      <c r="D76" s="87">
        <f t="array" ref="D76">INDEX(KOMBI!$A$1:$EV$10,1,MATCH(data!$C76,KOMBI!$A$10:$EV$10,0))</f>
        <v>48</v>
      </c>
      <c r="E76" s="87">
        <v>0</v>
      </c>
      <c r="I76" s="87" t="s">
        <v>223</v>
      </c>
      <c r="J76" s="87" t="s">
        <v>330</v>
      </c>
      <c r="L76" s="87" t="s">
        <v>223</v>
      </c>
      <c r="M76" s="87" t="s">
        <v>289</v>
      </c>
      <c r="N76" s="87" t="s">
        <v>275</v>
      </c>
      <c r="O76" s="87" t="s">
        <v>277</v>
      </c>
      <c r="P76" s="87" t="s">
        <v>276</v>
      </c>
      <c r="Q76" s="87" t="s">
        <v>278</v>
      </c>
      <c r="R76" s="87" t="s">
        <v>279</v>
      </c>
      <c r="S76" s="87" t="s">
        <v>280</v>
      </c>
      <c r="T76" s="87" t="s">
        <v>281</v>
      </c>
      <c r="U76" s="87" t="s">
        <v>282</v>
      </c>
      <c r="V76" s="87" t="s">
        <v>283</v>
      </c>
      <c r="W76" s="87" t="s">
        <v>284</v>
      </c>
      <c r="X76" s="87" t="s">
        <v>285</v>
      </c>
      <c r="Y76" s="87" t="s">
        <v>286</v>
      </c>
      <c r="Z76" s="87" t="s">
        <v>287</v>
      </c>
      <c r="AA76" s="87" t="s">
        <v>288</v>
      </c>
    </row>
    <row r="77" spans="3:58" x14ac:dyDescent="0.2">
      <c r="C77" s="87" t="s">
        <v>630</v>
      </c>
      <c r="D77" s="87">
        <f>KOMBI!S1</f>
        <v>19</v>
      </c>
      <c r="E77" s="87">
        <v>0</v>
      </c>
      <c r="I77" s="87">
        <v>5</v>
      </c>
      <c r="J77" s="87" t="s">
        <v>325</v>
      </c>
      <c r="L77" s="87">
        <v>5</v>
      </c>
      <c r="M77" s="87" t="s">
        <v>289</v>
      </c>
      <c r="N77" s="87" t="s">
        <v>275</v>
      </c>
      <c r="O77" s="87" t="s">
        <v>277</v>
      </c>
      <c r="P77" s="87" t="s">
        <v>276</v>
      </c>
      <c r="Q77" s="87" t="s">
        <v>278</v>
      </c>
      <c r="R77" s="87" t="s">
        <v>279</v>
      </c>
      <c r="S77" s="87" t="s">
        <v>280</v>
      </c>
      <c r="T77" s="87" t="s">
        <v>281</v>
      </c>
      <c r="U77" s="87" t="s">
        <v>282</v>
      </c>
      <c r="V77" s="87" t="s">
        <v>283</v>
      </c>
      <c r="W77" s="87" t="s">
        <v>284</v>
      </c>
      <c r="X77" s="87" t="s">
        <v>285</v>
      </c>
      <c r="Y77" s="87" t="s">
        <v>286</v>
      </c>
      <c r="Z77" s="87" t="s">
        <v>287</v>
      </c>
      <c r="AA77" s="87" t="s">
        <v>288</v>
      </c>
    </row>
    <row r="78" spans="3:58" x14ac:dyDescent="0.2">
      <c r="C78" s="87" t="s">
        <v>635</v>
      </c>
      <c r="D78" s="87">
        <f>KOMBI!T1</f>
        <v>20</v>
      </c>
      <c r="E78" s="87">
        <v>0</v>
      </c>
      <c r="I78" s="87">
        <v>4</v>
      </c>
      <c r="J78" s="87" t="s">
        <v>326</v>
      </c>
      <c r="L78" s="87">
        <v>4</v>
      </c>
      <c r="M78" s="87" t="s">
        <v>289</v>
      </c>
      <c r="N78" s="87" t="s">
        <v>275</v>
      </c>
      <c r="O78" s="87" t="s">
        <v>277</v>
      </c>
      <c r="P78" s="87" t="s">
        <v>276</v>
      </c>
      <c r="Q78" s="87" t="s">
        <v>278</v>
      </c>
      <c r="R78" s="87" t="s">
        <v>279</v>
      </c>
      <c r="S78" s="87" t="s">
        <v>280</v>
      </c>
      <c r="T78" s="87" t="s">
        <v>281</v>
      </c>
      <c r="U78" s="87" t="s">
        <v>282</v>
      </c>
      <c r="V78" s="87" t="s">
        <v>283</v>
      </c>
      <c r="W78" s="87" t="s">
        <v>284</v>
      </c>
      <c r="X78" s="87" t="s">
        <v>285</v>
      </c>
      <c r="Y78" s="87" t="s">
        <v>286</v>
      </c>
      <c r="Z78" s="87" t="s">
        <v>287</v>
      </c>
      <c r="AA78" s="87" t="s">
        <v>288</v>
      </c>
    </row>
    <row r="79" spans="3:58" x14ac:dyDescent="0.2">
      <c r="C79" s="87" t="s">
        <v>631</v>
      </c>
      <c r="D79" s="87">
        <f>KOMBI!U1</f>
        <v>21</v>
      </c>
      <c r="E79" s="87">
        <v>0</v>
      </c>
      <c r="I79" s="87">
        <v>3</v>
      </c>
      <c r="J79" s="87" t="s">
        <v>327</v>
      </c>
      <c r="L79" s="87">
        <v>3</v>
      </c>
      <c r="M79" s="87" t="s">
        <v>289</v>
      </c>
      <c r="N79" s="87" t="s">
        <v>275</v>
      </c>
      <c r="O79" s="87" t="s">
        <v>277</v>
      </c>
      <c r="P79" s="87" t="s">
        <v>276</v>
      </c>
      <c r="Q79" s="87" t="s">
        <v>278</v>
      </c>
      <c r="R79" s="87" t="s">
        <v>279</v>
      </c>
      <c r="S79" s="87" t="s">
        <v>280</v>
      </c>
      <c r="T79" s="87" t="s">
        <v>281</v>
      </c>
      <c r="U79" s="87" t="s">
        <v>282</v>
      </c>
      <c r="V79" s="87" t="s">
        <v>283</v>
      </c>
      <c r="W79" s="87" t="s">
        <v>284</v>
      </c>
      <c r="X79" s="87" t="s">
        <v>285</v>
      </c>
      <c r="Y79" s="87" t="s">
        <v>286</v>
      </c>
      <c r="Z79" s="87" t="s">
        <v>287</v>
      </c>
      <c r="AA79" s="87" t="s">
        <v>288</v>
      </c>
    </row>
    <row r="80" spans="3:58" x14ac:dyDescent="0.2">
      <c r="C80" s="87" t="s">
        <v>632</v>
      </c>
      <c r="D80" s="87">
        <f>KOMBI!V1</f>
        <v>22</v>
      </c>
      <c r="E80" s="87">
        <v>0</v>
      </c>
      <c r="I80" s="87">
        <v>2</v>
      </c>
      <c r="J80" s="87" t="s">
        <v>328</v>
      </c>
      <c r="L80" s="87">
        <v>2</v>
      </c>
      <c r="M80" s="87" t="s">
        <v>289</v>
      </c>
      <c r="N80" s="87" t="s">
        <v>275</v>
      </c>
      <c r="O80" s="87" t="s">
        <v>277</v>
      </c>
      <c r="P80" s="87" t="s">
        <v>276</v>
      </c>
      <c r="Q80" s="87" t="s">
        <v>278</v>
      </c>
      <c r="R80" s="87" t="s">
        <v>279</v>
      </c>
      <c r="S80" s="87" t="s">
        <v>280</v>
      </c>
      <c r="T80" s="87" t="s">
        <v>281</v>
      </c>
      <c r="U80" s="87" t="s">
        <v>282</v>
      </c>
      <c r="V80" s="87" t="s">
        <v>283</v>
      </c>
      <c r="W80" s="87" t="s">
        <v>284</v>
      </c>
      <c r="X80" s="87" t="s">
        <v>285</v>
      </c>
      <c r="Y80" s="87" t="s">
        <v>286</v>
      </c>
      <c r="Z80" s="87" t="s">
        <v>287</v>
      </c>
      <c r="AA80" s="87" t="s">
        <v>288</v>
      </c>
    </row>
    <row r="81" spans="3:21" x14ac:dyDescent="0.2">
      <c r="C81" s="87" t="s">
        <v>372</v>
      </c>
      <c r="D81" s="87">
        <f t="array" ref="D81">INDEX(KOMBI!$A$1:$EV$10,1,MATCH(data!$C81,KOMBI!$A$10:$EV$10,0))</f>
        <v>81</v>
      </c>
      <c r="E81" s="87">
        <v>1</v>
      </c>
      <c r="I81" s="87">
        <v>1</v>
      </c>
      <c r="J81" s="87" t="s">
        <v>329</v>
      </c>
      <c r="L81" s="87">
        <v>1</v>
      </c>
      <c r="M81" s="87" t="s">
        <v>289</v>
      </c>
      <c r="N81" s="87" t="s">
        <v>281</v>
      </c>
      <c r="O81" s="87" t="s">
        <v>282</v>
      </c>
      <c r="P81" s="87" t="s">
        <v>283</v>
      </c>
      <c r="Q81" s="87" t="s">
        <v>284</v>
      </c>
      <c r="R81" s="87" t="s">
        <v>285</v>
      </c>
      <c r="S81" s="87" t="s">
        <v>286</v>
      </c>
      <c r="T81" s="87" t="s">
        <v>287</v>
      </c>
      <c r="U81" s="87" t="s">
        <v>288</v>
      </c>
    </row>
    <row r="82" spans="3:21" x14ac:dyDescent="0.2">
      <c r="C82" s="87" t="s">
        <v>321</v>
      </c>
      <c r="D82" s="87">
        <f>KOMBI!CY1</f>
        <v>88</v>
      </c>
      <c r="E82" s="87">
        <v>1</v>
      </c>
    </row>
    <row r="83" spans="3:21" x14ac:dyDescent="0.2">
      <c r="C83" s="87" t="s">
        <v>537</v>
      </c>
      <c r="D83" s="87">
        <f>KOMBI!FB1</f>
        <v>152</v>
      </c>
      <c r="E83" s="87">
        <v>0</v>
      </c>
    </row>
    <row r="84" spans="3:21" x14ac:dyDescent="0.2">
      <c r="C84" s="87" t="s">
        <v>636</v>
      </c>
      <c r="D84" s="87">
        <f>KOMBI!W1</f>
        <v>23</v>
      </c>
      <c r="E84" s="87">
        <v>1</v>
      </c>
    </row>
    <row r="85" spans="3:21" x14ac:dyDescent="0.2">
      <c r="C85" s="87" t="s">
        <v>633</v>
      </c>
      <c r="D85" s="87">
        <f>KOMBI!X1</f>
        <v>24</v>
      </c>
      <c r="E85" s="87">
        <v>1</v>
      </c>
    </row>
    <row r="86" spans="3:21" x14ac:dyDescent="0.2">
      <c r="C86" s="87" t="s">
        <v>634</v>
      </c>
      <c r="D86" s="87">
        <f>KOMBI!Y1</f>
        <v>25</v>
      </c>
      <c r="E86" s="87">
        <v>1</v>
      </c>
    </row>
    <row r="87" spans="3:21" x14ac:dyDescent="0.2">
      <c r="C87" s="87" t="s">
        <v>392</v>
      </c>
      <c r="D87" s="87">
        <f>KOMBI!CL1</f>
        <v>80</v>
      </c>
      <c r="E87" s="87">
        <v>1</v>
      </c>
    </row>
    <row r="88" spans="3:21" x14ac:dyDescent="0.2">
      <c r="C88" s="87" t="s">
        <v>416</v>
      </c>
      <c r="D88" s="87">
        <f>KOMBI!Q1</f>
        <v>17</v>
      </c>
      <c r="E88" s="87">
        <v>1</v>
      </c>
    </row>
    <row r="89" spans="3:21" x14ac:dyDescent="0.2">
      <c r="C89" s="87" t="s">
        <v>417</v>
      </c>
      <c r="D89" s="87">
        <f>KOMBI!R1</f>
        <v>18</v>
      </c>
      <c r="E89" s="87">
        <v>1</v>
      </c>
    </row>
    <row r="90" spans="3:21" x14ac:dyDescent="0.2">
      <c r="C90" s="87" t="s">
        <v>556</v>
      </c>
      <c r="D90" s="87">
        <f>KOMBI!EE1</f>
        <v>119</v>
      </c>
      <c r="E90" s="87">
        <v>0</v>
      </c>
    </row>
    <row r="91" spans="3:21" x14ac:dyDescent="0.2">
      <c r="C91" s="87" t="s">
        <v>555</v>
      </c>
      <c r="D91" s="87">
        <f>KOMBI!EF1</f>
        <v>120</v>
      </c>
      <c r="E91" s="87">
        <v>1</v>
      </c>
    </row>
    <row r="92" spans="3:21" x14ac:dyDescent="0.2">
      <c r="C92" s="87" t="s">
        <v>602</v>
      </c>
      <c r="D92" s="87">
        <f>KOMBI!EG1</f>
        <v>121</v>
      </c>
      <c r="E92" s="87">
        <v>0</v>
      </c>
    </row>
    <row r="93" spans="3:21" x14ac:dyDescent="0.2">
      <c r="C93" s="87" t="s">
        <v>606</v>
      </c>
      <c r="D93" s="87">
        <f>KOMBI!EI1</f>
        <v>123</v>
      </c>
      <c r="E93" s="87">
        <v>1</v>
      </c>
    </row>
    <row r="94" spans="3:21" x14ac:dyDescent="0.2">
      <c r="C94" s="87" t="s">
        <v>607</v>
      </c>
      <c r="D94" s="87">
        <f>KOMBI!EJ1</f>
        <v>124</v>
      </c>
      <c r="E94" s="87">
        <v>0</v>
      </c>
    </row>
    <row r="95" spans="3:21" x14ac:dyDescent="0.2">
      <c r="C95" s="87" t="s">
        <v>608</v>
      </c>
      <c r="D95" s="87">
        <f>KOMBI!EK1</f>
        <v>125</v>
      </c>
      <c r="E95" s="87">
        <v>0</v>
      </c>
    </row>
    <row r="96" spans="3:21" x14ac:dyDescent="0.2">
      <c r="C96" s="87" t="s">
        <v>621</v>
      </c>
      <c r="D96" s="87">
        <f>KOMBI!EQ1</f>
        <v>129</v>
      </c>
      <c r="E96" s="87">
        <v>1</v>
      </c>
    </row>
    <row r="97" spans="3:5" x14ac:dyDescent="0.2">
      <c r="C97" s="87" t="s">
        <v>622</v>
      </c>
      <c r="D97" s="87">
        <f>KOMBI!ER1</f>
        <v>130</v>
      </c>
      <c r="E97" s="87">
        <v>1</v>
      </c>
    </row>
    <row r="98" spans="3:5" x14ac:dyDescent="0.2">
      <c r="C98" s="87" t="s">
        <v>581</v>
      </c>
      <c r="D98" s="87">
        <f>KOMBI!ES1</f>
        <v>131</v>
      </c>
      <c r="E98" s="87">
        <v>0</v>
      </c>
    </row>
    <row r="99" spans="3:5" x14ac:dyDescent="0.2">
      <c r="C99" s="87" t="s">
        <v>517</v>
      </c>
      <c r="D99" s="87">
        <f>KOMBI!DA1</f>
        <v>90</v>
      </c>
      <c r="E99" s="87">
        <v>1</v>
      </c>
    </row>
    <row r="100" spans="3:5" x14ac:dyDescent="0.2">
      <c r="C100" s="87" t="s">
        <v>310</v>
      </c>
      <c r="D100" s="87">
        <f>KOMBI!CJ1</f>
        <v>78</v>
      </c>
      <c r="E100" s="87">
        <v>1</v>
      </c>
    </row>
    <row r="101" spans="3:5" x14ac:dyDescent="0.2">
      <c r="C101" s="87" t="s">
        <v>311</v>
      </c>
      <c r="D101" s="87">
        <f>KOMBI!CK1</f>
        <v>79</v>
      </c>
      <c r="E101" s="87">
        <v>1</v>
      </c>
    </row>
    <row r="102" spans="3:5" x14ac:dyDescent="0.2">
      <c r="C102" s="87" t="s">
        <v>619</v>
      </c>
      <c r="D102" s="87">
        <f>KOMBI!CZ1</f>
        <v>89</v>
      </c>
      <c r="E102" s="87">
        <v>1</v>
      </c>
    </row>
    <row r="103" spans="3:5" x14ac:dyDescent="0.2">
      <c r="C103" s="87" t="s">
        <v>484</v>
      </c>
      <c r="D103" s="87">
        <f>KOMBI!DB1</f>
        <v>91</v>
      </c>
      <c r="E103" s="87">
        <v>1</v>
      </c>
    </row>
    <row r="104" spans="3:5" x14ac:dyDescent="0.2">
      <c r="C104" s="87" t="s">
        <v>420</v>
      </c>
      <c r="D104" s="87">
        <f>KOMBI!DC1</f>
        <v>92</v>
      </c>
      <c r="E104" s="87">
        <v>1</v>
      </c>
    </row>
    <row r="105" spans="3:5" x14ac:dyDescent="0.2">
      <c r="C105" s="87" t="s">
        <v>519</v>
      </c>
      <c r="D105" s="184">
        <v>153</v>
      </c>
      <c r="E105" s="87">
        <v>1</v>
      </c>
    </row>
    <row r="106" spans="3:5" x14ac:dyDescent="0.2">
      <c r="C106" s="87" t="s">
        <v>628</v>
      </c>
      <c r="D106" s="184">
        <f>KOMBI!EV1</f>
        <v>134</v>
      </c>
      <c r="E106" s="87">
        <v>1</v>
      </c>
    </row>
    <row r="107" spans="3:5" x14ac:dyDescent="0.2">
      <c r="C107" s="87" t="s">
        <v>620</v>
      </c>
      <c r="D107" s="87">
        <f>KOMBI!CN1</f>
        <v>82</v>
      </c>
      <c r="E107" s="87">
        <v>1</v>
      </c>
    </row>
    <row r="109" spans="3:5" x14ac:dyDescent="0.2">
      <c r="D109" s="87" t="s">
        <v>385</v>
      </c>
    </row>
    <row r="110" spans="3:5" x14ac:dyDescent="0.2">
      <c r="C110" s="200" t="s">
        <v>377</v>
      </c>
      <c r="D110" s="87">
        <v>5627</v>
      </c>
      <c r="E110" s="87">
        <v>6246</v>
      </c>
    </row>
    <row r="111" spans="3:5" x14ac:dyDescent="0.2">
      <c r="C111" s="200" t="s">
        <v>378</v>
      </c>
    </row>
    <row r="112" spans="3:5" x14ac:dyDescent="0.2">
      <c r="C112" s="200" t="s">
        <v>220</v>
      </c>
    </row>
    <row r="113" spans="2:7" x14ac:dyDescent="0.2">
      <c r="C113" s="200" t="s">
        <v>423</v>
      </c>
    </row>
    <row r="114" spans="2:7" x14ac:dyDescent="0.2">
      <c r="C114" s="201" t="s">
        <v>388</v>
      </c>
      <c r="E114" s="87">
        <v>29.4</v>
      </c>
      <c r="F114" s="87" t="s">
        <v>223</v>
      </c>
      <c r="G114" s="87" t="str">
        <f>"&lt;="&amp;E114</f>
        <v>&lt;=29,4</v>
      </c>
    </row>
    <row r="115" spans="2:7" x14ac:dyDescent="0.2">
      <c r="C115" s="201" t="s">
        <v>389</v>
      </c>
      <c r="E115" s="87">
        <v>51.9</v>
      </c>
      <c r="F115" s="87" t="s">
        <v>223</v>
      </c>
      <c r="G115" s="87" t="str">
        <f>"&lt;="&amp;E115</f>
        <v>&lt;=51,9</v>
      </c>
    </row>
    <row r="116" spans="2:7" x14ac:dyDescent="0.2">
      <c r="B116" s="87" t="s">
        <v>384</v>
      </c>
      <c r="C116" s="201" t="s">
        <v>390</v>
      </c>
      <c r="E116" s="87">
        <v>37.1</v>
      </c>
      <c r="F116" s="87" t="s">
        <v>223</v>
      </c>
      <c r="G116" s="87" t="str">
        <f>"&lt;="&amp;E116</f>
        <v>&lt;=37,1</v>
      </c>
    </row>
    <row r="117" spans="2:7" x14ac:dyDescent="0.2">
      <c r="C117" s="202" t="s">
        <v>391</v>
      </c>
      <c r="E117" s="87">
        <v>16.899999999999999</v>
      </c>
      <c r="F117" s="87" t="s">
        <v>223</v>
      </c>
      <c r="G117" s="87" t="str">
        <f>"&lt;="&amp;E117</f>
        <v>&lt;=16,9</v>
      </c>
    </row>
    <row r="123" spans="2:7" x14ac:dyDescent="0.2">
      <c r="C123" s="203" t="s">
        <v>425</v>
      </c>
      <c r="D123" s="188"/>
    </row>
    <row r="124" spans="2:7" x14ac:dyDescent="0.2">
      <c r="C124" s="204" t="s">
        <v>428</v>
      </c>
      <c r="D124" s="190">
        <v>5.65</v>
      </c>
    </row>
    <row r="125" spans="2:7" x14ac:dyDescent="0.2">
      <c r="C125" s="195" t="s">
        <v>225</v>
      </c>
      <c r="D125" s="205">
        <f>1.05*$D$124</f>
        <v>5.932500000000001</v>
      </c>
    </row>
    <row r="126" spans="2:7" x14ac:dyDescent="0.2">
      <c r="C126" s="195" t="s">
        <v>427</v>
      </c>
      <c r="D126" s="205">
        <f>1.11*$D$124</f>
        <v>6.2715000000000005</v>
      </c>
    </row>
    <row r="127" spans="2:7" x14ac:dyDescent="0.2">
      <c r="C127" s="195" t="s">
        <v>227</v>
      </c>
      <c r="D127" s="205">
        <f>1.15*$D$124</f>
        <v>6.4974999999999996</v>
      </c>
    </row>
    <row r="128" spans="2:7" x14ac:dyDescent="0.2">
      <c r="C128" s="198" t="s">
        <v>223</v>
      </c>
      <c r="D128" s="206">
        <v>100</v>
      </c>
    </row>
    <row r="129" spans="2:7" x14ac:dyDescent="0.2">
      <c r="D129" s="88"/>
    </row>
    <row r="131" spans="2:7" x14ac:dyDescent="0.2">
      <c r="C131" s="203" t="s">
        <v>452</v>
      </c>
      <c r="D131" s="188"/>
      <c r="F131" s="203" t="s">
        <v>263</v>
      </c>
      <c r="G131" s="188"/>
    </row>
    <row r="132" spans="2:7" x14ac:dyDescent="0.2">
      <c r="B132" s="186">
        <v>1.1100000000000001</v>
      </c>
      <c r="C132" s="249" t="s">
        <v>453</v>
      </c>
      <c r="D132" s="205">
        <f>$D$133*B132</f>
        <v>6.2459700000000007</v>
      </c>
      <c r="F132" s="204" t="s">
        <v>426</v>
      </c>
      <c r="G132" s="190">
        <v>76.3</v>
      </c>
    </row>
    <row r="133" spans="2:7" x14ac:dyDescent="0.2">
      <c r="C133" s="204" t="s">
        <v>426</v>
      </c>
      <c r="D133" s="205">
        <f>D110/1000</f>
        <v>5.6269999999999998</v>
      </c>
      <c r="E133" s="186">
        <v>0.68</v>
      </c>
      <c r="F133" s="195" t="s">
        <v>457</v>
      </c>
      <c r="G133" s="251">
        <f>E133*$G$132</f>
        <v>51.884</v>
      </c>
    </row>
    <row r="134" spans="2:7" x14ac:dyDescent="0.2">
      <c r="B134" s="250">
        <v>0.9</v>
      </c>
      <c r="C134" s="250" t="s">
        <v>454</v>
      </c>
      <c r="D134" s="205">
        <f>$D$133*B134</f>
        <v>5.0643000000000002</v>
      </c>
      <c r="E134" s="186">
        <v>0.28999999999999998</v>
      </c>
      <c r="F134" s="198" t="s">
        <v>458</v>
      </c>
      <c r="G134" s="251">
        <f>E134*$G$132</f>
        <v>22.126999999999999</v>
      </c>
    </row>
    <row r="135" spans="2:7" x14ac:dyDescent="0.2">
      <c r="B135" s="250">
        <v>0.85</v>
      </c>
      <c r="C135" s="250" t="s">
        <v>455</v>
      </c>
      <c r="D135" s="205">
        <f t="shared" ref="D135:D136" si="0">$D$133*B135</f>
        <v>4.7829499999999996</v>
      </c>
      <c r="F135" s="87" t="s">
        <v>223</v>
      </c>
      <c r="G135" s="87">
        <v>100</v>
      </c>
    </row>
    <row r="136" spans="2:7" x14ac:dyDescent="0.2">
      <c r="B136" s="250">
        <v>0.77</v>
      </c>
      <c r="C136" s="250" t="s">
        <v>456</v>
      </c>
      <c r="D136" s="205">
        <f t="shared" si="0"/>
        <v>4.3327900000000001</v>
      </c>
    </row>
    <row r="137" spans="2:7" x14ac:dyDescent="0.2">
      <c r="C137" s="198" t="s">
        <v>223</v>
      </c>
      <c r="D137" s="192">
        <v>100</v>
      </c>
    </row>
    <row r="138" spans="2:7" x14ac:dyDescent="0.2">
      <c r="C138" s="198"/>
      <c r="D138" s="192"/>
      <c r="F138" s="203" t="s">
        <v>262</v>
      </c>
      <c r="G138" s="188"/>
    </row>
    <row r="139" spans="2:7" x14ac:dyDescent="0.2">
      <c r="F139" s="204" t="s">
        <v>426</v>
      </c>
      <c r="G139" s="190">
        <v>35.9</v>
      </c>
    </row>
    <row r="140" spans="2:7" x14ac:dyDescent="0.2">
      <c r="E140" s="186">
        <v>0.82</v>
      </c>
      <c r="F140" s="195" t="s">
        <v>680</v>
      </c>
      <c r="G140" s="324">
        <f>E140*$G$139</f>
        <v>29.437999999999999</v>
      </c>
    </row>
    <row r="141" spans="2:7" x14ac:dyDescent="0.2">
      <c r="E141" s="186">
        <v>0.39</v>
      </c>
      <c r="F141" s="198" t="s">
        <v>459</v>
      </c>
      <c r="G141" s="251">
        <f>E141*$G$139</f>
        <v>14.000999999999999</v>
      </c>
    </row>
    <row r="142" spans="2:7" x14ac:dyDescent="0.2">
      <c r="F142" s="87" t="s">
        <v>223</v>
      </c>
      <c r="G142" s="87">
        <v>100</v>
      </c>
    </row>
    <row r="143" spans="2:7" x14ac:dyDescent="0.2">
      <c r="B143" s="87">
        <f>229/3.6</f>
        <v>63.611111111111107</v>
      </c>
    </row>
    <row r="144" spans="2:7" x14ac:dyDescent="0.2">
      <c r="F144" s="203" t="s">
        <v>265</v>
      </c>
      <c r="G144" s="188"/>
    </row>
    <row r="145" spans="5:7" x14ac:dyDescent="0.2">
      <c r="F145" s="204" t="s">
        <v>426</v>
      </c>
      <c r="G145" s="190">
        <v>41.2</v>
      </c>
    </row>
    <row r="146" spans="5:7" x14ac:dyDescent="0.2">
      <c r="E146" s="186">
        <v>0.9</v>
      </c>
      <c r="F146" s="195" t="s">
        <v>461</v>
      </c>
      <c r="G146" s="251">
        <f>E146*$G$145</f>
        <v>37.080000000000005</v>
      </c>
    </row>
    <row r="147" spans="5:7" x14ac:dyDescent="0.2">
      <c r="E147" s="186">
        <f>1-0.37</f>
        <v>0.63</v>
      </c>
      <c r="F147" s="198" t="s">
        <v>460</v>
      </c>
      <c r="G147" s="251">
        <f>E147*$G$145</f>
        <v>25.956000000000003</v>
      </c>
    </row>
    <row r="148" spans="5:7" x14ac:dyDescent="0.2">
      <c r="F148" s="87" t="s">
        <v>223</v>
      </c>
      <c r="G148" s="87">
        <v>100</v>
      </c>
    </row>
    <row r="150" spans="5:7" x14ac:dyDescent="0.2">
      <c r="F150" s="203" t="s">
        <v>264</v>
      </c>
      <c r="G150" s="188"/>
    </row>
    <row r="151" spans="5:7" x14ac:dyDescent="0.2">
      <c r="F151" s="204" t="s">
        <v>426</v>
      </c>
      <c r="G151" s="190">
        <v>19.899999999999999</v>
      </c>
    </row>
    <row r="152" spans="5:7" x14ac:dyDescent="0.2">
      <c r="E152" s="186">
        <v>0.85</v>
      </c>
      <c r="F152" s="195" t="s">
        <v>462</v>
      </c>
      <c r="G152" s="251">
        <f>E152*$G$151</f>
        <v>16.914999999999999</v>
      </c>
    </row>
    <row r="153" spans="5:7" x14ac:dyDescent="0.2">
      <c r="E153" s="186">
        <v>0.48</v>
      </c>
      <c r="F153" s="198" t="s">
        <v>463</v>
      </c>
      <c r="G153" s="251">
        <f>E153*$G$151</f>
        <v>9.5519999999999996</v>
      </c>
    </row>
    <row r="154" spans="5:7" x14ac:dyDescent="0.2">
      <c r="F154" s="87" t="s">
        <v>223</v>
      </c>
      <c r="G154" s="87">
        <v>100</v>
      </c>
    </row>
    <row r="157" spans="5:7" x14ac:dyDescent="0.2">
      <c r="F157" s="203" t="s">
        <v>612</v>
      </c>
      <c r="G157" s="188"/>
    </row>
    <row r="158" spans="5:7" x14ac:dyDescent="0.2">
      <c r="F158" s="325" t="s">
        <v>613</v>
      </c>
      <c r="G158" s="188">
        <v>40.65</v>
      </c>
    </row>
    <row r="159" spans="5:7" x14ac:dyDescent="0.2">
      <c r="E159" s="186">
        <v>0.1</v>
      </c>
      <c r="F159" s="195" t="s">
        <v>615</v>
      </c>
      <c r="G159" s="324">
        <f>E159*$G$158</f>
        <v>4.0650000000000004</v>
      </c>
    </row>
    <row r="160" spans="5:7" x14ac:dyDescent="0.2">
      <c r="E160" s="186">
        <v>0.15</v>
      </c>
      <c r="F160" s="198" t="s">
        <v>614</v>
      </c>
      <c r="G160" s="324">
        <f t="shared" ref="G160:G162" si="1">E160*$G$158</f>
        <v>6.0974999999999993</v>
      </c>
    </row>
    <row r="161" spans="4:7" x14ac:dyDescent="0.2">
      <c r="E161" s="186">
        <v>0.2</v>
      </c>
      <c r="F161" s="195" t="s">
        <v>616</v>
      </c>
      <c r="G161" s="324">
        <f t="shared" si="1"/>
        <v>8.1300000000000008</v>
      </c>
    </row>
    <row r="162" spans="4:7" x14ac:dyDescent="0.2">
      <c r="E162" s="186">
        <v>0.25</v>
      </c>
      <c r="F162" s="198" t="s">
        <v>617</v>
      </c>
      <c r="G162" s="326">
        <f t="shared" si="1"/>
        <v>10.1625</v>
      </c>
    </row>
    <row r="163" spans="4:7" x14ac:dyDescent="0.2">
      <c r="F163" s="87" t="s">
        <v>223</v>
      </c>
      <c r="G163" s="87">
        <v>100</v>
      </c>
    </row>
    <row r="172" spans="4:7" x14ac:dyDescent="0.2">
      <c r="D172" s="87">
        <v>123</v>
      </c>
    </row>
    <row r="173" spans="4:7" x14ac:dyDescent="0.2">
      <c r="D173" s="87">
        <v>124</v>
      </c>
    </row>
    <row r="174" spans="4:7" x14ac:dyDescent="0.2">
      <c r="D174" s="87">
        <v>125</v>
      </c>
    </row>
    <row r="175" spans="4:7" x14ac:dyDescent="0.2">
      <c r="D175" s="87">
        <v>131</v>
      </c>
    </row>
    <row r="176" spans="4:7" x14ac:dyDescent="0.2">
      <c r="D176"/>
    </row>
    <row r="177" spans="4:4" x14ac:dyDescent="0.2">
      <c r="D177"/>
    </row>
    <row r="178" spans="4:4" x14ac:dyDescent="0.2">
      <c r="D178"/>
    </row>
    <row r="179" spans="4:4" x14ac:dyDescent="0.2">
      <c r="D179"/>
    </row>
    <row r="180" spans="4:4" x14ac:dyDescent="0.2">
      <c r="D180"/>
    </row>
    <row r="181" spans="4:4" x14ac:dyDescent="0.2">
      <c r="D181"/>
    </row>
    <row r="182" spans="4:4" x14ac:dyDescent="0.2">
      <c r="D182"/>
    </row>
    <row r="183" spans="4:4" x14ac:dyDescent="0.2">
      <c r="D183"/>
    </row>
  </sheetData>
  <mergeCells count="2">
    <mergeCell ref="H2:U2"/>
    <mergeCell ref="H1:U1"/>
  </mergeCells>
  <dataValidations disablePrompts="1" count="1">
    <dataValidation type="list" allowBlank="1" showInputMessage="1" showErrorMessage="1" sqref="H2">
      <formula1>PK</formula1>
    </dataValidation>
  </dataValidations>
  <pageMargins left="0.7" right="0.7" top="0.75" bottom="0.75" header="0.3" footer="0.3"/>
  <pageSetup paperSize="9" orientation="portrait" horizontalDpi="300" verticalDpi="300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enableFormatConditionsCalculation="0">
    <outlinePr summaryBelow="0"/>
    <pageSetUpPr autoPageBreaks="0" fitToPage="1"/>
  </sheetPr>
  <dimension ref="A1:GO150"/>
  <sheetViews>
    <sheetView tabSelected="1" zoomScale="130" zoomScaleNormal="130" zoomScalePageLayoutView="130" workbookViewId="0">
      <pane xSplit="27" ySplit="1" topLeftCell="AB2" activePane="bottomRight" state="frozen"/>
      <selection pane="topRight" activeCell="AB1" sqref="AB1"/>
      <selection pane="bottomLeft" activeCell="A2" sqref="A2"/>
      <selection pane="bottomRight" activeCell="EY33" sqref="EY33:FA33"/>
    </sheetView>
  </sheetViews>
  <sheetFormatPr baseColWidth="10" defaultColWidth="5.796875" defaultRowHeight="15" zeroHeight="1" outlineLevelRow="1" x14ac:dyDescent="0.2"/>
  <cols>
    <col min="1" max="1" width="1.3984375" style="68" customWidth="1"/>
    <col min="2" max="16" width="2" style="68" customWidth="1"/>
    <col min="17" max="17" width="2" style="71" customWidth="1"/>
    <col min="18" max="21" width="2" style="68" customWidth="1"/>
    <col min="22" max="23" width="2" style="70" customWidth="1"/>
    <col min="24" max="26" width="2" style="68" customWidth="1"/>
    <col min="27" max="27" width="2.19921875" style="68" customWidth="1"/>
    <col min="28" max="28" width="2" style="68" customWidth="1"/>
    <col min="29" max="40" width="2" style="51" customWidth="1"/>
    <col min="41" max="70" width="2" style="68" customWidth="1"/>
    <col min="71" max="71" width="2.3984375" style="68" customWidth="1"/>
    <col min="72" max="86" width="2" style="68" customWidth="1"/>
    <col min="87" max="89" width="2.19921875" style="68" customWidth="1"/>
    <col min="90" max="90" width="2" style="68" customWidth="1"/>
    <col min="91" max="97" width="1.59765625" style="68" customWidth="1"/>
    <col min="98" max="98" width="2.19921875" style="68" customWidth="1"/>
    <col min="99" max="112" width="1.59765625" style="68" customWidth="1"/>
    <col min="113" max="113" width="2.3984375" style="68" customWidth="1"/>
    <col min="114" max="138" width="1.59765625" style="68" customWidth="1"/>
    <col min="139" max="141" width="2" style="68" customWidth="1"/>
    <col min="142" max="142" width="1.19921875" style="68" customWidth="1"/>
    <col min="143" max="166" width="1.796875" style="68" customWidth="1"/>
    <col min="167" max="188" width="1.59765625" style="68" customWidth="1"/>
    <col min="189" max="189" width="2.3984375" style="68" customWidth="1"/>
    <col min="190" max="197" width="1.59765625" style="68" hidden="1" customWidth="1"/>
    <col min="198" max="198" width="0.3984375" style="68" customWidth="1"/>
    <col min="199" max="16384" width="5.796875" style="68"/>
  </cols>
  <sheetData>
    <row r="1" spans="3:90" s="48" customFormat="1" ht="3" customHeight="1" x14ac:dyDescent="0.2"/>
    <row r="2" spans="3:90" s="158" customFormat="1" ht="15" customHeight="1" x14ac:dyDescent="0.2">
      <c r="C2" s="157" t="s">
        <v>436</v>
      </c>
      <c r="F2" s="157"/>
    </row>
    <row r="3" spans="3:90" s="151" customFormat="1" ht="3.5" customHeight="1" x14ac:dyDescent="0.2">
      <c r="F3" s="142"/>
    </row>
    <row r="4" spans="3:90" s="151" customFormat="1" ht="3.5" customHeight="1" x14ac:dyDescent="0.2">
      <c r="F4" s="142"/>
    </row>
    <row r="5" spans="3:90" s="151" customFormat="1" ht="13.25" customHeight="1" x14ac:dyDescent="0.2">
      <c r="C5" s="138"/>
      <c r="D5" s="378" t="s">
        <v>334</v>
      </c>
      <c r="E5" s="378"/>
      <c r="F5" s="378"/>
      <c r="G5" s="378"/>
      <c r="H5" s="378"/>
      <c r="I5" s="378"/>
      <c r="J5" s="378"/>
      <c r="K5" s="378"/>
      <c r="L5" s="378"/>
      <c r="M5" s="378"/>
      <c r="N5" s="378"/>
      <c r="O5" s="378"/>
      <c r="P5" s="378"/>
      <c r="Q5" s="378"/>
      <c r="R5" s="378"/>
      <c r="S5" s="159"/>
      <c r="T5" s="424" t="s">
        <v>396</v>
      </c>
      <c r="U5" s="425"/>
      <c r="V5" s="425"/>
      <c r="W5" s="425"/>
      <c r="X5" s="425"/>
      <c r="Y5" s="425"/>
      <c r="Z5" s="425"/>
      <c r="AA5" s="425"/>
      <c r="AB5" s="425"/>
      <c r="AC5" s="425"/>
      <c r="AD5" s="425"/>
      <c r="AE5" s="425"/>
      <c r="AF5" s="425"/>
      <c r="AG5" s="425"/>
      <c r="AH5" s="425"/>
      <c r="AI5" s="425"/>
      <c r="AJ5" s="425"/>
      <c r="AK5" s="425"/>
      <c r="AL5" s="425"/>
      <c r="AM5" s="425"/>
      <c r="AN5" s="425"/>
      <c r="AO5" s="425"/>
      <c r="AP5" s="425"/>
      <c r="AQ5" s="425"/>
      <c r="AR5" s="425"/>
      <c r="AS5" s="425"/>
      <c r="AT5" s="425"/>
      <c r="AU5" s="425"/>
      <c r="AV5" s="425"/>
      <c r="AW5" s="425"/>
      <c r="AX5" s="425"/>
      <c r="AY5" s="425"/>
      <c r="AZ5" s="425"/>
      <c r="BA5" s="146"/>
      <c r="BB5" s="146"/>
      <c r="BC5" s="146"/>
      <c r="BD5" s="146"/>
      <c r="BE5" s="146"/>
      <c r="BF5" s="146"/>
      <c r="BG5" s="147"/>
      <c r="BH5" s="147"/>
      <c r="BI5" s="147"/>
      <c r="BJ5" s="147"/>
      <c r="BK5" s="147"/>
      <c r="BL5" s="147"/>
      <c r="BM5" s="147"/>
      <c r="BN5" s="147"/>
      <c r="BO5" s="147"/>
      <c r="BP5" s="147"/>
      <c r="BQ5" s="147"/>
      <c r="BR5" s="147"/>
      <c r="BS5" s="147"/>
      <c r="BT5" s="147"/>
      <c r="BU5" s="147"/>
      <c r="BV5" s="155"/>
    </row>
    <row r="6" spans="3:90" s="151" customFormat="1" ht="4.25" customHeight="1" x14ac:dyDescent="0.2">
      <c r="C6" s="140"/>
      <c r="D6" s="379"/>
      <c r="E6" s="379"/>
      <c r="F6" s="379"/>
      <c r="G6" s="379"/>
      <c r="H6" s="379"/>
      <c r="I6" s="379"/>
      <c r="J6" s="379"/>
      <c r="K6" s="379"/>
      <c r="L6" s="379"/>
      <c r="M6" s="379"/>
      <c r="N6" s="379"/>
      <c r="O6" s="379"/>
      <c r="P6" s="379"/>
      <c r="Q6" s="379"/>
      <c r="R6" s="379"/>
      <c r="S6" s="160"/>
      <c r="T6" s="148"/>
      <c r="U6" s="149"/>
      <c r="V6" s="149"/>
      <c r="W6" s="149"/>
      <c r="X6" s="149"/>
      <c r="Y6" s="149"/>
      <c r="Z6" s="149"/>
      <c r="AA6" s="149"/>
      <c r="AB6" s="149"/>
      <c r="AC6" s="149"/>
      <c r="AD6" s="149"/>
      <c r="AE6" s="149"/>
      <c r="AF6" s="149"/>
      <c r="AG6" s="149"/>
      <c r="AH6" s="149"/>
      <c r="AI6" s="149"/>
      <c r="AJ6" s="149"/>
      <c r="AK6" s="149"/>
      <c r="AL6" s="149"/>
      <c r="AM6" s="149"/>
      <c r="AN6" s="149"/>
      <c r="AO6" s="149"/>
      <c r="AP6" s="149"/>
      <c r="AQ6" s="149"/>
      <c r="AR6" s="149"/>
      <c r="AS6" s="149"/>
      <c r="AT6" s="149"/>
      <c r="AU6" s="149"/>
      <c r="AV6" s="149"/>
      <c r="AW6" s="149"/>
      <c r="AX6" s="149"/>
      <c r="AY6" s="149"/>
      <c r="AZ6" s="149"/>
      <c r="BA6" s="150"/>
      <c r="BB6" s="150"/>
      <c r="BC6" s="150"/>
      <c r="BD6" s="150"/>
      <c r="BE6" s="150"/>
      <c r="BF6" s="150"/>
      <c r="BV6" s="143"/>
    </row>
    <row r="7" spans="3:90" s="151" customFormat="1" ht="15" customHeight="1" x14ac:dyDescent="0.2">
      <c r="C7" s="140"/>
      <c r="D7" s="379"/>
      <c r="E7" s="379"/>
      <c r="F7" s="379"/>
      <c r="G7" s="379"/>
      <c r="H7" s="379"/>
      <c r="I7" s="379"/>
      <c r="J7" s="379"/>
      <c r="K7" s="379"/>
      <c r="L7" s="379"/>
      <c r="M7" s="379"/>
      <c r="N7" s="379"/>
      <c r="O7" s="379"/>
      <c r="P7" s="379"/>
      <c r="Q7" s="379"/>
      <c r="R7" s="379"/>
      <c r="S7" s="160"/>
      <c r="T7" s="407" t="s">
        <v>260</v>
      </c>
      <c r="U7" s="408"/>
      <c r="V7" s="408"/>
      <c r="W7" s="408"/>
      <c r="X7" s="408"/>
      <c r="Y7" s="408"/>
      <c r="Z7" s="408"/>
      <c r="AA7" s="408"/>
      <c r="AB7" s="408"/>
      <c r="AC7" s="408"/>
      <c r="AD7" s="408"/>
      <c r="AE7" s="408"/>
      <c r="AF7" s="408"/>
      <c r="AG7" s="408"/>
      <c r="AH7" s="408"/>
      <c r="AI7" s="408"/>
      <c r="AJ7" s="408"/>
      <c r="AK7" s="408"/>
      <c r="AL7" s="408"/>
      <c r="AM7" s="408"/>
      <c r="AO7" s="405" t="s">
        <v>58</v>
      </c>
      <c r="AP7" s="406"/>
      <c r="AR7" s="486" t="s">
        <v>336</v>
      </c>
      <c r="AS7" s="487"/>
      <c r="AT7" s="487"/>
      <c r="AU7" s="487"/>
      <c r="AV7" s="487"/>
      <c r="AW7" s="487"/>
      <c r="AX7" s="487"/>
      <c r="AY7" s="487"/>
      <c r="AZ7" s="487"/>
      <c r="BA7" s="487"/>
      <c r="BB7" s="487"/>
      <c r="BC7" s="487"/>
      <c r="BD7" s="487"/>
      <c r="BF7" s="381" t="s">
        <v>72</v>
      </c>
      <c r="BG7" s="429"/>
      <c r="BH7" s="429"/>
      <c r="BI7" s="429"/>
      <c r="BJ7" s="429"/>
      <c r="BK7" s="429"/>
      <c r="BL7" s="429"/>
      <c r="BM7" s="429"/>
      <c r="BN7" s="429"/>
      <c r="BO7" s="429"/>
      <c r="BP7" s="429"/>
      <c r="BQ7" s="429"/>
      <c r="BR7" s="429"/>
      <c r="BS7" s="382"/>
      <c r="BV7" s="143"/>
    </row>
    <row r="8" spans="3:90" s="151" customFormat="1" ht="15" customHeight="1" x14ac:dyDescent="0.2">
      <c r="C8" s="140"/>
      <c r="D8" s="380" t="s">
        <v>332</v>
      </c>
      <c r="E8" s="380"/>
      <c r="F8" s="380"/>
      <c r="G8" s="380"/>
      <c r="H8" s="380"/>
      <c r="I8" s="380"/>
      <c r="J8" s="380"/>
      <c r="K8" s="380"/>
      <c r="L8" s="380"/>
      <c r="M8" s="380"/>
      <c r="N8" s="380"/>
      <c r="O8" s="380"/>
      <c r="P8" s="142"/>
      <c r="Q8" s="381">
        <v>3</v>
      </c>
      <c r="R8" s="382"/>
      <c r="T8" s="407" t="s">
        <v>249</v>
      </c>
      <c r="U8" s="408"/>
      <c r="V8" s="408"/>
      <c r="W8" s="408"/>
      <c r="X8" s="408"/>
      <c r="Y8" s="408"/>
      <c r="Z8" s="408"/>
      <c r="AA8" s="408"/>
      <c r="AB8" s="408"/>
      <c r="AC8" s="408"/>
      <c r="AD8" s="408"/>
      <c r="AE8" s="408"/>
      <c r="AF8" s="408"/>
      <c r="AG8" s="408"/>
      <c r="AH8" s="408"/>
      <c r="AI8" s="408"/>
      <c r="AJ8" s="408"/>
      <c r="AK8" s="408"/>
      <c r="AL8" s="408"/>
      <c r="AM8" s="408"/>
      <c r="AO8" s="405" t="s">
        <v>218</v>
      </c>
      <c r="AP8" s="406"/>
      <c r="AR8" s="443" t="s">
        <v>387</v>
      </c>
      <c r="AS8" s="374"/>
      <c r="AT8" s="374"/>
      <c r="AU8" s="374"/>
      <c r="AV8" s="374"/>
      <c r="AW8" s="374"/>
      <c r="AX8" s="374"/>
      <c r="AY8" s="374"/>
      <c r="AZ8" s="374"/>
      <c r="BA8" s="374"/>
      <c r="BB8" s="374"/>
      <c r="BC8" s="374"/>
      <c r="BD8" s="374"/>
      <c r="BE8" s="153"/>
      <c r="BF8" s="412" t="s">
        <v>139</v>
      </c>
      <c r="BG8" s="413"/>
      <c r="BH8" s="413"/>
      <c r="BI8" s="413"/>
      <c r="BJ8" s="413"/>
      <c r="BK8" s="413"/>
      <c r="BL8" s="413"/>
      <c r="BM8" s="413"/>
      <c r="BN8" s="413"/>
      <c r="BO8" s="413"/>
      <c r="BP8" s="413"/>
      <c r="BQ8" s="413"/>
      <c r="BR8" s="413"/>
      <c r="BS8" s="414"/>
      <c r="BT8" s="153"/>
      <c r="BU8" s="153"/>
      <c r="BV8" s="145"/>
      <c r="BX8" s="156" t="str">
        <f>VLOOKUP($AO$8,data!$H$51:$J$54,2,FALSE)</f>
        <v>Maagaas</v>
      </c>
    </row>
    <row r="9" spans="3:90" s="151" customFormat="1" ht="15" customHeight="1" x14ac:dyDescent="0.2">
      <c r="C9" s="140"/>
      <c r="D9" s="383" t="s">
        <v>337</v>
      </c>
      <c r="E9" s="383"/>
      <c r="F9" s="383"/>
      <c r="G9" s="383"/>
      <c r="H9" s="383"/>
      <c r="I9" s="383"/>
      <c r="J9" s="383"/>
      <c r="K9" s="383"/>
      <c r="L9" s="383"/>
      <c r="M9" s="383"/>
      <c r="N9" s="383"/>
      <c r="O9" s="383"/>
      <c r="P9" s="384"/>
      <c r="Q9" s="376">
        <v>5</v>
      </c>
      <c r="R9" s="377"/>
      <c r="T9" s="407" t="s">
        <v>247</v>
      </c>
      <c r="U9" s="408"/>
      <c r="V9" s="408"/>
      <c r="W9" s="408"/>
      <c r="X9" s="408"/>
      <c r="Y9" s="408"/>
      <c r="Z9" s="408"/>
      <c r="AA9" s="408"/>
      <c r="AB9" s="408"/>
      <c r="AC9" s="408"/>
      <c r="AD9" s="408"/>
      <c r="AE9" s="408"/>
      <c r="AF9" s="408"/>
      <c r="AG9" s="408"/>
      <c r="AH9" s="408"/>
      <c r="AI9" s="408"/>
      <c r="AJ9" s="408"/>
      <c r="AK9" s="408"/>
      <c r="AL9" s="408"/>
      <c r="AM9" s="408"/>
      <c r="AO9" s="405" t="s">
        <v>218</v>
      </c>
      <c r="AP9" s="406"/>
      <c r="AQ9" s="143"/>
      <c r="AR9" s="443"/>
      <c r="AS9" s="374"/>
      <c r="AT9" s="374"/>
      <c r="AU9" s="374"/>
      <c r="AV9" s="374"/>
      <c r="AW9" s="374"/>
      <c r="AX9" s="374"/>
      <c r="AY9" s="374"/>
      <c r="AZ9" s="374"/>
      <c r="BA9" s="374"/>
      <c r="BB9" s="374"/>
      <c r="BC9" s="374"/>
      <c r="BD9" s="374"/>
      <c r="BE9" s="153"/>
      <c r="BF9" s="459"/>
      <c r="BG9" s="460"/>
      <c r="BH9" s="460"/>
      <c r="BI9" s="460"/>
      <c r="BJ9" s="460"/>
      <c r="BK9" s="460"/>
      <c r="BL9" s="460"/>
      <c r="BM9" s="460"/>
      <c r="BN9" s="460"/>
      <c r="BO9" s="460"/>
      <c r="BP9" s="460"/>
      <c r="BQ9" s="460"/>
      <c r="BR9" s="460"/>
      <c r="BS9" s="461"/>
      <c r="BV9" s="339"/>
    </row>
    <row r="10" spans="3:90" s="151" customFormat="1" ht="15" customHeight="1" x14ac:dyDescent="0.2">
      <c r="C10" s="140"/>
      <c r="D10" s="383" t="s">
        <v>338</v>
      </c>
      <c r="E10" s="383"/>
      <c r="F10" s="383"/>
      <c r="G10" s="383"/>
      <c r="H10" s="383"/>
      <c r="I10" s="383"/>
      <c r="J10" s="383"/>
      <c r="K10" s="383"/>
      <c r="L10" s="383"/>
      <c r="M10" s="383"/>
      <c r="N10" s="383"/>
      <c r="O10" s="383"/>
      <c r="P10" s="384"/>
      <c r="Q10" s="376">
        <v>4</v>
      </c>
      <c r="R10" s="377"/>
      <c r="T10" s="407" t="s">
        <v>469</v>
      </c>
      <c r="U10" s="408"/>
      <c r="V10" s="408"/>
      <c r="W10" s="408"/>
      <c r="X10" s="408"/>
      <c r="Y10" s="408"/>
      <c r="Z10" s="408"/>
      <c r="AA10" s="408"/>
      <c r="AB10" s="408"/>
      <c r="AC10" s="408"/>
      <c r="AD10" s="408"/>
      <c r="AE10" s="408"/>
      <c r="AF10" s="408"/>
      <c r="AG10" s="408"/>
      <c r="AH10" s="408"/>
      <c r="AI10" s="408"/>
      <c r="AJ10" s="408"/>
      <c r="AK10" s="408"/>
      <c r="AL10" s="408"/>
      <c r="AM10" s="408"/>
      <c r="AO10" s="405" t="s">
        <v>218</v>
      </c>
      <c r="AP10" s="406"/>
      <c r="AQ10" s="143"/>
      <c r="AR10" s="430" t="s">
        <v>347</v>
      </c>
      <c r="AS10" s="431"/>
      <c r="AT10" s="431"/>
      <c r="AU10" s="431"/>
      <c r="AV10" s="431"/>
      <c r="AW10" s="431"/>
      <c r="AX10" s="431"/>
      <c r="AY10" s="431"/>
      <c r="AZ10" s="431"/>
      <c r="BA10" s="431"/>
      <c r="BB10" s="431"/>
      <c r="BC10" s="431"/>
      <c r="BD10" s="431"/>
      <c r="BE10" s="431"/>
      <c r="BF10" s="431"/>
      <c r="BG10" s="431"/>
      <c r="BH10" s="431"/>
      <c r="BI10" s="431"/>
      <c r="BJ10" s="431"/>
      <c r="BK10" s="431"/>
      <c r="BL10" s="431"/>
      <c r="BM10" s="431"/>
      <c r="BN10" s="431"/>
      <c r="BO10" s="431"/>
      <c r="BP10" s="431"/>
      <c r="BQ10" s="431"/>
      <c r="BR10" s="431"/>
      <c r="BS10" s="431"/>
      <c r="BT10" s="147"/>
      <c r="BU10" s="147"/>
      <c r="BV10" s="155"/>
    </row>
    <row r="11" spans="3:90" s="151" customFormat="1" ht="15" customHeight="1" x14ac:dyDescent="0.2">
      <c r="C11" s="140"/>
      <c r="D11" s="383" t="s">
        <v>339</v>
      </c>
      <c r="E11" s="383"/>
      <c r="F11" s="383"/>
      <c r="G11" s="383"/>
      <c r="H11" s="383"/>
      <c r="I11" s="383"/>
      <c r="J11" s="383"/>
      <c r="K11" s="383"/>
      <c r="L11" s="383"/>
      <c r="M11" s="383"/>
      <c r="N11" s="383"/>
      <c r="O11" s="383"/>
      <c r="P11" s="384"/>
      <c r="Q11" s="376">
        <v>2</v>
      </c>
      <c r="R11" s="377"/>
      <c r="T11" s="407" t="s">
        <v>335</v>
      </c>
      <c r="U11" s="408"/>
      <c r="V11" s="408"/>
      <c r="W11" s="408"/>
      <c r="X11" s="408"/>
      <c r="Y11" s="408"/>
      <c r="Z11" s="408"/>
      <c r="AA11" s="408"/>
      <c r="AB11" s="408"/>
      <c r="AC11" s="408"/>
      <c r="AD11" s="408"/>
      <c r="AE11" s="408"/>
      <c r="AF11" s="408"/>
      <c r="AG11" s="408"/>
      <c r="AH11" s="408"/>
      <c r="AI11" s="408"/>
      <c r="AJ11" s="408"/>
      <c r="AK11" s="408"/>
      <c r="AL11" s="408"/>
      <c r="AM11" s="408"/>
      <c r="AO11" s="405" t="s">
        <v>58</v>
      </c>
      <c r="AP11" s="406"/>
      <c r="AQ11" s="143"/>
      <c r="AR11" s="140" t="s">
        <v>348</v>
      </c>
      <c r="BF11" s="381" t="s">
        <v>289</v>
      </c>
      <c r="BG11" s="429"/>
      <c r="BH11" s="429"/>
      <c r="BI11" s="429"/>
      <c r="BJ11" s="429"/>
      <c r="BK11" s="429"/>
      <c r="BL11" s="429"/>
      <c r="BM11" s="429"/>
      <c r="BN11" s="429"/>
      <c r="BO11" s="429"/>
      <c r="BP11" s="429"/>
      <c r="BQ11" s="429"/>
      <c r="BR11" s="429"/>
      <c r="BS11" s="382"/>
      <c r="BV11" s="143"/>
      <c r="BX11" s="156" t="str">
        <f>IF(ISERROR(VLOOKUP($BL$12,data!$I$77:$J$81,2,FALSE)),"En_tarb_max",VLOOKUP($BL$12,data!$I$77:$J$81,2,FALSE))</f>
        <v>En_Tarb_1</v>
      </c>
    </row>
    <row r="12" spans="3:90" s="151" customFormat="1" ht="15" customHeight="1" x14ac:dyDescent="0.2">
      <c r="C12" s="140"/>
      <c r="D12" s="383" t="s">
        <v>340</v>
      </c>
      <c r="E12" s="383"/>
      <c r="F12" s="383"/>
      <c r="G12" s="383"/>
      <c r="H12" s="383"/>
      <c r="I12" s="383"/>
      <c r="J12" s="383"/>
      <c r="K12" s="383"/>
      <c r="L12" s="383"/>
      <c r="M12" s="383"/>
      <c r="N12" s="383"/>
      <c r="O12" s="383"/>
      <c r="P12" s="384"/>
      <c r="Q12" s="376">
        <v>2</v>
      </c>
      <c r="R12" s="377"/>
      <c r="T12" s="407" t="s">
        <v>254</v>
      </c>
      <c r="U12" s="408"/>
      <c r="V12" s="408"/>
      <c r="W12" s="408"/>
      <c r="X12" s="408"/>
      <c r="Y12" s="408"/>
      <c r="Z12" s="408"/>
      <c r="AA12" s="408"/>
      <c r="AB12" s="408"/>
      <c r="AC12" s="408"/>
      <c r="AD12" s="408"/>
      <c r="AE12" s="408"/>
      <c r="AF12" s="408"/>
      <c r="AG12" s="408"/>
      <c r="AH12" s="408"/>
      <c r="AI12" s="408"/>
      <c r="AJ12" s="408"/>
      <c r="AK12" s="408"/>
      <c r="AL12" s="408"/>
      <c r="AM12" s="408"/>
      <c r="AO12" s="405" t="s">
        <v>58</v>
      </c>
      <c r="AP12" s="406"/>
      <c r="AQ12" s="143"/>
      <c r="AR12" s="440" t="s">
        <v>53</v>
      </c>
      <c r="AS12" s="383"/>
      <c r="AT12" s="383"/>
      <c r="AU12" s="383"/>
      <c r="AV12" s="383"/>
      <c r="AW12" s="383"/>
      <c r="AX12" s="383"/>
      <c r="AY12" s="383"/>
      <c r="AZ12" s="383"/>
      <c r="BA12" s="383"/>
      <c r="BB12" s="383"/>
      <c r="BC12" s="383"/>
      <c r="BD12" s="383"/>
      <c r="BE12" s="383"/>
      <c r="BF12" s="383"/>
      <c r="BG12" s="383"/>
      <c r="BH12" s="383"/>
      <c r="BI12" s="383"/>
      <c r="BJ12" s="383"/>
      <c r="BL12" s="156">
        <f>VLOOKUP(BN12,data!$M$7:$O$12,3,FALSE)</f>
        <v>1</v>
      </c>
      <c r="BN12" s="432" t="s">
        <v>224</v>
      </c>
      <c r="BO12" s="432"/>
      <c r="BP12" s="432"/>
      <c r="BQ12" s="432"/>
      <c r="BR12" s="432"/>
      <c r="BS12" s="433"/>
      <c r="BU12" s="506">
        <f ca="1">COUNTIF(KOMBI!$GF$11:$GF$145,"")</f>
        <v>120</v>
      </c>
      <c r="BV12" s="507"/>
      <c r="BX12" s="516" t="s">
        <v>397</v>
      </c>
      <c r="BY12" s="516"/>
      <c r="BZ12" s="516"/>
      <c r="CA12" s="516"/>
      <c r="CB12" s="516"/>
      <c r="CC12" s="516"/>
      <c r="CD12" s="516"/>
      <c r="CE12" s="516"/>
      <c r="CF12" s="516"/>
      <c r="CG12" s="516"/>
      <c r="CH12" s="516"/>
      <c r="CI12" s="516"/>
      <c r="CJ12" s="516"/>
      <c r="CK12" s="516"/>
      <c r="CL12" s="516"/>
    </row>
    <row r="13" spans="3:90" s="151" customFormat="1" ht="15" customHeight="1" x14ac:dyDescent="0.2">
      <c r="C13" s="140"/>
      <c r="D13" s="380" t="s">
        <v>333</v>
      </c>
      <c r="E13" s="380"/>
      <c r="F13" s="380"/>
      <c r="G13" s="380"/>
      <c r="H13" s="380"/>
      <c r="I13" s="380"/>
      <c r="J13" s="380"/>
      <c r="K13" s="380"/>
      <c r="L13" s="380"/>
      <c r="M13" s="380"/>
      <c r="N13" s="380"/>
      <c r="O13" s="380"/>
      <c r="P13" s="398"/>
      <c r="Q13" s="381">
        <v>1</v>
      </c>
      <c r="R13" s="382"/>
      <c r="T13" s="407" t="s">
        <v>266</v>
      </c>
      <c r="U13" s="408"/>
      <c r="V13" s="408"/>
      <c r="W13" s="408"/>
      <c r="X13" s="408"/>
      <c r="Y13" s="408"/>
      <c r="Z13" s="408"/>
      <c r="AA13" s="408"/>
      <c r="AB13" s="408"/>
      <c r="AC13" s="408"/>
      <c r="AD13" s="408"/>
      <c r="AE13" s="408"/>
      <c r="AF13" s="408"/>
      <c r="AG13" s="408"/>
      <c r="AH13" s="408"/>
      <c r="AI13" s="408"/>
      <c r="AJ13" s="408"/>
      <c r="AK13" s="408"/>
      <c r="AL13" s="408"/>
      <c r="AM13" s="408"/>
      <c r="AO13" s="405" t="s">
        <v>58</v>
      </c>
      <c r="AP13" s="406"/>
      <c r="AQ13" s="143"/>
      <c r="AR13" s="440" t="s">
        <v>447</v>
      </c>
      <c r="AS13" s="383"/>
      <c r="AT13" s="383"/>
      <c r="AU13" s="383"/>
      <c r="AV13" s="383"/>
      <c r="AW13" s="383"/>
      <c r="AX13" s="383"/>
      <c r="AY13" s="383"/>
      <c r="AZ13" s="383"/>
      <c r="BA13" s="383"/>
      <c r="BB13" s="383"/>
      <c r="BC13" s="383"/>
      <c r="BD13" s="383"/>
      <c r="BE13" s="383"/>
      <c r="BF13" s="383"/>
      <c r="BG13" s="383"/>
      <c r="BH13" s="383"/>
      <c r="BI13" s="383"/>
      <c r="BJ13" s="383"/>
      <c r="BN13" s="434" t="s">
        <v>453</v>
      </c>
      <c r="BO13" s="434"/>
      <c r="BP13" s="434"/>
      <c r="BQ13" s="434"/>
      <c r="BR13" s="434"/>
      <c r="BS13" s="435"/>
      <c r="BU13" s="441"/>
      <c r="BV13" s="442"/>
    </row>
    <row r="14" spans="3:90" s="151" customFormat="1" ht="15" customHeight="1" x14ac:dyDescent="0.2">
      <c r="C14" s="140"/>
      <c r="D14" s="383" t="s">
        <v>341</v>
      </c>
      <c r="E14" s="383"/>
      <c r="F14" s="383"/>
      <c r="G14" s="383"/>
      <c r="H14" s="383"/>
      <c r="I14" s="383"/>
      <c r="J14" s="383"/>
      <c r="K14" s="383"/>
      <c r="L14" s="383"/>
      <c r="M14" s="383"/>
      <c r="N14" s="383"/>
      <c r="O14" s="383"/>
      <c r="P14" s="384"/>
      <c r="Q14" s="376">
        <v>1</v>
      </c>
      <c r="R14" s="377"/>
      <c r="T14" s="407"/>
      <c r="U14" s="408"/>
      <c r="V14" s="408"/>
      <c r="W14" s="408"/>
      <c r="X14" s="408"/>
      <c r="Y14" s="408"/>
      <c r="Z14" s="408"/>
      <c r="AA14" s="408"/>
      <c r="AB14" s="408"/>
      <c r="AC14" s="408"/>
      <c r="AD14" s="408"/>
      <c r="AE14" s="408"/>
      <c r="AF14" s="408"/>
      <c r="AG14" s="408"/>
      <c r="AH14" s="408"/>
      <c r="AI14" s="408"/>
      <c r="AJ14" s="408"/>
      <c r="AK14" s="408"/>
      <c r="AL14" s="408"/>
      <c r="AM14" s="408"/>
      <c r="AO14" s="407"/>
      <c r="AP14" s="408"/>
      <c r="AQ14" s="143"/>
      <c r="AR14" s="440" t="s">
        <v>611</v>
      </c>
      <c r="AS14" s="383"/>
      <c r="AT14" s="383"/>
      <c r="AU14" s="383"/>
      <c r="AV14" s="383"/>
      <c r="AW14" s="383"/>
      <c r="AX14" s="383"/>
      <c r="AY14" s="383"/>
      <c r="AZ14" s="383"/>
      <c r="BA14" s="383"/>
      <c r="BB14" s="383"/>
      <c r="BC14" s="383"/>
      <c r="BD14" s="383"/>
      <c r="BE14" s="383"/>
      <c r="BF14" s="383"/>
      <c r="BG14" s="383"/>
      <c r="BH14" s="383"/>
      <c r="BI14" s="383"/>
      <c r="BJ14" s="383"/>
      <c r="BN14" s="434" t="s">
        <v>223</v>
      </c>
      <c r="BO14" s="434"/>
      <c r="BP14" s="434"/>
      <c r="BQ14" s="434"/>
      <c r="BR14" s="434"/>
      <c r="BS14" s="435"/>
      <c r="BU14" s="441"/>
      <c r="BV14" s="442"/>
    </row>
    <row r="15" spans="3:90" s="151" customFormat="1" ht="15" customHeight="1" x14ac:dyDescent="0.2">
      <c r="C15" s="140"/>
      <c r="D15" s="383" t="s">
        <v>342</v>
      </c>
      <c r="E15" s="383"/>
      <c r="F15" s="383"/>
      <c r="G15" s="383"/>
      <c r="H15" s="383"/>
      <c r="I15" s="383"/>
      <c r="J15" s="383"/>
      <c r="K15" s="383"/>
      <c r="L15" s="383"/>
      <c r="M15" s="383"/>
      <c r="N15" s="383"/>
      <c r="O15" s="383"/>
      <c r="P15" s="384"/>
      <c r="Q15" s="376">
        <v>3</v>
      </c>
      <c r="R15" s="377"/>
      <c r="T15" s="407" t="s">
        <v>468</v>
      </c>
      <c r="U15" s="408"/>
      <c r="V15" s="408"/>
      <c r="W15" s="408"/>
      <c r="X15" s="408"/>
      <c r="Y15" s="408"/>
      <c r="Z15" s="408"/>
      <c r="AA15" s="408"/>
      <c r="AB15" s="408"/>
      <c r="AC15" s="408"/>
      <c r="AD15" s="408"/>
      <c r="AE15" s="408"/>
      <c r="AF15" s="408"/>
      <c r="AG15" s="408"/>
      <c r="AH15" s="408"/>
      <c r="AI15" s="408"/>
      <c r="AJ15" s="408"/>
      <c r="AK15" s="408"/>
      <c r="AL15" s="408"/>
      <c r="AM15" s="408"/>
      <c r="AO15" s="381" t="s">
        <v>218</v>
      </c>
      <c r="AP15" s="382"/>
      <c r="AQ15" s="143"/>
      <c r="AR15" s="440" t="s">
        <v>220</v>
      </c>
      <c r="AS15" s="383"/>
      <c r="AT15" s="383"/>
      <c r="AU15" s="383"/>
      <c r="AV15" s="383"/>
      <c r="AW15" s="383"/>
      <c r="AX15" s="383"/>
      <c r="AY15" s="383"/>
      <c r="AZ15" s="383"/>
      <c r="BA15" s="383"/>
      <c r="BB15" s="383"/>
      <c r="BC15" s="383"/>
      <c r="BD15" s="383"/>
      <c r="BE15" s="383"/>
      <c r="BF15" s="383"/>
      <c r="BG15" s="383"/>
      <c r="BH15" s="383"/>
      <c r="BI15" s="383"/>
      <c r="BJ15" s="383"/>
      <c r="BN15" s="438" t="s">
        <v>393</v>
      </c>
      <c r="BO15" s="438"/>
      <c r="BP15" s="438"/>
      <c r="BQ15" s="438"/>
      <c r="BR15" s="438"/>
      <c r="BS15" s="439"/>
      <c r="BU15" s="441"/>
      <c r="BV15" s="442"/>
    </row>
    <row r="16" spans="3:90" s="151" customFormat="1" ht="15" customHeight="1" x14ac:dyDescent="0.2">
      <c r="C16" s="144"/>
      <c r="D16" s="374" t="s">
        <v>343</v>
      </c>
      <c r="E16" s="374"/>
      <c r="F16" s="374"/>
      <c r="G16" s="374"/>
      <c r="H16" s="374"/>
      <c r="I16" s="374"/>
      <c r="J16" s="374"/>
      <c r="K16" s="374"/>
      <c r="L16" s="374"/>
      <c r="M16" s="374"/>
      <c r="N16" s="374"/>
      <c r="O16" s="374"/>
      <c r="P16" s="375"/>
      <c r="Q16" s="376">
        <v>0</v>
      </c>
      <c r="R16" s="377"/>
      <c r="S16" s="153"/>
      <c r="T16" s="407" t="s">
        <v>515</v>
      </c>
      <c r="U16" s="408"/>
      <c r="V16" s="408"/>
      <c r="W16" s="408"/>
      <c r="X16" s="408"/>
      <c r="Y16" s="408"/>
      <c r="Z16" s="408"/>
      <c r="AA16" s="408"/>
      <c r="AB16" s="408"/>
      <c r="AC16" s="408"/>
      <c r="AD16" s="408"/>
      <c r="AE16" s="408"/>
      <c r="AF16" s="408"/>
      <c r="AG16" s="408"/>
      <c r="AH16" s="408"/>
      <c r="AI16" s="408"/>
      <c r="AJ16" s="408"/>
      <c r="AK16" s="408"/>
      <c r="AL16" s="408"/>
      <c r="AM16" s="408"/>
      <c r="AO16" s="381" t="s">
        <v>218</v>
      </c>
      <c r="AP16" s="382"/>
      <c r="AQ16" s="143"/>
      <c r="AR16" s="440"/>
      <c r="AS16" s="383"/>
      <c r="AT16" s="383"/>
      <c r="AU16" s="383"/>
      <c r="AV16" s="383"/>
      <c r="AW16" s="383"/>
      <c r="AX16" s="383"/>
      <c r="AY16" s="383"/>
      <c r="AZ16" s="383"/>
      <c r="BA16" s="383"/>
      <c r="BB16" s="383"/>
      <c r="BC16" s="383"/>
      <c r="BD16" s="383"/>
      <c r="BE16" s="383"/>
      <c r="BF16" s="383"/>
      <c r="BG16" s="383"/>
      <c r="BH16" s="383"/>
      <c r="BI16" s="383"/>
      <c r="BJ16" s="383"/>
      <c r="BN16" s="444"/>
      <c r="BO16" s="444"/>
      <c r="BP16" s="444"/>
      <c r="BQ16" s="444"/>
      <c r="BR16" s="444"/>
      <c r="BS16" s="445"/>
      <c r="BU16" s="441"/>
      <c r="BV16" s="442"/>
    </row>
    <row r="17" spans="1:197" s="151" customFormat="1" ht="15" customHeight="1" x14ac:dyDescent="0.2">
      <c r="T17" s="407" t="s">
        <v>516</v>
      </c>
      <c r="U17" s="408"/>
      <c r="V17" s="408"/>
      <c r="W17" s="408"/>
      <c r="X17" s="408"/>
      <c r="Y17" s="408"/>
      <c r="Z17" s="408"/>
      <c r="AA17" s="408"/>
      <c r="AB17" s="408"/>
      <c r="AC17" s="408"/>
      <c r="AD17" s="408"/>
      <c r="AE17" s="408"/>
      <c r="AF17" s="408"/>
      <c r="AG17" s="408"/>
      <c r="AH17" s="408"/>
      <c r="AI17" s="408"/>
      <c r="AJ17" s="408"/>
      <c r="AK17" s="408"/>
      <c r="AL17" s="408"/>
      <c r="AM17" s="408"/>
      <c r="AO17" s="381" t="s">
        <v>218</v>
      </c>
      <c r="AP17" s="382"/>
      <c r="AQ17" s="143"/>
      <c r="AR17" s="440" t="s">
        <v>448</v>
      </c>
      <c r="AS17" s="383"/>
      <c r="AT17" s="383"/>
      <c r="AU17" s="383"/>
      <c r="AV17" s="383"/>
      <c r="AW17" s="383"/>
      <c r="AX17" s="383"/>
      <c r="AY17" s="383"/>
      <c r="AZ17" s="383"/>
      <c r="BA17" s="383"/>
      <c r="BB17" s="383"/>
      <c r="BC17" s="383"/>
      <c r="BD17" s="383"/>
      <c r="BE17" s="383"/>
      <c r="BF17" s="383"/>
      <c r="BG17" s="383"/>
      <c r="BH17" s="383"/>
      <c r="BI17" s="383"/>
      <c r="BJ17" s="383"/>
      <c r="BN17" s="434" t="s">
        <v>680</v>
      </c>
      <c r="BO17" s="434"/>
      <c r="BP17" s="434"/>
      <c r="BQ17" s="434"/>
      <c r="BR17" s="434"/>
      <c r="BS17" s="435"/>
      <c r="BU17" s="441"/>
      <c r="BV17" s="442"/>
    </row>
    <row r="18" spans="1:197" s="151" customFormat="1" ht="15" customHeight="1" x14ac:dyDescent="0.2">
      <c r="C18" s="380" t="s">
        <v>688</v>
      </c>
      <c r="D18" s="380"/>
      <c r="E18" s="380"/>
      <c r="F18" s="380"/>
      <c r="G18" s="380"/>
      <c r="H18" s="380"/>
      <c r="I18" s="380"/>
      <c r="J18" s="380"/>
      <c r="K18" s="380"/>
      <c r="L18" s="380"/>
      <c r="M18" s="380"/>
      <c r="N18" s="380"/>
      <c r="O18" s="380"/>
      <c r="P18" s="380"/>
      <c r="T18" s="407" t="s">
        <v>253</v>
      </c>
      <c r="U18" s="408"/>
      <c r="V18" s="408"/>
      <c r="W18" s="408"/>
      <c r="X18" s="408"/>
      <c r="Y18" s="408"/>
      <c r="Z18" s="408"/>
      <c r="AA18" s="408"/>
      <c r="AB18" s="408"/>
      <c r="AC18" s="408"/>
      <c r="AD18" s="408"/>
      <c r="AE18" s="408"/>
      <c r="AF18" s="408"/>
      <c r="AG18" s="408"/>
      <c r="AH18" s="408"/>
      <c r="AI18" s="408"/>
      <c r="AJ18" s="408"/>
      <c r="AK18" s="408"/>
      <c r="AL18" s="408"/>
      <c r="AM18" s="408"/>
      <c r="AO18" s="381" t="s">
        <v>218</v>
      </c>
      <c r="AP18" s="382"/>
      <c r="AQ18" s="143"/>
      <c r="AR18" s="440" t="s">
        <v>449</v>
      </c>
      <c r="AS18" s="383"/>
      <c r="AT18" s="383"/>
      <c r="AU18" s="383"/>
      <c r="AV18" s="383"/>
      <c r="AW18" s="383"/>
      <c r="AX18" s="383"/>
      <c r="AY18" s="383"/>
      <c r="AZ18" s="383"/>
      <c r="BA18" s="383"/>
      <c r="BB18" s="383"/>
      <c r="BC18" s="383"/>
      <c r="BD18" s="383"/>
      <c r="BE18" s="383"/>
      <c r="BF18" s="383"/>
      <c r="BG18" s="383"/>
      <c r="BH18" s="383"/>
      <c r="BI18" s="383"/>
      <c r="BJ18" s="383"/>
      <c r="BN18" s="434" t="s">
        <v>457</v>
      </c>
      <c r="BO18" s="434"/>
      <c r="BP18" s="434"/>
      <c r="BQ18" s="434"/>
      <c r="BR18" s="434"/>
      <c r="BS18" s="435"/>
      <c r="BU18" s="441"/>
      <c r="BV18" s="442"/>
    </row>
    <row r="19" spans="1:197" s="151" customFormat="1" ht="15" customHeight="1" x14ac:dyDescent="0.2">
      <c r="C19" s="514" t="s">
        <v>520</v>
      </c>
      <c r="D19" s="514"/>
      <c r="E19" s="514"/>
      <c r="F19" s="514"/>
      <c r="G19" s="514"/>
      <c r="H19" s="514"/>
      <c r="I19" s="514"/>
      <c r="J19" s="514"/>
      <c r="K19" s="514"/>
      <c r="L19" s="514"/>
      <c r="M19" s="514"/>
      <c r="N19" s="514"/>
      <c r="O19" s="514"/>
      <c r="P19" s="514"/>
      <c r="Q19" s="514"/>
      <c r="R19" s="514"/>
      <c r="T19" s="407" t="s">
        <v>307</v>
      </c>
      <c r="U19" s="408"/>
      <c r="V19" s="408"/>
      <c r="W19" s="408"/>
      <c r="X19" s="408"/>
      <c r="Y19" s="408"/>
      <c r="Z19" s="408"/>
      <c r="AA19" s="408"/>
      <c r="AB19" s="408"/>
      <c r="AC19" s="408"/>
      <c r="AD19" s="408"/>
      <c r="AE19" s="408"/>
      <c r="AF19" s="408"/>
      <c r="AG19" s="408"/>
      <c r="AH19" s="408"/>
      <c r="AI19" s="408"/>
      <c r="AJ19" s="408"/>
      <c r="AK19" s="408"/>
      <c r="AL19" s="408"/>
      <c r="AM19" s="408"/>
      <c r="AO19" s="381" t="s">
        <v>218</v>
      </c>
      <c r="AP19" s="382"/>
      <c r="AQ19" s="143"/>
      <c r="AR19" s="440" t="s">
        <v>450</v>
      </c>
      <c r="AS19" s="383"/>
      <c r="AT19" s="383"/>
      <c r="AU19" s="383"/>
      <c r="AV19" s="383"/>
      <c r="AW19" s="383"/>
      <c r="AX19" s="383"/>
      <c r="AY19" s="383"/>
      <c r="AZ19" s="383"/>
      <c r="BA19" s="383"/>
      <c r="BB19" s="383"/>
      <c r="BC19" s="383"/>
      <c r="BD19" s="383"/>
      <c r="BE19" s="383"/>
      <c r="BF19" s="383"/>
      <c r="BG19" s="383"/>
      <c r="BH19" s="383"/>
      <c r="BI19" s="383"/>
      <c r="BJ19" s="383"/>
      <c r="BN19" s="434" t="s">
        <v>461</v>
      </c>
      <c r="BO19" s="434"/>
      <c r="BP19" s="434"/>
      <c r="BQ19" s="434"/>
      <c r="BR19" s="434"/>
      <c r="BS19" s="435"/>
      <c r="BU19" s="441"/>
      <c r="BV19" s="442"/>
    </row>
    <row r="20" spans="1:197" s="151" customFormat="1" ht="15" customHeight="1" x14ac:dyDescent="0.2">
      <c r="A20" s="153"/>
      <c r="B20" s="153"/>
      <c r="C20" s="515"/>
      <c r="D20" s="515"/>
      <c r="E20" s="515"/>
      <c r="F20" s="515"/>
      <c r="G20" s="515"/>
      <c r="H20" s="515"/>
      <c r="I20" s="515"/>
      <c r="J20" s="515"/>
      <c r="K20" s="515"/>
      <c r="L20" s="515"/>
      <c r="M20" s="515"/>
      <c r="N20" s="515"/>
      <c r="O20" s="515"/>
      <c r="P20" s="515"/>
      <c r="Q20" s="515"/>
      <c r="R20" s="515"/>
      <c r="T20" s="407"/>
      <c r="U20" s="408"/>
      <c r="V20" s="408"/>
      <c r="W20" s="408"/>
      <c r="X20" s="408"/>
      <c r="Y20" s="410"/>
      <c r="Z20" s="410"/>
      <c r="AA20" s="410"/>
      <c r="AB20" s="410"/>
      <c r="AC20" s="410"/>
      <c r="AD20" s="410"/>
      <c r="AE20" s="410"/>
      <c r="AF20" s="410"/>
      <c r="AG20" s="410"/>
      <c r="AH20" s="410"/>
      <c r="AI20" s="410"/>
      <c r="AJ20" s="410"/>
      <c r="AK20" s="410"/>
      <c r="AL20" s="410"/>
      <c r="AM20" s="410"/>
      <c r="AN20" s="153"/>
      <c r="AO20" s="410"/>
      <c r="AP20" s="410"/>
      <c r="AQ20" s="145"/>
      <c r="AR20" s="443" t="s">
        <v>451</v>
      </c>
      <c r="AS20" s="374"/>
      <c r="AT20" s="374"/>
      <c r="AU20" s="374"/>
      <c r="AV20" s="374"/>
      <c r="AW20" s="374"/>
      <c r="AX20" s="374"/>
      <c r="AY20" s="374"/>
      <c r="AZ20" s="374"/>
      <c r="BA20" s="374"/>
      <c r="BB20" s="374"/>
      <c r="BC20" s="374"/>
      <c r="BD20" s="374"/>
      <c r="BE20" s="374"/>
      <c r="BF20" s="374"/>
      <c r="BG20" s="374"/>
      <c r="BH20" s="374"/>
      <c r="BI20" s="374"/>
      <c r="BJ20" s="374"/>
      <c r="BK20" s="153"/>
      <c r="BL20" s="153"/>
      <c r="BM20" s="153"/>
      <c r="BN20" s="434" t="s">
        <v>462</v>
      </c>
      <c r="BO20" s="434"/>
      <c r="BP20" s="434"/>
      <c r="BQ20" s="434"/>
      <c r="BR20" s="434"/>
      <c r="BS20" s="435"/>
      <c r="BT20" s="153"/>
      <c r="BU20" s="153"/>
      <c r="BV20" s="145"/>
    </row>
    <row r="21" spans="1:197" s="48" customFormat="1" ht="15" customHeight="1" x14ac:dyDescent="0.2">
      <c r="E21" s="49"/>
      <c r="Q21" s="270"/>
      <c r="R21" s="272"/>
      <c r="S21" s="269"/>
      <c r="T21" s="269"/>
      <c r="U21" s="463" t="s">
        <v>531</v>
      </c>
      <c r="V21" s="463"/>
      <c r="W21" s="463"/>
      <c r="X21" s="463"/>
      <c r="Y21" s="463"/>
      <c r="Z21" s="463"/>
      <c r="AA21" s="273"/>
      <c r="AB21" s="463">
        <f>VLOOKUP(AB24,data!$C$67:$D$107,2,0)</f>
        <v>26</v>
      </c>
      <c r="AC21" s="463"/>
      <c r="AD21" s="463"/>
      <c r="AE21" s="273"/>
      <c r="AF21" s="273"/>
      <c r="AG21" s="463">
        <f>VLOOKUP(AG24,data!$C$67:$D$107,2,0)</f>
        <v>152</v>
      </c>
      <c r="AH21" s="463"/>
      <c r="AI21" s="463"/>
      <c r="AJ21" s="273"/>
      <c r="AK21" s="273"/>
      <c r="AL21" s="463">
        <f>VLOOKUP(AL24,data!$C$67:$D$107,2,0)</f>
        <v>157</v>
      </c>
      <c r="AM21" s="463"/>
      <c r="AN21" s="463"/>
      <c r="AO21" s="274"/>
      <c r="AP21" s="274"/>
      <c r="AQ21" s="463">
        <f>VLOOKUP(AQ24,data!$C$67:$D$107,2,0)</f>
        <v>155</v>
      </c>
      <c r="AR21" s="463"/>
      <c r="AS21" s="463"/>
      <c r="AT21" s="274"/>
      <c r="AU21" s="463">
        <f>VLOOKUP(AU24,data!$C$67:$D$107,2,0)</f>
        <v>156</v>
      </c>
      <c r="AV21" s="463"/>
      <c r="AW21" s="463"/>
      <c r="AX21" s="274"/>
      <c r="AY21" s="463">
        <f>VLOOKUP(AY24,data!$C$67:$D$107,2,0)</f>
        <v>127</v>
      </c>
      <c r="AZ21" s="463"/>
      <c r="BA21" s="463"/>
      <c r="BB21" s="274"/>
      <c r="BC21" s="463">
        <f>VLOOKUP(BC24,data!$C$67:$D$107,2,0)</f>
        <v>47</v>
      </c>
      <c r="BD21" s="463"/>
      <c r="BE21" s="463"/>
      <c r="BF21" s="274"/>
      <c r="BG21" s="463">
        <f>VLOOKUP(BG24,data!$C$67:$D$107,2,0)</f>
        <v>83</v>
      </c>
      <c r="BH21" s="463"/>
      <c r="BI21" s="463"/>
      <c r="BJ21" s="274"/>
      <c r="BK21" s="463">
        <f>VLOOKUP(BK24,data!$C$67:$D$107,2,0)</f>
        <v>85</v>
      </c>
      <c r="BL21" s="463"/>
      <c r="BM21" s="463"/>
      <c r="BN21" s="274"/>
      <c r="BO21" s="463">
        <f>VLOOKUP(BO24,data!$C$67:$D$107,2,0)</f>
        <v>150</v>
      </c>
      <c r="BP21" s="463"/>
      <c r="BQ21" s="463"/>
      <c r="BR21" s="274"/>
      <c r="BS21" s="463">
        <f>VLOOKUP(BS24,data!$C$67:$D$107,2,0)</f>
        <v>48</v>
      </c>
      <c r="BT21" s="463"/>
      <c r="BU21" s="463"/>
      <c r="BV21" s="274"/>
      <c r="BW21" s="463">
        <f>VLOOKUP(BW24,data!$C$67:$D$107,2,0)</f>
        <v>123</v>
      </c>
      <c r="BX21" s="463"/>
      <c r="BY21" s="463"/>
      <c r="BZ21" s="274"/>
      <c r="CA21" s="463">
        <f>VLOOKUP(CA24,data!$C$67:$D$107,2,0)</f>
        <v>124</v>
      </c>
      <c r="CB21" s="463"/>
      <c r="CC21" s="463"/>
      <c r="CD21" s="274"/>
      <c r="CE21" s="463">
        <f>VLOOKUP(CE24,data!$C$67:$D$107,2,0)</f>
        <v>125</v>
      </c>
      <c r="CF21" s="463"/>
      <c r="CG21" s="463"/>
      <c r="CH21" s="274"/>
      <c r="CI21" s="463">
        <f>VLOOKUP(CI24,data!$C$67:$D$107,2,0)</f>
        <v>131</v>
      </c>
      <c r="CJ21" s="463"/>
      <c r="CK21" s="463"/>
      <c r="CL21" s="274"/>
      <c r="CM21" s="463">
        <f>VLOOKUP(CM24,data!$C$67:$D$107,2,0)</f>
        <v>19</v>
      </c>
      <c r="CN21" s="463"/>
      <c r="CO21" s="463"/>
      <c r="CP21" s="274"/>
      <c r="CQ21" s="463">
        <f>VLOOKUP(CQ24,data!$C$67:$D$107,2,0)</f>
        <v>20</v>
      </c>
      <c r="CR21" s="463"/>
      <c r="CS21" s="463"/>
      <c r="CT21" s="274"/>
      <c r="CU21" s="463">
        <f>VLOOKUP(CU24,data!$C$67:$D$107,2,0)</f>
        <v>21</v>
      </c>
      <c r="CV21" s="463"/>
      <c r="CW21" s="463"/>
      <c r="CX21" s="274"/>
      <c r="CY21" s="463">
        <f>VLOOKUP(CY24,data!$C$67:$D$107,2,0)</f>
        <v>22</v>
      </c>
      <c r="CZ21" s="463"/>
      <c r="DA21" s="463"/>
      <c r="DB21" s="274"/>
      <c r="DC21" s="463">
        <f>VLOOKUP(DC24,data!$C$67:$D$107,2,0)</f>
        <v>81</v>
      </c>
      <c r="DD21" s="463"/>
      <c r="DE21" s="463"/>
      <c r="DF21" s="274"/>
      <c r="DG21" s="463">
        <f>VLOOKUP(DG24,data!$C$67:$D$107,2,0)</f>
        <v>119</v>
      </c>
      <c r="DH21" s="463"/>
      <c r="DI21" s="463"/>
      <c r="DJ21" s="274"/>
      <c r="DK21" s="463">
        <f>VLOOKUP(DK24,data!$C$67:$D$107,2,0)</f>
        <v>88</v>
      </c>
      <c r="DL21" s="463"/>
      <c r="DM21" s="463"/>
      <c r="DN21" s="274"/>
      <c r="DO21" s="463">
        <f>VLOOKUP(DO24,data!$C$67:$D$107,2,0)</f>
        <v>23</v>
      </c>
      <c r="DP21" s="463"/>
      <c r="DQ21" s="463"/>
      <c r="DR21" s="274"/>
      <c r="DS21" s="463">
        <f>VLOOKUP(DS24,data!$C$67:$D$107,2,0)</f>
        <v>24</v>
      </c>
      <c r="DT21" s="463"/>
      <c r="DU21" s="463"/>
      <c r="DV21" s="274"/>
      <c r="DW21" s="463">
        <f>VLOOKUP(DW24,data!$C$67:$D$107,2,0)</f>
        <v>25</v>
      </c>
      <c r="DX21" s="463"/>
      <c r="DY21" s="463"/>
      <c r="DZ21" s="274"/>
      <c r="EA21" s="463">
        <f>VLOOKUP(EA24,data!$C$67:$D$107,2,0)</f>
        <v>80</v>
      </c>
      <c r="EB21" s="463"/>
      <c r="EC21" s="463"/>
      <c r="ED21" s="274"/>
      <c r="EE21" s="463">
        <f>VLOOKUP(EE24,data!$C$67:$D$107,2,0)</f>
        <v>17</v>
      </c>
      <c r="EF21" s="463"/>
      <c r="EG21" s="463"/>
      <c r="EH21" s="274"/>
      <c r="EI21" s="463">
        <f>VLOOKUP(EI24,data!$C$67:$D$107,2,0)</f>
        <v>18</v>
      </c>
      <c r="EJ21" s="463"/>
      <c r="EK21" s="463"/>
      <c r="EL21" s="274"/>
      <c r="EM21" s="463">
        <f>VLOOKUP(EM24,data!$C$67:$D$107,2,0)</f>
        <v>78</v>
      </c>
      <c r="EN21" s="463"/>
      <c r="EO21" s="463"/>
      <c r="EP21" s="274"/>
      <c r="EQ21" s="463">
        <f>VLOOKUP(EQ24,data!$C$67:$D$107,2,0)</f>
        <v>79</v>
      </c>
      <c r="ER21" s="463"/>
      <c r="ES21" s="463"/>
      <c r="ET21" s="274"/>
      <c r="EU21" s="463">
        <f>VLOOKUP(EU24,data!$C$67:$D$107,2,0)</f>
        <v>120</v>
      </c>
      <c r="EV21" s="463"/>
      <c r="EW21" s="463"/>
      <c r="EX21" s="274"/>
      <c r="EY21" s="463">
        <f>VLOOKUP(EY24,data!$C$67:$D$107,2,0)</f>
        <v>89</v>
      </c>
      <c r="EZ21" s="463"/>
      <c r="FA21" s="463"/>
      <c r="FB21" s="274"/>
      <c r="FC21" s="463">
        <f>VLOOKUP(FC24,data!$C$67:$D$107,2,0)</f>
        <v>90</v>
      </c>
      <c r="FD21" s="463"/>
      <c r="FE21" s="463"/>
      <c r="FF21" s="274"/>
      <c r="FG21" s="463">
        <f>VLOOKUP(FG24,data!$C$67:$D$107,2,0)</f>
        <v>91</v>
      </c>
      <c r="FH21" s="463"/>
      <c r="FI21" s="463"/>
      <c r="FJ21" s="274"/>
      <c r="FK21" s="463">
        <f>VLOOKUP(FK24,data!$C$67:$D$107,2,0)</f>
        <v>92</v>
      </c>
      <c r="FL21" s="463"/>
      <c r="FM21" s="463"/>
      <c r="FN21" s="274"/>
      <c r="FO21" s="463">
        <f>VLOOKUP(FO24,data!$C$67:$D$107,2,0)</f>
        <v>153</v>
      </c>
      <c r="FP21" s="463"/>
      <c r="FQ21" s="463"/>
      <c r="FR21" s="274"/>
      <c r="FS21" s="463">
        <f>VLOOKUP(FS24,data!$C$67:$D$107,2,0)</f>
        <v>82</v>
      </c>
      <c r="FT21" s="463"/>
      <c r="FU21" s="463"/>
      <c r="FV21" s="274"/>
      <c r="FW21" s="463">
        <f>VLOOKUP(FW24,data!$C$67:$D$107,2,0)</f>
        <v>129</v>
      </c>
      <c r="FX21" s="463"/>
      <c r="FY21" s="463"/>
      <c r="FZ21" s="274"/>
      <c r="GA21" s="463">
        <f>VLOOKUP(GA24,data!$C$67:$D$107,2,0)</f>
        <v>130</v>
      </c>
      <c r="GB21" s="463"/>
      <c r="GC21" s="463"/>
      <c r="GD21" s="274"/>
      <c r="GE21" s="463">
        <f>VLOOKUP(GE24,data!$C$67:$D$107,2,0)</f>
        <v>134</v>
      </c>
      <c r="GF21" s="463"/>
      <c r="GG21" s="463"/>
      <c r="GH21" s="274"/>
      <c r="GI21" s="274"/>
      <c r="GJ21" s="274"/>
      <c r="GK21" s="274"/>
      <c r="GL21" s="274"/>
      <c r="GM21" s="463"/>
      <c r="GN21" s="463"/>
      <c r="GO21" s="463"/>
    </row>
    <row r="22" spans="1:197" s="48" customFormat="1" ht="17.5" customHeight="1" x14ac:dyDescent="0.2">
      <c r="I22" s="488"/>
      <c r="J22" s="488"/>
      <c r="K22" s="488"/>
      <c r="L22" s="488"/>
      <c r="M22" s="488"/>
      <c r="N22" s="488"/>
      <c r="O22" s="488"/>
      <c r="P22" s="272"/>
      <c r="Q22" s="270"/>
      <c r="R22" s="270"/>
      <c r="S22" s="270"/>
      <c r="T22" s="270"/>
      <c r="U22" s="270"/>
      <c r="V22" s="270"/>
      <c r="W22" s="270"/>
      <c r="X22" s="271"/>
      <c r="AB22" s="275" t="str">
        <f ca="1">IF(AB28="","Vali järjestamise alus!","")</f>
        <v/>
      </c>
      <c r="AK22" s="49"/>
      <c r="AL22" s="509" t="s">
        <v>533</v>
      </c>
      <c r="AM22" s="509"/>
      <c r="AN22" s="509"/>
      <c r="AO22" s="509"/>
      <c r="AP22" s="509"/>
      <c r="AQ22" s="509"/>
      <c r="AR22" s="509"/>
      <c r="AS22" s="509"/>
      <c r="AT22" s="509"/>
      <c r="AU22" s="509"/>
      <c r="AV22" s="509"/>
      <c r="AW22" s="509"/>
      <c r="AX22" s="509"/>
      <c r="AY22" s="509"/>
      <c r="AZ22" s="509"/>
      <c r="BA22" s="509"/>
      <c r="BB22" s="49"/>
      <c r="BC22" s="462" t="s">
        <v>257</v>
      </c>
      <c r="BD22" s="462"/>
      <c r="BE22" s="462"/>
      <c r="BF22" s="462"/>
      <c r="BG22" s="462"/>
      <c r="BH22" s="462"/>
      <c r="BI22" s="462"/>
      <c r="BJ22" s="462"/>
      <c r="BK22" s="462"/>
      <c r="BL22" s="462"/>
      <c r="BM22" s="462"/>
      <c r="BN22" s="462"/>
      <c r="BO22" s="462"/>
      <c r="BP22" s="462"/>
      <c r="BQ22" s="462"/>
      <c r="BR22" s="462"/>
      <c r="BS22" s="462"/>
      <c r="BT22" s="462"/>
      <c r="BU22" s="462"/>
      <c r="BV22" s="462"/>
      <c r="BW22" s="462"/>
      <c r="BX22" s="462"/>
      <c r="BY22" s="462"/>
      <c r="BZ22" s="462"/>
      <c r="CA22" s="462"/>
      <c r="CB22" s="462"/>
      <c r="CC22" s="462"/>
      <c r="CD22" s="462"/>
      <c r="CE22" s="462"/>
      <c r="CF22" s="462"/>
      <c r="CG22" s="462"/>
      <c r="CH22" s="462"/>
      <c r="CI22" s="462"/>
      <c r="CJ22" s="462"/>
      <c r="CK22" s="462"/>
      <c r="CM22" s="509" t="s">
        <v>629</v>
      </c>
      <c r="CN22" s="509"/>
      <c r="CO22" s="509"/>
      <c r="CP22" s="509"/>
      <c r="CQ22" s="509"/>
      <c r="CR22" s="509"/>
      <c r="CS22" s="509"/>
      <c r="CT22" s="509"/>
      <c r="CU22" s="509"/>
      <c r="CV22" s="509"/>
      <c r="CW22" s="509"/>
      <c r="CX22" s="509"/>
      <c r="CY22" s="509"/>
      <c r="CZ22" s="509"/>
      <c r="DA22" s="509"/>
      <c r="DB22" s="509"/>
      <c r="DC22" s="509"/>
      <c r="DD22" s="509"/>
      <c r="DE22" s="509"/>
      <c r="DF22" s="509"/>
      <c r="DG22" s="509"/>
      <c r="DH22" s="509"/>
      <c r="DI22" s="509"/>
      <c r="DJ22" s="509"/>
      <c r="DK22" s="509"/>
      <c r="DL22" s="509"/>
      <c r="DM22" s="509"/>
      <c r="DO22" s="462" t="s">
        <v>505</v>
      </c>
      <c r="DP22" s="462"/>
      <c r="DQ22" s="462"/>
      <c r="DR22" s="462"/>
      <c r="DS22" s="462"/>
      <c r="DT22" s="462"/>
      <c r="DU22" s="462"/>
      <c r="DV22" s="462"/>
      <c r="DW22" s="462"/>
      <c r="DX22" s="462"/>
      <c r="DY22" s="462"/>
      <c r="DZ22" s="462"/>
      <c r="EA22" s="462"/>
      <c r="EB22" s="462"/>
      <c r="EC22" s="462"/>
      <c r="ED22" s="462"/>
      <c r="EE22" s="462"/>
      <c r="EF22" s="462"/>
      <c r="EG22" s="462"/>
      <c r="EH22" s="462"/>
      <c r="EI22" s="462"/>
      <c r="EJ22" s="462"/>
      <c r="EK22" s="462"/>
      <c r="EL22" s="462"/>
      <c r="EM22" s="462"/>
      <c r="EN22" s="462"/>
      <c r="EO22" s="462"/>
      <c r="EP22" s="462"/>
      <c r="EQ22" s="462"/>
      <c r="ER22" s="462"/>
      <c r="ES22" s="462"/>
      <c r="ET22" s="462"/>
      <c r="EU22" s="462"/>
      <c r="EV22" s="462"/>
      <c r="EW22" s="462"/>
      <c r="EX22" s="462"/>
      <c r="EY22" s="462"/>
      <c r="EZ22" s="462"/>
      <c r="FA22" s="462"/>
      <c r="FB22" s="462"/>
      <c r="FC22" s="462"/>
      <c r="FD22" s="462"/>
      <c r="FE22" s="462"/>
      <c r="FF22" s="462"/>
      <c r="FG22" s="462"/>
      <c r="FH22" s="462"/>
      <c r="FI22" s="462"/>
      <c r="FJ22" s="462"/>
      <c r="FK22" s="462"/>
      <c r="FL22" s="462"/>
      <c r="FM22" s="462"/>
      <c r="FN22" s="462"/>
      <c r="FO22" s="462"/>
      <c r="FP22" s="462"/>
      <c r="FQ22" s="462"/>
      <c r="FR22" s="462"/>
      <c r="FS22" s="462"/>
      <c r="FT22" s="462"/>
      <c r="FU22" s="462"/>
      <c r="FV22" s="462"/>
      <c r="FW22" s="462"/>
      <c r="FX22" s="462"/>
      <c r="FY22" s="462"/>
      <c r="FZ22" s="462"/>
      <c r="GA22" s="462"/>
      <c r="GB22" s="462"/>
      <c r="GC22" s="462"/>
      <c r="GD22" s="462"/>
      <c r="GE22" s="462"/>
      <c r="GF22" s="462"/>
      <c r="GG22" s="462"/>
      <c r="GH22" s="462"/>
      <c r="GI22" s="462"/>
      <c r="GJ22" s="462"/>
      <c r="GK22" s="462"/>
      <c r="GL22" s="462"/>
      <c r="GM22" s="462"/>
      <c r="GN22" s="462"/>
      <c r="GO22" s="462"/>
    </row>
    <row r="23" spans="1:197" s="48" customFormat="1" ht="15.5" customHeight="1" x14ac:dyDescent="0.25">
      <c r="F23" s="508" t="s">
        <v>357</v>
      </c>
      <c r="G23" s="508"/>
      <c r="H23" s="508"/>
      <c r="I23" s="508"/>
      <c r="J23" s="508"/>
      <c r="K23" s="508"/>
      <c r="L23" s="508"/>
      <c r="M23" s="508"/>
      <c r="N23" s="508"/>
      <c r="O23" s="508"/>
      <c r="P23" s="508"/>
      <c r="Q23" s="508"/>
      <c r="R23" s="508"/>
      <c r="S23" s="508"/>
      <c r="T23" s="508"/>
      <c r="U23" s="508"/>
      <c r="V23" s="508"/>
      <c r="W23" s="508"/>
      <c r="AB23" s="510"/>
      <c r="AC23" s="511"/>
      <c r="AD23" s="511"/>
      <c r="AE23" s="512"/>
      <c r="AF23" s="163"/>
      <c r="AG23" s="465"/>
      <c r="AH23" s="466"/>
      <c r="AI23" s="466"/>
      <c r="AJ23" s="484"/>
      <c r="AK23" s="163"/>
      <c r="AL23" s="465"/>
      <c r="AM23" s="466"/>
      <c r="AN23" s="466"/>
      <c r="AO23" s="484"/>
      <c r="AP23" s="164"/>
      <c r="AQ23" s="465"/>
      <c r="AR23" s="466"/>
      <c r="AS23" s="466"/>
      <c r="AT23" s="164"/>
      <c r="AU23" s="465"/>
      <c r="AV23" s="466"/>
      <c r="AW23" s="466"/>
      <c r="AX23" s="164"/>
      <c r="AY23" s="465"/>
      <c r="AZ23" s="466"/>
      <c r="BA23" s="466"/>
      <c r="BB23" s="164"/>
      <c r="BC23" s="465"/>
      <c r="BD23" s="466"/>
      <c r="BE23" s="466"/>
      <c r="BF23" s="165"/>
      <c r="BG23" s="465"/>
      <c r="BH23" s="466"/>
      <c r="BI23" s="466"/>
      <c r="BJ23" s="164"/>
      <c r="BK23" s="465"/>
      <c r="BL23" s="466"/>
      <c r="BM23" s="466"/>
      <c r="BN23" s="164"/>
      <c r="BO23" s="465"/>
      <c r="BP23" s="466"/>
      <c r="BQ23" s="466"/>
      <c r="BR23" s="164"/>
      <c r="BS23" s="465"/>
      <c r="BT23" s="466"/>
      <c r="BU23" s="466"/>
      <c r="BV23" s="164"/>
      <c r="BW23" s="465"/>
      <c r="BX23" s="466"/>
      <c r="BY23" s="466"/>
      <c r="BZ23" s="164"/>
      <c r="CA23" s="465"/>
      <c r="CB23" s="466"/>
      <c r="CC23" s="466"/>
      <c r="CD23" s="164"/>
      <c r="CE23" s="465"/>
      <c r="CF23" s="466"/>
      <c r="CG23" s="466"/>
      <c r="CH23" s="164"/>
      <c r="CI23" s="465"/>
      <c r="CJ23" s="466"/>
      <c r="CK23" s="466"/>
      <c r="CL23" s="164"/>
      <c r="CM23" s="465"/>
      <c r="CN23" s="466"/>
      <c r="CO23" s="466"/>
      <c r="CP23" s="164"/>
      <c r="CQ23" s="465"/>
      <c r="CR23" s="466"/>
      <c r="CS23" s="466"/>
      <c r="CT23" s="164"/>
      <c r="CU23" s="465"/>
      <c r="CV23" s="466"/>
      <c r="CW23" s="466"/>
      <c r="CX23" s="164"/>
      <c r="CY23" s="465"/>
      <c r="CZ23" s="466"/>
      <c r="DA23" s="466"/>
      <c r="DB23" s="164"/>
      <c r="DC23" s="465"/>
      <c r="DD23" s="466"/>
      <c r="DE23" s="466"/>
      <c r="DF23" s="164"/>
      <c r="DG23" s="465"/>
      <c r="DH23" s="466"/>
      <c r="DI23" s="466"/>
      <c r="DJ23" s="164"/>
      <c r="DK23" s="465"/>
      <c r="DL23" s="466"/>
      <c r="DM23" s="466"/>
      <c r="DN23" s="164"/>
      <c r="DO23" s="465"/>
      <c r="DP23" s="466"/>
      <c r="DQ23" s="466"/>
      <c r="DR23" s="164"/>
      <c r="DS23" s="465"/>
      <c r="DT23" s="466"/>
      <c r="DU23" s="466"/>
      <c r="DV23" s="164"/>
      <c r="DW23" s="465"/>
      <c r="DX23" s="466"/>
      <c r="DY23" s="466"/>
      <c r="DZ23" s="164"/>
      <c r="EA23" s="465"/>
      <c r="EB23" s="466"/>
      <c r="EC23" s="466"/>
      <c r="ED23" s="164"/>
      <c r="EE23" s="465"/>
      <c r="EF23" s="466"/>
      <c r="EG23" s="466"/>
      <c r="EH23" s="164"/>
      <c r="EI23" s="465"/>
      <c r="EJ23" s="466"/>
      <c r="EK23" s="466"/>
      <c r="EL23" s="164"/>
      <c r="EM23" s="465"/>
      <c r="EN23" s="466"/>
      <c r="EO23" s="466"/>
      <c r="EP23" s="164"/>
      <c r="EQ23" s="465"/>
      <c r="ER23" s="466"/>
      <c r="ES23" s="466"/>
      <c r="ET23" s="164"/>
      <c r="EU23" s="465"/>
      <c r="EV23" s="466"/>
      <c r="EW23" s="466"/>
      <c r="EX23" s="164"/>
      <c r="EY23" s="465"/>
      <c r="EZ23" s="466"/>
      <c r="FA23" s="466"/>
      <c r="FB23" s="164"/>
      <c r="FC23" s="465"/>
      <c r="FD23" s="466"/>
      <c r="FE23" s="466"/>
      <c r="FF23" s="164"/>
      <c r="FG23" s="465"/>
      <c r="FH23" s="466"/>
      <c r="FI23" s="466"/>
      <c r="FJ23" s="164"/>
      <c r="FK23" s="465"/>
      <c r="FL23" s="466"/>
      <c r="FM23" s="466"/>
      <c r="FN23" s="164"/>
      <c r="FO23" s="465"/>
      <c r="FP23" s="466"/>
      <c r="FQ23" s="466"/>
      <c r="FR23" s="164"/>
      <c r="FS23" s="465"/>
      <c r="FT23" s="466"/>
      <c r="FU23" s="466"/>
      <c r="FV23" s="164"/>
      <c r="FW23" s="465"/>
      <c r="FX23" s="466"/>
      <c r="FY23" s="466"/>
      <c r="FZ23" s="164"/>
      <c r="GA23" s="465"/>
      <c r="GB23" s="466"/>
      <c r="GC23" s="466"/>
      <c r="GD23" s="164"/>
      <c r="GE23" s="465" t="s">
        <v>354</v>
      </c>
      <c r="GF23" s="466"/>
      <c r="GG23" s="466"/>
      <c r="GH23" s="164"/>
      <c r="GI23" s="465"/>
      <c r="GJ23" s="466"/>
      <c r="GK23" s="466"/>
      <c r="GL23" s="164"/>
      <c r="GM23" s="465"/>
      <c r="GN23" s="466"/>
      <c r="GO23" s="466"/>
    </row>
    <row r="24" spans="1:197" s="48" customFormat="1" ht="104" customHeight="1" x14ac:dyDescent="0.2">
      <c r="D24" s="502" t="str">
        <f>HYPERLINK("http://www.energiatalgud.ee/index.php?title=Transpordi_ENMAK_stsenaariumid","TRANSPORT")</f>
        <v>TRANSPORT</v>
      </c>
      <c r="E24" s="502"/>
      <c r="F24" s="502"/>
      <c r="G24" s="502"/>
      <c r="H24" s="502"/>
      <c r="I24" s="490" t="str">
        <f>HYPERLINK("http://www.energiatalgud.ee/index.php?title=Hoonefondi_ENMAK_stsenaariumid","HOONED JA SOOJUS")</f>
        <v>HOONED JA SOOJUS</v>
      </c>
      <c r="J24" s="490"/>
      <c r="K24" s="490"/>
      <c r="L24" s="490"/>
      <c r="M24" s="490"/>
      <c r="N24" s="490"/>
      <c r="O24" s="490"/>
      <c r="P24" s="503" t="str">
        <f>HYPERLINK("http://www.energiatalgud.ee/index.php?title=Elektritootmise_ja_-v%C3%B5rkude_ENMAK_stsenaariumid","ELEKTER")</f>
        <v>ELEKTER</v>
      </c>
      <c r="Q24" s="503"/>
      <c r="R24" s="503"/>
      <c r="S24" s="503"/>
      <c r="T24" s="503"/>
      <c r="U24" s="75"/>
      <c r="V24" s="503" t="str">
        <f>HYPERLINK("http://www.energiatalgud.ee/index.php?title=K%C3%BCtuste_ENMAK_stsenaariumid","BIOKÜTUSED")</f>
        <v>BIOKÜTUSED</v>
      </c>
      <c r="W24" s="503"/>
      <c r="X24" s="503"/>
      <c r="Y24" s="503"/>
      <c r="Z24" s="503"/>
      <c r="AA24" s="75"/>
      <c r="AB24" s="485" t="s">
        <v>363</v>
      </c>
      <c r="AC24" s="485"/>
      <c r="AD24" s="485"/>
      <c r="AE24" s="485"/>
      <c r="AF24" s="120"/>
      <c r="AG24" s="485" t="s">
        <v>537</v>
      </c>
      <c r="AH24" s="485"/>
      <c r="AI24" s="485"/>
      <c r="AJ24" s="485"/>
      <c r="AL24" s="500" t="s">
        <v>246</v>
      </c>
      <c r="AM24" s="500"/>
      <c r="AN24" s="500"/>
      <c r="AO24" s="500"/>
      <c r="AQ24" s="467" t="s">
        <v>686</v>
      </c>
      <c r="AR24" s="467"/>
      <c r="AS24" s="467"/>
      <c r="AT24" s="50"/>
      <c r="AU24" s="467" t="s">
        <v>687</v>
      </c>
      <c r="AV24" s="467"/>
      <c r="AW24" s="467"/>
      <c r="AY24" s="467" t="s">
        <v>238</v>
      </c>
      <c r="AZ24" s="467"/>
      <c r="BA24" s="467"/>
      <c r="BC24" s="477" t="s">
        <v>219</v>
      </c>
      <c r="BD24" s="477"/>
      <c r="BE24" s="477"/>
      <c r="BG24" s="477" t="s">
        <v>267</v>
      </c>
      <c r="BH24" s="477"/>
      <c r="BI24" s="477"/>
      <c r="BK24" s="479" t="s">
        <v>322</v>
      </c>
      <c r="BL24" s="479"/>
      <c r="BM24" s="479"/>
      <c r="BO24" s="477" t="s">
        <v>394</v>
      </c>
      <c r="BP24" s="477"/>
      <c r="BQ24" s="477"/>
      <c r="BS24" s="467" t="s">
        <v>240</v>
      </c>
      <c r="BT24" s="467"/>
      <c r="BU24" s="467"/>
      <c r="BW24" s="467" t="s">
        <v>606</v>
      </c>
      <c r="BX24" s="467"/>
      <c r="BY24" s="467"/>
      <c r="CA24" s="467" t="s">
        <v>607</v>
      </c>
      <c r="CB24" s="467"/>
      <c r="CC24" s="467"/>
      <c r="CE24" s="467" t="s">
        <v>608</v>
      </c>
      <c r="CF24" s="467"/>
      <c r="CG24" s="467"/>
      <c r="CI24" s="467" t="s">
        <v>581</v>
      </c>
      <c r="CJ24" s="467"/>
      <c r="CK24" s="467"/>
      <c r="CM24" s="467" t="s">
        <v>630</v>
      </c>
      <c r="CN24" s="467"/>
      <c r="CO24" s="467"/>
      <c r="CQ24" s="467" t="s">
        <v>635</v>
      </c>
      <c r="CR24" s="467"/>
      <c r="CS24" s="467"/>
      <c r="CU24" s="467" t="s">
        <v>631</v>
      </c>
      <c r="CV24" s="467"/>
      <c r="CW24" s="467"/>
      <c r="CY24" s="467" t="s">
        <v>632</v>
      </c>
      <c r="CZ24" s="467"/>
      <c r="DA24" s="467"/>
      <c r="DC24" s="467" t="s">
        <v>372</v>
      </c>
      <c r="DD24" s="467"/>
      <c r="DE24" s="467"/>
      <c r="DG24" s="467" t="s">
        <v>556</v>
      </c>
      <c r="DH24" s="467"/>
      <c r="DI24" s="467"/>
      <c r="DK24" s="467" t="s">
        <v>321</v>
      </c>
      <c r="DL24" s="467"/>
      <c r="DM24" s="467"/>
      <c r="DO24" s="477" t="s">
        <v>636</v>
      </c>
      <c r="DP24" s="477"/>
      <c r="DQ24" s="477"/>
      <c r="DS24" s="477" t="s">
        <v>633</v>
      </c>
      <c r="DT24" s="477"/>
      <c r="DU24" s="477"/>
      <c r="DW24" s="474" t="s">
        <v>634</v>
      </c>
      <c r="DX24" s="474"/>
      <c r="DY24" s="474"/>
      <c r="EA24" s="479" t="s">
        <v>392</v>
      </c>
      <c r="EB24" s="479"/>
      <c r="EC24" s="479"/>
      <c r="EE24" s="479" t="s">
        <v>416</v>
      </c>
      <c r="EF24" s="479"/>
      <c r="EG24" s="479"/>
      <c r="EI24" s="479" t="s">
        <v>417</v>
      </c>
      <c r="EJ24" s="479"/>
      <c r="EK24" s="479"/>
      <c r="EM24" s="479" t="s">
        <v>310</v>
      </c>
      <c r="EN24" s="479"/>
      <c r="EO24" s="479"/>
      <c r="EQ24" s="479" t="s">
        <v>311</v>
      </c>
      <c r="ER24" s="479"/>
      <c r="ES24" s="479"/>
      <c r="EU24" s="479" t="s">
        <v>555</v>
      </c>
      <c r="EV24" s="479"/>
      <c r="EW24" s="479"/>
      <c r="EY24" s="479" t="s">
        <v>619</v>
      </c>
      <c r="EZ24" s="479"/>
      <c r="FA24" s="479"/>
      <c r="FC24" s="479" t="s">
        <v>517</v>
      </c>
      <c r="FD24" s="479"/>
      <c r="FE24" s="479"/>
      <c r="FG24" s="477" t="s">
        <v>484</v>
      </c>
      <c r="FH24" s="477"/>
      <c r="FI24" s="477"/>
      <c r="FK24" s="477" t="s">
        <v>420</v>
      </c>
      <c r="FL24" s="477"/>
      <c r="FM24" s="477"/>
      <c r="FO24" s="474" t="s">
        <v>519</v>
      </c>
      <c r="FP24" s="474"/>
      <c r="FQ24" s="474"/>
      <c r="FR24" s="52"/>
      <c r="FS24" s="477" t="s">
        <v>620</v>
      </c>
      <c r="FT24" s="477"/>
      <c r="FU24" s="477"/>
      <c r="FV24" s="52"/>
      <c r="FW24" s="474" t="s">
        <v>621</v>
      </c>
      <c r="FX24" s="474"/>
      <c r="FY24" s="474"/>
      <c r="FZ24" s="52"/>
      <c r="GA24" s="474" t="s">
        <v>622</v>
      </c>
      <c r="GB24" s="474"/>
      <c r="GC24" s="474"/>
      <c r="GD24" s="52"/>
      <c r="GE24" s="474" t="s">
        <v>628</v>
      </c>
      <c r="GF24" s="474"/>
      <c r="GG24" s="474"/>
      <c r="GH24" s="52"/>
      <c r="GI24" s="474"/>
      <c r="GJ24" s="474"/>
      <c r="GK24" s="474"/>
      <c r="GM24" s="477"/>
      <c r="GN24" s="477"/>
      <c r="GO24" s="477"/>
    </row>
    <row r="25" spans="1:197" s="50" customFormat="1" ht="2.5" customHeight="1" x14ac:dyDescent="0.2"/>
    <row r="26" spans="1:197" s="84" customFormat="1" ht="11.5" customHeight="1" x14ac:dyDescent="0.15">
      <c r="A26" s="468" t="s">
        <v>309</v>
      </c>
      <c r="B26" s="468"/>
      <c r="C26" s="468"/>
      <c r="D26" s="468"/>
      <c r="E26" s="468"/>
      <c r="F26" s="468"/>
      <c r="G26" s="468"/>
      <c r="H26" s="468"/>
      <c r="I26" s="468"/>
      <c r="J26" s="468"/>
      <c r="K26" s="468"/>
      <c r="L26" s="468"/>
      <c r="M26" s="468"/>
      <c r="N26" s="468"/>
      <c r="O26" s="468"/>
      <c r="P26" s="468"/>
      <c r="Q26" s="468"/>
      <c r="R26" s="468"/>
      <c r="S26" s="468"/>
      <c r="T26" s="468"/>
      <c r="U26" s="468"/>
      <c r="V26" s="468"/>
      <c r="W26" s="468"/>
      <c r="X26" s="468"/>
      <c r="Y26" s="468"/>
      <c r="Z26" s="468"/>
      <c r="AB26" s="478" t="s">
        <v>223</v>
      </c>
      <c r="AC26" s="478"/>
      <c r="AD26" s="478"/>
      <c r="AE26" s="478"/>
      <c r="AF26" s="119"/>
      <c r="AG26" s="468" t="s">
        <v>223</v>
      </c>
      <c r="AH26" s="468"/>
      <c r="AI26" s="468"/>
      <c r="AJ26" s="468"/>
      <c r="AL26" s="468" t="s">
        <v>223</v>
      </c>
      <c r="AM26" s="468"/>
      <c r="AN26" s="468"/>
      <c r="AO26" s="468"/>
      <c r="AQ26" s="468" t="s">
        <v>223</v>
      </c>
      <c r="AR26" s="468"/>
      <c r="AS26" s="468"/>
      <c r="AU26" s="468" t="s">
        <v>223</v>
      </c>
      <c r="AV26" s="468"/>
      <c r="AW26" s="468"/>
      <c r="AY26" s="468" t="s">
        <v>223</v>
      </c>
      <c r="AZ26" s="468"/>
      <c r="BA26" s="468"/>
      <c r="BC26" s="513">
        <v>0.23</v>
      </c>
      <c r="BD26" s="513"/>
      <c r="BE26" s="513"/>
      <c r="BG26" s="468">
        <v>130</v>
      </c>
      <c r="BH26" s="468"/>
      <c r="BI26" s="468"/>
      <c r="BK26" s="513">
        <v>1</v>
      </c>
      <c r="BL26" s="513"/>
      <c r="BM26" s="513"/>
      <c r="BO26" s="513">
        <v>0</v>
      </c>
      <c r="BP26" s="468"/>
      <c r="BQ26" s="468"/>
      <c r="BS26" s="468"/>
      <c r="BT26" s="468"/>
      <c r="BU26" s="468"/>
      <c r="BW26" s="468"/>
      <c r="BX26" s="468"/>
      <c r="BY26" s="468"/>
      <c r="CA26" s="468"/>
      <c r="CB26" s="468"/>
      <c r="CC26" s="468"/>
      <c r="CE26" s="468"/>
      <c r="CF26" s="468"/>
      <c r="CG26" s="468"/>
      <c r="CI26" s="468"/>
      <c r="CJ26" s="468"/>
      <c r="CK26" s="468"/>
      <c r="CM26" s="468" t="s">
        <v>223</v>
      </c>
      <c r="CN26" s="468"/>
      <c r="CO26" s="468"/>
      <c r="CQ26" s="468" t="s">
        <v>223</v>
      </c>
      <c r="CR26" s="468"/>
      <c r="CS26" s="468"/>
      <c r="CU26" s="468" t="s">
        <v>223</v>
      </c>
      <c r="CV26" s="468"/>
      <c r="CW26" s="468"/>
      <c r="CY26" s="468" t="s">
        <v>223</v>
      </c>
      <c r="CZ26" s="468"/>
      <c r="DA26" s="468"/>
      <c r="DC26" s="478">
        <f>(2176+6355+505+499)/1000</f>
        <v>9.5350000000000001</v>
      </c>
      <c r="DD26" s="478"/>
      <c r="DE26" s="478"/>
      <c r="DG26" s="483"/>
      <c r="DH26" s="483"/>
      <c r="DI26" s="483"/>
      <c r="DK26" s="483">
        <f>(11300+3619+3390)/1000</f>
        <v>18.309000000000001</v>
      </c>
      <c r="DL26" s="483"/>
      <c r="DM26" s="483"/>
      <c r="DO26" s="468" t="s">
        <v>223</v>
      </c>
      <c r="DP26" s="468"/>
      <c r="DQ26" s="468"/>
      <c r="DS26" s="468" t="s">
        <v>223</v>
      </c>
      <c r="DT26" s="468"/>
      <c r="DU26" s="468"/>
      <c r="DW26" s="468" t="s">
        <v>223</v>
      </c>
      <c r="DX26" s="468"/>
      <c r="DY26" s="468"/>
      <c r="EA26" s="468">
        <f>(12362+2480+397+2248)/1000</f>
        <v>17.486999999999998</v>
      </c>
      <c r="EB26" s="468"/>
      <c r="EC26" s="468"/>
      <c r="EE26" s="501">
        <f>EA26-EI26</f>
        <v>11.846999999999998</v>
      </c>
      <c r="EF26" s="501"/>
      <c r="EG26" s="501"/>
      <c r="EI26" s="482">
        <v>5.64</v>
      </c>
      <c r="EJ26" s="482"/>
      <c r="EK26" s="482"/>
      <c r="EM26" s="478">
        <f>(13393+7019+349+1157)/1000</f>
        <v>21.917999999999999</v>
      </c>
      <c r="EN26" s="478"/>
      <c r="EO26" s="478"/>
      <c r="EQ26" s="468">
        <f>(46040+5987+299+76)/1000</f>
        <v>52.402000000000001</v>
      </c>
      <c r="ER26" s="468"/>
      <c r="ES26" s="468"/>
      <c r="EU26" s="478">
        <v>19.89</v>
      </c>
      <c r="EV26" s="478"/>
      <c r="EW26" s="478"/>
      <c r="EY26" s="478">
        <f>SUM('VK-Hooned-Soojus'!E184,'VK-Transport'!E106,'VK-Elekter'!E122)</f>
        <v>53</v>
      </c>
      <c r="EZ26" s="478"/>
      <c r="FA26" s="478"/>
      <c r="FC26" s="478"/>
      <c r="FD26" s="478"/>
      <c r="FE26" s="478"/>
      <c r="FG26" s="468">
        <f>(180+59+69)/3.6</f>
        <v>85.555555555555557</v>
      </c>
      <c r="FH26" s="468"/>
      <c r="FI26" s="468"/>
      <c r="FK26" s="468"/>
      <c r="FL26" s="468"/>
      <c r="FM26" s="468"/>
      <c r="FO26" s="468">
        <f>321.2+201.82+20.19</f>
        <v>543.21</v>
      </c>
      <c r="FP26" s="468"/>
      <c r="FQ26" s="468"/>
      <c r="FS26" s="468"/>
      <c r="FT26" s="468"/>
      <c r="FU26" s="468"/>
      <c r="FW26" s="468"/>
      <c r="FX26" s="468"/>
      <c r="FY26" s="468"/>
      <c r="GA26" s="468"/>
      <c r="GB26" s="468"/>
      <c r="GC26" s="468"/>
      <c r="GE26" s="468"/>
      <c r="GF26" s="468"/>
      <c r="GG26" s="468"/>
      <c r="GI26" s="468"/>
      <c r="GJ26" s="468"/>
      <c r="GK26" s="468"/>
      <c r="GM26" s="491"/>
      <c r="GN26" s="491"/>
      <c r="GO26" s="491"/>
    </row>
    <row r="27" spans="1:197" s="50" customFormat="1" ht="2.5" customHeight="1" x14ac:dyDescent="0.2"/>
    <row r="28" spans="1:197" s="50" customFormat="1" x14ac:dyDescent="0.2">
      <c r="A28" s="505" t="s">
        <v>59</v>
      </c>
      <c r="B28" s="505"/>
      <c r="C28" s="505"/>
      <c r="D28" s="504" t="str">
        <f ca="1">IF(ISERROR(Tulem!E6),"",Tulem!E6)</f>
        <v>Sekkuv</v>
      </c>
      <c r="E28" s="504"/>
      <c r="F28" s="504"/>
      <c r="G28" s="504"/>
      <c r="I28" s="504" t="str">
        <f ca="1">IF(ISERROR(Tulem!D6),"",Tulem!D6)</f>
        <v>Sekkuv/EÜ</v>
      </c>
      <c r="J28" s="504"/>
      <c r="K28" s="504"/>
      <c r="L28" s="504"/>
      <c r="M28" s="504"/>
      <c r="P28" s="504" t="str">
        <f ca="1">IF(ISERROR(Tulem!G6),"",Tulem!G6)</f>
        <v>TE</v>
      </c>
      <c r="Q28" s="504"/>
      <c r="R28" s="504"/>
      <c r="S28" s="504"/>
      <c r="T28" s="504"/>
      <c r="U28" s="74"/>
      <c r="V28" s="504" t="str">
        <f ca="1">IF(ISERROR(Tulem!F6),"",Tulem!F6)</f>
        <v>Sekkuv</v>
      </c>
      <c r="W28" s="504"/>
      <c r="X28" s="504"/>
      <c r="Y28" s="504"/>
      <c r="Z28" s="504"/>
      <c r="AA28" s="255">
        <v>2</v>
      </c>
      <c r="AB28" s="497">
        <f ca="1">IF(ISERROR(HLOOKUP(AB$24,Tulem!$A$5:$CF$140,$AA28,FALSE)),"",HLOOKUP(AB$24,Tulem!$A$5:$CF$140,$AA28,FALSE))</f>
        <v>8.14237860102266</v>
      </c>
      <c r="AC28" s="497"/>
      <c r="AD28" s="497"/>
      <c r="AE28" s="497"/>
      <c r="AF28" s="166"/>
      <c r="AG28" s="480">
        <f ca="1">IF(ISERROR(HLOOKUP(AG$24,Tulem!$A$5:$CF$140,$AA28,FALSE)),"",HLOOKUP(AG$24,Tulem!$A$5:$CF$140,$AA28,FALSE))</f>
        <v>678.64576611730354</v>
      </c>
      <c r="AH28" s="480"/>
      <c r="AI28" s="480"/>
      <c r="AJ28" s="480"/>
      <c r="AK28" s="167"/>
      <c r="AL28" s="480">
        <f ca="1">IF(ISERROR(HLOOKUP(AL$24,Tulem!$A$5:$CF$140,$AA28,FALSE)),"",HLOOKUP(AL$24,Tulem!$A$5:$CF$140,$AA28,FALSE))</f>
        <v>80.452529591667059</v>
      </c>
      <c r="AM28" s="480"/>
      <c r="AN28" s="480"/>
      <c r="AO28" s="480"/>
      <c r="AP28" s="168"/>
      <c r="AQ28" s="473">
        <f ca="1">IF(ISERROR(HLOOKUP(AQ$24,Tulem!$A$5:$CF$140,$AA28,FALSE)),"",HLOOKUP(AQ$24,Tulem!$A$5:$CF$140,$AA28,FALSE))</f>
        <v>-197.29831369909104</v>
      </c>
      <c r="AR28" s="473"/>
      <c r="AS28" s="473"/>
      <c r="AT28" s="168"/>
      <c r="AU28" s="473">
        <f ca="1">IF(ISERROR(HLOOKUP(AU$24,Tulem!$A$5:$CF$140,$AA28,FALSE)),"",HLOOKUP(AU$24,Tulem!$A$5:$CF$140,$AA28,FALSE))</f>
        <v>277.7508432907581</v>
      </c>
      <c r="AV28" s="473"/>
      <c r="AW28" s="473"/>
      <c r="AX28" s="169"/>
      <c r="AY28" s="473">
        <f ca="1">IF(ISERROR(HLOOKUP(AY$24,Tulem!$A$5:$CF$140,$AA28,FALSE)),"",HLOOKUP(AY$24,Tulem!$A$5:$CF$140,$AA28,FALSE))</f>
        <v>0</v>
      </c>
      <c r="AZ28" s="473"/>
      <c r="BA28" s="473"/>
      <c r="BB28" s="170"/>
      <c r="BC28" s="464">
        <f ca="1">IF(ISERROR(HLOOKUP(BC$24,Tulem!$A$5:$CF$140,$AA28,FALSE)),"",HLOOKUP(BC$24,Tulem!$A$5:$CF$140,$AA28,FALSE))</f>
        <v>0.4541994971842776</v>
      </c>
      <c r="BD28" s="464"/>
      <c r="BE28" s="464"/>
      <c r="BF28" s="170"/>
      <c r="BG28" s="489">
        <f ca="1">IF(ISERROR(HLOOKUP(BG$24,Tulem!$A$5:$CF$140,$AA28,FALSE)),"",HLOOKUP(BG$24,Tulem!$A$5:$CF$140,$AA28,FALSE))</f>
        <v>90</v>
      </c>
      <c r="BH28" s="489"/>
      <c r="BI28" s="489"/>
      <c r="BJ28" s="170"/>
      <c r="BK28" s="464">
        <f ca="1">IF(ISERROR(HLOOKUP(BK$24,Tulem!$A$5:$CF$140,$AA28,FALSE)),"",HLOOKUP(BK$24,Tulem!$A$5:$CF$140,$AA28,FALSE))</f>
        <v>0.72887234460741646</v>
      </c>
      <c r="BL28" s="464"/>
      <c r="BM28" s="464"/>
      <c r="BN28" s="170"/>
      <c r="BO28" s="470">
        <f ca="1">IF(ISERROR(HLOOKUP(BO$24,Tulem!$A$5:$CF$140,$AA28,FALSE)),"",HLOOKUP(BO$24,Tulem!$A$5:$CF$140,$AA28,FALSE))</f>
        <v>6.6265060240963902E-2</v>
      </c>
      <c r="BP28" s="470"/>
      <c r="BQ28" s="470"/>
      <c r="BR28" s="170"/>
      <c r="BS28" s="464">
        <f ca="1">IF(ISERROR(HLOOKUP(BS$24,Tulem!$A$5:$CF$140,$AA28,FALSE)),"",HLOOKUP(BS$24,Tulem!$A$5:$CF$140,$AA28,FALSE))</f>
        <v>0.41762821979641068</v>
      </c>
      <c r="BT28" s="464"/>
      <c r="BU28" s="464"/>
      <c r="BV28" s="170"/>
      <c r="BW28" s="469">
        <f ca="1">IF(ISERROR(HLOOKUP(BW$24,Tulem!$A$5:$CF$140,$AA28,FALSE)),"",HLOOKUP(BW$24,Tulem!$A$5:$CF$140,$AA28,FALSE))</f>
        <v>43.272900516795865</v>
      </c>
      <c r="BX28" s="469"/>
      <c r="BY28" s="469"/>
      <c r="BZ28" s="170"/>
      <c r="CA28" s="470">
        <f ca="1">IF(ISERROR(HLOOKUP(CA$24,Tulem!$A$5:$CF$140,$AA28,FALSE)),"",HLOOKUP(CA$24,Tulem!$A$5:$CF$140,$AA28,FALSE))</f>
        <v>9.3307678114868606E-2</v>
      </c>
      <c r="CB28" s="470"/>
      <c r="CC28" s="470"/>
      <c r="CD28" s="170"/>
      <c r="CE28" s="464">
        <f ca="1">IF(ISERROR(HLOOKUP(CE$24,Tulem!$A$5:$CF$140,$AA28,FALSE)),"",HLOOKUP(CE$24,Tulem!$A$5:$CF$140,$AA28,FALSE))</f>
        <v>0.51659368872597156</v>
      </c>
      <c r="CF28" s="464"/>
      <c r="CG28" s="464"/>
      <c r="CH28" s="170"/>
      <c r="CI28" s="469">
        <f ca="1">IF(ISERROR(HLOOKUP(CI$24,Tulem!$A$5:$CF$140,$AA28,FALSE)),"",HLOOKUP(CI$24,Tulem!$A$5:$CF$140,$AA28,FALSE))</f>
        <v>6.08</v>
      </c>
      <c r="CJ28" s="469"/>
      <c r="CK28" s="469"/>
      <c r="CL28" s="170"/>
      <c r="CM28" s="470">
        <f ca="1">IF(ISERROR(HLOOKUP(CM$24,Tulem!$A$5:$CF$140,$AA28,FALSE)),"",HLOOKUP(CM$24,Tulem!$A$5:$CF$140,$AA28,FALSE))</f>
        <v>2.6637965611334694E-2</v>
      </c>
      <c r="CN28" s="470"/>
      <c r="CO28" s="470"/>
      <c r="CP28" s="266"/>
      <c r="CQ28" s="470">
        <f ca="1">IF(ISERROR(HLOOKUP(CQ$24,Tulem!$A$5:$CF$140,$AA28,FALSE)),"",HLOOKUP(CQ$24,Tulem!$A$5:$CF$140,$AA28,FALSE))</f>
        <v>3.1058650804800022E-3</v>
      </c>
      <c r="CR28" s="470"/>
      <c r="CS28" s="470"/>
      <c r="CT28" s="266"/>
      <c r="CU28" s="470">
        <f ca="1">IF(ISERROR(HLOOKUP(CU$24,Tulem!$A$5:$CF$140,$AA28,FALSE)),"",HLOOKUP(CU$24,Tulem!$A$5:$CF$140,$AA28,FALSE))</f>
        <v>6.4007113804134541E-3</v>
      </c>
      <c r="CV28" s="470"/>
      <c r="CW28" s="470"/>
      <c r="CX28" s="170"/>
      <c r="CY28" s="470">
        <f ca="1">IF(ISERROR(HLOOKUP(CY$24,Tulem!$A$5:$CF$140,$AA28,FALSE)),"",HLOOKUP(CY$24,Tulem!$A$5:$CF$140,$AA28,FALSE))</f>
        <v>2.0466863800668721E-2</v>
      </c>
      <c r="CZ28" s="470"/>
      <c r="DA28" s="470"/>
      <c r="DB28" s="170"/>
      <c r="DC28" s="473">
        <f ca="1">IF(ISERROR(HLOOKUP(DC$24,Tulem!$A$5:$CF$140,$AA28,FALSE)),"",HLOOKUP(DC$24,Tulem!$A$5:$CF$140,$AA28,FALSE))</f>
        <v>7.5743156794471025</v>
      </c>
      <c r="DD28" s="473"/>
      <c r="DE28" s="473"/>
      <c r="DF28" s="171"/>
      <c r="DG28" s="481">
        <f ca="1">IF(ISERROR(HLOOKUP(DG$24,Tulem!$A$5:$CF$140,$AA28,FALSE)),"",HLOOKUP(DG$24,Tulem!$A$5:$CF$140,$AA28,FALSE))</f>
        <v>16097.852344293788</v>
      </c>
      <c r="DH28" s="481"/>
      <c r="DI28" s="481"/>
      <c r="DJ28" s="171"/>
      <c r="DK28" s="473">
        <f ca="1">IF(ISERROR(HLOOKUP(DK$24,Tulem!$A$5:$CF$140,$AA28,FALSE)),"",HLOOKUP(DK$24,Tulem!$A$5:$CF$140,$AA28,FALSE))</f>
        <v>10.077999999999999</v>
      </c>
      <c r="DL28" s="473"/>
      <c r="DM28" s="473"/>
      <c r="DN28" s="170"/>
      <c r="DO28" s="464">
        <f ca="1">IF(ISERROR(HLOOKUP(DO$24,Tulem!$A$5:$CF$140,$AA28,FALSE)),"",HLOOKUP(DO$24,Tulem!$A$5:$CF$140,$AA28,FALSE))</f>
        <v>-4.4598439328278769E-2</v>
      </c>
      <c r="DP28" s="464"/>
      <c r="DQ28" s="464"/>
      <c r="DR28" s="170"/>
      <c r="DS28" s="464">
        <f ca="1">IF(ISERROR(HLOOKUP(DS$24,Tulem!$A$5:$CF$140,$AA28,FALSE)),"",HLOOKUP(DS$24,Tulem!$A$5:$CF$140,$AA28,FALSE))</f>
        <v>-5.7198034850571254E-2</v>
      </c>
      <c r="DT28" s="464"/>
      <c r="DU28" s="464"/>
      <c r="DV28" s="170"/>
      <c r="DW28" s="464">
        <f ca="1">IF(ISERROR(HLOOKUP(DW$24,Tulem!$A$5:$CF$140,$AA28,FALSE)),"",HLOOKUP(DW$24,Tulem!$A$5:$CF$140,$AA28,FALSE))</f>
        <v>-8.0262296294678515E-2</v>
      </c>
      <c r="DX28" s="464"/>
      <c r="DY28" s="464"/>
      <c r="DZ28" s="170"/>
      <c r="EA28" s="469">
        <f ca="1">IF(ISERROR(HLOOKUP(EA$24,Tulem!$A$5:$CF$140,$AA28,FALSE)),"",HLOOKUP(EA$24,Tulem!$A$5:$CF$140,$AA28,FALSE))</f>
        <v>7.1502826922990277</v>
      </c>
      <c r="EB28" s="469"/>
      <c r="EC28" s="469"/>
      <c r="ED28" s="171"/>
      <c r="EE28" s="469">
        <f ca="1">IF(ISERROR(HLOOKUP(EE$24,Tulem!$A$5:$CF$140,$AA28,FALSE)),"",HLOOKUP(EE$24,Tulem!$A$5:$CF$140,$AA28,FALSE))</f>
        <v>4.9050000000000002</v>
      </c>
      <c r="EF28" s="469"/>
      <c r="EG28" s="469"/>
      <c r="EH28" s="170"/>
      <c r="EI28" s="469">
        <f ca="1">IF(ISERROR(HLOOKUP(EI$24,Tulem!$A$5:$CF$140,$AA28,FALSE)),"",HLOOKUP(EI$24,Tulem!$A$5:$CF$140,$AA28,FALSE))</f>
        <v>1.62408499063732</v>
      </c>
      <c r="EJ28" s="469"/>
      <c r="EK28" s="469"/>
      <c r="EL28" s="171"/>
      <c r="EM28" s="469">
        <f ca="1">IF(ISERROR(HLOOKUP(EM$24,Tulem!$A$5:$CF$140,$AA28,FALSE)),"",HLOOKUP(EM$24,Tulem!$A$5:$CF$140,$AA28,FALSE))</f>
        <v>16.465861099430587</v>
      </c>
      <c r="EN28" s="469"/>
      <c r="EO28" s="469"/>
      <c r="EP28" s="171"/>
      <c r="EQ28" s="469">
        <f ca="1">IF(ISERROR(HLOOKUP(EQ$24,Tulem!$A$5:$CF$140,$AA28,FALSE)),"",HLOOKUP(EQ$24,Tulem!$A$5:$CF$140,$AA28,FALSE))</f>
        <v>11.219077976340797</v>
      </c>
      <c r="ER28" s="469"/>
      <c r="ES28" s="469"/>
      <c r="ET28" s="170"/>
      <c r="EU28" s="469">
        <f ca="1">IF(ISERROR(HLOOKUP(EU$24,Tulem!$A$5:$CF$140,$AA28,FALSE)),"",HLOOKUP(EU$24,Tulem!$A$5:$CF$140,$AA28,FALSE))</f>
        <v>2.7478849906373197</v>
      </c>
      <c r="EV28" s="469"/>
      <c r="EW28" s="469"/>
      <c r="EX28" s="170"/>
      <c r="EY28" s="473">
        <f ca="1">IF(ISERROR(HLOOKUP(EY$24,Tulem!$A$5:$CF$140,$AA28,FALSE)),"",HLOOKUP(EY$24,Tulem!$A$5:$CF$140,$AA28,FALSE))</f>
        <v>70</v>
      </c>
      <c r="EZ28" s="473"/>
      <c r="FA28" s="473"/>
      <c r="FB28" s="171"/>
      <c r="FC28" s="469">
        <f ca="1">IF(ISERROR(HLOOKUP(FC$24,Tulem!$A$5:$CF$140,$AA28,FALSE)),"",HLOOKUP(FC$24,Tulem!$A$5:$CF$140,$AA28,FALSE))</f>
        <v>12.991</v>
      </c>
      <c r="FD28" s="469"/>
      <c r="FE28" s="469"/>
      <c r="FF28" s="170"/>
      <c r="FG28" s="473">
        <f ca="1">IF(ISERROR(HLOOKUP(FG$24,Tulem!$A$5:$CF$140,$AA28,FALSE)),"",HLOOKUP(FG$24,Tulem!$A$5:$CF$140,$AA28,FALSE))</f>
        <v>58.260833333333331</v>
      </c>
      <c r="FH28" s="473"/>
      <c r="FI28" s="473"/>
      <c r="FJ28" s="170"/>
      <c r="FK28" s="469">
        <f ca="1">IF(ISERROR(HLOOKUP(FK$24,Tulem!$A$5:$CF$140,$AA28,FALSE)),"",HLOOKUP(FK$24,Tulem!$A$5:$CF$140,$AA28,FALSE))</f>
        <v>4.7402689999999996</v>
      </c>
      <c r="FL28" s="469"/>
      <c r="FM28" s="469"/>
      <c r="FO28" s="473">
        <f ca="1">IF(ISERROR(HLOOKUP(FO$24,Tulem!$A$5:$CF$140,$AA28,FALSE)),"",HLOOKUP(FO$24,Tulem!$A$5:$CF$140,$AA28,FALSE))</f>
        <v>285</v>
      </c>
      <c r="FP28" s="473"/>
      <c r="FQ28" s="473"/>
      <c r="FS28" s="469">
        <f ca="1">IF(ISERROR(HLOOKUP(FS$24,Tulem!$A$5:$CF$140,$AA28,FALSE)),"",HLOOKUP(FS$24,Tulem!$A$5:$CF$140,$AA28,FALSE))</f>
        <v>2.7810000000000001</v>
      </c>
      <c r="FT28" s="469"/>
      <c r="FU28" s="469"/>
      <c r="FW28" s="476">
        <f ca="1">IF(ISERROR(HLOOKUP(FW$24,Tulem!$A$5:$CF$140,$AA28,FALSE)),"",HLOOKUP(FW$24,Tulem!$A$5:$CF$140,$AA28,FALSE))</f>
        <v>0.19900000000000001</v>
      </c>
      <c r="FX28" s="476"/>
      <c r="FY28" s="476"/>
      <c r="FZ28" s="327"/>
      <c r="GA28" s="476">
        <f ca="1">IF(ISERROR(HLOOKUP(GA$24,Tulem!$A$5:$CF$140,$AA28,FALSE)),"",HLOOKUP(GA$24,Tulem!$A$5:$CF$140,$AA28,FALSE))</f>
        <v>0.72299999999999998</v>
      </c>
      <c r="GB28" s="476"/>
      <c r="GC28" s="476"/>
      <c r="GE28" s="475">
        <f ca="1">IF(ISERROR(HLOOKUP(GE$24,Tulem!$A$5:$CF$140,$AA28,FALSE)),"",HLOOKUP(GE$24,Tulem!$A$5:$CF$140,$AA28,FALSE))</f>
        <v>462</v>
      </c>
      <c r="GF28" s="475"/>
      <c r="GG28" s="475"/>
      <c r="GI28" s="471" t="str">
        <f>IF(ISERROR(HLOOKUP(GI$24,Tulem!$A$5:$CF$140,$AA28,FALSE)),"",HLOOKUP(GI$24,Tulem!$A$5:$CF$140,$AA28,FALSE))</f>
        <v/>
      </c>
      <c r="GJ28" s="471"/>
      <c r="GK28" s="471"/>
      <c r="GM28" s="469" t="str">
        <f>IF(ISERROR(HLOOKUP(GM$24,Tulem!$A$5:$CF$140,$AA28,FALSE)),"",HLOOKUP(GM$24,Tulem!$A$5:$CF$140,$AA28,FALSE))</f>
        <v/>
      </c>
      <c r="GN28" s="469"/>
      <c r="GO28" s="469"/>
    </row>
    <row r="29" spans="1:197" s="50" customFormat="1" x14ac:dyDescent="0.2">
      <c r="A29" s="499" t="s">
        <v>60</v>
      </c>
      <c r="B29" s="499"/>
      <c r="C29" s="499"/>
      <c r="D29" s="504" t="str">
        <f ca="1">IF(ISERROR(Tulem!E7),"",Tulem!E7)</f>
        <v>Sekkuv</v>
      </c>
      <c r="E29" s="504"/>
      <c r="F29" s="504"/>
      <c r="G29" s="504"/>
      <c r="I29" s="504" t="str">
        <f ca="1">IF(ISERROR(Tulem!D7),"",Tulem!D7)</f>
        <v>Sekkuv/EÜ</v>
      </c>
      <c r="J29" s="504"/>
      <c r="K29" s="504"/>
      <c r="L29" s="504"/>
      <c r="M29" s="504"/>
      <c r="P29" s="504" t="str">
        <f ca="1">IF(ISERROR(Tulem!G7),"",Tulem!G7)</f>
        <v>TE</v>
      </c>
      <c r="Q29" s="504"/>
      <c r="R29" s="504"/>
      <c r="S29" s="504"/>
      <c r="T29" s="504"/>
      <c r="U29" s="74"/>
      <c r="V29" s="504" t="str">
        <f ca="1">IF(ISERROR(Tulem!F7),"",Tulem!F7)</f>
        <v>Vähe-sekkuv</v>
      </c>
      <c r="W29" s="504"/>
      <c r="X29" s="504"/>
      <c r="Y29" s="504"/>
      <c r="Z29" s="504"/>
      <c r="AA29" s="255">
        <v>3</v>
      </c>
      <c r="AB29" s="497">
        <f ca="1">IF(ISERROR(HLOOKUP(AB$24,Tulem!$A$5:$CF$140,$AA29,FALSE)),"",HLOOKUP(AB$24,Tulem!$A$5:$CF$140,$AA29,FALSE))</f>
        <v>7.2372788787811331</v>
      </c>
      <c r="AC29" s="497"/>
      <c r="AD29" s="497"/>
      <c r="AE29" s="497"/>
      <c r="AF29" s="166"/>
      <c r="AG29" s="480">
        <f ca="1">IF(ISERROR(HLOOKUP(AG$24,Tulem!$A$5:$CF$140,$AA29,FALSE)),"",HLOOKUP(AG$24,Tulem!$A$5:$CF$140,$AA29,FALSE))</f>
        <v>562.03497509982424</v>
      </c>
      <c r="AH29" s="480"/>
      <c r="AI29" s="480"/>
      <c r="AJ29" s="480"/>
      <c r="AK29" s="167"/>
      <c r="AL29" s="480">
        <f ca="1">IF(ISERROR(HLOOKUP(AL$24,Tulem!$A$5:$CF$140,$AA29,FALSE)),"",HLOOKUP(AL$24,Tulem!$A$5:$CF$140,$AA29,FALSE))</f>
        <v>63.898115232582143</v>
      </c>
      <c r="AM29" s="480"/>
      <c r="AN29" s="480"/>
      <c r="AO29" s="480"/>
      <c r="AP29" s="168"/>
      <c r="AQ29" s="473">
        <f ca="1">IF(ISERROR(HLOOKUP(AQ$24,Tulem!$A$5:$CF$140,$AA29,FALSE)),"",HLOOKUP(AQ$24,Tulem!$A$5:$CF$140,$AA29,FALSE))</f>
        <v>-178.19071988063212</v>
      </c>
      <c r="AR29" s="473"/>
      <c r="AS29" s="473"/>
      <c r="AT29" s="168"/>
      <c r="AU29" s="473">
        <f ca="1">IF(ISERROR(HLOOKUP(AU$24,Tulem!$A$5:$CF$140,$AA29,FALSE)),"",HLOOKUP(AU$24,Tulem!$A$5:$CF$140,$AA29,FALSE))</f>
        <v>242.08883511321426</v>
      </c>
      <c r="AV29" s="473"/>
      <c r="AW29" s="473"/>
      <c r="AX29" s="169"/>
      <c r="AY29" s="473">
        <f ca="1">IF(ISERROR(HLOOKUP(AY$24,Tulem!$A$5:$CF$140,$AA29,FALSE)),"",HLOOKUP(AY$24,Tulem!$A$5:$CF$140,$AA29,FALSE))</f>
        <v>0</v>
      </c>
      <c r="AZ29" s="473"/>
      <c r="BA29" s="473"/>
      <c r="BB29" s="170"/>
      <c r="BC29" s="464">
        <f ca="1">IF(ISERROR(HLOOKUP(BC$24,Tulem!$A$5:$CF$140,$AA29,FALSE)),"",HLOOKUP(BC$24,Tulem!$A$5:$CF$140,$AA29,FALSE))</f>
        <v>0.4541994971842776</v>
      </c>
      <c r="BD29" s="464"/>
      <c r="BE29" s="464"/>
      <c r="BF29" s="170"/>
      <c r="BG29" s="489">
        <f ca="1">IF(ISERROR(HLOOKUP(BG$24,Tulem!$A$5:$CF$140,$AA29,FALSE)),"",HLOOKUP(BG$24,Tulem!$A$5:$CF$140,$AA29,FALSE))</f>
        <v>90</v>
      </c>
      <c r="BH29" s="489"/>
      <c r="BI29" s="489"/>
      <c r="BJ29" s="170"/>
      <c r="BK29" s="464">
        <f ca="1">IF(ISERROR(HLOOKUP(BK$24,Tulem!$A$5:$CF$140,$AA29,FALSE)),"",HLOOKUP(BK$24,Tulem!$A$5:$CF$140,$AA29,FALSE))</f>
        <v>0.72887234460741657</v>
      </c>
      <c r="BL29" s="464"/>
      <c r="BM29" s="464"/>
      <c r="BN29" s="170"/>
      <c r="BO29" s="470">
        <f ca="1">IF(ISERROR(HLOOKUP(BO$24,Tulem!$A$5:$CF$140,$AA29,FALSE)),"",HLOOKUP(BO$24,Tulem!$A$5:$CF$140,$AA29,FALSE))</f>
        <v>6.6265060240963902E-2</v>
      </c>
      <c r="BP29" s="470"/>
      <c r="BQ29" s="470"/>
      <c r="BR29" s="170"/>
      <c r="BS29" s="464">
        <f ca="1">IF(ISERROR(HLOOKUP(BS$24,Tulem!$A$5:$CF$140,$AA29,FALSE)),"",HLOOKUP(BS$24,Tulem!$A$5:$CF$140,$AA29,FALSE))</f>
        <v>0.41762821979641068</v>
      </c>
      <c r="BT29" s="464"/>
      <c r="BU29" s="464"/>
      <c r="BV29" s="170"/>
      <c r="BW29" s="469">
        <f ca="1">IF(ISERROR(HLOOKUP(BW$24,Tulem!$A$5:$CF$140,$AA29,FALSE)),"",HLOOKUP(BW$24,Tulem!$A$5:$CF$140,$AA29,FALSE))</f>
        <v>43.272900516795865</v>
      </c>
      <c r="BX29" s="469"/>
      <c r="BY29" s="469"/>
      <c r="BZ29" s="170"/>
      <c r="CA29" s="470">
        <f ca="1">IF(ISERROR(HLOOKUP(CA$24,Tulem!$A$5:$CF$140,$AA29,FALSE)),"",HLOOKUP(CA$24,Tulem!$A$5:$CF$140,$AA29,FALSE))</f>
        <v>9.3307678114868606E-2</v>
      </c>
      <c r="CB29" s="470"/>
      <c r="CC29" s="470"/>
      <c r="CD29" s="170"/>
      <c r="CE29" s="464">
        <f ca="1">IF(ISERROR(HLOOKUP(CE$24,Tulem!$A$5:$CF$140,$AA29,FALSE)),"",HLOOKUP(CE$24,Tulem!$A$5:$CF$140,$AA29,FALSE))</f>
        <v>0.51659368872597156</v>
      </c>
      <c r="CF29" s="464"/>
      <c r="CG29" s="464"/>
      <c r="CH29" s="170"/>
      <c r="CI29" s="469">
        <f ca="1">IF(ISERROR(HLOOKUP(CI$24,Tulem!$A$5:$CF$140,$AA29,FALSE)),"",HLOOKUP(CI$24,Tulem!$A$5:$CF$140,$AA29,FALSE))</f>
        <v>6.08</v>
      </c>
      <c r="CJ29" s="469"/>
      <c r="CK29" s="469"/>
      <c r="CL29" s="170"/>
      <c r="CM29" s="470">
        <f ca="1">IF(ISERROR(HLOOKUP(CM$24,Tulem!$A$5:$CF$140,$AA29,FALSE)),"",HLOOKUP(CM$24,Tulem!$A$5:$CF$140,$AA29,FALSE))</f>
        <v>2.1986910233088176E-2</v>
      </c>
      <c r="CN29" s="470"/>
      <c r="CO29" s="470"/>
      <c r="CP29" s="266"/>
      <c r="CQ29" s="470">
        <f ca="1">IF(ISERROR(HLOOKUP(CQ$24,Tulem!$A$5:$CF$140,$AA29,FALSE)),"",HLOOKUP(CQ$24,Tulem!$A$5:$CF$140,$AA29,FALSE))</f>
        <v>3.0930993534386154E-3</v>
      </c>
      <c r="CR29" s="470"/>
      <c r="CS29" s="470"/>
      <c r="CT29" s="266"/>
      <c r="CU29" s="470">
        <f ca="1">IF(ISERROR(HLOOKUP(CU$24,Tulem!$A$5:$CF$140,$AA29,FALSE)),"",HLOOKUP(CU$24,Tulem!$A$5:$CF$140,$AA29,FALSE))</f>
        <v>5.0699215443667234E-3</v>
      </c>
      <c r="CV29" s="470"/>
      <c r="CW29" s="470"/>
      <c r="CX29" s="170"/>
      <c r="CY29" s="470">
        <f ca="1">IF(ISERROR(HLOOKUP(CY$24,Tulem!$A$5:$CF$140,$AA29,FALSE)),"",HLOOKUP(CY$24,Tulem!$A$5:$CF$140,$AA29,FALSE))</f>
        <v>1.7073000352503868E-2</v>
      </c>
      <c r="CZ29" s="470"/>
      <c r="DA29" s="470"/>
      <c r="DB29" s="170"/>
      <c r="DC29" s="473">
        <f ca="1">IF(ISERROR(HLOOKUP(DC$24,Tulem!$A$5:$CF$140,$AA29,FALSE)),"",HLOOKUP(DC$24,Tulem!$A$5:$CF$140,$AA29,FALSE))</f>
        <v>7.5743156794471025</v>
      </c>
      <c r="DD29" s="473"/>
      <c r="DE29" s="473"/>
      <c r="DF29" s="171"/>
      <c r="DG29" s="481">
        <f ca="1">IF(ISERROR(HLOOKUP(DG$24,Tulem!$A$5:$CF$140,$AA29,FALSE)),"",HLOOKUP(DG$24,Tulem!$A$5:$CF$140,$AA29,FALSE))</f>
        <v>13026.262403094939</v>
      </c>
      <c r="DH29" s="481"/>
      <c r="DI29" s="481"/>
      <c r="DJ29" s="171"/>
      <c r="DK29" s="473">
        <f ca="1">IF(ISERROR(HLOOKUP(DK$24,Tulem!$A$5:$CF$140,$AA29,FALSE)),"",HLOOKUP(DK$24,Tulem!$A$5:$CF$140,$AA29,FALSE))</f>
        <v>9.8539999999999992</v>
      </c>
      <c r="DL29" s="473"/>
      <c r="DM29" s="473"/>
      <c r="DN29" s="170"/>
      <c r="DO29" s="464">
        <f ca="1">IF(ISERROR(HLOOKUP(DO$24,Tulem!$A$5:$CF$140,$AA29,FALSE)),"",HLOOKUP(DO$24,Tulem!$A$5:$CF$140,$AA29,FALSE))</f>
        <v>-4.857792645872467E-2</v>
      </c>
      <c r="DP29" s="464"/>
      <c r="DQ29" s="464"/>
      <c r="DR29" s="170"/>
      <c r="DS29" s="464">
        <f ca="1">IF(ISERROR(HLOOKUP(DS$24,Tulem!$A$5:$CF$140,$AA29,FALSE)),"",HLOOKUP(DS$24,Tulem!$A$5:$CF$140,$AA29,FALSE))</f>
        <v>-5.8457194766859698E-2</v>
      </c>
      <c r="DT29" s="464"/>
      <c r="DU29" s="464"/>
      <c r="DV29" s="170"/>
      <c r="DW29" s="464">
        <f ca="1">IF(ISERROR(HLOOKUP(DW$24,Tulem!$A$5:$CF$140,$AA29,FALSE)),"",HLOOKUP(DW$24,Tulem!$A$5:$CF$140,$AA29,FALSE))</f>
        <v>-8.1723015267904764E-2</v>
      </c>
      <c r="DX29" s="464"/>
      <c r="DY29" s="464"/>
      <c r="DZ29" s="170"/>
      <c r="EA29" s="469">
        <f ca="1">IF(ISERROR(HLOOKUP(EA$24,Tulem!$A$5:$CF$140,$AA29,FALSE)),"",HLOOKUP(EA$24,Tulem!$A$5:$CF$140,$AA29,FALSE))</f>
        <v>7.1502826922990277</v>
      </c>
      <c r="EB29" s="469"/>
      <c r="EC29" s="469"/>
      <c r="ED29" s="171"/>
      <c r="EE29" s="469">
        <f ca="1">IF(ISERROR(HLOOKUP(EE$24,Tulem!$A$5:$CF$140,$AA29,FALSE)),"",HLOOKUP(EE$24,Tulem!$A$5:$CF$140,$AA29,FALSE))</f>
        <v>4.9050000000000002</v>
      </c>
      <c r="EF29" s="469"/>
      <c r="EG29" s="469"/>
      <c r="EH29" s="170"/>
      <c r="EI29" s="469">
        <f ca="1">IF(ISERROR(HLOOKUP(EI$24,Tulem!$A$5:$CF$140,$AA29,FALSE)),"",HLOOKUP(EI$24,Tulem!$A$5:$CF$140,$AA29,FALSE))</f>
        <v>1.4153849906373199</v>
      </c>
      <c r="EJ29" s="469"/>
      <c r="EK29" s="469"/>
      <c r="EL29" s="171"/>
      <c r="EM29" s="469">
        <f ca="1">IF(ISERROR(HLOOKUP(EM$24,Tulem!$A$5:$CF$140,$AA29,FALSE)),"",HLOOKUP(EM$24,Tulem!$A$5:$CF$140,$AA29,FALSE))</f>
        <v>16.465861099430587</v>
      </c>
      <c r="EN29" s="469"/>
      <c r="EO29" s="469"/>
      <c r="EP29" s="171"/>
      <c r="EQ29" s="469">
        <f ca="1">IF(ISERROR(HLOOKUP(EQ$24,Tulem!$A$5:$CF$140,$AA29,FALSE)),"",HLOOKUP(EQ$24,Tulem!$A$5:$CF$140,$AA29,FALSE))</f>
        <v>11.219077976340797</v>
      </c>
      <c r="ER29" s="469"/>
      <c r="ES29" s="469"/>
      <c r="ET29" s="170"/>
      <c r="EU29" s="469">
        <f ca="1">IF(ISERROR(HLOOKUP(EU$24,Tulem!$A$5:$CF$140,$AA29,FALSE)),"",HLOOKUP(EU$24,Tulem!$A$5:$CF$140,$AA29,FALSE))</f>
        <v>2.7478849906373197</v>
      </c>
      <c r="EV29" s="469"/>
      <c r="EW29" s="469"/>
      <c r="EX29" s="170"/>
      <c r="EY29" s="473">
        <f ca="1">IF(ISERROR(HLOOKUP(EY$24,Tulem!$A$5:$CF$140,$AA29,FALSE)),"",HLOOKUP(EY$24,Tulem!$A$5:$CF$140,$AA29,FALSE))</f>
        <v>68.400000000000006</v>
      </c>
      <c r="EZ29" s="473"/>
      <c r="FA29" s="473"/>
      <c r="FB29" s="171"/>
      <c r="FC29" s="469">
        <f ca="1">IF(ISERROR(HLOOKUP(FC$24,Tulem!$A$5:$CF$140,$AA29,FALSE)),"",HLOOKUP(FC$24,Tulem!$A$5:$CF$140,$AA29,FALSE))</f>
        <v>12.739000000000001</v>
      </c>
      <c r="FD29" s="469"/>
      <c r="FE29" s="469"/>
      <c r="FF29" s="170"/>
      <c r="FG29" s="473">
        <f ca="1">IF(ISERROR(HLOOKUP(FG$24,Tulem!$A$5:$CF$140,$AA29,FALSE)),"",HLOOKUP(FG$24,Tulem!$A$5:$CF$140,$AA29,FALSE))</f>
        <v>57.352777777777774</v>
      </c>
      <c r="FH29" s="473"/>
      <c r="FI29" s="473"/>
      <c r="FJ29" s="170"/>
      <c r="FK29" s="469">
        <f ca="1">IF(ISERROR(HLOOKUP(FK$24,Tulem!$A$5:$CF$140,$AA29,FALSE)),"",HLOOKUP(FK$24,Tulem!$A$5:$CF$140,$AA29,FALSE))</f>
        <v>4.6469240000000003</v>
      </c>
      <c r="FL29" s="469"/>
      <c r="FM29" s="469"/>
      <c r="FO29" s="473">
        <f ca="1">IF(ISERROR(HLOOKUP(FO$24,Tulem!$A$5:$CF$140,$AA29,FALSE)),"",HLOOKUP(FO$24,Tulem!$A$5:$CF$140,$AA29,FALSE))</f>
        <v>285</v>
      </c>
      <c r="FP29" s="473"/>
      <c r="FQ29" s="473"/>
      <c r="FS29" s="469">
        <f ca="1">IF(ISERROR(HLOOKUP(FS$24,Tulem!$A$5:$CF$140,$AA29,FALSE)),"",HLOOKUP(FS$24,Tulem!$A$5:$CF$140,$AA29,FALSE))</f>
        <v>2.7810000000000001</v>
      </c>
      <c r="FT29" s="469"/>
      <c r="FU29" s="469"/>
      <c r="FW29" s="476">
        <f ca="1">IF(ISERROR(HLOOKUP(FW$24,Tulem!$A$5:$CF$140,$AA29,FALSE)),"",HLOOKUP(FW$24,Tulem!$A$5:$CF$140,$AA29,FALSE))</f>
        <v>0.19900000000000001</v>
      </c>
      <c r="FX29" s="476"/>
      <c r="FY29" s="476"/>
      <c r="FZ29" s="327"/>
      <c r="GA29" s="476">
        <f ca="1">IF(ISERROR(HLOOKUP(GA$24,Tulem!$A$5:$CF$140,$AA29,FALSE)),"",HLOOKUP(GA$24,Tulem!$A$5:$CF$140,$AA29,FALSE))</f>
        <v>0.72299999999999998</v>
      </c>
      <c r="GB29" s="476"/>
      <c r="GC29" s="476"/>
      <c r="GE29" s="475">
        <f ca="1">IF(ISERROR(HLOOKUP(GE$24,Tulem!$A$5:$CF$140,$AA29,FALSE)),"",HLOOKUP(GE$24,Tulem!$A$5:$CF$140,$AA29,FALSE))</f>
        <v>483</v>
      </c>
      <c r="GF29" s="475"/>
      <c r="GG29" s="475"/>
      <c r="GI29" s="471" t="str">
        <f>IF(ISERROR(HLOOKUP(GI$24,Tulem!$A$5:$CF$140,$AA29,FALSE)),"",HLOOKUP(GI$24,Tulem!$A$5:$CF$140,$AA29,FALSE))</f>
        <v/>
      </c>
      <c r="GJ29" s="471"/>
      <c r="GK29" s="471"/>
      <c r="GM29" s="469" t="str">
        <f>IF(ISERROR(HLOOKUP(GM$24,Tulem!$A$5:$CF$140,$AA29,FALSE)),"",HLOOKUP(GM$24,Tulem!$A$5:$CF$140,$AA29,FALSE))</f>
        <v/>
      </c>
      <c r="GN29" s="469"/>
      <c r="GO29" s="469"/>
    </row>
    <row r="30" spans="1:197" s="50" customFormat="1" x14ac:dyDescent="0.2">
      <c r="A30" s="499" t="s">
        <v>61</v>
      </c>
      <c r="B30" s="499"/>
      <c r="C30" s="499"/>
      <c r="D30" s="504" t="str">
        <f ca="1">IF(ISERROR(Tulem!E8),"",Tulem!E8)</f>
        <v>Sekkuv</v>
      </c>
      <c r="E30" s="504"/>
      <c r="F30" s="504"/>
      <c r="G30" s="504"/>
      <c r="I30" s="504" t="str">
        <f ca="1">IF(ISERROR(Tulem!D8),"",Tulem!D8)</f>
        <v>Sekkuv/EÜ</v>
      </c>
      <c r="J30" s="504"/>
      <c r="K30" s="504"/>
      <c r="L30" s="504"/>
      <c r="M30" s="504"/>
      <c r="P30" s="504" t="str">
        <f ca="1">IF(ISERROR(Tulem!G8),"",Tulem!G8)</f>
        <v>TE++</v>
      </c>
      <c r="Q30" s="504"/>
      <c r="R30" s="504"/>
      <c r="S30" s="504"/>
      <c r="T30" s="504"/>
      <c r="U30" s="89"/>
      <c r="V30" s="504" t="str">
        <f ca="1">IF(ISERROR(Tulem!F8),"",Tulem!F8)</f>
        <v>Sekkuv</v>
      </c>
      <c r="W30" s="504"/>
      <c r="X30" s="504"/>
      <c r="Y30" s="504"/>
      <c r="Z30" s="504"/>
      <c r="AA30" s="255">
        <v>4</v>
      </c>
      <c r="AB30" s="497">
        <f ca="1">IF(ISERROR(HLOOKUP(AB$24,Tulem!$A$5:$CF$140,$AA30,FALSE)),"",HLOOKUP(AB$24,Tulem!$A$5:$CF$140,$AA30,FALSE))</f>
        <v>12.03707984995911</v>
      </c>
      <c r="AC30" s="497"/>
      <c r="AD30" s="497"/>
      <c r="AE30" s="497"/>
      <c r="AF30" s="166"/>
      <c r="AG30" s="480">
        <f ca="1">IF(ISERROR(HLOOKUP(AG$24,Tulem!$A$5:$CF$140,$AA30,FALSE)),"",HLOOKUP(AG$24,Tulem!$A$5:$CF$140,$AA30,FALSE))</f>
        <v>621.23540327596606</v>
      </c>
      <c r="AH30" s="480"/>
      <c r="AI30" s="480"/>
      <c r="AJ30" s="480"/>
      <c r="AK30" s="167"/>
      <c r="AL30" s="480">
        <f ca="1">IF(ISERROR(HLOOKUP(AL$24,Tulem!$A$5:$CF$140,$AA30,FALSE)),"",HLOOKUP(AL$24,Tulem!$A$5:$CF$140,$AA30,FALSE))</f>
        <v>70.825729754367757</v>
      </c>
      <c r="AM30" s="480"/>
      <c r="AN30" s="480"/>
      <c r="AO30" s="480"/>
      <c r="AP30" s="168"/>
      <c r="AQ30" s="473">
        <f ca="1">IF(ISERROR(HLOOKUP(AQ$24,Tulem!$A$5:$CF$140,$AA30,FALSE)),"",HLOOKUP(AQ$24,Tulem!$A$5:$CF$140,$AA30,FALSE))</f>
        <v>-197.29831369909104</v>
      </c>
      <c r="AR30" s="473"/>
      <c r="AS30" s="473"/>
      <c r="AT30" s="168"/>
      <c r="AU30" s="473">
        <f ca="1">IF(ISERROR(HLOOKUP(AU$24,Tulem!$A$5:$CF$140,$AA30,FALSE)),"",HLOOKUP(AU$24,Tulem!$A$5:$CF$140,$AA30,FALSE))</f>
        <v>268.1240434534588</v>
      </c>
      <c r="AV30" s="473"/>
      <c r="AW30" s="473"/>
      <c r="AX30" s="169"/>
      <c r="AY30" s="473">
        <f ca="1">IF(ISERROR(HLOOKUP(AY$24,Tulem!$A$5:$CF$140,$AA30,FALSE)),"",HLOOKUP(AY$24,Tulem!$A$5:$CF$140,$AA30,FALSE))</f>
        <v>0</v>
      </c>
      <c r="AZ30" s="473"/>
      <c r="BA30" s="473"/>
      <c r="BB30" s="170"/>
      <c r="BC30" s="464">
        <f ca="1">IF(ISERROR(HLOOKUP(BC$24,Tulem!$A$5:$CF$140,$AA30,FALSE)),"",HLOOKUP(BC$24,Tulem!$A$5:$CF$140,$AA30,FALSE))</f>
        <v>0.57876561984549779</v>
      </c>
      <c r="BD30" s="464"/>
      <c r="BE30" s="464"/>
      <c r="BF30" s="170"/>
      <c r="BG30" s="489">
        <f ca="1">IF(ISERROR(HLOOKUP(BG$24,Tulem!$A$5:$CF$140,$AA30,FALSE)),"",HLOOKUP(BG$24,Tulem!$A$5:$CF$140,$AA30,FALSE))</f>
        <v>90</v>
      </c>
      <c r="BH30" s="489"/>
      <c r="BI30" s="489"/>
      <c r="BJ30" s="170"/>
      <c r="BK30" s="464">
        <f ca="1">IF(ISERROR(HLOOKUP(BK$24,Tulem!$A$5:$CF$140,$AA30,FALSE)),"",HLOOKUP(BK$24,Tulem!$A$5:$CF$140,$AA30,FALSE))</f>
        <v>0.72887234460741646</v>
      </c>
      <c r="BL30" s="464"/>
      <c r="BM30" s="464"/>
      <c r="BN30" s="170"/>
      <c r="BO30" s="470">
        <f ca="1">IF(ISERROR(HLOOKUP(BO$24,Tulem!$A$5:$CF$140,$AA30,FALSE)),"",HLOOKUP(BO$24,Tulem!$A$5:$CF$140,$AA30,FALSE))</f>
        <v>0.36609829488465395</v>
      </c>
      <c r="BP30" s="470"/>
      <c r="BQ30" s="470"/>
      <c r="BR30" s="170"/>
      <c r="BS30" s="464">
        <f ca="1">IF(ISERROR(HLOOKUP(BS$24,Tulem!$A$5:$CF$140,$AA30,FALSE)),"",HLOOKUP(BS$24,Tulem!$A$5:$CF$140,$AA30,FALSE))</f>
        <v>0.64611056303807113</v>
      </c>
      <c r="BT30" s="464"/>
      <c r="BU30" s="464"/>
      <c r="BV30" s="170"/>
      <c r="BW30" s="469">
        <f ca="1">IF(ISERROR(HLOOKUP(BW$24,Tulem!$A$5:$CF$140,$AA30,FALSE)),"",HLOOKUP(BW$24,Tulem!$A$5:$CF$140,$AA30,FALSE))</f>
        <v>38.866388888888892</v>
      </c>
      <c r="BX30" s="469"/>
      <c r="BY30" s="469"/>
      <c r="BZ30" s="170"/>
      <c r="CA30" s="470">
        <f ca="1">IF(ISERROR(HLOOKUP(CA$24,Tulem!$A$5:$CF$140,$AA30,FALSE)),"",HLOOKUP(CA$24,Tulem!$A$5:$CF$140,$AA30,FALSE))</f>
        <v>2.5620074329845279E-2</v>
      </c>
      <c r="CB30" s="470"/>
      <c r="CC30" s="470"/>
      <c r="CD30" s="170"/>
      <c r="CE30" s="464">
        <f ca="1">IF(ISERROR(HLOOKUP(CE$24,Tulem!$A$5:$CF$140,$AA30,FALSE)),"",HLOOKUP(CE$24,Tulem!$A$5:$CF$140,$AA30,FALSE))</f>
        <v>0.55518194882771377</v>
      </c>
      <c r="CF30" s="464"/>
      <c r="CG30" s="464"/>
      <c r="CH30" s="170"/>
      <c r="CI30" s="469">
        <f ca="1">IF(ISERROR(HLOOKUP(CI$24,Tulem!$A$5:$CF$140,$AA30,FALSE)),"",HLOOKUP(CI$24,Tulem!$A$5:$CF$140,$AA30,FALSE))</f>
        <v>10.67</v>
      </c>
      <c r="CJ30" s="469"/>
      <c r="CK30" s="469"/>
      <c r="CL30" s="170"/>
      <c r="CM30" s="470">
        <f ca="1">IF(ISERROR(HLOOKUP(CM$24,Tulem!$A$5:$CF$140,$AA30,FALSE)),"",HLOOKUP(CM$24,Tulem!$A$5:$CF$140,$AA30,FALSE))</f>
        <v>2.4174429154618222E-2</v>
      </c>
      <c r="CN30" s="470"/>
      <c r="CO30" s="470"/>
      <c r="CP30" s="266"/>
      <c r="CQ30" s="470">
        <f ca="1">IF(ISERROR(HLOOKUP(CQ$24,Tulem!$A$5:$CF$140,$AA30,FALSE)),"",HLOOKUP(CQ$24,Tulem!$A$5:$CF$140,$AA30,FALSE))</f>
        <v>3.2096321363427969E-3</v>
      </c>
      <c r="CR30" s="470"/>
      <c r="CS30" s="470"/>
      <c r="CT30" s="266"/>
      <c r="CU30" s="470">
        <f ca="1">IF(ISERROR(HLOOKUP(CU$24,Tulem!$A$5:$CF$140,$AA30,FALSE)),"",HLOOKUP(CU$24,Tulem!$A$5:$CF$140,$AA30,FALSE))</f>
        <v>4.4609666306242024E-3</v>
      </c>
      <c r="CV30" s="470"/>
      <c r="CW30" s="470"/>
      <c r="CX30" s="170"/>
      <c r="CY30" s="470">
        <f ca="1">IF(ISERROR(HLOOKUP(CY$24,Tulem!$A$5:$CF$140,$AA30,FALSE)),"",HLOOKUP(CY$24,Tulem!$A$5:$CF$140,$AA30,FALSE))</f>
        <v>1.9918998731180058E-2</v>
      </c>
      <c r="CZ30" s="470"/>
      <c r="DA30" s="470"/>
      <c r="DB30" s="170"/>
      <c r="DC30" s="473">
        <f ca="1">IF(ISERROR(HLOOKUP(DC$24,Tulem!$A$5:$CF$140,$AA30,FALSE)),"",HLOOKUP(DC$24,Tulem!$A$5:$CF$140,$AA30,FALSE))</f>
        <v>7.6038313570900957</v>
      </c>
      <c r="DD30" s="473"/>
      <c r="DE30" s="473"/>
      <c r="DF30" s="171"/>
      <c r="DG30" s="481">
        <f ca="1">IF(ISERROR(HLOOKUP(DG$24,Tulem!$A$5:$CF$140,$AA30,FALSE)),"",HLOOKUP(DG$24,Tulem!$A$5:$CF$140,$AA30,FALSE))</f>
        <v>13132.601427461437</v>
      </c>
      <c r="DH30" s="481"/>
      <c r="DI30" s="481"/>
      <c r="DJ30" s="171"/>
      <c r="DK30" s="473">
        <f ca="1">IF(ISERROR(HLOOKUP(DK$24,Tulem!$A$5:$CF$140,$AA30,FALSE)),"",HLOOKUP(DK$24,Tulem!$A$5:$CF$140,$AA30,FALSE))</f>
        <v>9.532</v>
      </c>
      <c r="DL30" s="473"/>
      <c r="DM30" s="473"/>
      <c r="DN30" s="170"/>
      <c r="DO30" s="464">
        <f ca="1">IF(ISERROR(HLOOKUP(DO$24,Tulem!$A$5:$CF$140,$AA30,FALSE)),"",HLOOKUP(DO$24,Tulem!$A$5:$CF$140,$AA30,FALSE))</f>
        <v>-6.5078310298571945E-2</v>
      </c>
      <c r="DP30" s="464"/>
      <c r="DQ30" s="464"/>
      <c r="DR30" s="170"/>
      <c r="DS30" s="464">
        <f ca="1">IF(ISERROR(HLOOKUP(DS$24,Tulem!$A$5:$CF$140,$AA30,FALSE)),"",HLOOKUP(DS$24,Tulem!$A$5:$CF$140,$AA30,FALSE))</f>
        <v>-0.19707261985704216</v>
      </c>
      <c r="DT30" s="464"/>
      <c r="DU30" s="464"/>
      <c r="DV30" s="170"/>
      <c r="DW30" s="464">
        <f ca="1">IF(ISERROR(HLOOKUP(DW$24,Tulem!$A$5:$CF$140,$AA30,FALSE)),"",HLOOKUP(DW$24,Tulem!$A$5:$CF$140,$AA30,FALSE))</f>
        <v>-0.12955712047841597</v>
      </c>
      <c r="DX30" s="464"/>
      <c r="DY30" s="464"/>
      <c r="DZ30" s="170"/>
      <c r="EA30" s="469">
        <f ca="1">IF(ISERROR(HLOOKUP(EA$24,Tulem!$A$5:$CF$140,$AA30,FALSE)),"",HLOOKUP(EA$24,Tulem!$A$5:$CF$140,$AA30,FALSE))</f>
        <v>3.4793975506064014</v>
      </c>
      <c r="EB30" s="469"/>
      <c r="EC30" s="469"/>
      <c r="ED30" s="171"/>
      <c r="EE30" s="469">
        <f ca="1">IF(ISERROR(HLOOKUP(EE$24,Tulem!$A$5:$CF$140,$AA30,FALSE)),"",HLOOKUP(EE$24,Tulem!$A$5:$CF$140,$AA30,FALSE))</f>
        <v>1.177</v>
      </c>
      <c r="EF30" s="469"/>
      <c r="EG30" s="469"/>
      <c r="EH30" s="170"/>
      <c r="EI30" s="469">
        <f ca="1">IF(ISERROR(HLOOKUP(EI$24,Tulem!$A$5:$CF$140,$AA30,FALSE)),"",HLOOKUP(EI$24,Tulem!$A$5:$CF$140,$AA30,FALSE))</f>
        <v>1.62408499063732</v>
      </c>
      <c r="EJ30" s="469"/>
      <c r="EK30" s="469"/>
      <c r="EL30" s="171"/>
      <c r="EM30" s="469">
        <f ca="1">IF(ISERROR(HLOOKUP(EM$24,Tulem!$A$5:$CF$140,$AA30,FALSE)),"",HLOOKUP(EM$24,Tulem!$A$5:$CF$140,$AA30,FALSE))</f>
        <v>16.029721793242818</v>
      </c>
      <c r="EN30" s="469"/>
      <c r="EO30" s="469"/>
      <c r="EP30" s="171"/>
      <c r="EQ30" s="469">
        <f ca="1">IF(ISERROR(HLOOKUP(EQ$24,Tulem!$A$5:$CF$140,$AA30,FALSE)),"",HLOOKUP(EQ$24,Tulem!$A$5:$CF$140,$AA30,FALSE))</f>
        <v>6.0056988012134216</v>
      </c>
      <c r="ER30" s="469"/>
      <c r="ES30" s="469"/>
      <c r="ET30" s="170"/>
      <c r="EU30" s="469">
        <f ca="1">IF(ISERROR(HLOOKUP(EU$24,Tulem!$A$5:$CF$140,$AA30,FALSE)),"",HLOOKUP(EU$24,Tulem!$A$5:$CF$140,$AA30,FALSE))</f>
        <v>1.7198849906373199</v>
      </c>
      <c r="EV30" s="469"/>
      <c r="EW30" s="469"/>
      <c r="EX30" s="170"/>
      <c r="EY30" s="473">
        <f ca="1">IF(ISERROR(HLOOKUP(EY$24,Tulem!$A$5:$CF$140,$AA30,FALSE)),"",HLOOKUP(EY$24,Tulem!$A$5:$CF$140,$AA30,FALSE))</f>
        <v>77</v>
      </c>
      <c r="EZ30" s="473"/>
      <c r="FA30" s="473"/>
      <c r="FB30" s="171"/>
      <c r="FC30" s="469">
        <f ca="1">IF(ISERROR(HLOOKUP(FC$24,Tulem!$A$5:$CF$140,$AA30,FALSE)),"",HLOOKUP(FC$24,Tulem!$A$5:$CF$140,$AA30,FALSE))</f>
        <v>8.8710000000000004</v>
      </c>
      <c r="FD30" s="469"/>
      <c r="FE30" s="469"/>
      <c r="FF30" s="170"/>
      <c r="FG30" s="473">
        <f ca="1">IF(ISERROR(HLOOKUP(FG$24,Tulem!$A$5:$CF$140,$AA30,FALSE)),"",HLOOKUP(FG$24,Tulem!$A$5:$CF$140,$AA30,FALSE))</f>
        <v>35.222222222222221</v>
      </c>
      <c r="FH30" s="473"/>
      <c r="FI30" s="473"/>
      <c r="FJ30" s="170"/>
      <c r="FK30" s="469">
        <f ca="1">IF(ISERROR(HLOOKUP(FK$24,Tulem!$A$5:$CF$140,$AA30,FALSE)),"",HLOOKUP(FK$24,Tulem!$A$5:$CF$140,$AA30,FALSE))</f>
        <v>3.7702429999999998</v>
      </c>
      <c r="FL30" s="469"/>
      <c r="FM30" s="469"/>
      <c r="FO30" s="473">
        <f ca="1">IF(ISERROR(HLOOKUP(FO$24,Tulem!$A$5:$CF$140,$AA30,FALSE)),"",HLOOKUP(FO$24,Tulem!$A$5:$CF$140,$AA30,FALSE))</f>
        <v>285.10000000000002</v>
      </c>
      <c r="FP30" s="473"/>
      <c r="FQ30" s="473"/>
      <c r="FS30" s="469">
        <f ca="1">IF(ISERROR(HLOOKUP(FS$24,Tulem!$A$5:$CF$140,$AA30,FALSE)),"",HLOOKUP(FS$24,Tulem!$A$5:$CF$140,$AA30,FALSE))</f>
        <v>2.7810000000000001</v>
      </c>
      <c r="FT30" s="469"/>
      <c r="FU30" s="469"/>
      <c r="FW30" s="476">
        <f ca="1">IF(ISERROR(HLOOKUP(FW$24,Tulem!$A$5:$CF$140,$AA30,FALSE)),"",HLOOKUP(FW$24,Tulem!$A$5:$CF$140,$AA30,FALSE))</f>
        <v>0.19900000000000001</v>
      </c>
      <c r="FX30" s="476"/>
      <c r="FY30" s="476"/>
      <c r="FZ30" s="327"/>
      <c r="GA30" s="476">
        <f ca="1">IF(ISERROR(HLOOKUP(GA$24,Tulem!$A$5:$CF$140,$AA30,FALSE)),"",HLOOKUP(GA$24,Tulem!$A$5:$CF$140,$AA30,FALSE))</f>
        <v>0.72299999999999998</v>
      </c>
      <c r="GB30" s="476"/>
      <c r="GC30" s="476"/>
      <c r="GE30" s="475">
        <f ca="1">IF(ISERROR(HLOOKUP(GE$24,Tulem!$A$5:$CF$140,$AA30,FALSE)),"",HLOOKUP(GE$24,Tulem!$A$5:$CF$140,$AA30,FALSE))</f>
        <v>519</v>
      </c>
      <c r="GF30" s="475"/>
      <c r="GG30" s="475"/>
      <c r="GI30" s="471" t="str">
        <f>IF(ISERROR(HLOOKUP(GI$24,Tulem!$A$5:$CF$140,$AA30,FALSE)),"",HLOOKUP(GI$24,Tulem!$A$5:$CF$140,$AA30,FALSE))</f>
        <v/>
      </c>
      <c r="GJ30" s="471"/>
      <c r="GK30" s="471"/>
      <c r="GM30" s="469" t="str">
        <f>IF(ISERROR(HLOOKUP(GM$24,Tulem!$A$5:$CF$140,$AA30,FALSE)),"",HLOOKUP(GM$24,Tulem!$A$5:$CF$140,$AA30,FALSE))</f>
        <v/>
      </c>
      <c r="GN30" s="469"/>
      <c r="GO30" s="469"/>
    </row>
    <row r="31" spans="1:197" s="50" customFormat="1" x14ac:dyDescent="0.2">
      <c r="A31" s="499" t="s">
        <v>245</v>
      </c>
      <c r="B31" s="499"/>
      <c r="C31" s="499"/>
      <c r="D31" s="499"/>
      <c r="E31" s="499"/>
      <c r="F31" s="499"/>
      <c r="I31" s="52"/>
      <c r="P31" s="496"/>
      <c r="Q31" s="496"/>
      <c r="R31" s="496"/>
      <c r="S31" s="496"/>
      <c r="T31" s="496"/>
      <c r="U31" s="496"/>
      <c r="V31" s="52"/>
      <c r="X31" s="48"/>
      <c r="AA31" s="255"/>
      <c r="AB31" s="172"/>
      <c r="AC31" s="172"/>
      <c r="AD31" s="172"/>
      <c r="AE31" s="172"/>
      <c r="AF31" s="172"/>
      <c r="AG31" s="173"/>
      <c r="AH31" s="173"/>
      <c r="AI31" s="173"/>
      <c r="AJ31" s="173"/>
      <c r="AK31" s="172"/>
      <c r="AL31" s="173"/>
      <c r="AM31" s="173"/>
      <c r="AN31" s="173"/>
      <c r="AO31" s="173"/>
      <c r="AP31" s="173"/>
      <c r="AQ31" s="173"/>
      <c r="AR31" s="173"/>
      <c r="AS31" s="173"/>
      <c r="AT31" s="173"/>
      <c r="AU31" s="173"/>
      <c r="AV31" s="173"/>
      <c r="AW31" s="173"/>
      <c r="AX31" s="173"/>
      <c r="AY31" s="173"/>
      <c r="AZ31" s="173"/>
      <c r="BA31" s="173"/>
      <c r="BB31" s="173"/>
      <c r="BC31" s="261"/>
      <c r="BD31" s="261"/>
      <c r="BE31" s="261"/>
      <c r="BF31" s="173"/>
      <c r="BG31" s="173"/>
      <c r="BH31" s="173"/>
      <c r="BI31" s="173"/>
      <c r="BJ31" s="173"/>
      <c r="BK31" s="261"/>
      <c r="BL31" s="261"/>
      <c r="BM31" s="261"/>
      <c r="BN31" s="170"/>
      <c r="BO31" s="263"/>
      <c r="BP31" s="263"/>
      <c r="BQ31" s="263"/>
      <c r="BR31" s="170"/>
      <c r="BS31" s="261"/>
      <c r="BT31" s="261"/>
      <c r="BU31" s="261"/>
      <c r="BV31" s="170"/>
      <c r="BW31" s="174"/>
      <c r="BX31" s="174"/>
      <c r="BY31" s="174"/>
      <c r="BZ31" s="170"/>
      <c r="CA31" s="263"/>
      <c r="CB31" s="263"/>
      <c r="CC31" s="263"/>
      <c r="CD31" s="170"/>
      <c r="CE31" s="261"/>
      <c r="CF31" s="261"/>
      <c r="CG31" s="261"/>
      <c r="CH31" s="170"/>
      <c r="CI31" s="174"/>
      <c r="CJ31" s="174"/>
      <c r="CK31" s="174"/>
      <c r="CL31" s="170"/>
      <c r="CM31" s="263"/>
      <c r="CN31" s="263"/>
      <c r="CO31" s="263"/>
      <c r="CP31" s="263"/>
      <c r="CQ31" s="263"/>
      <c r="CR31" s="263"/>
      <c r="CS31" s="263"/>
      <c r="CT31" s="263"/>
      <c r="CU31" s="263"/>
      <c r="CV31" s="263"/>
      <c r="CW31" s="263"/>
      <c r="CX31" s="173"/>
      <c r="CY31" s="263"/>
      <c r="CZ31" s="263"/>
      <c r="DA31" s="263"/>
      <c r="DB31" s="173"/>
      <c r="DC31" s="173"/>
      <c r="DD31" s="173"/>
      <c r="DE31" s="173"/>
      <c r="DF31" s="171"/>
      <c r="DG31" s="338"/>
      <c r="DH31" s="338"/>
      <c r="DI31" s="338"/>
      <c r="DJ31" s="171"/>
      <c r="DK31" s="173"/>
      <c r="DL31" s="173"/>
      <c r="DM31" s="173"/>
      <c r="DN31" s="170"/>
      <c r="DO31" s="261"/>
      <c r="DP31" s="261"/>
      <c r="DQ31" s="261"/>
      <c r="DR31" s="173"/>
      <c r="DS31" s="261"/>
      <c r="DT31" s="261"/>
      <c r="DU31" s="261"/>
      <c r="DV31" s="173"/>
      <c r="DW31" s="261"/>
      <c r="DX31" s="261"/>
      <c r="DY31" s="261"/>
      <c r="DZ31" s="173"/>
      <c r="EA31" s="174"/>
      <c r="EB31" s="174"/>
      <c r="EC31" s="174"/>
      <c r="ED31" s="174"/>
      <c r="EE31" s="174"/>
      <c r="EF31" s="174"/>
      <c r="EG31" s="174"/>
      <c r="EH31" s="170"/>
      <c r="EI31" s="174"/>
      <c r="EJ31" s="174"/>
      <c r="EK31" s="174"/>
      <c r="EL31" s="171"/>
      <c r="EM31" s="174"/>
      <c r="EN31" s="174"/>
      <c r="EO31" s="174"/>
      <c r="EP31" s="171"/>
      <c r="EQ31" s="174"/>
      <c r="ER31" s="174"/>
      <c r="ES31" s="174"/>
      <c r="ET31" s="170"/>
      <c r="EU31" s="174"/>
      <c r="EV31" s="174"/>
      <c r="EW31" s="174"/>
      <c r="EX31" s="170"/>
      <c r="EY31" s="173"/>
      <c r="EZ31" s="173"/>
      <c r="FA31" s="173"/>
      <c r="FB31" s="171"/>
      <c r="FC31" s="174"/>
      <c r="FD31" s="174"/>
      <c r="FE31" s="174"/>
      <c r="FF31" s="170"/>
      <c r="FG31" s="173"/>
      <c r="FH31" s="173"/>
      <c r="FI31" s="173"/>
      <c r="FJ31" s="170"/>
      <c r="FK31" s="174"/>
      <c r="FL31" s="174"/>
      <c r="FM31" s="174"/>
      <c r="FO31" s="173"/>
      <c r="FP31" s="173"/>
      <c r="FQ31" s="173"/>
      <c r="FS31" s="174"/>
      <c r="FT31" s="174"/>
      <c r="FU31" s="174"/>
      <c r="FW31" s="328"/>
      <c r="FX31" s="328"/>
      <c r="FY31" s="328"/>
      <c r="FZ31" s="327"/>
      <c r="GA31" s="328"/>
      <c r="GB31" s="328"/>
      <c r="GC31" s="328"/>
      <c r="GE31" s="364"/>
      <c r="GF31" s="364"/>
      <c r="GG31" s="364"/>
      <c r="GI31" s="175"/>
      <c r="GJ31" s="175"/>
      <c r="GK31" s="175"/>
      <c r="GM31" s="174"/>
      <c r="GN31" s="174"/>
      <c r="GO31" s="174"/>
    </row>
    <row r="32" spans="1:197" s="50" customFormat="1" ht="14.5" customHeight="1" outlineLevel="1" x14ac:dyDescent="0.2">
      <c r="A32" s="499">
        <v>4</v>
      </c>
      <c r="B32" s="499"/>
      <c r="C32" s="499"/>
      <c r="D32" s="496" t="str">
        <f ca="1">IF(ISERROR(Tulem!E9),"",Tulem!E9)</f>
        <v>Sekkuv</v>
      </c>
      <c r="E32" s="496"/>
      <c r="F32" s="496"/>
      <c r="G32" s="496"/>
      <c r="I32" s="496" t="str">
        <f ca="1">IF(ISERROR(Tulem!D9),"",Tulem!D9)</f>
        <v>Sekkuv/EÜ</v>
      </c>
      <c r="J32" s="496"/>
      <c r="K32" s="496"/>
      <c r="L32" s="496"/>
      <c r="M32" s="496"/>
      <c r="P32" s="496" t="str">
        <f ca="1">IF(ISERROR(Tulem!G9),"",Tulem!G9)</f>
        <v>TE</v>
      </c>
      <c r="Q32" s="496"/>
      <c r="R32" s="496"/>
      <c r="S32" s="496"/>
      <c r="T32" s="496"/>
      <c r="U32" s="496"/>
      <c r="V32" s="496" t="str">
        <f ca="1">IF(ISERROR(Tulem!F9),"",Tulem!F9)</f>
        <v>Mittesekkuv</v>
      </c>
      <c r="W32" s="496"/>
      <c r="X32" s="496"/>
      <c r="Y32" s="496"/>
      <c r="Z32" s="496"/>
      <c r="AA32" s="255">
        <v>5</v>
      </c>
      <c r="AB32" s="497">
        <f ca="1">IF(ISERROR(HLOOKUP(AB$24,Tulem!$A$5:$CF$140,$AA32,FALSE)),"",HLOOKUP(AB$24,Tulem!$A$5:$CF$140,$AA32,FALSE))</f>
        <v>6.3213672301352926</v>
      </c>
      <c r="AC32" s="497"/>
      <c r="AD32" s="497"/>
      <c r="AE32" s="497"/>
      <c r="AF32" s="166"/>
      <c r="AG32" s="480">
        <f ca="1">IF(ISERROR(HLOOKUP(AG$24,Tulem!$A$5:$CF$140,$AA32,FALSE)),"",HLOOKUP(AG$24,Tulem!$A$5:$CF$140,$AA32,FALSE))</f>
        <v>401.554942830561</v>
      </c>
      <c r="AH32" s="480"/>
      <c r="AI32" s="480"/>
      <c r="AJ32" s="480"/>
      <c r="AK32" s="167"/>
      <c r="AL32" s="480">
        <f ca="1">IF(ISERROR(HLOOKUP(AL$24,Tulem!$A$5:$CF$140,$AA32,FALSE)),"",HLOOKUP(AL$24,Tulem!$A$5:$CF$140,$AA32,FALSE))</f>
        <v>34.732793204047056</v>
      </c>
      <c r="AM32" s="480"/>
      <c r="AN32" s="480"/>
      <c r="AO32" s="480"/>
      <c r="AP32" s="168"/>
      <c r="AQ32" s="473">
        <f ca="1">IF(ISERROR(HLOOKUP(AQ$24,Tulem!$A$5:$CF$140,$AA32,FALSE)),"",HLOOKUP(AQ$24,Tulem!$A$5:$CF$140,$AA32,FALSE))</f>
        <v>-162.95750000000001</v>
      </c>
      <c r="AR32" s="473"/>
      <c r="AS32" s="473"/>
      <c r="AT32" s="168"/>
      <c r="AU32" s="473">
        <f ca="1">IF(ISERROR(HLOOKUP(AU$24,Tulem!$A$5:$CF$140,$AA32,FALSE)),"",HLOOKUP(AU$24,Tulem!$A$5:$CF$140,$AA32,FALSE))</f>
        <v>197.69029320404707</v>
      </c>
      <c r="AV32" s="473"/>
      <c r="AW32" s="473"/>
      <c r="AX32" s="169"/>
      <c r="AY32" s="473">
        <f ca="1">IF(ISERROR(HLOOKUP(AY$24,Tulem!$A$5:$CF$140,$AA32,FALSE)),"",HLOOKUP(AY$24,Tulem!$A$5:$CF$140,$AA32,FALSE))</f>
        <v>0</v>
      </c>
      <c r="AZ32" s="473"/>
      <c r="BA32" s="473"/>
      <c r="BB32" s="170"/>
      <c r="BC32" s="464">
        <f ca="1">IF(ISERROR(HLOOKUP(BC$24,Tulem!$A$5:$CF$140,$AA32,FALSE)),"",HLOOKUP(BC$24,Tulem!$A$5:$CF$140,$AA32,FALSE))</f>
        <v>0.50323675567433446</v>
      </c>
      <c r="BD32" s="464"/>
      <c r="BE32" s="464"/>
      <c r="BF32" s="170"/>
      <c r="BG32" s="489">
        <f ca="1">IF(ISERROR(HLOOKUP(BG$24,Tulem!$A$5:$CF$140,$AA32,FALSE)),"",HLOOKUP(BG$24,Tulem!$A$5:$CF$140,$AA32,FALSE))</f>
        <v>90</v>
      </c>
      <c r="BH32" s="489"/>
      <c r="BI32" s="489"/>
      <c r="BJ32" s="170"/>
      <c r="BK32" s="464">
        <f ca="1">IF(ISERROR(HLOOKUP(BK$24,Tulem!$A$5:$CF$140,$AA32,FALSE)),"",HLOOKUP(BK$24,Tulem!$A$5:$CF$140,$AA32,FALSE))</f>
        <v>1</v>
      </c>
      <c r="BL32" s="464"/>
      <c r="BM32" s="464"/>
      <c r="BN32" s="170"/>
      <c r="BO32" s="470">
        <f ca="1">IF(ISERROR(HLOOKUP(BO$24,Tulem!$A$5:$CF$140,$AA32,FALSE)),"",HLOOKUP(BO$24,Tulem!$A$5:$CF$140,$AA32,FALSE))</f>
        <v>6.6265060240963902E-2</v>
      </c>
      <c r="BP32" s="470"/>
      <c r="BQ32" s="470"/>
      <c r="BR32" s="170"/>
      <c r="BS32" s="464">
        <f ca="1">IF(ISERROR(HLOOKUP(BS$24,Tulem!$A$5:$CF$140,$AA32,FALSE)),"",HLOOKUP(BS$24,Tulem!$A$5:$CF$140,$AA32,FALSE))</f>
        <v>0.41762821979641068</v>
      </c>
      <c r="BT32" s="464"/>
      <c r="BU32" s="464"/>
      <c r="BV32" s="170"/>
      <c r="BW32" s="469">
        <f ca="1">IF(ISERROR(HLOOKUP(BW$24,Tulem!$A$5:$CF$140,$AA32,FALSE)),"",HLOOKUP(BW$24,Tulem!$A$5:$CF$140,$AA32,FALSE))</f>
        <v>43.272900516795865</v>
      </c>
      <c r="BX32" s="469"/>
      <c r="BY32" s="469"/>
      <c r="BZ32" s="170"/>
      <c r="CA32" s="470">
        <f ca="1">IF(ISERROR(HLOOKUP(CA$24,Tulem!$A$5:$CF$140,$AA32,FALSE)),"",HLOOKUP(CA$24,Tulem!$A$5:$CF$140,$AA32,FALSE))</f>
        <v>9.3307678114868606E-2</v>
      </c>
      <c r="CB32" s="470"/>
      <c r="CC32" s="470"/>
      <c r="CD32" s="170"/>
      <c r="CE32" s="464">
        <f ca="1">IF(ISERROR(HLOOKUP(CE$24,Tulem!$A$5:$CF$140,$AA32,FALSE)),"",HLOOKUP(CE$24,Tulem!$A$5:$CF$140,$AA32,FALSE))</f>
        <v>0.51659368872597156</v>
      </c>
      <c r="CF32" s="464"/>
      <c r="CG32" s="464"/>
      <c r="CH32" s="170"/>
      <c r="CI32" s="469">
        <f ca="1">IF(ISERROR(HLOOKUP(CI$24,Tulem!$A$5:$CF$140,$AA32,FALSE)),"",HLOOKUP(CI$24,Tulem!$A$5:$CF$140,$AA32,FALSE))</f>
        <v>6.08</v>
      </c>
      <c r="CJ32" s="469"/>
      <c r="CK32" s="469"/>
      <c r="CL32" s="170"/>
      <c r="CM32" s="470">
        <f ca="1">IF(ISERROR(HLOOKUP(CM$24,Tulem!$A$5:$CF$140,$AA32,FALSE)),"",HLOOKUP(CM$24,Tulem!$A$5:$CF$140,$AA32,FALSE))</f>
        <v>1.5704517146665847E-2</v>
      </c>
      <c r="CN32" s="470"/>
      <c r="CO32" s="470"/>
      <c r="CP32" s="266"/>
      <c r="CQ32" s="470">
        <f ca="1">IF(ISERROR(HLOOKUP(CQ$24,Tulem!$A$5:$CF$140,$AA32,FALSE)),"",HLOOKUP(CQ$24,Tulem!$A$5:$CF$140,$AA32,FALSE))</f>
        <v>5.7861522028542292E-3</v>
      </c>
      <c r="CR32" s="470"/>
      <c r="CS32" s="470"/>
      <c r="CT32" s="266"/>
      <c r="CU32" s="470">
        <f ca="1">IF(ISERROR(HLOOKUP(CU$24,Tulem!$A$5:$CF$140,$AA32,FALSE)),"",HLOOKUP(CU$24,Tulem!$A$5:$CF$140,$AA32,FALSE))</f>
        <v>2.5770516830088963E-3</v>
      </c>
      <c r="CV32" s="470"/>
      <c r="CW32" s="470"/>
      <c r="CX32" s="170"/>
      <c r="CY32" s="470">
        <f ca="1">IF(ISERROR(HLOOKUP(CY$24,Tulem!$A$5:$CF$140,$AA32,FALSE)),"",HLOOKUP(CY$24,Tulem!$A$5:$CF$140,$AA32,FALSE))</f>
        <v>1.3248113808627037E-2</v>
      </c>
      <c r="CZ32" s="470"/>
      <c r="DA32" s="470"/>
      <c r="DB32" s="170"/>
      <c r="DC32" s="473">
        <f ca="1">IF(ISERROR(HLOOKUP(DC$24,Tulem!$A$5:$CF$140,$AA32,FALSE)),"",HLOOKUP(DC$24,Tulem!$A$5:$CF$140,$AA32,FALSE))</f>
        <v>7.5743156794471025</v>
      </c>
      <c r="DD32" s="473"/>
      <c r="DE32" s="473"/>
      <c r="DF32" s="171"/>
      <c r="DG32" s="481">
        <f ca="1">IF(ISERROR(HLOOKUP(DG$24,Tulem!$A$5:$CF$140,$AA32,FALSE)),"",HLOOKUP(DG$24,Tulem!$A$5:$CF$140,$AA32,FALSE))</f>
        <v>9912.7731572740686</v>
      </c>
      <c r="DH32" s="481"/>
      <c r="DI32" s="481"/>
      <c r="DJ32" s="171"/>
      <c r="DK32" s="473">
        <f ca="1">IF(ISERROR(HLOOKUP(DK$24,Tulem!$A$5:$CF$140,$AA32,FALSE)),"",HLOOKUP(DK$24,Tulem!$A$5:$CF$140,$AA32,FALSE))</f>
        <v>9.7629999999999999</v>
      </c>
      <c r="DL32" s="473"/>
      <c r="DM32" s="473"/>
      <c r="DN32" s="170"/>
      <c r="DO32" s="464">
        <f ca="1">IF(ISERROR(HLOOKUP(DO$24,Tulem!$A$5:$CF$140,$AA32,FALSE)),"",HLOOKUP(DO$24,Tulem!$A$5:$CF$140,$AA32,FALSE))</f>
        <v>-5.2811725469989391E-2</v>
      </c>
      <c r="DP32" s="464"/>
      <c r="DQ32" s="464"/>
      <c r="DR32" s="170"/>
      <c r="DS32" s="464">
        <f ca="1">IF(ISERROR(HLOOKUP(DS$24,Tulem!$A$5:$CF$140,$AA32,FALSE)),"",HLOOKUP(DS$24,Tulem!$A$5:$CF$140,$AA32,FALSE))</f>
        <v>-5.9790806986495262E-2</v>
      </c>
      <c r="DT32" s="464"/>
      <c r="DU32" s="464"/>
      <c r="DV32" s="170"/>
      <c r="DW32" s="464">
        <f ca="1">IF(ISERROR(HLOOKUP(DW$24,Tulem!$A$5:$CF$140,$AA32,FALSE)),"",HLOOKUP(DW$24,Tulem!$A$5:$CF$140,$AA32,FALSE))</f>
        <v>-8.2821978067298727E-2</v>
      </c>
      <c r="DX32" s="464"/>
      <c r="DY32" s="464"/>
      <c r="DZ32" s="170"/>
      <c r="EA32" s="469">
        <f ca="1">IF(ISERROR(HLOOKUP(EA$24,Tulem!$A$5:$CF$140,$AA32,FALSE)),"",HLOOKUP(EA$24,Tulem!$A$5:$CF$140,$AA32,FALSE))</f>
        <v>7.1502826922990277</v>
      </c>
      <c r="EB32" s="469"/>
      <c r="EC32" s="469"/>
      <c r="ED32" s="171"/>
      <c r="EE32" s="469">
        <f ca="1">IF(ISERROR(HLOOKUP(EE$24,Tulem!$A$5:$CF$140,$AA32,FALSE)),"",HLOOKUP(EE$24,Tulem!$A$5:$CF$140,$AA32,FALSE))</f>
        <v>4.9050000000000002</v>
      </c>
      <c r="EF32" s="469"/>
      <c r="EG32" s="469"/>
      <c r="EH32" s="170"/>
      <c r="EI32" s="469">
        <f ca="1">IF(ISERROR(HLOOKUP(EI$24,Tulem!$A$5:$CF$140,$AA32,FALSE)),"",HLOOKUP(EI$24,Tulem!$A$5:$CF$140,$AA32,FALSE))</f>
        <v>1.03788499063732</v>
      </c>
      <c r="EJ32" s="469"/>
      <c r="EK32" s="469"/>
      <c r="EL32" s="171"/>
      <c r="EM32" s="469">
        <f ca="1">IF(ISERROR(HLOOKUP(EM$24,Tulem!$A$5:$CF$140,$AA32,FALSE)),"",HLOOKUP(EM$24,Tulem!$A$5:$CF$140,$AA32,FALSE))</f>
        <v>16.465861099430587</v>
      </c>
      <c r="EN32" s="469"/>
      <c r="EO32" s="469"/>
      <c r="EP32" s="171"/>
      <c r="EQ32" s="469">
        <f ca="1">IF(ISERROR(HLOOKUP(EQ$24,Tulem!$A$5:$CF$140,$AA32,FALSE)),"",HLOOKUP(EQ$24,Tulem!$A$5:$CF$140,$AA32,FALSE))</f>
        <v>11.219077976340797</v>
      </c>
      <c r="ER32" s="469"/>
      <c r="ES32" s="469"/>
      <c r="ET32" s="170"/>
      <c r="EU32" s="469">
        <f ca="1">IF(ISERROR(HLOOKUP(EU$24,Tulem!$A$5:$CF$140,$AA32,FALSE)),"",HLOOKUP(EU$24,Tulem!$A$5:$CF$140,$AA32,FALSE))</f>
        <v>2.7478849906373197</v>
      </c>
      <c r="EV32" s="469"/>
      <c r="EW32" s="469"/>
      <c r="EX32" s="170"/>
      <c r="EY32" s="473">
        <f ca="1">IF(ISERROR(HLOOKUP(EY$24,Tulem!$A$5:$CF$140,$AA32,FALSE)),"",HLOOKUP(EY$24,Tulem!$A$5:$CF$140,$AA32,FALSE))</f>
        <v>68</v>
      </c>
      <c r="EZ32" s="473"/>
      <c r="FA32" s="473"/>
      <c r="FB32" s="171"/>
      <c r="FC32" s="469">
        <f ca="1">IF(ISERROR(HLOOKUP(FC$24,Tulem!$A$5:$CF$140,$AA32,FALSE)),"",HLOOKUP(FC$24,Tulem!$A$5:$CF$140,$AA32,FALSE))</f>
        <v>12.65</v>
      </c>
      <c r="FD32" s="469"/>
      <c r="FE32" s="469"/>
      <c r="FF32" s="170"/>
      <c r="FG32" s="473">
        <f ca="1">IF(ISERROR(HLOOKUP(FG$24,Tulem!$A$5:$CF$140,$AA32,FALSE)),"",HLOOKUP(FG$24,Tulem!$A$5:$CF$140,$AA32,FALSE))</f>
        <v>57.012500000000003</v>
      </c>
      <c r="FH32" s="473"/>
      <c r="FI32" s="473"/>
      <c r="FJ32" s="170"/>
      <c r="FK32" s="469">
        <f ca="1">IF(ISERROR(HLOOKUP(FK$24,Tulem!$A$5:$CF$140,$AA32,FALSE)),"",HLOOKUP(FK$24,Tulem!$A$5:$CF$140,$AA32,FALSE))</f>
        <v>4.613632</v>
      </c>
      <c r="FL32" s="469"/>
      <c r="FM32" s="469"/>
      <c r="FO32" s="473">
        <f ca="1">IF(ISERROR(HLOOKUP(FO$24,Tulem!$A$5:$CF$140,$AA32,FALSE)),"",HLOOKUP(FO$24,Tulem!$A$5:$CF$140,$AA32,FALSE))</f>
        <v>285</v>
      </c>
      <c r="FP32" s="473"/>
      <c r="FQ32" s="473"/>
      <c r="FS32" s="469">
        <f ca="1">IF(ISERROR(HLOOKUP(FS$24,Tulem!$A$5:$CF$140,$AA32,FALSE)),"",HLOOKUP(FS$24,Tulem!$A$5:$CF$140,$AA32,FALSE))</f>
        <v>2.7810000000000001</v>
      </c>
      <c r="FT32" s="469"/>
      <c r="FU32" s="469"/>
      <c r="FW32" s="476">
        <f ca="1">IF(ISERROR(HLOOKUP(FW$24,Tulem!$A$5:$CF$140,$AA32,FALSE)),"",HLOOKUP(FW$24,Tulem!$A$5:$CF$140,$AA32,FALSE))</f>
        <v>0.19900000000000001</v>
      </c>
      <c r="FX32" s="476"/>
      <c r="FY32" s="476"/>
      <c r="FZ32" s="327"/>
      <c r="GA32" s="476">
        <f ca="1">IF(ISERROR(HLOOKUP(GA$24,Tulem!$A$5:$CF$140,$AA32,FALSE)),"",HLOOKUP(GA$24,Tulem!$A$5:$CF$140,$AA32,FALSE))</f>
        <v>0.72299999999999998</v>
      </c>
      <c r="GB32" s="476"/>
      <c r="GC32" s="476"/>
      <c r="GE32" s="475">
        <f ca="1">IF(ISERROR(HLOOKUP(GE$24,Tulem!$A$5:$CF$140,$AA32,FALSE)),"",HLOOKUP(GE$24,Tulem!$A$5:$CF$140,$AA32,FALSE))</f>
        <v>574</v>
      </c>
      <c r="GF32" s="475"/>
      <c r="GG32" s="475"/>
      <c r="GI32" s="471" t="str">
        <f>IF(ISERROR(HLOOKUP(GI$24,Tulem!$A$5:$CF$140,$AA32,FALSE)),"",HLOOKUP(GI$24,Tulem!$A$5:$CF$140,$AA32,FALSE))</f>
        <v/>
      </c>
      <c r="GJ32" s="471"/>
      <c r="GK32" s="471"/>
      <c r="GM32" s="469" t="str">
        <f>IF(ISERROR(HLOOKUP(GM$24,Tulem!$A$5:$CF$140,$AA32,FALSE)),"",HLOOKUP(GM$24,Tulem!$A$5:$CF$140,$AA32,FALSE))</f>
        <v/>
      </c>
      <c r="GN32" s="469"/>
      <c r="GO32" s="469"/>
    </row>
    <row r="33" spans="1:197" s="50" customFormat="1" ht="14.5" customHeight="1" outlineLevel="1" x14ac:dyDescent="0.2">
      <c r="A33" s="499">
        <v>5</v>
      </c>
      <c r="B33" s="499"/>
      <c r="C33" s="499"/>
      <c r="D33" s="496" t="str">
        <f ca="1">IF(ISERROR(Tulem!E10),"",Tulem!E10)</f>
        <v>Sekkuv</v>
      </c>
      <c r="E33" s="496"/>
      <c r="F33" s="496"/>
      <c r="G33" s="496"/>
      <c r="I33" s="496" t="str">
        <f ca="1">IF(ISERROR(Tulem!D10),"",Tulem!D10)</f>
        <v>Sekkuv/EÜ</v>
      </c>
      <c r="J33" s="496"/>
      <c r="K33" s="496"/>
      <c r="L33" s="496"/>
      <c r="M33" s="496"/>
      <c r="P33" s="496" t="str">
        <f ca="1">IF(ISERROR(Tulem!G10),"",Tulem!G10)</f>
        <v>TE++</v>
      </c>
      <c r="Q33" s="496"/>
      <c r="R33" s="496"/>
      <c r="S33" s="496"/>
      <c r="T33" s="496"/>
      <c r="U33" s="496"/>
      <c r="V33" s="496" t="str">
        <f ca="1">IF(ISERROR(Tulem!F10),"",Tulem!F10)</f>
        <v>Vähe-sekkuv</v>
      </c>
      <c r="W33" s="496"/>
      <c r="X33" s="496"/>
      <c r="Y33" s="496"/>
      <c r="Z33" s="496"/>
      <c r="AA33" s="255">
        <v>6</v>
      </c>
      <c r="AB33" s="497">
        <f ca="1">IF(ISERROR(HLOOKUP(AB$24,Tulem!$A$5:$CF$140,$AA33,FALSE)),"",HLOOKUP(AB$24,Tulem!$A$5:$CF$140,$AA33,FALSE))</f>
        <v>11.131980127717581</v>
      </c>
      <c r="AC33" s="497"/>
      <c r="AD33" s="497"/>
      <c r="AE33" s="497"/>
      <c r="AF33" s="166"/>
      <c r="AG33" s="480">
        <f ca="1">IF(ISERROR(HLOOKUP(AG$24,Tulem!$A$5:$CF$140,$AA33,FALSE)),"",HLOOKUP(AG$24,Tulem!$A$5:$CF$140,$AA33,FALSE))</f>
        <v>504.62461225848671</v>
      </c>
      <c r="AH33" s="480"/>
      <c r="AI33" s="480"/>
      <c r="AJ33" s="480"/>
      <c r="AK33" s="167"/>
      <c r="AL33" s="480">
        <f ca="1">IF(ISERROR(HLOOKUP(AL$24,Tulem!$A$5:$CF$140,$AA33,FALSE)),"",HLOOKUP(AL$24,Tulem!$A$5:$CF$140,$AA33,FALSE))</f>
        <v>54.271315395282812</v>
      </c>
      <c r="AM33" s="480"/>
      <c r="AN33" s="480"/>
      <c r="AO33" s="480"/>
      <c r="AP33" s="168"/>
      <c r="AQ33" s="473">
        <f ca="1">IF(ISERROR(HLOOKUP(AQ$24,Tulem!$A$5:$CF$140,$AA33,FALSE)),"",HLOOKUP(AQ$24,Tulem!$A$5:$CF$140,$AA33,FALSE))</f>
        <v>-178.19071988063212</v>
      </c>
      <c r="AR33" s="473"/>
      <c r="AS33" s="473"/>
      <c r="AT33" s="168"/>
      <c r="AU33" s="473">
        <f ca="1">IF(ISERROR(HLOOKUP(AU$24,Tulem!$A$5:$CF$140,$AA33,FALSE)),"",HLOOKUP(AU$24,Tulem!$A$5:$CF$140,$AA33,FALSE))</f>
        <v>232.46203527591493</v>
      </c>
      <c r="AV33" s="473"/>
      <c r="AW33" s="473"/>
      <c r="AX33" s="169"/>
      <c r="AY33" s="473">
        <f ca="1">IF(ISERROR(HLOOKUP(AY$24,Tulem!$A$5:$CF$140,$AA33,FALSE)),"",HLOOKUP(AY$24,Tulem!$A$5:$CF$140,$AA33,FALSE))</f>
        <v>0</v>
      </c>
      <c r="AZ33" s="473"/>
      <c r="BA33" s="473"/>
      <c r="BB33" s="170"/>
      <c r="BC33" s="464">
        <f ca="1">IF(ISERROR(HLOOKUP(BC$24,Tulem!$A$5:$CF$140,$AA33,FALSE)),"",HLOOKUP(BC$24,Tulem!$A$5:$CF$140,$AA33,FALSE))</f>
        <v>0.57876561984549779</v>
      </c>
      <c r="BD33" s="464"/>
      <c r="BE33" s="464"/>
      <c r="BF33" s="170"/>
      <c r="BG33" s="489">
        <f ca="1">IF(ISERROR(HLOOKUP(BG$24,Tulem!$A$5:$CF$140,$AA33,FALSE)),"",HLOOKUP(BG$24,Tulem!$A$5:$CF$140,$AA33,FALSE))</f>
        <v>90</v>
      </c>
      <c r="BH33" s="489"/>
      <c r="BI33" s="489"/>
      <c r="BJ33" s="170"/>
      <c r="BK33" s="464">
        <f ca="1">IF(ISERROR(HLOOKUP(BK$24,Tulem!$A$5:$CF$140,$AA33,FALSE)),"",HLOOKUP(BK$24,Tulem!$A$5:$CF$140,$AA33,FALSE))</f>
        <v>0.72887234460741657</v>
      </c>
      <c r="BL33" s="464"/>
      <c r="BM33" s="464"/>
      <c r="BN33" s="170"/>
      <c r="BO33" s="470">
        <f ca="1">IF(ISERROR(HLOOKUP(BO$24,Tulem!$A$5:$CF$140,$AA33,FALSE)),"",HLOOKUP(BO$24,Tulem!$A$5:$CF$140,$AA33,FALSE))</f>
        <v>0.36609829488465395</v>
      </c>
      <c r="BP33" s="470"/>
      <c r="BQ33" s="470"/>
      <c r="BR33" s="170"/>
      <c r="BS33" s="464">
        <f ca="1">IF(ISERROR(HLOOKUP(BS$24,Tulem!$A$5:$CF$140,$AA33,FALSE)),"",HLOOKUP(BS$24,Tulem!$A$5:$CF$140,$AA33,FALSE))</f>
        <v>0.64611056303807113</v>
      </c>
      <c r="BT33" s="464"/>
      <c r="BU33" s="464"/>
      <c r="BV33" s="170"/>
      <c r="BW33" s="469">
        <f ca="1">IF(ISERROR(HLOOKUP(BW$24,Tulem!$A$5:$CF$140,$AA33,FALSE)),"",HLOOKUP(BW$24,Tulem!$A$5:$CF$140,$AA33,FALSE))</f>
        <v>38.866388888888892</v>
      </c>
      <c r="BX33" s="469"/>
      <c r="BY33" s="469"/>
      <c r="BZ33" s="170"/>
      <c r="CA33" s="470">
        <f ca="1">IF(ISERROR(HLOOKUP(CA$24,Tulem!$A$5:$CF$140,$AA33,FALSE)),"",HLOOKUP(CA$24,Tulem!$A$5:$CF$140,$AA33,FALSE))</f>
        <v>2.5620074329845279E-2</v>
      </c>
      <c r="CB33" s="470"/>
      <c r="CC33" s="470"/>
      <c r="CD33" s="170"/>
      <c r="CE33" s="464">
        <f ca="1">IF(ISERROR(HLOOKUP(CE$24,Tulem!$A$5:$CF$140,$AA33,FALSE)),"",HLOOKUP(CE$24,Tulem!$A$5:$CF$140,$AA33,FALSE))</f>
        <v>0.55518194882771377</v>
      </c>
      <c r="CF33" s="464"/>
      <c r="CG33" s="464"/>
      <c r="CH33" s="170"/>
      <c r="CI33" s="469">
        <f ca="1">IF(ISERROR(HLOOKUP(CI$24,Tulem!$A$5:$CF$140,$AA33,FALSE)),"",HLOOKUP(CI$24,Tulem!$A$5:$CF$140,$AA33,FALSE))</f>
        <v>10.67</v>
      </c>
      <c r="CJ33" s="469"/>
      <c r="CK33" s="469"/>
      <c r="CL33" s="170"/>
      <c r="CM33" s="470">
        <f ca="1">IF(ISERROR(HLOOKUP(CM$24,Tulem!$A$5:$CF$140,$AA33,FALSE)),"",HLOOKUP(CM$24,Tulem!$A$5:$CF$140,$AA33,FALSE))</f>
        <v>1.9523373776371703E-2</v>
      </c>
      <c r="CN33" s="470"/>
      <c r="CO33" s="470"/>
      <c r="CP33" s="266"/>
      <c r="CQ33" s="470">
        <f ca="1">IF(ISERROR(HLOOKUP(CQ$24,Tulem!$A$5:$CF$140,$AA33,FALSE)),"",HLOOKUP(CQ$24,Tulem!$A$5:$CF$140,$AA33,FALSE))</f>
        <v>3.1968664093014101E-3</v>
      </c>
      <c r="CR33" s="470"/>
      <c r="CS33" s="470"/>
      <c r="CT33" s="266"/>
      <c r="CU33" s="470">
        <f ca="1">IF(ISERROR(HLOOKUP(CU$24,Tulem!$A$5:$CF$140,$AA33,FALSE)),"",HLOOKUP(CU$24,Tulem!$A$5:$CF$140,$AA33,FALSE))</f>
        <v>3.1301767945774717E-3</v>
      </c>
      <c r="CV33" s="470"/>
      <c r="CW33" s="470"/>
      <c r="CX33" s="170"/>
      <c r="CY33" s="470">
        <f ca="1">IF(ISERROR(HLOOKUP(CY$24,Tulem!$A$5:$CF$140,$AA33,FALSE)),"",HLOOKUP(CY$24,Tulem!$A$5:$CF$140,$AA33,FALSE))</f>
        <v>1.6525135283015201E-2</v>
      </c>
      <c r="CZ33" s="470"/>
      <c r="DA33" s="470"/>
      <c r="DB33" s="170"/>
      <c r="DC33" s="473">
        <f ca="1">IF(ISERROR(HLOOKUP(DC$24,Tulem!$A$5:$CF$140,$AA33,FALSE)),"",HLOOKUP(DC$24,Tulem!$A$5:$CF$140,$AA33,FALSE))</f>
        <v>7.6038313570900957</v>
      </c>
      <c r="DD33" s="473"/>
      <c r="DE33" s="473"/>
      <c r="DF33" s="171"/>
      <c r="DG33" s="481">
        <f ca="1">IF(ISERROR(HLOOKUP(DG$24,Tulem!$A$5:$CF$140,$AA33,FALSE)),"",HLOOKUP(DG$24,Tulem!$A$5:$CF$140,$AA33,FALSE))</f>
        <v>10061.011486262587</v>
      </c>
      <c r="DH33" s="481"/>
      <c r="DI33" s="481"/>
      <c r="DJ33" s="171"/>
      <c r="DK33" s="473">
        <f ca="1">IF(ISERROR(HLOOKUP(DK$24,Tulem!$A$5:$CF$140,$AA33,FALSE)),"",HLOOKUP(DK$24,Tulem!$A$5:$CF$140,$AA33,FALSE))</f>
        <v>9.3079999999999998</v>
      </c>
      <c r="DL33" s="473"/>
      <c r="DM33" s="473"/>
      <c r="DN33" s="170"/>
      <c r="DO33" s="464">
        <f ca="1">IF(ISERROR(HLOOKUP(DO$24,Tulem!$A$5:$CF$140,$AA33,FALSE)),"",HLOOKUP(DO$24,Tulem!$A$5:$CF$140,$AA33,FALSE))</f>
        <v>-6.9057797429017853E-2</v>
      </c>
      <c r="DP33" s="464"/>
      <c r="DQ33" s="464"/>
      <c r="DR33" s="170"/>
      <c r="DS33" s="464">
        <f ca="1">IF(ISERROR(HLOOKUP(DS$24,Tulem!$A$5:$CF$140,$AA33,FALSE)),"",HLOOKUP(DS$24,Tulem!$A$5:$CF$140,$AA33,FALSE))</f>
        <v>-0.19833177977333061</v>
      </c>
      <c r="DT33" s="464"/>
      <c r="DU33" s="464"/>
      <c r="DV33" s="170"/>
      <c r="DW33" s="464">
        <f ca="1">IF(ISERROR(HLOOKUP(DW$24,Tulem!$A$5:$CF$140,$AA33,FALSE)),"",HLOOKUP(DW$24,Tulem!$A$5:$CF$140,$AA33,FALSE))</f>
        <v>-0.13101783945164222</v>
      </c>
      <c r="DX33" s="464"/>
      <c r="DY33" s="464"/>
      <c r="DZ33" s="170"/>
      <c r="EA33" s="469">
        <f ca="1">IF(ISERROR(HLOOKUP(EA$24,Tulem!$A$5:$CF$140,$AA33,FALSE)),"",HLOOKUP(EA$24,Tulem!$A$5:$CF$140,$AA33,FALSE))</f>
        <v>3.4793975506064014</v>
      </c>
      <c r="EB33" s="469"/>
      <c r="EC33" s="469"/>
      <c r="ED33" s="171"/>
      <c r="EE33" s="469">
        <f ca="1">IF(ISERROR(HLOOKUP(EE$24,Tulem!$A$5:$CF$140,$AA33,FALSE)),"",HLOOKUP(EE$24,Tulem!$A$5:$CF$140,$AA33,FALSE))</f>
        <v>1.177</v>
      </c>
      <c r="EF33" s="469"/>
      <c r="EG33" s="469"/>
      <c r="EH33" s="170"/>
      <c r="EI33" s="469">
        <f ca="1">IF(ISERROR(HLOOKUP(EI$24,Tulem!$A$5:$CF$140,$AA33,FALSE)),"",HLOOKUP(EI$24,Tulem!$A$5:$CF$140,$AA33,FALSE))</f>
        <v>1.4153849906373199</v>
      </c>
      <c r="EJ33" s="469"/>
      <c r="EK33" s="469"/>
      <c r="EL33" s="171"/>
      <c r="EM33" s="469">
        <f ca="1">IF(ISERROR(HLOOKUP(EM$24,Tulem!$A$5:$CF$140,$AA33,FALSE)),"",HLOOKUP(EM$24,Tulem!$A$5:$CF$140,$AA33,FALSE))</f>
        <v>16.029721793242818</v>
      </c>
      <c r="EN33" s="469"/>
      <c r="EO33" s="469"/>
      <c r="EP33" s="171"/>
      <c r="EQ33" s="469">
        <f ca="1">IF(ISERROR(HLOOKUP(EQ$24,Tulem!$A$5:$CF$140,$AA33,FALSE)),"",HLOOKUP(EQ$24,Tulem!$A$5:$CF$140,$AA33,FALSE))</f>
        <v>6.0056988012134216</v>
      </c>
      <c r="ER33" s="469"/>
      <c r="ES33" s="469"/>
      <c r="ET33" s="170"/>
      <c r="EU33" s="469">
        <f ca="1">IF(ISERROR(HLOOKUP(EU$24,Tulem!$A$5:$CF$140,$AA33,FALSE)),"",HLOOKUP(EU$24,Tulem!$A$5:$CF$140,$AA33,FALSE))</f>
        <v>1.7198849906373199</v>
      </c>
      <c r="EV33" s="469"/>
      <c r="EW33" s="469"/>
      <c r="EX33" s="170"/>
      <c r="EY33" s="473">
        <f ca="1">IF(ISERROR(HLOOKUP(EY$24,Tulem!$A$5:$CF$140,$AA33,FALSE)),"",HLOOKUP(EY$24,Tulem!$A$5:$CF$140,$AA33,FALSE))</f>
        <v>75.400000000000006</v>
      </c>
      <c r="EZ33" s="473"/>
      <c r="FA33" s="473"/>
      <c r="FB33" s="171"/>
      <c r="FC33" s="469">
        <f ca="1">IF(ISERROR(HLOOKUP(FC$24,Tulem!$A$5:$CF$140,$AA33,FALSE)),"",HLOOKUP(FC$24,Tulem!$A$5:$CF$140,$AA33,FALSE))</f>
        <v>8.6189999999999998</v>
      </c>
      <c r="FD33" s="469"/>
      <c r="FE33" s="469"/>
      <c r="FF33" s="170"/>
      <c r="FG33" s="473">
        <f ca="1">IF(ISERROR(HLOOKUP(FG$24,Tulem!$A$5:$CF$140,$AA33,FALSE)),"",HLOOKUP(FG$24,Tulem!$A$5:$CF$140,$AA33,FALSE))</f>
        <v>34.314166666666665</v>
      </c>
      <c r="FH33" s="473"/>
      <c r="FI33" s="473"/>
      <c r="FJ33" s="170"/>
      <c r="FK33" s="469">
        <f ca="1">IF(ISERROR(HLOOKUP(FK$24,Tulem!$A$5:$CF$140,$AA33,FALSE)),"",HLOOKUP(FK$24,Tulem!$A$5:$CF$140,$AA33,FALSE))</f>
        <v>3.676898</v>
      </c>
      <c r="FL33" s="469"/>
      <c r="FM33" s="469"/>
      <c r="FO33" s="473">
        <f ca="1">IF(ISERROR(HLOOKUP(FO$24,Tulem!$A$5:$CF$140,$AA33,FALSE)),"",HLOOKUP(FO$24,Tulem!$A$5:$CF$140,$AA33,FALSE))</f>
        <v>285.10000000000002</v>
      </c>
      <c r="FP33" s="473"/>
      <c r="FQ33" s="473"/>
      <c r="FS33" s="469">
        <f ca="1">IF(ISERROR(HLOOKUP(FS$24,Tulem!$A$5:$CF$140,$AA33,FALSE)),"",HLOOKUP(FS$24,Tulem!$A$5:$CF$140,$AA33,FALSE))</f>
        <v>2.7810000000000001</v>
      </c>
      <c r="FT33" s="469"/>
      <c r="FU33" s="469"/>
      <c r="FW33" s="476">
        <f ca="1">IF(ISERROR(HLOOKUP(FW$24,Tulem!$A$5:$CF$140,$AA33,FALSE)),"",HLOOKUP(FW$24,Tulem!$A$5:$CF$140,$AA33,FALSE))</f>
        <v>0.19900000000000001</v>
      </c>
      <c r="FX33" s="476"/>
      <c r="FY33" s="476"/>
      <c r="FZ33" s="327"/>
      <c r="GA33" s="476">
        <f ca="1">IF(ISERROR(HLOOKUP(GA$24,Tulem!$A$5:$CF$140,$AA33,FALSE)),"",HLOOKUP(GA$24,Tulem!$A$5:$CF$140,$AA33,FALSE))</f>
        <v>0.72299999999999998</v>
      </c>
      <c r="GB33" s="476"/>
      <c r="GC33" s="476"/>
      <c r="GE33" s="475">
        <f ca="1">IF(ISERROR(HLOOKUP(GE$24,Tulem!$A$5:$CF$140,$AA33,FALSE)),"",HLOOKUP(GE$24,Tulem!$A$5:$CF$140,$AA33,FALSE))</f>
        <v>584</v>
      </c>
      <c r="GF33" s="475"/>
      <c r="GG33" s="475"/>
      <c r="GI33" s="471" t="str">
        <f>IF(ISERROR(HLOOKUP(GI$24,Tulem!$A$5:$CF$140,$AA33,FALSE)),"",HLOOKUP(GI$24,Tulem!$A$5:$CF$140,$AA33,FALSE))</f>
        <v/>
      </c>
      <c r="GJ33" s="471"/>
      <c r="GK33" s="471"/>
      <c r="GM33" s="469" t="str">
        <f>IF(ISERROR(HLOOKUP(GM$24,Tulem!$A$5:$CF$140,$AA33,FALSE)),"",HLOOKUP(GM$24,Tulem!$A$5:$CF$140,$AA33,FALSE))</f>
        <v/>
      </c>
      <c r="GN33" s="469"/>
      <c r="GO33" s="469"/>
    </row>
    <row r="34" spans="1:197" s="50" customFormat="1" ht="14.5" customHeight="1" outlineLevel="1" x14ac:dyDescent="0.2">
      <c r="A34" s="499">
        <v>6</v>
      </c>
      <c r="B34" s="499"/>
      <c r="C34" s="499"/>
      <c r="D34" s="496" t="str">
        <f ca="1">IF(ISERROR(Tulem!E11),"",Tulem!E11)</f>
        <v>Sekkuv</v>
      </c>
      <c r="E34" s="496"/>
      <c r="F34" s="496"/>
      <c r="G34" s="496"/>
      <c r="I34" s="496" t="str">
        <f ca="1">IF(ISERROR(Tulem!D11),"",Tulem!D11)</f>
        <v>Sekkuv/EÜ</v>
      </c>
      <c r="J34" s="496"/>
      <c r="K34" s="496"/>
      <c r="L34" s="496"/>
      <c r="M34" s="496"/>
      <c r="P34" s="496" t="str">
        <f ca="1">IF(ISERROR(Tulem!G11),"",Tulem!G11)</f>
        <v>LIB</v>
      </c>
      <c r="Q34" s="496"/>
      <c r="R34" s="496"/>
      <c r="S34" s="496"/>
      <c r="T34" s="496"/>
      <c r="U34" s="496"/>
      <c r="V34" s="496" t="str">
        <f ca="1">IF(ISERROR(Tulem!F11),"",Tulem!F11)</f>
        <v>Sekkuv</v>
      </c>
      <c r="W34" s="496"/>
      <c r="X34" s="496"/>
      <c r="Y34" s="496"/>
      <c r="Z34" s="496"/>
      <c r="AA34" s="255">
        <v>7</v>
      </c>
      <c r="AB34" s="497">
        <f ca="1">IF(ISERROR(HLOOKUP(AB$24,Tulem!$A$5:$CF$140,$AA34,FALSE)),"",HLOOKUP(AB$24,Tulem!$A$5:$CF$140,$AA34,FALSE))</f>
        <v>7.4639793718541156</v>
      </c>
      <c r="AC34" s="497"/>
      <c r="AD34" s="497"/>
      <c r="AE34" s="497"/>
      <c r="AF34" s="166"/>
      <c r="AG34" s="480">
        <f ca="1">IF(ISERROR(HLOOKUP(AG$24,Tulem!$A$5:$CF$140,$AA34,FALSE)),"",HLOOKUP(AG$24,Tulem!$A$5:$CF$140,$AA34,FALSE))</f>
        <v>592.05709121628752</v>
      </c>
      <c r="AH34" s="480"/>
      <c r="AI34" s="480"/>
      <c r="AJ34" s="480"/>
      <c r="AK34" s="167"/>
      <c r="AL34" s="480">
        <f ca="1">IF(ISERROR(HLOOKUP(AL$24,Tulem!$A$5:$CF$140,$AA34,FALSE)),"",HLOOKUP(AL$24,Tulem!$A$5:$CF$140,$AA34,FALSE))</f>
        <v>57.433268853440438</v>
      </c>
      <c r="AM34" s="480"/>
      <c r="AN34" s="480"/>
      <c r="AO34" s="480"/>
      <c r="AP34" s="168"/>
      <c r="AQ34" s="473">
        <f ca="1">IF(ISERROR(HLOOKUP(AQ$24,Tulem!$A$5:$CF$140,$AA34,FALSE)),"",HLOOKUP(AQ$24,Tulem!$A$5:$CF$140,$AA34,FALSE))</f>
        <v>-197.29831369909104</v>
      </c>
      <c r="AR34" s="473"/>
      <c r="AS34" s="473"/>
      <c r="AT34" s="168"/>
      <c r="AU34" s="473">
        <f ca="1">IF(ISERROR(HLOOKUP(AU$24,Tulem!$A$5:$CF$140,$AA34,FALSE)),"",HLOOKUP(AU$24,Tulem!$A$5:$CF$140,$AA34,FALSE))</f>
        <v>254.73158255253148</v>
      </c>
      <c r="AV34" s="473"/>
      <c r="AW34" s="473"/>
      <c r="AX34" s="169"/>
      <c r="AY34" s="473">
        <f ca="1">IF(ISERROR(HLOOKUP(AY$24,Tulem!$A$5:$CF$140,$AA34,FALSE)),"",HLOOKUP(AY$24,Tulem!$A$5:$CF$140,$AA34,FALSE))</f>
        <v>0</v>
      </c>
      <c r="AZ34" s="473"/>
      <c r="BA34" s="473"/>
      <c r="BB34" s="170"/>
      <c r="BC34" s="464">
        <f ca="1">IF(ISERROR(HLOOKUP(BC$24,Tulem!$A$5:$CF$140,$AA34,FALSE)),"",HLOOKUP(BC$24,Tulem!$A$5:$CF$140,$AA34,FALSE))</f>
        <v>0.50399694699362874</v>
      </c>
      <c r="BD34" s="464"/>
      <c r="BE34" s="464"/>
      <c r="BF34" s="170"/>
      <c r="BG34" s="489">
        <f ca="1">IF(ISERROR(HLOOKUP(BG$24,Tulem!$A$5:$CF$140,$AA34,FALSE)),"",HLOOKUP(BG$24,Tulem!$A$5:$CF$140,$AA34,FALSE))</f>
        <v>90</v>
      </c>
      <c r="BH34" s="489"/>
      <c r="BI34" s="489"/>
      <c r="BJ34" s="170"/>
      <c r="BK34" s="464">
        <f ca="1">IF(ISERROR(HLOOKUP(BK$24,Tulem!$A$5:$CF$140,$AA34,FALSE)),"",HLOOKUP(BK$24,Tulem!$A$5:$CF$140,$AA34,FALSE))</f>
        <v>0.72887234460741646</v>
      </c>
      <c r="BL34" s="464"/>
      <c r="BM34" s="464"/>
      <c r="BN34" s="170"/>
      <c r="BO34" s="470">
        <f ca="1">IF(ISERROR(HLOOKUP(BO$24,Tulem!$A$5:$CF$140,$AA34,FALSE)),"",HLOOKUP(BO$24,Tulem!$A$5:$CF$140,$AA34,FALSE))</f>
        <v>0.27911646586345373</v>
      </c>
      <c r="BP34" s="470"/>
      <c r="BQ34" s="470"/>
      <c r="BR34" s="170"/>
      <c r="BS34" s="464">
        <f ca="1">IF(ISERROR(HLOOKUP(BS$24,Tulem!$A$5:$CF$140,$AA34,FALSE)),"",HLOOKUP(BS$24,Tulem!$A$5:$CF$140,$AA34,FALSE))</f>
        <v>0.36791956700630501</v>
      </c>
      <c r="BT34" s="464"/>
      <c r="BU34" s="464"/>
      <c r="BV34" s="170"/>
      <c r="BW34" s="469">
        <f ca="1">IF(ISERROR(HLOOKUP(BW$24,Tulem!$A$5:$CF$140,$AA34,FALSE)),"",HLOOKUP(BW$24,Tulem!$A$5:$CF$140,$AA34,FALSE))</f>
        <v>43.302900516795866</v>
      </c>
      <c r="BX34" s="469"/>
      <c r="BY34" s="469"/>
      <c r="BZ34" s="170"/>
      <c r="CA34" s="470">
        <f ca="1">IF(ISERROR(HLOOKUP(CA$24,Tulem!$A$5:$CF$140,$AA34,FALSE)),"",HLOOKUP(CA$24,Tulem!$A$5:$CF$140,$AA34,FALSE))</f>
        <v>2.5620074329845279E-2</v>
      </c>
      <c r="CB34" s="470"/>
      <c r="CC34" s="470"/>
      <c r="CD34" s="170"/>
      <c r="CE34" s="464">
        <f ca="1">IF(ISERROR(HLOOKUP(CE$24,Tulem!$A$5:$CF$140,$AA34,FALSE)),"",HLOOKUP(CE$24,Tulem!$A$5:$CF$140,$AA34,FALSE))</f>
        <v>0.447957193299102</v>
      </c>
      <c r="CF34" s="464"/>
      <c r="CG34" s="464"/>
      <c r="CH34" s="170"/>
      <c r="CI34" s="469">
        <f ca="1">IF(ISERROR(HLOOKUP(CI$24,Tulem!$A$5:$CF$140,$AA34,FALSE)),"",HLOOKUP(CI$24,Tulem!$A$5:$CF$140,$AA34,FALSE))</f>
        <v>6.08</v>
      </c>
      <c r="CJ34" s="469"/>
      <c r="CK34" s="469"/>
      <c r="CL34" s="170"/>
      <c r="CM34" s="470">
        <f ca="1">IF(ISERROR(HLOOKUP(CM$24,Tulem!$A$5:$CF$140,$AA34,FALSE)),"",HLOOKUP(CM$24,Tulem!$A$5:$CF$140,$AA34,FALSE))</f>
        <v>2.2988458620406115E-2</v>
      </c>
      <c r="CN34" s="470"/>
      <c r="CO34" s="470"/>
      <c r="CP34" s="266"/>
      <c r="CQ34" s="470">
        <f ca="1">IF(ISERROR(HLOOKUP(CQ$24,Tulem!$A$5:$CF$140,$AA34,FALSE)),"",HLOOKUP(CQ$24,Tulem!$A$5:$CF$140,$AA34,FALSE))</f>
        <v>3.9278295680382526E-3</v>
      </c>
      <c r="CR34" s="470"/>
      <c r="CS34" s="470"/>
      <c r="CT34" s="266"/>
      <c r="CU34" s="470">
        <f ca="1">IF(ISERROR(HLOOKUP(CU$24,Tulem!$A$5:$CF$140,$AA34,FALSE)),"",HLOOKUP(CU$24,Tulem!$A$5:$CF$140,$AA34,FALSE))</f>
        <v>4.7468294538898503E-3</v>
      </c>
      <c r="CV34" s="470"/>
      <c r="CW34" s="470"/>
      <c r="CX34" s="170"/>
      <c r="CY34" s="470">
        <f ca="1">IF(ISERROR(HLOOKUP(CY$24,Tulem!$A$5:$CF$140,$AA34,FALSE)),"",HLOOKUP(CY$24,Tulem!$A$5:$CF$140,$AA34,FALSE))</f>
        <v>1.8443863490071936E-2</v>
      </c>
      <c r="CZ34" s="470"/>
      <c r="DA34" s="470"/>
      <c r="DB34" s="170"/>
      <c r="DC34" s="473">
        <f ca="1">IF(ISERROR(HLOOKUP(DC$24,Tulem!$A$5:$CF$140,$AA34,FALSE)),"",HLOOKUP(DC$24,Tulem!$A$5:$CF$140,$AA34,FALSE))</f>
        <v>7.5609999999999999</v>
      </c>
      <c r="DD34" s="473"/>
      <c r="DE34" s="473"/>
      <c r="DF34" s="171"/>
      <c r="DG34" s="481">
        <f ca="1">IF(ISERROR(HLOOKUP(DG$24,Tulem!$A$5:$CF$140,$AA34,FALSE)),"",HLOOKUP(DG$24,Tulem!$A$5:$CF$140,$AA34,FALSE))</f>
        <v>12187.529827650869</v>
      </c>
      <c r="DH34" s="481"/>
      <c r="DI34" s="481"/>
      <c r="DJ34" s="171"/>
      <c r="DK34" s="473">
        <f ca="1">IF(ISERROR(HLOOKUP(DK$24,Tulem!$A$5:$CF$140,$AA34,FALSE)),"",HLOOKUP(DK$24,Tulem!$A$5:$CF$140,$AA34,FALSE))</f>
        <v>9.9949999999999992</v>
      </c>
      <c r="DL34" s="473"/>
      <c r="DM34" s="473"/>
      <c r="DN34" s="170"/>
      <c r="DO34" s="464">
        <f ca="1">IF(ISERROR(HLOOKUP(DO$24,Tulem!$A$5:$CF$140,$AA34,FALSE)),"",HLOOKUP(DO$24,Tulem!$A$5:$CF$140,$AA34,FALSE))</f>
        <v>-4.4633590055617761E-2</v>
      </c>
      <c r="DP34" s="464"/>
      <c r="DQ34" s="464"/>
      <c r="DR34" s="170"/>
      <c r="DS34" s="464">
        <f ca="1">IF(ISERROR(HLOOKUP(DS$24,Tulem!$A$5:$CF$140,$AA34,FALSE)),"",HLOOKUP(DS$24,Tulem!$A$5:$CF$140,$AA34,FALSE))</f>
        <v>-5.6886451781157449E-2</v>
      </c>
      <c r="DT34" s="464"/>
      <c r="DU34" s="464"/>
      <c r="DV34" s="170"/>
      <c r="DW34" s="464">
        <f ca="1">IF(ISERROR(HLOOKUP(DW$24,Tulem!$A$5:$CF$140,$AA34,FALSE)),"",HLOOKUP(DW$24,Tulem!$A$5:$CF$140,$AA34,FALSE))</f>
        <v>-8.0572868854812421E-2</v>
      </c>
      <c r="DX34" s="464"/>
      <c r="DY34" s="464"/>
      <c r="DZ34" s="170"/>
      <c r="EA34" s="469">
        <f ca="1">IF(ISERROR(HLOOKUP(EA$24,Tulem!$A$5:$CF$140,$AA34,FALSE)),"",HLOOKUP(EA$24,Tulem!$A$5:$CF$140,$AA34,FALSE))</f>
        <v>7.1506303115986807</v>
      </c>
      <c r="EB34" s="469"/>
      <c r="EC34" s="469"/>
      <c r="ED34" s="171"/>
      <c r="EE34" s="469">
        <f ca="1">IF(ISERROR(HLOOKUP(EE$24,Tulem!$A$5:$CF$140,$AA34,FALSE)),"",HLOOKUP(EE$24,Tulem!$A$5:$CF$140,$AA34,FALSE))</f>
        <v>4.9059999999999997</v>
      </c>
      <c r="EF34" s="469"/>
      <c r="EG34" s="469"/>
      <c r="EH34" s="170"/>
      <c r="EI34" s="469">
        <f ca="1">IF(ISERROR(HLOOKUP(EI$24,Tulem!$A$5:$CF$140,$AA34,FALSE)),"",HLOOKUP(EI$24,Tulem!$A$5:$CF$140,$AA34,FALSE))</f>
        <v>1.62408499063732</v>
      </c>
      <c r="EJ34" s="469"/>
      <c r="EK34" s="469"/>
      <c r="EL34" s="171"/>
      <c r="EM34" s="469">
        <f ca="1">IF(ISERROR(HLOOKUP(EM$24,Tulem!$A$5:$CF$140,$AA34,FALSE)),"",HLOOKUP(EM$24,Tulem!$A$5:$CF$140,$AA34,FALSE))</f>
        <v>16.46</v>
      </c>
      <c r="EN34" s="469"/>
      <c r="EO34" s="469"/>
      <c r="EP34" s="171"/>
      <c r="EQ34" s="469">
        <f ca="1">IF(ISERROR(HLOOKUP(EQ$24,Tulem!$A$5:$CF$140,$AA34,FALSE)),"",HLOOKUP(EQ$24,Tulem!$A$5:$CF$140,$AA34,FALSE))</f>
        <v>11.220496548433506</v>
      </c>
      <c r="ER34" s="469"/>
      <c r="ES34" s="469"/>
      <c r="ET34" s="170"/>
      <c r="EU34" s="469">
        <f ca="1">IF(ISERROR(HLOOKUP(EU$24,Tulem!$A$5:$CF$140,$AA34,FALSE)),"",HLOOKUP(EU$24,Tulem!$A$5:$CF$140,$AA34,FALSE))</f>
        <v>2.7248849906373196</v>
      </c>
      <c r="EV34" s="469"/>
      <c r="EW34" s="469"/>
      <c r="EX34" s="170"/>
      <c r="EY34" s="473">
        <f ca="1">IF(ISERROR(HLOOKUP(EY$24,Tulem!$A$5:$CF$140,$AA34,FALSE)),"",HLOOKUP(EY$24,Tulem!$A$5:$CF$140,$AA34,FALSE))</f>
        <v>69</v>
      </c>
      <c r="EZ34" s="473"/>
      <c r="FA34" s="473"/>
      <c r="FB34" s="171"/>
      <c r="FC34" s="469">
        <f ca="1">IF(ISERROR(HLOOKUP(FC$24,Tulem!$A$5:$CF$140,$AA34,FALSE)),"",HLOOKUP(FC$24,Tulem!$A$5:$CF$140,$AA34,FALSE))</f>
        <v>12.974</v>
      </c>
      <c r="FD34" s="469"/>
      <c r="FE34" s="469"/>
      <c r="FF34" s="170"/>
      <c r="FG34" s="473">
        <f ca="1">IF(ISERROR(HLOOKUP(FG$24,Tulem!$A$5:$CF$140,$AA34,FALSE)),"",HLOOKUP(FG$24,Tulem!$A$5:$CF$140,$AA34,FALSE))</f>
        <v>58.247500000000002</v>
      </c>
      <c r="FH34" s="473"/>
      <c r="FI34" s="473"/>
      <c r="FJ34" s="170"/>
      <c r="FK34" s="469">
        <f ca="1">IF(ISERROR(HLOOKUP(FK$24,Tulem!$A$5:$CF$140,$AA34,FALSE)),"",HLOOKUP(FK$24,Tulem!$A$5:$CF$140,$AA34,FALSE))</f>
        <v>4.7186810000000001</v>
      </c>
      <c r="FL34" s="469"/>
      <c r="FM34" s="469"/>
      <c r="FO34" s="473">
        <f ca="1">IF(ISERROR(HLOOKUP(FO$24,Tulem!$A$5:$CF$140,$AA34,FALSE)),"",HLOOKUP(FO$24,Tulem!$A$5:$CF$140,$AA34,FALSE))</f>
        <v>285</v>
      </c>
      <c r="FP34" s="473"/>
      <c r="FQ34" s="473"/>
      <c r="FS34" s="469">
        <f ca="1">IF(ISERROR(HLOOKUP(FS$24,Tulem!$A$5:$CF$140,$AA34,FALSE)),"",HLOOKUP(FS$24,Tulem!$A$5:$CF$140,$AA34,FALSE))</f>
        <v>2.7810000000000001</v>
      </c>
      <c r="FT34" s="469"/>
      <c r="FU34" s="469"/>
      <c r="FW34" s="476">
        <f ca="1">IF(ISERROR(HLOOKUP(FW$24,Tulem!$A$5:$CF$140,$AA34,FALSE)),"",HLOOKUP(FW$24,Tulem!$A$5:$CF$140,$AA34,FALSE))</f>
        <v>0.19900000000000001</v>
      </c>
      <c r="FX34" s="476"/>
      <c r="FY34" s="476"/>
      <c r="FZ34" s="327"/>
      <c r="GA34" s="476">
        <f ca="1">IF(ISERROR(HLOOKUP(GA$24,Tulem!$A$5:$CF$140,$AA34,FALSE)),"",HLOOKUP(GA$24,Tulem!$A$5:$CF$140,$AA34,FALSE))</f>
        <v>0.72299999999999998</v>
      </c>
      <c r="GB34" s="476"/>
      <c r="GC34" s="476"/>
      <c r="GE34" s="475">
        <f ca="1">IF(ISERROR(HLOOKUP(GE$24,Tulem!$A$5:$CF$140,$AA34,FALSE)),"",HLOOKUP(GE$24,Tulem!$A$5:$CF$140,$AA34,FALSE))</f>
        <v>598</v>
      </c>
      <c r="GF34" s="475"/>
      <c r="GG34" s="475"/>
      <c r="GI34" s="471" t="str">
        <f>IF(ISERROR(HLOOKUP(GI$24,Tulem!$A$5:$CF$140,$AA34,FALSE)),"",HLOOKUP(GI$24,Tulem!$A$5:$CF$140,$AA34,FALSE))</f>
        <v/>
      </c>
      <c r="GJ34" s="471"/>
      <c r="GK34" s="471"/>
      <c r="GM34" s="469" t="str">
        <f>IF(ISERROR(HLOOKUP(GM$24,Tulem!$A$5:$CF$140,$AA34,FALSE)),"",HLOOKUP(GM$24,Tulem!$A$5:$CF$140,$AA34,FALSE))</f>
        <v/>
      </c>
      <c r="GN34" s="469"/>
      <c r="GO34" s="469"/>
    </row>
    <row r="35" spans="1:197" s="50" customFormat="1" ht="14.5" customHeight="1" outlineLevel="1" x14ac:dyDescent="0.2">
      <c r="A35" s="499">
        <v>7</v>
      </c>
      <c r="B35" s="499"/>
      <c r="C35" s="499"/>
      <c r="D35" s="496" t="str">
        <f ca="1">IF(ISERROR(Tulem!E12),"",Tulem!E12)</f>
        <v>Sekkuv</v>
      </c>
      <c r="E35" s="496"/>
      <c r="F35" s="496"/>
      <c r="G35" s="496"/>
      <c r="I35" s="496" t="str">
        <f ca="1">IF(ISERROR(Tulem!D12),"",Tulem!D12)</f>
        <v>Sekkuv/EÜ</v>
      </c>
      <c r="J35" s="496"/>
      <c r="K35" s="496"/>
      <c r="L35" s="496"/>
      <c r="M35" s="496"/>
      <c r="P35" s="496" t="str">
        <f ca="1">IF(ISERROR(Tulem!G12),"",Tulem!G12)</f>
        <v>LIB+</v>
      </c>
      <c r="Q35" s="496"/>
      <c r="R35" s="496"/>
      <c r="S35" s="496"/>
      <c r="T35" s="496"/>
      <c r="U35" s="496"/>
      <c r="V35" s="496" t="str">
        <f ca="1">IF(ISERROR(Tulem!F12),"",Tulem!F12)</f>
        <v>Sekkuv</v>
      </c>
      <c r="W35" s="496"/>
      <c r="X35" s="496"/>
      <c r="Y35" s="496"/>
      <c r="Z35" s="496"/>
      <c r="AA35" s="255">
        <v>8</v>
      </c>
      <c r="AB35" s="497">
        <f ca="1">IF(ISERROR(HLOOKUP(AB$24,Tulem!$A$5:$CF$140,$AA35,FALSE)),"",HLOOKUP(AB$24,Tulem!$A$5:$CF$140,$AA35,FALSE))</f>
        <v>7.4673992044735735</v>
      </c>
      <c r="AC35" s="497"/>
      <c r="AD35" s="497"/>
      <c r="AE35" s="497"/>
      <c r="AF35" s="166"/>
      <c r="AG35" s="480">
        <f ca="1">IF(ISERROR(HLOOKUP(AG$24,Tulem!$A$5:$CF$140,$AA35,FALSE)),"",HLOOKUP(AG$24,Tulem!$A$5:$CF$140,$AA35,FALSE))</f>
        <v>592.64071053277144</v>
      </c>
      <c r="AH35" s="480"/>
      <c r="AI35" s="480"/>
      <c r="AJ35" s="480"/>
      <c r="AK35" s="167"/>
      <c r="AL35" s="480">
        <f ca="1">IF(ISERROR(HLOOKUP(AL$24,Tulem!$A$5:$CF$140,$AA35,FALSE)),"",HLOOKUP(AL$24,Tulem!$A$5:$CF$140,$AA35,FALSE))</f>
        <v>57.630673608114023</v>
      </c>
      <c r="AM35" s="480"/>
      <c r="AN35" s="480"/>
      <c r="AO35" s="480"/>
      <c r="AP35" s="168"/>
      <c r="AQ35" s="473">
        <f ca="1">IF(ISERROR(HLOOKUP(AQ$24,Tulem!$A$5:$CF$140,$AA35,FALSE)),"",HLOOKUP(AQ$24,Tulem!$A$5:$CF$140,$AA35,FALSE))</f>
        <v>-197.29831369909104</v>
      </c>
      <c r="AR35" s="473"/>
      <c r="AS35" s="473"/>
      <c r="AT35" s="168"/>
      <c r="AU35" s="473">
        <f ca="1">IF(ISERROR(HLOOKUP(AU$24,Tulem!$A$5:$CF$140,$AA35,FALSE)),"",HLOOKUP(AU$24,Tulem!$A$5:$CF$140,$AA35,FALSE))</f>
        <v>254.92898730720506</v>
      </c>
      <c r="AV35" s="473"/>
      <c r="AW35" s="473"/>
      <c r="AX35" s="169"/>
      <c r="AY35" s="473">
        <f ca="1">IF(ISERROR(HLOOKUP(AY$24,Tulem!$A$5:$CF$140,$AA35,FALSE)),"",HLOOKUP(AY$24,Tulem!$A$5:$CF$140,$AA35,FALSE))</f>
        <v>0</v>
      </c>
      <c r="AZ35" s="473"/>
      <c r="BA35" s="473"/>
      <c r="BB35" s="170"/>
      <c r="BC35" s="464">
        <f ca="1">IF(ISERROR(HLOOKUP(BC$24,Tulem!$A$5:$CF$140,$AA35,FALSE)),"",HLOOKUP(BC$24,Tulem!$A$5:$CF$140,$AA35,FALSE))</f>
        <v>0.50411146323407641</v>
      </c>
      <c r="BD35" s="464"/>
      <c r="BE35" s="464"/>
      <c r="BF35" s="170"/>
      <c r="BG35" s="489">
        <f ca="1">IF(ISERROR(HLOOKUP(BG$24,Tulem!$A$5:$CF$140,$AA35,FALSE)),"",HLOOKUP(BG$24,Tulem!$A$5:$CF$140,$AA35,FALSE))</f>
        <v>90</v>
      </c>
      <c r="BH35" s="489"/>
      <c r="BI35" s="489"/>
      <c r="BJ35" s="170"/>
      <c r="BK35" s="464">
        <f ca="1">IF(ISERROR(HLOOKUP(BK$24,Tulem!$A$5:$CF$140,$AA35,FALSE)),"",HLOOKUP(BK$24,Tulem!$A$5:$CF$140,$AA35,FALSE))</f>
        <v>0.72887234460741646</v>
      </c>
      <c r="BL35" s="464"/>
      <c r="BM35" s="464"/>
      <c r="BN35" s="170"/>
      <c r="BO35" s="470">
        <f ca="1">IF(ISERROR(HLOOKUP(BO$24,Tulem!$A$5:$CF$140,$AA35,FALSE)),"",HLOOKUP(BO$24,Tulem!$A$5:$CF$140,$AA35,FALSE))</f>
        <v>0.27911646586345373</v>
      </c>
      <c r="BP35" s="470"/>
      <c r="BQ35" s="470"/>
      <c r="BR35" s="170"/>
      <c r="BS35" s="464">
        <f ca="1">IF(ISERROR(HLOOKUP(BS$24,Tulem!$A$5:$CF$140,$AA35,FALSE)),"",HLOOKUP(BS$24,Tulem!$A$5:$CF$140,$AA35,FALSE))</f>
        <v>0.3678346224372237</v>
      </c>
      <c r="BT35" s="464"/>
      <c r="BU35" s="464"/>
      <c r="BV35" s="170"/>
      <c r="BW35" s="469">
        <f ca="1">IF(ISERROR(HLOOKUP(BW$24,Tulem!$A$5:$CF$140,$AA35,FALSE)),"",HLOOKUP(BW$24,Tulem!$A$5:$CF$140,$AA35,FALSE))</f>
        <v>43.312900516795864</v>
      </c>
      <c r="BX35" s="469"/>
      <c r="BY35" s="469"/>
      <c r="BZ35" s="170"/>
      <c r="CA35" s="470">
        <f ca="1">IF(ISERROR(HLOOKUP(CA$24,Tulem!$A$5:$CF$140,$AA35,FALSE)),"",HLOOKUP(CA$24,Tulem!$A$5:$CF$140,$AA35,FALSE))</f>
        <v>2.5620074329845279E-2</v>
      </c>
      <c r="CB35" s="470"/>
      <c r="CC35" s="470"/>
      <c r="CD35" s="170"/>
      <c r="CE35" s="464">
        <f ca="1">IF(ISERROR(HLOOKUP(CE$24,Tulem!$A$5:$CF$140,$AA35,FALSE)),"",HLOOKUP(CE$24,Tulem!$A$5:$CF$140,$AA35,FALSE))</f>
        <v>0.447957193299102</v>
      </c>
      <c r="CF35" s="464"/>
      <c r="CG35" s="464"/>
      <c r="CH35" s="170"/>
      <c r="CI35" s="469">
        <f ca="1">IF(ISERROR(HLOOKUP(CI$24,Tulem!$A$5:$CF$140,$AA35,FALSE)),"",HLOOKUP(CI$24,Tulem!$A$5:$CF$140,$AA35,FALSE))</f>
        <v>6.08</v>
      </c>
      <c r="CJ35" s="469"/>
      <c r="CK35" s="469"/>
      <c r="CL35" s="170"/>
      <c r="CM35" s="470">
        <f ca="1">IF(ISERROR(HLOOKUP(CM$24,Tulem!$A$5:$CF$140,$AA35,FALSE)),"",HLOOKUP(CM$24,Tulem!$A$5:$CF$140,$AA35,FALSE))</f>
        <v>2.3027319396337956E-2</v>
      </c>
      <c r="CN35" s="470"/>
      <c r="CO35" s="470"/>
      <c r="CP35" s="266"/>
      <c r="CQ35" s="470">
        <f ca="1">IF(ISERROR(HLOOKUP(CQ$24,Tulem!$A$5:$CF$140,$AA35,FALSE)),"",HLOOKUP(CQ$24,Tulem!$A$5:$CF$140,$AA35,FALSE))</f>
        <v>3.8950770360724413E-3</v>
      </c>
      <c r="CR35" s="470"/>
      <c r="CS35" s="470"/>
      <c r="CT35" s="266"/>
      <c r="CU35" s="470">
        <f ca="1">IF(ISERROR(HLOOKUP(CU$24,Tulem!$A$5:$CF$140,$AA35,FALSE)),"",HLOOKUP(CU$24,Tulem!$A$5:$CF$140,$AA35,FALSE))</f>
        <v>4.7638269510273112E-3</v>
      </c>
      <c r="CV35" s="470"/>
      <c r="CW35" s="470"/>
      <c r="CX35" s="170"/>
      <c r="CY35" s="470">
        <f ca="1">IF(ISERROR(HLOOKUP(CY$24,Tulem!$A$5:$CF$140,$AA35,FALSE)),"",HLOOKUP(CY$24,Tulem!$A$5:$CF$140,$AA35,FALSE))</f>
        <v>1.8465729278375448E-2</v>
      </c>
      <c r="CZ35" s="470"/>
      <c r="DA35" s="470"/>
      <c r="DB35" s="170"/>
      <c r="DC35" s="473">
        <f ca="1">IF(ISERROR(HLOOKUP(DC$24,Tulem!$A$5:$CF$140,$AA35,FALSE)),"",HLOOKUP(DC$24,Tulem!$A$5:$CF$140,$AA35,FALSE))</f>
        <v>7.5717605777489068</v>
      </c>
      <c r="DD35" s="473"/>
      <c r="DE35" s="473"/>
      <c r="DF35" s="171"/>
      <c r="DG35" s="481">
        <f ca="1">IF(ISERROR(HLOOKUP(DG$24,Tulem!$A$5:$CF$140,$AA35,FALSE)),"",HLOOKUP(DG$24,Tulem!$A$5:$CF$140,$AA35,FALSE))</f>
        <v>12189.313767545531</v>
      </c>
      <c r="DH35" s="481"/>
      <c r="DI35" s="481"/>
      <c r="DJ35" s="171"/>
      <c r="DK35" s="473">
        <f ca="1">IF(ISERROR(HLOOKUP(DK$24,Tulem!$A$5:$CF$140,$AA35,FALSE)),"",HLOOKUP(DK$24,Tulem!$A$5:$CF$140,$AA35,FALSE))</f>
        <v>9.9949999999999992</v>
      </c>
      <c r="DL35" s="473"/>
      <c r="DM35" s="473"/>
      <c r="DN35" s="170"/>
      <c r="DO35" s="464">
        <f ca="1">IF(ISERROR(HLOOKUP(DO$24,Tulem!$A$5:$CF$140,$AA35,FALSE)),"",HLOOKUP(DO$24,Tulem!$A$5:$CF$140,$AA35,FALSE))</f>
        <v>-4.4615093204880732E-2</v>
      </c>
      <c r="DP35" s="464"/>
      <c r="DQ35" s="464"/>
      <c r="DR35" s="170"/>
      <c r="DS35" s="464">
        <f ca="1">IF(ISERROR(HLOOKUP(DS$24,Tulem!$A$5:$CF$140,$AA35,FALSE)),"",HLOOKUP(DS$24,Tulem!$A$5:$CF$140,$AA35,FALSE))</f>
        <v>-5.6865591496040487E-2</v>
      </c>
      <c r="DT35" s="464"/>
      <c r="DU35" s="464"/>
      <c r="DV35" s="170"/>
      <c r="DW35" s="464">
        <f ca="1">IF(ISERROR(HLOOKUP(DW$24,Tulem!$A$5:$CF$140,$AA35,FALSE)),"",HLOOKUP(DW$24,Tulem!$A$5:$CF$140,$AA35,FALSE))</f>
        <v>-8.053480666007512E-2</v>
      </c>
      <c r="DX35" s="464"/>
      <c r="DY35" s="464"/>
      <c r="DZ35" s="170"/>
      <c r="EA35" s="469">
        <f ca="1">IF(ISERROR(HLOOKUP(EA$24,Tulem!$A$5:$CF$140,$AA35,FALSE)),"",HLOOKUP(EA$24,Tulem!$A$5:$CF$140,$AA35,FALSE))</f>
        <v>7.1831111109201009</v>
      </c>
      <c r="EB35" s="469"/>
      <c r="EC35" s="469"/>
      <c r="ED35" s="171"/>
      <c r="EE35" s="469">
        <f ca="1">IF(ISERROR(HLOOKUP(EE$24,Tulem!$A$5:$CF$140,$AA35,FALSE)),"",HLOOKUP(EE$24,Tulem!$A$5:$CF$140,$AA35,FALSE))</f>
        <v>4.9379999999999997</v>
      </c>
      <c r="EF35" s="469"/>
      <c r="EG35" s="469"/>
      <c r="EH35" s="170"/>
      <c r="EI35" s="469">
        <f ca="1">IF(ISERROR(HLOOKUP(EI$24,Tulem!$A$5:$CF$140,$AA35,FALSE)),"",HLOOKUP(EI$24,Tulem!$A$5:$CF$140,$AA35,FALSE))</f>
        <v>1.62408499063732</v>
      </c>
      <c r="EJ35" s="469"/>
      <c r="EK35" s="469"/>
      <c r="EL35" s="171"/>
      <c r="EM35" s="469">
        <f ca="1">IF(ISERROR(HLOOKUP(EM$24,Tulem!$A$5:$CF$140,$AA35,FALSE)),"",HLOOKUP(EM$24,Tulem!$A$5:$CF$140,$AA35,FALSE))</f>
        <v>16.462578011574536</v>
      </c>
      <c r="EN35" s="469"/>
      <c r="EO35" s="469"/>
      <c r="EP35" s="171"/>
      <c r="EQ35" s="469">
        <f ca="1">IF(ISERROR(HLOOKUP(EQ$24,Tulem!$A$5:$CF$140,$AA35,FALSE)),"",HLOOKUP(EQ$24,Tulem!$A$5:$CF$140,$AA35,FALSE))</f>
        <v>11.219077976340797</v>
      </c>
      <c r="ER35" s="469"/>
      <c r="ES35" s="469"/>
      <c r="ET35" s="170"/>
      <c r="EU35" s="469">
        <f ca="1">IF(ISERROR(HLOOKUP(EU$24,Tulem!$A$5:$CF$140,$AA35,FALSE)),"",HLOOKUP(EU$24,Tulem!$A$5:$CF$140,$AA35,FALSE))</f>
        <v>3.4398849906373199</v>
      </c>
      <c r="EV35" s="469"/>
      <c r="EW35" s="469"/>
      <c r="EX35" s="170"/>
      <c r="EY35" s="473">
        <f ca="1">IF(ISERROR(HLOOKUP(EY$24,Tulem!$A$5:$CF$140,$AA35,FALSE)),"",HLOOKUP(EY$24,Tulem!$A$5:$CF$140,$AA35,FALSE))</f>
        <v>69</v>
      </c>
      <c r="EZ35" s="473"/>
      <c r="FA35" s="473"/>
      <c r="FB35" s="171"/>
      <c r="FC35" s="469">
        <f ca="1">IF(ISERROR(HLOOKUP(FC$24,Tulem!$A$5:$CF$140,$AA35,FALSE)),"",HLOOKUP(FC$24,Tulem!$A$5:$CF$140,$AA35,FALSE))</f>
        <v>12.976000000000001</v>
      </c>
      <c r="FD35" s="469"/>
      <c r="FE35" s="469"/>
      <c r="FF35" s="170"/>
      <c r="FG35" s="473">
        <f ca="1">IF(ISERROR(HLOOKUP(FG$24,Tulem!$A$5:$CF$140,$AA35,FALSE)),"",HLOOKUP(FG$24,Tulem!$A$5:$CF$140,$AA35,FALSE))</f>
        <v>58.254999999999995</v>
      </c>
      <c r="FH35" s="473"/>
      <c r="FI35" s="473"/>
      <c r="FJ35" s="170"/>
      <c r="FK35" s="469">
        <f ca="1">IF(ISERROR(HLOOKUP(FK$24,Tulem!$A$5:$CF$140,$AA35,FALSE)),"",HLOOKUP(FK$24,Tulem!$A$5:$CF$140,$AA35,FALSE))</f>
        <v>4.7192499999999997</v>
      </c>
      <c r="FL35" s="469"/>
      <c r="FM35" s="469"/>
      <c r="FO35" s="473">
        <f ca="1">IF(ISERROR(HLOOKUP(FO$24,Tulem!$A$5:$CF$140,$AA35,FALSE)),"",HLOOKUP(FO$24,Tulem!$A$5:$CF$140,$AA35,FALSE))</f>
        <v>285</v>
      </c>
      <c r="FP35" s="473"/>
      <c r="FQ35" s="473"/>
      <c r="FS35" s="469">
        <f ca="1">IF(ISERROR(HLOOKUP(FS$24,Tulem!$A$5:$CF$140,$AA35,FALSE)),"",HLOOKUP(FS$24,Tulem!$A$5:$CF$140,$AA35,FALSE))</f>
        <v>2.7810000000000001</v>
      </c>
      <c r="FT35" s="469"/>
      <c r="FU35" s="469"/>
      <c r="FW35" s="476">
        <f ca="1">IF(ISERROR(HLOOKUP(FW$24,Tulem!$A$5:$CF$140,$AA35,FALSE)),"",HLOOKUP(FW$24,Tulem!$A$5:$CF$140,$AA35,FALSE))</f>
        <v>0.19900000000000001</v>
      </c>
      <c r="FX35" s="476"/>
      <c r="FY35" s="476"/>
      <c r="FZ35" s="327"/>
      <c r="GA35" s="476">
        <f ca="1">IF(ISERROR(HLOOKUP(GA$24,Tulem!$A$5:$CF$140,$AA35,FALSE)),"",HLOOKUP(GA$24,Tulem!$A$5:$CF$140,$AA35,FALSE))</f>
        <v>0.72299999999999998</v>
      </c>
      <c r="GB35" s="476"/>
      <c r="GC35" s="476"/>
      <c r="GE35" s="475">
        <f ca="1">IF(ISERROR(HLOOKUP(GE$24,Tulem!$A$5:$CF$140,$AA35,FALSE)),"",HLOOKUP(GE$24,Tulem!$A$5:$CF$140,$AA35,FALSE))</f>
        <v>603</v>
      </c>
      <c r="GF35" s="475"/>
      <c r="GG35" s="475"/>
      <c r="GI35" s="471" t="str">
        <f>IF(ISERROR(HLOOKUP(GI$24,Tulem!$A$5:$CF$140,$AA35,FALSE)),"",HLOOKUP(GI$24,Tulem!$A$5:$CF$140,$AA35,FALSE))</f>
        <v/>
      </c>
      <c r="GJ35" s="471"/>
      <c r="GK35" s="471"/>
      <c r="GM35" s="469" t="str">
        <f>IF(ISERROR(HLOOKUP(GM$24,Tulem!$A$5:$CF$140,$AA35,FALSE)),"",HLOOKUP(GM$24,Tulem!$A$5:$CF$140,$AA35,FALSE))</f>
        <v/>
      </c>
      <c r="GN35" s="469"/>
      <c r="GO35" s="469"/>
    </row>
    <row r="36" spans="1:197" s="50" customFormat="1" ht="14.5" customHeight="1" outlineLevel="1" x14ac:dyDescent="0.2">
      <c r="A36" s="499">
        <v>8</v>
      </c>
      <c r="B36" s="499"/>
      <c r="C36" s="499"/>
      <c r="D36" s="496" t="str">
        <f ca="1">IF(ISERROR(Tulem!E13),"",Tulem!E13)</f>
        <v>Sekkuv</v>
      </c>
      <c r="E36" s="496"/>
      <c r="F36" s="496"/>
      <c r="G36" s="496"/>
      <c r="I36" s="496" t="str">
        <f ca="1">IF(ISERROR(Tulem!D13),"",Tulem!D13)</f>
        <v>Sekkuv/EÜ</v>
      </c>
      <c r="J36" s="496"/>
      <c r="K36" s="496"/>
      <c r="L36" s="496"/>
      <c r="M36" s="496"/>
      <c r="P36" s="496" t="str">
        <f ca="1">IF(ISERROR(Tulem!G13),"",Tulem!G13)</f>
        <v>LIB</v>
      </c>
      <c r="Q36" s="496"/>
      <c r="R36" s="496"/>
      <c r="S36" s="496"/>
      <c r="T36" s="496"/>
      <c r="U36" s="496"/>
      <c r="V36" s="496" t="str">
        <f ca="1">IF(ISERROR(Tulem!F13),"",Tulem!F13)</f>
        <v>Vähe-sekkuv</v>
      </c>
      <c r="W36" s="496"/>
      <c r="X36" s="496"/>
      <c r="Y36" s="496"/>
      <c r="Z36" s="496"/>
      <c r="AA36" s="255">
        <v>9</v>
      </c>
      <c r="AB36" s="497">
        <f ca="1">IF(ISERROR(HLOOKUP(AB$24,Tulem!$A$5:$CF$140,$AA36,FALSE)),"",HLOOKUP(AB$24,Tulem!$A$5:$CF$140,$AA36,FALSE))</f>
        <v>6.5588796496125887</v>
      </c>
      <c r="AC36" s="497"/>
      <c r="AD36" s="497"/>
      <c r="AE36" s="497"/>
      <c r="AF36" s="166"/>
      <c r="AG36" s="480">
        <f ca="1">IF(ISERROR(HLOOKUP(AG$24,Tulem!$A$5:$CF$140,$AA36,FALSE)),"",HLOOKUP(AG$24,Tulem!$A$5:$CF$140,$AA36,FALSE))</f>
        <v>475.44630019880822</v>
      </c>
      <c r="AH36" s="480"/>
      <c r="AI36" s="480"/>
      <c r="AJ36" s="480"/>
      <c r="AK36" s="167"/>
      <c r="AL36" s="480">
        <f ca="1">IF(ISERROR(HLOOKUP(AL$24,Tulem!$A$5:$CF$140,$AA36,FALSE)),"",HLOOKUP(AL$24,Tulem!$A$5:$CF$140,$AA36,FALSE))</f>
        <v>40.878854494355494</v>
      </c>
      <c r="AM36" s="480"/>
      <c r="AN36" s="480"/>
      <c r="AO36" s="480"/>
      <c r="AP36" s="168"/>
      <c r="AQ36" s="473">
        <f ca="1">IF(ISERROR(HLOOKUP(AQ$24,Tulem!$A$5:$CF$140,$AA36,FALSE)),"",HLOOKUP(AQ$24,Tulem!$A$5:$CF$140,$AA36,FALSE))</f>
        <v>-178.19071988063212</v>
      </c>
      <c r="AR36" s="473"/>
      <c r="AS36" s="473"/>
      <c r="AT36" s="168"/>
      <c r="AU36" s="473">
        <f ca="1">IF(ISERROR(HLOOKUP(AU$24,Tulem!$A$5:$CF$140,$AA36,FALSE)),"",HLOOKUP(AU$24,Tulem!$A$5:$CF$140,$AA36,FALSE))</f>
        <v>219.06957437498761</v>
      </c>
      <c r="AV36" s="473"/>
      <c r="AW36" s="473"/>
      <c r="AX36" s="169"/>
      <c r="AY36" s="473">
        <f ca="1">IF(ISERROR(HLOOKUP(AY$24,Tulem!$A$5:$CF$140,$AA36,FALSE)),"",HLOOKUP(AY$24,Tulem!$A$5:$CF$140,$AA36,FALSE))</f>
        <v>0</v>
      </c>
      <c r="AZ36" s="473"/>
      <c r="BA36" s="473"/>
      <c r="BB36" s="170"/>
      <c r="BC36" s="464">
        <f ca="1">IF(ISERROR(HLOOKUP(BC$24,Tulem!$A$5:$CF$140,$AA36,FALSE)),"",HLOOKUP(BC$24,Tulem!$A$5:$CF$140,$AA36,FALSE))</f>
        <v>0.50399694699362874</v>
      </c>
      <c r="BD36" s="464"/>
      <c r="BE36" s="464"/>
      <c r="BF36" s="170"/>
      <c r="BG36" s="489">
        <f ca="1">IF(ISERROR(HLOOKUP(BG$24,Tulem!$A$5:$CF$140,$AA36,FALSE)),"",HLOOKUP(BG$24,Tulem!$A$5:$CF$140,$AA36,FALSE))</f>
        <v>90</v>
      </c>
      <c r="BH36" s="489"/>
      <c r="BI36" s="489"/>
      <c r="BJ36" s="170"/>
      <c r="BK36" s="464">
        <f ca="1">IF(ISERROR(HLOOKUP(BK$24,Tulem!$A$5:$CF$140,$AA36,FALSE)),"",HLOOKUP(BK$24,Tulem!$A$5:$CF$140,$AA36,FALSE))</f>
        <v>0.72887234460741657</v>
      </c>
      <c r="BL36" s="464"/>
      <c r="BM36" s="464"/>
      <c r="BN36" s="170"/>
      <c r="BO36" s="470">
        <f ca="1">IF(ISERROR(HLOOKUP(BO$24,Tulem!$A$5:$CF$140,$AA36,FALSE)),"",HLOOKUP(BO$24,Tulem!$A$5:$CF$140,$AA36,FALSE))</f>
        <v>0.27911646586345373</v>
      </c>
      <c r="BP36" s="470"/>
      <c r="BQ36" s="470"/>
      <c r="BR36" s="170"/>
      <c r="BS36" s="464">
        <f ca="1">IF(ISERROR(HLOOKUP(BS$24,Tulem!$A$5:$CF$140,$AA36,FALSE)),"",HLOOKUP(BS$24,Tulem!$A$5:$CF$140,$AA36,FALSE))</f>
        <v>0.36791956700630501</v>
      </c>
      <c r="BT36" s="464"/>
      <c r="BU36" s="464"/>
      <c r="BV36" s="170"/>
      <c r="BW36" s="469">
        <f ca="1">IF(ISERROR(HLOOKUP(BW$24,Tulem!$A$5:$CF$140,$AA36,FALSE)),"",HLOOKUP(BW$24,Tulem!$A$5:$CF$140,$AA36,FALSE))</f>
        <v>43.302900516795866</v>
      </c>
      <c r="BX36" s="469"/>
      <c r="BY36" s="469"/>
      <c r="BZ36" s="170"/>
      <c r="CA36" s="470">
        <f ca="1">IF(ISERROR(HLOOKUP(CA$24,Tulem!$A$5:$CF$140,$AA36,FALSE)),"",HLOOKUP(CA$24,Tulem!$A$5:$CF$140,$AA36,FALSE))</f>
        <v>2.5620074329845279E-2</v>
      </c>
      <c r="CB36" s="470"/>
      <c r="CC36" s="470"/>
      <c r="CD36" s="170"/>
      <c r="CE36" s="464">
        <f ca="1">IF(ISERROR(HLOOKUP(CE$24,Tulem!$A$5:$CF$140,$AA36,FALSE)),"",HLOOKUP(CE$24,Tulem!$A$5:$CF$140,$AA36,FALSE))</f>
        <v>0.447957193299102</v>
      </c>
      <c r="CF36" s="464"/>
      <c r="CG36" s="464"/>
      <c r="CH36" s="170"/>
      <c r="CI36" s="469">
        <f ca="1">IF(ISERROR(HLOOKUP(CI$24,Tulem!$A$5:$CF$140,$AA36,FALSE)),"",HLOOKUP(CI$24,Tulem!$A$5:$CF$140,$AA36,FALSE))</f>
        <v>6.08</v>
      </c>
      <c r="CJ36" s="469"/>
      <c r="CK36" s="469"/>
      <c r="CL36" s="170"/>
      <c r="CM36" s="470">
        <f ca="1">IF(ISERROR(HLOOKUP(CM$24,Tulem!$A$5:$CF$140,$AA36,FALSE)),"",HLOOKUP(CM$24,Tulem!$A$5:$CF$140,$AA36,FALSE))</f>
        <v>1.8337403242159597E-2</v>
      </c>
      <c r="CN36" s="470"/>
      <c r="CO36" s="470"/>
      <c r="CP36" s="266"/>
      <c r="CQ36" s="470">
        <f ca="1">IF(ISERROR(HLOOKUP(CQ$24,Tulem!$A$5:$CF$140,$AA36,FALSE)),"",HLOOKUP(CQ$24,Tulem!$A$5:$CF$140,$AA36,FALSE))</f>
        <v>3.9150638409968658E-3</v>
      </c>
      <c r="CR36" s="470"/>
      <c r="CS36" s="470"/>
      <c r="CT36" s="266"/>
      <c r="CU36" s="470">
        <f ca="1">IF(ISERROR(HLOOKUP(CU$24,Tulem!$A$5:$CF$140,$AA36,FALSE)),"",HLOOKUP(CU$24,Tulem!$A$5:$CF$140,$AA36,FALSE))</f>
        <v>3.4160396178431196E-3</v>
      </c>
      <c r="CV36" s="470"/>
      <c r="CW36" s="470"/>
      <c r="CX36" s="170"/>
      <c r="CY36" s="470">
        <f ca="1">IF(ISERROR(HLOOKUP(CY$24,Tulem!$A$5:$CF$140,$AA36,FALSE)),"",HLOOKUP(CY$24,Tulem!$A$5:$CF$140,$AA36,FALSE))</f>
        <v>1.5050000041907079E-2</v>
      </c>
      <c r="CZ36" s="470"/>
      <c r="DA36" s="470"/>
      <c r="DB36" s="170"/>
      <c r="DC36" s="473">
        <f ca="1">IF(ISERROR(HLOOKUP(DC$24,Tulem!$A$5:$CF$140,$AA36,FALSE)),"",HLOOKUP(DC$24,Tulem!$A$5:$CF$140,$AA36,FALSE))</f>
        <v>7.5609999999999999</v>
      </c>
      <c r="DD36" s="473"/>
      <c r="DE36" s="473"/>
      <c r="DF36" s="171"/>
      <c r="DG36" s="481">
        <f ca="1">IF(ISERROR(HLOOKUP(DG$24,Tulem!$A$5:$CF$140,$AA36,FALSE)),"",HLOOKUP(DG$24,Tulem!$A$5:$CF$140,$AA36,FALSE))</f>
        <v>9115.9398864520208</v>
      </c>
      <c r="DH36" s="481"/>
      <c r="DI36" s="481"/>
      <c r="DJ36" s="171"/>
      <c r="DK36" s="473">
        <f ca="1">IF(ISERROR(HLOOKUP(DK$24,Tulem!$A$5:$CF$140,$AA36,FALSE)),"",HLOOKUP(DK$24,Tulem!$A$5:$CF$140,$AA36,FALSE))</f>
        <v>9.7710000000000008</v>
      </c>
      <c r="DL36" s="473"/>
      <c r="DM36" s="473"/>
      <c r="DN36" s="170"/>
      <c r="DO36" s="464">
        <f ca="1">IF(ISERROR(HLOOKUP(DO$24,Tulem!$A$5:$CF$140,$AA36,FALSE)),"",HLOOKUP(DO$24,Tulem!$A$5:$CF$140,$AA36,FALSE))</f>
        <v>-4.8613077186063662E-2</v>
      </c>
      <c r="DP36" s="464"/>
      <c r="DQ36" s="464"/>
      <c r="DR36" s="170"/>
      <c r="DS36" s="464">
        <f ca="1">IF(ISERROR(HLOOKUP(DS$24,Tulem!$A$5:$CF$140,$AA36,FALSE)),"",HLOOKUP(DS$24,Tulem!$A$5:$CF$140,$AA36,FALSE))</f>
        <v>-5.8145611697445893E-2</v>
      </c>
      <c r="DT36" s="464"/>
      <c r="DU36" s="464"/>
      <c r="DV36" s="170"/>
      <c r="DW36" s="464">
        <f ca="1">IF(ISERROR(HLOOKUP(DW$24,Tulem!$A$5:$CF$140,$AA36,FALSE)),"",HLOOKUP(DW$24,Tulem!$A$5:$CF$140,$AA36,FALSE))</f>
        <v>-8.203358782803867E-2</v>
      </c>
      <c r="DX36" s="464"/>
      <c r="DY36" s="464"/>
      <c r="DZ36" s="170"/>
      <c r="EA36" s="469">
        <f ca="1">IF(ISERROR(HLOOKUP(EA$24,Tulem!$A$5:$CF$140,$AA36,FALSE)),"",HLOOKUP(EA$24,Tulem!$A$5:$CF$140,$AA36,FALSE))</f>
        <v>7.1506303115986807</v>
      </c>
      <c r="EB36" s="469"/>
      <c r="EC36" s="469"/>
      <c r="ED36" s="171"/>
      <c r="EE36" s="469">
        <f ca="1">IF(ISERROR(HLOOKUP(EE$24,Tulem!$A$5:$CF$140,$AA36,FALSE)),"",HLOOKUP(EE$24,Tulem!$A$5:$CF$140,$AA36,FALSE))</f>
        <v>4.9059999999999997</v>
      </c>
      <c r="EF36" s="469"/>
      <c r="EG36" s="469"/>
      <c r="EH36" s="170"/>
      <c r="EI36" s="469">
        <f ca="1">IF(ISERROR(HLOOKUP(EI$24,Tulem!$A$5:$CF$140,$AA36,FALSE)),"",HLOOKUP(EI$24,Tulem!$A$5:$CF$140,$AA36,FALSE))</f>
        <v>1.4153849906373199</v>
      </c>
      <c r="EJ36" s="469"/>
      <c r="EK36" s="469"/>
      <c r="EL36" s="171"/>
      <c r="EM36" s="469">
        <f ca="1">IF(ISERROR(HLOOKUP(EM$24,Tulem!$A$5:$CF$140,$AA36,FALSE)),"",HLOOKUP(EM$24,Tulem!$A$5:$CF$140,$AA36,FALSE))</f>
        <v>16.46</v>
      </c>
      <c r="EN36" s="469"/>
      <c r="EO36" s="469"/>
      <c r="EP36" s="171"/>
      <c r="EQ36" s="469">
        <f ca="1">IF(ISERROR(HLOOKUP(EQ$24,Tulem!$A$5:$CF$140,$AA36,FALSE)),"",HLOOKUP(EQ$24,Tulem!$A$5:$CF$140,$AA36,FALSE))</f>
        <v>11.220496548433506</v>
      </c>
      <c r="ER36" s="469"/>
      <c r="ES36" s="469"/>
      <c r="ET36" s="170"/>
      <c r="EU36" s="469">
        <f ca="1">IF(ISERROR(HLOOKUP(EU$24,Tulem!$A$5:$CF$140,$AA36,FALSE)),"",HLOOKUP(EU$24,Tulem!$A$5:$CF$140,$AA36,FALSE))</f>
        <v>2.7248849906373196</v>
      </c>
      <c r="EV36" s="469"/>
      <c r="EW36" s="469"/>
      <c r="EX36" s="170"/>
      <c r="EY36" s="473">
        <f ca="1">IF(ISERROR(HLOOKUP(EY$24,Tulem!$A$5:$CF$140,$AA36,FALSE)),"",HLOOKUP(EY$24,Tulem!$A$5:$CF$140,$AA36,FALSE))</f>
        <v>67.400000000000006</v>
      </c>
      <c r="EZ36" s="473"/>
      <c r="FA36" s="473"/>
      <c r="FB36" s="171"/>
      <c r="FC36" s="469">
        <f ca="1">IF(ISERROR(HLOOKUP(FC$24,Tulem!$A$5:$CF$140,$AA36,FALSE)),"",HLOOKUP(FC$24,Tulem!$A$5:$CF$140,$AA36,FALSE))</f>
        <v>12.722</v>
      </c>
      <c r="FD36" s="469"/>
      <c r="FE36" s="469"/>
      <c r="FF36" s="170"/>
      <c r="FG36" s="473">
        <f ca="1">IF(ISERROR(HLOOKUP(FG$24,Tulem!$A$5:$CF$140,$AA36,FALSE)),"",HLOOKUP(FG$24,Tulem!$A$5:$CF$140,$AA36,FALSE))</f>
        <v>57.339444444444439</v>
      </c>
      <c r="FH36" s="473"/>
      <c r="FI36" s="473"/>
      <c r="FJ36" s="170"/>
      <c r="FK36" s="469">
        <f ca="1">IF(ISERROR(HLOOKUP(FK$24,Tulem!$A$5:$CF$140,$AA36,FALSE)),"",HLOOKUP(FK$24,Tulem!$A$5:$CF$140,$AA36,FALSE))</f>
        <v>4.6253359999999999</v>
      </c>
      <c r="FL36" s="469"/>
      <c r="FM36" s="469"/>
      <c r="FO36" s="473">
        <f ca="1">IF(ISERROR(HLOOKUP(FO$24,Tulem!$A$5:$CF$140,$AA36,FALSE)),"",HLOOKUP(FO$24,Tulem!$A$5:$CF$140,$AA36,FALSE))</f>
        <v>285</v>
      </c>
      <c r="FP36" s="473"/>
      <c r="FQ36" s="473"/>
      <c r="FS36" s="469">
        <f ca="1">IF(ISERROR(HLOOKUP(FS$24,Tulem!$A$5:$CF$140,$AA36,FALSE)),"",HLOOKUP(FS$24,Tulem!$A$5:$CF$140,$AA36,FALSE))</f>
        <v>2.7810000000000001</v>
      </c>
      <c r="FT36" s="469"/>
      <c r="FU36" s="469"/>
      <c r="FW36" s="476">
        <f ca="1">IF(ISERROR(HLOOKUP(FW$24,Tulem!$A$5:$CF$140,$AA36,FALSE)),"",HLOOKUP(FW$24,Tulem!$A$5:$CF$140,$AA36,FALSE))</f>
        <v>0.19900000000000001</v>
      </c>
      <c r="FX36" s="476"/>
      <c r="FY36" s="476"/>
      <c r="FZ36" s="327"/>
      <c r="GA36" s="476">
        <f ca="1">IF(ISERROR(HLOOKUP(GA$24,Tulem!$A$5:$CF$140,$AA36,FALSE)),"",HLOOKUP(GA$24,Tulem!$A$5:$CF$140,$AA36,FALSE))</f>
        <v>0.72299999999999998</v>
      </c>
      <c r="GB36" s="476"/>
      <c r="GC36" s="476"/>
      <c r="GE36" s="475">
        <f ca="1">IF(ISERROR(HLOOKUP(GE$24,Tulem!$A$5:$CF$140,$AA36,FALSE)),"",HLOOKUP(GE$24,Tulem!$A$5:$CF$140,$AA36,FALSE))</f>
        <v>652</v>
      </c>
      <c r="GF36" s="475"/>
      <c r="GG36" s="475"/>
      <c r="GI36" s="471" t="str">
        <f>IF(ISERROR(HLOOKUP(GI$24,Tulem!$A$5:$CF$140,$AA36,FALSE)),"",HLOOKUP(GI$24,Tulem!$A$5:$CF$140,$AA36,FALSE))</f>
        <v/>
      </c>
      <c r="GJ36" s="471"/>
      <c r="GK36" s="471"/>
      <c r="GM36" s="469" t="str">
        <f>IF(ISERROR(HLOOKUP(GM$24,Tulem!$A$5:$CF$140,$AA36,FALSE)),"",HLOOKUP(GM$24,Tulem!$A$5:$CF$140,$AA36,FALSE))</f>
        <v/>
      </c>
      <c r="GN36" s="469"/>
      <c r="GO36" s="469"/>
    </row>
    <row r="37" spans="1:197" s="50" customFormat="1" ht="14.5" customHeight="1" outlineLevel="1" x14ac:dyDescent="0.2">
      <c r="A37" s="499">
        <v>9</v>
      </c>
      <c r="B37" s="499"/>
      <c r="C37" s="499"/>
      <c r="D37" s="496" t="str">
        <f ca="1">IF(ISERROR(Tulem!E14),"",Tulem!E14)</f>
        <v>Sekkuv</v>
      </c>
      <c r="E37" s="496"/>
      <c r="F37" s="496"/>
      <c r="G37" s="496"/>
      <c r="I37" s="496" t="str">
        <f ca="1">IF(ISERROR(Tulem!D14),"",Tulem!D14)</f>
        <v>Sekkuv/EÜ</v>
      </c>
      <c r="J37" s="496"/>
      <c r="K37" s="496"/>
      <c r="L37" s="496"/>
      <c r="M37" s="496"/>
      <c r="P37" s="496" t="str">
        <f ca="1">IF(ISERROR(Tulem!G14),"",Tulem!G14)</f>
        <v>LIB+</v>
      </c>
      <c r="Q37" s="496"/>
      <c r="R37" s="496"/>
      <c r="S37" s="496"/>
      <c r="T37" s="496"/>
      <c r="U37" s="496"/>
      <c r="V37" s="496" t="str">
        <f ca="1">IF(ISERROR(Tulem!F14),"",Tulem!F14)</f>
        <v>Vähe-sekkuv</v>
      </c>
      <c r="W37" s="496"/>
      <c r="X37" s="496"/>
      <c r="Y37" s="496"/>
      <c r="Z37" s="496"/>
      <c r="AA37" s="255">
        <v>10</v>
      </c>
      <c r="AB37" s="497">
        <f ca="1">IF(ISERROR(HLOOKUP(AB$24,Tulem!$A$5:$CF$140,$AA37,FALSE)),"",HLOOKUP(AB$24,Tulem!$A$5:$CF$140,$AA37,FALSE))</f>
        <v>6.5622994822320475</v>
      </c>
      <c r="AC37" s="497"/>
      <c r="AD37" s="497"/>
      <c r="AE37" s="497"/>
      <c r="AF37" s="166"/>
      <c r="AG37" s="480">
        <f ca="1">IF(ISERROR(HLOOKUP(AG$24,Tulem!$A$5:$CF$140,$AA37,FALSE)),"",HLOOKUP(AG$24,Tulem!$A$5:$CF$140,$AA37,FALSE))</f>
        <v>476.02991951529214</v>
      </c>
      <c r="AH37" s="480"/>
      <c r="AI37" s="480"/>
      <c r="AJ37" s="480"/>
      <c r="AK37" s="167"/>
      <c r="AL37" s="480">
        <f ca="1">IF(ISERROR(HLOOKUP(AL$24,Tulem!$A$5:$CF$140,$AA37,FALSE)),"",HLOOKUP(AL$24,Tulem!$A$5:$CF$140,$AA37,FALSE))</f>
        <v>41.076259249029079</v>
      </c>
      <c r="AM37" s="480"/>
      <c r="AN37" s="480"/>
      <c r="AO37" s="480"/>
      <c r="AP37" s="168"/>
      <c r="AQ37" s="473">
        <f ca="1">IF(ISERROR(HLOOKUP(AQ$24,Tulem!$A$5:$CF$140,$AA37,FALSE)),"",HLOOKUP(AQ$24,Tulem!$A$5:$CF$140,$AA37,FALSE))</f>
        <v>-178.19071988063212</v>
      </c>
      <c r="AR37" s="473"/>
      <c r="AS37" s="473"/>
      <c r="AT37" s="168"/>
      <c r="AU37" s="473">
        <f ca="1">IF(ISERROR(HLOOKUP(AU$24,Tulem!$A$5:$CF$140,$AA37,FALSE)),"",HLOOKUP(AU$24,Tulem!$A$5:$CF$140,$AA37,FALSE))</f>
        <v>219.26697912966119</v>
      </c>
      <c r="AV37" s="473"/>
      <c r="AW37" s="473"/>
      <c r="AX37" s="169"/>
      <c r="AY37" s="473">
        <f ca="1">IF(ISERROR(HLOOKUP(AY$24,Tulem!$A$5:$CF$140,$AA37,FALSE)),"",HLOOKUP(AY$24,Tulem!$A$5:$CF$140,$AA37,FALSE))</f>
        <v>0</v>
      </c>
      <c r="AZ37" s="473"/>
      <c r="BA37" s="473"/>
      <c r="BB37" s="170"/>
      <c r="BC37" s="464">
        <f ca="1">IF(ISERROR(HLOOKUP(BC$24,Tulem!$A$5:$CF$140,$AA37,FALSE)),"",HLOOKUP(BC$24,Tulem!$A$5:$CF$140,$AA37,FALSE))</f>
        <v>0.50411146323407641</v>
      </c>
      <c r="BD37" s="464"/>
      <c r="BE37" s="464"/>
      <c r="BF37" s="170"/>
      <c r="BG37" s="489">
        <f ca="1">IF(ISERROR(HLOOKUP(BG$24,Tulem!$A$5:$CF$140,$AA37,FALSE)),"",HLOOKUP(BG$24,Tulem!$A$5:$CF$140,$AA37,FALSE))</f>
        <v>90</v>
      </c>
      <c r="BH37" s="489"/>
      <c r="BI37" s="489"/>
      <c r="BJ37" s="170"/>
      <c r="BK37" s="464">
        <f ca="1">IF(ISERROR(HLOOKUP(BK$24,Tulem!$A$5:$CF$140,$AA37,FALSE)),"",HLOOKUP(BK$24,Tulem!$A$5:$CF$140,$AA37,FALSE))</f>
        <v>0.72887234460741657</v>
      </c>
      <c r="BL37" s="464"/>
      <c r="BM37" s="464"/>
      <c r="BN37" s="170"/>
      <c r="BO37" s="470">
        <f ca="1">IF(ISERROR(HLOOKUP(BO$24,Tulem!$A$5:$CF$140,$AA37,FALSE)),"",HLOOKUP(BO$24,Tulem!$A$5:$CF$140,$AA37,FALSE))</f>
        <v>0.27911646586345373</v>
      </c>
      <c r="BP37" s="470"/>
      <c r="BQ37" s="470"/>
      <c r="BR37" s="170"/>
      <c r="BS37" s="464">
        <f ca="1">IF(ISERROR(HLOOKUP(BS$24,Tulem!$A$5:$CF$140,$AA37,FALSE)),"",HLOOKUP(BS$24,Tulem!$A$5:$CF$140,$AA37,FALSE))</f>
        <v>0.3678346224372237</v>
      </c>
      <c r="BT37" s="464"/>
      <c r="BU37" s="464"/>
      <c r="BV37" s="170"/>
      <c r="BW37" s="469">
        <f ca="1">IF(ISERROR(HLOOKUP(BW$24,Tulem!$A$5:$CF$140,$AA37,FALSE)),"",HLOOKUP(BW$24,Tulem!$A$5:$CF$140,$AA37,FALSE))</f>
        <v>43.312900516795864</v>
      </c>
      <c r="BX37" s="469"/>
      <c r="BY37" s="469"/>
      <c r="BZ37" s="170"/>
      <c r="CA37" s="470">
        <f ca="1">IF(ISERROR(HLOOKUP(CA$24,Tulem!$A$5:$CF$140,$AA37,FALSE)),"",HLOOKUP(CA$24,Tulem!$A$5:$CF$140,$AA37,FALSE))</f>
        <v>2.5620074329845279E-2</v>
      </c>
      <c r="CB37" s="470"/>
      <c r="CC37" s="470"/>
      <c r="CD37" s="170"/>
      <c r="CE37" s="464">
        <f ca="1">IF(ISERROR(HLOOKUP(CE$24,Tulem!$A$5:$CF$140,$AA37,FALSE)),"",HLOOKUP(CE$24,Tulem!$A$5:$CF$140,$AA37,FALSE))</f>
        <v>0.447957193299102</v>
      </c>
      <c r="CF37" s="464"/>
      <c r="CG37" s="464"/>
      <c r="CH37" s="170"/>
      <c r="CI37" s="469">
        <f ca="1">IF(ISERROR(HLOOKUP(CI$24,Tulem!$A$5:$CF$140,$AA37,FALSE)),"",HLOOKUP(CI$24,Tulem!$A$5:$CF$140,$AA37,FALSE))</f>
        <v>6.08</v>
      </c>
      <c r="CJ37" s="469"/>
      <c r="CK37" s="469"/>
      <c r="CL37" s="170"/>
      <c r="CM37" s="470">
        <f ca="1">IF(ISERROR(HLOOKUP(CM$24,Tulem!$A$5:$CF$140,$AA37,FALSE)),"",HLOOKUP(CM$24,Tulem!$A$5:$CF$140,$AA37,FALSE))</f>
        <v>1.8376264018091438E-2</v>
      </c>
      <c r="CN37" s="470"/>
      <c r="CO37" s="470"/>
      <c r="CP37" s="266"/>
      <c r="CQ37" s="470">
        <f ca="1">IF(ISERROR(HLOOKUP(CQ$24,Tulem!$A$5:$CF$140,$AA37,FALSE)),"",HLOOKUP(CQ$24,Tulem!$A$5:$CF$140,$AA37,FALSE))</f>
        <v>3.8823113090310545E-3</v>
      </c>
      <c r="CR37" s="470"/>
      <c r="CS37" s="470"/>
      <c r="CT37" s="266"/>
      <c r="CU37" s="470">
        <f ca="1">IF(ISERROR(HLOOKUP(CU$24,Tulem!$A$5:$CF$140,$AA37,FALSE)),"",HLOOKUP(CU$24,Tulem!$A$5:$CF$140,$AA37,FALSE))</f>
        <v>3.4330371149805805E-3</v>
      </c>
      <c r="CV37" s="470"/>
      <c r="CW37" s="470"/>
      <c r="CX37" s="170"/>
      <c r="CY37" s="470">
        <f ca="1">IF(ISERROR(HLOOKUP(CY$24,Tulem!$A$5:$CF$140,$AA37,FALSE)),"",HLOOKUP(CY$24,Tulem!$A$5:$CF$140,$AA37,FALSE))</f>
        <v>1.507186583021059E-2</v>
      </c>
      <c r="CZ37" s="470"/>
      <c r="DA37" s="470"/>
      <c r="DB37" s="170"/>
      <c r="DC37" s="473">
        <f ca="1">IF(ISERROR(HLOOKUP(DC$24,Tulem!$A$5:$CF$140,$AA37,FALSE)),"",HLOOKUP(DC$24,Tulem!$A$5:$CF$140,$AA37,FALSE))</f>
        <v>7.5717605777489068</v>
      </c>
      <c r="DD37" s="473"/>
      <c r="DE37" s="473"/>
      <c r="DF37" s="171"/>
      <c r="DG37" s="481">
        <f ca="1">IF(ISERROR(HLOOKUP(DG$24,Tulem!$A$5:$CF$140,$AA37,FALSE)),"",HLOOKUP(DG$24,Tulem!$A$5:$CF$140,$AA37,FALSE))</f>
        <v>9117.7238263466807</v>
      </c>
      <c r="DH37" s="481"/>
      <c r="DI37" s="481"/>
      <c r="DJ37" s="171"/>
      <c r="DK37" s="473">
        <f ca="1">IF(ISERROR(HLOOKUP(DK$24,Tulem!$A$5:$CF$140,$AA37,FALSE)),"",HLOOKUP(DK$24,Tulem!$A$5:$CF$140,$AA37,FALSE))</f>
        <v>9.7710000000000008</v>
      </c>
      <c r="DL37" s="473"/>
      <c r="DM37" s="473"/>
      <c r="DN37" s="170"/>
      <c r="DO37" s="464">
        <f ca="1">IF(ISERROR(HLOOKUP(DO$24,Tulem!$A$5:$CF$140,$AA37,FALSE)),"",HLOOKUP(DO$24,Tulem!$A$5:$CF$140,$AA37,FALSE))</f>
        <v>-4.8594580335326633E-2</v>
      </c>
      <c r="DP37" s="464"/>
      <c r="DQ37" s="464"/>
      <c r="DR37" s="170"/>
      <c r="DS37" s="464">
        <f ca="1">IF(ISERROR(HLOOKUP(DS$24,Tulem!$A$5:$CF$140,$AA37,FALSE)),"",HLOOKUP(DS$24,Tulem!$A$5:$CF$140,$AA37,FALSE))</f>
        <v>-5.812475141232893E-2</v>
      </c>
      <c r="DT37" s="464"/>
      <c r="DU37" s="464"/>
      <c r="DV37" s="170"/>
      <c r="DW37" s="464">
        <f ca="1">IF(ISERROR(HLOOKUP(DW$24,Tulem!$A$5:$CF$140,$AA37,FALSE)),"",HLOOKUP(DW$24,Tulem!$A$5:$CF$140,$AA37,FALSE))</f>
        <v>-8.1995525633301369E-2</v>
      </c>
      <c r="DX37" s="464"/>
      <c r="DY37" s="464"/>
      <c r="DZ37" s="170"/>
      <c r="EA37" s="469">
        <f ca="1">IF(ISERROR(HLOOKUP(EA$24,Tulem!$A$5:$CF$140,$AA37,FALSE)),"",HLOOKUP(EA$24,Tulem!$A$5:$CF$140,$AA37,FALSE))</f>
        <v>7.1831111109201009</v>
      </c>
      <c r="EB37" s="469"/>
      <c r="EC37" s="469"/>
      <c r="ED37" s="171"/>
      <c r="EE37" s="469">
        <f ca="1">IF(ISERROR(HLOOKUP(EE$24,Tulem!$A$5:$CF$140,$AA37,FALSE)),"",HLOOKUP(EE$24,Tulem!$A$5:$CF$140,$AA37,FALSE))</f>
        <v>4.9379999999999997</v>
      </c>
      <c r="EF37" s="469"/>
      <c r="EG37" s="469"/>
      <c r="EH37" s="170"/>
      <c r="EI37" s="469">
        <f ca="1">IF(ISERROR(HLOOKUP(EI$24,Tulem!$A$5:$CF$140,$AA37,FALSE)),"",HLOOKUP(EI$24,Tulem!$A$5:$CF$140,$AA37,FALSE))</f>
        <v>1.4153849906373199</v>
      </c>
      <c r="EJ37" s="469"/>
      <c r="EK37" s="469"/>
      <c r="EL37" s="171"/>
      <c r="EM37" s="469">
        <f ca="1">IF(ISERROR(HLOOKUP(EM$24,Tulem!$A$5:$CF$140,$AA37,FALSE)),"",HLOOKUP(EM$24,Tulem!$A$5:$CF$140,$AA37,FALSE))</f>
        <v>16.462578011574536</v>
      </c>
      <c r="EN37" s="469"/>
      <c r="EO37" s="469"/>
      <c r="EP37" s="171"/>
      <c r="EQ37" s="469">
        <f ca="1">IF(ISERROR(HLOOKUP(EQ$24,Tulem!$A$5:$CF$140,$AA37,FALSE)),"",HLOOKUP(EQ$24,Tulem!$A$5:$CF$140,$AA37,FALSE))</f>
        <v>11.219077976340797</v>
      </c>
      <c r="ER37" s="469"/>
      <c r="ES37" s="469"/>
      <c r="ET37" s="170"/>
      <c r="EU37" s="469">
        <f ca="1">IF(ISERROR(HLOOKUP(EU$24,Tulem!$A$5:$CF$140,$AA37,FALSE)),"",HLOOKUP(EU$24,Tulem!$A$5:$CF$140,$AA37,FALSE))</f>
        <v>3.4398849906373199</v>
      </c>
      <c r="EV37" s="469"/>
      <c r="EW37" s="469"/>
      <c r="EX37" s="170"/>
      <c r="EY37" s="473">
        <f ca="1">IF(ISERROR(HLOOKUP(EY$24,Tulem!$A$5:$CF$140,$AA37,FALSE)),"",HLOOKUP(EY$24,Tulem!$A$5:$CF$140,$AA37,FALSE))</f>
        <v>67.400000000000006</v>
      </c>
      <c r="EZ37" s="473"/>
      <c r="FA37" s="473"/>
      <c r="FB37" s="171"/>
      <c r="FC37" s="469">
        <f ca="1">IF(ISERROR(HLOOKUP(FC$24,Tulem!$A$5:$CF$140,$AA37,FALSE)),"",HLOOKUP(FC$24,Tulem!$A$5:$CF$140,$AA37,FALSE))</f>
        <v>12.724</v>
      </c>
      <c r="FD37" s="469"/>
      <c r="FE37" s="469"/>
      <c r="FF37" s="170"/>
      <c r="FG37" s="473">
        <f ca="1">IF(ISERROR(HLOOKUP(FG$24,Tulem!$A$5:$CF$140,$AA37,FALSE)),"",HLOOKUP(FG$24,Tulem!$A$5:$CF$140,$AA37,FALSE))</f>
        <v>57.346944444444446</v>
      </c>
      <c r="FH37" s="473"/>
      <c r="FI37" s="473"/>
      <c r="FJ37" s="170"/>
      <c r="FK37" s="469">
        <f ca="1">IF(ISERROR(HLOOKUP(FK$24,Tulem!$A$5:$CF$140,$AA37,FALSE)),"",HLOOKUP(FK$24,Tulem!$A$5:$CF$140,$AA37,FALSE))</f>
        <v>4.6259050000000004</v>
      </c>
      <c r="FL37" s="469"/>
      <c r="FM37" s="469"/>
      <c r="FO37" s="473">
        <f ca="1">IF(ISERROR(HLOOKUP(FO$24,Tulem!$A$5:$CF$140,$AA37,FALSE)),"",HLOOKUP(FO$24,Tulem!$A$5:$CF$140,$AA37,FALSE))</f>
        <v>285</v>
      </c>
      <c r="FP37" s="473"/>
      <c r="FQ37" s="473"/>
      <c r="FS37" s="469">
        <f ca="1">IF(ISERROR(HLOOKUP(FS$24,Tulem!$A$5:$CF$140,$AA37,FALSE)),"",HLOOKUP(FS$24,Tulem!$A$5:$CF$140,$AA37,FALSE))</f>
        <v>2.7810000000000001</v>
      </c>
      <c r="FT37" s="469"/>
      <c r="FU37" s="469"/>
      <c r="FW37" s="476">
        <f ca="1">IF(ISERROR(HLOOKUP(FW$24,Tulem!$A$5:$CF$140,$AA37,FALSE)),"",HLOOKUP(FW$24,Tulem!$A$5:$CF$140,$AA37,FALSE))</f>
        <v>0.19900000000000001</v>
      </c>
      <c r="FX37" s="476"/>
      <c r="FY37" s="476"/>
      <c r="FZ37" s="327"/>
      <c r="GA37" s="476">
        <f ca="1">IF(ISERROR(HLOOKUP(GA$24,Tulem!$A$5:$CF$140,$AA37,FALSE)),"",HLOOKUP(GA$24,Tulem!$A$5:$CF$140,$AA37,FALSE))</f>
        <v>0.72299999999999998</v>
      </c>
      <c r="GB37" s="476"/>
      <c r="GC37" s="476"/>
      <c r="GE37" s="475">
        <f ca="1">IF(ISERROR(HLOOKUP(GE$24,Tulem!$A$5:$CF$140,$AA37,FALSE)),"",HLOOKUP(GE$24,Tulem!$A$5:$CF$140,$AA37,FALSE))</f>
        <v>655</v>
      </c>
      <c r="GF37" s="475"/>
      <c r="GG37" s="475"/>
      <c r="GI37" s="471" t="str">
        <f>IF(ISERROR(HLOOKUP(GI$24,Tulem!$A$5:$CF$140,$AA37,FALSE)),"",HLOOKUP(GI$24,Tulem!$A$5:$CF$140,$AA37,FALSE))</f>
        <v/>
      </c>
      <c r="GJ37" s="471"/>
      <c r="GK37" s="471"/>
      <c r="GM37" s="469" t="str">
        <f>IF(ISERROR(HLOOKUP(GM$24,Tulem!$A$5:$CF$140,$AA37,FALSE)),"",HLOOKUP(GM$24,Tulem!$A$5:$CF$140,$AA37,FALSE))</f>
        <v/>
      </c>
      <c r="GN37" s="469"/>
      <c r="GO37" s="469"/>
    </row>
    <row r="38" spans="1:197" s="50" customFormat="1" ht="14.5" customHeight="1" outlineLevel="1" x14ac:dyDescent="0.2">
      <c r="A38" s="499">
        <v>10</v>
      </c>
      <c r="B38" s="499"/>
      <c r="C38" s="499"/>
      <c r="D38" s="496" t="str">
        <f ca="1">IF(ISERROR(Tulem!E15),"",Tulem!E15)</f>
        <v>Sekkuv</v>
      </c>
      <c r="E38" s="496"/>
      <c r="F38" s="496"/>
      <c r="G38" s="496"/>
      <c r="I38" s="496" t="str">
        <f ca="1">IF(ISERROR(Tulem!D15),"",Tulem!D15)</f>
        <v>Sekkuv/EÜ</v>
      </c>
      <c r="J38" s="496"/>
      <c r="K38" s="496"/>
      <c r="L38" s="496"/>
      <c r="M38" s="496"/>
      <c r="P38" s="496" t="str">
        <f ca="1">IF(ISERROR(Tulem!G15),"",Tulem!G15)</f>
        <v>TE++</v>
      </c>
      <c r="Q38" s="496"/>
      <c r="R38" s="496"/>
      <c r="S38" s="496"/>
      <c r="T38" s="496"/>
      <c r="U38" s="496"/>
      <c r="V38" s="496" t="str">
        <f ca="1">IF(ISERROR(Tulem!F15),"",Tulem!F15)</f>
        <v>Mittesekkuv</v>
      </c>
      <c r="W38" s="496"/>
      <c r="X38" s="496"/>
      <c r="Y38" s="496"/>
      <c r="Z38" s="496"/>
      <c r="AA38" s="255">
        <v>11</v>
      </c>
      <c r="AB38" s="497">
        <f ca="1">IF(ISERROR(HLOOKUP(AB$24,Tulem!$A$5:$CF$140,$AA38,FALSE)),"",HLOOKUP(AB$24,Tulem!$A$5:$CF$140,$AA38,FALSE))</f>
        <v>10.21606847907174</v>
      </c>
      <c r="AC38" s="497"/>
      <c r="AD38" s="497"/>
      <c r="AE38" s="497"/>
      <c r="AF38" s="166"/>
      <c r="AG38" s="480">
        <f ca="1">IF(ISERROR(HLOOKUP(AG$24,Tulem!$A$5:$CF$140,$AA38,FALSE)),"",HLOOKUP(AG$24,Tulem!$A$5:$CF$140,$AA38,FALSE))</f>
        <v>344.14457998922347</v>
      </c>
      <c r="AH38" s="480"/>
      <c r="AI38" s="480"/>
      <c r="AJ38" s="480"/>
      <c r="AK38" s="167"/>
      <c r="AL38" s="480">
        <f ca="1">IF(ISERROR(HLOOKUP(AL$24,Tulem!$A$5:$CF$140,$AA38,FALSE)),"",HLOOKUP(AL$24,Tulem!$A$5:$CF$140,$AA38,FALSE))</f>
        <v>25.105993366747725</v>
      </c>
      <c r="AM38" s="480"/>
      <c r="AN38" s="480"/>
      <c r="AO38" s="480"/>
      <c r="AP38" s="168"/>
      <c r="AQ38" s="473">
        <f ca="1">IF(ISERROR(HLOOKUP(AQ$24,Tulem!$A$5:$CF$140,$AA38,FALSE)),"",HLOOKUP(AQ$24,Tulem!$A$5:$CF$140,$AA38,FALSE))</f>
        <v>-162.95750000000001</v>
      </c>
      <c r="AR38" s="473"/>
      <c r="AS38" s="473"/>
      <c r="AT38" s="168"/>
      <c r="AU38" s="473">
        <f ca="1">IF(ISERROR(HLOOKUP(AU$24,Tulem!$A$5:$CF$140,$AA38,FALSE)),"",HLOOKUP(AU$24,Tulem!$A$5:$CF$140,$AA38,FALSE))</f>
        <v>188.06349336674774</v>
      </c>
      <c r="AV38" s="473"/>
      <c r="AW38" s="473"/>
      <c r="AX38" s="169"/>
      <c r="AY38" s="473">
        <f ca="1">IF(ISERROR(HLOOKUP(AY$24,Tulem!$A$5:$CF$140,$AA38,FALSE)),"",HLOOKUP(AY$24,Tulem!$A$5:$CF$140,$AA38,FALSE))</f>
        <v>0</v>
      </c>
      <c r="AZ38" s="473"/>
      <c r="BA38" s="473"/>
      <c r="BB38" s="170"/>
      <c r="BC38" s="464">
        <f ca="1">IF(ISERROR(HLOOKUP(BC$24,Tulem!$A$5:$CF$140,$AA38,FALSE)),"",HLOOKUP(BC$24,Tulem!$A$5:$CF$140,$AA38,FALSE))</f>
        <v>0.63336252140800098</v>
      </c>
      <c r="BD38" s="464"/>
      <c r="BE38" s="464"/>
      <c r="BF38" s="170"/>
      <c r="BG38" s="489">
        <f ca="1">IF(ISERROR(HLOOKUP(BG$24,Tulem!$A$5:$CF$140,$AA38,FALSE)),"",HLOOKUP(BG$24,Tulem!$A$5:$CF$140,$AA38,FALSE))</f>
        <v>90</v>
      </c>
      <c r="BH38" s="489"/>
      <c r="BI38" s="489"/>
      <c r="BJ38" s="170"/>
      <c r="BK38" s="464">
        <f ca="1">IF(ISERROR(HLOOKUP(BK$24,Tulem!$A$5:$CF$140,$AA38,FALSE)),"",HLOOKUP(BK$24,Tulem!$A$5:$CF$140,$AA38,FALSE))</f>
        <v>1</v>
      </c>
      <c r="BL38" s="464"/>
      <c r="BM38" s="464"/>
      <c r="BN38" s="170"/>
      <c r="BO38" s="470">
        <f ca="1">IF(ISERROR(HLOOKUP(BO$24,Tulem!$A$5:$CF$140,$AA38,FALSE)),"",HLOOKUP(BO$24,Tulem!$A$5:$CF$140,$AA38,FALSE))</f>
        <v>0.36609829488465395</v>
      </c>
      <c r="BP38" s="470"/>
      <c r="BQ38" s="470"/>
      <c r="BR38" s="170"/>
      <c r="BS38" s="464">
        <f ca="1">IF(ISERROR(HLOOKUP(BS$24,Tulem!$A$5:$CF$140,$AA38,FALSE)),"",HLOOKUP(BS$24,Tulem!$A$5:$CF$140,$AA38,FALSE))</f>
        <v>0.64611056303807113</v>
      </c>
      <c r="BT38" s="464"/>
      <c r="BU38" s="464"/>
      <c r="BV38" s="170"/>
      <c r="BW38" s="469">
        <f ca="1">IF(ISERROR(HLOOKUP(BW$24,Tulem!$A$5:$CF$140,$AA38,FALSE)),"",HLOOKUP(BW$24,Tulem!$A$5:$CF$140,$AA38,FALSE))</f>
        <v>38.866388888888892</v>
      </c>
      <c r="BX38" s="469"/>
      <c r="BY38" s="469"/>
      <c r="BZ38" s="170"/>
      <c r="CA38" s="470">
        <f ca="1">IF(ISERROR(HLOOKUP(CA$24,Tulem!$A$5:$CF$140,$AA38,FALSE)),"",HLOOKUP(CA$24,Tulem!$A$5:$CF$140,$AA38,FALSE))</f>
        <v>2.5620074329845279E-2</v>
      </c>
      <c r="CB38" s="470"/>
      <c r="CC38" s="470"/>
      <c r="CD38" s="170"/>
      <c r="CE38" s="464">
        <f ca="1">IF(ISERROR(HLOOKUP(CE$24,Tulem!$A$5:$CF$140,$AA38,FALSE)),"",HLOOKUP(CE$24,Tulem!$A$5:$CF$140,$AA38,FALSE))</f>
        <v>0.55518194882771377</v>
      </c>
      <c r="CF38" s="464"/>
      <c r="CG38" s="464"/>
      <c r="CH38" s="170"/>
      <c r="CI38" s="469">
        <f ca="1">IF(ISERROR(HLOOKUP(CI$24,Tulem!$A$5:$CF$140,$AA38,FALSE)),"",HLOOKUP(CI$24,Tulem!$A$5:$CF$140,$AA38,FALSE))</f>
        <v>10.67</v>
      </c>
      <c r="CJ38" s="469"/>
      <c r="CK38" s="469"/>
      <c r="CL38" s="170"/>
      <c r="CM38" s="470">
        <f ca="1">IF(ISERROR(HLOOKUP(CM$24,Tulem!$A$5:$CF$140,$AA38,FALSE)),"",HLOOKUP(CM$24,Tulem!$A$5:$CF$140,$AA38,FALSE))</f>
        <v>1.3240980689949371E-2</v>
      </c>
      <c r="CN38" s="470"/>
      <c r="CO38" s="470"/>
      <c r="CP38" s="266"/>
      <c r="CQ38" s="470">
        <f ca="1">IF(ISERROR(HLOOKUP(CQ$24,Tulem!$A$5:$CF$140,$AA38,FALSE)),"",HLOOKUP(CQ$24,Tulem!$A$5:$CF$140,$AA38,FALSE))</f>
        <v>5.8899192587170239E-3</v>
      </c>
      <c r="CR38" s="470"/>
      <c r="CS38" s="470"/>
      <c r="CT38" s="266"/>
      <c r="CU38" s="470">
        <f ca="1">IF(ISERROR(HLOOKUP(CU$24,Tulem!$A$5:$CF$140,$AA38,FALSE)),"",HLOOKUP(CU$24,Tulem!$A$5:$CF$140,$AA38,FALSE))</f>
        <v>6.373069332196446E-4</v>
      </c>
      <c r="CV38" s="470"/>
      <c r="CW38" s="470"/>
      <c r="CX38" s="170"/>
      <c r="CY38" s="470">
        <f ca="1">IF(ISERROR(HLOOKUP(CY$24,Tulem!$A$5:$CF$140,$AA38,FALSE)),"",HLOOKUP(CY$24,Tulem!$A$5:$CF$140,$AA38,FALSE))</f>
        <v>1.2700248739138373E-2</v>
      </c>
      <c r="CZ38" s="470"/>
      <c r="DA38" s="470"/>
      <c r="DB38" s="170"/>
      <c r="DC38" s="473">
        <f ca="1">IF(ISERROR(HLOOKUP(DC$24,Tulem!$A$5:$CF$140,$AA38,FALSE)),"",HLOOKUP(DC$24,Tulem!$A$5:$CF$140,$AA38,FALSE))</f>
        <v>7.6038313570900957</v>
      </c>
      <c r="DD38" s="473"/>
      <c r="DE38" s="473"/>
      <c r="DF38" s="171"/>
      <c r="DG38" s="481">
        <f ca="1">IF(ISERROR(HLOOKUP(DG$24,Tulem!$A$5:$CF$140,$AA38,FALSE)),"",HLOOKUP(DG$24,Tulem!$A$5:$CF$140,$AA38,FALSE))</f>
        <v>6947.5222404417173</v>
      </c>
      <c r="DH38" s="481"/>
      <c r="DI38" s="481"/>
      <c r="DJ38" s="171"/>
      <c r="DK38" s="473">
        <f ca="1">IF(ISERROR(HLOOKUP(DK$24,Tulem!$A$5:$CF$140,$AA38,FALSE)),"",HLOOKUP(DK$24,Tulem!$A$5:$CF$140,$AA38,FALSE))</f>
        <v>9.2170000000000005</v>
      </c>
      <c r="DL38" s="473"/>
      <c r="DM38" s="473"/>
      <c r="DN38" s="170"/>
      <c r="DO38" s="464">
        <f ca="1">IF(ISERROR(HLOOKUP(DO$24,Tulem!$A$5:$CF$140,$AA38,FALSE)),"",HLOOKUP(DO$24,Tulem!$A$5:$CF$140,$AA38,FALSE))</f>
        <v>-7.3291596440282575E-2</v>
      </c>
      <c r="DP38" s="464"/>
      <c r="DQ38" s="464"/>
      <c r="DR38" s="170"/>
      <c r="DS38" s="464">
        <f ca="1">IF(ISERROR(HLOOKUP(DS$24,Tulem!$A$5:$CF$140,$AA38,FALSE)),"",HLOOKUP(DS$24,Tulem!$A$5:$CF$140,$AA38,FALSE))</f>
        <v>-0.19966539199296618</v>
      </c>
      <c r="DT38" s="464"/>
      <c r="DU38" s="464"/>
      <c r="DV38" s="170"/>
      <c r="DW38" s="464">
        <f ca="1">IF(ISERROR(HLOOKUP(DW$24,Tulem!$A$5:$CF$140,$AA38,FALSE)),"",HLOOKUP(DW$24,Tulem!$A$5:$CF$140,$AA38,FALSE))</f>
        <v>-0.13211680225103617</v>
      </c>
      <c r="DX38" s="464"/>
      <c r="DY38" s="464"/>
      <c r="DZ38" s="170"/>
      <c r="EA38" s="469">
        <f ca="1">IF(ISERROR(HLOOKUP(EA$24,Tulem!$A$5:$CF$140,$AA38,FALSE)),"",HLOOKUP(EA$24,Tulem!$A$5:$CF$140,$AA38,FALSE))</f>
        <v>3.4793975506064014</v>
      </c>
      <c r="EB38" s="469"/>
      <c r="EC38" s="469"/>
      <c r="ED38" s="171"/>
      <c r="EE38" s="469">
        <f ca="1">IF(ISERROR(HLOOKUP(EE$24,Tulem!$A$5:$CF$140,$AA38,FALSE)),"",HLOOKUP(EE$24,Tulem!$A$5:$CF$140,$AA38,FALSE))</f>
        <v>1.177</v>
      </c>
      <c r="EF38" s="469"/>
      <c r="EG38" s="469"/>
      <c r="EH38" s="170"/>
      <c r="EI38" s="469">
        <f ca="1">IF(ISERROR(HLOOKUP(EI$24,Tulem!$A$5:$CF$140,$AA38,FALSE)),"",HLOOKUP(EI$24,Tulem!$A$5:$CF$140,$AA38,FALSE))</f>
        <v>1.03788499063732</v>
      </c>
      <c r="EJ38" s="469"/>
      <c r="EK38" s="469"/>
      <c r="EL38" s="171"/>
      <c r="EM38" s="469">
        <f ca="1">IF(ISERROR(HLOOKUP(EM$24,Tulem!$A$5:$CF$140,$AA38,FALSE)),"",HLOOKUP(EM$24,Tulem!$A$5:$CF$140,$AA38,FALSE))</f>
        <v>16.029721793242818</v>
      </c>
      <c r="EN38" s="469"/>
      <c r="EO38" s="469"/>
      <c r="EP38" s="171"/>
      <c r="EQ38" s="469">
        <f ca="1">IF(ISERROR(HLOOKUP(EQ$24,Tulem!$A$5:$CF$140,$AA38,FALSE)),"",HLOOKUP(EQ$24,Tulem!$A$5:$CF$140,$AA38,FALSE))</f>
        <v>6.0056988012134216</v>
      </c>
      <c r="ER38" s="469"/>
      <c r="ES38" s="469"/>
      <c r="ET38" s="170"/>
      <c r="EU38" s="469">
        <f ca="1">IF(ISERROR(HLOOKUP(EU$24,Tulem!$A$5:$CF$140,$AA38,FALSE)),"",HLOOKUP(EU$24,Tulem!$A$5:$CF$140,$AA38,FALSE))</f>
        <v>1.7198849906373199</v>
      </c>
      <c r="EV38" s="469"/>
      <c r="EW38" s="469"/>
      <c r="EX38" s="170"/>
      <c r="EY38" s="473">
        <f ca="1">IF(ISERROR(HLOOKUP(EY$24,Tulem!$A$5:$CF$140,$AA38,FALSE)),"",HLOOKUP(EY$24,Tulem!$A$5:$CF$140,$AA38,FALSE))</f>
        <v>75</v>
      </c>
      <c r="EZ38" s="473"/>
      <c r="FA38" s="473"/>
      <c r="FB38" s="171"/>
      <c r="FC38" s="469">
        <f ca="1">IF(ISERROR(HLOOKUP(FC$24,Tulem!$A$5:$CF$140,$AA38,FALSE)),"",HLOOKUP(FC$24,Tulem!$A$5:$CF$140,$AA38,FALSE))</f>
        <v>8.5299999999999994</v>
      </c>
      <c r="FD38" s="469"/>
      <c r="FE38" s="469"/>
      <c r="FF38" s="170"/>
      <c r="FG38" s="473">
        <f ca="1">IF(ISERROR(HLOOKUP(FG$24,Tulem!$A$5:$CF$140,$AA38,FALSE)),"",HLOOKUP(FG$24,Tulem!$A$5:$CF$140,$AA38,FALSE))</f>
        <v>33.973888888888887</v>
      </c>
      <c r="FH38" s="473"/>
      <c r="FI38" s="473"/>
      <c r="FJ38" s="170"/>
      <c r="FK38" s="469">
        <f ca="1">IF(ISERROR(HLOOKUP(FK$24,Tulem!$A$5:$CF$140,$AA38,FALSE)),"",HLOOKUP(FK$24,Tulem!$A$5:$CF$140,$AA38,FALSE))</f>
        <v>3.6436060000000001</v>
      </c>
      <c r="FL38" s="469"/>
      <c r="FM38" s="469"/>
      <c r="FO38" s="473">
        <f ca="1">IF(ISERROR(HLOOKUP(FO$24,Tulem!$A$5:$CF$140,$AA38,FALSE)),"",HLOOKUP(FO$24,Tulem!$A$5:$CF$140,$AA38,FALSE))</f>
        <v>285.10000000000002</v>
      </c>
      <c r="FP38" s="473"/>
      <c r="FQ38" s="473"/>
      <c r="FS38" s="469">
        <f ca="1">IF(ISERROR(HLOOKUP(FS$24,Tulem!$A$5:$CF$140,$AA38,FALSE)),"",HLOOKUP(FS$24,Tulem!$A$5:$CF$140,$AA38,FALSE))</f>
        <v>2.7810000000000001</v>
      </c>
      <c r="FT38" s="469"/>
      <c r="FU38" s="469"/>
      <c r="FW38" s="476">
        <f ca="1">IF(ISERROR(HLOOKUP(FW$24,Tulem!$A$5:$CF$140,$AA38,FALSE)),"",HLOOKUP(FW$24,Tulem!$A$5:$CF$140,$AA38,FALSE))</f>
        <v>0.19900000000000001</v>
      </c>
      <c r="FX38" s="476"/>
      <c r="FY38" s="476"/>
      <c r="FZ38" s="327"/>
      <c r="GA38" s="476">
        <f ca="1">IF(ISERROR(HLOOKUP(GA$24,Tulem!$A$5:$CF$140,$AA38,FALSE)),"",HLOOKUP(GA$24,Tulem!$A$5:$CF$140,$AA38,FALSE))</f>
        <v>0.72299999999999998</v>
      </c>
      <c r="GB38" s="476"/>
      <c r="GC38" s="476"/>
      <c r="GE38" s="475">
        <f ca="1">IF(ISERROR(HLOOKUP(GE$24,Tulem!$A$5:$CF$140,$AA38,FALSE)),"",HLOOKUP(GE$24,Tulem!$A$5:$CF$140,$AA38,FALSE))</f>
        <v>714</v>
      </c>
      <c r="GF38" s="475"/>
      <c r="GG38" s="475"/>
      <c r="GI38" s="471" t="str">
        <f>IF(ISERROR(HLOOKUP(GI$24,Tulem!$A$5:$CF$140,$AA38,FALSE)),"",HLOOKUP(GI$24,Tulem!$A$5:$CF$140,$AA38,FALSE))</f>
        <v/>
      </c>
      <c r="GJ38" s="471"/>
      <c r="GK38" s="471"/>
      <c r="GM38" s="469" t="str">
        <f>IF(ISERROR(HLOOKUP(GM$24,Tulem!$A$5:$CF$140,$AA38,FALSE)),"",HLOOKUP(GM$24,Tulem!$A$5:$CF$140,$AA38,FALSE))</f>
        <v/>
      </c>
      <c r="GN38" s="469"/>
      <c r="GO38" s="469"/>
    </row>
    <row r="39" spans="1:197" s="50" customFormat="1" x14ac:dyDescent="0.2">
      <c r="A39" s="499" t="s">
        <v>239</v>
      </c>
      <c r="B39" s="499"/>
      <c r="C39" s="499"/>
      <c r="D39" s="499"/>
      <c r="E39" s="499"/>
      <c r="F39" s="499"/>
      <c r="G39" s="53"/>
      <c r="H39" s="53"/>
      <c r="I39" s="53"/>
      <c r="J39" s="53"/>
      <c r="K39" s="53"/>
      <c r="L39" s="53"/>
      <c r="M39" s="53"/>
      <c r="P39" s="496"/>
      <c r="Q39" s="496"/>
      <c r="R39" s="496"/>
      <c r="S39" s="496"/>
      <c r="T39" s="496"/>
      <c r="U39" s="496"/>
      <c r="V39" s="52"/>
      <c r="AA39" s="255"/>
      <c r="AB39" s="172"/>
      <c r="AC39" s="172"/>
      <c r="AD39" s="172"/>
      <c r="AE39" s="172"/>
      <c r="AF39" s="172"/>
      <c r="AG39" s="173"/>
      <c r="AH39" s="173"/>
      <c r="AI39" s="173"/>
      <c r="AJ39" s="173"/>
      <c r="AK39" s="172"/>
      <c r="AL39" s="173"/>
      <c r="AM39" s="173"/>
      <c r="AN39" s="173"/>
      <c r="AO39" s="173"/>
      <c r="AP39" s="173"/>
      <c r="AQ39" s="173"/>
      <c r="AR39" s="173"/>
      <c r="AS39" s="173"/>
      <c r="AT39" s="173"/>
      <c r="AU39" s="173"/>
      <c r="AV39" s="173"/>
      <c r="AW39" s="173"/>
      <c r="AX39" s="173"/>
      <c r="AY39" s="173"/>
      <c r="AZ39" s="173"/>
      <c r="BA39" s="173"/>
      <c r="BB39" s="173"/>
      <c r="BC39" s="261"/>
      <c r="BD39" s="261"/>
      <c r="BE39" s="261"/>
      <c r="BF39" s="173"/>
      <c r="BG39" s="173"/>
      <c r="BH39" s="173"/>
      <c r="BI39" s="173"/>
      <c r="BJ39" s="173"/>
      <c r="BK39" s="261"/>
      <c r="BL39" s="261"/>
      <c r="BM39" s="261"/>
      <c r="BN39" s="170"/>
      <c r="BO39" s="263"/>
      <c r="BP39" s="263"/>
      <c r="BQ39" s="263"/>
      <c r="BR39" s="170"/>
      <c r="BS39" s="261"/>
      <c r="BT39" s="261"/>
      <c r="BU39" s="261"/>
      <c r="BV39" s="170"/>
      <c r="BW39" s="174"/>
      <c r="BX39" s="174"/>
      <c r="BY39" s="174"/>
      <c r="BZ39" s="170"/>
      <c r="CA39" s="263"/>
      <c r="CB39" s="263"/>
      <c r="CC39" s="263"/>
      <c r="CD39" s="170"/>
      <c r="CE39" s="261"/>
      <c r="CF39" s="261"/>
      <c r="CG39" s="261"/>
      <c r="CH39" s="170"/>
      <c r="CI39" s="174"/>
      <c r="CJ39" s="174"/>
      <c r="CK39" s="174"/>
      <c r="CL39" s="170"/>
      <c r="CM39" s="263"/>
      <c r="CN39" s="263"/>
      <c r="CO39" s="263"/>
      <c r="CP39" s="266"/>
      <c r="CQ39" s="263"/>
      <c r="CR39" s="263"/>
      <c r="CS39" s="263"/>
      <c r="CT39" s="266"/>
      <c r="CU39" s="263"/>
      <c r="CV39" s="263"/>
      <c r="CW39" s="263"/>
      <c r="CX39" s="170"/>
      <c r="CY39" s="263"/>
      <c r="CZ39" s="263"/>
      <c r="DA39" s="263"/>
      <c r="DB39" s="170"/>
      <c r="DC39" s="173"/>
      <c r="DD39" s="173"/>
      <c r="DE39" s="173"/>
      <c r="DF39" s="171"/>
      <c r="DG39" s="338"/>
      <c r="DH39" s="338"/>
      <c r="DI39" s="338"/>
      <c r="DJ39" s="171"/>
      <c r="DK39" s="173"/>
      <c r="DL39" s="173"/>
      <c r="DM39" s="173"/>
      <c r="DN39" s="170"/>
      <c r="DO39" s="261"/>
      <c r="DP39" s="261"/>
      <c r="DQ39" s="261"/>
      <c r="DR39" s="170"/>
      <c r="DS39" s="261"/>
      <c r="DT39" s="261"/>
      <c r="DU39" s="261"/>
      <c r="DV39" s="170"/>
      <c r="DW39" s="261"/>
      <c r="DX39" s="261"/>
      <c r="DY39" s="261"/>
      <c r="DZ39" s="170"/>
      <c r="EA39" s="174"/>
      <c r="EB39" s="174"/>
      <c r="EC39" s="174"/>
      <c r="ED39" s="171"/>
      <c r="EE39" s="174"/>
      <c r="EF39" s="174"/>
      <c r="EG39" s="174"/>
      <c r="EH39" s="170"/>
      <c r="EI39" s="174"/>
      <c r="EJ39" s="174"/>
      <c r="EK39" s="174"/>
      <c r="EL39" s="171"/>
      <c r="EM39" s="174"/>
      <c r="EN39" s="174"/>
      <c r="EO39" s="174"/>
      <c r="EP39" s="171"/>
      <c r="EQ39" s="174"/>
      <c r="ER39" s="174"/>
      <c r="ES39" s="174"/>
      <c r="ET39" s="170"/>
      <c r="EU39" s="174"/>
      <c r="EV39" s="174"/>
      <c r="EW39" s="174"/>
      <c r="EX39" s="170"/>
      <c r="EY39" s="173"/>
      <c r="EZ39" s="173"/>
      <c r="FA39" s="173"/>
      <c r="FB39" s="171"/>
      <c r="FC39" s="174"/>
      <c r="FD39" s="174"/>
      <c r="FE39" s="174"/>
      <c r="FF39" s="170"/>
      <c r="FG39" s="173"/>
      <c r="FH39" s="173"/>
      <c r="FI39" s="173"/>
      <c r="FJ39" s="170"/>
      <c r="FK39" s="174"/>
      <c r="FL39" s="174"/>
      <c r="FM39" s="174"/>
      <c r="FO39" s="173"/>
      <c r="FP39" s="173"/>
      <c r="FQ39" s="173"/>
      <c r="FS39" s="174"/>
      <c r="FT39" s="174"/>
      <c r="FU39" s="174"/>
      <c r="FW39" s="328"/>
      <c r="FX39" s="328"/>
      <c r="FY39" s="328"/>
      <c r="FZ39" s="327"/>
      <c r="GA39" s="328"/>
      <c r="GB39" s="328"/>
      <c r="GC39" s="328"/>
      <c r="GE39" s="364"/>
      <c r="GF39" s="364"/>
      <c r="GG39" s="364"/>
      <c r="GI39" s="175"/>
      <c r="GJ39" s="175"/>
      <c r="GK39" s="175"/>
      <c r="GM39" s="174"/>
      <c r="GN39" s="174"/>
      <c r="GO39" s="174"/>
    </row>
    <row r="40" spans="1:197" s="50" customFormat="1" ht="16.25" customHeight="1" outlineLevel="1" x14ac:dyDescent="0.2">
      <c r="A40" s="499">
        <v>11</v>
      </c>
      <c r="B40" s="499"/>
      <c r="C40" s="499"/>
      <c r="D40" s="496" t="str">
        <f ca="1">IF(ISERROR(Tulem!E16),"",Tulem!E16)</f>
        <v>Sekkuv</v>
      </c>
      <c r="E40" s="496"/>
      <c r="F40" s="496"/>
      <c r="G40" s="496"/>
      <c r="I40" s="496" t="str">
        <f ca="1">IF(ISERROR(Tulem!D16),"",Tulem!D16)</f>
        <v>Sekkuv/EÜ</v>
      </c>
      <c r="J40" s="496"/>
      <c r="K40" s="496"/>
      <c r="L40" s="496"/>
      <c r="M40" s="496"/>
      <c r="P40" s="496" t="str">
        <f ca="1">IF(ISERROR(Tulem!G16),"",Tulem!G16)</f>
        <v>LIB</v>
      </c>
      <c r="Q40" s="496"/>
      <c r="R40" s="496"/>
      <c r="S40" s="496"/>
      <c r="T40" s="496"/>
      <c r="U40" s="496"/>
      <c r="V40" s="496" t="str">
        <f ca="1">IF(ISERROR(Tulem!F16),"",Tulem!F16)</f>
        <v>Mittesekkuv</v>
      </c>
      <c r="W40" s="496"/>
      <c r="X40" s="496"/>
      <c r="Y40" s="496"/>
      <c r="Z40" s="496"/>
      <c r="AA40" s="255">
        <v>12</v>
      </c>
      <c r="AB40" s="497">
        <f ca="1">IF(ISERROR(HLOOKUP(AB$24,Tulem!$A$5:$CF$140,$AA40,FALSE)),"",HLOOKUP(AB$24,Tulem!$A$5:$CF$140,$AA40,FALSE))</f>
        <v>5.6429680009667482</v>
      </c>
      <c r="AC40" s="497"/>
      <c r="AD40" s="497"/>
      <c r="AE40" s="497"/>
      <c r="AF40" s="166"/>
      <c r="AG40" s="480">
        <f ca="1">IF(ISERROR(HLOOKUP(AG$24,Tulem!$A$5:$CF$140,$AA40,FALSE)),"",HLOOKUP(AG$24,Tulem!$A$5:$CF$140,$AA40,FALSE))</f>
        <v>314.96626792954498</v>
      </c>
      <c r="AH40" s="480"/>
      <c r="AI40" s="480"/>
      <c r="AJ40" s="480"/>
      <c r="AK40" s="167"/>
      <c r="AL40" s="480">
        <f ca="1">IF(ISERROR(HLOOKUP(AL$24,Tulem!$A$5:$CF$140,$AA40,FALSE)),"",HLOOKUP(AL$24,Tulem!$A$5:$CF$140,$AA40,FALSE))</f>
        <v>11.713532465820407</v>
      </c>
      <c r="AM40" s="480"/>
      <c r="AN40" s="480"/>
      <c r="AO40" s="480"/>
      <c r="AP40" s="168"/>
      <c r="AQ40" s="473">
        <f ca="1">IF(ISERROR(HLOOKUP(AQ$24,Tulem!$A$5:$CF$140,$AA40,FALSE)),"",HLOOKUP(AQ$24,Tulem!$A$5:$CF$140,$AA40,FALSE))</f>
        <v>-162.95750000000001</v>
      </c>
      <c r="AR40" s="473"/>
      <c r="AS40" s="473"/>
      <c r="AT40" s="168"/>
      <c r="AU40" s="473">
        <f ca="1">IF(ISERROR(HLOOKUP(AU$24,Tulem!$A$5:$CF$140,$AA40,FALSE)),"",HLOOKUP(AU$24,Tulem!$A$5:$CF$140,$AA40,FALSE))</f>
        <v>174.67103246582042</v>
      </c>
      <c r="AV40" s="473"/>
      <c r="AW40" s="473"/>
      <c r="AX40" s="169"/>
      <c r="AY40" s="473">
        <f ca="1">IF(ISERROR(HLOOKUP(AY$24,Tulem!$A$5:$CF$140,$AA40,FALSE)),"",HLOOKUP(AY$24,Tulem!$A$5:$CF$140,$AA40,FALSE))</f>
        <v>0</v>
      </c>
      <c r="AZ40" s="473"/>
      <c r="BA40" s="473"/>
      <c r="BB40" s="170"/>
      <c r="BC40" s="464">
        <f ca="1">IF(ISERROR(HLOOKUP(BC$24,Tulem!$A$5:$CF$140,$AA40,FALSE)),"",HLOOKUP(BC$24,Tulem!$A$5:$CF$140,$AA40,FALSE))</f>
        <v>0.55300023275351873</v>
      </c>
      <c r="BD40" s="464"/>
      <c r="BE40" s="464"/>
      <c r="BF40" s="170"/>
      <c r="BG40" s="489">
        <f ca="1">IF(ISERROR(HLOOKUP(BG$24,Tulem!$A$5:$CF$140,$AA40,FALSE)),"",HLOOKUP(BG$24,Tulem!$A$5:$CF$140,$AA40,FALSE))</f>
        <v>90</v>
      </c>
      <c r="BH40" s="489"/>
      <c r="BI40" s="489"/>
      <c r="BJ40" s="170"/>
      <c r="BK40" s="464">
        <f ca="1">IF(ISERROR(HLOOKUP(BK$24,Tulem!$A$5:$CF$140,$AA40,FALSE)),"",HLOOKUP(BK$24,Tulem!$A$5:$CF$140,$AA40,FALSE))</f>
        <v>1</v>
      </c>
      <c r="BL40" s="464"/>
      <c r="BM40" s="464"/>
      <c r="BN40" s="170"/>
      <c r="BO40" s="470">
        <f ca="1">IF(ISERROR(HLOOKUP(BO$24,Tulem!$A$5:$CF$140,$AA40,FALSE)),"",HLOOKUP(BO$24,Tulem!$A$5:$CF$140,$AA40,FALSE))</f>
        <v>0.27911646586345373</v>
      </c>
      <c r="BP40" s="470"/>
      <c r="BQ40" s="470"/>
      <c r="BR40" s="170"/>
      <c r="BS40" s="464">
        <f ca="1">IF(ISERROR(HLOOKUP(BS$24,Tulem!$A$5:$CF$140,$AA40,FALSE)),"",HLOOKUP(BS$24,Tulem!$A$5:$CF$140,$AA40,FALSE))</f>
        <v>0.36791956700630501</v>
      </c>
      <c r="BT40" s="464"/>
      <c r="BU40" s="464"/>
      <c r="BV40" s="170"/>
      <c r="BW40" s="469">
        <f ca="1">IF(ISERROR(HLOOKUP(BW$24,Tulem!$A$5:$CF$140,$AA40,FALSE)),"",HLOOKUP(BW$24,Tulem!$A$5:$CF$140,$AA40,FALSE))</f>
        <v>43.302900516795866</v>
      </c>
      <c r="BX40" s="469"/>
      <c r="BY40" s="469"/>
      <c r="BZ40" s="170"/>
      <c r="CA40" s="470">
        <f ca="1">IF(ISERROR(HLOOKUP(CA$24,Tulem!$A$5:$CF$140,$AA40,FALSE)),"",HLOOKUP(CA$24,Tulem!$A$5:$CF$140,$AA40,FALSE))</f>
        <v>2.5620074329845279E-2</v>
      </c>
      <c r="CB40" s="470"/>
      <c r="CC40" s="470"/>
      <c r="CD40" s="170"/>
      <c r="CE40" s="464">
        <f ca="1">IF(ISERROR(HLOOKUP(CE$24,Tulem!$A$5:$CF$140,$AA40,FALSE)),"",HLOOKUP(CE$24,Tulem!$A$5:$CF$140,$AA40,FALSE))</f>
        <v>0.447957193299102</v>
      </c>
      <c r="CF40" s="464"/>
      <c r="CG40" s="464"/>
      <c r="CH40" s="170"/>
      <c r="CI40" s="469">
        <f ca="1">IF(ISERROR(HLOOKUP(CI$24,Tulem!$A$5:$CF$140,$AA40,FALSE)),"",HLOOKUP(CI$24,Tulem!$A$5:$CF$140,$AA40,FALSE))</f>
        <v>6.08</v>
      </c>
      <c r="CJ40" s="469"/>
      <c r="CK40" s="469"/>
      <c r="CL40" s="170"/>
      <c r="CM40" s="470">
        <f ca="1">IF(ISERROR(HLOOKUP(CM$24,Tulem!$A$5:$CF$140,$AA40,FALSE)),"",HLOOKUP(CM$24,Tulem!$A$5:$CF$140,$AA40,FALSE))</f>
        <v>1.2055010155737268E-2</v>
      </c>
      <c r="CN40" s="470"/>
      <c r="CO40" s="470"/>
      <c r="CP40" s="266"/>
      <c r="CQ40" s="470">
        <f ca="1">IF(ISERROR(HLOOKUP(CQ$24,Tulem!$A$5:$CF$140,$AA40,FALSE)),"",HLOOKUP(CQ$24,Tulem!$A$5:$CF$140,$AA40,FALSE))</f>
        <v>6.6081166904124796E-3</v>
      </c>
      <c r="CR40" s="470"/>
      <c r="CS40" s="470"/>
      <c r="CT40" s="266"/>
      <c r="CU40" s="470">
        <f ca="1">IF(ISERROR(HLOOKUP(CU$24,Tulem!$A$5:$CF$140,$AA40,FALSE)),"",HLOOKUP(CU$24,Tulem!$A$5:$CF$140,$AA40,FALSE))</f>
        <v>9.2316975648529254E-4</v>
      </c>
      <c r="CV40" s="470"/>
      <c r="CW40" s="470"/>
      <c r="CX40" s="170"/>
      <c r="CY40" s="470">
        <f ca="1">IF(ISERROR(HLOOKUP(CY$24,Tulem!$A$5:$CF$140,$AA40,FALSE)),"",HLOOKUP(CY$24,Tulem!$A$5:$CF$140,$AA40,FALSE))</f>
        <v>1.1225113498030251E-2</v>
      </c>
      <c r="CZ40" s="470"/>
      <c r="DA40" s="470"/>
      <c r="DB40" s="170"/>
      <c r="DC40" s="473">
        <f ca="1">IF(ISERROR(HLOOKUP(DC$24,Tulem!$A$5:$CF$140,$AA40,FALSE)),"",HLOOKUP(DC$24,Tulem!$A$5:$CF$140,$AA40,FALSE))</f>
        <v>7.5609999999999999</v>
      </c>
      <c r="DD40" s="473"/>
      <c r="DE40" s="473"/>
      <c r="DF40" s="171"/>
      <c r="DG40" s="481">
        <f ca="1">IF(ISERROR(HLOOKUP(DG$24,Tulem!$A$5:$CF$140,$AA40,FALSE)),"",HLOOKUP(DG$24,Tulem!$A$5:$CF$140,$AA40,FALSE))</f>
        <v>6002.4506406311502</v>
      </c>
      <c r="DH40" s="481"/>
      <c r="DI40" s="481"/>
      <c r="DJ40" s="171"/>
      <c r="DK40" s="473">
        <f ca="1">IF(ISERROR(HLOOKUP(DK$24,Tulem!$A$5:$CF$140,$AA40,FALSE)),"",HLOOKUP(DK$24,Tulem!$A$5:$CF$140,$AA40,FALSE))</f>
        <v>9.68</v>
      </c>
      <c r="DL40" s="473"/>
      <c r="DM40" s="473"/>
      <c r="DN40" s="170"/>
      <c r="DO40" s="464">
        <f ca="1">IF(ISERROR(HLOOKUP(DO$24,Tulem!$A$5:$CF$140,$AA40,FALSE)),"",HLOOKUP(DO$24,Tulem!$A$5:$CF$140,$AA40,FALSE))</f>
        <v>-5.2846876197328384E-2</v>
      </c>
      <c r="DP40" s="464"/>
      <c r="DQ40" s="464"/>
      <c r="DR40" s="170"/>
      <c r="DS40" s="464">
        <f ca="1">IF(ISERROR(HLOOKUP(DS$24,Tulem!$A$5:$CF$140,$AA40,FALSE)),"",HLOOKUP(DS$24,Tulem!$A$5:$CF$140,$AA40,FALSE))</f>
        <v>-5.9479223917081457E-2</v>
      </c>
      <c r="DT40" s="464"/>
      <c r="DU40" s="464"/>
      <c r="DV40" s="170"/>
      <c r="DW40" s="464">
        <f ca="1">IF(ISERROR(HLOOKUP(DW$24,Tulem!$A$5:$CF$140,$AA40,FALSE)),"",HLOOKUP(DW$24,Tulem!$A$5:$CF$140,$AA40,FALSE))</f>
        <v>-8.3132550627432633E-2</v>
      </c>
      <c r="DX40" s="464"/>
      <c r="DY40" s="464"/>
      <c r="DZ40" s="170"/>
      <c r="EA40" s="469">
        <f ca="1">IF(ISERROR(HLOOKUP(EA$24,Tulem!$A$5:$CF$140,$AA40,FALSE)),"",HLOOKUP(EA$24,Tulem!$A$5:$CF$140,$AA40,FALSE))</f>
        <v>7.1506303115986807</v>
      </c>
      <c r="EB40" s="469"/>
      <c r="EC40" s="469"/>
      <c r="ED40" s="171"/>
      <c r="EE40" s="469">
        <f ca="1">IF(ISERROR(HLOOKUP(EE$24,Tulem!$A$5:$CF$140,$AA40,FALSE)),"",HLOOKUP(EE$24,Tulem!$A$5:$CF$140,$AA40,FALSE))</f>
        <v>4.9059999999999997</v>
      </c>
      <c r="EF40" s="469"/>
      <c r="EG40" s="469"/>
      <c r="EH40" s="170"/>
      <c r="EI40" s="469">
        <f ca="1">IF(ISERROR(HLOOKUP(EI$24,Tulem!$A$5:$CF$140,$AA40,FALSE)),"",HLOOKUP(EI$24,Tulem!$A$5:$CF$140,$AA40,FALSE))</f>
        <v>1.03788499063732</v>
      </c>
      <c r="EJ40" s="469"/>
      <c r="EK40" s="469"/>
      <c r="EL40" s="171"/>
      <c r="EM40" s="469">
        <f ca="1">IF(ISERROR(HLOOKUP(EM$24,Tulem!$A$5:$CF$140,$AA40,FALSE)),"",HLOOKUP(EM$24,Tulem!$A$5:$CF$140,$AA40,FALSE))</f>
        <v>16.46</v>
      </c>
      <c r="EN40" s="469"/>
      <c r="EO40" s="469"/>
      <c r="EP40" s="171"/>
      <c r="EQ40" s="469">
        <f ca="1">IF(ISERROR(HLOOKUP(EQ$24,Tulem!$A$5:$CF$140,$AA40,FALSE)),"",HLOOKUP(EQ$24,Tulem!$A$5:$CF$140,$AA40,FALSE))</f>
        <v>11.220496548433506</v>
      </c>
      <c r="ER40" s="469"/>
      <c r="ES40" s="469"/>
      <c r="ET40" s="170"/>
      <c r="EU40" s="469">
        <f ca="1">IF(ISERROR(HLOOKUP(EU$24,Tulem!$A$5:$CF$140,$AA40,FALSE)),"",HLOOKUP(EU$24,Tulem!$A$5:$CF$140,$AA40,FALSE))</f>
        <v>2.7248849906373196</v>
      </c>
      <c r="EV40" s="469"/>
      <c r="EW40" s="469"/>
      <c r="EX40" s="170"/>
      <c r="EY40" s="473">
        <f ca="1">IF(ISERROR(HLOOKUP(EY$24,Tulem!$A$5:$CF$140,$AA40,FALSE)),"",HLOOKUP(EY$24,Tulem!$A$5:$CF$140,$AA40,FALSE))</f>
        <v>67</v>
      </c>
      <c r="EZ40" s="473"/>
      <c r="FA40" s="473"/>
      <c r="FB40" s="171"/>
      <c r="FC40" s="469">
        <f ca="1">IF(ISERROR(HLOOKUP(FC$24,Tulem!$A$5:$CF$140,$AA40,FALSE)),"",HLOOKUP(FC$24,Tulem!$A$5:$CF$140,$AA40,FALSE))</f>
        <v>12.632999999999999</v>
      </c>
      <c r="FD40" s="469"/>
      <c r="FE40" s="469"/>
      <c r="FF40" s="170"/>
      <c r="FG40" s="473">
        <f ca="1">IF(ISERROR(HLOOKUP(FG$24,Tulem!$A$5:$CF$140,$AA40,FALSE)),"",HLOOKUP(FG$24,Tulem!$A$5:$CF$140,$AA40,FALSE))</f>
        <v>56.999166666666667</v>
      </c>
      <c r="FH40" s="473"/>
      <c r="FI40" s="473"/>
      <c r="FJ40" s="170"/>
      <c r="FK40" s="469">
        <f ca="1">IF(ISERROR(HLOOKUP(FK$24,Tulem!$A$5:$CF$140,$AA40,FALSE)),"",HLOOKUP(FK$24,Tulem!$A$5:$CF$140,$AA40,FALSE))</f>
        <v>4.5920439999999996</v>
      </c>
      <c r="FL40" s="469"/>
      <c r="FM40" s="469"/>
      <c r="FO40" s="473">
        <f ca="1">IF(ISERROR(HLOOKUP(FO$24,Tulem!$A$5:$CF$140,$AA40,FALSE)),"",HLOOKUP(FO$24,Tulem!$A$5:$CF$140,$AA40,FALSE))</f>
        <v>285</v>
      </c>
      <c r="FP40" s="473"/>
      <c r="FQ40" s="473"/>
      <c r="FS40" s="469">
        <f ca="1">IF(ISERROR(HLOOKUP(FS$24,Tulem!$A$5:$CF$140,$AA40,FALSE)),"",HLOOKUP(FS$24,Tulem!$A$5:$CF$140,$AA40,FALSE))</f>
        <v>2.7810000000000001</v>
      </c>
      <c r="FT40" s="469"/>
      <c r="FU40" s="469"/>
      <c r="FW40" s="476">
        <f ca="1">IF(ISERROR(HLOOKUP(FW$24,Tulem!$A$5:$CF$140,$AA40,FALSE)),"",HLOOKUP(FW$24,Tulem!$A$5:$CF$140,$AA40,FALSE))</f>
        <v>0.19900000000000001</v>
      </c>
      <c r="FX40" s="476"/>
      <c r="FY40" s="476"/>
      <c r="FZ40" s="327"/>
      <c r="GA40" s="476">
        <f ca="1">IF(ISERROR(HLOOKUP(GA$24,Tulem!$A$5:$CF$140,$AA40,FALSE)),"",HLOOKUP(GA$24,Tulem!$A$5:$CF$140,$AA40,FALSE))</f>
        <v>0.72299999999999998</v>
      </c>
      <c r="GB40" s="476"/>
      <c r="GC40" s="476"/>
      <c r="GE40" s="475">
        <f ca="1">IF(ISERROR(HLOOKUP(GE$24,Tulem!$A$5:$CF$140,$AA40,FALSE)),"",HLOOKUP(GE$24,Tulem!$A$5:$CF$140,$AA40,FALSE))</f>
        <v>781</v>
      </c>
      <c r="GF40" s="475"/>
      <c r="GG40" s="475"/>
      <c r="GI40" s="471" t="str">
        <f>IF(ISERROR(HLOOKUP(GI$24,Tulem!$A$5:$CF$140,$AA40,FALSE)),"",HLOOKUP(GI$24,Tulem!$A$5:$CF$140,$AA40,FALSE))</f>
        <v/>
      </c>
      <c r="GJ40" s="471"/>
      <c r="GK40" s="471"/>
      <c r="GM40" s="469" t="str">
        <f>IF(ISERROR(HLOOKUP(GM$24,Tulem!$A$5:$CF$140,$AA40,FALSE)),"",HLOOKUP(GM$24,Tulem!$A$5:$CF$140,$AA40,FALSE))</f>
        <v/>
      </c>
      <c r="GN40" s="469"/>
      <c r="GO40" s="469"/>
    </row>
    <row r="41" spans="1:197" s="50" customFormat="1" ht="16.25" customHeight="1" outlineLevel="1" x14ac:dyDescent="0.2">
      <c r="A41" s="499">
        <v>12</v>
      </c>
      <c r="B41" s="499"/>
      <c r="C41" s="499"/>
      <c r="D41" s="496" t="str">
        <f ca="1">IF(ISERROR(Tulem!E17),"",Tulem!E17)</f>
        <v>Sekkuv</v>
      </c>
      <c r="E41" s="496"/>
      <c r="F41" s="496"/>
      <c r="G41" s="496"/>
      <c r="I41" s="496" t="str">
        <f ca="1">IF(ISERROR(Tulem!D17),"",Tulem!D17)</f>
        <v>Sekkuv/EÜ</v>
      </c>
      <c r="J41" s="496"/>
      <c r="K41" s="496"/>
      <c r="L41" s="496"/>
      <c r="M41" s="496"/>
      <c r="P41" s="496" t="str">
        <f ca="1">IF(ISERROR(Tulem!G17),"",Tulem!G17)</f>
        <v>LIB+</v>
      </c>
      <c r="Q41" s="496"/>
      <c r="R41" s="496"/>
      <c r="S41" s="496"/>
      <c r="T41" s="496"/>
      <c r="U41" s="496"/>
      <c r="V41" s="496" t="str">
        <f ca="1">IF(ISERROR(Tulem!F17),"",Tulem!F17)</f>
        <v>Mittesekkuv</v>
      </c>
      <c r="W41" s="496"/>
      <c r="X41" s="496"/>
      <c r="Y41" s="496"/>
      <c r="Z41" s="496"/>
      <c r="AA41" s="255">
        <v>13</v>
      </c>
      <c r="AB41" s="497">
        <f ca="1">IF(ISERROR(HLOOKUP(AB$24,Tulem!$A$5:$CF$140,$AA41,FALSE)),"",HLOOKUP(AB$24,Tulem!$A$5:$CF$140,$AA41,FALSE))</f>
        <v>5.6463878335862052</v>
      </c>
      <c r="AC41" s="497"/>
      <c r="AD41" s="497"/>
      <c r="AE41" s="497"/>
      <c r="AF41" s="166"/>
      <c r="AG41" s="480">
        <f ca="1">IF(ISERROR(HLOOKUP(AG$24,Tulem!$A$5:$CF$140,$AA41,FALSE)),"",HLOOKUP(AG$24,Tulem!$A$5:$CF$140,$AA41,FALSE))</f>
        <v>315.5498872460289</v>
      </c>
      <c r="AH41" s="480"/>
      <c r="AI41" s="480"/>
      <c r="AJ41" s="480"/>
      <c r="AK41" s="167"/>
      <c r="AL41" s="480">
        <f ca="1">IF(ISERROR(HLOOKUP(AL$24,Tulem!$A$5:$CF$140,$AA41,FALSE)),"",HLOOKUP(AL$24,Tulem!$A$5:$CF$140,$AA41,FALSE))</f>
        <v>11.910937220493992</v>
      </c>
      <c r="AM41" s="480"/>
      <c r="AN41" s="480"/>
      <c r="AO41" s="480"/>
      <c r="AP41" s="168"/>
      <c r="AQ41" s="473">
        <f ca="1">IF(ISERROR(HLOOKUP(AQ$24,Tulem!$A$5:$CF$140,$AA41,FALSE)),"",HLOOKUP(AQ$24,Tulem!$A$5:$CF$140,$AA41,FALSE))</f>
        <v>-162.95750000000001</v>
      </c>
      <c r="AR41" s="473"/>
      <c r="AS41" s="473"/>
      <c r="AT41" s="168"/>
      <c r="AU41" s="473">
        <f ca="1">IF(ISERROR(HLOOKUP(AU$24,Tulem!$A$5:$CF$140,$AA41,FALSE)),"",HLOOKUP(AU$24,Tulem!$A$5:$CF$140,$AA41,FALSE))</f>
        <v>174.868437220494</v>
      </c>
      <c r="AV41" s="473"/>
      <c r="AW41" s="473"/>
      <c r="AX41" s="169"/>
      <c r="AY41" s="473">
        <f ca="1">IF(ISERROR(HLOOKUP(AY$24,Tulem!$A$5:$CF$140,$AA41,FALSE)),"",HLOOKUP(AY$24,Tulem!$A$5:$CF$140,$AA41,FALSE))</f>
        <v>0</v>
      </c>
      <c r="AZ41" s="473"/>
      <c r="BA41" s="473"/>
      <c r="BB41" s="170"/>
      <c r="BC41" s="464">
        <f ca="1">IF(ISERROR(HLOOKUP(BC$24,Tulem!$A$5:$CF$140,$AA41,FALSE)),"",HLOOKUP(BC$24,Tulem!$A$5:$CF$140,$AA41,FALSE))</f>
        <v>0.55310343520865646</v>
      </c>
      <c r="BD41" s="464"/>
      <c r="BE41" s="464"/>
      <c r="BF41" s="170"/>
      <c r="BG41" s="489">
        <f ca="1">IF(ISERROR(HLOOKUP(BG$24,Tulem!$A$5:$CF$140,$AA41,FALSE)),"",HLOOKUP(BG$24,Tulem!$A$5:$CF$140,$AA41,FALSE))</f>
        <v>90</v>
      </c>
      <c r="BH41" s="489"/>
      <c r="BI41" s="489"/>
      <c r="BJ41" s="170"/>
      <c r="BK41" s="464">
        <f ca="1">IF(ISERROR(HLOOKUP(BK$24,Tulem!$A$5:$CF$140,$AA41,FALSE)),"",HLOOKUP(BK$24,Tulem!$A$5:$CF$140,$AA41,FALSE))</f>
        <v>1</v>
      </c>
      <c r="BL41" s="464"/>
      <c r="BM41" s="464"/>
      <c r="BN41" s="170"/>
      <c r="BO41" s="470">
        <f ca="1">IF(ISERROR(HLOOKUP(BO$24,Tulem!$A$5:$CF$140,$AA41,FALSE)),"",HLOOKUP(BO$24,Tulem!$A$5:$CF$140,$AA41,FALSE))</f>
        <v>0.27911646586345373</v>
      </c>
      <c r="BP41" s="470"/>
      <c r="BQ41" s="470"/>
      <c r="BR41" s="170"/>
      <c r="BS41" s="464">
        <f ca="1">IF(ISERROR(HLOOKUP(BS$24,Tulem!$A$5:$CF$140,$AA41,FALSE)),"",HLOOKUP(BS$24,Tulem!$A$5:$CF$140,$AA41,FALSE))</f>
        <v>0.3678346224372237</v>
      </c>
      <c r="BT41" s="464"/>
      <c r="BU41" s="464"/>
      <c r="BV41" s="170"/>
      <c r="BW41" s="469">
        <f ca="1">IF(ISERROR(HLOOKUP(BW$24,Tulem!$A$5:$CF$140,$AA41,FALSE)),"",HLOOKUP(BW$24,Tulem!$A$5:$CF$140,$AA41,FALSE))</f>
        <v>43.312900516795864</v>
      </c>
      <c r="BX41" s="469"/>
      <c r="BY41" s="469"/>
      <c r="BZ41" s="170"/>
      <c r="CA41" s="470">
        <f ca="1">IF(ISERROR(HLOOKUP(CA$24,Tulem!$A$5:$CF$140,$AA41,FALSE)),"",HLOOKUP(CA$24,Tulem!$A$5:$CF$140,$AA41,FALSE))</f>
        <v>2.5620074329845279E-2</v>
      </c>
      <c r="CB41" s="470"/>
      <c r="CC41" s="470"/>
      <c r="CD41" s="170"/>
      <c r="CE41" s="464">
        <f ca="1">IF(ISERROR(HLOOKUP(CE$24,Tulem!$A$5:$CF$140,$AA41,FALSE)),"",HLOOKUP(CE$24,Tulem!$A$5:$CF$140,$AA41,FALSE))</f>
        <v>0.447957193299102</v>
      </c>
      <c r="CF41" s="464"/>
      <c r="CG41" s="464"/>
      <c r="CH41" s="170"/>
      <c r="CI41" s="469">
        <f ca="1">IF(ISERROR(HLOOKUP(CI$24,Tulem!$A$5:$CF$140,$AA41,FALSE)),"",HLOOKUP(CI$24,Tulem!$A$5:$CF$140,$AA41,FALSE))</f>
        <v>6.08</v>
      </c>
      <c r="CJ41" s="469"/>
      <c r="CK41" s="469"/>
      <c r="CL41" s="170"/>
      <c r="CM41" s="470">
        <f ca="1">IF(ISERROR(HLOOKUP(CM$24,Tulem!$A$5:$CF$140,$AA41,FALSE)),"",HLOOKUP(CM$24,Tulem!$A$5:$CF$140,$AA41,FALSE))</f>
        <v>1.209387093166911E-2</v>
      </c>
      <c r="CN41" s="470"/>
      <c r="CO41" s="470"/>
      <c r="CP41" s="266"/>
      <c r="CQ41" s="470">
        <f ca="1">IF(ISERROR(HLOOKUP(CQ$24,Tulem!$A$5:$CF$140,$AA41,FALSE)),"",HLOOKUP(CQ$24,Tulem!$A$5:$CF$140,$AA41,FALSE))</f>
        <v>6.5753641584466692E-3</v>
      </c>
      <c r="CR41" s="470"/>
      <c r="CS41" s="470"/>
      <c r="CT41" s="266"/>
      <c r="CU41" s="470">
        <f ca="1">IF(ISERROR(HLOOKUP(CU$24,Tulem!$A$5:$CF$140,$AA41,FALSE)),"",HLOOKUP(CU$24,Tulem!$A$5:$CF$140,$AA41,FALSE))</f>
        <v>9.4016725362275344E-4</v>
      </c>
      <c r="CV41" s="470"/>
      <c r="CW41" s="470"/>
      <c r="CX41" s="170"/>
      <c r="CY41" s="470">
        <f ca="1">IF(ISERROR(HLOOKUP(CY$24,Tulem!$A$5:$CF$140,$AA41,FALSE)),"",HLOOKUP(CY$24,Tulem!$A$5:$CF$140,$AA41,FALSE))</f>
        <v>1.1246979286333761E-2</v>
      </c>
      <c r="CZ41" s="470"/>
      <c r="DA41" s="470"/>
      <c r="DB41" s="170"/>
      <c r="DC41" s="473">
        <f ca="1">IF(ISERROR(HLOOKUP(DC$24,Tulem!$A$5:$CF$140,$AA41,FALSE)),"",HLOOKUP(DC$24,Tulem!$A$5:$CF$140,$AA41,FALSE))</f>
        <v>7.5717605777489068</v>
      </c>
      <c r="DD41" s="473"/>
      <c r="DE41" s="473"/>
      <c r="DF41" s="171"/>
      <c r="DG41" s="481">
        <f ca="1">IF(ISERROR(HLOOKUP(DG$24,Tulem!$A$5:$CF$140,$AA41,FALSE)),"",HLOOKUP(DG$24,Tulem!$A$5:$CF$140,$AA41,FALSE))</f>
        <v>6004.2345805258119</v>
      </c>
      <c r="DH41" s="481"/>
      <c r="DI41" s="481"/>
      <c r="DJ41" s="171"/>
      <c r="DK41" s="473">
        <f ca="1">IF(ISERROR(HLOOKUP(DK$24,Tulem!$A$5:$CF$140,$AA41,FALSE)),"",HLOOKUP(DK$24,Tulem!$A$5:$CF$140,$AA41,FALSE))</f>
        <v>9.68</v>
      </c>
      <c r="DL41" s="473"/>
      <c r="DM41" s="473"/>
      <c r="DN41" s="170"/>
      <c r="DO41" s="464">
        <f ca="1">IF(ISERROR(HLOOKUP(DO$24,Tulem!$A$5:$CF$140,$AA41,FALSE)),"",HLOOKUP(DO$24,Tulem!$A$5:$CF$140,$AA41,FALSE))</f>
        <v>-5.2828379346591355E-2</v>
      </c>
      <c r="DP41" s="464"/>
      <c r="DQ41" s="464"/>
      <c r="DR41" s="170"/>
      <c r="DS41" s="464">
        <f ca="1">IF(ISERROR(HLOOKUP(DS$24,Tulem!$A$5:$CF$140,$AA41,FALSE)),"",HLOOKUP(DS$24,Tulem!$A$5:$CF$140,$AA41,FALSE))</f>
        <v>-5.9458363631964495E-2</v>
      </c>
      <c r="DT41" s="464"/>
      <c r="DU41" s="464"/>
      <c r="DV41" s="170"/>
      <c r="DW41" s="464">
        <f ca="1">IF(ISERROR(HLOOKUP(DW$24,Tulem!$A$5:$CF$140,$AA41,FALSE)),"",HLOOKUP(DW$24,Tulem!$A$5:$CF$140,$AA41,FALSE))</f>
        <v>-8.3094488432695332E-2</v>
      </c>
      <c r="DX41" s="464"/>
      <c r="DY41" s="464"/>
      <c r="DZ41" s="170"/>
      <c r="EA41" s="469">
        <f ca="1">IF(ISERROR(HLOOKUP(EA$24,Tulem!$A$5:$CF$140,$AA41,FALSE)),"",HLOOKUP(EA$24,Tulem!$A$5:$CF$140,$AA41,FALSE))</f>
        <v>7.1831111109201009</v>
      </c>
      <c r="EB41" s="469"/>
      <c r="EC41" s="469"/>
      <c r="ED41" s="267"/>
      <c r="EE41" s="469">
        <f ca="1">IF(ISERROR(HLOOKUP(EE$24,Tulem!$A$5:$CF$140,$AA41,FALSE)),"",HLOOKUP(EE$24,Tulem!$A$5:$CF$140,$AA41,FALSE))</f>
        <v>4.9379999999999997</v>
      </c>
      <c r="EF41" s="469"/>
      <c r="EG41" s="469"/>
      <c r="EH41" s="170"/>
      <c r="EI41" s="469">
        <f ca="1">IF(ISERROR(HLOOKUP(EI$24,Tulem!$A$5:$CF$140,$AA41,FALSE)),"",HLOOKUP(EI$24,Tulem!$A$5:$CF$140,$AA41,FALSE))</f>
        <v>1.03788499063732</v>
      </c>
      <c r="EJ41" s="469"/>
      <c r="EK41" s="469"/>
      <c r="EL41" s="171"/>
      <c r="EM41" s="469">
        <f ca="1">IF(ISERROR(HLOOKUP(EM$24,Tulem!$A$5:$CF$140,$AA41,FALSE)),"",HLOOKUP(EM$24,Tulem!$A$5:$CF$140,$AA41,FALSE))</f>
        <v>16.462578011574536</v>
      </c>
      <c r="EN41" s="469"/>
      <c r="EO41" s="469"/>
      <c r="EP41" s="171"/>
      <c r="EQ41" s="469">
        <f ca="1">IF(ISERROR(HLOOKUP(EQ$24,Tulem!$A$5:$CF$140,$AA41,FALSE)),"",HLOOKUP(EQ$24,Tulem!$A$5:$CF$140,$AA41,FALSE))</f>
        <v>11.219077976340797</v>
      </c>
      <c r="ER41" s="469"/>
      <c r="ES41" s="469"/>
      <c r="ET41" s="170"/>
      <c r="EU41" s="469">
        <f ca="1">IF(ISERROR(HLOOKUP(EU$24,Tulem!$A$5:$CF$140,$AA41,FALSE)),"",HLOOKUP(EU$24,Tulem!$A$5:$CF$140,$AA41,FALSE))</f>
        <v>3.4398849906373199</v>
      </c>
      <c r="EV41" s="469"/>
      <c r="EW41" s="469"/>
      <c r="EX41" s="170"/>
      <c r="EY41" s="473">
        <f ca="1">IF(ISERROR(HLOOKUP(EY$24,Tulem!$A$5:$CF$140,$AA41,FALSE)),"",HLOOKUP(EY$24,Tulem!$A$5:$CF$140,$AA41,FALSE))</f>
        <v>67</v>
      </c>
      <c r="EZ41" s="473"/>
      <c r="FA41" s="473"/>
      <c r="FB41" s="171"/>
      <c r="FC41" s="469">
        <f ca="1">IF(ISERROR(HLOOKUP(FC$24,Tulem!$A$5:$CF$140,$AA41,FALSE)),"",HLOOKUP(FC$24,Tulem!$A$5:$CF$140,$AA41,FALSE))</f>
        <v>12.635</v>
      </c>
      <c r="FD41" s="469"/>
      <c r="FE41" s="469"/>
      <c r="FF41" s="170"/>
      <c r="FG41" s="473">
        <f ca="1">IF(ISERROR(HLOOKUP(FG$24,Tulem!$A$5:$CF$140,$AA41,FALSE)),"",HLOOKUP(FG$24,Tulem!$A$5:$CF$140,$AA41,FALSE))</f>
        <v>57.006666666666661</v>
      </c>
      <c r="FH41" s="473"/>
      <c r="FI41" s="473"/>
      <c r="FJ41" s="170"/>
      <c r="FK41" s="469">
        <f ca="1">IF(ISERROR(HLOOKUP(FK$24,Tulem!$A$5:$CF$140,$AA41,FALSE)),"",HLOOKUP(FK$24,Tulem!$A$5:$CF$140,$AA41,FALSE))</f>
        <v>4.5926130000000001</v>
      </c>
      <c r="FL41" s="469"/>
      <c r="FM41" s="469"/>
      <c r="FO41" s="473">
        <f ca="1">IF(ISERROR(HLOOKUP(FO$24,Tulem!$A$5:$CF$140,$AA41,FALSE)),"",HLOOKUP(FO$24,Tulem!$A$5:$CF$140,$AA41,FALSE))</f>
        <v>285</v>
      </c>
      <c r="FP41" s="473"/>
      <c r="FQ41" s="473"/>
      <c r="FS41" s="469">
        <f ca="1">IF(ISERROR(HLOOKUP(FS$24,Tulem!$A$5:$CF$140,$AA41,FALSE)),"",HLOOKUP(FS$24,Tulem!$A$5:$CF$140,$AA41,FALSE))</f>
        <v>2.7810000000000001</v>
      </c>
      <c r="FT41" s="469"/>
      <c r="FU41" s="469"/>
      <c r="FW41" s="476">
        <f ca="1">IF(ISERROR(HLOOKUP(FW$24,Tulem!$A$5:$CF$140,$AA41,FALSE)),"",HLOOKUP(FW$24,Tulem!$A$5:$CF$140,$AA41,FALSE))</f>
        <v>0.19900000000000001</v>
      </c>
      <c r="FX41" s="476"/>
      <c r="FY41" s="476"/>
      <c r="FZ41" s="327"/>
      <c r="GA41" s="476">
        <f ca="1">IF(ISERROR(HLOOKUP(GA$24,Tulem!$A$5:$CF$140,$AA41,FALSE)),"",HLOOKUP(GA$24,Tulem!$A$5:$CF$140,$AA41,FALSE))</f>
        <v>0.72299999999999998</v>
      </c>
      <c r="GB41" s="476"/>
      <c r="GC41" s="476"/>
      <c r="GE41" s="475">
        <f ca="1">IF(ISERROR(HLOOKUP(GE$24,Tulem!$A$5:$CF$140,$AA41,FALSE)),"",HLOOKUP(GE$24,Tulem!$A$5:$CF$140,$AA41,FALSE))</f>
        <v>784</v>
      </c>
      <c r="GF41" s="475"/>
      <c r="GG41" s="475"/>
      <c r="GI41" s="471" t="str">
        <f>IF(ISERROR(HLOOKUP(GI$24,Tulem!$A$5:$CF$140,$AA41,FALSE)),"",HLOOKUP(GI$24,Tulem!$A$5:$CF$140,$AA41,FALSE))</f>
        <v/>
      </c>
      <c r="GJ41" s="471"/>
      <c r="GK41" s="471"/>
      <c r="GM41" s="469" t="str">
        <f>IF(ISERROR(HLOOKUP(GM$24,Tulem!$A$5:$CF$140,$AA41,FALSE)),"",HLOOKUP(GM$24,Tulem!$A$5:$CF$140,$AA41,FALSE))</f>
        <v/>
      </c>
      <c r="GN41" s="469"/>
      <c r="GO41" s="469"/>
    </row>
    <row r="42" spans="1:197" s="50" customFormat="1" ht="16.25" customHeight="1" outlineLevel="1" x14ac:dyDescent="0.2">
      <c r="A42" s="499">
        <v>13</v>
      </c>
      <c r="B42" s="499"/>
      <c r="C42" s="499"/>
      <c r="D42" s="496" t="str">
        <f ca="1">IF(ISERROR(Tulem!E18),"",Tulem!E18)</f>
        <v>Sekkuv</v>
      </c>
      <c r="E42" s="496"/>
      <c r="F42" s="496"/>
      <c r="G42" s="496"/>
      <c r="I42" s="496" t="str">
        <f ca="1">IF(ISERROR(Tulem!D18),"",Tulem!D18)</f>
        <v>Sekkuv/EÜ</v>
      </c>
      <c r="J42" s="496"/>
      <c r="K42" s="496"/>
      <c r="L42" s="496"/>
      <c r="M42" s="496"/>
      <c r="P42" s="496" t="str">
        <f ca="1">IF(ISERROR(Tulem!G18),"",Tulem!G18)</f>
        <v>PK &amp; UG</v>
      </c>
      <c r="Q42" s="496"/>
      <c r="R42" s="496"/>
      <c r="S42" s="496"/>
      <c r="T42" s="496"/>
      <c r="U42" s="496"/>
      <c r="V42" s="496" t="str">
        <f ca="1">IF(ISERROR(Tulem!F18),"",Tulem!F18)</f>
        <v>Vähe-sekkuv</v>
      </c>
      <c r="W42" s="496"/>
      <c r="X42" s="496"/>
      <c r="Y42" s="496"/>
      <c r="Z42" s="496"/>
      <c r="AA42" s="255">
        <v>14</v>
      </c>
      <c r="AB42" s="497">
        <f ca="1">IF(ISERROR(HLOOKUP(AB$24,Tulem!$A$5:$CF$140,$AA42,FALSE)),"",HLOOKUP(AB$24,Tulem!$A$5:$CF$140,$AA42,FALSE))</f>
        <v>8.1406618480060722</v>
      </c>
      <c r="AC42" s="497"/>
      <c r="AD42" s="497"/>
      <c r="AE42" s="497"/>
      <c r="AF42" s="166"/>
      <c r="AG42" s="480">
        <f ca="1">IF(ISERROR(HLOOKUP(AG$24,Tulem!$A$5:$CF$140,$AA42,FALSE)),"",HLOOKUP(AG$24,Tulem!$A$5:$CF$140,$AA42,FALSE))</f>
        <v>924.83808695228879</v>
      </c>
      <c r="AH42" s="480"/>
      <c r="AI42" s="480"/>
      <c r="AJ42" s="480"/>
      <c r="AK42" s="167"/>
      <c r="AL42" s="480">
        <f ca="1">IF(ISERROR(HLOOKUP(AL$24,Tulem!$A$5:$CF$140,$AA42,FALSE)),"",HLOOKUP(AL$24,Tulem!$A$5:$CF$140,$AA42,FALSE))</f>
        <v>147.10913619100427</v>
      </c>
      <c r="AM42" s="480"/>
      <c r="AN42" s="480"/>
      <c r="AO42" s="480"/>
      <c r="AP42" s="168"/>
      <c r="AQ42" s="473">
        <f ca="1">IF(ISERROR(HLOOKUP(AQ$24,Tulem!$A$5:$CF$140,$AA42,FALSE)),"",HLOOKUP(AQ$24,Tulem!$A$5:$CF$140,$AA42,FALSE))</f>
        <v>-178.19071988063212</v>
      </c>
      <c r="AR42" s="473"/>
      <c r="AS42" s="473"/>
      <c r="AT42" s="168"/>
      <c r="AU42" s="473">
        <f ca="1">IF(ISERROR(HLOOKUP(AU$24,Tulem!$A$5:$CF$140,$AA42,FALSE)),"",HLOOKUP(AU$24,Tulem!$A$5:$CF$140,$AA42,FALSE))</f>
        <v>325.29985607163638</v>
      </c>
      <c r="AV42" s="473"/>
      <c r="AW42" s="473"/>
      <c r="AX42" s="169"/>
      <c r="AY42" s="473">
        <f ca="1">IF(ISERROR(HLOOKUP(AY$24,Tulem!$A$5:$CF$140,$AA42,FALSE)),"",HLOOKUP(AY$24,Tulem!$A$5:$CF$140,$AA42,FALSE))</f>
        <v>0</v>
      </c>
      <c r="AZ42" s="473"/>
      <c r="BA42" s="473"/>
      <c r="BB42" s="170"/>
      <c r="BC42" s="464">
        <f ca="1">IF(ISERROR(HLOOKUP(BC$24,Tulem!$A$5:$CF$140,$AA42,FALSE)),"",HLOOKUP(BC$24,Tulem!$A$5:$CF$140,$AA42,FALSE))</f>
        <v>0.24932063212336691</v>
      </c>
      <c r="BD42" s="464"/>
      <c r="BE42" s="464"/>
      <c r="BF42" s="170"/>
      <c r="BG42" s="489">
        <f ca="1">IF(ISERROR(HLOOKUP(BG$24,Tulem!$A$5:$CF$140,$AA42,FALSE)),"",HLOOKUP(BG$24,Tulem!$A$5:$CF$140,$AA42,FALSE))</f>
        <v>90</v>
      </c>
      <c r="BH42" s="489"/>
      <c r="BI42" s="489"/>
      <c r="BJ42" s="170"/>
      <c r="BK42" s="464">
        <f ca="1">IF(ISERROR(HLOOKUP(BK$24,Tulem!$A$5:$CF$140,$AA42,FALSE)),"",HLOOKUP(BK$24,Tulem!$A$5:$CF$140,$AA42,FALSE))</f>
        <v>0.72887234460741657</v>
      </c>
      <c r="BL42" s="464"/>
      <c r="BM42" s="464"/>
      <c r="BN42" s="170"/>
      <c r="BO42" s="470">
        <f ca="1">IF(ISERROR(HLOOKUP(BO$24,Tulem!$A$5:$CF$140,$AA42,FALSE)),"",HLOOKUP(BO$24,Tulem!$A$5:$CF$140,$AA42,FALSE))</f>
        <v>0</v>
      </c>
      <c r="BP42" s="470"/>
      <c r="BQ42" s="470"/>
      <c r="BR42" s="170"/>
      <c r="BS42" s="464">
        <f ca="1">IF(ISERROR(HLOOKUP(BS$24,Tulem!$A$5:$CF$140,$AA42,FALSE)),"",HLOOKUP(BS$24,Tulem!$A$5:$CF$140,$AA42,FALSE))</f>
        <v>0.27595013650694178</v>
      </c>
      <c r="BT42" s="464"/>
      <c r="BU42" s="464"/>
      <c r="BV42" s="170"/>
      <c r="BW42" s="469">
        <f ca="1">IF(ISERROR(HLOOKUP(BW$24,Tulem!$A$5:$CF$140,$AA42,FALSE)),"",HLOOKUP(BW$24,Tulem!$A$5:$CF$140,$AA42,FALSE))</f>
        <v>57.735011875436605</v>
      </c>
      <c r="BX42" s="469"/>
      <c r="BY42" s="469"/>
      <c r="BZ42" s="170"/>
      <c r="CA42" s="470">
        <f ca="1">IF(ISERROR(HLOOKUP(CA$24,Tulem!$A$5:$CF$140,$AA42,FALSE)),"",HLOOKUP(CA$24,Tulem!$A$5:$CF$140,$AA42,FALSE))</f>
        <v>2.5620074329845279E-2</v>
      </c>
      <c r="CB42" s="470"/>
      <c r="CC42" s="470"/>
      <c r="CD42" s="170"/>
      <c r="CE42" s="464">
        <f ca="1">IF(ISERROR(HLOOKUP(CE$24,Tulem!$A$5:$CF$140,$AA42,FALSE)),"",HLOOKUP(CE$24,Tulem!$A$5:$CF$140,$AA42,FALSE))</f>
        <v>0.44890608494094819</v>
      </c>
      <c r="CF42" s="464"/>
      <c r="CG42" s="464"/>
      <c r="CH42" s="170"/>
      <c r="CI42" s="469">
        <f ca="1">IF(ISERROR(HLOOKUP(CI$24,Tulem!$A$5:$CF$140,$AA42,FALSE)),"",HLOOKUP(CI$24,Tulem!$A$5:$CF$140,$AA42,FALSE))</f>
        <v>6.08</v>
      </c>
      <c r="CJ42" s="469"/>
      <c r="CK42" s="469"/>
      <c r="CL42" s="170"/>
      <c r="CM42" s="470">
        <f ca="1">IF(ISERROR(HLOOKUP(CM$24,Tulem!$A$5:$CF$140,$AA42,FALSE)),"",HLOOKUP(CM$24,Tulem!$A$5:$CF$140,$AA42,FALSE))</f>
        <v>3.4508054034342074E-2</v>
      </c>
      <c r="CN42" s="470"/>
      <c r="CO42" s="470"/>
      <c r="CP42" s="266"/>
      <c r="CQ42" s="470">
        <f ca="1">IF(ISERROR(HLOOKUP(CQ$24,Tulem!$A$5:$CF$140,$AA42,FALSE)),"",HLOOKUP(CQ$24,Tulem!$A$5:$CF$140,$AA42,FALSE))</f>
        <v>1.1526219885666359E-2</v>
      </c>
      <c r="CR42" s="470"/>
      <c r="CS42" s="470"/>
      <c r="CT42" s="266"/>
      <c r="CU42" s="470">
        <f ca="1">IF(ISERROR(HLOOKUP(CU$24,Tulem!$A$5:$CF$140,$AA42,FALSE)),"",HLOOKUP(CU$24,Tulem!$A$5:$CF$140,$AA42,FALSE))</f>
        <v>1.2868830726977393E-2</v>
      </c>
      <c r="CV42" s="470"/>
      <c r="CW42" s="470"/>
      <c r="CX42" s="170"/>
      <c r="CY42" s="470">
        <f ca="1">IF(ISERROR(HLOOKUP(CY$24,Tulem!$A$5:$CF$140,$AA42,FALSE)),"",HLOOKUP(CY$24,Tulem!$A$5:$CF$140,$AA42,FALSE))</f>
        <v>2.2048146655314422E-2</v>
      </c>
      <c r="CZ42" s="470"/>
      <c r="DA42" s="470"/>
      <c r="DB42" s="170"/>
      <c r="DC42" s="473">
        <f ca="1">IF(ISERROR(HLOOKUP(DC$24,Tulem!$A$5:$CF$140,$AA42,FALSE)),"",HLOOKUP(DC$24,Tulem!$A$5:$CF$140,$AA42,FALSE))</f>
        <v>7.5199896156049162</v>
      </c>
      <c r="DD42" s="473"/>
      <c r="DE42" s="473"/>
      <c r="DF42" s="171"/>
      <c r="DG42" s="481">
        <f ca="1">IF(ISERROR(HLOOKUP(DG$24,Tulem!$A$5:$CF$140,$AA42,FALSE)),"",HLOOKUP(DG$24,Tulem!$A$5:$CF$140,$AA42,FALSE))</f>
        <v>12835.009545498606</v>
      </c>
      <c r="DH42" s="481"/>
      <c r="DI42" s="481"/>
      <c r="DJ42" s="171"/>
      <c r="DK42" s="473">
        <f ca="1">IF(ISERROR(HLOOKUP(DK$24,Tulem!$A$5:$CF$140,$AA42,FALSE)),"",HLOOKUP(DK$24,Tulem!$A$5:$CF$140,$AA42,FALSE))</f>
        <v>10.805999999999999</v>
      </c>
      <c r="DL42" s="473"/>
      <c r="DM42" s="473"/>
      <c r="DN42" s="170"/>
      <c r="DO42" s="464">
        <f ca="1">IF(ISERROR(HLOOKUP(DO$24,Tulem!$A$5:$CF$140,$AA42,FALSE)),"",HLOOKUP(DO$24,Tulem!$A$5:$CF$140,$AA42,FALSE))</f>
        <v>-3.8802982007739094E-2</v>
      </c>
      <c r="DP42" s="464"/>
      <c r="DQ42" s="464"/>
      <c r="DR42" s="170"/>
      <c r="DS42" s="464">
        <f ca="1">IF(ISERROR(HLOOKUP(DS$24,Tulem!$A$5:$CF$140,$AA42,FALSE)),"",HLOOKUP(DS$24,Tulem!$A$5:$CF$140,$AA42,FALSE))</f>
        <v>3.0058036881336778E-2</v>
      </c>
      <c r="DT42" s="464"/>
      <c r="DU42" s="464"/>
      <c r="DV42" s="170"/>
      <c r="DW42" s="464">
        <f ca="1">IF(ISERROR(HLOOKUP(DW$24,Tulem!$A$5:$CF$140,$AA42,FALSE)),"",HLOOKUP(DW$24,Tulem!$A$5:$CF$140,$AA42,FALSE))</f>
        <v>1.2877363069877093E-2</v>
      </c>
      <c r="DX42" s="464"/>
      <c r="DY42" s="464"/>
      <c r="DZ42" s="170"/>
      <c r="EA42" s="469">
        <f ca="1">IF(ISERROR(HLOOKUP(EA$24,Tulem!$A$5:$CF$140,$AA42,FALSE)),"",HLOOKUP(EA$24,Tulem!$A$5:$CF$140,$AA42,FALSE))</f>
        <v>10.488630311598682</v>
      </c>
      <c r="EB42" s="469"/>
      <c r="EC42" s="469"/>
      <c r="ED42" s="267"/>
      <c r="EE42" s="469">
        <f ca="1">IF(ISERROR(HLOOKUP(EE$24,Tulem!$A$5:$CF$140,$AA42,FALSE)),"",HLOOKUP(EE$24,Tulem!$A$5:$CF$140,$AA42,FALSE))</f>
        <v>5.9039999999999999</v>
      </c>
      <c r="EF42" s="469"/>
      <c r="EG42" s="469"/>
      <c r="EH42" s="170"/>
      <c r="EI42" s="469">
        <f ca="1">IF(ISERROR(HLOOKUP(EI$24,Tulem!$A$5:$CF$140,$AA42,FALSE)),"",HLOOKUP(EI$24,Tulem!$A$5:$CF$140,$AA42,FALSE))</f>
        <v>1.4153849906373199</v>
      </c>
      <c r="EJ42" s="469"/>
      <c r="EK42" s="469"/>
      <c r="EL42" s="171"/>
      <c r="EM42" s="469">
        <f ca="1">IF(ISERROR(HLOOKUP(EM$24,Tulem!$A$5:$CF$140,$AA42,FALSE)),"",HLOOKUP(EM$24,Tulem!$A$5:$CF$140,$AA42,FALSE))</f>
        <v>20.928000000000001</v>
      </c>
      <c r="EN42" s="469"/>
      <c r="EO42" s="469"/>
      <c r="EP42" s="171"/>
      <c r="EQ42" s="469">
        <f ca="1">IF(ISERROR(HLOOKUP(EQ$24,Tulem!$A$5:$CF$140,$AA42,FALSE)),"",HLOOKUP(EQ$24,Tulem!$A$5:$CF$140,$AA42,FALSE))</f>
        <v>37.837669554234019</v>
      </c>
      <c r="ER42" s="469"/>
      <c r="ES42" s="469"/>
      <c r="ET42" s="170"/>
      <c r="EU42" s="469">
        <f ca="1">IF(ISERROR(HLOOKUP(EU$24,Tulem!$A$5:$CF$140,$AA42,FALSE)),"",HLOOKUP(EU$24,Tulem!$A$5:$CF$140,$AA42,FALSE))</f>
        <v>7.2238849906373197</v>
      </c>
      <c r="EV42" s="469"/>
      <c r="EW42" s="469"/>
      <c r="EX42" s="170"/>
      <c r="EY42" s="473">
        <f ca="1">IF(ISERROR(HLOOKUP(EY$24,Tulem!$A$5:$CF$140,$AA42,FALSE)),"",HLOOKUP(EY$24,Tulem!$A$5:$CF$140,$AA42,FALSE))</f>
        <v>91.4</v>
      </c>
      <c r="EZ42" s="473"/>
      <c r="FA42" s="473"/>
      <c r="FB42" s="171"/>
      <c r="FC42" s="469">
        <f ca="1">IF(ISERROR(HLOOKUP(FC$24,Tulem!$A$5:$CF$140,$AA42,FALSE)),"",HLOOKUP(FC$24,Tulem!$A$5:$CF$140,$AA42,FALSE))</f>
        <v>15.28</v>
      </c>
      <c r="FD42" s="469"/>
      <c r="FE42" s="469"/>
      <c r="FF42" s="170"/>
      <c r="FG42" s="473">
        <f ca="1">IF(ISERROR(HLOOKUP(FG$24,Tulem!$A$5:$CF$140,$AA42,FALSE)),"",HLOOKUP(FG$24,Tulem!$A$5:$CF$140,$AA42,FALSE))</f>
        <v>131.07388888888889</v>
      </c>
      <c r="FH42" s="473"/>
      <c r="FI42" s="473"/>
      <c r="FJ42" s="170"/>
      <c r="FK42" s="469">
        <f ca="1">IF(ISERROR(HLOOKUP(FK$24,Tulem!$A$5:$CF$140,$AA42,FALSE)),"",HLOOKUP(FK$24,Tulem!$A$5:$CF$140,$AA42,FALSE))</f>
        <v>6.9897299999999998</v>
      </c>
      <c r="FL42" s="469"/>
      <c r="FM42" s="469"/>
      <c r="FO42" s="473">
        <f ca="1">IF(ISERROR(HLOOKUP(FO$24,Tulem!$A$5:$CF$140,$AA42,FALSE)),"",HLOOKUP(FO$24,Tulem!$A$5:$CF$140,$AA42,FALSE))</f>
        <v>284.90000000000003</v>
      </c>
      <c r="FP42" s="473"/>
      <c r="FQ42" s="473"/>
      <c r="FS42" s="469">
        <f ca="1">IF(ISERROR(HLOOKUP(FS$24,Tulem!$A$5:$CF$140,$AA42,FALSE)),"",HLOOKUP(FS$24,Tulem!$A$5:$CF$140,$AA42,FALSE))</f>
        <v>2.7810000000000001</v>
      </c>
      <c r="FT42" s="469"/>
      <c r="FU42" s="469"/>
      <c r="FW42" s="476">
        <f ca="1">IF(ISERROR(HLOOKUP(FW$24,Tulem!$A$5:$CF$140,$AA42,FALSE)),"",HLOOKUP(FW$24,Tulem!$A$5:$CF$140,$AA42,FALSE))</f>
        <v>0.19900000000000001</v>
      </c>
      <c r="FX42" s="476"/>
      <c r="FY42" s="476"/>
      <c r="FZ42" s="327"/>
      <c r="GA42" s="476">
        <f ca="1">IF(ISERROR(HLOOKUP(GA$24,Tulem!$A$5:$CF$140,$AA42,FALSE)),"",HLOOKUP(GA$24,Tulem!$A$5:$CF$140,$AA42,FALSE))</f>
        <v>0.72299999999999998</v>
      </c>
      <c r="GB42" s="476"/>
      <c r="GC42" s="476"/>
      <c r="GE42" s="475">
        <f ca="1">IF(ISERROR(HLOOKUP(GE$24,Tulem!$A$5:$CF$140,$AA42,FALSE)),"",HLOOKUP(GE$24,Tulem!$A$5:$CF$140,$AA42,FALSE))</f>
        <v>1007</v>
      </c>
      <c r="GF42" s="475"/>
      <c r="GG42" s="475"/>
      <c r="GI42" s="471" t="str">
        <f>IF(ISERROR(HLOOKUP(GI$24,Tulem!$A$5:$CF$140,$AA42,FALSE)),"",HLOOKUP(GI$24,Tulem!$A$5:$CF$140,$AA42,FALSE))</f>
        <v/>
      </c>
      <c r="GJ42" s="471"/>
      <c r="GK42" s="471"/>
      <c r="GM42" s="469" t="str">
        <f>IF(ISERROR(HLOOKUP(GM$24,Tulem!$A$5:$CF$140,$AA42,FALSE)),"",HLOOKUP(GM$24,Tulem!$A$5:$CF$140,$AA42,FALSE))</f>
        <v/>
      </c>
      <c r="GN42" s="469"/>
      <c r="GO42" s="469"/>
    </row>
    <row r="43" spans="1:197" s="50" customFormat="1" ht="16.25" customHeight="1" outlineLevel="1" x14ac:dyDescent="0.2">
      <c r="A43" s="499">
        <v>14</v>
      </c>
      <c r="B43" s="499"/>
      <c r="C43" s="499"/>
      <c r="D43" s="496" t="str">
        <f ca="1">IF(ISERROR(Tulem!E19),"",Tulem!E19)</f>
        <v>Sekkuv</v>
      </c>
      <c r="E43" s="496"/>
      <c r="F43" s="496"/>
      <c r="G43" s="496"/>
      <c r="I43" s="496" t="str">
        <f ca="1">IF(ISERROR(Tulem!D19),"",Tulem!D19)</f>
        <v>Sekkuv/EÜ</v>
      </c>
      <c r="J43" s="496"/>
      <c r="K43" s="496"/>
      <c r="L43" s="496"/>
      <c r="M43" s="496"/>
      <c r="P43" s="496" t="str">
        <f ca="1">IF(ISERROR(Tulem!G19),"",Tulem!G19)</f>
        <v>PK &amp; UG</v>
      </c>
      <c r="Q43" s="496"/>
      <c r="R43" s="496"/>
      <c r="S43" s="496"/>
      <c r="T43" s="496"/>
      <c r="U43" s="496"/>
      <c r="V43" s="496" t="str">
        <f ca="1">IF(ISERROR(Tulem!F19),"",Tulem!F19)</f>
        <v>Sekkuv</v>
      </c>
      <c r="W43" s="496"/>
      <c r="X43" s="496"/>
      <c r="Y43" s="496"/>
      <c r="Z43" s="496"/>
      <c r="AA43" s="255">
        <v>15</v>
      </c>
      <c r="AB43" s="497">
        <f ca="1">IF(ISERROR(HLOOKUP(AB$24,Tulem!$A$5:$CF$140,$AA43,FALSE)),"",HLOOKUP(AB$24,Tulem!$A$5:$CF$140,$AA43,FALSE))</f>
        <v>9.0457615702475991</v>
      </c>
      <c r="AC43" s="497"/>
      <c r="AD43" s="497"/>
      <c r="AE43" s="497"/>
      <c r="AF43" s="166"/>
      <c r="AG43" s="480">
        <f ca="1">IF(ISERROR(HLOOKUP(AG$24,Tulem!$A$5:$CF$140,$AA43,FALSE)),"",HLOOKUP(AG$24,Tulem!$A$5:$CF$140,$AA43,FALSE))</f>
        <v>1041.4488779697681</v>
      </c>
      <c r="AH43" s="480"/>
      <c r="AI43" s="480"/>
      <c r="AJ43" s="480"/>
      <c r="AK43" s="167"/>
      <c r="AL43" s="480">
        <f ca="1">IF(ISERROR(HLOOKUP(AL$24,Tulem!$A$5:$CF$140,$AA43,FALSE)),"",HLOOKUP(AL$24,Tulem!$A$5:$CF$140,$AA43,FALSE))</f>
        <v>163.66355055008918</v>
      </c>
      <c r="AM43" s="480"/>
      <c r="AN43" s="480"/>
      <c r="AO43" s="480"/>
      <c r="AP43" s="168"/>
      <c r="AQ43" s="473">
        <f ca="1">IF(ISERROR(HLOOKUP(AQ$24,Tulem!$A$5:$CF$140,$AA43,FALSE)),"",HLOOKUP(AQ$24,Tulem!$A$5:$CF$140,$AA43,FALSE))</f>
        <v>-197.29831369909104</v>
      </c>
      <c r="AR43" s="473"/>
      <c r="AS43" s="473"/>
      <c r="AT43" s="168"/>
      <c r="AU43" s="473">
        <f ca="1">IF(ISERROR(HLOOKUP(AU$24,Tulem!$A$5:$CF$140,$AA43,FALSE)),"",HLOOKUP(AU$24,Tulem!$A$5:$CF$140,$AA43,FALSE))</f>
        <v>360.96186424918022</v>
      </c>
      <c r="AV43" s="473"/>
      <c r="AW43" s="473"/>
      <c r="AX43" s="169"/>
      <c r="AY43" s="473">
        <f ca="1">IF(ISERROR(HLOOKUP(AY$24,Tulem!$A$5:$CF$140,$AA43,FALSE)),"",HLOOKUP(AY$24,Tulem!$A$5:$CF$140,$AA43,FALSE))</f>
        <v>0</v>
      </c>
      <c r="AZ43" s="473"/>
      <c r="BA43" s="473"/>
      <c r="BB43" s="170"/>
      <c r="BC43" s="464">
        <f ca="1">IF(ISERROR(HLOOKUP(BC$24,Tulem!$A$5:$CF$140,$AA43,FALSE)),"",HLOOKUP(BC$24,Tulem!$A$5:$CF$140,$AA43,FALSE))</f>
        <v>0.24932063212336694</v>
      </c>
      <c r="BD43" s="464"/>
      <c r="BE43" s="464"/>
      <c r="BF43" s="170"/>
      <c r="BG43" s="489">
        <f ca="1">IF(ISERROR(HLOOKUP(BG$24,Tulem!$A$5:$CF$140,$AA43,FALSE)),"",HLOOKUP(BG$24,Tulem!$A$5:$CF$140,$AA43,FALSE))</f>
        <v>90</v>
      </c>
      <c r="BH43" s="489"/>
      <c r="BI43" s="489"/>
      <c r="BJ43" s="170"/>
      <c r="BK43" s="464">
        <f ca="1">IF(ISERROR(HLOOKUP(BK$24,Tulem!$A$5:$CF$140,$AA43,FALSE)),"",HLOOKUP(BK$24,Tulem!$A$5:$CF$140,$AA43,FALSE))</f>
        <v>0.72887234460741646</v>
      </c>
      <c r="BL43" s="464"/>
      <c r="BM43" s="464"/>
      <c r="BN43" s="170"/>
      <c r="BO43" s="470">
        <f ca="1">IF(ISERROR(HLOOKUP(BO$24,Tulem!$A$5:$CF$140,$AA43,FALSE)),"",HLOOKUP(BO$24,Tulem!$A$5:$CF$140,$AA43,FALSE))</f>
        <v>0</v>
      </c>
      <c r="BP43" s="470"/>
      <c r="BQ43" s="470"/>
      <c r="BR43" s="170"/>
      <c r="BS43" s="464">
        <f ca="1">IF(ISERROR(HLOOKUP(BS$24,Tulem!$A$5:$CF$140,$AA43,FALSE)),"",HLOOKUP(BS$24,Tulem!$A$5:$CF$140,$AA43,FALSE))</f>
        <v>0.27595013650694183</v>
      </c>
      <c r="BT43" s="464"/>
      <c r="BU43" s="464"/>
      <c r="BV43" s="170"/>
      <c r="BW43" s="469">
        <f ca="1">IF(ISERROR(HLOOKUP(BW$24,Tulem!$A$5:$CF$140,$AA43,FALSE)),"",HLOOKUP(BW$24,Tulem!$A$5:$CF$140,$AA43,FALSE))</f>
        <v>57.735011875436598</v>
      </c>
      <c r="BX43" s="469"/>
      <c r="BY43" s="469"/>
      <c r="BZ43" s="170"/>
      <c r="CA43" s="470">
        <f ca="1">IF(ISERROR(HLOOKUP(CA$24,Tulem!$A$5:$CF$140,$AA43,FALSE)),"",HLOOKUP(CA$24,Tulem!$A$5:$CF$140,$AA43,FALSE))</f>
        <v>2.5620074329845279E-2</v>
      </c>
      <c r="CB43" s="470"/>
      <c r="CC43" s="470"/>
      <c r="CD43" s="170"/>
      <c r="CE43" s="464">
        <f ca="1">IF(ISERROR(HLOOKUP(CE$24,Tulem!$A$5:$CF$140,$AA43,FALSE)),"",HLOOKUP(CE$24,Tulem!$A$5:$CF$140,$AA43,FALSE))</f>
        <v>0.44890608494094819</v>
      </c>
      <c r="CF43" s="464"/>
      <c r="CG43" s="464"/>
      <c r="CH43" s="170"/>
      <c r="CI43" s="469">
        <f ca="1">IF(ISERROR(HLOOKUP(CI$24,Tulem!$A$5:$CF$140,$AA43,FALSE)),"",HLOOKUP(CI$24,Tulem!$A$5:$CF$140,$AA43,FALSE))</f>
        <v>6.08</v>
      </c>
      <c r="CJ43" s="469"/>
      <c r="CK43" s="469"/>
      <c r="CL43" s="170"/>
      <c r="CM43" s="470">
        <f ca="1">IF(ISERROR(HLOOKUP(CM$24,Tulem!$A$5:$CF$140,$AA43,FALSE)),"",HLOOKUP(CM$24,Tulem!$A$5:$CF$140,$AA43,FALSE))</f>
        <v>3.9159109412588593E-2</v>
      </c>
      <c r="CN43" s="470"/>
      <c r="CO43" s="470"/>
      <c r="CP43" s="266"/>
      <c r="CQ43" s="470">
        <f ca="1">IF(ISERROR(HLOOKUP(CQ$24,Tulem!$A$5:$CF$140,$AA43,FALSE)),"",HLOOKUP(CQ$24,Tulem!$A$5:$CF$140,$AA43,FALSE))</f>
        <v>1.1538985612707746E-2</v>
      </c>
      <c r="CR43" s="470"/>
      <c r="CS43" s="470"/>
      <c r="CT43" s="266"/>
      <c r="CU43" s="470">
        <f ca="1">IF(ISERROR(HLOOKUP(CU$24,Tulem!$A$5:$CF$140,$AA43,FALSE)),"",HLOOKUP(CU$24,Tulem!$A$5:$CF$140,$AA43,FALSE))</f>
        <v>1.4199620563024123E-2</v>
      </c>
      <c r="CV43" s="470"/>
      <c r="CW43" s="470"/>
      <c r="CX43" s="170"/>
      <c r="CY43" s="470">
        <f ca="1">IF(ISERROR(HLOOKUP(CY$24,Tulem!$A$5:$CF$140,$AA43,FALSE)),"",HLOOKUP(CY$24,Tulem!$A$5:$CF$140,$AA43,FALSE))</f>
        <v>2.5442010103479275E-2</v>
      </c>
      <c r="CZ43" s="470"/>
      <c r="DA43" s="470"/>
      <c r="DB43" s="170"/>
      <c r="DC43" s="473">
        <f ca="1">IF(ISERROR(HLOOKUP(DC$24,Tulem!$A$5:$CF$140,$AA43,FALSE)),"",HLOOKUP(DC$24,Tulem!$A$5:$CF$140,$AA43,FALSE))</f>
        <v>7.5199896156049162</v>
      </c>
      <c r="DD43" s="473"/>
      <c r="DE43" s="473"/>
      <c r="DF43" s="171"/>
      <c r="DG43" s="481">
        <f ca="1">IF(ISERROR(HLOOKUP(DG$24,Tulem!$A$5:$CF$140,$AA43,FALSE)),"",HLOOKUP(DG$24,Tulem!$A$5:$CF$140,$AA43,FALSE))</f>
        <v>15906.599486697454</v>
      </c>
      <c r="DH43" s="481"/>
      <c r="DI43" s="481"/>
      <c r="DJ43" s="171"/>
      <c r="DK43" s="473">
        <f ca="1">IF(ISERROR(HLOOKUP(DK$24,Tulem!$A$5:$CF$140,$AA43,FALSE)),"",HLOOKUP(DK$24,Tulem!$A$5:$CF$140,$AA43,FALSE))</f>
        <v>11.03</v>
      </c>
      <c r="DL43" s="473"/>
      <c r="DM43" s="473"/>
      <c r="DN43" s="170"/>
      <c r="DO43" s="464">
        <f ca="1">IF(ISERROR(HLOOKUP(DO$24,Tulem!$A$5:$CF$140,$AA43,FALSE)),"",HLOOKUP(DO$24,Tulem!$A$5:$CF$140,$AA43,FALSE))</f>
        <v>-3.4823494877293193E-2</v>
      </c>
      <c r="DP43" s="464"/>
      <c r="DQ43" s="464"/>
      <c r="DR43" s="170"/>
      <c r="DS43" s="464">
        <f ca="1">IF(ISERROR(HLOOKUP(DS$24,Tulem!$A$5:$CF$140,$AA43,FALSE)),"",HLOOKUP(DS$24,Tulem!$A$5:$CF$140,$AA43,FALSE))</f>
        <v>3.1317196797625221E-2</v>
      </c>
      <c r="DT43" s="464"/>
      <c r="DU43" s="464"/>
      <c r="DV43" s="170"/>
      <c r="DW43" s="464">
        <f ca="1">IF(ISERROR(HLOOKUP(DW$24,Tulem!$A$5:$CF$140,$AA43,FALSE)),"",HLOOKUP(DW$24,Tulem!$A$5:$CF$140,$AA43,FALSE))</f>
        <v>1.4338082043103342E-2</v>
      </c>
      <c r="DX43" s="464"/>
      <c r="DY43" s="464"/>
      <c r="DZ43" s="170"/>
      <c r="EA43" s="469">
        <f ca="1">IF(ISERROR(HLOOKUP(EA$24,Tulem!$A$5:$CF$140,$AA43,FALSE)),"",HLOOKUP(EA$24,Tulem!$A$5:$CF$140,$AA43,FALSE))</f>
        <v>10.488630311598682</v>
      </c>
      <c r="EB43" s="469"/>
      <c r="EC43" s="469"/>
      <c r="ED43" s="171"/>
      <c r="EE43" s="469">
        <f ca="1">IF(ISERROR(HLOOKUP(EE$24,Tulem!$A$5:$CF$140,$AA43,FALSE)),"",HLOOKUP(EE$24,Tulem!$A$5:$CF$140,$AA43,FALSE))</f>
        <v>5.9039999999999999</v>
      </c>
      <c r="EF43" s="469"/>
      <c r="EG43" s="469"/>
      <c r="EH43" s="170"/>
      <c r="EI43" s="469">
        <f ca="1">IF(ISERROR(HLOOKUP(EI$24,Tulem!$A$5:$CF$140,$AA43,FALSE)),"",HLOOKUP(EI$24,Tulem!$A$5:$CF$140,$AA43,FALSE))</f>
        <v>1.62408499063732</v>
      </c>
      <c r="EJ43" s="469"/>
      <c r="EK43" s="469"/>
      <c r="EL43" s="171"/>
      <c r="EM43" s="469">
        <f ca="1">IF(ISERROR(HLOOKUP(EM$24,Tulem!$A$5:$CF$140,$AA43,FALSE)),"",HLOOKUP(EM$24,Tulem!$A$5:$CF$140,$AA43,FALSE))</f>
        <v>20.928000000000001</v>
      </c>
      <c r="EN43" s="469"/>
      <c r="EO43" s="469"/>
      <c r="EP43" s="171"/>
      <c r="EQ43" s="469">
        <f ca="1">IF(ISERROR(HLOOKUP(EQ$24,Tulem!$A$5:$CF$140,$AA43,FALSE)),"",HLOOKUP(EQ$24,Tulem!$A$5:$CF$140,$AA43,FALSE))</f>
        <v>37.837669554234019</v>
      </c>
      <c r="ER43" s="469"/>
      <c r="ES43" s="469"/>
      <c r="ET43" s="170"/>
      <c r="EU43" s="469">
        <f ca="1">IF(ISERROR(HLOOKUP(EU$24,Tulem!$A$5:$CF$140,$AA43,FALSE)),"",HLOOKUP(EU$24,Tulem!$A$5:$CF$140,$AA43,FALSE))</f>
        <v>7.2238849906373197</v>
      </c>
      <c r="EV43" s="469"/>
      <c r="EW43" s="469"/>
      <c r="EX43" s="170"/>
      <c r="EY43" s="473">
        <f ca="1">IF(ISERROR(HLOOKUP(EY$24,Tulem!$A$5:$CF$140,$AA43,FALSE)),"",HLOOKUP(EY$24,Tulem!$A$5:$CF$140,$AA43,FALSE))</f>
        <v>93</v>
      </c>
      <c r="EZ43" s="473"/>
      <c r="FA43" s="473"/>
      <c r="FB43" s="171"/>
      <c r="FC43" s="469">
        <f ca="1">IF(ISERROR(HLOOKUP(FC$24,Tulem!$A$5:$CF$140,$AA43,FALSE)),"",HLOOKUP(FC$24,Tulem!$A$5:$CF$140,$AA43,FALSE))</f>
        <v>15.532</v>
      </c>
      <c r="FD43" s="469"/>
      <c r="FE43" s="469"/>
      <c r="FF43" s="170"/>
      <c r="FG43" s="473">
        <f ca="1">IF(ISERROR(HLOOKUP(FG$24,Tulem!$A$5:$CF$140,$AA43,FALSE)),"",HLOOKUP(FG$24,Tulem!$A$5:$CF$140,$AA43,FALSE))</f>
        <v>131.98194444444445</v>
      </c>
      <c r="FH43" s="473"/>
      <c r="FI43" s="473"/>
      <c r="FJ43" s="170"/>
      <c r="FK43" s="469">
        <f ca="1">IF(ISERROR(HLOOKUP(FK$24,Tulem!$A$5:$CF$140,$AA43,FALSE)),"",HLOOKUP(FK$24,Tulem!$A$5:$CF$140,$AA43,FALSE))</f>
        <v>7.083075</v>
      </c>
      <c r="FL43" s="469"/>
      <c r="FM43" s="469"/>
      <c r="FO43" s="473">
        <f ca="1">IF(ISERROR(HLOOKUP(FO$24,Tulem!$A$5:$CF$140,$AA43,FALSE)),"",HLOOKUP(FO$24,Tulem!$A$5:$CF$140,$AA43,FALSE))</f>
        <v>284.90000000000003</v>
      </c>
      <c r="FP43" s="473"/>
      <c r="FQ43" s="473"/>
      <c r="FS43" s="469">
        <f ca="1">IF(ISERROR(HLOOKUP(FS$24,Tulem!$A$5:$CF$140,$AA43,FALSE)),"",HLOOKUP(FS$24,Tulem!$A$5:$CF$140,$AA43,FALSE))</f>
        <v>2.7810000000000001</v>
      </c>
      <c r="FT43" s="469"/>
      <c r="FU43" s="469"/>
      <c r="FW43" s="476">
        <f ca="1">IF(ISERROR(HLOOKUP(FW$24,Tulem!$A$5:$CF$140,$AA43,FALSE)),"",HLOOKUP(FW$24,Tulem!$A$5:$CF$140,$AA43,FALSE))</f>
        <v>0.19900000000000001</v>
      </c>
      <c r="FX43" s="476"/>
      <c r="FY43" s="476"/>
      <c r="FZ43" s="327"/>
      <c r="GA43" s="476">
        <f ca="1">IF(ISERROR(HLOOKUP(GA$24,Tulem!$A$5:$CF$140,$AA43,FALSE)),"",HLOOKUP(GA$24,Tulem!$A$5:$CF$140,$AA43,FALSE))</f>
        <v>0.72299999999999998</v>
      </c>
      <c r="GB43" s="476"/>
      <c r="GC43" s="476"/>
      <c r="GE43" s="475">
        <f ca="1">IF(ISERROR(HLOOKUP(GE$24,Tulem!$A$5:$CF$140,$AA43,FALSE)),"",HLOOKUP(GE$24,Tulem!$A$5:$CF$140,$AA43,FALSE))</f>
        <v>1020</v>
      </c>
      <c r="GF43" s="475"/>
      <c r="GG43" s="475"/>
      <c r="GI43" s="471" t="str">
        <f>IF(ISERROR(HLOOKUP(GI$24,Tulem!$A$5:$CF$140,$AA43,FALSE)),"",HLOOKUP(GI$24,Tulem!$A$5:$CF$140,$AA43,FALSE))</f>
        <v/>
      </c>
      <c r="GJ43" s="471"/>
      <c r="GK43" s="471"/>
      <c r="GM43" s="469" t="str">
        <f>IF(ISERROR(HLOOKUP(GM$24,Tulem!$A$5:$CF$140,$AA43,FALSE)),"",HLOOKUP(GM$24,Tulem!$A$5:$CF$140,$AA43,FALSE))</f>
        <v/>
      </c>
      <c r="GN43" s="469"/>
      <c r="GO43" s="469"/>
    </row>
    <row r="44" spans="1:197" s="50" customFormat="1" ht="16.25" customHeight="1" outlineLevel="1" x14ac:dyDescent="0.2">
      <c r="A44" s="499">
        <v>15</v>
      </c>
      <c r="B44" s="499"/>
      <c r="C44" s="499"/>
      <c r="D44" s="496" t="str">
        <f ca="1">IF(ISERROR(Tulem!E20),"",Tulem!E20)</f>
        <v>Sekkuv</v>
      </c>
      <c r="E44" s="496"/>
      <c r="F44" s="496"/>
      <c r="G44" s="496"/>
      <c r="I44" s="496" t="str">
        <f ca="1">IF(ISERROR(Tulem!D20),"",Tulem!D20)</f>
        <v>Sekkuv/EÜ</v>
      </c>
      <c r="J44" s="496"/>
      <c r="K44" s="496"/>
      <c r="L44" s="496"/>
      <c r="M44" s="496"/>
      <c r="P44" s="496" t="str">
        <f ca="1">IF(ISERROR(Tulem!G20),"",Tulem!G20)</f>
        <v>PK &amp; UG</v>
      </c>
      <c r="Q44" s="496"/>
      <c r="R44" s="496"/>
      <c r="S44" s="496"/>
      <c r="T44" s="496"/>
      <c r="U44" s="496"/>
      <c r="V44" s="496" t="str">
        <f ca="1">IF(ISERROR(Tulem!F20),"",Tulem!F20)</f>
        <v>Mittesekkuv</v>
      </c>
      <c r="W44" s="496"/>
      <c r="X44" s="496"/>
      <c r="Y44" s="496"/>
      <c r="Z44" s="496"/>
      <c r="AA44" s="255">
        <v>16</v>
      </c>
      <c r="AB44" s="497">
        <f ca="1">IF(ISERROR(HLOOKUP(AB$24,Tulem!$A$5:$CF$140,$AA44,FALSE)),"",HLOOKUP(AB$24,Tulem!$A$5:$CF$140,$AA44,FALSE))</f>
        <v>7.2247501993602317</v>
      </c>
      <c r="AC44" s="497"/>
      <c r="AD44" s="497"/>
      <c r="AE44" s="497"/>
      <c r="AF44" s="166"/>
      <c r="AG44" s="480">
        <f ca="1">IF(ISERROR(HLOOKUP(AG$24,Tulem!$A$5:$CF$140,$AA44,FALSE)),"",HLOOKUP(AG$24,Tulem!$A$5:$CF$140,$AA44,FALSE))</f>
        <v>764.35805468302556</v>
      </c>
      <c r="AH44" s="480"/>
      <c r="AI44" s="480"/>
      <c r="AJ44" s="480"/>
      <c r="AK44" s="167"/>
      <c r="AL44" s="480">
        <f ca="1">IF(ISERROR(HLOOKUP(AL$24,Tulem!$A$5:$CF$140,$AA44,FALSE)),"",HLOOKUP(AL$24,Tulem!$A$5:$CF$140,$AA44,FALSE))</f>
        <v>117.94381416246918</v>
      </c>
      <c r="AM44" s="480"/>
      <c r="AN44" s="480"/>
      <c r="AO44" s="480"/>
      <c r="AP44" s="168"/>
      <c r="AQ44" s="473">
        <f ca="1">IF(ISERROR(HLOOKUP(AQ$24,Tulem!$A$5:$CF$140,$AA44,FALSE)),"",HLOOKUP(AQ$24,Tulem!$A$5:$CF$140,$AA44,FALSE))</f>
        <v>-162.95750000000001</v>
      </c>
      <c r="AR44" s="473"/>
      <c r="AS44" s="473"/>
      <c r="AT44" s="168"/>
      <c r="AU44" s="473">
        <f ca="1">IF(ISERROR(HLOOKUP(AU$24,Tulem!$A$5:$CF$140,$AA44,FALSE)),"",HLOOKUP(AU$24,Tulem!$A$5:$CF$140,$AA44,FALSE))</f>
        <v>280.90131416246919</v>
      </c>
      <c r="AV44" s="473"/>
      <c r="AW44" s="473"/>
      <c r="AX44" s="169"/>
      <c r="AY44" s="473">
        <f ca="1">IF(ISERROR(HLOOKUP(AY$24,Tulem!$A$5:$CF$140,$AA44,FALSE)),"",HLOOKUP(AY$24,Tulem!$A$5:$CF$140,$AA44,FALSE))</f>
        <v>0</v>
      </c>
      <c r="AZ44" s="473"/>
      <c r="BA44" s="473"/>
      <c r="BB44" s="170"/>
      <c r="BC44" s="464">
        <f ca="1">IF(ISERROR(HLOOKUP(BC$24,Tulem!$A$5:$CF$140,$AA44,FALSE)),"",HLOOKUP(BC$24,Tulem!$A$5:$CF$140,$AA44,FALSE))</f>
        <v>0.28607448977970246</v>
      </c>
      <c r="BD44" s="464"/>
      <c r="BE44" s="464"/>
      <c r="BF44" s="170"/>
      <c r="BG44" s="489">
        <f ca="1">IF(ISERROR(HLOOKUP(BG$24,Tulem!$A$5:$CF$140,$AA44,FALSE)),"",HLOOKUP(BG$24,Tulem!$A$5:$CF$140,$AA44,FALSE))</f>
        <v>90</v>
      </c>
      <c r="BH44" s="489"/>
      <c r="BI44" s="489"/>
      <c r="BJ44" s="170"/>
      <c r="BK44" s="464">
        <f ca="1">IF(ISERROR(HLOOKUP(BK$24,Tulem!$A$5:$CF$140,$AA44,FALSE)),"",HLOOKUP(BK$24,Tulem!$A$5:$CF$140,$AA44,FALSE))</f>
        <v>1</v>
      </c>
      <c r="BL44" s="464"/>
      <c r="BM44" s="464"/>
      <c r="BN44" s="170"/>
      <c r="BO44" s="470">
        <f ca="1">IF(ISERROR(HLOOKUP(BO$24,Tulem!$A$5:$CF$140,$AA44,FALSE)),"",HLOOKUP(BO$24,Tulem!$A$5:$CF$140,$AA44,FALSE))</f>
        <v>0</v>
      </c>
      <c r="BP44" s="470"/>
      <c r="BQ44" s="470"/>
      <c r="BR44" s="170"/>
      <c r="BS44" s="464">
        <f ca="1">IF(ISERROR(HLOOKUP(BS$24,Tulem!$A$5:$CF$140,$AA44,FALSE)),"",HLOOKUP(BS$24,Tulem!$A$5:$CF$140,$AA44,FALSE))</f>
        <v>0.27595013650694183</v>
      </c>
      <c r="BT44" s="464"/>
      <c r="BU44" s="464"/>
      <c r="BV44" s="170"/>
      <c r="BW44" s="469">
        <f ca="1">IF(ISERROR(HLOOKUP(BW$24,Tulem!$A$5:$CF$140,$AA44,FALSE)),"",HLOOKUP(BW$24,Tulem!$A$5:$CF$140,$AA44,FALSE))</f>
        <v>57.735011875436598</v>
      </c>
      <c r="BX44" s="469"/>
      <c r="BY44" s="469"/>
      <c r="BZ44" s="170"/>
      <c r="CA44" s="470">
        <f ca="1">IF(ISERROR(HLOOKUP(CA$24,Tulem!$A$5:$CF$140,$AA44,FALSE)),"",HLOOKUP(CA$24,Tulem!$A$5:$CF$140,$AA44,FALSE))</f>
        <v>2.5620074329845279E-2</v>
      </c>
      <c r="CB44" s="470"/>
      <c r="CC44" s="470"/>
      <c r="CD44" s="170"/>
      <c r="CE44" s="464">
        <f ca="1">IF(ISERROR(HLOOKUP(CE$24,Tulem!$A$5:$CF$140,$AA44,FALSE)),"",HLOOKUP(CE$24,Tulem!$A$5:$CF$140,$AA44,FALSE))</f>
        <v>0.44890608494094819</v>
      </c>
      <c r="CF44" s="464"/>
      <c r="CG44" s="464"/>
      <c r="CH44" s="170"/>
      <c r="CI44" s="469">
        <f ca="1">IF(ISERROR(HLOOKUP(CI$24,Tulem!$A$5:$CF$140,$AA44,FALSE)),"",HLOOKUP(CI$24,Tulem!$A$5:$CF$140,$AA44,FALSE))</f>
        <v>6.08</v>
      </c>
      <c r="CJ44" s="469"/>
      <c r="CK44" s="469"/>
      <c r="CL44" s="170"/>
      <c r="CM44" s="470">
        <f ca="1">IF(ISERROR(HLOOKUP(CM$24,Tulem!$A$5:$CF$140,$AA44,FALSE)),"",HLOOKUP(CM$24,Tulem!$A$5:$CF$140,$AA44,FALSE))</f>
        <v>2.8225660947919749E-2</v>
      </c>
      <c r="CN44" s="470"/>
      <c r="CO44" s="470"/>
      <c r="CP44" s="266"/>
      <c r="CQ44" s="470">
        <f ca="1">IF(ISERROR(HLOOKUP(CQ$24,Tulem!$A$5:$CF$140,$AA44,FALSE)),"",HLOOKUP(CQ$24,Tulem!$A$5:$CF$140,$AA44,FALSE))</f>
        <v>1.4219272735081974E-2</v>
      </c>
      <c r="CR44" s="470"/>
      <c r="CS44" s="470"/>
      <c r="CT44" s="266"/>
      <c r="CU44" s="470">
        <f ca="1">IF(ISERROR(HLOOKUP(CU$24,Tulem!$A$5:$CF$140,$AA44,FALSE)),"",HLOOKUP(CU$24,Tulem!$A$5:$CF$140,$AA44,FALSE))</f>
        <v>1.0375960865619566E-2</v>
      </c>
      <c r="CV44" s="470"/>
      <c r="CW44" s="470"/>
      <c r="CX44" s="170"/>
      <c r="CY44" s="470">
        <f ca="1">IF(ISERROR(HLOOKUP(CY$24,Tulem!$A$5:$CF$140,$AA44,FALSE)),"",HLOOKUP(CY$24,Tulem!$A$5:$CF$140,$AA44,FALSE))</f>
        <v>1.8223260111437593E-2</v>
      </c>
      <c r="CZ44" s="470"/>
      <c r="DA44" s="470"/>
      <c r="DB44" s="170"/>
      <c r="DC44" s="473">
        <f ca="1">IF(ISERROR(HLOOKUP(DC$24,Tulem!$A$5:$CF$140,$AA44,FALSE)),"",HLOOKUP(DC$24,Tulem!$A$5:$CF$140,$AA44,FALSE))</f>
        <v>7.5199896156049162</v>
      </c>
      <c r="DD44" s="473"/>
      <c r="DE44" s="473"/>
      <c r="DF44" s="171"/>
      <c r="DG44" s="481">
        <f ca="1">IF(ISERROR(HLOOKUP(DG$24,Tulem!$A$5:$CF$140,$AA44,FALSE)),"",HLOOKUP(DG$24,Tulem!$A$5:$CF$140,$AA44,FALSE))</f>
        <v>9721.5202996777352</v>
      </c>
      <c r="DH44" s="481"/>
      <c r="DI44" s="481"/>
      <c r="DJ44" s="171"/>
      <c r="DK44" s="473">
        <f ca="1">IF(ISERROR(HLOOKUP(DK$24,Tulem!$A$5:$CF$140,$AA44,FALSE)),"",HLOOKUP(DK$24,Tulem!$A$5:$CF$140,$AA44,FALSE))</f>
        <v>10.715</v>
      </c>
      <c r="DL44" s="473"/>
      <c r="DM44" s="473"/>
      <c r="DN44" s="170"/>
      <c r="DO44" s="464">
        <f ca="1">IF(ISERROR(HLOOKUP(DO$24,Tulem!$A$5:$CF$140,$AA44,FALSE)),"",HLOOKUP(DO$24,Tulem!$A$5:$CF$140,$AA44,FALSE))</f>
        <v>-4.3036781019003816E-2</v>
      </c>
      <c r="DP44" s="464"/>
      <c r="DQ44" s="464"/>
      <c r="DR44" s="170"/>
      <c r="DS44" s="464">
        <f ca="1">IF(ISERROR(HLOOKUP(DS$24,Tulem!$A$5:$CF$140,$AA44,FALSE)),"",HLOOKUP(DS$24,Tulem!$A$5:$CF$140,$AA44,FALSE))</f>
        <v>2.8724424661701213E-2</v>
      </c>
      <c r="DT44" s="464"/>
      <c r="DU44" s="464"/>
      <c r="DV44" s="170"/>
      <c r="DW44" s="464">
        <f ca="1">IF(ISERROR(HLOOKUP(DW$24,Tulem!$A$5:$CF$140,$AA44,FALSE)),"",HLOOKUP(DW$24,Tulem!$A$5:$CF$140,$AA44,FALSE))</f>
        <v>1.177840027048313E-2</v>
      </c>
      <c r="DX44" s="464"/>
      <c r="DY44" s="464"/>
      <c r="DZ44" s="170"/>
      <c r="EA44" s="469">
        <f ca="1">IF(ISERROR(HLOOKUP(EA$24,Tulem!$A$5:$CF$140,$AA44,FALSE)),"",HLOOKUP(EA$24,Tulem!$A$5:$CF$140,$AA44,FALSE))</f>
        <v>10.488630311598682</v>
      </c>
      <c r="EB44" s="469"/>
      <c r="EC44" s="469"/>
      <c r="ED44" s="171"/>
      <c r="EE44" s="469">
        <f ca="1">IF(ISERROR(HLOOKUP(EE$24,Tulem!$A$5:$CF$140,$AA44,FALSE)),"",HLOOKUP(EE$24,Tulem!$A$5:$CF$140,$AA44,FALSE))</f>
        <v>5.9039999999999999</v>
      </c>
      <c r="EF44" s="469"/>
      <c r="EG44" s="469"/>
      <c r="EH44" s="170"/>
      <c r="EI44" s="469">
        <f ca="1">IF(ISERROR(HLOOKUP(EI$24,Tulem!$A$5:$CF$140,$AA44,FALSE)),"",HLOOKUP(EI$24,Tulem!$A$5:$CF$140,$AA44,FALSE))</f>
        <v>1.03788499063732</v>
      </c>
      <c r="EJ44" s="469"/>
      <c r="EK44" s="469"/>
      <c r="EL44" s="171"/>
      <c r="EM44" s="469">
        <f ca="1">IF(ISERROR(HLOOKUP(EM$24,Tulem!$A$5:$CF$140,$AA44,FALSE)),"",HLOOKUP(EM$24,Tulem!$A$5:$CF$140,$AA44,FALSE))</f>
        <v>20.928000000000001</v>
      </c>
      <c r="EN44" s="469"/>
      <c r="EO44" s="469"/>
      <c r="EP44" s="171"/>
      <c r="EQ44" s="469">
        <f ca="1">IF(ISERROR(HLOOKUP(EQ$24,Tulem!$A$5:$CF$140,$AA44,FALSE)),"",HLOOKUP(EQ$24,Tulem!$A$5:$CF$140,$AA44,FALSE))</f>
        <v>37.837669554234019</v>
      </c>
      <c r="ER44" s="469"/>
      <c r="ES44" s="469"/>
      <c r="ET44" s="170"/>
      <c r="EU44" s="469">
        <f ca="1">IF(ISERROR(HLOOKUP(EU$24,Tulem!$A$5:$CF$140,$AA44,FALSE)),"",HLOOKUP(EU$24,Tulem!$A$5:$CF$140,$AA44,FALSE))</f>
        <v>7.2238849906373197</v>
      </c>
      <c r="EV44" s="469"/>
      <c r="EW44" s="469"/>
      <c r="EX44" s="170"/>
      <c r="EY44" s="473">
        <f ca="1">IF(ISERROR(HLOOKUP(EY$24,Tulem!$A$5:$CF$140,$AA44,FALSE)),"",HLOOKUP(EY$24,Tulem!$A$5:$CF$140,$AA44,FALSE))</f>
        <v>91</v>
      </c>
      <c r="EZ44" s="473"/>
      <c r="FA44" s="473"/>
      <c r="FB44" s="171"/>
      <c r="FC44" s="469">
        <f ca="1">IF(ISERROR(HLOOKUP(FC$24,Tulem!$A$5:$CF$140,$AA44,FALSE)),"",HLOOKUP(FC$24,Tulem!$A$5:$CF$140,$AA44,FALSE))</f>
        <v>15.191000000000001</v>
      </c>
      <c r="FD44" s="469"/>
      <c r="FE44" s="469"/>
      <c r="FF44" s="170"/>
      <c r="FG44" s="473">
        <f ca="1">IF(ISERROR(HLOOKUP(FG$24,Tulem!$A$5:$CF$140,$AA44,FALSE)),"",HLOOKUP(FG$24,Tulem!$A$5:$CF$140,$AA44,FALSE))</f>
        <v>130.73361111111112</v>
      </c>
      <c r="FH44" s="473"/>
      <c r="FI44" s="473"/>
      <c r="FJ44" s="170"/>
      <c r="FK44" s="469">
        <f ca="1">IF(ISERROR(HLOOKUP(FK$24,Tulem!$A$5:$CF$140,$AA44,FALSE)),"",HLOOKUP(FK$24,Tulem!$A$5:$CF$140,$AA44,FALSE))</f>
        <v>6.9564380000000003</v>
      </c>
      <c r="FL44" s="469"/>
      <c r="FM44" s="469"/>
      <c r="FO44" s="473">
        <f ca="1">IF(ISERROR(HLOOKUP(FO$24,Tulem!$A$5:$CF$140,$AA44,FALSE)),"",HLOOKUP(FO$24,Tulem!$A$5:$CF$140,$AA44,FALSE))</f>
        <v>284.90000000000003</v>
      </c>
      <c r="FP44" s="473"/>
      <c r="FQ44" s="473"/>
      <c r="FS44" s="469">
        <f ca="1">IF(ISERROR(HLOOKUP(FS$24,Tulem!$A$5:$CF$140,$AA44,FALSE)),"",HLOOKUP(FS$24,Tulem!$A$5:$CF$140,$AA44,FALSE))</f>
        <v>2.7810000000000001</v>
      </c>
      <c r="FT44" s="469"/>
      <c r="FU44" s="469"/>
      <c r="FW44" s="476">
        <f ca="1">IF(ISERROR(HLOOKUP(FW$24,Tulem!$A$5:$CF$140,$AA44,FALSE)),"",HLOOKUP(FW$24,Tulem!$A$5:$CF$140,$AA44,FALSE))</f>
        <v>0.19900000000000001</v>
      </c>
      <c r="FX44" s="476"/>
      <c r="FY44" s="476"/>
      <c r="FZ44" s="327"/>
      <c r="GA44" s="476">
        <f ca="1">IF(ISERROR(HLOOKUP(GA$24,Tulem!$A$5:$CF$140,$AA44,FALSE)),"",HLOOKUP(GA$24,Tulem!$A$5:$CF$140,$AA44,FALSE))</f>
        <v>0.72299999999999998</v>
      </c>
      <c r="GB44" s="476"/>
      <c r="GC44" s="476"/>
      <c r="GE44" s="475">
        <f ca="1">IF(ISERROR(HLOOKUP(GE$24,Tulem!$A$5:$CF$140,$AA44,FALSE)),"",HLOOKUP(GE$24,Tulem!$A$5:$CF$140,$AA44,FALSE))</f>
        <v>1025</v>
      </c>
      <c r="GF44" s="475"/>
      <c r="GG44" s="475"/>
      <c r="GI44" s="471" t="str">
        <f>IF(ISERROR(HLOOKUP(GI$24,Tulem!$A$5:$CF$140,$AA44,FALSE)),"",HLOOKUP(GI$24,Tulem!$A$5:$CF$140,$AA44,FALSE))</f>
        <v/>
      </c>
      <c r="GJ44" s="471"/>
      <c r="GK44" s="471"/>
      <c r="GM44" s="469" t="str">
        <f>IF(ISERROR(HLOOKUP(GM$24,Tulem!$A$5:$CF$140,$AA44,FALSE)),"",HLOOKUP(GM$24,Tulem!$A$5:$CF$140,$AA44,FALSE))</f>
        <v/>
      </c>
      <c r="GN44" s="469"/>
      <c r="GO44" s="469"/>
    </row>
    <row r="45" spans="1:197" s="50" customFormat="1" ht="16.25" customHeight="1" outlineLevel="1" x14ac:dyDescent="0.2">
      <c r="A45" s="499">
        <v>16</v>
      </c>
      <c r="B45" s="499"/>
      <c r="C45" s="499"/>
      <c r="D45" s="496" t="str">
        <f ca="1">IF(ISERROR(Tulem!E21),"",Tulem!E21)</f>
        <v/>
      </c>
      <c r="E45" s="496"/>
      <c r="F45" s="496"/>
      <c r="G45" s="496"/>
      <c r="I45" s="496" t="str">
        <f ca="1">IF(ISERROR(Tulem!D21),"",Tulem!D21)</f>
        <v/>
      </c>
      <c r="J45" s="496"/>
      <c r="K45" s="496"/>
      <c r="L45" s="496"/>
      <c r="M45" s="496"/>
      <c r="P45" s="496" t="str">
        <f ca="1">IF(ISERROR(Tulem!G21),"",Tulem!G21)</f>
        <v/>
      </c>
      <c r="Q45" s="496"/>
      <c r="R45" s="496"/>
      <c r="S45" s="496"/>
      <c r="T45" s="496"/>
      <c r="U45" s="496"/>
      <c r="V45" s="496" t="str">
        <f ca="1">IF(ISERROR(Tulem!F21),"",Tulem!F21)</f>
        <v/>
      </c>
      <c r="W45" s="496"/>
      <c r="X45" s="496"/>
      <c r="Y45" s="496"/>
      <c r="Z45" s="496"/>
      <c r="AA45" s="255">
        <v>17</v>
      </c>
      <c r="AB45" s="497" t="str">
        <f ca="1">IF(ISERROR(HLOOKUP(AB$24,Tulem!$A$5:$CF$140,$AA45,FALSE)),"",HLOOKUP(AB$24,Tulem!$A$5:$CF$140,$AA45,FALSE))</f>
        <v/>
      </c>
      <c r="AC45" s="497"/>
      <c r="AD45" s="497"/>
      <c r="AE45" s="497"/>
      <c r="AF45" s="166"/>
      <c r="AG45" s="480" t="str">
        <f ca="1">IF(ISERROR(HLOOKUP(AG$24,Tulem!$A$5:$CF$140,$AA45,FALSE)),"",HLOOKUP(AG$24,Tulem!$A$5:$CF$140,$AA45,FALSE))</f>
        <v/>
      </c>
      <c r="AH45" s="480"/>
      <c r="AI45" s="480"/>
      <c r="AJ45" s="480"/>
      <c r="AK45" s="167"/>
      <c r="AL45" s="480" t="str">
        <f ca="1">IF(ISERROR(HLOOKUP(AL$24,Tulem!$A$5:$CF$140,$AA45,FALSE)),"",HLOOKUP(AL$24,Tulem!$A$5:$CF$140,$AA45,FALSE))</f>
        <v/>
      </c>
      <c r="AM45" s="480"/>
      <c r="AN45" s="480"/>
      <c r="AO45" s="480"/>
      <c r="AP45" s="168"/>
      <c r="AQ45" s="473" t="str">
        <f ca="1">IF(ISERROR(HLOOKUP(AQ$24,Tulem!$A$5:$CF$140,$AA45,FALSE)),"",HLOOKUP(AQ$24,Tulem!$A$5:$CF$140,$AA45,FALSE))</f>
        <v/>
      </c>
      <c r="AR45" s="473"/>
      <c r="AS45" s="473"/>
      <c r="AT45" s="168"/>
      <c r="AU45" s="473" t="str">
        <f ca="1">IF(ISERROR(HLOOKUP(AU$24,Tulem!$A$5:$CF$140,$AA45,FALSE)),"",HLOOKUP(AU$24,Tulem!$A$5:$CF$140,$AA45,FALSE))</f>
        <v/>
      </c>
      <c r="AV45" s="473"/>
      <c r="AW45" s="473"/>
      <c r="AX45" s="169"/>
      <c r="AY45" s="473" t="str">
        <f ca="1">IF(ISERROR(HLOOKUP(AY$24,Tulem!$A$5:$CF$140,$AA45,FALSE)),"",HLOOKUP(AY$24,Tulem!$A$5:$CF$140,$AA45,FALSE))</f>
        <v/>
      </c>
      <c r="AZ45" s="473"/>
      <c r="BA45" s="473"/>
      <c r="BB45" s="170"/>
      <c r="BC45" s="464" t="str">
        <f ca="1">IF(ISERROR(HLOOKUP(BC$24,Tulem!$A$5:$CF$140,$AA45,FALSE)),"",HLOOKUP(BC$24,Tulem!$A$5:$CF$140,$AA45,FALSE))</f>
        <v/>
      </c>
      <c r="BD45" s="464"/>
      <c r="BE45" s="464"/>
      <c r="BF45" s="170"/>
      <c r="BG45" s="489" t="str">
        <f ca="1">IF(ISERROR(HLOOKUP(BG$24,Tulem!$A$5:$CF$140,$AA45,FALSE)),"",HLOOKUP(BG$24,Tulem!$A$5:$CF$140,$AA45,FALSE))</f>
        <v/>
      </c>
      <c r="BH45" s="489"/>
      <c r="BI45" s="489"/>
      <c r="BJ45" s="170"/>
      <c r="BK45" s="464" t="str">
        <f ca="1">IF(ISERROR(HLOOKUP(BK$24,Tulem!$A$5:$CF$140,$AA45,FALSE)),"",HLOOKUP(BK$24,Tulem!$A$5:$CF$140,$AA45,FALSE))</f>
        <v/>
      </c>
      <c r="BL45" s="464"/>
      <c r="BM45" s="464"/>
      <c r="BN45" s="170"/>
      <c r="BO45" s="470" t="str">
        <f ca="1">IF(ISERROR(HLOOKUP(BO$24,Tulem!$A$5:$CF$140,$AA45,FALSE)),"",HLOOKUP(BO$24,Tulem!$A$5:$CF$140,$AA45,FALSE))</f>
        <v/>
      </c>
      <c r="BP45" s="470"/>
      <c r="BQ45" s="470"/>
      <c r="BR45" s="170"/>
      <c r="BS45" s="464" t="str">
        <f ca="1">IF(ISERROR(HLOOKUP(BS$24,Tulem!$A$5:$CF$140,$AA45,FALSE)),"",HLOOKUP(BS$24,Tulem!$A$5:$CF$140,$AA45,FALSE))</f>
        <v/>
      </c>
      <c r="BT45" s="464"/>
      <c r="BU45" s="464"/>
      <c r="BV45" s="170"/>
      <c r="BW45" s="469" t="str">
        <f ca="1">IF(ISERROR(HLOOKUP(BW$24,Tulem!$A$5:$CF$140,$AA45,FALSE)),"",HLOOKUP(BW$24,Tulem!$A$5:$CF$140,$AA45,FALSE))</f>
        <v/>
      </c>
      <c r="BX45" s="469"/>
      <c r="BY45" s="469"/>
      <c r="BZ45" s="170"/>
      <c r="CA45" s="470" t="str">
        <f ca="1">IF(ISERROR(HLOOKUP(CA$24,Tulem!$A$5:$CF$140,$AA45,FALSE)),"",HLOOKUP(CA$24,Tulem!$A$5:$CF$140,$AA45,FALSE))</f>
        <v/>
      </c>
      <c r="CB45" s="470"/>
      <c r="CC45" s="470"/>
      <c r="CD45" s="170"/>
      <c r="CE45" s="464" t="str">
        <f ca="1">IF(ISERROR(HLOOKUP(CE$24,Tulem!$A$5:$CF$140,$AA45,FALSE)),"",HLOOKUP(CE$24,Tulem!$A$5:$CF$140,$AA45,FALSE))</f>
        <v/>
      </c>
      <c r="CF45" s="464"/>
      <c r="CG45" s="464"/>
      <c r="CH45" s="170"/>
      <c r="CI45" s="469" t="str">
        <f ca="1">IF(ISERROR(HLOOKUP(CI$24,Tulem!$A$5:$CF$140,$AA45,FALSE)),"",HLOOKUP(CI$24,Tulem!$A$5:$CF$140,$AA45,FALSE))</f>
        <v/>
      </c>
      <c r="CJ45" s="469"/>
      <c r="CK45" s="469"/>
      <c r="CL45" s="170"/>
      <c r="CM45" s="470" t="str">
        <f ca="1">IF(ISERROR(HLOOKUP(CM$24,Tulem!$A$5:$CF$140,$AA45,FALSE)),"",HLOOKUP(CM$24,Tulem!$A$5:$CF$140,$AA45,FALSE))</f>
        <v/>
      </c>
      <c r="CN45" s="470"/>
      <c r="CO45" s="470"/>
      <c r="CP45" s="266"/>
      <c r="CQ45" s="470" t="str">
        <f ca="1">IF(ISERROR(HLOOKUP(CQ$24,Tulem!$A$5:$CF$140,$AA45,FALSE)),"",HLOOKUP(CQ$24,Tulem!$A$5:$CF$140,$AA45,FALSE))</f>
        <v/>
      </c>
      <c r="CR45" s="470"/>
      <c r="CS45" s="470"/>
      <c r="CT45" s="266"/>
      <c r="CU45" s="470" t="str">
        <f ca="1">IF(ISERROR(HLOOKUP(CU$24,Tulem!$A$5:$CF$140,$AA45,FALSE)),"",HLOOKUP(CU$24,Tulem!$A$5:$CF$140,$AA45,FALSE))</f>
        <v/>
      </c>
      <c r="CV45" s="470"/>
      <c r="CW45" s="470"/>
      <c r="CX45" s="170"/>
      <c r="CY45" s="470" t="str">
        <f ca="1">IF(ISERROR(HLOOKUP(CY$24,Tulem!$A$5:$CF$140,$AA45,FALSE)),"",HLOOKUP(CY$24,Tulem!$A$5:$CF$140,$AA45,FALSE))</f>
        <v/>
      </c>
      <c r="CZ45" s="470"/>
      <c r="DA45" s="470"/>
      <c r="DB45" s="170"/>
      <c r="DC45" s="473" t="str">
        <f ca="1">IF(ISERROR(HLOOKUP(DC$24,Tulem!$A$5:$CF$140,$AA45,FALSE)),"",HLOOKUP(DC$24,Tulem!$A$5:$CF$140,$AA45,FALSE))</f>
        <v/>
      </c>
      <c r="DD45" s="473"/>
      <c r="DE45" s="473"/>
      <c r="DF45" s="171"/>
      <c r="DG45" s="480" t="str">
        <f ca="1">IF(ISERROR(HLOOKUP(DG$24,Tulem!$A$5:$CF$140,$AA45,FALSE)),"",HLOOKUP(DG$24,Tulem!$A$5:$CF$140,$AA45,FALSE))</f>
        <v/>
      </c>
      <c r="DH45" s="480"/>
      <c r="DI45" s="480"/>
      <c r="DJ45" s="171"/>
      <c r="DK45" s="473" t="str">
        <f ca="1">IF(ISERROR(HLOOKUP(DK$24,Tulem!$A$5:$CF$140,$AA45,FALSE)),"",HLOOKUP(DK$24,Tulem!$A$5:$CF$140,$AA45,FALSE))</f>
        <v/>
      </c>
      <c r="DL45" s="473"/>
      <c r="DM45" s="473"/>
      <c r="DN45" s="170"/>
      <c r="DO45" s="464" t="str">
        <f ca="1">IF(ISERROR(HLOOKUP(DO$24,Tulem!$A$5:$CF$140,$AA45,FALSE)),"",HLOOKUP(DO$24,Tulem!$A$5:$CF$140,$AA45,FALSE))</f>
        <v/>
      </c>
      <c r="DP45" s="464"/>
      <c r="DQ45" s="464"/>
      <c r="DR45" s="170"/>
      <c r="DS45" s="464" t="str">
        <f ca="1">IF(ISERROR(HLOOKUP(DS$24,Tulem!$A$5:$CF$140,$AA45,FALSE)),"",HLOOKUP(DS$24,Tulem!$A$5:$CF$140,$AA45,FALSE))</f>
        <v/>
      </c>
      <c r="DT45" s="464"/>
      <c r="DU45" s="464"/>
      <c r="DV45" s="170"/>
      <c r="DW45" s="464" t="str">
        <f ca="1">IF(ISERROR(HLOOKUP(DW$24,Tulem!$A$5:$CF$140,$AA45,FALSE)),"",HLOOKUP(DW$24,Tulem!$A$5:$CF$140,$AA45,FALSE))</f>
        <v/>
      </c>
      <c r="DX45" s="464"/>
      <c r="DY45" s="464"/>
      <c r="DZ45" s="170"/>
      <c r="EA45" s="469" t="str">
        <f ca="1">IF(ISERROR(HLOOKUP(EA$24,Tulem!$A$5:$CF$140,$AA45,FALSE)),"",HLOOKUP(EA$24,Tulem!$A$5:$CF$140,$AA45,FALSE))</f>
        <v/>
      </c>
      <c r="EB45" s="469"/>
      <c r="EC45" s="469"/>
      <c r="ED45" s="171"/>
      <c r="EE45" s="469" t="str">
        <f ca="1">IF(ISERROR(HLOOKUP(EE$24,Tulem!$A$5:$CF$140,$AA45,FALSE)),"",HLOOKUP(EE$24,Tulem!$A$5:$CF$140,$AA45,FALSE))</f>
        <v/>
      </c>
      <c r="EF45" s="469"/>
      <c r="EG45" s="469"/>
      <c r="EH45" s="170"/>
      <c r="EI45" s="469" t="str">
        <f ca="1">IF(ISERROR(HLOOKUP(EI$24,Tulem!$A$5:$CF$140,$AA45,FALSE)),"",HLOOKUP(EI$24,Tulem!$A$5:$CF$140,$AA45,FALSE))</f>
        <v/>
      </c>
      <c r="EJ45" s="469"/>
      <c r="EK45" s="469"/>
      <c r="EL45" s="171"/>
      <c r="EM45" s="469" t="str">
        <f ca="1">IF(ISERROR(HLOOKUP(EM$24,Tulem!$A$5:$CF$140,$AA45,FALSE)),"",HLOOKUP(EM$24,Tulem!$A$5:$CF$140,$AA45,FALSE))</f>
        <v/>
      </c>
      <c r="EN45" s="469"/>
      <c r="EO45" s="469"/>
      <c r="EP45" s="171"/>
      <c r="EQ45" s="469" t="str">
        <f ca="1">IF(ISERROR(HLOOKUP(EQ$24,Tulem!$A$5:$CF$140,$AA45,FALSE)),"",HLOOKUP(EQ$24,Tulem!$A$5:$CF$140,$AA45,FALSE))</f>
        <v/>
      </c>
      <c r="ER45" s="469"/>
      <c r="ES45" s="469"/>
      <c r="ET45" s="170"/>
      <c r="EU45" s="469" t="str">
        <f ca="1">IF(ISERROR(HLOOKUP(EU$24,Tulem!$A$5:$CF$140,$AA45,FALSE)),"",HLOOKUP(EU$24,Tulem!$A$5:$CF$140,$AA45,FALSE))</f>
        <v/>
      </c>
      <c r="EV45" s="469"/>
      <c r="EW45" s="469"/>
      <c r="EX45" s="170"/>
      <c r="EY45" s="473" t="str">
        <f ca="1">IF(ISERROR(HLOOKUP(EY$24,Tulem!$A$5:$CF$140,$AA45,FALSE)),"",HLOOKUP(EY$24,Tulem!$A$5:$CF$140,$AA45,FALSE))</f>
        <v/>
      </c>
      <c r="EZ45" s="473"/>
      <c r="FA45" s="473"/>
      <c r="FB45" s="171"/>
      <c r="FC45" s="469" t="str">
        <f ca="1">IF(ISERROR(HLOOKUP(FC$24,Tulem!$A$5:$CF$140,$AA45,FALSE)),"",HLOOKUP(FC$24,Tulem!$A$5:$CF$140,$AA45,FALSE))</f>
        <v/>
      </c>
      <c r="FD45" s="469"/>
      <c r="FE45" s="469"/>
      <c r="FF45" s="170"/>
      <c r="FG45" s="473" t="str">
        <f ca="1">IF(ISERROR(HLOOKUP(FG$24,Tulem!$A$5:$CF$140,$AA45,FALSE)),"",HLOOKUP(FG$24,Tulem!$A$5:$CF$140,$AA45,FALSE))</f>
        <v/>
      </c>
      <c r="FH45" s="473"/>
      <c r="FI45" s="473"/>
      <c r="FJ45" s="170"/>
      <c r="FK45" s="469" t="str">
        <f ca="1">IF(ISERROR(HLOOKUP(FK$24,Tulem!$A$5:$CF$140,$AA45,FALSE)),"",HLOOKUP(FK$24,Tulem!$A$5:$CF$140,$AA45,FALSE))</f>
        <v/>
      </c>
      <c r="FL45" s="469"/>
      <c r="FM45" s="469"/>
      <c r="FO45" s="473" t="str">
        <f ca="1">IF(ISERROR(HLOOKUP(FO$24,Tulem!$A$5:$CF$140,$AA45,FALSE)),"",HLOOKUP(FO$24,Tulem!$A$5:$CF$140,$AA45,FALSE))</f>
        <v/>
      </c>
      <c r="FP45" s="473"/>
      <c r="FQ45" s="473"/>
      <c r="FS45" s="469" t="str">
        <f ca="1">IF(ISERROR(HLOOKUP(FS$24,Tulem!$A$5:$CF$140,$AA45,FALSE)),"",HLOOKUP(FS$24,Tulem!$A$5:$CF$140,$AA45,FALSE))</f>
        <v/>
      </c>
      <c r="FT45" s="469"/>
      <c r="FU45" s="469"/>
      <c r="FW45" s="476" t="str">
        <f ca="1">IF(ISERROR(HLOOKUP(FW$24,Tulem!$A$5:$CF$140,$AA45,FALSE)),"",HLOOKUP(FW$24,Tulem!$A$5:$CF$140,$AA45,FALSE))</f>
        <v/>
      </c>
      <c r="FX45" s="476"/>
      <c r="FY45" s="476"/>
      <c r="FZ45" s="327"/>
      <c r="GA45" s="476" t="str">
        <f ca="1">IF(ISERROR(HLOOKUP(GA$24,Tulem!$A$5:$CF$140,$AA45,FALSE)),"",HLOOKUP(GA$24,Tulem!$A$5:$CF$140,$AA45,FALSE))</f>
        <v/>
      </c>
      <c r="GB45" s="476"/>
      <c r="GC45" s="476"/>
      <c r="GE45" s="473" t="str">
        <f ca="1">IF(ISERROR(HLOOKUP(GE$24,Tulem!$A$5:$CF$140,$AA45,FALSE)),"",HLOOKUP(GE$24,Tulem!$A$5:$CF$140,$AA45,FALSE))</f>
        <v/>
      </c>
      <c r="GF45" s="473"/>
      <c r="GG45" s="473"/>
      <c r="GI45" s="471" t="str">
        <f>IF(ISERROR(HLOOKUP(GI$24,Tulem!$A$5:$CF$140,$AA45,FALSE)),"",HLOOKUP(GI$24,Tulem!$A$5:$CF$140,$AA45,FALSE))</f>
        <v/>
      </c>
      <c r="GJ45" s="471"/>
      <c r="GK45" s="471"/>
      <c r="GM45" s="469" t="str">
        <f>IF(ISERROR(HLOOKUP(GM$24,Tulem!$A$5:$CF$140,$AA45,FALSE)),"",HLOOKUP(GM$24,Tulem!$A$5:$CF$140,$AA45,FALSE))</f>
        <v/>
      </c>
      <c r="GN45" s="469"/>
      <c r="GO45" s="469"/>
    </row>
    <row r="46" spans="1:197" s="50" customFormat="1" ht="16.25" customHeight="1" outlineLevel="1" x14ac:dyDescent="0.2">
      <c r="A46" s="499">
        <v>17</v>
      </c>
      <c r="B46" s="499"/>
      <c r="C46" s="499"/>
      <c r="D46" s="496" t="str">
        <f ca="1">IF(ISERROR(Tulem!E22),"",Tulem!E22)</f>
        <v/>
      </c>
      <c r="E46" s="496"/>
      <c r="F46" s="496"/>
      <c r="G46" s="496"/>
      <c r="I46" s="496" t="str">
        <f ca="1">IF(ISERROR(Tulem!D22),"",Tulem!D22)</f>
        <v/>
      </c>
      <c r="J46" s="496"/>
      <c r="K46" s="496"/>
      <c r="L46" s="496"/>
      <c r="M46" s="496"/>
      <c r="P46" s="496" t="str">
        <f ca="1">IF(ISERROR(Tulem!G22),"",Tulem!G22)</f>
        <v/>
      </c>
      <c r="Q46" s="496"/>
      <c r="R46" s="496"/>
      <c r="S46" s="496"/>
      <c r="T46" s="496"/>
      <c r="U46" s="496"/>
      <c r="V46" s="496" t="str">
        <f ca="1">IF(ISERROR(Tulem!F22),"",Tulem!F22)</f>
        <v/>
      </c>
      <c r="W46" s="496"/>
      <c r="X46" s="496"/>
      <c r="Y46" s="496"/>
      <c r="Z46" s="496"/>
      <c r="AA46" s="255">
        <v>18</v>
      </c>
      <c r="AB46" s="497" t="str">
        <f ca="1">IF(ISERROR(HLOOKUP(AB$24,Tulem!$A$5:$CF$140,$AA46,FALSE)),"",HLOOKUP(AB$24,Tulem!$A$5:$CF$140,$AA46,FALSE))</f>
        <v/>
      </c>
      <c r="AC46" s="497"/>
      <c r="AD46" s="497"/>
      <c r="AE46" s="497"/>
      <c r="AF46" s="166"/>
      <c r="AG46" s="480" t="str">
        <f ca="1">IF(ISERROR(HLOOKUP(AG$24,Tulem!$A$5:$CF$140,$AA46,FALSE)),"",HLOOKUP(AG$24,Tulem!$A$5:$CF$140,$AA46,FALSE))</f>
        <v/>
      </c>
      <c r="AH46" s="480"/>
      <c r="AI46" s="480"/>
      <c r="AJ46" s="480"/>
      <c r="AK46" s="167"/>
      <c r="AL46" s="480" t="str">
        <f ca="1">IF(ISERROR(HLOOKUP(AL$24,Tulem!$A$5:$CF$140,$AA46,FALSE)),"",HLOOKUP(AL$24,Tulem!$A$5:$CF$140,$AA46,FALSE))</f>
        <v/>
      </c>
      <c r="AM46" s="480"/>
      <c r="AN46" s="480"/>
      <c r="AO46" s="480"/>
      <c r="AP46" s="168"/>
      <c r="AQ46" s="473" t="str">
        <f ca="1">IF(ISERROR(HLOOKUP(AQ$24,Tulem!$A$5:$CF$140,$AA46,FALSE)),"",HLOOKUP(AQ$24,Tulem!$A$5:$CF$140,$AA46,FALSE))</f>
        <v/>
      </c>
      <c r="AR46" s="473"/>
      <c r="AS46" s="473"/>
      <c r="AT46" s="168"/>
      <c r="AU46" s="473" t="str">
        <f ca="1">IF(ISERROR(HLOOKUP(AU$24,Tulem!$A$5:$CF$140,$AA46,FALSE)),"",HLOOKUP(AU$24,Tulem!$A$5:$CF$140,$AA46,FALSE))</f>
        <v/>
      </c>
      <c r="AV46" s="473"/>
      <c r="AW46" s="473"/>
      <c r="AX46" s="169"/>
      <c r="AY46" s="473" t="str">
        <f ca="1">IF(ISERROR(HLOOKUP(AY$24,Tulem!$A$5:$CF$140,$AA46,FALSE)),"",HLOOKUP(AY$24,Tulem!$A$5:$CF$140,$AA46,FALSE))</f>
        <v/>
      </c>
      <c r="AZ46" s="473"/>
      <c r="BA46" s="473"/>
      <c r="BB46" s="170"/>
      <c r="BC46" s="464" t="str">
        <f ca="1">IF(ISERROR(HLOOKUP(BC$24,Tulem!$A$5:$CF$140,$AA46,FALSE)),"",HLOOKUP(BC$24,Tulem!$A$5:$CF$140,$AA46,FALSE))</f>
        <v/>
      </c>
      <c r="BD46" s="464"/>
      <c r="BE46" s="464"/>
      <c r="BF46" s="170"/>
      <c r="BG46" s="489" t="str">
        <f ca="1">IF(ISERROR(HLOOKUP(BG$24,Tulem!$A$5:$CF$140,$AA46,FALSE)),"",HLOOKUP(BG$24,Tulem!$A$5:$CF$140,$AA46,FALSE))</f>
        <v/>
      </c>
      <c r="BH46" s="489"/>
      <c r="BI46" s="489"/>
      <c r="BJ46" s="170"/>
      <c r="BK46" s="464" t="str">
        <f ca="1">IF(ISERROR(HLOOKUP(BK$24,Tulem!$A$5:$CF$140,$AA46,FALSE)),"",HLOOKUP(BK$24,Tulem!$A$5:$CF$140,$AA46,FALSE))</f>
        <v/>
      </c>
      <c r="BL46" s="464"/>
      <c r="BM46" s="464"/>
      <c r="BN46" s="170"/>
      <c r="BO46" s="470" t="str">
        <f ca="1">IF(ISERROR(HLOOKUP(BO$24,Tulem!$A$5:$CF$140,$AA46,FALSE)),"",HLOOKUP(BO$24,Tulem!$A$5:$CF$140,$AA46,FALSE))</f>
        <v/>
      </c>
      <c r="BP46" s="470"/>
      <c r="BQ46" s="470"/>
      <c r="BR46" s="170"/>
      <c r="BS46" s="464" t="str">
        <f ca="1">IF(ISERROR(HLOOKUP(BS$24,Tulem!$A$5:$CF$140,$AA46,FALSE)),"",HLOOKUP(BS$24,Tulem!$A$5:$CF$140,$AA46,FALSE))</f>
        <v/>
      </c>
      <c r="BT46" s="464"/>
      <c r="BU46" s="464"/>
      <c r="BV46" s="170"/>
      <c r="BW46" s="469" t="str">
        <f ca="1">IF(ISERROR(HLOOKUP(BW$24,Tulem!$A$5:$CF$140,$AA46,FALSE)),"",HLOOKUP(BW$24,Tulem!$A$5:$CF$140,$AA46,FALSE))</f>
        <v/>
      </c>
      <c r="BX46" s="469"/>
      <c r="BY46" s="469"/>
      <c r="BZ46" s="170"/>
      <c r="CA46" s="470" t="str">
        <f ca="1">IF(ISERROR(HLOOKUP(CA$24,Tulem!$A$5:$CF$140,$AA46,FALSE)),"",HLOOKUP(CA$24,Tulem!$A$5:$CF$140,$AA46,FALSE))</f>
        <v/>
      </c>
      <c r="CB46" s="470"/>
      <c r="CC46" s="470"/>
      <c r="CD46" s="170"/>
      <c r="CE46" s="464" t="str">
        <f ca="1">IF(ISERROR(HLOOKUP(CE$24,Tulem!$A$5:$CF$140,$AA46,FALSE)),"",HLOOKUP(CE$24,Tulem!$A$5:$CF$140,$AA46,FALSE))</f>
        <v/>
      </c>
      <c r="CF46" s="464"/>
      <c r="CG46" s="464"/>
      <c r="CH46" s="170"/>
      <c r="CI46" s="469" t="str">
        <f ca="1">IF(ISERROR(HLOOKUP(CI$24,Tulem!$A$5:$CF$140,$AA46,FALSE)),"",HLOOKUP(CI$24,Tulem!$A$5:$CF$140,$AA46,FALSE))</f>
        <v/>
      </c>
      <c r="CJ46" s="469"/>
      <c r="CK46" s="469"/>
      <c r="CL46" s="170"/>
      <c r="CM46" s="470" t="str">
        <f ca="1">IF(ISERROR(HLOOKUP(CM$24,Tulem!$A$5:$CF$140,$AA46,FALSE)),"",HLOOKUP(CM$24,Tulem!$A$5:$CF$140,$AA46,FALSE))</f>
        <v/>
      </c>
      <c r="CN46" s="470"/>
      <c r="CO46" s="470"/>
      <c r="CP46" s="266"/>
      <c r="CQ46" s="470" t="str">
        <f ca="1">IF(ISERROR(HLOOKUP(CQ$24,Tulem!$A$5:$CF$140,$AA46,FALSE)),"",HLOOKUP(CQ$24,Tulem!$A$5:$CF$140,$AA46,FALSE))</f>
        <v/>
      </c>
      <c r="CR46" s="470"/>
      <c r="CS46" s="470"/>
      <c r="CT46" s="266"/>
      <c r="CU46" s="470" t="str">
        <f ca="1">IF(ISERROR(HLOOKUP(CU$24,Tulem!$A$5:$CF$140,$AA46,FALSE)),"",HLOOKUP(CU$24,Tulem!$A$5:$CF$140,$AA46,FALSE))</f>
        <v/>
      </c>
      <c r="CV46" s="470"/>
      <c r="CW46" s="470"/>
      <c r="CX46" s="170"/>
      <c r="CY46" s="470" t="str">
        <f ca="1">IF(ISERROR(HLOOKUP(CY$24,Tulem!$A$5:$CF$140,$AA46,FALSE)),"",HLOOKUP(CY$24,Tulem!$A$5:$CF$140,$AA46,FALSE))</f>
        <v/>
      </c>
      <c r="CZ46" s="470"/>
      <c r="DA46" s="470"/>
      <c r="DB46" s="170"/>
      <c r="DC46" s="473" t="str">
        <f ca="1">IF(ISERROR(HLOOKUP(DC$24,Tulem!$A$5:$CF$140,$AA46,FALSE)),"",HLOOKUP(DC$24,Tulem!$A$5:$CF$140,$AA46,FALSE))</f>
        <v/>
      </c>
      <c r="DD46" s="473"/>
      <c r="DE46" s="473"/>
      <c r="DF46" s="171"/>
      <c r="DG46" s="480" t="str">
        <f ca="1">IF(ISERROR(HLOOKUP(DG$24,Tulem!$A$5:$CF$140,$AA46,FALSE)),"",HLOOKUP(DG$24,Tulem!$A$5:$CF$140,$AA46,FALSE))</f>
        <v/>
      </c>
      <c r="DH46" s="480"/>
      <c r="DI46" s="480"/>
      <c r="DJ46" s="171"/>
      <c r="DK46" s="473" t="str">
        <f ca="1">IF(ISERROR(HLOOKUP(DK$24,Tulem!$A$5:$CF$140,$AA46,FALSE)),"",HLOOKUP(DK$24,Tulem!$A$5:$CF$140,$AA46,FALSE))</f>
        <v/>
      </c>
      <c r="DL46" s="473"/>
      <c r="DM46" s="473"/>
      <c r="DN46" s="170"/>
      <c r="DO46" s="464" t="str">
        <f ca="1">IF(ISERROR(HLOOKUP(DO$24,Tulem!$A$5:$CF$140,$AA46,FALSE)),"",HLOOKUP(DO$24,Tulem!$A$5:$CF$140,$AA46,FALSE))</f>
        <v/>
      </c>
      <c r="DP46" s="464"/>
      <c r="DQ46" s="464"/>
      <c r="DR46" s="170"/>
      <c r="DS46" s="464" t="str">
        <f ca="1">IF(ISERROR(HLOOKUP(DS$24,Tulem!$A$5:$CF$140,$AA46,FALSE)),"",HLOOKUP(DS$24,Tulem!$A$5:$CF$140,$AA46,FALSE))</f>
        <v/>
      </c>
      <c r="DT46" s="464"/>
      <c r="DU46" s="464"/>
      <c r="DV46" s="170"/>
      <c r="DW46" s="464" t="str">
        <f ca="1">IF(ISERROR(HLOOKUP(DW$24,Tulem!$A$5:$CF$140,$AA46,FALSE)),"",HLOOKUP(DW$24,Tulem!$A$5:$CF$140,$AA46,FALSE))</f>
        <v/>
      </c>
      <c r="DX46" s="464"/>
      <c r="DY46" s="464"/>
      <c r="DZ46" s="170"/>
      <c r="EA46" s="469" t="str">
        <f ca="1">IF(ISERROR(HLOOKUP(EA$24,Tulem!$A$5:$CF$140,$AA46,FALSE)),"",HLOOKUP(EA$24,Tulem!$A$5:$CF$140,$AA46,FALSE))</f>
        <v/>
      </c>
      <c r="EB46" s="469"/>
      <c r="EC46" s="469"/>
      <c r="ED46" s="171"/>
      <c r="EE46" s="469" t="str">
        <f ca="1">IF(ISERROR(HLOOKUP(EE$24,Tulem!$A$5:$CF$140,$AA46,FALSE)),"",HLOOKUP(EE$24,Tulem!$A$5:$CF$140,$AA46,FALSE))</f>
        <v/>
      </c>
      <c r="EF46" s="469"/>
      <c r="EG46" s="469"/>
      <c r="EH46" s="170"/>
      <c r="EI46" s="469" t="str">
        <f ca="1">IF(ISERROR(HLOOKUP(EI$24,Tulem!$A$5:$CF$140,$AA46,FALSE)),"",HLOOKUP(EI$24,Tulem!$A$5:$CF$140,$AA46,FALSE))</f>
        <v/>
      </c>
      <c r="EJ46" s="469"/>
      <c r="EK46" s="469"/>
      <c r="EL46" s="171"/>
      <c r="EM46" s="469" t="str">
        <f ca="1">IF(ISERROR(HLOOKUP(EM$24,Tulem!$A$5:$CF$140,$AA46,FALSE)),"",HLOOKUP(EM$24,Tulem!$A$5:$CF$140,$AA46,FALSE))</f>
        <v/>
      </c>
      <c r="EN46" s="469"/>
      <c r="EO46" s="469"/>
      <c r="EP46" s="171"/>
      <c r="EQ46" s="469" t="str">
        <f ca="1">IF(ISERROR(HLOOKUP(EQ$24,Tulem!$A$5:$CF$140,$AA46,FALSE)),"",HLOOKUP(EQ$24,Tulem!$A$5:$CF$140,$AA46,FALSE))</f>
        <v/>
      </c>
      <c r="ER46" s="469"/>
      <c r="ES46" s="469"/>
      <c r="ET46" s="170"/>
      <c r="EU46" s="469" t="str">
        <f ca="1">IF(ISERROR(HLOOKUP(EU$24,Tulem!$A$5:$CF$140,$AA46,FALSE)),"",HLOOKUP(EU$24,Tulem!$A$5:$CF$140,$AA46,FALSE))</f>
        <v/>
      </c>
      <c r="EV46" s="469"/>
      <c r="EW46" s="469"/>
      <c r="EX46" s="170"/>
      <c r="EY46" s="473" t="str">
        <f ca="1">IF(ISERROR(HLOOKUP(EY$24,Tulem!$A$5:$CF$140,$AA46,FALSE)),"",HLOOKUP(EY$24,Tulem!$A$5:$CF$140,$AA46,FALSE))</f>
        <v/>
      </c>
      <c r="EZ46" s="473"/>
      <c r="FA46" s="473"/>
      <c r="FB46" s="171"/>
      <c r="FC46" s="469" t="str">
        <f ca="1">IF(ISERROR(HLOOKUP(FC$24,Tulem!$A$5:$CF$140,$AA46,FALSE)),"",HLOOKUP(FC$24,Tulem!$A$5:$CF$140,$AA46,FALSE))</f>
        <v/>
      </c>
      <c r="FD46" s="469"/>
      <c r="FE46" s="469"/>
      <c r="FF46" s="170"/>
      <c r="FG46" s="473" t="str">
        <f ca="1">IF(ISERROR(HLOOKUP(FG$24,Tulem!$A$5:$CF$140,$AA46,FALSE)),"",HLOOKUP(FG$24,Tulem!$A$5:$CF$140,$AA46,FALSE))</f>
        <v/>
      </c>
      <c r="FH46" s="473"/>
      <c r="FI46" s="473"/>
      <c r="FJ46" s="170"/>
      <c r="FK46" s="469" t="str">
        <f ca="1">IF(ISERROR(HLOOKUP(FK$24,Tulem!$A$5:$CF$140,$AA46,FALSE)),"",HLOOKUP(FK$24,Tulem!$A$5:$CF$140,$AA46,FALSE))</f>
        <v/>
      </c>
      <c r="FL46" s="469"/>
      <c r="FM46" s="469"/>
      <c r="FO46" s="473" t="str">
        <f ca="1">IF(ISERROR(HLOOKUP(FO$24,Tulem!$A$5:$CF$140,$AA46,FALSE)),"",HLOOKUP(FO$24,Tulem!$A$5:$CF$140,$AA46,FALSE))</f>
        <v/>
      </c>
      <c r="FP46" s="473"/>
      <c r="FQ46" s="473"/>
      <c r="FS46" s="469" t="str">
        <f ca="1">IF(ISERROR(HLOOKUP(FS$24,Tulem!$A$5:$CF$140,$AA46,FALSE)),"",HLOOKUP(FS$24,Tulem!$A$5:$CF$140,$AA46,FALSE))</f>
        <v/>
      </c>
      <c r="FT46" s="469"/>
      <c r="FU46" s="469"/>
      <c r="FW46" s="476" t="str">
        <f ca="1">IF(ISERROR(HLOOKUP(FW$24,Tulem!$A$5:$CF$140,$AA46,FALSE)),"",HLOOKUP(FW$24,Tulem!$A$5:$CF$140,$AA46,FALSE))</f>
        <v/>
      </c>
      <c r="FX46" s="476"/>
      <c r="FY46" s="476"/>
      <c r="FZ46" s="327"/>
      <c r="GA46" s="476" t="str">
        <f ca="1">IF(ISERROR(HLOOKUP(GA$24,Tulem!$A$5:$CF$140,$AA46,FALSE)),"",HLOOKUP(GA$24,Tulem!$A$5:$CF$140,$AA46,FALSE))</f>
        <v/>
      </c>
      <c r="GB46" s="476"/>
      <c r="GC46" s="476"/>
      <c r="GE46" s="473" t="str">
        <f ca="1">IF(ISERROR(HLOOKUP(GE$24,Tulem!$A$5:$CF$140,$AA46,FALSE)),"",HLOOKUP(GE$24,Tulem!$A$5:$CF$140,$AA46,FALSE))</f>
        <v/>
      </c>
      <c r="GF46" s="473"/>
      <c r="GG46" s="473"/>
      <c r="GI46" s="471" t="str">
        <f>IF(ISERROR(HLOOKUP(GI$24,Tulem!$A$5:$CF$140,$AA46,FALSE)),"",HLOOKUP(GI$24,Tulem!$A$5:$CF$140,$AA46,FALSE))</f>
        <v/>
      </c>
      <c r="GJ46" s="471"/>
      <c r="GK46" s="471"/>
      <c r="GM46" s="469" t="str">
        <f>IF(ISERROR(HLOOKUP(GM$24,Tulem!$A$5:$CF$140,$AA46,FALSE)),"",HLOOKUP(GM$24,Tulem!$A$5:$CF$140,$AA46,FALSE))</f>
        <v/>
      </c>
      <c r="GN46" s="469"/>
      <c r="GO46" s="469"/>
    </row>
    <row r="47" spans="1:197" s="50" customFormat="1" ht="16.25" customHeight="1" outlineLevel="1" x14ac:dyDescent="0.2">
      <c r="A47" s="499">
        <v>18</v>
      </c>
      <c r="B47" s="499"/>
      <c r="C47" s="499"/>
      <c r="D47" s="496" t="str">
        <f ca="1">IF(ISERROR(Tulem!E23),"",Tulem!E23)</f>
        <v/>
      </c>
      <c r="E47" s="496"/>
      <c r="F47" s="496"/>
      <c r="G47" s="496"/>
      <c r="I47" s="496" t="str">
        <f ca="1">IF(ISERROR(Tulem!D23),"",Tulem!D23)</f>
        <v/>
      </c>
      <c r="J47" s="496"/>
      <c r="K47" s="496"/>
      <c r="L47" s="496"/>
      <c r="M47" s="496"/>
      <c r="P47" s="496" t="str">
        <f ca="1">IF(ISERROR(Tulem!G23),"",Tulem!G23)</f>
        <v/>
      </c>
      <c r="Q47" s="496"/>
      <c r="R47" s="496"/>
      <c r="S47" s="496"/>
      <c r="T47" s="496"/>
      <c r="U47" s="496"/>
      <c r="V47" s="496" t="str">
        <f ca="1">IF(ISERROR(Tulem!F23),"",Tulem!F23)</f>
        <v/>
      </c>
      <c r="W47" s="496"/>
      <c r="X47" s="496"/>
      <c r="Y47" s="496"/>
      <c r="Z47" s="496"/>
      <c r="AA47" s="255">
        <v>19</v>
      </c>
      <c r="AB47" s="497" t="str">
        <f ca="1">IF(ISERROR(HLOOKUP(AB$24,Tulem!$A$5:$CF$140,$AA47,FALSE)),"",HLOOKUP(AB$24,Tulem!$A$5:$CF$140,$AA47,FALSE))</f>
        <v/>
      </c>
      <c r="AC47" s="497"/>
      <c r="AD47" s="497"/>
      <c r="AE47" s="497"/>
      <c r="AF47" s="166"/>
      <c r="AG47" s="480" t="str">
        <f ca="1">IF(ISERROR(HLOOKUP(AG$24,Tulem!$A$5:$CF$140,$AA47,FALSE)),"",HLOOKUP(AG$24,Tulem!$A$5:$CF$140,$AA47,FALSE))</f>
        <v/>
      </c>
      <c r="AH47" s="480"/>
      <c r="AI47" s="480"/>
      <c r="AJ47" s="480"/>
      <c r="AK47" s="167"/>
      <c r="AL47" s="480" t="str">
        <f ca="1">IF(ISERROR(HLOOKUP(AL$24,Tulem!$A$5:$CF$140,$AA47,FALSE)),"",HLOOKUP(AL$24,Tulem!$A$5:$CF$140,$AA47,FALSE))</f>
        <v/>
      </c>
      <c r="AM47" s="480"/>
      <c r="AN47" s="480"/>
      <c r="AO47" s="480"/>
      <c r="AP47" s="168"/>
      <c r="AQ47" s="473" t="str">
        <f ca="1">IF(ISERROR(HLOOKUP(AQ$24,Tulem!$A$5:$CF$140,$AA47,FALSE)),"",HLOOKUP(AQ$24,Tulem!$A$5:$CF$140,$AA47,FALSE))</f>
        <v/>
      </c>
      <c r="AR47" s="473"/>
      <c r="AS47" s="473"/>
      <c r="AT47" s="168"/>
      <c r="AU47" s="473" t="str">
        <f ca="1">IF(ISERROR(HLOOKUP(AU$24,Tulem!$A$5:$CF$140,$AA47,FALSE)),"",HLOOKUP(AU$24,Tulem!$A$5:$CF$140,$AA47,FALSE))</f>
        <v/>
      </c>
      <c r="AV47" s="473"/>
      <c r="AW47" s="473"/>
      <c r="AX47" s="169"/>
      <c r="AY47" s="473" t="str">
        <f ca="1">IF(ISERROR(HLOOKUP(AY$24,Tulem!$A$5:$CF$140,$AA47,FALSE)),"",HLOOKUP(AY$24,Tulem!$A$5:$CF$140,$AA47,FALSE))</f>
        <v/>
      </c>
      <c r="AZ47" s="473"/>
      <c r="BA47" s="473"/>
      <c r="BB47" s="170"/>
      <c r="BC47" s="464" t="str">
        <f ca="1">IF(ISERROR(HLOOKUP(BC$24,Tulem!$A$5:$CF$140,$AA47,FALSE)),"",HLOOKUP(BC$24,Tulem!$A$5:$CF$140,$AA47,FALSE))</f>
        <v/>
      </c>
      <c r="BD47" s="464"/>
      <c r="BE47" s="464"/>
      <c r="BF47" s="170"/>
      <c r="BG47" s="489" t="str">
        <f ca="1">IF(ISERROR(HLOOKUP(BG$24,Tulem!$A$5:$CF$140,$AA47,FALSE)),"",HLOOKUP(BG$24,Tulem!$A$5:$CF$140,$AA47,FALSE))</f>
        <v/>
      </c>
      <c r="BH47" s="489"/>
      <c r="BI47" s="489"/>
      <c r="BJ47" s="170"/>
      <c r="BK47" s="464" t="str">
        <f ca="1">IF(ISERROR(HLOOKUP(BK$24,Tulem!$A$5:$CF$140,$AA47,FALSE)),"",HLOOKUP(BK$24,Tulem!$A$5:$CF$140,$AA47,FALSE))</f>
        <v/>
      </c>
      <c r="BL47" s="464"/>
      <c r="BM47" s="464"/>
      <c r="BN47" s="170"/>
      <c r="BO47" s="470" t="str">
        <f ca="1">IF(ISERROR(HLOOKUP(BO$24,Tulem!$A$5:$CF$140,$AA47,FALSE)),"",HLOOKUP(BO$24,Tulem!$A$5:$CF$140,$AA47,FALSE))</f>
        <v/>
      </c>
      <c r="BP47" s="470"/>
      <c r="BQ47" s="470"/>
      <c r="BR47" s="170"/>
      <c r="BS47" s="464" t="str">
        <f ca="1">IF(ISERROR(HLOOKUP(BS$24,Tulem!$A$5:$CF$140,$AA47,FALSE)),"",HLOOKUP(BS$24,Tulem!$A$5:$CF$140,$AA47,FALSE))</f>
        <v/>
      </c>
      <c r="BT47" s="464"/>
      <c r="BU47" s="464"/>
      <c r="BV47" s="170"/>
      <c r="BW47" s="469" t="str">
        <f ca="1">IF(ISERROR(HLOOKUP(BW$24,Tulem!$A$5:$CF$140,$AA47,FALSE)),"",HLOOKUP(BW$24,Tulem!$A$5:$CF$140,$AA47,FALSE))</f>
        <v/>
      </c>
      <c r="BX47" s="469"/>
      <c r="BY47" s="469"/>
      <c r="BZ47" s="170"/>
      <c r="CA47" s="470" t="str">
        <f ca="1">IF(ISERROR(HLOOKUP(CA$24,Tulem!$A$5:$CF$140,$AA47,FALSE)),"",HLOOKUP(CA$24,Tulem!$A$5:$CF$140,$AA47,FALSE))</f>
        <v/>
      </c>
      <c r="CB47" s="470"/>
      <c r="CC47" s="470"/>
      <c r="CD47" s="170"/>
      <c r="CE47" s="464" t="str">
        <f ca="1">IF(ISERROR(HLOOKUP(CE$24,Tulem!$A$5:$CF$140,$AA47,FALSE)),"",HLOOKUP(CE$24,Tulem!$A$5:$CF$140,$AA47,FALSE))</f>
        <v/>
      </c>
      <c r="CF47" s="464"/>
      <c r="CG47" s="464"/>
      <c r="CH47" s="170"/>
      <c r="CI47" s="469" t="str">
        <f ca="1">IF(ISERROR(HLOOKUP(CI$24,Tulem!$A$5:$CF$140,$AA47,FALSE)),"",HLOOKUP(CI$24,Tulem!$A$5:$CF$140,$AA47,FALSE))</f>
        <v/>
      </c>
      <c r="CJ47" s="469"/>
      <c r="CK47" s="469"/>
      <c r="CL47" s="170"/>
      <c r="CM47" s="470" t="str">
        <f ca="1">IF(ISERROR(HLOOKUP(CM$24,Tulem!$A$5:$CF$140,$AA47,FALSE)),"",HLOOKUP(CM$24,Tulem!$A$5:$CF$140,$AA47,FALSE))</f>
        <v/>
      </c>
      <c r="CN47" s="470"/>
      <c r="CO47" s="470"/>
      <c r="CP47" s="266"/>
      <c r="CQ47" s="470" t="str">
        <f ca="1">IF(ISERROR(HLOOKUP(CQ$24,Tulem!$A$5:$CF$140,$AA47,FALSE)),"",HLOOKUP(CQ$24,Tulem!$A$5:$CF$140,$AA47,FALSE))</f>
        <v/>
      </c>
      <c r="CR47" s="470"/>
      <c r="CS47" s="470"/>
      <c r="CT47" s="266"/>
      <c r="CU47" s="470" t="str">
        <f ca="1">IF(ISERROR(HLOOKUP(CU$24,Tulem!$A$5:$CF$140,$AA47,FALSE)),"",HLOOKUP(CU$24,Tulem!$A$5:$CF$140,$AA47,FALSE))</f>
        <v/>
      </c>
      <c r="CV47" s="470"/>
      <c r="CW47" s="470"/>
      <c r="CX47" s="170"/>
      <c r="CY47" s="470" t="str">
        <f ca="1">IF(ISERROR(HLOOKUP(CY$24,Tulem!$A$5:$CF$140,$AA47,FALSE)),"",HLOOKUP(CY$24,Tulem!$A$5:$CF$140,$AA47,FALSE))</f>
        <v/>
      </c>
      <c r="CZ47" s="470"/>
      <c r="DA47" s="470"/>
      <c r="DB47" s="170"/>
      <c r="DC47" s="473" t="str">
        <f ca="1">IF(ISERROR(HLOOKUP(DC$24,Tulem!$A$5:$CF$140,$AA47,FALSE)),"",HLOOKUP(DC$24,Tulem!$A$5:$CF$140,$AA47,FALSE))</f>
        <v/>
      </c>
      <c r="DD47" s="473"/>
      <c r="DE47" s="473"/>
      <c r="DF47" s="171"/>
      <c r="DG47" s="480" t="str">
        <f ca="1">IF(ISERROR(HLOOKUP(DG$24,Tulem!$A$5:$CF$140,$AA47,FALSE)),"",HLOOKUP(DG$24,Tulem!$A$5:$CF$140,$AA47,FALSE))</f>
        <v/>
      </c>
      <c r="DH47" s="480"/>
      <c r="DI47" s="480"/>
      <c r="DJ47" s="171"/>
      <c r="DK47" s="473" t="str">
        <f ca="1">IF(ISERROR(HLOOKUP(DK$24,Tulem!$A$5:$CF$140,$AA47,FALSE)),"",HLOOKUP(DK$24,Tulem!$A$5:$CF$140,$AA47,FALSE))</f>
        <v/>
      </c>
      <c r="DL47" s="473"/>
      <c r="DM47" s="473"/>
      <c r="DN47" s="170"/>
      <c r="DO47" s="464" t="str">
        <f ca="1">IF(ISERROR(HLOOKUP(DO$24,Tulem!$A$5:$CF$140,$AA47,FALSE)),"",HLOOKUP(DO$24,Tulem!$A$5:$CF$140,$AA47,FALSE))</f>
        <v/>
      </c>
      <c r="DP47" s="464"/>
      <c r="DQ47" s="464"/>
      <c r="DR47" s="170"/>
      <c r="DS47" s="464" t="str">
        <f ca="1">IF(ISERROR(HLOOKUP(DS$24,Tulem!$A$5:$CF$140,$AA47,FALSE)),"",HLOOKUP(DS$24,Tulem!$A$5:$CF$140,$AA47,FALSE))</f>
        <v/>
      </c>
      <c r="DT47" s="464"/>
      <c r="DU47" s="464"/>
      <c r="DV47" s="170"/>
      <c r="DW47" s="464" t="str">
        <f ca="1">IF(ISERROR(HLOOKUP(DW$24,Tulem!$A$5:$CF$140,$AA47,FALSE)),"",HLOOKUP(DW$24,Tulem!$A$5:$CF$140,$AA47,FALSE))</f>
        <v/>
      </c>
      <c r="DX47" s="464"/>
      <c r="DY47" s="464"/>
      <c r="DZ47" s="170"/>
      <c r="EA47" s="469" t="str">
        <f ca="1">IF(ISERROR(HLOOKUP(EA$24,Tulem!$A$5:$CF$140,$AA47,FALSE)),"",HLOOKUP(EA$24,Tulem!$A$5:$CF$140,$AA47,FALSE))</f>
        <v/>
      </c>
      <c r="EB47" s="469"/>
      <c r="EC47" s="469"/>
      <c r="ED47" s="171"/>
      <c r="EE47" s="469" t="str">
        <f ca="1">IF(ISERROR(HLOOKUP(EE$24,Tulem!$A$5:$CF$140,$AA47,FALSE)),"",HLOOKUP(EE$24,Tulem!$A$5:$CF$140,$AA47,FALSE))</f>
        <v/>
      </c>
      <c r="EF47" s="469"/>
      <c r="EG47" s="469"/>
      <c r="EH47" s="170"/>
      <c r="EI47" s="469" t="str">
        <f ca="1">IF(ISERROR(HLOOKUP(EI$24,Tulem!$A$5:$CF$140,$AA47,FALSE)),"",HLOOKUP(EI$24,Tulem!$A$5:$CF$140,$AA47,FALSE))</f>
        <v/>
      </c>
      <c r="EJ47" s="469"/>
      <c r="EK47" s="469"/>
      <c r="EL47" s="171"/>
      <c r="EM47" s="469" t="str">
        <f ca="1">IF(ISERROR(HLOOKUP(EM$24,Tulem!$A$5:$CF$140,$AA47,FALSE)),"",HLOOKUP(EM$24,Tulem!$A$5:$CF$140,$AA47,FALSE))</f>
        <v/>
      </c>
      <c r="EN47" s="469"/>
      <c r="EO47" s="469"/>
      <c r="EP47" s="171"/>
      <c r="EQ47" s="469" t="str">
        <f ca="1">IF(ISERROR(HLOOKUP(EQ$24,Tulem!$A$5:$CF$140,$AA47,FALSE)),"",HLOOKUP(EQ$24,Tulem!$A$5:$CF$140,$AA47,FALSE))</f>
        <v/>
      </c>
      <c r="ER47" s="469"/>
      <c r="ES47" s="469"/>
      <c r="ET47" s="170"/>
      <c r="EU47" s="469" t="str">
        <f ca="1">IF(ISERROR(HLOOKUP(EU$24,Tulem!$A$5:$CF$140,$AA47,FALSE)),"",HLOOKUP(EU$24,Tulem!$A$5:$CF$140,$AA47,FALSE))</f>
        <v/>
      </c>
      <c r="EV47" s="469"/>
      <c r="EW47" s="469"/>
      <c r="EX47" s="170"/>
      <c r="EY47" s="473" t="str">
        <f ca="1">IF(ISERROR(HLOOKUP(EY$24,Tulem!$A$5:$CF$140,$AA47,FALSE)),"",HLOOKUP(EY$24,Tulem!$A$5:$CF$140,$AA47,FALSE))</f>
        <v/>
      </c>
      <c r="EZ47" s="473"/>
      <c r="FA47" s="473"/>
      <c r="FB47" s="171"/>
      <c r="FC47" s="469" t="str">
        <f ca="1">IF(ISERROR(HLOOKUP(FC$24,Tulem!$A$5:$CF$140,$AA47,FALSE)),"",HLOOKUP(FC$24,Tulem!$A$5:$CF$140,$AA47,FALSE))</f>
        <v/>
      </c>
      <c r="FD47" s="469"/>
      <c r="FE47" s="469"/>
      <c r="FF47" s="170"/>
      <c r="FG47" s="473" t="str">
        <f ca="1">IF(ISERROR(HLOOKUP(FG$24,Tulem!$A$5:$CF$140,$AA47,FALSE)),"",HLOOKUP(FG$24,Tulem!$A$5:$CF$140,$AA47,FALSE))</f>
        <v/>
      </c>
      <c r="FH47" s="473"/>
      <c r="FI47" s="473"/>
      <c r="FJ47" s="170"/>
      <c r="FK47" s="469" t="str">
        <f ca="1">IF(ISERROR(HLOOKUP(FK$24,Tulem!$A$5:$CF$140,$AA47,FALSE)),"",HLOOKUP(FK$24,Tulem!$A$5:$CF$140,$AA47,FALSE))</f>
        <v/>
      </c>
      <c r="FL47" s="469"/>
      <c r="FM47" s="469"/>
      <c r="FO47" s="473" t="str">
        <f ca="1">IF(ISERROR(HLOOKUP(FO$24,Tulem!$A$5:$CF$140,$AA47,FALSE)),"",HLOOKUP(FO$24,Tulem!$A$5:$CF$140,$AA47,FALSE))</f>
        <v/>
      </c>
      <c r="FP47" s="473"/>
      <c r="FQ47" s="473"/>
      <c r="FS47" s="469" t="str">
        <f ca="1">IF(ISERROR(HLOOKUP(FS$24,Tulem!$A$5:$CF$140,$AA47,FALSE)),"",HLOOKUP(FS$24,Tulem!$A$5:$CF$140,$AA47,FALSE))</f>
        <v/>
      </c>
      <c r="FT47" s="469"/>
      <c r="FU47" s="469"/>
      <c r="FW47" s="476" t="str">
        <f ca="1">IF(ISERROR(HLOOKUP(FW$24,Tulem!$A$5:$CF$140,$AA47,FALSE)),"",HLOOKUP(FW$24,Tulem!$A$5:$CF$140,$AA47,FALSE))</f>
        <v/>
      </c>
      <c r="FX47" s="476"/>
      <c r="FY47" s="476"/>
      <c r="FZ47" s="327"/>
      <c r="GA47" s="476" t="str">
        <f ca="1">IF(ISERROR(HLOOKUP(GA$24,Tulem!$A$5:$CF$140,$AA47,FALSE)),"",HLOOKUP(GA$24,Tulem!$A$5:$CF$140,$AA47,FALSE))</f>
        <v/>
      </c>
      <c r="GB47" s="476"/>
      <c r="GC47" s="476"/>
      <c r="GE47" s="473" t="str">
        <f ca="1">IF(ISERROR(HLOOKUP(GE$24,Tulem!$A$5:$CF$140,$AA47,FALSE)),"",HLOOKUP(GE$24,Tulem!$A$5:$CF$140,$AA47,FALSE))</f>
        <v/>
      </c>
      <c r="GF47" s="473"/>
      <c r="GG47" s="473"/>
      <c r="GI47" s="471" t="str">
        <f>IF(ISERROR(HLOOKUP(GI$24,Tulem!$A$5:$CF$140,$AA47,FALSE)),"",HLOOKUP(GI$24,Tulem!$A$5:$CF$140,$AA47,FALSE))</f>
        <v/>
      </c>
      <c r="GJ47" s="471"/>
      <c r="GK47" s="471"/>
      <c r="GM47" s="469" t="str">
        <f>IF(ISERROR(HLOOKUP(GM$24,Tulem!$A$5:$CF$140,$AA47,FALSE)),"",HLOOKUP(GM$24,Tulem!$A$5:$CF$140,$AA47,FALSE))</f>
        <v/>
      </c>
      <c r="GN47" s="469"/>
      <c r="GO47" s="469"/>
    </row>
    <row r="48" spans="1:197" s="50" customFormat="1" ht="16.25" customHeight="1" outlineLevel="1" x14ac:dyDescent="0.2">
      <c r="A48" s="499">
        <v>19</v>
      </c>
      <c r="B48" s="499"/>
      <c r="C48" s="499"/>
      <c r="D48" s="496" t="str">
        <f ca="1">IF(ISERROR(Tulem!E24),"",Tulem!E24)</f>
        <v/>
      </c>
      <c r="E48" s="496"/>
      <c r="F48" s="496"/>
      <c r="G48" s="496"/>
      <c r="I48" s="496" t="str">
        <f ca="1">IF(ISERROR(Tulem!D24),"",Tulem!D24)</f>
        <v/>
      </c>
      <c r="J48" s="496"/>
      <c r="K48" s="496"/>
      <c r="L48" s="496"/>
      <c r="M48" s="496"/>
      <c r="P48" s="496" t="str">
        <f ca="1">IF(ISERROR(Tulem!G24),"",Tulem!G24)</f>
        <v/>
      </c>
      <c r="Q48" s="496"/>
      <c r="R48" s="496"/>
      <c r="S48" s="496"/>
      <c r="T48" s="496"/>
      <c r="U48" s="496"/>
      <c r="V48" s="496" t="str">
        <f ca="1">IF(ISERROR(Tulem!F24),"",Tulem!F24)</f>
        <v/>
      </c>
      <c r="W48" s="496"/>
      <c r="X48" s="496"/>
      <c r="Y48" s="496"/>
      <c r="Z48" s="496"/>
      <c r="AA48" s="255">
        <v>20</v>
      </c>
      <c r="AB48" s="497" t="str">
        <f ca="1">IF(ISERROR(HLOOKUP(AB$24,Tulem!$A$5:$CF$140,$AA48,FALSE)),"",HLOOKUP(AB$24,Tulem!$A$5:$CF$140,$AA48,FALSE))</f>
        <v/>
      </c>
      <c r="AC48" s="497"/>
      <c r="AD48" s="497"/>
      <c r="AE48" s="497"/>
      <c r="AF48" s="166"/>
      <c r="AG48" s="480" t="str">
        <f ca="1">IF(ISERROR(HLOOKUP(AG$24,Tulem!$A$5:$CF$140,$AA48,FALSE)),"",HLOOKUP(AG$24,Tulem!$A$5:$CF$140,$AA48,FALSE))</f>
        <v/>
      </c>
      <c r="AH48" s="480"/>
      <c r="AI48" s="480"/>
      <c r="AJ48" s="480"/>
      <c r="AK48" s="167"/>
      <c r="AL48" s="480" t="str">
        <f ca="1">IF(ISERROR(HLOOKUP(AL$24,Tulem!$A$5:$CF$140,$AA48,FALSE)),"",HLOOKUP(AL$24,Tulem!$A$5:$CF$140,$AA48,FALSE))</f>
        <v/>
      </c>
      <c r="AM48" s="480"/>
      <c r="AN48" s="480"/>
      <c r="AO48" s="480"/>
      <c r="AP48" s="168"/>
      <c r="AQ48" s="473" t="str">
        <f ca="1">IF(ISERROR(HLOOKUP(AQ$24,Tulem!$A$5:$CF$140,$AA48,FALSE)),"",HLOOKUP(AQ$24,Tulem!$A$5:$CF$140,$AA48,FALSE))</f>
        <v/>
      </c>
      <c r="AR48" s="473"/>
      <c r="AS48" s="473"/>
      <c r="AT48" s="168"/>
      <c r="AU48" s="473" t="str">
        <f ca="1">IF(ISERROR(HLOOKUP(AU$24,Tulem!$A$5:$CF$140,$AA48,FALSE)),"",HLOOKUP(AU$24,Tulem!$A$5:$CF$140,$AA48,FALSE))</f>
        <v/>
      </c>
      <c r="AV48" s="473"/>
      <c r="AW48" s="473"/>
      <c r="AX48" s="169"/>
      <c r="AY48" s="473" t="str">
        <f ca="1">IF(ISERROR(HLOOKUP(AY$24,Tulem!$A$5:$CF$140,$AA48,FALSE)),"",HLOOKUP(AY$24,Tulem!$A$5:$CF$140,$AA48,FALSE))</f>
        <v/>
      </c>
      <c r="AZ48" s="473"/>
      <c r="BA48" s="473"/>
      <c r="BB48" s="170"/>
      <c r="BC48" s="464" t="str">
        <f ca="1">IF(ISERROR(HLOOKUP(BC$24,Tulem!$A$5:$CF$140,$AA48,FALSE)),"",HLOOKUP(BC$24,Tulem!$A$5:$CF$140,$AA48,FALSE))</f>
        <v/>
      </c>
      <c r="BD48" s="464"/>
      <c r="BE48" s="464"/>
      <c r="BF48" s="170"/>
      <c r="BG48" s="489" t="str">
        <f ca="1">IF(ISERROR(HLOOKUP(BG$24,Tulem!$A$5:$CF$140,$AA48,FALSE)),"",HLOOKUP(BG$24,Tulem!$A$5:$CF$140,$AA48,FALSE))</f>
        <v/>
      </c>
      <c r="BH48" s="489"/>
      <c r="BI48" s="489"/>
      <c r="BJ48" s="170"/>
      <c r="BK48" s="464" t="str">
        <f ca="1">IF(ISERROR(HLOOKUP(BK$24,Tulem!$A$5:$CF$140,$AA48,FALSE)),"",HLOOKUP(BK$24,Tulem!$A$5:$CF$140,$AA48,FALSE))</f>
        <v/>
      </c>
      <c r="BL48" s="464"/>
      <c r="BM48" s="464"/>
      <c r="BN48" s="170"/>
      <c r="BO48" s="470" t="str">
        <f ca="1">IF(ISERROR(HLOOKUP(BO$24,Tulem!$A$5:$CF$140,$AA48,FALSE)),"",HLOOKUP(BO$24,Tulem!$A$5:$CF$140,$AA48,FALSE))</f>
        <v/>
      </c>
      <c r="BP48" s="470"/>
      <c r="BQ48" s="470"/>
      <c r="BR48" s="170"/>
      <c r="BS48" s="464" t="str">
        <f ca="1">IF(ISERROR(HLOOKUP(BS$24,Tulem!$A$5:$CF$140,$AA48,FALSE)),"",HLOOKUP(BS$24,Tulem!$A$5:$CF$140,$AA48,FALSE))</f>
        <v/>
      </c>
      <c r="BT48" s="464"/>
      <c r="BU48" s="464"/>
      <c r="BV48" s="170"/>
      <c r="BW48" s="469" t="str">
        <f ca="1">IF(ISERROR(HLOOKUP(BW$24,Tulem!$A$5:$CF$140,$AA48,FALSE)),"",HLOOKUP(BW$24,Tulem!$A$5:$CF$140,$AA48,FALSE))</f>
        <v/>
      </c>
      <c r="BX48" s="469"/>
      <c r="BY48" s="469"/>
      <c r="BZ48" s="170"/>
      <c r="CA48" s="470" t="str">
        <f ca="1">IF(ISERROR(HLOOKUP(CA$24,Tulem!$A$5:$CF$140,$AA48,FALSE)),"",HLOOKUP(CA$24,Tulem!$A$5:$CF$140,$AA48,FALSE))</f>
        <v/>
      </c>
      <c r="CB48" s="470"/>
      <c r="CC48" s="470"/>
      <c r="CD48" s="170"/>
      <c r="CE48" s="464" t="str">
        <f ca="1">IF(ISERROR(HLOOKUP(CE$24,Tulem!$A$5:$CF$140,$AA48,FALSE)),"",HLOOKUP(CE$24,Tulem!$A$5:$CF$140,$AA48,FALSE))</f>
        <v/>
      </c>
      <c r="CF48" s="464"/>
      <c r="CG48" s="464"/>
      <c r="CH48" s="170"/>
      <c r="CI48" s="469" t="str">
        <f ca="1">IF(ISERROR(HLOOKUP(CI$24,Tulem!$A$5:$CF$140,$AA48,FALSE)),"",HLOOKUP(CI$24,Tulem!$A$5:$CF$140,$AA48,FALSE))</f>
        <v/>
      </c>
      <c r="CJ48" s="469"/>
      <c r="CK48" s="469"/>
      <c r="CL48" s="170"/>
      <c r="CM48" s="470" t="str">
        <f ca="1">IF(ISERROR(HLOOKUP(CM$24,Tulem!$A$5:$CF$140,$AA48,FALSE)),"",HLOOKUP(CM$24,Tulem!$A$5:$CF$140,$AA48,FALSE))</f>
        <v/>
      </c>
      <c r="CN48" s="470"/>
      <c r="CO48" s="470"/>
      <c r="CP48" s="266"/>
      <c r="CQ48" s="470" t="str">
        <f ca="1">IF(ISERROR(HLOOKUP(CQ$24,Tulem!$A$5:$CF$140,$AA48,FALSE)),"",HLOOKUP(CQ$24,Tulem!$A$5:$CF$140,$AA48,FALSE))</f>
        <v/>
      </c>
      <c r="CR48" s="470"/>
      <c r="CS48" s="470"/>
      <c r="CT48" s="266"/>
      <c r="CU48" s="470" t="str">
        <f ca="1">IF(ISERROR(HLOOKUP(CU$24,Tulem!$A$5:$CF$140,$AA48,FALSE)),"",HLOOKUP(CU$24,Tulem!$A$5:$CF$140,$AA48,FALSE))</f>
        <v/>
      </c>
      <c r="CV48" s="470"/>
      <c r="CW48" s="470"/>
      <c r="CX48" s="170"/>
      <c r="CY48" s="470" t="str">
        <f ca="1">IF(ISERROR(HLOOKUP(CY$24,Tulem!$A$5:$CF$140,$AA48,FALSE)),"",HLOOKUP(CY$24,Tulem!$A$5:$CF$140,$AA48,FALSE))</f>
        <v/>
      </c>
      <c r="CZ48" s="470"/>
      <c r="DA48" s="470"/>
      <c r="DB48" s="170"/>
      <c r="DC48" s="473" t="str">
        <f ca="1">IF(ISERROR(HLOOKUP(DC$24,Tulem!$A$5:$CF$140,$AA48,FALSE)),"",HLOOKUP(DC$24,Tulem!$A$5:$CF$140,$AA48,FALSE))</f>
        <v/>
      </c>
      <c r="DD48" s="473"/>
      <c r="DE48" s="473"/>
      <c r="DF48" s="171"/>
      <c r="DG48" s="480" t="str">
        <f ca="1">IF(ISERROR(HLOOKUP(DG$24,Tulem!$A$5:$CF$140,$AA48,FALSE)),"",HLOOKUP(DG$24,Tulem!$A$5:$CF$140,$AA48,FALSE))</f>
        <v/>
      </c>
      <c r="DH48" s="480"/>
      <c r="DI48" s="480"/>
      <c r="DJ48" s="171"/>
      <c r="DK48" s="473" t="str">
        <f ca="1">IF(ISERROR(HLOOKUP(DK$24,Tulem!$A$5:$CF$140,$AA48,FALSE)),"",HLOOKUP(DK$24,Tulem!$A$5:$CF$140,$AA48,FALSE))</f>
        <v/>
      </c>
      <c r="DL48" s="473"/>
      <c r="DM48" s="473"/>
      <c r="DN48" s="170"/>
      <c r="DO48" s="464" t="str">
        <f ca="1">IF(ISERROR(HLOOKUP(DO$24,Tulem!$A$5:$CF$140,$AA48,FALSE)),"",HLOOKUP(DO$24,Tulem!$A$5:$CF$140,$AA48,FALSE))</f>
        <v/>
      </c>
      <c r="DP48" s="464"/>
      <c r="DQ48" s="464"/>
      <c r="DR48" s="170"/>
      <c r="DS48" s="464" t="str">
        <f ca="1">IF(ISERROR(HLOOKUP(DS$24,Tulem!$A$5:$CF$140,$AA48,FALSE)),"",HLOOKUP(DS$24,Tulem!$A$5:$CF$140,$AA48,FALSE))</f>
        <v/>
      </c>
      <c r="DT48" s="464"/>
      <c r="DU48" s="464"/>
      <c r="DV48" s="170"/>
      <c r="DW48" s="464" t="str">
        <f ca="1">IF(ISERROR(HLOOKUP(DW$24,Tulem!$A$5:$CF$140,$AA48,FALSE)),"",HLOOKUP(DW$24,Tulem!$A$5:$CF$140,$AA48,FALSE))</f>
        <v/>
      </c>
      <c r="DX48" s="464"/>
      <c r="DY48" s="464"/>
      <c r="DZ48" s="170"/>
      <c r="EA48" s="469" t="str">
        <f ca="1">IF(ISERROR(HLOOKUP(EA$24,Tulem!$A$5:$CF$140,$AA48,FALSE)),"",HLOOKUP(EA$24,Tulem!$A$5:$CF$140,$AA48,FALSE))</f>
        <v/>
      </c>
      <c r="EB48" s="469"/>
      <c r="EC48" s="469"/>
      <c r="ED48" s="171"/>
      <c r="EE48" s="469" t="str">
        <f ca="1">IF(ISERROR(HLOOKUP(EE$24,Tulem!$A$5:$CF$140,$AA48,FALSE)),"",HLOOKUP(EE$24,Tulem!$A$5:$CF$140,$AA48,FALSE))</f>
        <v/>
      </c>
      <c r="EF48" s="469"/>
      <c r="EG48" s="469"/>
      <c r="EH48" s="170"/>
      <c r="EI48" s="469" t="str">
        <f ca="1">IF(ISERROR(HLOOKUP(EI$24,Tulem!$A$5:$CF$140,$AA48,FALSE)),"",HLOOKUP(EI$24,Tulem!$A$5:$CF$140,$AA48,FALSE))</f>
        <v/>
      </c>
      <c r="EJ48" s="469"/>
      <c r="EK48" s="469"/>
      <c r="EL48" s="171"/>
      <c r="EM48" s="469" t="str">
        <f ca="1">IF(ISERROR(HLOOKUP(EM$24,Tulem!$A$5:$CF$140,$AA48,FALSE)),"",HLOOKUP(EM$24,Tulem!$A$5:$CF$140,$AA48,FALSE))</f>
        <v/>
      </c>
      <c r="EN48" s="469"/>
      <c r="EO48" s="469"/>
      <c r="EP48" s="171"/>
      <c r="EQ48" s="469" t="str">
        <f ca="1">IF(ISERROR(HLOOKUP(EQ$24,Tulem!$A$5:$CF$140,$AA48,FALSE)),"",HLOOKUP(EQ$24,Tulem!$A$5:$CF$140,$AA48,FALSE))</f>
        <v/>
      </c>
      <c r="ER48" s="469"/>
      <c r="ES48" s="469"/>
      <c r="ET48" s="170"/>
      <c r="EU48" s="469" t="str">
        <f ca="1">IF(ISERROR(HLOOKUP(EU$24,Tulem!$A$5:$CF$140,$AA48,FALSE)),"",HLOOKUP(EU$24,Tulem!$A$5:$CF$140,$AA48,FALSE))</f>
        <v/>
      </c>
      <c r="EV48" s="469"/>
      <c r="EW48" s="469"/>
      <c r="EX48" s="170"/>
      <c r="EY48" s="473" t="str">
        <f ca="1">IF(ISERROR(HLOOKUP(EY$24,Tulem!$A$5:$CF$140,$AA48,FALSE)),"",HLOOKUP(EY$24,Tulem!$A$5:$CF$140,$AA48,FALSE))</f>
        <v/>
      </c>
      <c r="EZ48" s="473"/>
      <c r="FA48" s="473"/>
      <c r="FB48" s="171"/>
      <c r="FC48" s="469" t="str">
        <f ca="1">IF(ISERROR(HLOOKUP(FC$24,Tulem!$A$5:$CF$140,$AA48,FALSE)),"",HLOOKUP(FC$24,Tulem!$A$5:$CF$140,$AA48,FALSE))</f>
        <v/>
      </c>
      <c r="FD48" s="469"/>
      <c r="FE48" s="469"/>
      <c r="FF48" s="170"/>
      <c r="FG48" s="473" t="str">
        <f ca="1">IF(ISERROR(HLOOKUP(FG$24,Tulem!$A$5:$CF$140,$AA48,FALSE)),"",HLOOKUP(FG$24,Tulem!$A$5:$CF$140,$AA48,FALSE))</f>
        <v/>
      </c>
      <c r="FH48" s="473"/>
      <c r="FI48" s="473"/>
      <c r="FJ48" s="170"/>
      <c r="FK48" s="469" t="str">
        <f ca="1">IF(ISERROR(HLOOKUP(FK$24,Tulem!$A$5:$CF$140,$AA48,FALSE)),"",HLOOKUP(FK$24,Tulem!$A$5:$CF$140,$AA48,FALSE))</f>
        <v/>
      </c>
      <c r="FL48" s="469"/>
      <c r="FM48" s="469"/>
      <c r="FO48" s="473" t="str">
        <f ca="1">IF(ISERROR(HLOOKUP(FO$24,Tulem!$A$5:$CF$140,$AA48,FALSE)),"",HLOOKUP(FO$24,Tulem!$A$5:$CF$140,$AA48,FALSE))</f>
        <v/>
      </c>
      <c r="FP48" s="473"/>
      <c r="FQ48" s="473"/>
      <c r="FS48" s="469" t="str">
        <f ca="1">IF(ISERROR(HLOOKUP(FS$24,Tulem!$A$5:$CF$140,$AA48,FALSE)),"",HLOOKUP(FS$24,Tulem!$A$5:$CF$140,$AA48,FALSE))</f>
        <v/>
      </c>
      <c r="FT48" s="469"/>
      <c r="FU48" s="469"/>
      <c r="FW48" s="476" t="str">
        <f ca="1">IF(ISERROR(HLOOKUP(FW$24,Tulem!$A$5:$CF$140,$AA48,FALSE)),"",HLOOKUP(FW$24,Tulem!$A$5:$CF$140,$AA48,FALSE))</f>
        <v/>
      </c>
      <c r="FX48" s="476"/>
      <c r="FY48" s="476"/>
      <c r="FZ48" s="327"/>
      <c r="GA48" s="476" t="str">
        <f ca="1">IF(ISERROR(HLOOKUP(GA$24,Tulem!$A$5:$CF$140,$AA48,FALSE)),"",HLOOKUP(GA$24,Tulem!$A$5:$CF$140,$AA48,FALSE))</f>
        <v/>
      </c>
      <c r="GB48" s="476"/>
      <c r="GC48" s="476"/>
      <c r="GE48" s="473" t="str">
        <f ca="1">IF(ISERROR(HLOOKUP(GE$24,Tulem!$A$5:$CF$140,$AA48,FALSE)),"",HLOOKUP(GE$24,Tulem!$A$5:$CF$140,$AA48,FALSE))</f>
        <v/>
      </c>
      <c r="GF48" s="473"/>
      <c r="GG48" s="473"/>
      <c r="GI48" s="471" t="str">
        <f>IF(ISERROR(HLOOKUP(GI$24,Tulem!$A$5:$CF$140,$AA48,FALSE)),"",HLOOKUP(GI$24,Tulem!$A$5:$CF$140,$AA48,FALSE))</f>
        <v/>
      </c>
      <c r="GJ48" s="471"/>
      <c r="GK48" s="471"/>
      <c r="GM48" s="469" t="str">
        <f>IF(ISERROR(HLOOKUP(GM$24,Tulem!$A$5:$CF$140,$AA48,FALSE)),"",HLOOKUP(GM$24,Tulem!$A$5:$CF$140,$AA48,FALSE))</f>
        <v/>
      </c>
      <c r="GN48" s="469"/>
      <c r="GO48" s="469"/>
    </row>
    <row r="49" spans="1:197" s="50" customFormat="1" ht="14.5" customHeight="1" outlineLevel="1" x14ac:dyDescent="0.2">
      <c r="A49" s="499">
        <v>20</v>
      </c>
      <c r="B49" s="499"/>
      <c r="C49" s="499"/>
      <c r="D49" s="496" t="str">
        <f ca="1">IF(ISERROR(Tulem!E25),"",Tulem!E25)</f>
        <v/>
      </c>
      <c r="E49" s="496"/>
      <c r="F49" s="496"/>
      <c r="G49" s="496"/>
      <c r="I49" s="496" t="str">
        <f ca="1">IF(ISERROR(Tulem!D25),"",Tulem!D25)</f>
        <v/>
      </c>
      <c r="J49" s="496"/>
      <c r="K49" s="496"/>
      <c r="L49" s="496"/>
      <c r="M49" s="496"/>
      <c r="P49" s="496" t="str">
        <f ca="1">IF(ISERROR(Tulem!G25),"",Tulem!G25)</f>
        <v/>
      </c>
      <c r="Q49" s="496"/>
      <c r="R49" s="496"/>
      <c r="S49" s="496"/>
      <c r="T49" s="496"/>
      <c r="U49" s="496"/>
      <c r="V49" s="496" t="str">
        <f ca="1">IF(ISERROR(Tulem!F25),"",Tulem!F25)</f>
        <v/>
      </c>
      <c r="W49" s="496"/>
      <c r="X49" s="496"/>
      <c r="Y49" s="496"/>
      <c r="Z49" s="496"/>
      <c r="AA49" s="255">
        <v>21</v>
      </c>
      <c r="AB49" s="497" t="str">
        <f ca="1">IF(ISERROR(HLOOKUP(AB$24,Tulem!$A$5:$CF$140,$AA49,FALSE)),"",HLOOKUP(AB$24,Tulem!$A$5:$CF$140,$AA49,FALSE))</f>
        <v/>
      </c>
      <c r="AC49" s="497"/>
      <c r="AD49" s="497"/>
      <c r="AE49" s="497"/>
      <c r="AF49" s="166"/>
      <c r="AG49" s="480" t="str">
        <f ca="1">IF(ISERROR(HLOOKUP(AG$24,Tulem!$A$5:$CF$140,$AA49,FALSE)),"",HLOOKUP(AG$24,Tulem!$A$5:$CF$140,$AA49,FALSE))</f>
        <v/>
      </c>
      <c r="AH49" s="480"/>
      <c r="AI49" s="480"/>
      <c r="AJ49" s="480"/>
      <c r="AK49" s="167"/>
      <c r="AL49" s="480" t="str">
        <f ca="1">IF(ISERROR(HLOOKUP(AL$24,Tulem!$A$5:$CF$140,$AA49,FALSE)),"",HLOOKUP(AL$24,Tulem!$A$5:$CF$140,$AA49,FALSE))</f>
        <v/>
      </c>
      <c r="AM49" s="480"/>
      <c r="AN49" s="480"/>
      <c r="AO49" s="480"/>
      <c r="AP49" s="168"/>
      <c r="AQ49" s="473" t="str">
        <f ca="1">IF(ISERROR(HLOOKUP(AQ$24,Tulem!$A$5:$CF$140,$AA49,FALSE)),"",HLOOKUP(AQ$24,Tulem!$A$5:$CF$140,$AA49,FALSE))</f>
        <v/>
      </c>
      <c r="AR49" s="473"/>
      <c r="AS49" s="473"/>
      <c r="AT49" s="168"/>
      <c r="AU49" s="473" t="str">
        <f ca="1">IF(ISERROR(HLOOKUP(AU$24,Tulem!$A$5:$CF$140,$AA49,FALSE)),"",HLOOKUP(AU$24,Tulem!$A$5:$CF$140,$AA49,FALSE))</f>
        <v/>
      </c>
      <c r="AV49" s="473"/>
      <c r="AW49" s="473"/>
      <c r="AX49" s="169"/>
      <c r="AY49" s="473" t="str">
        <f ca="1">IF(ISERROR(HLOOKUP(AY$24,Tulem!$A$5:$CF$140,$AA49,FALSE)),"",HLOOKUP(AY$24,Tulem!$A$5:$CF$140,$AA49,FALSE))</f>
        <v/>
      </c>
      <c r="AZ49" s="473"/>
      <c r="BA49" s="473"/>
      <c r="BB49" s="170"/>
      <c r="BC49" s="464" t="str">
        <f ca="1">IF(ISERROR(HLOOKUP(BC$24,Tulem!$A$5:$CF$140,$AA49,FALSE)),"",HLOOKUP(BC$24,Tulem!$A$5:$CF$140,$AA49,FALSE))</f>
        <v/>
      </c>
      <c r="BD49" s="464"/>
      <c r="BE49" s="464"/>
      <c r="BF49" s="170"/>
      <c r="BG49" s="489" t="str">
        <f ca="1">IF(ISERROR(HLOOKUP(BG$24,Tulem!$A$5:$CF$140,$AA49,FALSE)),"",HLOOKUP(BG$24,Tulem!$A$5:$CF$140,$AA49,FALSE))</f>
        <v/>
      </c>
      <c r="BH49" s="489"/>
      <c r="BI49" s="489"/>
      <c r="BJ49" s="170"/>
      <c r="BK49" s="464" t="str">
        <f ca="1">IF(ISERROR(HLOOKUP(BK$24,Tulem!$A$5:$CF$140,$AA49,FALSE)),"",HLOOKUP(BK$24,Tulem!$A$5:$CF$140,$AA49,FALSE))</f>
        <v/>
      </c>
      <c r="BL49" s="464"/>
      <c r="BM49" s="464"/>
      <c r="BN49" s="170"/>
      <c r="BO49" s="470" t="str">
        <f ca="1">IF(ISERROR(HLOOKUP(BO$24,Tulem!$A$5:$CF$140,$AA49,FALSE)),"",HLOOKUP(BO$24,Tulem!$A$5:$CF$140,$AA49,FALSE))</f>
        <v/>
      </c>
      <c r="BP49" s="470"/>
      <c r="BQ49" s="470"/>
      <c r="BR49" s="170"/>
      <c r="BS49" s="464" t="str">
        <f ca="1">IF(ISERROR(HLOOKUP(BS$24,Tulem!$A$5:$CF$140,$AA49,FALSE)),"",HLOOKUP(BS$24,Tulem!$A$5:$CF$140,$AA49,FALSE))</f>
        <v/>
      </c>
      <c r="BT49" s="464"/>
      <c r="BU49" s="464"/>
      <c r="BV49" s="170"/>
      <c r="BW49" s="469" t="str">
        <f ca="1">IF(ISERROR(HLOOKUP(BW$24,Tulem!$A$5:$CF$140,$AA49,FALSE)),"",HLOOKUP(BW$24,Tulem!$A$5:$CF$140,$AA49,FALSE))</f>
        <v/>
      </c>
      <c r="BX49" s="469"/>
      <c r="BY49" s="469"/>
      <c r="BZ49" s="170"/>
      <c r="CA49" s="470" t="str">
        <f ca="1">IF(ISERROR(HLOOKUP(CA$24,Tulem!$A$5:$CF$140,$AA49,FALSE)),"",HLOOKUP(CA$24,Tulem!$A$5:$CF$140,$AA49,FALSE))</f>
        <v/>
      </c>
      <c r="CB49" s="470"/>
      <c r="CC49" s="470"/>
      <c r="CD49" s="170"/>
      <c r="CE49" s="464" t="str">
        <f ca="1">IF(ISERROR(HLOOKUP(CE$24,Tulem!$A$5:$CF$140,$AA49,FALSE)),"",HLOOKUP(CE$24,Tulem!$A$5:$CF$140,$AA49,FALSE))</f>
        <v/>
      </c>
      <c r="CF49" s="464"/>
      <c r="CG49" s="464"/>
      <c r="CH49" s="170"/>
      <c r="CI49" s="469" t="str">
        <f ca="1">IF(ISERROR(HLOOKUP(CI$24,Tulem!$A$5:$CF$140,$AA49,FALSE)),"",HLOOKUP(CI$24,Tulem!$A$5:$CF$140,$AA49,FALSE))</f>
        <v/>
      </c>
      <c r="CJ49" s="469"/>
      <c r="CK49" s="469"/>
      <c r="CL49" s="170"/>
      <c r="CM49" s="470" t="str">
        <f ca="1">IF(ISERROR(HLOOKUP(CM$24,Tulem!$A$5:$CF$140,$AA49,FALSE)),"",HLOOKUP(CM$24,Tulem!$A$5:$CF$140,$AA49,FALSE))</f>
        <v/>
      </c>
      <c r="CN49" s="470"/>
      <c r="CO49" s="470"/>
      <c r="CP49" s="266"/>
      <c r="CQ49" s="470" t="str">
        <f ca="1">IF(ISERROR(HLOOKUP(CQ$24,Tulem!$A$5:$CF$140,$AA49,FALSE)),"",HLOOKUP(CQ$24,Tulem!$A$5:$CF$140,$AA49,FALSE))</f>
        <v/>
      </c>
      <c r="CR49" s="470"/>
      <c r="CS49" s="470"/>
      <c r="CT49" s="266"/>
      <c r="CU49" s="470" t="str">
        <f ca="1">IF(ISERROR(HLOOKUP(CU$24,Tulem!$A$5:$CF$140,$AA49,FALSE)),"",HLOOKUP(CU$24,Tulem!$A$5:$CF$140,$AA49,FALSE))</f>
        <v/>
      </c>
      <c r="CV49" s="470"/>
      <c r="CW49" s="470"/>
      <c r="CX49" s="170"/>
      <c r="CY49" s="470" t="str">
        <f ca="1">IF(ISERROR(HLOOKUP(CY$24,Tulem!$A$5:$CF$140,$AA49,FALSE)),"",HLOOKUP(CY$24,Tulem!$A$5:$CF$140,$AA49,FALSE))</f>
        <v/>
      </c>
      <c r="CZ49" s="470"/>
      <c r="DA49" s="470"/>
      <c r="DB49" s="170"/>
      <c r="DC49" s="473" t="str">
        <f ca="1">IF(ISERROR(HLOOKUP(DC$24,Tulem!$A$5:$CF$140,$AA49,FALSE)),"",HLOOKUP(DC$24,Tulem!$A$5:$CF$140,$AA49,FALSE))</f>
        <v/>
      </c>
      <c r="DD49" s="473"/>
      <c r="DE49" s="473"/>
      <c r="DF49" s="171"/>
      <c r="DG49" s="480" t="str">
        <f ca="1">IF(ISERROR(HLOOKUP(DG$24,Tulem!$A$5:$CF$140,$AA49,FALSE)),"",HLOOKUP(DG$24,Tulem!$A$5:$CF$140,$AA49,FALSE))</f>
        <v/>
      </c>
      <c r="DH49" s="480"/>
      <c r="DI49" s="480"/>
      <c r="DJ49" s="171"/>
      <c r="DK49" s="473" t="str">
        <f ca="1">IF(ISERROR(HLOOKUP(DK$24,Tulem!$A$5:$CF$140,$AA49,FALSE)),"",HLOOKUP(DK$24,Tulem!$A$5:$CF$140,$AA49,FALSE))</f>
        <v/>
      </c>
      <c r="DL49" s="473"/>
      <c r="DM49" s="473"/>
      <c r="DN49" s="170"/>
      <c r="DO49" s="464" t="str">
        <f ca="1">IF(ISERROR(HLOOKUP(DO$24,Tulem!$A$5:$CF$140,$AA49,FALSE)),"",HLOOKUP(DO$24,Tulem!$A$5:$CF$140,$AA49,FALSE))</f>
        <v/>
      </c>
      <c r="DP49" s="464"/>
      <c r="DQ49" s="464"/>
      <c r="DR49" s="170"/>
      <c r="DS49" s="464" t="str">
        <f ca="1">IF(ISERROR(HLOOKUP(DS$24,Tulem!$A$5:$CF$140,$AA49,FALSE)),"",HLOOKUP(DS$24,Tulem!$A$5:$CF$140,$AA49,FALSE))</f>
        <v/>
      </c>
      <c r="DT49" s="464"/>
      <c r="DU49" s="464"/>
      <c r="DV49" s="170"/>
      <c r="DW49" s="464" t="str">
        <f ca="1">IF(ISERROR(HLOOKUP(DW$24,Tulem!$A$5:$CF$140,$AA49,FALSE)),"",HLOOKUP(DW$24,Tulem!$A$5:$CF$140,$AA49,FALSE))</f>
        <v/>
      </c>
      <c r="DX49" s="464"/>
      <c r="DY49" s="464"/>
      <c r="DZ49" s="170"/>
      <c r="EA49" s="469" t="str">
        <f ca="1">IF(ISERROR(HLOOKUP(EA$24,Tulem!$A$5:$CF$140,$AA49,FALSE)),"",HLOOKUP(EA$24,Tulem!$A$5:$CF$140,$AA49,FALSE))</f>
        <v/>
      </c>
      <c r="EB49" s="469"/>
      <c r="EC49" s="469"/>
      <c r="ED49" s="171"/>
      <c r="EE49" s="469" t="str">
        <f ca="1">IF(ISERROR(HLOOKUP(EE$24,Tulem!$A$5:$CF$140,$AA49,FALSE)),"",HLOOKUP(EE$24,Tulem!$A$5:$CF$140,$AA49,FALSE))</f>
        <v/>
      </c>
      <c r="EF49" s="469"/>
      <c r="EG49" s="469"/>
      <c r="EH49" s="170"/>
      <c r="EI49" s="469" t="str">
        <f ca="1">IF(ISERROR(HLOOKUP(EI$24,Tulem!$A$5:$CF$140,$AA49,FALSE)),"",HLOOKUP(EI$24,Tulem!$A$5:$CF$140,$AA49,FALSE))</f>
        <v/>
      </c>
      <c r="EJ49" s="469"/>
      <c r="EK49" s="469"/>
      <c r="EL49" s="171"/>
      <c r="EM49" s="469" t="str">
        <f ca="1">IF(ISERROR(HLOOKUP(EM$24,Tulem!$A$5:$CF$140,$AA49,FALSE)),"",HLOOKUP(EM$24,Tulem!$A$5:$CF$140,$AA49,FALSE))</f>
        <v/>
      </c>
      <c r="EN49" s="469"/>
      <c r="EO49" s="469"/>
      <c r="EP49" s="171"/>
      <c r="EQ49" s="469" t="str">
        <f ca="1">IF(ISERROR(HLOOKUP(EQ$24,Tulem!$A$5:$CF$140,$AA49,FALSE)),"",HLOOKUP(EQ$24,Tulem!$A$5:$CF$140,$AA49,FALSE))</f>
        <v/>
      </c>
      <c r="ER49" s="469"/>
      <c r="ES49" s="469"/>
      <c r="ET49" s="170"/>
      <c r="EU49" s="469" t="str">
        <f ca="1">IF(ISERROR(HLOOKUP(EU$24,Tulem!$A$5:$CF$140,$AA49,FALSE)),"",HLOOKUP(EU$24,Tulem!$A$5:$CF$140,$AA49,FALSE))</f>
        <v/>
      </c>
      <c r="EV49" s="469"/>
      <c r="EW49" s="469"/>
      <c r="EX49" s="170"/>
      <c r="EY49" s="473" t="str">
        <f ca="1">IF(ISERROR(HLOOKUP(EY$24,Tulem!$A$5:$CF$140,$AA49,FALSE)),"",HLOOKUP(EY$24,Tulem!$A$5:$CF$140,$AA49,FALSE))</f>
        <v/>
      </c>
      <c r="EZ49" s="473"/>
      <c r="FA49" s="473"/>
      <c r="FB49" s="171"/>
      <c r="FC49" s="469" t="str">
        <f ca="1">IF(ISERROR(HLOOKUP(FC$24,Tulem!$A$5:$CF$140,$AA49,FALSE)),"",HLOOKUP(FC$24,Tulem!$A$5:$CF$140,$AA49,FALSE))</f>
        <v/>
      </c>
      <c r="FD49" s="469"/>
      <c r="FE49" s="469"/>
      <c r="FF49" s="170"/>
      <c r="FG49" s="473" t="str">
        <f ca="1">IF(ISERROR(HLOOKUP(FG$24,Tulem!$A$5:$CF$140,$AA49,FALSE)),"",HLOOKUP(FG$24,Tulem!$A$5:$CF$140,$AA49,FALSE))</f>
        <v/>
      </c>
      <c r="FH49" s="473"/>
      <c r="FI49" s="473"/>
      <c r="FJ49" s="170"/>
      <c r="FK49" s="469" t="str">
        <f ca="1">IF(ISERROR(HLOOKUP(FK$24,Tulem!$A$5:$CF$140,$AA49,FALSE)),"",HLOOKUP(FK$24,Tulem!$A$5:$CF$140,$AA49,FALSE))</f>
        <v/>
      </c>
      <c r="FL49" s="469"/>
      <c r="FM49" s="469"/>
      <c r="FO49" s="473" t="str">
        <f ca="1">IF(ISERROR(HLOOKUP(FO$24,Tulem!$A$5:$CF$140,$AA49,FALSE)),"",HLOOKUP(FO$24,Tulem!$A$5:$CF$140,$AA49,FALSE))</f>
        <v/>
      </c>
      <c r="FP49" s="473"/>
      <c r="FQ49" s="473"/>
      <c r="FS49" s="469" t="str">
        <f ca="1">IF(ISERROR(HLOOKUP(FS$24,Tulem!$A$5:$CF$140,$AA49,FALSE)),"",HLOOKUP(FS$24,Tulem!$A$5:$CF$140,$AA49,FALSE))</f>
        <v/>
      </c>
      <c r="FT49" s="469"/>
      <c r="FU49" s="469"/>
      <c r="FW49" s="476" t="str">
        <f ca="1">IF(ISERROR(HLOOKUP(FW$24,Tulem!$A$5:$CF$140,$AA49,FALSE)),"",HLOOKUP(FW$24,Tulem!$A$5:$CF$140,$AA49,FALSE))</f>
        <v/>
      </c>
      <c r="FX49" s="476"/>
      <c r="FY49" s="476"/>
      <c r="FZ49" s="327"/>
      <c r="GA49" s="476" t="str">
        <f ca="1">IF(ISERROR(HLOOKUP(GA$24,Tulem!$A$5:$CF$140,$AA49,FALSE)),"",HLOOKUP(GA$24,Tulem!$A$5:$CF$140,$AA49,FALSE))</f>
        <v/>
      </c>
      <c r="GB49" s="476"/>
      <c r="GC49" s="476"/>
      <c r="GE49" s="473" t="str">
        <f ca="1">IF(ISERROR(HLOOKUP(GE$24,Tulem!$A$5:$CF$140,$AA49,FALSE)),"",HLOOKUP(GE$24,Tulem!$A$5:$CF$140,$AA49,FALSE))</f>
        <v/>
      </c>
      <c r="GF49" s="473"/>
      <c r="GG49" s="473"/>
      <c r="GI49" s="471" t="str">
        <f>IF(ISERROR(HLOOKUP(GI$24,Tulem!$A$5:$CF$140,$AA49,FALSE)),"",HLOOKUP(GI$24,Tulem!$A$5:$CF$140,$AA49,FALSE))</f>
        <v/>
      </c>
      <c r="GJ49" s="471"/>
      <c r="GK49" s="471"/>
      <c r="GM49" s="469" t="str">
        <f>IF(ISERROR(HLOOKUP(GM$24,Tulem!$A$5:$CF$140,$AA49,FALSE)),"",HLOOKUP(GM$24,Tulem!$A$5:$CF$140,$AA49,FALSE))</f>
        <v/>
      </c>
      <c r="GN49" s="469"/>
      <c r="GO49" s="469"/>
    </row>
    <row r="50" spans="1:197" s="83" customFormat="1" ht="3.5" customHeight="1" outlineLevel="1" x14ac:dyDescent="0.2">
      <c r="AB50" s="176"/>
      <c r="AC50" s="176"/>
      <c r="AD50" s="176"/>
      <c r="AE50" s="176"/>
      <c r="AF50" s="176"/>
      <c r="AG50" s="256"/>
      <c r="AH50" s="256"/>
      <c r="AI50" s="256"/>
      <c r="AJ50" s="256"/>
      <c r="AK50" s="176"/>
      <c r="AL50" s="256"/>
      <c r="AM50" s="256"/>
      <c r="AN50" s="256"/>
      <c r="AO50" s="256"/>
      <c r="AP50" s="177"/>
      <c r="AQ50" s="177"/>
      <c r="AR50" s="177"/>
      <c r="AS50" s="177"/>
      <c r="AT50" s="177"/>
      <c r="AU50" s="177"/>
      <c r="AV50" s="177"/>
      <c r="AW50" s="177"/>
      <c r="AX50" s="177"/>
      <c r="AY50" s="177"/>
      <c r="AZ50" s="177"/>
      <c r="BA50" s="177"/>
      <c r="BB50" s="177"/>
      <c r="BC50" s="265"/>
      <c r="BD50" s="265"/>
      <c r="BE50" s="265"/>
      <c r="BF50" s="177"/>
      <c r="BG50" s="177"/>
      <c r="BH50" s="177"/>
      <c r="BI50" s="177"/>
      <c r="BJ50" s="177"/>
      <c r="BK50" s="265"/>
      <c r="BL50" s="265"/>
      <c r="BM50" s="265"/>
      <c r="BN50" s="177"/>
      <c r="BO50" s="264"/>
      <c r="BP50" s="264"/>
      <c r="BQ50" s="264"/>
      <c r="BR50" s="177"/>
      <c r="BS50" s="265"/>
      <c r="BT50" s="265"/>
      <c r="BU50" s="265"/>
      <c r="BV50" s="177"/>
      <c r="BW50" s="178"/>
      <c r="BX50" s="178"/>
      <c r="BY50" s="178"/>
      <c r="BZ50" s="177"/>
      <c r="CA50" s="264"/>
      <c r="CB50" s="264"/>
      <c r="CC50" s="264"/>
      <c r="CD50" s="177"/>
      <c r="CE50" s="265"/>
      <c r="CF50" s="265"/>
      <c r="CG50" s="265"/>
      <c r="CH50" s="177"/>
      <c r="CI50" s="178"/>
      <c r="CJ50" s="178"/>
      <c r="CK50" s="178"/>
      <c r="CL50" s="177"/>
      <c r="CM50" s="264"/>
      <c r="CN50" s="264"/>
      <c r="CO50" s="264"/>
      <c r="CP50" s="264"/>
      <c r="CQ50" s="264"/>
      <c r="CR50" s="264"/>
      <c r="CS50" s="264"/>
      <c r="CT50" s="264"/>
      <c r="CU50" s="264"/>
      <c r="CV50" s="264"/>
      <c r="CW50" s="264"/>
      <c r="CX50" s="177"/>
      <c r="CY50" s="264"/>
      <c r="CZ50" s="264"/>
      <c r="DA50" s="264"/>
      <c r="DB50" s="177"/>
      <c r="DC50" s="177"/>
      <c r="DD50" s="177"/>
      <c r="DE50" s="177"/>
      <c r="DF50" s="178"/>
      <c r="DG50" s="256"/>
      <c r="DH50" s="256"/>
      <c r="DI50" s="256"/>
      <c r="DJ50" s="178"/>
      <c r="DK50" s="177"/>
      <c r="DL50" s="177"/>
      <c r="DM50" s="177"/>
      <c r="DN50" s="177"/>
      <c r="DO50" s="265"/>
      <c r="DP50" s="265"/>
      <c r="DQ50" s="265"/>
      <c r="DR50" s="177"/>
      <c r="DS50" s="265"/>
      <c r="DT50" s="265"/>
      <c r="DU50" s="265"/>
      <c r="DV50" s="177"/>
      <c r="DW50" s="265"/>
      <c r="DX50" s="265"/>
      <c r="DY50" s="265"/>
      <c r="DZ50" s="177"/>
      <c r="EA50" s="178"/>
      <c r="EB50" s="178"/>
      <c r="EC50" s="178"/>
      <c r="ED50" s="178"/>
      <c r="EE50" s="178"/>
      <c r="EF50" s="178"/>
      <c r="EG50" s="178"/>
      <c r="EH50" s="177"/>
      <c r="EI50" s="178"/>
      <c r="EJ50" s="178"/>
      <c r="EK50" s="178"/>
      <c r="EL50" s="178"/>
      <c r="EM50" s="178"/>
      <c r="EN50" s="178"/>
      <c r="EO50" s="178"/>
      <c r="EP50" s="178"/>
      <c r="EQ50" s="178"/>
      <c r="ER50" s="178"/>
      <c r="ES50" s="178"/>
      <c r="ET50" s="177"/>
      <c r="EU50" s="178"/>
      <c r="EV50" s="178"/>
      <c r="EW50" s="178"/>
      <c r="EX50" s="177"/>
      <c r="EY50" s="179"/>
      <c r="EZ50" s="179"/>
      <c r="FA50" s="179"/>
      <c r="FB50" s="178"/>
      <c r="FC50" s="178"/>
      <c r="FD50" s="178"/>
      <c r="FE50" s="178"/>
      <c r="FF50" s="177"/>
      <c r="FG50" s="177"/>
      <c r="FH50" s="177"/>
      <c r="FI50" s="177"/>
      <c r="FJ50" s="177"/>
      <c r="FK50" s="178"/>
      <c r="FL50" s="178"/>
      <c r="FM50" s="178"/>
      <c r="FO50" s="177"/>
      <c r="FP50" s="177"/>
      <c r="FQ50" s="177"/>
      <c r="FR50" s="253"/>
      <c r="FS50" s="178"/>
      <c r="FT50" s="178"/>
      <c r="FU50" s="178"/>
      <c r="FV50" s="253"/>
      <c r="FW50" s="329"/>
      <c r="FX50" s="329"/>
      <c r="FY50" s="329"/>
      <c r="FZ50" s="330"/>
      <c r="GA50" s="329"/>
      <c r="GB50" s="329"/>
      <c r="GC50" s="329"/>
      <c r="GD50" s="253"/>
      <c r="GE50" s="179"/>
      <c r="GF50" s="179"/>
      <c r="GG50" s="179"/>
      <c r="GH50" s="253"/>
      <c r="GI50" s="179"/>
      <c r="GJ50" s="179"/>
      <c r="GK50" s="179"/>
      <c r="GL50" s="253"/>
      <c r="GM50" s="178"/>
      <c r="GN50" s="178"/>
      <c r="GO50" s="178"/>
    </row>
    <row r="51" spans="1:197" s="62" customFormat="1" ht="17" customHeight="1" collapsed="1" x14ac:dyDescent="0.2">
      <c r="A51" s="498" t="s">
        <v>353</v>
      </c>
      <c r="B51" s="498"/>
      <c r="C51" s="498"/>
      <c r="D51" s="498"/>
      <c r="E51" s="498"/>
      <c r="F51" s="498"/>
      <c r="G51" s="498"/>
      <c r="H51" s="498"/>
      <c r="I51" s="498"/>
      <c r="J51" s="498"/>
      <c r="K51" s="498"/>
      <c r="L51" s="498"/>
      <c r="M51" s="498"/>
      <c r="N51" s="498"/>
      <c r="O51" s="498"/>
      <c r="P51" s="498"/>
      <c r="Q51" s="498"/>
      <c r="R51" s="498"/>
      <c r="S51" s="498"/>
      <c r="T51" s="498"/>
      <c r="U51" s="498"/>
      <c r="V51" s="498"/>
      <c r="W51" s="498"/>
      <c r="X51" s="498"/>
      <c r="AB51" s="480">
        <f>KOMBI!Z11</f>
        <v>0</v>
      </c>
      <c r="AC51" s="480"/>
      <c r="AD51" s="480"/>
      <c r="AE51" s="480"/>
      <c r="AF51" s="167"/>
      <c r="AG51" s="480">
        <f>KOMBI!FB11</f>
        <v>36.816351506457288</v>
      </c>
      <c r="AH51" s="480"/>
      <c r="AI51" s="480"/>
      <c r="AJ51" s="480"/>
      <c r="AK51" s="180"/>
      <c r="AL51" s="480">
        <f ca="1">AY51+AU51+AQ51</f>
        <v>0</v>
      </c>
      <c r="AM51" s="480"/>
      <c r="AN51" s="480"/>
      <c r="AO51" s="480"/>
      <c r="AP51" s="181"/>
      <c r="AQ51" s="473">
        <f>KOMBI!FE11</f>
        <v>0</v>
      </c>
      <c r="AR51" s="473"/>
      <c r="AS51" s="473"/>
      <c r="AT51" s="181"/>
      <c r="AU51" s="473">
        <f>KOMBI!FF11</f>
        <v>0</v>
      </c>
      <c r="AV51" s="473"/>
      <c r="AW51" s="473"/>
      <c r="AX51" s="181"/>
      <c r="AY51" s="473">
        <f ca="1">KOMBI!EN11</f>
        <v>0</v>
      </c>
      <c r="AZ51" s="473"/>
      <c r="BA51" s="473"/>
      <c r="BB51" s="181"/>
      <c r="BC51" s="464">
        <f>KOMBI!AZ11</f>
        <v>0.60965252676886705</v>
      </c>
      <c r="BD51" s="464"/>
      <c r="BE51" s="464"/>
      <c r="BF51" s="170"/>
      <c r="BG51" s="489">
        <f>KOMBI!CT11</f>
        <v>90</v>
      </c>
      <c r="BH51" s="489"/>
      <c r="BI51" s="489"/>
      <c r="BJ51" s="170"/>
      <c r="BK51" s="464">
        <f>KOMBI!CV11</f>
        <v>1</v>
      </c>
      <c r="BL51" s="464"/>
      <c r="BM51" s="464"/>
      <c r="BN51" s="170"/>
      <c r="BO51" s="470">
        <f>1-KOMBI!CU11</f>
        <v>0.27911646586345373</v>
      </c>
      <c r="BP51" s="470"/>
      <c r="BQ51" s="470"/>
      <c r="BR51" s="170"/>
      <c r="BS51" s="464">
        <f>KOMBI!BF11</f>
        <v>0.31068429743275605</v>
      </c>
      <c r="BT51" s="464"/>
      <c r="BU51" s="464"/>
      <c r="BV51" s="170"/>
      <c r="BW51" s="469">
        <f>KOMBI!EI11</f>
        <v>52.764567183462525</v>
      </c>
      <c r="BX51" s="469"/>
      <c r="BY51" s="469"/>
      <c r="BZ51" s="170"/>
      <c r="CA51" s="470">
        <f>KOMBI!EJ11</f>
        <v>2.0156356925118721E-2</v>
      </c>
      <c r="CB51" s="470"/>
      <c r="CC51" s="470"/>
      <c r="CD51" s="170"/>
      <c r="CE51" s="464">
        <f>KOMBI!EK11</f>
        <v>0.36168246787532254</v>
      </c>
      <c r="CF51" s="464"/>
      <c r="CG51" s="464"/>
      <c r="CH51" s="170"/>
      <c r="CI51" s="469">
        <f>KOMBI!ES11</f>
        <v>6.78</v>
      </c>
      <c r="CJ51" s="469"/>
      <c r="CK51" s="469"/>
      <c r="CL51" s="170"/>
      <c r="CM51" s="470">
        <f>KOMBI!S11</f>
        <v>0</v>
      </c>
      <c r="CN51" s="470"/>
      <c r="CO51" s="470"/>
      <c r="CP51" s="266"/>
      <c r="CQ51" s="470">
        <f>KOMBI!T11</f>
        <v>0</v>
      </c>
      <c r="CR51" s="470"/>
      <c r="CS51" s="470"/>
      <c r="CT51" s="266"/>
      <c r="CU51" s="470">
        <f>KOMBI!U11</f>
        <v>0</v>
      </c>
      <c r="CV51" s="470"/>
      <c r="CW51" s="470"/>
      <c r="CX51" s="170"/>
      <c r="CY51" s="470">
        <f>KOMBI!V11</f>
        <v>0</v>
      </c>
      <c r="CZ51" s="470"/>
      <c r="DA51" s="470"/>
      <c r="DB51" s="170"/>
      <c r="DC51" s="473">
        <f>KOMBI!CM11</f>
        <v>8.5549999999999997</v>
      </c>
      <c r="DD51" s="473"/>
      <c r="DE51" s="473"/>
      <c r="DF51" s="171"/>
      <c r="DG51" s="480">
        <v>0</v>
      </c>
      <c r="DH51" s="480"/>
      <c r="DI51" s="480"/>
      <c r="DJ51" s="171"/>
      <c r="DK51" s="473">
        <f>KOMBI!CY11</f>
        <v>11.411</v>
      </c>
      <c r="DL51" s="473"/>
      <c r="DM51" s="473"/>
      <c r="DN51" s="170"/>
      <c r="DO51" s="464">
        <f>KOMBI!W11</f>
        <v>0</v>
      </c>
      <c r="DP51" s="464"/>
      <c r="DQ51" s="464"/>
      <c r="DR51" s="170"/>
      <c r="DS51" s="464">
        <f>KOMBI!X11</f>
        <v>0</v>
      </c>
      <c r="DT51" s="464"/>
      <c r="DU51" s="464"/>
      <c r="DV51" s="170"/>
      <c r="DW51" s="464">
        <f>KOMBI!Y11</f>
        <v>0</v>
      </c>
      <c r="DX51" s="464"/>
      <c r="DY51" s="464"/>
      <c r="DZ51" s="170"/>
      <c r="EA51" s="469">
        <f>KOMBI!CQ11</f>
        <v>11.186907</v>
      </c>
      <c r="EB51" s="469"/>
      <c r="EC51" s="469"/>
      <c r="ED51" s="171"/>
      <c r="EE51" s="469">
        <f>KOMBI!Q11</f>
        <v>5.3310000000000004</v>
      </c>
      <c r="EF51" s="469"/>
      <c r="EG51" s="469"/>
      <c r="EH51" s="170"/>
      <c r="EI51" s="469">
        <f>KOMBI!R11</f>
        <v>3.3026368215830604</v>
      </c>
      <c r="EJ51" s="469"/>
      <c r="EK51" s="469"/>
      <c r="EL51" s="171"/>
      <c r="EM51" s="469">
        <f>KOMBI!CJ11</f>
        <v>20.207999999999998</v>
      </c>
      <c r="EN51" s="469"/>
      <c r="EO51" s="469"/>
      <c r="EP51" s="171"/>
      <c r="EQ51" s="469">
        <f>KOMBI!CP11</f>
        <v>13.825948584295613</v>
      </c>
      <c r="ER51" s="469"/>
      <c r="ES51" s="469"/>
      <c r="ET51" s="170"/>
      <c r="EU51" s="469">
        <f>KOMBI!EF11</f>
        <v>5.9576368215830611</v>
      </c>
      <c r="EV51" s="469"/>
      <c r="EW51" s="469"/>
      <c r="EX51" s="170"/>
      <c r="EY51" s="473">
        <f>KOMBI!CZ11</f>
        <v>79</v>
      </c>
      <c r="EZ51" s="473"/>
      <c r="FA51" s="473"/>
      <c r="FB51" s="171"/>
      <c r="FC51" s="469">
        <f>KOMBI!DA11</f>
        <v>15.372999999999999</v>
      </c>
      <c r="FD51" s="469"/>
      <c r="FE51" s="469"/>
      <c r="FF51" s="170"/>
      <c r="FG51" s="473">
        <f>KOMBI!DB11</f>
        <v>68.686111111111117</v>
      </c>
      <c r="FH51" s="473"/>
      <c r="FI51" s="473"/>
      <c r="FJ51" s="170"/>
      <c r="FK51" s="469">
        <f>KOMBI!DC11</f>
        <v>5.4998170000000002</v>
      </c>
      <c r="FL51" s="469"/>
      <c r="FM51" s="469"/>
      <c r="FO51" s="473">
        <f>KOMBI!FC11</f>
        <v>339.59999999999997</v>
      </c>
      <c r="FP51" s="473"/>
      <c r="FQ51" s="473"/>
      <c r="FS51" s="469">
        <f>KOMBI!CN11</f>
        <v>3.0259999999999998</v>
      </c>
      <c r="FT51" s="469"/>
      <c r="FU51" s="469"/>
      <c r="FW51" s="476">
        <f>KOMBI!EQ11</f>
        <v>0.22900000000000001</v>
      </c>
      <c r="FX51" s="476"/>
      <c r="FY51" s="476"/>
      <c r="FZ51" s="331"/>
      <c r="GA51" s="476">
        <f>KOMBI!ER11</f>
        <v>0.82899999999999996</v>
      </c>
      <c r="GB51" s="476"/>
      <c r="GC51" s="476"/>
      <c r="GE51" s="473"/>
      <c r="GF51" s="473"/>
      <c r="GG51" s="473"/>
      <c r="GI51" s="472">
        <f>KOMBI!EA11</f>
        <v>0</v>
      </c>
      <c r="GJ51" s="472"/>
      <c r="GK51" s="472"/>
      <c r="GM51" s="469">
        <f>KOMBI!CN11</f>
        <v>3.0259999999999998</v>
      </c>
      <c r="GN51" s="469"/>
      <c r="GO51" s="469"/>
    </row>
    <row r="52" spans="1:197" s="50" customFormat="1" ht="3" customHeight="1" x14ac:dyDescent="0.2"/>
    <row r="53" spans="1:197" s="50" customFormat="1" ht="3" customHeight="1" x14ac:dyDescent="0.2"/>
    <row r="54" spans="1:197" s="50" customFormat="1" ht="3" customHeight="1" x14ac:dyDescent="0.2"/>
    <row r="55" spans="1:197" s="50" customFormat="1" ht="3" customHeight="1" x14ac:dyDescent="0.2"/>
    <row r="56" spans="1:197" s="50" customFormat="1" ht="15.5" customHeight="1" x14ac:dyDescent="0.2">
      <c r="AB56" s="494" t="s">
        <v>273</v>
      </c>
      <c r="AC56" s="494"/>
      <c r="AD56" s="494"/>
      <c r="AE56" s="494"/>
      <c r="AF56" s="494"/>
      <c r="AG56" s="494"/>
      <c r="AH56" s="494"/>
      <c r="AI56" s="494"/>
      <c r="AJ56" s="494"/>
      <c r="AK56" s="494"/>
      <c r="AL56" s="494"/>
      <c r="AM56" s="494"/>
      <c r="AN56" s="494"/>
      <c r="AO56" s="494"/>
      <c r="AP56" s="495"/>
      <c r="AQ56" s="492" t="s">
        <v>59</v>
      </c>
      <c r="AR56" s="493"/>
      <c r="AS56" s="493"/>
    </row>
    <row r="57" spans="1:197" s="50" customFormat="1" ht="42" customHeight="1" x14ac:dyDescent="0.2"/>
    <row r="58" spans="1:197" s="50" customFormat="1" ht="42" customHeight="1" x14ac:dyDescent="0.2"/>
    <row r="59" spans="1:197" s="50" customFormat="1" ht="42" customHeight="1" x14ac:dyDescent="0.2"/>
    <row r="60" spans="1:197" s="50" customFormat="1" ht="42" customHeight="1" x14ac:dyDescent="0.2"/>
    <row r="61" spans="1:197" s="50" customFormat="1" ht="42" customHeight="1" x14ac:dyDescent="0.2"/>
    <row r="62" spans="1:197" s="50" customFormat="1" ht="29.5" customHeight="1" x14ac:dyDescent="0.2">
      <c r="H62" s="54"/>
      <c r="K62" s="55"/>
      <c r="L62" s="52"/>
      <c r="M62" s="52"/>
      <c r="N62" s="52"/>
      <c r="O62" s="52"/>
      <c r="Q62" s="56"/>
      <c r="V62" s="48"/>
      <c r="W62" s="48"/>
    </row>
    <row r="63" spans="1:197" s="50" customFormat="1" ht="31.25" customHeight="1" x14ac:dyDescent="0.25">
      <c r="H63" s="54"/>
      <c r="K63" s="57"/>
      <c r="L63" s="52"/>
      <c r="M63" s="52"/>
      <c r="N63" s="52"/>
      <c r="O63" s="52"/>
      <c r="V63" s="48"/>
      <c r="W63" s="48"/>
    </row>
    <row r="64" spans="1:197" s="50" customFormat="1" ht="31.25" customHeight="1" x14ac:dyDescent="0.2">
      <c r="H64" s="54"/>
      <c r="L64" s="48"/>
      <c r="M64" s="48"/>
      <c r="N64" s="48"/>
      <c r="O64" s="48"/>
      <c r="Q64" s="58"/>
      <c r="V64" s="48"/>
      <c r="W64" s="48"/>
    </row>
    <row r="65" spans="1:47" s="50" customFormat="1" ht="31.25" customHeight="1" x14ac:dyDescent="0.2">
      <c r="H65" s="54"/>
      <c r="L65" s="48"/>
      <c r="M65" s="48"/>
      <c r="N65" s="48"/>
      <c r="O65" s="59"/>
      <c r="P65" s="59"/>
      <c r="Q65" s="59"/>
      <c r="R65" s="59"/>
      <c r="S65" s="59"/>
      <c r="T65" s="59"/>
      <c r="U65" s="59"/>
      <c r="V65" s="59"/>
      <c r="W65" s="59"/>
      <c r="X65" s="59"/>
      <c r="Y65" s="60"/>
      <c r="Z65" s="60"/>
    </row>
    <row r="66" spans="1:47" s="50" customFormat="1" x14ac:dyDescent="0.2">
      <c r="H66" s="54"/>
      <c r="L66" s="48"/>
      <c r="M66" s="48"/>
      <c r="N66" s="48"/>
      <c r="O66" s="59"/>
      <c r="P66" s="59"/>
      <c r="Q66" s="59"/>
      <c r="R66" s="59"/>
      <c r="S66" s="59"/>
      <c r="T66" s="59"/>
      <c r="U66" s="59"/>
      <c r="V66" s="59"/>
      <c r="W66" s="59"/>
      <c r="X66" s="59"/>
      <c r="Y66" s="60"/>
      <c r="Z66" s="60"/>
    </row>
    <row r="67" spans="1:47" s="50" customFormat="1" x14ac:dyDescent="0.2">
      <c r="H67" s="54"/>
      <c r="L67" s="48"/>
      <c r="M67" s="48"/>
      <c r="N67" s="48"/>
      <c r="O67" s="61"/>
      <c r="Q67" s="58"/>
      <c r="U67" s="62"/>
      <c r="V67" s="48"/>
      <c r="W67" s="48"/>
    </row>
    <row r="68" spans="1:47" s="50" customFormat="1" ht="4.25" customHeight="1" x14ac:dyDescent="0.2">
      <c r="H68" s="54"/>
      <c r="L68" s="48"/>
      <c r="M68" s="48"/>
      <c r="N68" s="48"/>
      <c r="O68" s="48"/>
      <c r="Q68" s="58"/>
      <c r="V68" s="48"/>
      <c r="W68" s="48"/>
    </row>
    <row r="69" spans="1:47" s="50" customFormat="1" ht="15" customHeight="1" x14ac:dyDescent="0.2">
      <c r="F69" s="63"/>
      <c r="H69" s="54"/>
      <c r="L69" s="48"/>
      <c r="M69" s="48"/>
      <c r="N69" s="48"/>
      <c r="O69" s="48"/>
      <c r="Q69" s="58"/>
      <c r="V69" s="48"/>
      <c r="W69" s="48"/>
    </row>
    <row r="70" spans="1:47" s="50" customFormat="1" ht="9" customHeight="1" x14ac:dyDescent="0.2">
      <c r="H70" s="54"/>
      <c r="L70" s="48"/>
      <c r="M70" s="48"/>
      <c r="N70" s="48"/>
      <c r="O70" s="48"/>
      <c r="Q70" s="58"/>
      <c r="V70" s="48"/>
      <c r="W70" s="48"/>
    </row>
    <row r="71" spans="1:47" s="50" customFormat="1" x14ac:dyDescent="0.2">
      <c r="H71" s="54"/>
      <c r="L71" s="48"/>
      <c r="M71" s="48"/>
      <c r="N71" s="48"/>
      <c r="O71" s="48"/>
      <c r="Q71" s="58"/>
      <c r="V71" s="48"/>
      <c r="W71" s="48"/>
    </row>
    <row r="72" spans="1:47" s="50" customFormat="1" x14ac:dyDescent="0.2">
      <c r="H72" s="54"/>
      <c r="L72" s="48"/>
      <c r="M72" s="48"/>
      <c r="N72" s="48"/>
      <c r="O72" s="48"/>
      <c r="Q72" s="58"/>
      <c r="V72" s="48"/>
      <c r="W72" s="48"/>
    </row>
    <row r="73" spans="1:47" s="50" customFormat="1" x14ac:dyDescent="0.2">
      <c r="H73" s="54"/>
      <c r="L73" s="48"/>
      <c r="M73" s="48"/>
      <c r="N73" s="48"/>
      <c r="O73" s="48"/>
      <c r="Q73" s="58"/>
      <c r="V73" s="48"/>
      <c r="W73" s="48"/>
    </row>
    <row r="74" spans="1:47" s="50" customFormat="1" x14ac:dyDescent="0.2">
      <c r="H74" s="54"/>
      <c r="L74" s="48"/>
      <c r="M74" s="48"/>
      <c r="N74" s="48"/>
      <c r="O74" s="48"/>
      <c r="Q74" s="58"/>
      <c r="V74" s="48"/>
      <c r="W74" s="48"/>
    </row>
    <row r="75" spans="1:47" s="50" customFormat="1" x14ac:dyDescent="0.2">
      <c r="H75" s="54"/>
      <c r="L75" s="48"/>
      <c r="M75" s="48"/>
      <c r="N75" s="48"/>
      <c r="O75" s="48"/>
      <c r="Q75" s="58"/>
      <c r="V75" s="48"/>
      <c r="W75" s="48"/>
    </row>
    <row r="76" spans="1:47" s="50" customFormat="1" x14ac:dyDescent="0.2">
      <c r="H76" s="54"/>
      <c r="L76" s="48"/>
      <c r="M76" s="48"/>
      <c r="N76" s="48"/>
      <c r="O76" s="48"/>
      <c r="Q76" s="58"/>
      <c r="V76" s="48"/>
      <c r="W76" s="48"/>
    </row>
    <row r="77" spans="1:47" s="50" customFormat="1" hidden="1" x14ac:dyDescent="0.2">
      <c r="H77" s="54"/>
      <c r="L77" s="48"/>
      <c r="M77" s="48"/>
      <c r="N77" s="48"/>
      <c r="O77" s="48"/>
      <c r="Q77" s="58"/>
      <c r="V77" s="48"/>
      <c r="W77" s="48"/>
    </row>
    <row r="78" spans="1:47" hidden="1" x14ac:dyDescent="0.2">
      <c r="A78" s="64"/>
      <c r="B78" s="64"/>
      <c r="C78" s="64"/>
      <c r="D78" s="64"/>
      <c r="E78" s="64"/>
      <c r="F78" s="64"/>
      <c r="G78" s="64"/>
      <c r="H78" s="65"/>
      <c r="I78" s="64"/>
      <c r="J78" s="64"/>
      <c r="K78" s="64"/>
      <c r="L78" s="66"/>
      <c r="M78" s="66"/>
      <c r="N78" s="66"/>
      <c r="O78" s="66"/>
      <c r="P78" s="64"/>
      <c r="Q78" s="67"/>
      <c r="R78" s="64"/>
      <c r="S78" s="64"/>
      <c r="T78" s="64"/>
      <c r="U78" s="64"/>
      <c r="V78" s="66"/>
      <c r="W78" s="66"/>
      <c r="X78" s="64"/>
      <c r="Y78" s="64"/>
      <c r="Z78" s="64"/>
      <c r="AA78" s="64"/>
      <c r="AB78" s="64"/>
      <c r="AC78" s="64"/>
      <c r="AD78" s="64"/>
      <c r="AE78" s="64"/>
      <c r="AF78" s="64"/>
      <c r="AG78" s="64"/>
      <c r="AH78" s="64"/>
      <c r="AI78" s="64"/>
      <c r="AJ78" s="64"/>
      <c r="AK78" s="64"/>
      <c r="AL78" s="64"/>
      <c r="AM78" s="64"/>
      <c r="AN78" s="64"/>
      <c r="AO78" s="64"/>
      <c r="AP78" s="64"/>
      <c r="AQ78" s="64"/>
      <c r="AR78" s="64"/>
      <c r="AS78" s="64"/>
      <c r="AT78" s="64"/>
      <c r="AU78" s="64"/>
    </row>
    <row r="79" spans="1:47" hidden="1" x14ac:dyDescent="0.2">
      <c r="A79" s="64"/>
      <c r="B79" s="64"/>
      <c r="C79" s="64"/>
      <c r="D79" s="64"/>
      <c r="E79" s="64"/>
      <c r="F79" s="64"/>
      <c r="G79" s="64"/>
      <c r="H79" s="65"/>
      <c r="I79" s="64"/>
      <c r="J79" s="64"/>
      <c r="K79" s="64"/>
      <c r="L79" s="66"/>
      <c r="M79" s="66"/>
      <c r="N79" s="66"/>
      <c r="O79" s="66"/>
      <c r="P79" s="64"/>
      <c r="Q79" s="67"/>
      <c r="R79" s="64"/>
      <c r="S79" s="64"/>
      <c r="T79" s="64"/>
      <c r="U79" s="64"/>
      <c r="V79" s="66"/>
      <c r="W79" s="66"/>
      <c r="X79" s="64"/>
      <c r="Y79" s="64"/>
      <c r="Z79" s="64"/>
      <c r="AA79" s="64"/>
      <c r="AB79" s="64"/>
      <c r="AC79" s="64"/>
      <c r="AD79" s="64"/>
      <c r="AE79" s="64"/>
      <c r="AF79" s="64"/>
      <c r="AG79" s="64"/>
      <c r="AH79" s="64"/>
      <c r="AI79" s="64"/>
      <c r="AJ79" s="64"/>
      <c r="AK79" s="64"/>
      <c r="AL79" s="64"/>
      <c r="AM79" s="64"/>
      <c r="AN79" s="64"/>
      <c r="AO79" s="64"/>
      <c r="AP79" s="64"/>
      <c r="AQ79" s="64"/>
      <c r="AR79" s="64"/>
      <c r="AS79" s="64"/>
      <c r="AT79" s="64"/>
      <c r="AU79" s="64"/>
    </row>
    <row r="80" spans="1:47" hidden="1" x14ac:dyDescent="0.2">
      <c r="A80" s="64"/>
      <c r="B80" s="64"/>
      <c r="C80" s="64"/>
      <c r="D80" s="64"/>
      <c r="E80" s="64"/>
      <c r="F80" s="64"/>
      <c r="G80" s="64"/>
      <c r="H80" s="65"/>
      <c r="I80" s="64"/>
      <c r="J80" s="64"/>
      <c r="K80" s="64"/>
      <c r="L80" s="66"/>
      <c r="M80" s="66"/>
      <c r="N80" s="66"/>
      <c r="O80" s="66"/>
      <c r="P80" s="64"/>
      <c r="Q80" s="67"/>
      <c r="R80" s="64"/>
      <c r="S80" s="64"/>
      <c r="T80" s="64"/>
      <c r="U80" s="64"/>
      <c r="V80" s="66"/>
      <c r="W80" s="66"/>
      <c r="X80" s="64"/>
      <c r="Y80" s="64"/>
      <c r="Z80" s="64"/>
      <c r="AA80" s="64"/>
      <c r="AB80" s="64"/>
      <c r="AC80" s="64"/>
      <c r="AD80" s="64"/>
      <c r="AE80" s="64"/>
      <c r="AF80" s="64"/>
      <c r="AG80" s="64"/>
      <c r="AH80" s="64"/>
      <c r="AI80" s="64"/>
      <c r="AJ80" s="64"/>
      <c r="AK80" s="64"/>
      <c r="AL80" s="64"/>
      <c r="AM80" s="64"/>
      <c r="AN80" s="64"/>
      <c r="AO80" s="64"/>
      <c r="AP80" s="64"/>
      <c r="AQ80" s="64"/>
      <c r="AR80" s="64"/>
      <c r="AS80" s="64"/>
      <c r="AT80" s="64"/>
      <c r="AU80" s="64"/>
    </row>
    <row r="81" spans="1:47" hidden="1" x14ac:dyDescent="0.2">
      <c r="A81" s="64"/>
      <c r="B81" s="64"/>
      <c r="C81" s="64"/>
      <c r="D81" s="64"/>
      <c r="E81" s="64"/>
      <c r="F81" s="64"/>
      <c r="G81" s="64"/>
      <c r="H81" s="65"/>
      <c r="I81" s="64"/>
      <c r="J81" s="64"/>
      <c r="K81" s="64"/>
      <c r="L81" s="66"/>
      <c r="M81" s="66"/>
      <c r="N81" s="66"/>
      <c r="O81" s="66"/>
      <c r="P81" s="64"/>
      <c r="Q81" s="67"/>
      <c r="R81" s="64"/>
      <c r="S81" s="64"/>
      <c r="T81" s="64"/>
      <c r="U81" s="64"/>
      <c r="V81" s="66"/>
      <c r="W81" s="66"/>
      <c r="X81" s="64"/>
      <c r="Y81" s="64"/>
      <c r="Z81" s="64"/>
      <c r="AA81" s="64"/>
      <c r="AB81" s="64"/>
      <c r="AC81" s="64"/>
      <c r="AD81" s="64"/>
      <c r="AE81" s="64"/>
      <c r="AF81" s="64"/>
      <c r="AG81" s="64"/>
      <c r="AH81" s="64"/>
      <c r="AI81" s="64"/>
      <c r="AJ81" s="64"/>
      <c r="AK81" s="64"/>
      <c r="AL81" s="64"/>
      <c r="AM81" s="64"/>
      <c r="AN81" s="64"/>
      <c r="AO81" s="64"/>
      <c r="AP81" s="64"/>
      <c r="AQ81" s="64"/>
      <c r="AR81" s="64"/>
      <c r="AS81" s="64"/>
      <c r="AT81" s="64"/>
      <c r="AU81" s="64"/>
    </row>
    <row r="82" spans="1:47" hidden="1" x14ac:dyDescent="0.2">
      <c r="A82" s="64"/>
      <c r="B82" s="64"/>
      <c r="C82" s="64"/>
      <c r="D82" s="64"/>
      <c r="E82" s="64"/>
      <c r="F82" s="64"/>
      <c r="G82" s="64"/>
      <c r="H82" s="65"/>
      <c r="I82" s="64"/>
      <c r="J82" s="64"/>
      <c r="K82" s="64"/>
      <c r="L82" s="66"/>
      <c r="M82" s="66"/>
      <c r="N82" s="66"/>
      <c r="O82" s="66"/>
      <c r="P82" s="64"/>
      <c r="Q82" s="67"/>
      <c r="R82" s="64"/>
      <c r="S82" s="64"/>
      <c r="T82" s="64"/>
      <c r="U82" s="64"/>
      <c r="V82" s="66"/>
      <c r="W82" s="66"/>
      <c r="X82" s="64"/>
      <c r="Y82" s="64"/>
      <c r="Z82" s="64"/>
      <c r="AA82" s="64"/>
      <c r="AB82" s="64"/>
      <c r="AC82" s="64"/>
      <c r="AD82" s="64"/>
      <c r="AE82" s="64"/>
      <c r="AF82" s="64"/>
      <c r="AG82" s="64"/>
      <c r="AH82" s="64"/>
      <c r="AI82" s="64"/>
      <c r="AJ82" s="64"/>
      <c r="AK82" s="64"/>
      <c r="AL82" s="64"/>
      <c r="AM82" s="64"/>
      <c r="AN82" s="64"/>
      <c r="AO82" s="64"/>
      <c r="AP82" s="64"/>
      <c r="AQ82" s="64"/>
      <c r="AR82" s="64"/>
      <c r="AS82" s="64"/>
      <c r="AT82" s="64"/>
      <c r="AU82" s="64"/>
    </row>
    <row r="83" spans="1:47" hidden="1" x14ac:dyDescent="0.2">
      <c r="A83" s="64"/>
      <c r="B83" s="64"/>
      <c r="C83" s="64"/>
      <c r="D83" s="64"/>
      <c r="E83" s="64"/>
      <c r="F83" s="64"/>
      <c r="G83" s="64"/>
      <c r="H83" s="65"/>
      <c r="I83" s="64"/>
      <c r="J83" s="64"/>
      <c r="K83" s="64"/>
      <c r="L83" s="66"/>
      <c r="M83" s="66"/>
      <c r="N83" s="66"/>
      <c r="O83" s="66"/>
      <c r="P83" s="64"/>
      <c r="Q83" s="67"/>
      <c r="R83" s="64"/>
      <c r="S83" s="64"/>
      <c r="T83" s="64"/>
      <c r="U83" s="64"/>
      <c r="V83" s="66"/>
      <c r="W83" s="66"/>
      <c r="X83" s="64"/>
      <c r="Y83" s="64"/>
      <c r="Z83" s="64"/>
      <c r="AA83" s="64"/>
      <c r="AB83" s="64"/>
      <c r="AC83" s="64"/>
      <c r="AD83" s="64"/>
      <c r="AE83" s="64"/>
      <c r="AF83" s="64"/>
      <c r="AG83" s="64"/>
      <c r="AH83" s="64"/>
      <c r="AI83" s="64"/>
      <c r="AJ83" s="64"/>
      <c r="AK83" s="64"/>
      <c r="AL83" s="64"/>
      <c r="AM83" s="64"/>
      <c r="AN83" s="64"/>
      <c r="AO83" s="64"/>
      <c r="AP83" s="64"/>
      <c r="AQ83" s="64"/>
      <c r="AR83" s="64"/>
      <c r="AS83" s="64"/>
      <c r="AT83" s="64"/>
      <c r="AU83" s="64"/>
    </row>
    <row r="84" spans="1:47" hidden="1" x14ac:dyDescent="0.2">
      <c r="A84" s="64"/>
      <c r="B84" s="64"/>
      <c r="C84" s="64"/>
      <c r="D84" s="64"/>
      <c r="E84" s="64"/>
      <c r="F84" s="64"/>
      <c r="G84" s="64"/>
      <c r="H84" s="65"/>
      <c r="I84" s="64"/>
      <c r="J84" s="64"/>
      <c r="K84" s="64"/>
      <c r="L84" s="66"/>
      <c r="M84" s="66"/>
      <c r="N84" s="66"/>
      <c r="O84" s="66"/>
      <c r="P84" s="64"/>
      <c r="Q84" s="67"/>
      <c r="R84" s="64"/>
      <c r="S84" s="64"/>
      <c r="T84" s="64"/>
      <c r="U84" s="64"/>
      <c r="V84" s="66"/>
      <c r="W84" s="66"/>
      <c r="X84" s="64"/>
      <c r="Y84" s="64"/>
      <c r="Z84" s="64"/>
      <c r="AA84" s="64"/>
      <c r="AB84" s="64"/>
      <c r="AC84" s="64"/>
      <c r="AD84" s="64"/>
      <c r="AE84" s="64"/>
      <c r="AF84" s="64"/>
      <c r="AG84" s="64"/>
      <c r="AH84" s="64"/>
      <c r="AI84" s="64"/>
      <c r="AJ84" s="64"/>
      <c r="AK84" s="64"/>
      <c r="AL84" s="64"/>
      <c r="AM84" s="64"/>
      <c r="AN84" s="64"/>
      <c r="AO84" s="64"/>
      <c r="AP84" s="64"/>
      <c r="AQ84" s="64"/>
      <c r="AR84" s="64"/>
      <c r="AS84" s="64"/>
      <c r="AT84" s="64"/>
      <c r="AU84" s="64"/>
    </row>
    <row r="85" spans="1:47" hidden="1" x14ac:dyDescent="0.2">
      <c r="A85" s="64"/>
      <c r="B85" s="64"/>
      <c r="C85" s="64"/>
      <c r="D85" s="64"/>
      <c r="E85" s="64"/>
      <c r="F85" s="64"/>
      <c r="G85" s="64"/>
      <c r="H85" s="65"/>
      <c r="I85" s="64"/>
      <c r="J85" s="64"/>
      <c r="K85" s="64"/>
      <c r="L85" s="66"/>
      <c r="M85" s="66"/>
      <c r="N85" s="66"/>
      <c r="O85" s="66"/>
      <c r="P85" s="64"/>
      <c r="Q85" s="67"/>
      <c r="R85" s="64"/>
      <c r="S85" s="64"/>
      <c r="T85" s="64"/>
      <c r="U85" s="64"/>
      <c r="V85" s="66"/>
      <c r="W85" s="66"/>
      <c r="X85" s="64"/>
      <c r="Y85" s="64"/>
      <c r="Z85" s="64"/>
      <c r="AA85" s="64"/>
      <c r="AB85" s="64"/>
      <c r="AC85" s="64"/>
      <c r="AD85" s="64"/>
      <c r="AE85" s="64"/>
      <c r="AF85" s="64"/>
      <c r="AG85" s="64"/>
      <c r="AH85" s="64"/>
      <c r="AI85" s="64"/>
      <c r="AJ85" s="64"/>
      <c r="AK85" s="64"/>
      <c r="AL85" s="64"/>
      <c r="AM85" s="64"/>
      <c r="AN85" s="64"/>
      <c r="AO85" s="64"/>
      <c r="AP85" s="64"/>
      <c r="AQ85" s="64"/>
      <c r="AR85" s="64"/>
      <c r="AS85" s="64"/>
      <c r="AT85" s="64"/>
      <c r="AU85" s="64"/>
    </row>
    <row r="86" spans="1:47" hidden="1" x14ac:dyDescent="0.2">
      <c r="A86" s="64"/>
      <c r="B86" s="64"/>
      <c r="C86" s="64"/>
      <c r="D86" s="64"/>
      <c r="E86" s="64"/>
      <c r="F86" s="64"/>
      <c r="G86" s="64"/>
      <c r="H86" s="65"/>
      <c r="I86" s="64"/>
      <c r="J86" s="64"/>
      <c r="K86" s="64"/>
      <c r="L86" s="66"/>
      <c r="M86" s="66"/>
      <c r="N86" s="66"/>
      <c r="O86" s="66"/>
      <c r="P86" s="64"/>
      <c r="Q86" s="67"/>
      <c r="R86" s="64"/>
      <c r="S86" s="64"/>
      <c r="T86" s="64"/>
      <c r="U86" s="64"/>
      <c r="V86" s="66"/>
      <c r="W86" s="66"/>
      <c r="X86" s="64"/>
      <c r="Y86" s="64"/>
      <c r="Z86" s="64"/>
      <c r="AA86" s="64"/>
      <c r="AB86" s="64"/>
      <c r="AC86" s="64"/>
      <c r="AD86" s="64"/>
      <c r="AE86" s="64"/>
      <c r="AF86" s="64"/>
      <c r="AG86" s="64"/>
      <c r="AH86" s="64"/>
      <c r="AI86" s="64"/>
      <c r="AJ86" s="64"/>
      <c r="AK86" s="64"/>
      <c r="AL86" s="64"/>
      <c r="AM86" s="64"/>
      <c r="AN86" s="64"/>
      <c r="AO86" s="64"/>
      <c r="AP86" s="64"/>
      <c r="AQ86" s="64"/>
      <c r="AR86" s="64"/>
      <c r="AS86" s="64"/>
      <c r="AT86" s="64"/>
      <c r="AU86" s="64"/>
    </row>
    <row r="87" spans="1:47" hidden="1" x14ac:dyDescent="0.2">
      <c r="A87" s="64"/>
      <c r="B87" s="64"/>
      <c r="C87" s="64"/>
      <c r="D87" s="64"/>
      <c r="E87" s="64"/>
      <c r="F87" s="64"/>
      <c r="G87" s="64"/>
      <c r="H87" s="65"/>
      <c r="I87" s="64"/>
      <c r="J87" s="64"/>
      <c r="K87" s="64"/>
      <c r="L87" s="66"/>
      <c r="M87" s="66"/>
      <c r="N87" s="66"/>
      <c r="O87" s="66"/>
      <c r="P87" s="64"/>
      <c r="Q87" s="67"/>
      <c r="R87" s="64"/>
      <c r="S87" s="64"/>
      <c r="T87" s="64"/>
      <c r="U87" s="64"/>
      <c r="V87" s="66"/>
      <c r="W87" s="66"/>
      <c r="X87" s="64"/>
      <c r="Y87" s="64"/>
      <c r="Z87" s="64"/>
      <c r="AA87" s="64"/>
      <c r="AB87" s="64"/>
      <c r="AC87" s="64"/>
      <c r="AD87" s="64"/>
      <c r="AE87" s="64"/>
      <c r="AF87" s="64"/>
      <c r="AG87" s="64"/>
      <c r="AH87" s="64"/>
      <c r="AI87" s="64"/>
      <c r="AJ87" s="64"/>
      <c r="AK87" s="64"/>
      <c r="AL87" s="64"/>
      <c r="AM87" s="64"/>
      <c r="AN87" s="64"/>
      <c r="AO87" s="64"/>
      <c r="AP87" s="64"/>
      <c r="AQ87" s="64"/>
      <c r="AR87" s="64"/>
      <c r="AS87" s="64"/>
      <c r="AT87" s="64"/>
      <c r="AU87" s="64"/>
    </row>
    <row r="88" spans="1:47" hidden="1" x14ac:dyDescent="0.2">
      <c r="A88" s="64"/>
      <c r="B88" s="64"/>
      <c r="C88" s="64"/>
      <c r="D88" s="64"/>
      <c r="E88" s="64"/>
      <c r="F88" s="64"/>
      <c r="G88" s="64"/>
      <c r="H88" s="65"/>
      <c r="I88" s="64"/>
      <c r="J88" s="64"/>
      <c r="K88" s="64"/>
      <c r="L88" s="66"/>
      <c r="M88" s="66"/>
      <c r="N88" s="66"/>
      <c r="O88" s="66"/>
      <c r="P88" s="64"/>
      <c r="Q88" s="67"/>
      <c r="R88" s="64"/>
      <c r="S88" s="64"/>
      <c r="T88" s="64"/>
      <c r="U88" s="64"/>
      <c r="V88" s="66"/>
      <c r="W88" s="66"/>
      <c r="X88" s="64"/>
      <c r="Y88" s="64"/>
      <c r="Z88" s="64"/>
      <c r="AA88" s="64"/>
      <c r="AB88" s="64"/>
      <c r="AC88" s="64"/>
      <c r="AD88" s="64"/>
      <c r="AE88" s="64"/>
      <c r="AF88" s="64"/>
      <c r="AG88" s="64"/>
      <c r="AH88" s="64"/>
      <c r="AI88" s="64"/>
      <c r="AJ88" s="64"/>
      <c r="AK88" s="64"/>
      <c r="AL88" s="64"/>
      <c r="AM88" s="64"/>
      <c r="AN88" s="64"/>
      <c r="AO88" s="64"/>
      <c r="AP88" s="64"/>
      <c r="AQ88" s="64"/>
      <c r="AR88" s="64"/>
      <c r="AS88" s="64"/>
      <c r="AT88" s="64"/>
      <c r="AU88" s="64"/>
    </row>
    <row r="89" spans="1:47" hidden="1" x14ac:dyDescent="0.2">
      <c r="A89" s="64"/>
      <c r="B89" s="64"/>
      <c r="C89" s="64"/>
      <c r="D89" s="64"/>
      <c r="E89" s="64"/>
      <c r="F89" s="64"/>
      <c r="G89" s="64"/>
      <c r="H89" s="65"/>
      <c r="I89" s="64"/>
      <c r="J89" s="64"/>
      <c r="K89" s="64"/>
      <c r="L89" s="66"/>
      <c r="M89" s="66"/>
      <c r="N89" s="66"/>
      <c r="O89" s="66"/>
      <c r="P89" s="64"/>
      <c r="Q89" s="67"/>
      <c r="R89" s="64"/>
      <c r="S89" s="64"/>
      <c r="T89" s="64"/>
      <c r="U89" s="64"/>
      <c r="V89" s="66"/>
      <c r="W89" s="66"/>
      <c r="X89" s="64"/>
      <c r="Y89" s="64"/>
      <c r="Z89" s="64"/>
      <c r="AA89" s="64"/>
      <c r="AB89" s="64"/>
      <c r="AC89" s="64"/>
      <c r="AD89" s="64"/>
      <c r="AE89" s="64"/>
      <c r="AF89" s="64"/>
      <c r="AG89" s="64"/>
      <c r="AH89" s="64"/>
      <c r="AI89" s="64"/>
      <c r="AJ89" s="64"/>
      <c r="AK89" s="64"/>
      <c r="AL89" s="64"/>
      <c r="AM89" s="64"/>
      <c r="AN89" s="64"/>
      <c r="AO89" s="64"/>
      <c r="AP89" s="64"/>
      <c r="AQ89" s="64"/>
      <c r="AR89" s="64"/>
      <c r="AS89" s="64"/>
      <c r="AT89" s="64"/>
      <c r="AU89" s="64"/>
    </row>
    <row r="90" spans="1:47" hidden="1" x14ac:dyDescent="0.2">
      <c r="A90" s="64"/>
      <c r="B90" s="64"/>
      <c r="C90" s="64"/>
      <c r="D90" s="64"/>
      <c r="E90" s="64"/>
      <c r="F90" s="64"/>
      <c r="G90" s="64"/>
      <c r="H90" s="65"/>
      <c r="I90" s="64"/>
      <c r="J90" s="64"/>
      <c r="K90" s="64"/>
      <c r="L90" s="66"/>
      <c r="M90" s="66"/>
      <c r="N90" s="66"/>
      <c r="O90" s="66"/>
      <c r="P90" s="64"/>
      <c r="Q90" s="67"/>
      <c r="R90" s="64"/>
      <c r="S90" s="64"/>
      <c r="T90" s="64"/>
      <c r="U90" s="64"/>
      <c r="V90" s="66"/>
      <c r="W90" s="66"/>
      <c r="X90" s="64"/>
      <c r="Y90" s="64"/>
      <c r="Z90" s="64"/>
      <c r="AA90" s="64"/>
      <c r="AB90" s="64"/>
      <c r="AC90" s="64"/>
      <c r="AD90" s="64"/>
      <c r="AE90" s="64"/>
      <c r="AF90" s="64"/>
      <c r="AG90" s="64"/>
      <c r="AH90" s="64"/>
      <c r="AI90" s="64"/>
      <c r="AJ90" s="64"/>
      <c r="AK90" s="64"/>
      <c r="AL90" s="64"/>
      <c r="AM90" s="64"/>
      <c r="AN90" s="64"/>
      <c r="AO90" s="64"/>
      <c r="AP90" s="64"/>
      <c r="AQ90" s="64"/>
      <c r="AR90" s="64"/>
      <c r="AS90" s="64"/>
      <c r="AT90" s="64"/>
      <c r="AU90" s="64"/>
    </row>
    <row r="91" spans="1:47" hidden="1" x14ac:dyDescent="0.2">
      <c r="A91" s="64"/>
      <c r="B91" s="64"/>
      <c r="C91" s="64"/>
      <c r="D91" s="64"/>
      <c r="E91" s="64"/>
      <c r="F91" s="64"/>
      <c r="G91" s="64"/>
      <c r="H91" s="65"/>
      <c r="I91" s="64"/>
      <c r="J91" s="64"/>
      <c r="K91" s="64"/>
      <c r="L91" s="66"/>
      <c r="M91" s="66"/>
      <c r="N91" s="66"/>
      <c r="O91" s="66"/>
      <c r="P91" s="64"/>
      <c r="Q91" s="67"/>
      <c r="R91" s="64"/>
      <c r="S91" s="64"/>
      <c r="T91" s="64"/>
      <c r="U91" s="64"/>
      <c r="V91" s="66"/>
      <c r="W91" s="66"/>
      <c r="X91" s="64"/>
      <c r="Y91" s="64"/>
      <c r="Z91" s="64"/>
      <c r="AA91" s="64"/>
      <c r="AB91" s="64"/>
      <c r="AC91" s="64"/>
      <c r="AD91" s="64"/>
      <c r="AE91" s="64"/>
      <c r="AF91" s="64"/>
      <c r="AG91" s="64"/>
      <c r="AH91" s="64"/>
      <c r="AI91" s="64"/>
      <c r="AJ91" s="64"/>
      <c r="AK91" s="64"/>
      <c r="AL91" s="64"/>
      <c r="AM91" s="64"/>
      <c r="AN91" s="64"/>
      <c r="AO91" s="64"/>
      <c r="AP91" s="64"/>
      <c r="AQ91" s="64"/>
      <c r="AR91" s="64"/>
      <c r="AS91" s="64"/>
      <c r="AT91" s="64"/>
      <c r="AU91" s="64"/>
    </row>
    <row r="92" spans="1:47" hidden="1" x14ac:dyDescent="0.2">
      <c r="A92" s="64"/>
      <c r="B92" s="64"/>
      <c r="C92" s="64"/>
      <c r="D92" s="64"/>
      <c r="E92" s="64"/>
      <c r="F92" s="64"/>
      <c r="G92" s="64"/>
      <c r="H92" s="65"/>
      <c r="I92" s="64"/>
      <c r="J92" s="64"/>
      <c r="K92" s="64"/>
      <c r="L92" s="66"/>
      <c r="M92" s="66"/>
      <c r="N92" s="66"/>
      <c r="O92" s="66"/>
      <c r="P92" s="64"/>
      <c r="Q92" s="67"/>
      <c r="R92" s="64"/>
      <c r="S92" s="64"/>
      <c r="T92" s="64"/>
      <c r="U92" s="64"/>
      <c r="V92" s="66"/>
      <c r="W92" s="66"/>
      <c r="X92" s="64"/>
      <c r="Y92" s="64"/>
      <c r="Z92" s="64"/>
      <c r="AA92" s="64"/>
      <c r="AB92" s="64"/>
      <c r="AC92" s="64"/>
      <c r="AD92" s="64"/>
      <c r="AE92" s="64"/>
      <c r="AF92" s="64"/>
      <c r="AG92" s="64"/>
      <c r="AH92" s="64"/>
      <c r="AI92" s="64"/>
      <c r="AJ92" s="64"/>
      <c r="AK92" s="64"/>
      <c r="AL92" s="64"/>
      <c r="AM92" s="64"/>
      <c r="AN92" s="64"/>
      <c r="AO92" s="64"/>
      <c r="AP92" s="64"/>
      <c r="AQ92" s="64"/>
      <c r="AR92" s="64"/>
      <c r="AS92" s="64"/>
      <c r="AT92" s="64"/>
      <c r="AU92" s="64"/>
    </row>
    <row r="93" spans="1:47" hidden="1" x14ac:dyDescent="0.2">
      <c r="A93" s="64"/>
      <c r="B93" s="64"/>
      <c r="C93" s="64"/>
      <c r="D93" s="64"/>
      <c r="E93" s="64"/>
      <c r="F93" s="64"/>
      <c r="G93" s="64"/>
      <c r="H93" s="65"/>
      <c r="I93" s="64"/>
      <c r="J93" s="64"/>
      <c r="K93" s="64"/>
      <c r="L93" s="66"/>
      <c r="M93" s="66"/>
      <c r="N93" s="66"/>
      <c r="O93" s="66"/>
      <c r="P93" s="64"/>
      <c r="Q93" s="67"/>
      <c r="R93" s="64"/>
      <c r="S93" s="64"/>
      <c r="T93" s="64"/>
      <c r="U93" s="64"/>
      <c r="V93" s="66"/>
      <c r="W93" s="66"/>
      <c r="X93" s="64"/>
      <c r="Y93" s="64"/>
      <c r="Z93" s="64"/>
      <c r="AA93" s="64"/>
      <c r="AB93" s="64"/>
      <c r="AC93" s="64"/>
      <c r="AD93" s="64"/>
      <c r="AE93" s="64"/>
      <c r="AF93" s="64"/>
      <c r="AG93" s="64"/>
      <c r="AH93" s="64"/>
      <c r="AI93" s="64"/>
      <c r="AJ93" s="64"/>
      <c r="AK93" s="64"/>
      <c r="AL93" s="64"/>
      <c r="AM93" s="64"/>
      <c r="AN93" s="64"/>
      <c r="AO93" s="64"/>
      <c r="AP93" s="64"/>
      <c r="AQ93" s="64"/>
      <c r="AR93" s="64"/>
      <c r="AS93" s="64"/>
      <c r="AT93" s="64"/>
      <c r="AU93" s="64"/>
    </row>
    <row r="94" spans="1:47" hidden="1" x14ac:dyDescent="0.2">
      <c r="A94" s="64"/>
      <c r="B94" s="64"/>
      <c r="C94" s="64"/>
      <c r="D94" s="64"/>
      <c r="E94" s="64"/>
      <c r="F94" s="64"/>
      <c r="G94" s="64"/>
      <c r="H94" s="65"/>
      <c r="I94" s="64"/>
      <c r="J94" s="64"/>
      <c r="K94" s="64"/>
      <c r="L94" s="66"/>
      <c r="M94" s="66"/>
      <c r="N94" s="66"/>
      <c r="O94" s="66"/>
      <c r="P94" s="64"/>
      <c r="Q94" s="67"/>
      <c r="R94" s="64"/>
      <c r="S94" s="64"/>
      <c r="T94" s="64"/>
      <c r="U94" s="64"/>
      <c r="V94" s="66"/>
      <c r="W94" s="66"/>
      <c r="X94" s="64"/>
      <c r="Y94" s="64"/>
      <c r="Z94" s="64"/>
      <c r="AA94" s="64"/>
      <c r="AB94" s="64"/>
      <c r="AC94" s="64"/>
      <c r="AD94" s="64"/>
      <c r="AE94" s="64"/>
      <c r="AF94" s="64"/>
      <c r="AG94" s="64"/>
      <c r="AH94" s="64"/>
      <c r="AI94" s="64"/>
      <c r="AJ94" s="64"/>
      <c r="AK94" s="64"/>
      <c r="AL94" s="64"/>
      <c r="AM94" s="64"/>
      <c r="AN94" s="64"/>
      <c r="AO94" s="64"/>
      <c r="AP94" s="64"/>
      <c r="AQ94" s="64"/>
      <c r="AR94" s="64"/>
      <c r="AS94" s="64"/>
      <c r="AT94" s="64"/>
      <c r="AU94" s="64"/>
    </row>
    <row r="95" spans="1:47" hidden="1" x14ac:dyDescent="0.2">
      <c r="A95" s="64"/>
      <c r="B95" s="64"/>
      <c r="C95" s="64"/>
      <c r="D95" s="64"/>
      <c r="E95" s="64"/>
      <c r="F95" s="64"/>
      <c r="G95" s="64"/>
      <c r="H95" s="65"/>
      <c r="I95" s="64"/>
      <c r="J95" s="64"/>
      <c r="K95" s="64"/>
      <c r="L95" s="66"/>
      <c r="M95" s="66"/>
      <c r="N95" s="66"/>
      <c r="O95" s="66"/>
      <c r="P95" s="64"/>
      <c r="Q95" s="67"/>
      <c r="R95" s="64"/>
      <c r="S95" s="64"/>
      <c r="T95" s="64"/>
      <c r="U95" s="64"/>
      <c r="V95" s="66"/>
      <c r="W95" s="66"/>
      <c r="X95" s="64"/>
      <c r="Y95" s="64"/>
      <c r="Z95" s="64"/>
      <c r="AA95" s="64"/>
      <c r="AB95" s="64"/>
      <c r="AC95" s="64"/>
      <c r="AD95" s="64"/>
      <c r="AE95" s="64"/>
      <c r="AF95" s="64"/>
      <c r="AG95" s="64"/>
      <c r="AH95" s="64"/>
      <c r="AI95" s="64"/>
      <c r="AJ95" s="64"/>
      <c r="AK95" s="64"/>
      <c r="AL95" s="64"/>
      <c r="AM95" s="64"/>
      <c r="AN95" s="64"/>
      <c r="AO95" s="64"/>
      <c r="AP95" s="64"/>
      <c r="AQ95" s="64"/>
      <c r="AR95" s="64"/>
      <c r="AS95" s="64"/>
      <c r="AT95" s="64"/>
      <c r="AU95" s="64"/>
    </row>
    <row r="96" spans="1:47" hidden="1" x14ac:dyDescent="0.2">
      <c r="A96" s="64"/>
      <c r="B96" s="64"/>
      <c r="C96" s="64"/>
      <c r="D96" s="64"/>
      <c r="E96" s="64"/>
      <c r="F96" s="64"/>
      <c r="G96" s="64"/>
      <c r="H96" s="65"/>
      <c r="I96" s="64"/>
      <c r="J96" s="64"/>
      <c r="K96" s="64"/>
      <c r="L96" s="66"/>
      <c r="M96" s="66"/>
      <c r="N96" s="66"/>
      <c r="O96" s="66"/>
      <c r="P96" s="64"/>
      <c r="Q96" s="67"/>
      <c r="R96" s="64"/>
      <c r="S96" s="64"/>
      <c r="T96" s="64"/>
      <c r="U96" s="64"/>
      <c r="V96" s="66"/>
      <c r="W96" s="66"/>
      <c r="X96" s="64"/>
      <c r="Y96" s="64"/>
      <c r="Z96" s="64"/>
      <c r="AA96" s="64"/>
      <c r="AB96" s="64"/>
      <c r="AC96" s="64"/>
      <c r="AD96" s="64"/>
      <c r="AE96" s="64"/>
      <c r="AF96" s="64"/>
      <c r="AG96" s="64"/>
      <c r="AH96" s="64"/>
      <c r="AI96" s="64"/>
      <c r="AJ96" s="64"/>
      <c r="AK96" s="64"/>
      <c r="AL96" s="64"/>
      <c r="AM96" s="64"/>
      <c r="AN96" s="64"/>
      <c r="AO96" s="64"/>
      <c r="AP96" s="64"/>
      <c r="AQ96" s="64"/>
      <c r="AR96" s="64"/>
      <c r="AS96" s="64"/>
      <c r="AT96" s="64"/>
      <c r="AU96" s="64"/>
    </row>
    <row r="97" spans="1:47" hidden="1" x14ac:dyDescent="0.2">
      <c r="A97" s="64"/>
      <c r="B97" s="64"/>
      <c r="C97" s="64"/>
      <c r="D97" s="64"/>
      <c r="E97" s="64"/>
      <c r="F97" s="64"/>
      <c r="G97" s="64"/>
      <c r="H97" s="65"/>
      <c r="I97" s="64"/>
      <c r="J97" s="64"/>
      <c r="K97" s="64"/>
      <c r="L97" s="66"/>
      <c r="M97" s="66"/>
      <c r="N97" s="66"/>
      <c r="O97" s="66"/>
      <c r="P97" s="64"/>
      <c r="Q97" s="67"/>
      <c r="R97" s="64"/>
      <c r="S97" s="64"/>
      <c r="T97" s="64"/>
      <c r="U97" s="64"/>
      <c r="V97" s="66"/>
      <c r="W97" s="66"/>
      <c r="X97" s="64"/>
      <c r="Y97" s="64"/>
      <c r="Z97" s="64"/>
      <c r="AA97" s="64"/>
      <c r="AB97" s="64"/>
      <c r="AC97" s="64"/>
      <c r="AD97" s="64"/>
      <c r="AE97" s="64"/>
      <c r="AF97" s="64"/>
      <c r="AG97" s="64"/>
      <c r="AH97" s="64"/>
      <c r="AI97" s="64"/>
      <c r="AJ97" s="64"/>
      <c r="AK97" s="64"/>
      <c r="AL97" s="64"/>
      <c r="AM97" s="64"/>
      <c r="AN97" s="64"/>
      <c r="AO97" s="64"/>
      <c r="AP97" s="64"/>
      <c r="AQ97" s="64"/>
      <c r="AR97" s="64"/>
      <c r="AS97" s="64"/>
      <c r="AT97" s="64"/>
      <c r="AU97" s="64"/>
    </row>
    <row r="98" spans="1:47" hidden="1" x14ac:dyDescent="0.2">
      <c r="A98" s="64"/>
      <c r="B98" s="64"/>
      <c r="C98" s="64"/>
      <c r="D98" s="64"/>
      <c r="E98" s="64"/>
      <c r="F98" s="64"/>
      <c r="G98" s="64"/>
      <c r="H98" s="65"/>
      <c r="I98" s="64"/>
      <c r="J98" s="64"/>
      <c r="K98" s="64"/>
      <c r="L98" s="66"/>
      <c r="M98" s="66"/>
      <c r="N98" s="66"/>
      <c r="O98" s="66"/>
      <c r="P98" s="64"/>
      <c r="Q98" s="67"/>
      <c r="R98" s="64"/>
      <c r="S98" s="64"/>
      <c r="T98" s="64"/>
      <c r="U98" s="64"/>
      <c r="V98" s="66"/>
      <c r="W98" s="66"/>
      <c r="X98" s="64"/>
      <c r="Y98" s="64"/>
      <c r="Z98" s="64"/>
      <c r="AA98" s="64"/>
      <c r="AB98" s="64"/>
      <c r="AC98" s="64"/>
      <c r="AD98" s="64"/>
      <c r="AE98" s="64"/>
      <c r="AF98" s="64"/>
      <c r="AG98" s="64"/>
      <c r="AH98" s="64"/>
      <c r="AI98" s="64"/>
      <c r="AJ98" s="64"/>
      <c r="AK98" s="64"/>
      <c r="AL98" s="64"/>
      <c r="AM98" s="64"/>
      <c r="AN98" s="64"/>
      <c r="AO98" s="64"/>
      <c r="AP98" s="64"/>
      <c r="AQ98" s="64"/>
      <c r="AR98" s="64"/>
      <c r="AS98" s="64"/>
      <c r="AT98" s="64"/>
      <c r="AU98" s="64"/>
    </row>
    <row r="99" spans="1:47" hidden="1" x14ac:dyDescent="0.2">
      <c r="A99" s="64"/>
      <c r="B99" s="64"/>
      <c r="C99" s="64"/>
      <c r="D99" s="64"/>
      <c r="E99" s="64"/>
      <c r="F99" s="64"/>
      <c r="G99" s="64"/>
      <c r="H99" s="65"/>
      <c r="I99" s="64"/>
      <c r="J99" s="64"/>
      <c r="K99" s="64"/>
      <c r="L99" s="66"/>
      <c r="M99" s="66"/>
      <c r="N99" s="66"/>
      <c r="O99" s="66"/>
      <c r="P99" s="64"/>
      <c r="Q99" s="67"/>
      <c r="R99" s="64"/>
      <c r="S99" s="64"/>
      <c r="T99" s="64"/>
      <c r="U99" s="64"/>
      <c r="V99" s="66"/>
      <c r="W99" s="66"/>
      <c r="X99" s="64"/>
      <c r="Y99" s="64"/>
      <c r="Z99" s="64"/>
      <c r="AA99" s="64"/>
      <c r="AB99" s="64"/>
      <c r="AC99" s="64"/>
      <c r="AD99" s="64"/>
      <c r="AE99" s="64"/>
      <c r="AF99" s="64"/>
      <c r="AG99" s="64"/>
      <c r="AH99" s="64"/>
      <c r="AI99" s="64"/>
      <c r="AJ99" s="64"/>
      <c r="AK99" s="64"/>
      <c r="AL99" s="64"/>
      <c r="AM99" s="64"/>
      <c r="AN99" s="64"/>
      <c r="AO99" s="64"/>
      <c r="AP99" s="64"/>
      <c r="AQ99" s="64"/>
      <c r="AR99" s="64"/>
      <c r="AS99" s="64"/>
      <c r="AT99" s="64"/>
      <c r="AU99" s="64"/>
    </row>
    <row r="100" spans="1:47" hidden="1" x14ac:dyDescent="0.2">
      <c r="A100" s="64"/>
      <c r="B100" s="64"/>
      <c r="C100" s="64"/>
      <c r="D100" s="64"/>
      <c r="E100" s="64"/>
      <c r="F100" s="64"/>
      <c r="G100" s="64"/>
      <c r="H100" s="65"/>
      <c r="I100" s="64"/>
      <c r="J100" s="64"/>
      <c r="K100" s="64"/>
      <c r="L100" s="66"/>
      <c r="M100" s="66"/>
      <c r="N100" s="66"/>
      <c r="O100" s="66"/>
      <c r="P100" s="64"/>
      <c r="Q100" s="67"/>
      <c r="R100" s="64"/>
      <c r="S100" s="64"/>
      <c r="T100" s="64"/>
      <c r="U100" s="64"/>
      <c r="V100" s="66"/>
      <c r="W100" s="66"/>
      <c r="X100" s="64"/>
      <c r="Y100" s="64"/>
      <c r="Z100" s="64"/>
      <c r="AA100" s="64"/>
      <c r="AB100" s="64"/>
      <c r="AC100" s="64"/>
      <c r="AD100" s="64"/>
      <c r="AE100" s="64"/>
      <c r="AF100" s="64"/>
      <c r="AG100" s="64"/>
      <c r="AH100" s="64"/>
      <c r="AI100" s="64"/>
      <c r="AJ100" s="64"/>
      <c r="AK100" s="64"/>
      <c r="AL100" s="64"/>
      <c r="AM100" s="64"/>
      <c r="AN100" s="64"/>
      <c r="AO100" s="64"/>
      <c r="AP100" s="64"/>
      <c r="AQ100" s="64"/>
      <c r="AR100" s="64"/>
      <c r="AS100" s="64"/>
      <c r="AT100" s="64"/>
      <c r="AU100" s="64"/>
    </row>
    <row r="101" spans="1:47" hidden="1" x14ac:dyDescent="0.2">
      <c r="A101" s="64"/>
      <c r="B101" s="64"/>
      <c r="C101" s="64"/>
      <c r="D101" s="64"/>
      <c r="E101" s="64"/>
      <c r="F101" s="64"/>
      <c r="G101" s="64"/>
      <c r="H101" s="65"/>
      <c r="I101" s="64"/>
      <c r="J101" s="64"/>
      <c r="K101" s="64"/>
      <c r="L101" s="66"/>
      <c r="M101" s="66"/>
      <c r="N101" s="66"/>
      <c r="O101" s="66"/>
      <c r="P101" s="64"/>
      <c r="Q101" s="67"/>
      <c r="R101" s="64"/>
      <c r="S101" s="64"/>
      <c r="T101" s="64"/>
      <c r="U101" s="64"/>
      <c r="V101" s="66"/>
      <c r="W101" s="66"/>
      <c r="X101" s="64"/>
      <c r="Y101" s="64"/>
      <c r="Z101" s="64"/>
      <c r="AA101" s="64"/>
      <c r="AB101" s="64"/>
      <c r="AC101" s="64"/>
      <c r="AD101" s="64"/>
      <c r="AE101" s="64"/>
      <c r="AF101" s="64"/>
      <c r="AG101" s="64"/>
      <c r="AH101" s="64"/>
      <c r="AI101" s="64"/>
      <c r="AJ101" s="64"/>
      <c r="AK101" s="64"/>
      <c r="AL101" s="64"/>
      <c r="AM101" s="64"/>
      <c r="AN101" s="64"/>
      <c r="AO101" s="64"/>
      <c r="AP101" s="64"/>
      <c r="AQ101" s="64"/>
      <c r="AR101" s="64"/>
      <c r="AS101" s="64"/>
      <c r="AT101" s="64"/>
      <c r="AU101" s="64"/>
    </row>
    <row r="102" spans="1:47" hidden="1" x14ac:dyDescent="0.2">
      <c r="A102" s="64"/>
      <c r="B102" s="64"/>
      <c r="C102" s="64"/>
      <c r="D102" s="64"/>
      <c r="E102" s="64"/>
      <c r="F102" s="64"/>
      <c r="G102" s="64"/>
      <c r="H102" s="65"/>
      <c r="I102" s="64"/>
      <c r="J102" s="64"/>
      <c r="K102" s="64"/>
      <c r="L102" s="66"/>
      <c r="M102" s="66"/>
      <c r="N102" s="66"/>
      <c r="O102" s="66"/>
      <c r="P102" s="64"/>
      <c r="Q102" s="67"/>
      <c r="R102" s="64"/>
      <c r="S102" s="64"/>
      <c r="T102" s="64"/>
      <c r="U102" s="64"/>
      <c r="V102" s="66"/>
      <c r="W102" s="66"/>
      <c r="X102" s="64"/>
      <c r="Y102" s="64"/>
      <c r="Z102" s="64"/>
      <c r="AA102" s="64"/>
      <c r="AB102" s="64"/>
      <c r="AC102" s="64"/>
      <c r="AD102" s="64"/>
      <c r="AE102" s="64"/>
      <c r="AF102" s="64"/>
      <c r="AG102" s="64"/>
      <c r="AH102" s="64"/>
      <c r="AI102" s="64"/>
      <c r="AJ102" s="64"/>
      <c r="AK102" s="64"/>
      <c r="AL102" s="64"/>
      <c r="AM102" s="64"/>
      <c r="AN102" s="64"/>
      <c r="AO102" s="64"/>
      <c r="AP102" s="64"/>
      <c r="AQ102" s="64"/>
      <c r="AR102" s="64"/>
      <c r="AS102" s="64"/>
      <c r="AT102" s="64"/>
      <c r="AU102" s="64"/>
    </row>
    <row r="103" spans="1:47" hidden="1" x14ac:dyDescent="0.2">
      <c r="A103" s="64"/>
      <c r="B103" s="64"/>
      <c r="C103" s="64"/>
      <c r="D103" s="64"/>
      <c r="E103" s="64"/>
      <c r="F103" s="64"/>
      <c r="G103" s="64"/>
      <c r="H103" s="65"/>
      <c r="I103" s="64"/>
      <c r="J103" s="64"/>
      <c r="K103" s="64"/>
      <c r="L103" s="66"/>
      <c r="M103" s="66"/>
      <c r="N103" s="66"/>
      <c r="O103" s="66"/>
      <c r="P103" s="64"/>
      <c r="Q103" s="67"/>
      <c r="R103" s="64"/>
      <c r="S103" s="64"/>
      <c r="T103" s="64"/>
      <c r="U103" s="64"/>
      <c r="V103" s="66"/>
      <c r="W103" s="66"/>
      <c r="X103" s="64"/>
      <c r="Y103" s="64"/>
      <c r="Z103" s="64"/>
      <c r="AA103" s="64"/>
      <c r="AB103" s="64"/>
      <c r="AC103" s="64"/>
      <c r="AD103" s="64"/>
      <c r="AE103" s="64"/>
      <c r="AF103" s="64"/>
      <c r="AG103" s="64"/>
      <c r="AH103" s="64"/>
      <c r="AI103" s="64"/>
      <c r="AJ103" s="64"/>
      <c r="AK103" s="64"/>
      <c r="AL103" s="64"/>
      <c r="AM103" s="64"/>
      <c r="AN103" s="64"/>
      <c r="AO103" s="64"/>
      <c r="AP103" s="64"/>
      <c r="AQ103" s="64"/>
      <c r="AR103" s="64"/>
      <c r="AS103" s="64"/>
      <c r="AT103" s="64"/>
      <c r="AU103" s="64"/>
    </row>
    <row r="104" spans="1:47" hidden="1" x14ac:dyDescent="0.2">
      <c r="A104" s="64"/>
      <c r="B104" s="64"/>
      <c r="C104" s="64"/>
      <c r="D104" s="64"/>
      <c r="E104" s="64"/>
      <c r="F104" s="64"/>
      <c r="G104" s="64"/>
      <c r="H104" s="65"/>
      <c r="I104" s="64"/>
      <c r="J104" s="64"/>
      <c r="K104" s="64"/>
      <c r="L104" s="66"/>
      <c r="M104" s="66"/>
      <c r="N104" s="66"/>
      <c r="O104" s="66"/>
      <c r="P104" s="64"/>
      <c r="Q104" s="67"/>
      <c r="R104" s="64"/>
      <c r="S104" s="64"/>
      <c r="T104" s="64"/>
      <c r="U104" s="64"/>
      <c r="V104" s="66"/>
      <c r="W104" s="66"/>
      <c r="X104" s="64"/>
      <c r="Y104" s="64"/>
      <c r="Z104" s="64"/>
      <c r="AA104" s="64"/>
      <c r="AB104" s="64"/>
      <c r="AC104" s="64"/>
      <c r="AD104" s="64"/>
      <c r="AE104" s="64"/>
      <c r="AF104" s="64"/>
      <c r="AG104" s="64"/>
      <c r="AH104" s="64"/>
      <c r="AI104" s="64"/>
      <c r="AJ104" s="64"/>
      <c r="AK104" s="64"/>
      <c r="AL104" s="64"/>
      <c r="AM104" s="64"/>
      <c r="AN104" s="64"/>
      <c r="AO104" s="64"/>
      <c r="AP104" s="64"/>
      <c r="AQ104" s="64"/>
      <c r="AR104" s="64"/>
      <c r="AS104" s="64"/>
      <c r="AT104" s="64"/>
      <c r="AU104" s="64"/>
    </row>
    <row r="105" spans="1:47" hidden="1" x14ac:dyDescent="0.2">
      <c r="A105" s="64"/>
      <c r="B105" s="64"/>
      <c r="C105" s="64"/>
      <c r="D105" s="64"/>
      <c r="E105" s="64"/>
      <c r="F105" s="64"/>
      <c r="G105" s="64"/>
      <c r="H105" s="65"/>
      <c r="I105" s="64"/>
      <c r="J105" s="64"/>
      <c r="K105" s="64"/>
      <c r="L105" s="66"/>
      <c r="M105" s="66"/>
      <c r="N105" s="66"/>
      <c r="O105" s="66"/>
      <c r="P105" s="64"/>
      <c r="Q105" s="67"/>
      <c r="R105" s="64"/>
      <c r="S105" s="64"/>
      <c r="T105" s="64"/>
      <c r="U105" s="64"/>
      <c r="V105" s="66"/>
      <c r="W105" s="66"/>
      <c r="X105" s="64"/>
      <c r="Y105" s="64"/>
      <c r="Z105" s="64"/>
      <c r="AA105" s="64"/>
      <c r="AB105" s="64"/>
      <c r="AC105" s="64"/>
      <c r="AD105" s="64"/>
      <c r="AE105" s="64"/>
      <c r="AF105" s="64"/>
      <c r="AG105" s="64"/>
      <c r="AH105" s="64"/>
      <c r="AI105" s="64"/>
      <c r="AJ105" s="64"/>
      <c r="AK105" s="64"/>
      <c r="AL105" s="64"/>
      <c r="AM105" s="64"/>
      <c r="AN105" s="64"/>
      <c r="AO105" s="64"/>
      <c r="AP105" s="64"/>
      <c r="AQ105" s="64"/>
      <c r="AR105" s="64"/>
      <c r="AS105" s="64"/>
      <c r="AT105" s="64"/>
      <c r="AU105" s="64"/>
    </row>
    <row r="106" spans="1:47" hidden="1" x14ac:dyDescent="0.2">
      <c r="A106" s="64"/>
      <c r="B106" s="64"/>
      <c r="C106" s="64"/>
      <c r="D106" s="64"/>
      <c r="E106" s="64"/>
      <c r="F106" s="64"/>
      <c r="G106" s="64"/>
      <c r="H106" s="65"/>
      <c r="I106" s="64"/>
      <c r="J106" s="64"/>
      <c r="K106" s="64"/>
      <c r="L106" s="66"/>
      <c r="M106" s="66"/>
      <c r="N106" s="66"/>
      <c r="O106" s="66"/>
      <c r="P106" s="64"/>
      <c r="Q106" s="67"/>
      <c r="R106" s="64"/>
      <c r="S106" s="64"/>
      <c r="T106" s="64"/>
      <c r="U106" s="64"/>
      <c r="V106" s="66"/>
      <c r="W106" s="66"/>
      <c r="X106" s="64"/>
      <c r="Y106" s="64"/>
      <c r="Z106" s="64"/>
      <c r="AA106" s="64"/>
      <c r="AB106" s="64"/>
      <c r="AC106" s="64"/>
      <c r="AD106" s="64"/>
      <c r="AE106" s="64"/>
      <c r="AF106" s="64"/>
      <c r="AG106" s="64"/>
      <c r="AH106" s="64"/>
      <c r="AI106" s="64"/>
      <c r="AJ106" s="64"/>
      <c r="AK106" s="64"/>
      <c r="AL106" s="64"/>
      <c r="AM106" s="64"/>
      <c r="AN106" s="64"/>
      <c r="AO106" s="64"/>
      <c r="AP106" s="64"/>
      <c r="AQ106" s="64"/>
      <c r="AR106" s="64"/>
      <c r="AS106" s="64"/>
      <c r="AT106" s="64"/>
      <c r="AU106" s="64"/>
    </row>
    <row r="107" spans="1:47" hidden="1" x14ac:dyDescent="0.2">
      <c r="A107" s="64"/>
      <c r="B107" s="64"/>
      <c r="C107" s="64"/>
      <c r="D107" s="64"/>
      <c r="E107" s="64"/>
      <c r="F107" s="64"/>
      <c r="G107" s="64"/>
      <c r="H107" s="65"/>
      <c r="I107" s="64"/>
      <c r="J107" s="64"/>
      <c r="K107" s="64"/>
      <c r="L107" s="66"/>
      <c r="M107" s="66"/>
      <c r="N107" s="66"/>
      <c r="O107" s="66"/>
      <c r="P107" s="64"/>
      <c r="Q107" s="67"/>
      <c r="R107" s="64"/>
      <c r="S107" s="64"/>
      <c r="T107" s="64"/>
      <c r="U107" s="64"/>
      <c r="V107" s="66"/>
      <c r="W107" s="66"/>
      <c r="X107" s="64"/>
      <c r="Y107" s="64"/>
      <c r="Z107" s="64"/>
      <c r="AA107" s="64"/>
      <c r="AB107" s="64"/>
      <c r="AC107" s="64"/>
      <c r="AD107" s="64"/>
      <c r="AE107" s="64"/>
      <c r="AF107" s="64"/>
      <c r="AG107" s="64"/>
      <c r="AH107" s="64"/>
      <c r="AI107" s="64"/>
      <c r="AJ107" s="64"/>
      <c r="AK107" s="64"/>
      <c r="AL107" s="64"/>
      <c r="AM107" s="64"/>
      <c r="AN107" s="64"/>
      <c r="AO107" s="64"/>
      <c r="AP107" s="64"/>
      <c r="AQ107" s="64"/>
      <c r="AR107" s="64"/>
      <c r="AS107" s="64"/>
      <c r="AT107" s="64"/>
      <c r="AU107" s="64"/>
    </row>
    <row r="108" spans="1:47" hidden="1" x14ac:dyDescent="0.2">
      <c r="A108" s="64"/>
      <c r="B108" s="64"/>
      <c r="C108" s="64"/>
      <c r="D108" s="64"/>
      <c r="E108" s="64"/>
      <c r="F108" s="64"/>
      <c r="G108" s="64"/>
      <c r="H108" s="65"/>
      <c r="I108" s="64"/>
      <c r="J108" s="64"/>
      <c r="K108" s="64"/>
      <c r="L108" s="66"/>
      <c r="M108" s="66"/>
      <c r="N108" s="66"/>
      <c r="O108" s="66"/>
      <c r="P108" s="64"/>
      <c r="Q108" s="67"/>
      <c r="R108" s="64"/>
      <c r="S108" s="64"/>
      <c r="T108" s="64"/>
      <c r="U108" s="64"/>
      <c r="V108" s="66"/>
      <c r="W108" s="66"/>
      <c r="X108" s="64"/>
      <c r="Y108" s="64"/>
      <c r="Z108" s="64"/>
      <c r="AA108" s="64"/>
      <c r="AB108" s="64"/>
      <c r="AC108" s="64"/>
      <c r="AD108" s="64"/>
      <c r="AE108" s="64"/>
      <c r="AF108" s="64"/>
      <c r="AG108" s="64"/>
      <c r="AH108" s="64"/>
      <c r="AI108" s="64"/>
      <c r="AJ108" s="64"/>
      <c r="AK108" s="64"/>
      <c r="AL108" s="64"/>
      <c r="AM108" s="64"/>
      <c r="AN108" s="64"/>
      <c r="AO108" s="64"/>
      <c r="AP108" s="64"/>
      <c r="AQ108" s="64"/>
      <c r="AR108" s="64"/>
      <c r="AS108" s="64"/>
      <c r="AT108" s="64"/>
      <c r="AU108" s="64"/>
    </row>
    <row r="109" spans="1:47" hidden="1" x14ac:dyDescent="0.2">
      <c r="A109" s="64"/>
      <c r="B109" s="64"/>
      <c r="C109" s="64"/>
      <c r="D109" s="64"/>
      <c r="E109" s="64"/>
      <c r="F109" s="64"/>
      <c r="G109" s="64"/>
      <c r="H109" s="65"/>
      <c r="I109" s="64"/>
      <c r="J109" s="64"/>
      <c r="K109" s="64"/>
      <c r="L109" s="66"/>
      <c r="M109" s="66"/>
      <c r="N109" s="66"/>
      <c r="O109" s="66"/>
      <c r="P109" s="64"/>
      <c r="Q109" s="67"/>
      <c r="R109" s="64"/>
      <c r="S109" s="64"/>
      <c r="T109" s="64"/>
      <c r="U109" s="64"/>
      <c r="V109" s="66"/>
      <c r="W109" s="66"/>
      <c r="X109" s="64"/>
      <c r="Y109" s="64"/>
      <c r="Z109" s="64"/>
      <c r="AA109" s="64"/>
      <c r="AB109" s="64"/>
      <c r="AC109" s="64"/>
      <c r="AD109" s="64"/>
      <c r="AE109" s="64"/>
      <c r="AF109" s="64"/>
      <c r="AG109" s="64"/>
      <c r="AH109" s="64"/>
      <c r="AI109" s="64"/>
      <c r="AJ109" s="64"/>
      <c r="AK109" s="64"/>
      <c r="AL109" s="64"/>
      <c r="AM109" s="64"/>
      <c r="AN109" s="64"/>
      <c r="AO109" s="64"/>
      <c r="AP109" s="64"/>
      <c r="AQ109" s="64"/>
      <c r="AR109" s="64"/>
      <c r="AS109" s="64"/>
      <c r="AT109" s="64"/>
      <c r="AU109" s="64"/>
    </row>
    <row r="110" spans="1:47" hidden="1" x14ac:dyDescent="0.2">
      <c r="A110" s="64"/>
      <c r="B110" s="64"/>
      <c r="C110" s="64"/>
      <c r="D110" s="64"/>
      <c r="E110" s="64"/>
      <c r="F110" s="64"/>
      <c r="G110" s="64"/>
      <c r="H110" s="65"/>
      <c r="I110" s="64"/>
      <c r="J110" s="64"/>
      <c r="K110" s="64"/>
      <c r="L110" s="66"/>
      <c r="M110" s="66"/>
      <c r="N110" s="66"/>
      <c r="O110" s="66"/>
      <c r="P110" s="64"/>
      <c r="Q110" s="67"/>
      <c r="R110" s="64"/>
      <c r="S110" s="64"/>
      <c r="T110" s="64"/>
      <c r="U110" s="64"/>
      <c r="V110" s="66"/>
      <c r="W110" s="66"/>
      <c r="X110" s="64"/>
      <c r="Y110" s="64"/>
      <c r="Z110" s="64"/>
      <c r="AA110" s="64"/>
      <c r="AB110" s="64"/>
      <c r="AC110" s="64"/>
      <c r="AD110" s="64"/>
      <c r="AE110" s="64"/>
      <c r="AF110" s="64"/>
      <c r="AG110" s="64"/>
      <c r="AH110" s="64"/>
      <c r="AI110" s="64"/>
      <c r="AJ110" s="64"/>
      <c r="AK110" s="64"/>
      <c r="AL110" s="64"/>
      <c r="AM110" s="64"/>
      <c r="AN110" s="64"/>
      <c r="AO110" s="64"/>
      <c r="AP110" s="64"/>
      <c r="AQ110" s="64"/>
      <c r="AR110" s="64"/>
      <c r="AS110" s="64"/>
      <c r="AT110" s="64"/>
      <c r="AU110" s="64"/>
    </row>
    <row r="111" spans="1:47" hidden="1" x14ac:dyDescent="0.2">
      <c r="A111" s="64"/>
      <c r="B111" s="64"/>
      <c r="C111" s="64"/>
      <c r="D111" s="64"/>
      <c r="E111" s="64"/>
      <c r="F111" s="64"/>
      <c r="G111" s="64"/>
      <c r="H111" s="65"/>
      <c r="I111" s="64"/>
      <c r="J111" s="64"/>
      <c r="K111" s="64"/>
      <c r="L111" s="66"/>
      <c r="M111" s="66"/>
      <c r="N111" s="66"/>
      <c r="O111" s="66"/>
      <c r="P111" s="64"/>
      <c r="Q111" s="67"/>
      <c r="R111" s="64"/>
      <c r="S111" s="64"/>
      <c r="T111" s="64"/>
      <c r="U111" s="64"/>
      <c r="V111" s="66"/>
      <c r="W111" s="66"/>
      <c r="X111" s="64"/>
      <c r="Y111" s="64"/>
      <c r="Z111" s="64"/>
      <c r="AA111" s="64"/>
      <c r="AB111" s="64"/>
      <c r="AC111" s="64"/>
      <c r="AD111" s="64"/>
      <c r="AE111" s="64"/>
      <c r="AF111" s="64"/>
      <c r="AG111" s="64"/>
      <c r="AH111" s="64"/>
      <c r="AI111" s="64"/>
      <c r="AJ111" s="64"/>
      <c r="AK111" s="64"/>
      <c r="AL111" s="64"/>
      <c r="AM111" s="64"/>
      <c r="AN111" s="64"/>
      <c r="AO111" s="64"/>
      <c r="AP111" s="64"/>
      <c r="AQ111" s="64"/>
      <c r="AR111" s="64"/>
      <c r="AS111" s="64"/>
      <c r="AT111" s="64"/>
      <c r="AU111" s="64"/>
    </row>
    <row r="112" spans="1:47" hidden="1" x14ac:dyDescent="0.2">
      <c r="A112" s="64"/>
      <c r="B112" s="64"/>
      <c r="C112" s="64"/>
      <c r="D112" s="64"/>
      <c r="E112" s="64"/>
      <c r="F112" s="64"/>
      <c r="G112" s="64"/>
      <c r="H112" s="65"/>
      <c r="I112" s="64"/>
      <c r="J112" s="64"/>
      <c r="K112" s="64"/>
      <c r="L112" s="66"/>
      <c r="M112" s="66"/>
      <c r="N112" s="66"/>
      <c r="O112" s="66"/>
      <c r="P112" s="64"/>
      <c r="Q112" s="67"/>
      <c r="R112" s="64"/>
      <c r="S112" s="64"/>
      <c r="T112" s="64"/>
      <c r="U112" s="64"/>
      <c r="V112" s="66"/>
      <c r="W112" s="66"/>
      <c r="X112" s="64"/>
      <c r="Y112" s="64"/>
      <c r="Z112" s="64"/>
      <c r="AA112" s="64"/>
      <c r="AB112" s="64"/>
      <c r="AC112" s="64"/>
      <c r="AD112" s="64"/>
      <c r="AE112" s="64"/>
      <c r="AF112" s="64"/>
      <c r="AG112" s="64"/>
      <c r="AH112" s="64"/>
      <c r="AI112" s="64"/>
      <c r="AJ112" s="64"/>
      <c r="AK112" s="64"/>
      <c r="AL112" s="64"/>
      <c r="AM112" s="64"/>
      <c r="AN112" s="64"/>
      <c r="AO112" s="64"/>
      <c r="AP112" s="64"/>
      <c r="AQ112" s="64"/>
      <c r="AR112" s="64"/>
      <c r="AS112" s="64"/>
      <c r="AT112" s="64"/>
      <c r="AU112" s="64"/>
    </row>
    <row r="113" spans="1:47" hidden="1" x14ac:dyDescent="0.2">
      <c r="A113" s="64"/>
      <c r="B113" s="64"/>
      <c r="C113" s="64"/>
      <c r="D113" s="64"/>
      <c r="E113" s="64"/>
      <c r="F113" s="64"/>
      <c r="G113" s="64"/>
      <c r="H113" s="65"/>
      <c r="I113" s="64"/>
      <c r="J113" s="64"/>
      <c r="K113" s="64"/>
      <c r="L113" s="66"/>
      <c r="M113" s="66"/>
      <c r="N113" s="66"/>
      <c r="O113" s="66"/>
      <c r="P113" s="64"/>
      <c r="Q113" s="67"/>
      <c r="R113" s="64"/>
      <c r="S113" s="64"/>
      <c r="T113" s="64"/>
      <c r="U113" s="64"/>
      <c r="V113" s="66"/>
      <c r="W113" s="66"/>
      <c r="X113" s="64"/>
      <c r="Y113" s="64"/>
      <c r="Z113" s="64"/>
      <c r="AA113" s="64"/>
      <c r="AB113" s="64"/>
      <c r="AC113" s="64"/>
      <c r="AD113" s="64"/>
      <c r="AE113" s="64"/>
      <c r="AF113" s="64"/>
      <c r="AG113" s="64"/>
      <c r="AH113" s="64"/>
      <c r="AI113" s="64"/>
      <c r="AJ113" s="64"/>
      <c r="AK113" s="64"/>
      <c r="AL113" s="64"/>
      <c r="AM113" s="64"/>
      <c r="AN113" s="64"/>
      <c r="AO113" s="64"/>
      <c r="AP113" s="64"/>
      <c r="AQ113" s="64"/>
      <c r="AR113" s="64"/>
      <c r="AS113" s="64"/>
      <c r="AT113" s="64"/>
      <c r="AU113" s="64"/>
    </row>
    <row r="114" spans="1:47" hidden="1" x14ac:dyDescent="0.2">
      <c r="A114" s="64"/>
      <c r="B114" s="64"/>
      <c r="C114" s="64"/>
      <c r="D114" s="64"/>
      <c r="E114" s="64"/>
      <c r="F114" s="64"/>
      <c r="G114" s="64"/>
      <c r="H114" s="65"/>
      <c r="I114" s="64"/>
      <c r="J114" s="64"/>
      <c r="K114" s="64"/>
      <c r="L114" s="66"/>
      <c r="M114" s="66"/>
      <c r="N114" s="66"/>
      <c r="O114" s="66"/>
      <c r="P114" s="64"/>
      <c r="Q114" s="67"/>
      <c r="R114" s="64"/>
      <c r="S114" s="64"/>
      <c r="T114" s="64"/>
      <c r="U114" s="64"/>
      <c r="V114" s="66"/>
      <c r="W114" s="66"/>
      <c r="X114" s="64"/>
      <c r="Y114" s="64"/>
      <c r="Z114" s="64"/>
      <c r="AA114" s="64"/>
      <c r="AB114" s="64"/>
      <c r="AC114" s="64"/>
      <c r="AD114" s="64"/>
      <c r="AE114" s="64"/>
      <c r="AF114" s="64"/>
      <c r="AG114" s="64"/>
      <c r="AH114" s="64"/>
      <c r="AI114" s="64"/>
      <c r="AJ114" s="64"/>
      <c r="AK114" s="64"/>
      <c r="AL114" s="64"/>
      <c r="AM114" s="64"/>
      <c r="AN114" s="64"/>
      <c r="AO114" s="64"/>
      <c r="AP114" s="64"/>
      <c r="AQ114" s="64"/>
      <c r="AR114" s="64"/>
      <c r="AS114" s="64"/>
      <c r="AT114" s="64"/>
      <c r="AU114" s="64"/>
    </row>
    <row r="115" spans="1:47" hidden="1" x14ac:dyDescent="0.2">
      <c r="A115" s="64"/>
      <c r="B115" s="64"/>
      <c r="C115" s="64"/>
      <c r="D115" s="64"/>
      <c r="E115" s="64"/>
      <c r="F115" s="64"/>
      <c r="G115" s="64"/>
      <c r="H115" s="65"/>
      <c r="I115" s="64"/>
      <c r="J115" s="64"/>
      <c r="K115" s="64"/>
      <c r="L115" s="66"/>
      <c r="M115" s="66"/>
      <c r="N115" s="66"/>
      <c r="O115" s="66"/>
      <c r="P115" s="64"/>
      <c r="Q115" s="67"/>
      <c r="R115" s="64"/>
      <c r="S115" s="64"/>
      <c r="T115" s="64"/>
      <c r="U115" s="64"/>
      <c r="V115" s="66"/>
      <c r="W115" s="66"/>
      <c r="X115" s="64"/>
      <c r="Y115" s="64"/>
      <c r="Z115" s="64"/>
      <c r="AA115" s="64"/>
      <c r="AB115" s="64"/>
      <c r="AC115" s="64"/>
      <c r="AD115" s="64"/>
      <c r="AE115" s="64"/>
      <c r="AF115" s="64"/>
      <c r="AG115" s="64"/>
      <c r="AH115" s="64"/>
      <c r="AI115" s="64"/>
      <c r="AJ115" s="64"/>
      <c r="AK115" s="64"/>
      <c r="AL115" s="64"/>
      <c r="AM115" s="64"/>
      <c r="AN115" s="64"/>
      <c r="AO115" s="64"/>
      <c r="AP115" s="64"/>
      <c r="AQ115" s="64"/>
      <c r="AR115" s="64"/>
      <c r="AS115" s="64"/>
      <c r="AT115" s="64"/>
      <c r="AU115" s="64"/>
    </row>
    <row r="116" spans="1:47" hidden="1" x14ac:dyDescent="0.2">
      <c r="A116" s="64"/>
      <c r="B116" s="64"/>
      <c r="C116" s="64"/>
      <c r="D116" s="64"/>
      <c r="E116" s="64"/>
      <c r="F116" s="64"/>
      <c r="G116" s="64"/>
      <c r="H116" s="65"/>
      <c r="I116" s="64"/>
      <c r="J116" s="64"/>
      <c r="K116" s="64"/>
      <c r="L116" s="66"/>
      <c r="M116" s="66"/>
      <c r="N116" s="66"/>
      <c r="O116" s="66"/>
      <c r="P116" s="64"/>
      <c r="Q116" s="67"/>
      <c r="R116" s="64"/>
      <c r="S116" s="64"/>
      <c r="T116" s="64"/>
      <c r="U116" s="64"/>
      <c r="V116" s="66"/>
      <c r="W116" s="66"/>
      <c r="X116" s="64"/>
      <c r="Y116" s="64"/>
      <c r="Z116" s="64"/>
      <c r="AA116" s="64"/>
      <c r="AB116" s="64"/>
      <c r="AC116" s="64"/>
      <c r="AD116" s="64"/>
      <c r="AE116" s="64"/>
      <c r="AF116" s="64"/>
      <c r="AG116" s="64"/>
      <c r="AH116" s="64"/>
      <c r="AI116" s="64"/>
      <c r="AJ116" s="64"/>
      <c r="AK116" s="64"/>
      <c r="AL116" s="64"/>
      <c r="AM116" s="64"/>
      <c r="AN116" s="64"/>
      <c r="AO116" s="64"/>
      <c r="AP116" s="64"/>
      <c r="AQ116" s="64"/>
      <c r="AR116" s="64"/>
      <c r="AS116" s="64"/>
      <c r="AT116" s="64"/>
      <c r="AU116" s="64"/>
    </row>
    <row r="117" spans="1:47" hidden="1" x14ac:dyDescent="0.2">
      <c r="A117" s="64"/>
      <c r="B117" s="64"/>
      <c r="C117" s="64"/>
      <c r="D117" s="64"/>
      <c r="E117" s="64"/>
      <c r="F117" s="64"/>
      <c r="G117" s="64"/>
      <c r="H117" s="65"/>
      <c r="I117" s="64"/>
      <c r="J117" s="64"/>
      <c r="K117" s="64"/>
      <c r="L117" s="66"/>
      <c r="M117" s="66"/>
      <c r="N117" s="66"/>
      <c r="O117" s="66"/>
      <c r="P117" s="64"/>
      <c r="Q117" s="67"/>
      <c r="R117" s="64"/>
      <c r="S117" s="64"/>
      <c r="T117" s="64"/>
      <c r="U117" s="64"/>
      <c r="V117" s="66"/>
      <c r="W117" s="66"/>
      <c r="X117" s="64"/>
      <c r="Y117" s="64"/>
      <c r="Z117" s="64"/>
      <c r="AA117" s="64"/>
      <c r="AB117" s="64"/>
      <c r="AC117" s="64"/>
      <c r="AD117" s="64"/>
      <c r="AE117" s="64"/>
      <c r="AF117" s="64"/>
      <c r="AG117" s="64"/>
      <c r="AH117" s="64"/>
      <c r="AI117" s="64"/>
      <c r="AJ117" s="64"/>
      <c r="AK117" s="64"/>
      <c r="AL117" s="64"/>
      <c r="AM117" s="64"/>
      <c r="AN117" s="64"/>
      <c r="AO117" s="64"/>
      <c r="AP117" s="64"/>
      <c r="AQ117" s="64"/>
      <c r="AR117" s="64"/>
      <c r="AS117" s="64"/>
      <c r="AT117" s="64"/>
      <c r="AU117" s="64"/>
    </row>
    <row r="118" spans="1:47" hidden="1" x14ac:dyDescent="0.2">
      <c r="A118" s="64"/>
      <c r="B118" s="64"/>
      <c r="C118" s="64"/>
      <c r="D118" s="64"/>
      <c r="E118" s="64"/>
      <c r="F118" s="64"/>
      <c r="G118" s="64"/>
      <c r="H118" s="65"/>
      <c r="I118" s="64"/>
      <c r="J118" s="64"/>
      <c r="K118" s="64"/>
      <c r="L118" s="66"/>
      <c r="M118" s="66"/>
      <c r="N118" s="66"/>
      <c r="O118" s="66"/>
      <c r="P118" s="64"/>
      <c r="Q118" s="67"/>
      <c r="R118" s="64"/>
      <c r="S118" s="64"/>
      <c r="T118" s="64"/>
      <c r="U118" s="64"/>
      <c r="V118" s="66"/>
      <c r="W118" s="66"/>
      <c r="X118" s="64"/>
      <c r="Y118" s="64"/>
      <c r="Z118" s="64"/>
      <c r="AA118" s="64"/>
      <c r="AB118" s="64"/>
      <c r="AC118" s="64"/>
      <c r="AD118" s="64"/>
      <c r="AE118" s="64"/>
      <c r="AF118" s="64"/>
      <c r="AG118" s="64"/>
      <c r="AH118" s="64"/>
      <c r="AI118" s="64"/>
      <c r="AJ118" s="64"/>
      <c r="AK118" s="64"/>
      <c r="AL118" s="64"/>
      <c r="AM118" s="64"/>
      <c r="AN118" s="64"/>
      <c r="AO118" s="64"/>
      <c r="AP118" s="64"/>
      <c r="AQ118" s="64"/>
      <c r="AR118" s="64"/>
      <c r="AS118" s="64"/>
      <c r="AT118" s="64"/>
      <c r="AU118" s="64"/>
    </row>
    <row r="119" spans="1:47" hidden="1" x14ac:dyDescent="0.2">
      <c r="A119" s="64"/>
      <c r="B119" s="64"/>
      <c r="C119" s="64"/>
      <c r="D119" s="64"/>
      <c r="E119" s="64"/>
      <c r="F119" s="64"/>
      <c r="G119" s="64"/>
      <c r="H119" s="65"/>
      <c r="I119" s="64"/>
      <c r="J119" s="64"/>
      <c r="K119" s="64"/>
      <c r="L119" s="66"/>
      <c r="M119" s="66"/>
      <c r="N119" s="66"/>
      <c r="O119" s="66"/>
      <c r="P119" s="64"/>
      <c r="Q119" s="67"/>
      <c r="R119" s="64"/>
      <c r="S119" s="64"/>
      <c r="T119" s="64"/>
      <c r="U119" s="64"/>
      <c r="V119" s="66"/>
      <c r="W119" s="66"/>
      <c r="X119" s="64"/>
      <c r="Y119" s="64"/>
      <c r="Z119" s="64"/>
      <c r="AA119" s="64"/>
      <c r="AB119" s="64"/>
      <c r="AC119" s="64"/>
      <c r="AD119" s="64"/>
      <c r="AE119" s="64"/>
      <c r="AF119" s="64"/>
      <c r="AG119" s="64"/>
      <c r="AH119" s="64"/>
      <c r="AI119" s="64"/>
      <c r="AJ119" s="64"/>
      <c r="AK119" s="64"/>
      <c r="AL119" s="64"/>
      <c r="AM119" s="64"/>
      <c r="AN119" s="64"/>
      <c r="AO119" s="64"/>
      <c r="AP119" s="64"/>
      <c r="AQ119" s="64"/>
      <c r="AR119" s="64"/>
      <c r="AS119" s="64"/>
      <c r="AT119" s="64"/>
      <c r="AU119" s="64"/>
    </row>
    <row r="120" spans="1:47" hidden="1" x14ac:dyDescent="0.2">
      <c r="A120" s="64"/>
      <c r="B120" s="64"/>
      <c r="C120" s="64"/>
      <c r="D120" s="64"/>
      <c r="E120" s="64"/>
      <c r="F120" s="64"/>
      <c r="G120" s="64"/>
      <c r="H120" s="65"/>
      <c r="I120" s="64"/>
      <c r="J120" s="64"/>
      <c r="K120" s="64"/>
      <c r="L120" s="66"/>
      <c r="M120" s="66"/>
      <c r="N120" s="66"/>
      <c r="O120" s="66"/>
      <c r="P120" s="64"/>
      <c r="Q120" s="67"/>
      <c r="R120" s="64"/>
      <c r="S120" s="64"/>
      <c r="T120" s="64"/>
      <c r="U120" s="64"/>
      <c r="V120" s="66"/>
      <c r="W120" s="66"/>
      <c r="X120" s="64"/>
      <c r="Y120" s="64"/>
      <c r="Z120" s="64"/>
      <c r="AA120" s="64"/>
      <c r="AB120" s="64"/>
      <c r="AC120" s="64"/>
      <c r="AD120" s="64"/>
      <c r="AE120" s="64"/>
      <c r="AF120" s="64"/>
      <c r="AG120" s="64"/>
      <c r="AH120" s="64"/>
      <c r="AI120" s="64"/>
      <c r="AJ120" s="64"/>
      <c r="AK120" s="64"/>
      <c r="AL120" s="64"/>
      <c r="AM120" s="64"/>
      <c r="AN120" s="64"/>
      <c r="AO120" s="64"/>
      <c r="AP120" s="64"/>
      <c r="AQ120" s="64"/>
      <c r="AR120" s="64"/>
      <c r="AS120" s="64"/>
      <c r="AT120" s="64"/>
      <c r="AU120" s="64"/>
    </row>
    <row r="121" spans="1:47" hidden="1" x14ac:dyDescent="0.2">
      <c r="A121" s="64"/>
      <c r="B121" s="64"/>
      <c r="C121" s="64"/>
      <c r="D121" s="64"/>
      <c r="E121" s="64"/>
      <c r="F121" s="64"/>
      <c r="G121" s="64"/>
      <c r="H121" s="65"/>
      <c r="I121" s="64"/>
      <c r="J121" s="64"/>
      <c r="K121" s="64"/>
      <c r="L121" s="66"/>
      <c r="M121" s="66"/>
      <c r="N121" s="66"/>
      <c r="O121" s="66"/>
      <c r="P121" s="64"/>
      <c r="Q121" s="67"/>
      <c r="R121" s="64"/>
      <c r="S121" s="64"/>
      <c r="T121" s="64"/>
      <c r="U121" s="64"/>
      <c r="V121" s="66"/>
      <c r="W121" s="66"/>
      <c r="X121" s="64"/>
      <c r="Y121" s="64"/>
      <c r="Z121" s="64"/>
      <c r="AA121" s="64"/>
      <c r="AB121" s="64"/>
      <c r="AC121" s="64"/>
      <c r="AD121" s="64"/>
      <c r="AE121" s="64"/>
      <c r="AF121" s="64"/>
      <c r="AG121" s="64"/>
      <c r="AH121" s="64"/>
      <c r="AI121" s="64"/>
      <c r="AJ121" s="64"/>
      <c r="AK121" s="64"/>
      <c r="AL121" s="64"/>
      <c r="AM121" s="64"/>
      <c r="AN121" s="64"/>
      <c r="AO121" s="64"/>
      <c r="AP121" s="64"/>
      <c r="AQ121" s="64"/>
      <c r="AR121" s="64"/>
      <c r="AS121" s="64"/>
      <c r="AT121" s="64"/>
      <c r="AU121" s="64"/>
    </row>
    <row r="122" spans="1:47" hidden="1" x14ac:dyDescent="0.2">
      <c r="A122" s="64"/>
      <c r="B122" s="64"/>
      <c r="C122" s="64"/>
      <c r="D122" s="64"/>
      <c r="E122" s="64"/>
      <c r="F122" s="64"/>
      <c r="G122" s="64"/>
      <c r="H122" s="65"/>
      <c r="I122" s="64"/>
      <c r="J122" s="64"/>
      <c r="K122" s="64"/>
      <c r="L122" s="66"/>
      <c r="M122" s="66"/>
      <c r="N122" s="66"/>
      <c r="O122" s="66"/>
      <c r="P122" s="64"/>
      <c r="Q122" s="67"/>
      <c r="R122" s="64"/>
      <c r="S122" s="64"/>
      <c r="T122" s="64"/>
      <c r="U122" s="64"/>
      <c r="V122" s="66"/>
      <c r="W122" s="66"/>
      <c r="X122" s="64"/>
      <c r="Y122" s="64"/>
      <c r="Z122" s="64"/>
      <c r="AA122" s="64"/>
      <c r="AB122" s="64"/>
      <c r="AC122" s="64"/>
      <c r="AD122" s="64"/>
      <c r="AE122" s="64"/>
      <c r="AF122" s="64"/>
      <c r="AG122" s="64"/>
      <c r="AH122" s="64"/>
      <c r="AI122" s="64"/>
      <c r="AJ122" s="64"/>
      <c r="AK122" s="64"/>
      <c r="AL122" s="64"/>
      <c r="AM122" s="64"/>
      <c r="AN122" s="64"/>
      <c r="AO122" s="64"/>
      <c r="AP122" s="64"/>
      <c r="AQ122" s="64"/>
      <c r="AR122" s="64"/>
      <c r="AS122" s="64"/>
      <c r="AT122" s="64"/>
      <c r="AU122" s="64"/>
    </row>
    <row r="123" spans="1:47" hidden="1" x14ac:dyDescent="0.2">
      <c r="A123" s="64"/>
      <c r="B123" s="64"/>
      <c r="C123" s="64"/>
      <c r="D123" s="64"/>
      <c r="E123" s="64"/>
      <c r="F123" s="64"/>
      <c r="G123" s="64"/>
      <c r="H123" s="65"/>
      <c r="I123" s="64"/>
      <c r="J123" s="64"/>
      <c r="K123" s="64"/>
      <c r="L123" s="66"/>
      <c r="M123" s="66"/>
      <c r="N123" s="66"/>
      <c r="O123" s="66"/>
      <c r="P123" s="64"/>
      <c r="Q123" s="67"/>
      <c r="R123" s="64"/>
      <c r="S123" s="64"/>
      <c r="T123" s="64"/>
      <c r="U123" s="64"/>
      <c r="V123" s="66"/>
      <c r="W123" s="66"/>
      <c r="X123" s="64"/>
      <c r="Y123" s="64"/>
      <c r="Z123" s="64"/>
      <c r="AA123" s="64"/>
      <c r="AB123" s="64"/>
      <c r="AC123" s="64"/>
      <c r="AD123" s="64"/>
      <c r="AE123" s="64"/>
      <c r="AF123" s="64"/>
      <c r="AG123" s="64"/>
      <c r="AH123" s="64"/>
      <c r="AI123" s="64"/>
      <c r="AJ123" s="64"/>
      <c r="AK123" s="64"/>
      <c r="AL123" s="64"/>
      <c r="AM123" s="64"/>
      <c r="AN123" s="64"/>
      <c r="AO123" s="64"/>
      <c r="AP123" s="64"/>
      <c r="AQ123" s="64"/>
      <c r="AR123" s="64"/>
      <c r="AS123" s="64"/>
      <c r="AT123" s="64"/>
      <c r="AU123" s="64"/>
    </row>
    <row r="124" spans="1:47" hidden="1" x14ac:dyDescent="0.2">
      <c r="A124" s="64"/>
      <c r="B124" s="64"/>
      <c r="C124" s="64"/>
      <c r="D124" s="64"/>
      <c r="E124" s="64"/>
      <c r="F124" s="64"/>
      <c r="G124" s="64"/>
      <c r="H124" s="65"/>
      <c r="I124" s="64"/>
      <c r="J124" s="64"/>
      <c r="K124" s="64"/>
      <c r="L124" s="66"/>
      <c r="M124" s="66"/>
      <c r="N124" s="66"/>
      <c r="O124" s="66"/>
      <c r="P124" s="64"/>
      <c r="Q124" s="67"/>
      <c r="R124" s="64"/>
      <c r="S124" s="64"/>
      <c r="T124" s="64"/>
      <c r="U124" s="64"/>
      <c r="V124" s="66"/>
      <c r="W124" s="66"/>
      <c r="X124" s="64"/>
      <c r="Y124" s="64"/>
      <c r="Z124" s="64"/>
      <c r="AA124" s="64"/>
      <c r="AB124" s="64"/>
      <c r="AC124" s="64"/>
      <c r="AD124" s="64"/>
      <c r="AE124" s="64"/>
      <c r="AF124" s="64"/>
      <c r="AG124" s="64"/>
      <c r="AH124" s="64"/>
      <c r="AI124" s="64"/>
      <c r="AJ124" s="64"/>
      <c r="AK124" s="64"/>
      <c r="AL124" s="64"/>
      <c r="AM124" s="64"/>
      <c r="AN124" s="64"/>
      <c r="AO124" s="64"/>
      <c r="AP124" s="64"/>
      <c r="AQ124" s="64"/>
      <c r="AR124" s="64"/>
      <c r="AS124" s="64"/>
      <c r="AT124" s="64"/>
      <c r="AU124" s="64"/>
    </row>
    <row r="125" spans="1:47" hidden="1" x14ac:dyDescent="0.2">
      <c r="A125" s="64"/>
      <c r="B125" s="64"/>
      <c r="C125" s="64"/>
      <c r="D125" s="64"/>
      <c r="E125" s="64"/>
      <c r="F125" s="64"/>
      <c r="G125" s="64"/>
      <c r="H125" s="65"/>
      <c r="I125" s="64"/>
      <c r="J125" s="64"/>
      <c r="K125" s="64"/>
      <c r="L125" s="66"/>
      <c r="M125" s="66"/>
      <c r="N125" s="66"/>
      <c r="O125" s="66"/>
      <c r="P125" s="64"/>
      <c r="Q125" s="67"/>
      <c r="R125" s="64"/>
      <c r="S125" s="64"/>
      <c r="T125" s="64"/>
      <c r="U125" s="64"/>
      <c r="V125" s="66"/>
      <c r="W125" s="66"/>
      <c r="X125" s="64"/>
      <c r="Y125" s="64"/>
      <c r="Z125" s="64"/>
      <c r="AA125" s="64"/>
      <c r="AB125" s="64"/>
      <c r="AC125" s="64"/>
      <c r="AD125" s="64"/>
      <c r="AE125" s="64"/>
      <c r="AF125" s="64"/>
      <c r="AG125" s="64"/>
      <c r="AH125" s="64"/>
      <c r="AI125" s="64"/>
      <c r="AJ125" s="64"/>
      <c r="AK125" s="64"/>
      <c r="AL125" s="64"/>
      <c r="AM125" s="64"/>
      <c r="AN125" s="64"/>
      <c r="AO125" s="64"/>
      <c r="AP125" s="64"/>
      <c r="AQ125" s="64"/>
      <c r="AR125" s="64"/>
      <c r="AS125" s="64"/>
      <c r="AT125" s="64"/>
      <c r="AU125" s="64"/>
    </row>
    <row r="126" spans="1:47" hidden="1" x14ac:dyDescent="0.2">
      <c r="A126" s="64"/>
      <c r="B126" s="64"/>
      <c r="C126" s="64"/>
      <c r="D126" s="64"/>
      <c r="E126" s="64"/>
      <c r="F126" s="64"/>
      <c r="G126" s="64"/>
      <c r="H126" s="65"/>
      <c r="I126" s="64"/>
      <c r="J126" s="64"/>
      <c r="K126" s="64"/>
      <c r="L126" s="66"/>
      <c r="M126" s="66"/>
      <c r="N126" s="66"/>
      <c r="O126" s="66"/>
      <c r="P126" s="64"/>
      <c r="Q126" s="67"/>
      <c r="R126" s="64"/>
      <c r="S126" s="64"/>
      <c r="T126" s="64"/>
      <c r="U126" s="64"/>
      <c r="V126" s="66"/>
      <c r="W126" s="66"/>
      <c r="X126" s="64"/>
      <c r="Y126" s="64"/>
      <c r="Z126" s="64"/>
      <c r="AA126" s="64"/>
      <c r="AB126" s="64"/>
      <c r="AC126" s="64"/>
      <c r="AD126" s="64"/>
      <c r="AE126" s="64"/>
      <c r="AF126" s="64"/>
      <c r="AG126" s="64"/>
      <c r="AH126" s="64"/>
      <c r="AI126" s="64"/>
      <c r="AJ126" s="64"/>
      <c r="AK126" s="64"/>
      <c r="AL126" s="64"/>
      <c r="AM126" s="64"/>
      <c r="AN126" s="64"/>
      <c r="AO126" s="64"/>
      <c r="AP126" s="64"/>
      <c r="AQ126" s="64"/>
      <c r="AR126" s="64"/>
      <c r="AS126" s="64"/>
      <c r="AT126" s="64"/>
      <c r="AU126" s="64"/>
    </row>
    <row r="127" spans="1:47" hidden="1" x14ac:dyDescent="0.2">
      <c r="A127" s="64"/>
      <c r="B127" s="64"/>
      <c r="C127" s="64"/>
      <c r="D127" s="64"/>
      <c r="E127" s="64"/>
      <c r="F127" s="64"/>
      <c r="G127" s="64"/>
      <c r="H127" s="65"/>
      <c r="I127" s="64"/>
      <c r="J127" s="64"/>
      <c r="K127" s="64"/>
      <c r="L127" s="66"/>
      <c r="M127" s="66"/>
      <c r="N127" s="66"/>
      <c r="O127" s="66"/>
      <c r="P127" s="64"/>
      <c r="Q127" s="67"/>
      <c r="R127" s="64"/>
      <c r="S127" s="64"/>
      <c r="T127" s="64"/>
      <c r="U127" s="64"/>
      <c r="V127" s="66"/>
      <c r="W127" s="66"/>
      <c r="X127" s="64"/>
      <c r="Y127" s="64"/>
      <c r="Z127" s="64"/>
      <c r="AA127" s="64"/>
      <c r="AB127" s="64"/>
      <c r="AC127" s="64"/>
      <c r="AD127" s="64"/>
      <c r="AE127" s="64"/>
      <c r="AF127" s="64"/>
      <c r="AG127" s="64"/>
      <c r="AH127" s="64"/>
      <c r="AI127" s="64"/>
      <c r="AJ127" s="64"/>
      <c r="AK127" s="64"/>
      <c r="AL127" s="64"/>
      <c r="AM127" s="64"/>
      <c r="AN127" s="64"/>
      <c r="AO127" s="64"/>
      <c r="AP127" s="64"/>
      <c r="AQ127" s="64"/>
      <c r="AR127" s="64"/>
      <c r="AS127" s="64"/>
      <c r="AT127" s="64"/>
      <c r="AU127" s="64"/>
    </row>
    <row r="128" spans="1:47" hidden="1" x14ac:dyDescent="0.2">
      <c r="A128" s="64"/>
      <c r="B128" s="64"/>
      <c r="C128" s="64"/>
      <c r="D128" s="64"/>
      <c r="E128" s="64"/>
      <c r="F128" s="64"/>
      <c r="G128" s="64"/>
      <c r="H128" s="65"/>
      <c r="I128" s="64"/>
      <c r="J128" s="64"/>
      <c r="K128" s="64"/>
      <c r="L128" s="66"/>
      <c r="M128" s="66"/>
      <c r="N128" s="66"/>
      <c r="O128" s="66"/>
      <c r="P128" s="64"/>
      <c r="Q128" s="67"/>
      <c r="R128" s="64"/>
      <c r="S128" s="64"/>
      <c r="T128" s="64"/>
      <c r="U128" s="64"/>
      <c r="V128" s="66"/>
      <c r="W128" s="66"/>
      <c r="X128" s="64"/>
      <c r="Y128" s="64"/>
      <c r="Z128" s="64"/>
      <c r="AA128" s="64"/>
      <c r="AB128" s="64"/>
      <c r="AC128" s="64"/>
      <c r="AD128" s="64"/>
      <c r="AE128" s="64"/>
      <c r="AF128" s="64"/>
      <c r="AG128" s="64"/>
      <c r="AH128" s="64"/>
      <c r="AI128" s="64"/>
      <c r="AJ128" s="64"/>
      <c r="AK128" s="64"/>
      <c r="AL128" s="64"/>
      <c r="AM128" s="64"/>
      <c r="AN128" s="64"/>
      <c r="AO128" s="64"/>
      <c r="AP128" s="64"/>
      <c r="AQ128" s="64"/>
      <c r="AR128" s="64"/>
      <c r="AS128" s="64"/>
      <c r="AT128" s="64"/>
      <c r="AU128" s="64"/>
    </row>
    <row r="129" spans="1:27" hidden="1" x14ac:dyDescent="0.2">
      <c r="A129" s="51"/>
      <c r="B129" s="51"/>
      <c r="C129" s="51"/>
      <c r="D129" s="51"/>
      <c r="E129" s="51"/>
      <c r="F129" s="51"/>
      <c r="G129" s="51"/>
      <c r="H129" s="51"/>
      <c r="I129" s="51"/>
      <c r="J129" s="51"/>
      <c r="K129" s="51"/>
      <c r="L129" s="51"/>
      <c r="M129" s="51"/>
      <c r="N129" s="51"/>
      <c r="O129" s="51"/>
      <c r="P129" s="51"/>
      <c r="Q129" s="69"/>
      <c r="R129" s="51"/>
      <c r="S129" s="51"/>
      <c r="T129" s="51"/>
      <c r="U129" s="51"/>
      <c r="X129" s="51"/>
      <c r="Y129" s="51"/>
      <c r="Z129" s="51"/>
      <c r="AA129" s="51"/>
    </row>
    <row r="130" spans="1:27" hidden="1" x14ac:dyDescent="0.2">
      <c r="A130" s="51"/>
      <c r="B130" s="51"/>
      <c r="C130" s="51"/>
      <c r="D130" s="51"/>
      <c r="E130" s="51"/>
      <c r="F130" s="51"/>
      <c r="G130" s="51"/>
      <c r="H130" s="51"/>
      <c r="I130" s="51"/>
      <c r="J130" s="51"/>
      <c r="K130" s="51"/>
      <c r="L130" s="51"/>
      <c r="M130" s="51"/>
      <c r="N130" s="51"/>
      <c r="O130" s="51"/>
      <c r="P130" s="51"/>
      <c r="Q130" s="69"/>
      <c r="R130" s="51"/>
      <c r="S130" s="51"/>
      <c r="T130" s="51"/>
      <c r="U130" s="51"/>
      <c r="X130" s="51"/>
      <c r="Y130" s="51"/>
      <c r="Z130" s="51"/>
      <c r="AA130" s="51"/>
    </row>
    <row r="131" spans="1:27" hidden="1" x14ac:dyDescent="0.2">
      <c r="A131" s="51"/>
      <c r="B131" s="51"/>
      <c r="C131" s="51"/>
      <c r="D131" s="51"/>
      <c r="E131" s="51"/>
      <c r="F131" s="51"/>
      <c r="G131" s="51"/>
      <c r="H131" s="51"/>
      <c r="I131" s="51"/>
      <c r="J131" s="51"/>
      <c r="K131" s="51"/>
      <c r="L131" s="51"/>
      <c r="M131" s="51"/>
      <c r="N131" s="51"/>
      <c r="O131" s="51"/>
      <c r="P131" s="51"/>
      <c r="Q131" s="69"/>
      <c r="R131" s="51"/>
      <c r="S131" s="51"/>
      <c r="T131" s="51"/>
      <c r="U131" s="51"/>
      <c r="X131" s="51"/>
      <c r="Y131" s="51"/>
      <c r="Z131" s="51"/>
      <c r="AA131" s="51"/>
    </row>
    <row r="132" spans="1:27" hidden="1" x14ac:dyDescent="0.2">
      <c r="A132" s="51"/>
      <c r="B132" s="51"/>
      <c r="C132" s="51"/>
      <c r="D132" s="51"/>
      <c r="E132" s="51"/>
      <c r="F132" s="51"/>
      <c r="G132" s="51"/>
      <c r="H132" s="51"/>
      <c r="I132" s="51"/>
      <c r="J132" s="51"/>
      <c r="K132" s="51"/>
      <c r="L132" s="51"/>
      <c r="M132" s="51"/>
      <c r="N132" s="51"/>
      <c r="O132" s="51"/>
      <c r="P132" s="51"/>
      <c r="Q132" s="69"/>
      <c r="R132" s="51"/>
      <c r="S132" s="51"/>
      <c r="T132" s="51"/>
      <c r="U132" s="51"/>
      <c r="X132" s="51"/>
      <c r="Y132" s="51"/>
      <c r="Z132" s="51"/>
      <c r="AA132" s="51"/>
    </row>
    <row r="133" spans="1:27" hidden="1" x14ac:dyDescent="0.2"/>
    <row r="134" spans="1:27" hidden="1" x14ac:dyDescent="0.2"/>
    <row r="135" spans="1:27" hidden="1" x14ac:dyDescent="0.2"/>
    <row r="136" spans="1:27" x14ac:dyDescent="0.2"/>
    <row r="137" spans="1:27" x14ac:dyDescent="0.2"/>
    <row r="138" spans="1:27" x14ac:dyDescent="0.2"/>
    <row r="139" spans="1:27" x14ac:dyDescent="0.2"/>
    <row r="140" spans="1:27" x14ac:dyDescent="0.2"/>
    <row r="141" spans="1:27" x14ac:dyDescent="0.2"/>
    <row r="142" spans="1:27" x14ac:dyDescent="0.2"/>
    <row r="143" spans="1:27" x14ac:dyDescent="0.2"/>
    <row r="144" spans="1:27" x14ac:dyDescent="0.2"/>
    <row r="145" x14ac:dyDescent="0.2"/>
    <row r="146" x14ac:dyDescent="0.2"/>
    <row r="147" x14ac:dyDescent="0.2"/>
    <row r="148" x14ac:dyDescent="0.2"/>
    <row r="149" x14ac:dyDescent="0.2"/>
    <row r="150" x14ac:dyDescent="0.2"/>
  </sheetData>
  <dataConsolidate/>
  <mergeCells count="1253">
    <mergeCell ref="FO21:FQ21"/>
    <mergeCell ref="GM21:GO21"/>
    <mergeCell ref="U21:Z21"/>
    <mergeCell ref="DO21:DQ21"/>
    <mergeCell ref="DS21:DU21"/>
    <mergeCell ref="DW21:DY21"/>
    <mergeCell ref="EA21:EC21"/>
    <mergeCell ref="EE21:EG21"/>
    <mergeCell ref="EI21:EK21"/>
    <mergeCell ref="AL21:AN21"/>
    <mergeCell ref="AG21:AI21"/>
    <mergeCell ref="AB21:AD21"/>
    <mergeCell ref="EM21:EO21"/>
    <mergeCell ref="EQ21:ES21"/>
    <mergeCell ref="EU21:EW21"/>
    <mergeCell ref="EY21:FA21"/>
    <mergeCell ref="FC21:FE21"/>
    <mergeCell ref="FG21:FI21"/>
    <mergeCell ref="FK21:FM21"/>
    <mergeCell ref="GE21:GG21"/>
    <mergeCell ref="T15:AM15"/>
    <mergeCell ref="T16:AM16"/>
    <mergeCell ref="T17:AM17"/>
    <mergeCell ref="T18:AM18"/>
    <mergeCell ref="T19:AM19"/>
    <mergeCell ref="T20:AM20"/>
    <mergeCell ref="DC23:DE23"/>
    <mergeCell ref="DK23:DM23"/>
    <mergeCell ref="BX12:CL12"/>
    <mergeCell ref="DO23:DQ23"/>
    <mergeCell ref="V46:Z46"/>
    <mergeCell ref="V47:Z47"/>
    <mergeCell ref="V48:Z48"/>
    <mergeCell ref="V49:Z49"/>
    <mergeCell ref="I35:M35"/>
    <mergeCell ref="I36:M36"/>
    <mergeCell ref="I37:M37"/>
    <mergeCell ref="I38:M38"/>
    <mergeCell ref="V32:Z32"/>
    <mergeCell ref="V33:Z33"/>
    <mergeCell ref="V34:Z34"/>
    <mergeCell ref="V35:Z35"/>
    <mergeCell ref="V36:Z36"/>
    <mergeCell ref="V37:Z37"/>
    <mergeCell ref="V38:Z38"/>
    <mergeCell ref="V40:Z40"/>
    <mergeCell ref="V41:Z41"/>
    <mergeCell ref="I32:M32"/>
    <mergeCell ref="P34:U34"/>
    <mergeCell ref="P35:U35"/>
    <mergeCell ref="P36:U36"/>
    <mergeCell ref="C18:P18"/>
    <mergeCell ref="GM23:GO23"/>
    <mergeCell ref="BK26:BM26"/>
    <mergeCell ref="BO26:BQ26"/>
    <mergeCell ref="CM26:CO26"/>
    <mergeCell ref="CU37:CW37"/>
    <mergeCell ref="DS24:DU24"/>
    <mergeCell ref="CY24:DA24"/>
    <mergeCell ref="CY28:DA28"/>
    <mergeCell ref="BS44:BU44"/>
    <mergeCell ref="BK35:BM35"/>
    <mergeCell ref="CM34:CO34"/>
    <mergeCell ref="BS49:BU49"/>
    <mergeCell ref="BG44:BI44"/>
    <mergeCell ref="BG45:BI45"/>
    <mergeCell ref="BG46:BI46"/>
    <mergeCell ref="BK47:BM47"/>
    <mergeCell ref="C19:R20"/>
    <mergeCell ref="AU21:AW21"/>
    <mergeCell ref="AQ21:AS21"/>
    <mergeCell ref="AY21:BA21"/>
    <mergeCell ref="BC21:BE21"/>
    <mergeCell ref="BG21:BI21"/>
    <mergeCell ref="BK21:BM21"/>
    <mergeCell ref="BO21:BQ21"/>
    <mergeCell ref="BS21:BU21"/>
    <mergeCell ref="CM21:CO21"/>
    <mergeCell ref="CQ21:CS21"/>
    <mergeCell ref="CU21:CW21"/>
    <mergeCell ref="CY21:DA21"/>
    <mergeCell ref="DC21:DE21"/>
    <mergeCell ref="DG21:DI21"/>
    <mergeCell ref="DK21:DM21"/>
    <mergeCell ref="BC23:BE23"/>
    <mergeCell ref="BG23:BI23"/>
    <mergeCell ref="BK23:BM23"/>
    <mergeCell ref="BO23:BQ23"/>
    <mergeCell ref="BS23:BU23"/>
    <mergeCell ref="CM23:CO23"/>
    <mergeCell ref="CQ23:CS23"/>
    <mergeCell ref="CU23:CW23"/>
    <mergeCell ref="CY23:DA23"/>
    <mergeCell ref="EM23:EO23"/>
    <mergeCell ref="I48:M48"/>
    <mergeCell ref="I49:M49"/>
    <mergeCell ref="FG23:FI23"/>
    <mergeCell ref="FK23:FM23"/>
    <mergeCell ref="BK38:BM38"/>
    <mergeCell ref="BK41:BM41"/>
    <mergeCell ref="BK48:BM48"/>
    <mergeCell ref="BK49:BM49"/>
    <mergeCell ref="BO38:BQ38"/>
    <mergeCell ref="BO40:BQ40"/>
    <mergeCell ref="BO41:BQ41"/>
    <mergeCell ref="BO42:BQ42"/>
    <mergeCell ref="AQ33:AS33"/>
    <mergeCell ref="AL32:AO32"/>
    <mergeCell ref="AL33:AO33"/>
    <mergeCell ref="AU33:AW33"/>
    <mergeCell ref="AU32:AW32"/>
    <mergeCell ref="AY37:BA37"/>
    <mergeCell ref="AL37:AO37"/>
    <mergeCell ref="BO49:BQ49"/>
    <mergeCell ref="CM49:CO49"/>
    <mergeCell ref="AL41:AO41"/>
    <mergeCell ref="T14:AM14"/>
    <mergeCell ref="DO22:GO22"/>
    <mergeCell ref="P38:U38"/>
    <mergeCell ref="I47:M47"/>
    <mergeCell ref="EE23:EG23"/>
    <mergeCell ref="EI23:EK23"/>
    <mergeCell ref="EQ23:ES23"/>
    <mergeCell ref="AY26:BA26"/>
    <mergeCell ref="BC26:BE26"/>
    <mergeCell ref="BG26:BI26"/>
    <mergeCell ref="V30:Z30"/>
    <mergeCell ref="DK28:DM28"/>
    <mergeCell ref="DK29:DM29"/>
    <mergeCell ref="DK30:DM30"/>
    <mergeCell ref="EE24:EG24"/>
    <mergeCell ref="EA24:EC24"/>
    <mergeCell ref="EM24:EO24"/>
    <mergeCell ref="EQ24:ES24"/>
    <mergeCell ref="EQ30:ES30"/>
    <mergeCell ref="DS23:DU23"/>
    <mergeCell ref="EA23:EC23"/>
    <mergeCell ref="AL22:BA22"/>
    <mergeCell ref="BK36:BM36"/>
    <mergeCell ref="BK37:BM37"/>
    <mergeCell ref="CM35:CO35"/>
    <mergeCell ref="CM36:CO36"/>
    <mergeCell ref="CM37:CO37"/>
    <mergeCell ref="BK34:BM34"/>
    <mergeCell ref="BG32:BI32"/>
    <mergeCell ref="BG33:BI33"/>
    <mergeCell ref="BK29:BM29"/>
    <mergeCell ref="BK24:BM24"/>
    <mergeCell ref="T5:AZ5"/>
    <mergeCell ref="DK24:DM24"/>
    <mergeCell ref="DO24:DQ24"/>
    <mergeCell ref="BG24:BI24"/>
    <mergeCell ref="AB24:AE24"/>
    <mergeCell ref="BF7:BS7"/>
    <mergeCell ref="BF11:BS11"/>
    <mergeCell ref="AO7:AP7"/>
    <mergeCell ref="AO10:AP10"/>
    <mergeCell ref="AO8:AP8"/>
    <mergeCell ref="AO9:AP9"/>
    <mergeCell ref="BU12:BV12"/>
    <mergeCell ref="BU15:BV15"/>
    <mergeCell ref="BF8:BS8"/>
    <mergeCell ref="F23:W23"/>
    <mergeCell ref="D8:O8"/>
    <mergeCell ref="CM22:DM22"/>
    <mergeCell ref="CM24:CO24"/>
    <mergeCell ref="BS24:BU24"/>
    <mergeCell ref="AB23:AE23"/>
    <mergeCell ref="AL23:AO23"/>
    <mergeCell ref="AQ23:AS23"/>
    <mergeCell ref="AU23:AW23"/>
    <mergeCell ref="AY23:BA23"/>
    <mergeCell ref="T7:AM7"/>
    <mergeCell ref="T8:AM8"/>
    <mergeCell ref="T9:AM9"/>
    <mergeCell ref="T10:AM10"/>
    <mergeCell ref="T11:AM11"/>
    <mergeCell ref="T12:AM12"/>
    <mergeCell ref="T13:AM13"/>
    <mergeCell ref="P24:T24"/>
    <mergeCell ref="AQ41:AS41"/>
    <mergeCell ref="BS43:BU43"/>
    <mergeCell ref="AU41:AW41"/>
    <mergeCell ref="AY41:BA41"/>
    <mergeCell ref="BC41:BE41"/>
    <mergeCell ref="CM38:CO38"/>
    <mergeCell ref="CU38:CW38"/>
    <mergeCell ref="BK46:BM46"/>
    <mergeCell ref="BK44:BM44"/>
    <mergeCell ref="BK40:BM40"/>
    <mergeCell ref="BO48:BQ48"/>
    <mergeCell ref="AL42:AO42"/>
    <mergeCell ref="AQ42:AS42"/>
    <mergeCell ref="CQ38:CS38"/>
    <mergeCell ref="AY49:BA49"/>
    <mergeCell ref="BC49:BE49"/>
    <mergeCell ref="BG47:BI47"/>
    <mergeCell ref="BG48:BI48"/>
    <mergeCell ref="BG49:BI49"/>
    <mergeCell ref="AY46:BA46"/>
    <mergeCell ref="BC46:BE46"/>
    <mergeCell ref="AY47:BA47"/>
    <mergeCell ref="AY43:BA43"/>
    <mergeCell ref="AY44:BA44"/>
    <mergeCell ref="AL43:AO43"/>
    <mergeCell ref="AL45:AO45"/>
    <mergeCell ref="AY48:BA48"/>
    <mergeCell ref="BC48:BE48"/>
    <mergeCell ref="BC44:BE44"/>
    <mergeCell ref="BC43:BE43"/>
    <mergeCell ref="CM43:CO43"/>
    <mergeCell ref="CQ43:CS43"/>
    <mergeCell ref="BS45:BU45"/>
    <mergeCell ref="AY35:BA35"/>
    <mergeCell ref="AY36:BA36"/>
    <mergeCell ref="CQ37:CS37"/>
    <mergeCell ref="BK32:BM32"/>
    <mergeCell ref="AU44:AW44"/>
    <mergeCell ref="AU42:AW42"/>
    <mergeCell ref="CU32:CW32"/>
    <mergeCell ref="CU33:CW33"/>
    <mergeCell ref="CM32:CO32"/>
    <mergeCell ref="CM33:CO33"/>
    <mergeCell ref="BS28:BU28"/>
    <mergeCell ref="BS29:BU29"/>
    <mergeCell ref="BS30:BU30"/>
    <mergeCell ref="CM30:CO30"/>
    <mergeCell ref="CQ29:CS29"/>
    <mergeCell ref="CU34:CW34"/>
    <mergeCell ref="BS38:BU38"/>
    <mergeCell ref="BG43:BI43"/>
    <mergeCell ref="BC40:BE40"/>
    <mergeCell ref="AY42:BA42"/>
    <mergeCell ref="CU28:CW28"/>
    <mergeCell ref="CU43:CW43"/>
    <mergeCell ref="CM42:CO42"/>
    <mergeCell ref="CQ42:CS42"/>
    <mergeCell ref="CU42:CW42"/>
    <mergeCell ref="CU40:CW40"/>
    <mergeCell ref="AY45:BA45"/>
    <mergeCell ref="BC45:BE45"/>
    <mergeCell ref="BW44:BY44"/>
    <mergeCell ref="BW45:BY45"/>
    <mergeCell ref="CE44:CG44"/>
    <mergeCell ref="DK41:DM41"/>
    <mergeCell ref="DK42:DM42"/>
    <mergeCell ref="CQ33:CS33"/>
    <mergeCell ref="CQ34:CS34"/>
    <mergeCell ref="AU28:AW28"/>
    <mergeCell ref="AU29:AW29"/>
    <mergeCell ref="CM28:CO28"/>
    <mergeCell ref="CM29:CO29"/>
    <mergeCell ref="DC37:DE37"/>
    <mergeCell ref="CQ35:CS35"/>
    <mergeCell ref="CQ36:CS36"/>
    <mergeCell ref="CU36:CW36"/>
    <mergeCell ref="BS35:BU35"/>
    <mergeCell ref="CY38:DA38"/>
    <mergeCell ref="CU35:CW35"/>
    <mergeCell ref="BK33:BM33"/>
    <mergeCell ref="BK30:BM30"/>
    <mergeCell ref="AY34:BA34"/>
    <mergeCell ref="AY30:BA30"/>
    <mergeCell ref="BC30:BE30"/>
    <mergeCell ref="BG34:BI34"/>
    <mergeCell ref="BG41:BI41"/>
    <mergeCell ref="BG40:BI40"/>
    <mergeCell ref="DK40:DM40"/>
    <mergeCell ref="BC42:BE42"/>
    <mergeCell ref="BO28:BQ28"/>
    <mergeCell ref="BO29:BQ29"/>
    <mergeCell ref="BO30:BQ30"/>
    <mergeCell ref="BO32:BQ32"/>
    <mergeCell ref="BO33:BQ33"/>
    <mergeCell ref="BS33:BU33"/>
    <mergeCell ref="BW40:BY40"/>
    <mergeCell ref="CY45:DA45"/>
    <mergeCell ref="CM45:CO45"/>
    <mergeCell ref="CQ45:CS45"/>
    <mergeCell ref="CU45:CW45"/>
    <mergeCell ref="CM44:CO44"/>
    <mergeCell ref="CQ44:CS44"/>
    <mergeCell ref="CY44:DA44"/>
    <mergeCell ref="CU44:CW44"/>
    <mergeCell ref="DC44:DE44"/>
    <mergeCell ref="DC45:DE45"/>
    <mergeCell ref="CY35:DA35"/>
    <mergeCell ref="CY36:DA36"/>
    <mergeCell ref="BS36:BU36"/>
    <mergeCell ref="BS37:BU37"/>
    <mergeCell ref="BS40:BU40"/>
    <mergeCell ref="BS41:BU41"/>
    <mergeCell ref="BS42:BU42"/>
    <mergeCell ref="DC40:DE40"/>
    <mergeCell ref="DC41:DE41"/>
    <mergeCell ref="DC42:DE42"/>
    <mergeCell ref="CM40:CO40"/>
    <mergeCell ref="CQ40:CS40"/>
    <mergeCell ref="CY41:DA41"/>
    <mergeCell ref="CY42:DA42"/>
    <mergeCell ref="CY40:DA40"/>
    <mergeCell ref="DC35:DE35"/>
    <mergeCell ref="DC36:DE36"/>
    <mergeCell ref="CY43:DA43"/>
    <mergeCell ref="CM41:CO41"/>
    <mergeCell ref="CQ41:CS41"/>
    <mergeCell ref="CU41:CW41"/>
    <mergeCell ref="DC43:DE43"/>
    <mergeCell ref="V28:Z28"/>
    <mergeCell ref="V29:Z29"/>
    <mergeCell ref="I33:M33"/>
    <mergeCell ref="P28:T28"/>
    <mergeCell ref="P29:T29"/>
    <mergeCell ref="P30:T30"/>
    <mergeCell ref="I28:M28"/>
    <mergeCell ref="I29:M29"/>
    <mergeCell ref="I30:M30"/>
    <mergeCell ref="A49:C49"/>
    <mergeCell ref="A42:C42"/>
    <mergeCell ref="A43:C43"/>
    <mergeCell ref="A44:C44"/>
    <mergeCell ref="A45:C45"/>
    <mergeCell ref="A46:C46"/>
    <mergeCell ref="AU43:AW43"/>
    <mergeCell ref="AB48:AE48"/>
    <mergeCell ref="AL48:AO48"/>
    <mergeCell ref="AQ48:AS48"/>
    <mergeCell ref="AU48:AW48"/>
    <mergeCell ref="AB47:AE47"/>
    <mergeCell ref="AL47:AO47"/>
    <mergeCell ref="AQ47:AS47"/>
    <mergeCell ref="AU47:AW47"/>
    <mergeCell ref="AB49:AE49"/>
    <mergeCell ref="AL49:AO49"/>
    <mergeCell ref="A47:C47"/>
    <mergeCell ref="AQ43:AS43"/>
    <mergeCell ref="AB45:AE45"/>
    <mergeCell ref="I43:M43"/>
    <mergeCell ref="I44:M44"/>
    <mergeCell ref="A48:C48"/>
    <mergeCell ref="D24:H24"/>
    <mergeCell ref="V24:Z24"/>
    <mergeCell ref="AL29:AO29"/>
    <mergeCell ref="AB26:AE26"/>
    <mergeCell ref="AY28:BA28"/>
    <mergeCell ref="AY29:BA29"/>
    <mergeCell ref="BC28:BE28"/>
    <mergeCell ref="AY32:BA32"/>
    <mergeCell ref="AY33:BA33"/>
    <mergeCell ref="BC32:BE32"/>
    <mergeCell ref="BC33:BE33"/>
    <mergeCell ref="AB30:AE30"/>
    <mergeCell ref="AB32:AE32"/>
    <mergeCell ref="AB33:AE33"/>
    <mergeCell ref="AB34:AE34"/>
    <mergeCell ref="AL34:AO34"/>
    <mergeCell ref="AU34:AW34"/>
    <mergeCell ref="D28:G28"/>
    <mergeCell ref="D29:G29"/>
    <mergeCell ref="D30:G30"/>
    <mergeCell ref="D32:G32"/>
    <mergeCell ref="D33:G33"/>
    <mergeCell ref="A26:Z26"/>
    <mergeCell ref="A29:C29"/>
    <mergeCell ref="A30:C30"/>
    <mergeCell ref="A32:C32"/>
    <mergeCell ref="A33:C33"/>
    <mergeCell ref="P31:U31"/>
    <mergeCell ref="P32:U32"/>
    <mergeCell ref="A28:C28"/>
    <mergeCell ref="P33:U33"/>
    <mergeCell ref="BC29:BE29"/>
    <mergeCell ref="AB29:AE29"/>
    <mergeCell ref="AU24:AW24"/>
    <mergeCell ref="AY24:BA24"/>
    <mergeCell ref="AL26:AO26"/>
    <mergeCell ref="AQ26:AS26"/>
    <mergeCell ref="AU30:AW30"/>
    <mergeCell ref="BG30:BI30"/>
    <mergeCell ref="AL30:AO30"/>
    <mergeCell ref="BG28:BI28"/>
    <mergeCell ref="BG29:BI29"/>
    <mergeCell ref="AB28:AE28"/>
    <mergeCell ref="AG32:AJ32"/>
    <mergeCell ref="CU26:CW26"/>
    <mergeCell ref="DC24:DE24"/>
    <mergeCell ref="CQ26:CS26"/>
    <mergeCell ref="CQ28:CS28"/>
    <mergeCell ref="DC30:DE30"/>
    <mergeCell ref="CY26:DA26"/>
    <mergeCell ref="CY32:DA32"/>
    <mergeCell ref="CU30:CW30"/>
    <mergeCell ref="CQ24:CS24"/>
    <mergeCell ref="CY29:DA29"/>
    <mergeCell ref="CY30:DA30"/>
    <mergeCell ref="CU29:CW29"/>
    <mergeCell ref="CQ32:CS32"/>
    <mergeCell ref="BO24:BQ24"/>
    <mergeCell ref="CU24:CW24"/>
    <mergeCell ref="BC24:BE24"/>
    <mergeCell ref="AU26:AW26"/>
    <mergeCell ref="AQ24:AS24"/>
    <mergeCell ref="AQ28:AS28"/>
    <mergeCell ref="AQ29:AS29"/>
    <mergeCell ref="AL35:AO35"/>
    <mergeCell ref="AL36:AO36"/>
    <mergeCell ref="AG35:AJ35"/>
    <mergeCell ref="AG36:AJ36"/>
    <mergeCell ref="AG37:AJ37"/>
    <mergeCell ref="AG38:AJ38"/>
    <mergeCell ref="BC34:BE34"/>
    <mergeCell ref="BK28:BM28"/>
    <mergeCell ref="AL24:AO24"/>
    <mergeCell ref="AL28:AO28"/>
    <mergeCell ref="EE26:EG26"/>
    <mergeCell ref="DS32:DU32"/>
    <mergeCell ref="DS33:DU33"/>
    <mergeCell ref="DS29:DU29"/>
    <mergeCell ref="DS30:DU30"/>
    <mergeCell ref="DC26:DE26"/>
    <mergeCell ref="DC28:DE28"/>
    <mergeCell ref="DC29:DE29"/>
    <mergeCell ref="DC32:DE32"/>
    <mergeCell ref="DC33:DE33"/>
    <mergeCell ref="CY37:DA37"/>
    <mergeCell ref="BO35:BQ35"/>
    <mergeCell ref="BO36:BQ36"/>
    <mergeCell ref="BO37:BQ37"/>
    <mergeCell ref="BO34:BQ34"/>
    <mergeCell ref="DW24:DY24"/>
    <mergeCell ref="DK32:DM32"/>
    <mergeCell ref="DK33:DM33"/>
    <mergeCell ref="DO28:DQ28"/>
    <mergeCell ref="DO29:DQ29"/>
    <mergeCell ref="DO30:DQ30"/>
    <mergeCell ref="DO32:DQ32"/>
    <mergeCell ref="DO33:DQ33"/>
    <mergeCell ref="EY28:FA28"/>
    <mergeCell ref="EY29:FA29"/>
    <mergeCell ref="DK26:DM26"/>
    <mergeCell ref="EY32:FA32"/>
    <mergeCell ref="EY33:FA33"/>
    <mergeCell ref="DW26:DY26"/>
    <mergeCell ref="AQ30:AS30"/>
    <mergeCell ref="AQ32:AS32"/>
    <mergeCell ref="AQ34:AS34"/>
    <mergeCell ref="AQ38:AS38"/>
    <mergeCell ref="A31:F31"/>
    <mergeCell ref="BS47:BU47"/>
    <mergeCell ref="D37:G37"/>
    <mergeCell ref="A36:C36"/>
    <mergeCell ref="A37:C37"/>
    <mergeCell ref="EA34:EC34"/>
    <mergeCell ref="DO35:DQ35"/>
    <mergeCell ref="DO36:DQ36"/>
    <mergeCell ref="DC38:DE38"/>
    <mergeCell ref="EA37:EC37"/>
    <mergeCell ref="EA38:EC38"/>
    <mergeCell ref="EA41:EC41"/>
    <mergeCell ref="BO43:BQ43"/>
    <mergeCell ref="BO44:BQ44"/>
    <mergeCell ref="BO45:BQ45"/>
    <mergeCell ref="BK42:BM42"/>
    <mergeCell ref="BK43:BM43"/>
    <mergeCell ref="BO46:BQ46"/>
    <mergeCell ref="BK45:BM45"/>
    <mergeCell ref="BG42:BI42"/>
    <mergeCell ref="BO47:BQ47"/>
    <mergeCell ref="BC47:BE47"/>
    <mergeCell ref="EA42:EC42"/>
    <mergeCell ref="DK43:DM43"/>
    <mergeCell ref="BS34:BU34"/>
    <mergeCell ref="BC37:BE37"/>
    <mergeCell ref="BC38:BE38"/>
    <mergeCell ref="AB36:AE36"/>
    <mergeCell ref="AB37:AE37"/>
    <mergeCell ref="AB38:AE38"/>
    <mergeCell ref="CY34:DA34"/>
    <mergeCell ref="CY33:DA33"/>
    <mergeCell ref="EQ43:ES43"/>
    <mergeCell ref="EQ44:ES44"/>
    <mergeCell ref="EE46:EG46"/>
    <mergeCell ref="DS40:DU40"/>
    <mergeCell ref="EM49:EO49"/>
    <mergeCell ref="EM35:EO35"/>
    <mergeCell ref="DK49:DM49"/>
    <mergeCell ref="DC47:DE47"/>
    <mergeCell ref="DG47:DI47"/>
    <mergeCell ref="DO38:DQ38"/>
    <mergeCell ref="EQ33:ES33"/>
    <mergeCell ref="BS48:BU48"/>
    <mergeCell ref="CY46:DA46"/>
    <mergeCell ref="DO46:DQ46"/>
    <mergeCell ref="CM47:CO47"/>
    <mergeCell ref="CQ47:CS47"/>
    <mergeCell ref="CU47:CW47"/>
    <mergeCell ref="DC49:DE49"/>
    <mergeCell ref="DC46:DE46"/>
    <mergeCell ref="CM48:CO48"/>
    <mergeCell ref="CQ48:CS48"/>
    <mergeCell ref="DS46:DU46"/>
    <mergeCell ref="EA46:EC46"/>
    <mergeCell ref="FC47:FE47"/>
    <mergeCell ref="FC48:FE48"/>
    <mergeCell ref="FC49:FE49"/>
    <mergeCell ref="EY47:FA47"/>
    <mergeCell ref="DW44:DY44"/>
    <mergeCell ref="DW45:DY45"/>
    <mergeCell ref="DW46:DY46"/>
    <mergeCell ref="EE40:EG40"/>
    <mergeCell ref="EI41:EK41"/>
    <mergeCell ref="EM43:EO43"/>
    <mergeCell ref="EY34:FA34"/>
    <mergeCell ref="EY35:FA35"/>
    <mergeCell ref="EY36:FA36"/>
    <mergeCell ref="EY37:FA37"/>
    <mergeCell ref="EM36:EO36"/>
    <mergeCell ref="EM37:EO37"/>
    <mergeCell ref="EM38:EO38"/>
    <mergeCell ref="DW40:DY40"/>
    <mergeCell ref="EA35:EC35"/>
    <mergeCell ref="EA36:EC36"/>
    <mergeCell ref="EE35:EG35"/>
    <mergeCell ref="EE36:EG36"/>
    <mergeCell ref="EI40:EK40"/>
    <mergeCell ref="EE34:EG34"/>
    <mergeCell ref="EE43:EG43"/>
    <mergeCell ref="EE44:EG44"/>
    <mergeCell ref="EE45:EG45"/>
    <mergeCell ref="EE41:EG41"/>
    <mergeCell ref="EA43:EC43"/>
    <mergeCell ref="EY44:FA44"/>
    <mergeCell ref="DO40:DQ40"/>
    <mergeCell ref="DS43:DU43"/>
    <mergeCell ref="DW35:DY35"/>
    <mergeCell ref="DW36:DY36"/>
    <mergeCell ref="DW37:DY37"/>
    <mergeCell ref="DW42:DY42"/>
    <mergeCell ref="DW43:DY43"/>
    <mergeCell ref="DO43:DQ43"/>
    <mergeCell ref="DO42:DQ42"/>
    <mergeCell ref="FK49:FM49"/>
    <mergeCell ref="FG49:FI49"/>
    <mergeCell ref="DS48:DU48"/>
    <mergeCell ref="EA48:EC48"/>
    <mergeCell ref="EE47:EG47"/>
    <mergeCell ref="EE48:EG48"/>
    <mergeCell ref="EE49:EG49"/>
    <mergeCell ref="EI49:EK49"/>
    <mergeCell ref="EM46:EO46"/>
    <mergeCell ref="EM47:EO47"/>
    <mergeCell ref="EM48:EO48"/>
    <mergeCell ref="EA47:EC47"/>
    <mergeCell ref="FK47:FM47"/>
    <mergeCell ref="FK48:FM48"/>
    <mergeCell ref="EQ46:ES46"/>
    <mergeCell ref="EY45:FA45"/>
    <mergeCell ref="EY46:FA46"/>
    <mergeCell ref="EY48:FA48"/>
    <mergeCell ref="EY49:FA49"/>
    <mergeCell ref="EU46:EW46"/>
    <mergeCell ref="DS49:DU49"/>
    <mergeCell ref="EA49:EC49"/>
    <mergeCell ref="EA45:EC45"/>
    <mergeCell ref="DW47:DY47"/>
    <mergeCell ref="DW48:DY48"/>
    <mergeCell ref="DW49:DY49"/>
    <mergeCell ref="CY49:DA49"/>
    <mergeCell ref="DO49:DQ49"/>
    <mergeCell ref="CY48:DA48"/>
    <mergeCell ref="DO48:DQ48"/>
    <mergeCell ref="CQ49:CS49"/>
    <mergeCell ref="BW46:BY46"/>
    <mergeCell ref="BW47:BY47"/>
    <mergeCell ref="BW48:BY48"/>
    <mergeCell ref="BW49:BY49"/>
    <mergeCell ref="EE28:EG28"/>
    <mergeCell ref="EE29:EG29"/>
    <mergeCell ref="EE30:EG30"/>
    <mergeCell ref="EA28:EC28"/>
    <mergeCell ref="EA29:EC29"/>
    <mergeCell ref="EA30:EC30"/>
    <mergeCell ref="DS28:DU28"/>
    <mergeCell ref="DK35:DM35"/>
    <mergeCell ref="DK38:DM38"/>
    <mergeCell ref="DK37:DM37"/>
    <mergeCell ref="DK34:DM34"/>
    <mergeCell ref="DS34:DU34"/>
    <mergeCell ref="DO34:DQ34"/>
    <mergeCell ref="DO44:DQ44"/>
    <mergeCell ref="DO45:DQ45"/>
    <mergeCell ref="DK45:DM45"/>
    <mergeCell ref="DS44:DU44"/>
    <mergeCell ref="EA44:EC44"/>
    <mergeCell ref="DO37:DQ37"/>
    <mergeCell ref="DK36:DM36"/>
    <mergeCell ref="A41:C41"/>
    <mergeCell ref="P39:U39"/>
    <mergeCell ref="P40:U40"/>
    <mergeCell ref="P41:U41"/>
    <mergeCell ref="P42:U42"/>
    <mergeCell ref="P43:U43"/>
    <mergeCell ref="P44:U44"/>
    <mergeCell ref="A40:C40"/>
    <mergeCell ref="D40:G40"/>
    <mergeCell ref="D41:G41"/>
    <mergeCell ref="D42:G42"/>
    <mergeCell ref="D43:G43"/>
    <mergeCell ref="D44:G44"/>
    <mergeCell ref="AG40:AJ40"/>
    <mergeCell ref="AG41:AJ41"/>
    <mergeCell ref="AG42:AJ42"/>
    <mergeCell ref="AG43:AJ43"/>
    <mergeCell ref="AG44:AJ44"/>
    <mergeCell ref="I40:M40"/>
    <mergeCell ref="I41:M41"/>
    <mergeCell ref="I42:M42"/>
    <mergeCell ref="V42:Z42"/>
    <mergeCell ref="V43:Z43"/>
    <mergeCell ref="V44:Z44"/>
    <mergeCell ref="AB44:AE44"/>
    <mergeCell ref="AB41:AE41"/>
    <mergeCell ref="AB42:AE42"/>
    <mergeCell ref="AB43:AE43"/>
    <mergeCell ref="D38:G38"/>
    <mergeCell ref="BG38:BI38"/>
    <mergeCell ref="A34:C34"/>
    <mergeCell ref="D34:G34"/>
    <mergeCell ref="D35:G35"/>
    <mergeCell ref="AY40:BA40"/>
    <mergeCell ref="AQ35:AS35"/>
    <mergeCell ref="AQ36:AS36"/>
    <mergeCell ref="AQ37:AS37"/>
    <mergeCell ref="BC35:BE35"/>
    <mergeCell ref="BG36:BI36"/>
    <mergeCell ref="BG37:BI37"/>
    <mergeCell ref="BC36:BE36"/>
    <mergeCell ref="A35:C35"/>
    <mergeCell ref="D36:G36"/>
    <mergeCell ref="A38:C38"/>
    <mergeCell ref="AU37:AW37"/>
    <mergeCell ref="AU35:AW35"/>
    <mergeCell ref="AU36:AW36"/>
    <mergeCell ref="AU38:AW38"/>
    <mergeCell ref="AB35:AE35"/>
    <mergeCell ref="AL38:AO38"/>
    <mergeCell ref="AY38:BA38"/>
    <mergeCell ref="I34:M34"/>
    <mergeCell ref="A39:F39"/>
    <mergeCell ref="BG35:BI35"/>
    <mergeCell ref="AG34:AJ34"/>
    <mergeCell ref="AB40:AE40"/>
    <mergeCell ref="AL40:AO40"/>
    <mergeCell ref="AQ40:AS40"/>
    <mergeCell ref="AU40:AW40"/>
    <mergeCell ref="P37:U37"/>
    <mergeCell ref="D48:G48"/>
    <mergeCell ref="I46:M46"/>
    <mergeCell ref="AU49:AW49"/>
    <mergeCell ref="D49:G49"/>
    <mergeCell ref="P45:U45"/>
    <mergeCell ref="P46:U46"/>
    <mergeCell ref="P47:U47"/>
    <mergeCell ref="P48:U48"/>
    <mergeCell ref="P49:U49"/>
    <mergeCell ref="AG46:AJ46"/>
    <mergeCell ref="AG47:AJ47"/>
    <mergeCell ref="AG48:AJ48"/>
    <mergeCell ref="AG49:AJ49"/>
    <mergeCell ref="AG51:AJ51"/>
    <mergeCell ref="AG45:AJ45"/>
    <mergeCell ref="I45:M45"/>
    <mergeCell ref="V45:Z45"/>
    <mergeCell ref="AB46:AE46"/>
    <mergeCell ref="D45:G45"/>
    <mergeCell ref="D46:G46"/>
    <mergeCell ref="D47:G47"/>
    <mergeCell ref="A51:X51"/>
    <mergeCell ref="AB51:AE51"/>
    <mergeCell ref="AQ56:AS56"/>
    <mergeCell ref="AB56:AP56"/>
    <mergeCell ref="AL46:AO46"/>
    <mergeCell ref="AQ46:AS46"/>
    <mergeCell ref="FK44:FM44"/>
    <mergeCell ref="FK45:FM45"/>
    <mergeCell ref="FK46:FM46"/>
    <mergeCell ref="EI32:EK32"/>
    <mergeCell ref="EI33:EK33"/>
    <mergeCell ref="EI34:EK34"/>
    <mergeCell ref="EI35:EK35"/>
    <mergeCell ref="EI36:EK36"/>
    <mergeCell ref="EI37:EK37"/>
    <mergeCell ref="EI38:EK38"/>
    <mergeCell ref="EQ34:ES34"/>
    <mergeCell ref="FK32:FM32"/>
    <mergeCell ref="FK33:FM33"/>
    <mergeCell ref="FK34:FM34"/>
    <mergeCell ref="FK35:FM35"/>
    <mergeCell ref="FK36:FM36"/>
    <mergeCell ref="FK37:FM37"/>
    <mergeCell ref="FK38:FM38"/>
    <mergeCell ref="FK40:FM40"/>
    <mergeCell ref="FK41:FM41"/>
    <mergeCell ref="AU46:AW46"/>
    <mergeCell ref="AQ45:AS45"/>
    <mergeCell ref="AU45:AW45"/>
    <mergeCell ref="AL51:AO51"/>
    <mergeCell ref="AQ51:AS51"/>
    <mergeCell ref="AU51:AW51"/>
    <mergeCell ref="AQ49:AS49"/>
    <mergeCell ref="CU48:CW48"/>
    <mergeCell ref="I24:O24"/>
    <mergeCell ref="AL44:AO44"/>
    <mergeCell ref="EY51:FA51"/>
    <mergeCell ref="GM24:GO24"/>
    <mergeCell ref="GM26:GO26"/>
    <mergeCell ref="EI42:EK42"/>
    <mergeCell ref="EI43:EK43"/>
    <mergeCell ref="EI44:EK44"/>
    <mergeCell ref="EI45:EK45"/>
    <mergeCell ref="EI46:EK46"/>
    <mergeCell ref="EQ45:ES45"/>
    <mergeCell ref="FG42:FI42"/>
    <mergeCell ref="FG43:FI43"/>
    <mergeCell ref="FG44:FI44"/>
    <mergeCell ref="FG45:FI45"/>
    <mergeCell ref="FG46:FI46"/>
    <mergeCell ref="EQ40:ES40"/>
    <mergeCell ref="EQ41:ES41"/>
    <mergeCell ref="EQ42:ES42"/>
    <mergeCell ref="FG41:FI41"/>
    <mergeCell ref="EY41:FA41"/>
    <mergeCell ref="EY42:FA42"/>
    <mergeCell ref="EY43:FA43"/>
    <mergeCell ref="FG36:FI36"/>
    <mergeCell ref="FG37:FI37"/>
    <mergeCell ref="FG38:FI38"/>
    <mergeCell ref="FG47:FI47"/>
    <mergeCell ref="FG48:FI48"/>
    <mergeCell ref="EQ47:ES47"/>
    <mergeCell ref="EQ48:ES48"/>
    <mergeCell ref="EQ49:ES49"/>
    <mergeCell ref="EI47:EK47"/>
    <mergeCell ref="CY51:DA51"/>
    <mergeCell ref="DC51:DE51"/>
    <mergeCell ref="DK51:DM51"/>
    <mergeCell ref="DO51:DQ51"/>
    <mergeCell ref="DS51:DU51"/>
    <mergeCell ref="EA51:EC51"/>
    <mergeCell ref="EE51:EG51"/>
    <mergeCell ref="EI51:EK51"/>
    <mergeCell ref="EQ51:ES51"/>
    <mergeCell ref="AY51:BA51"/>
    <mergeCell ref="BC51:BE51"/>
    <mergeCell ref="BG51:BI51"/>
    <mergeCell ref="BK51:BM51"/>
    <mergeCell ref="BO51:BQ51"/>
    <mergeCell ref="BS51:BU51"/>
    <mergeCell ref="CM51:CO51"/>
    <mergeCell ref="CQ51:CS51"/>
    <mergeCell ref="CU51:CW51"/>
    <mergeCell ref="DG51:DI51"/>
    <mergeCell ref="CA51:CC51"/>
    <mergeCell ref="BW51:BY51"/>
    <mergeCell ref="Q12:R12"/>
    <mergeCell ref="DW51:DY51"/>
    <mergeCell ref="AO11:AP11"/>
    <mergeCell ref="AO12:AP12"/>
    <mergeCell ref="AR10:BS10"/>
    <mergeCell ref="BN12:BS12"/>
    <mergeCell ref="BN13:BS13"/>
    <mergeCell ref="BN17:BS17"/>
    <mergeCell ref="DG46:DI46"/>
    <mergeCell ref="BN15:BS15"/>
    <mergeCell ref="AR12:BJ12"/>
    <mergeCell ref="AR13:BJ13"/>
    <mergeCell ref="AR14:BJ14"/>
    <mergeCell ref="FK42:FM42"/>
    <mergeCell ref="FK43:FM43"/>
    <mergeCell ref="FG35:FI35"/>
    <mergeCell ref="EY40:FA40"/>
    <mergeCell ref="BN14:BS14"/>
    <mergeCell ref="EM45:EO45"/>
    <mergeCell ref="EI48:EK48"/>
    <mergeCell ref="AQ44:AS44"/>
    <mergeCell ref="BS46:BU46"/>
    <mergeCell ref="CM46:CO46"/>
    <mergeCell ref="CQ46:CS46"/>
    <mergeCell ref="CU46:CW46"/>
    <mergeCell ref="CU49:CW49"/>
    <mergeCell ref="DC48:DE48"/>
    <mergeCell ref="CY47:DA47"/>
    <mergeCell ref="DO47:DQ47"/>
    <mergeCell ref="DS47:DU47"/>
    <mergeCell ref="DK47:DM47"/>
    <mergeCell ref="DK48:DM48"/>
    <mergeCell ref="BN18:BS18"/>
    <mergeCell ref="BN19:BS19"/>
    <mergeCell ref="BN20:BS20"/>
    <mergeCell ref="AR16:BJ16"/>
    <mergeCell ref="AR17:BJ17"/>
    <mergeCell ref="AR18:BJ18"/>
    <mergeCell ref="AR19:BJ19"/>
    <mergeCell ref="AR20:BJ20"/>
    <mergeCell ref="BS32:BU32"/>
    <mergeCell ref="BU16:BV16"/>
    <mergeCell ref="FG51:FI51"/>
    <mergeCell ref="FK51:FM51"/>
    <mergeCell ref="EM40:EO40"/>
    <mergeCell ref="EM41:EO41"/>
    <mergeCell ref="D5:R7"/>
    <mergeCell ref="AR7:BD7"/>
    <mergeCell ref="AR8:BD8"/>
    <mergeCell ref="I22:O22"/>
    <mergeCell ref="D9:P9"/>
    <mergeCell ref="D10:P10"/>
    <mergeCell ref="D11:P11"/>
    <mergeCell ref="D12:P12"/>
    <mergeCell ref="D13:P13"/>
    <mergeCell ref="D14:P14"/>
    <mergeCell ref="D15:P15"/>
    <mergeCell ref="D16:P16"/>
    <mergeCell ref="Q14:R14"/>
    <mergeCell ref="Q15:R15"/>
    <mergeCell ref="Q8:R8"/>
    <mergeCell ref="Q9:R9"/>
    <mergeCell ref="Q10:R10"/>
    <mergeCell ref="Q11:R11"/>
    <mergeCell ref="DS26:DU26"/>
    <mergeCell ref="DW28:DY28"/>
    <mergeCell ref="DW29:DY29"/>
    <mergeCell ref="EA40:EC40"/>
    <mergeCell ref="EE32:EG32"/>
    <mergeCell ref="EE33:EG33"/>
    <mergeCell ref="EA32:EC32"/>
    <mergeCell ref="EA33:EC33"/>
    <mergeCell ref="EI24:EK24"/>
    <mergeCell ref="EI28:EK28"/>
    <mergeCell ref="EM32:EO32"/>
    <mergeCell ref="Q16:R16"/>
    <mergeCell ref="AO20:AP20"/>
    <mergeCell ref="AO13:AP13"/>
    <mergeCell ref="AO14:AP14"/>
    <mergeCell ref="AO15:AP15"/>
    <mergeCell ref="AO16:AP16"/>
    <mergeCell ref="AO17:AP17"/>
    <mergeCell ref="AO18:AP18"/>
    <mergeCell ref="AO19:AP19"/>
    <mergeCell ref="AG23:AJ23"/>
    <mergeCell ref="AG24:AJ24"/>
    <mergeCell ref="AG26:AJ26"/>
    <mergeCell ref="AG28:AJ28"/>
    <mergeCell ref="BU19:BV19"/>
    <mergeCell ref="AG29:AJ29"/>
    <mergeCell ref="AG30:AJ30"/>
    <mergeCell ref="AG33:AJ33"/>
    <mergeCell ref="Q13:R13"/>
    <mergeCell ref="AR15:BJ15"/>
    <mergeCell ref="BN16:BS16"/>
    <mergeCell ref="BS26:BU26"/>
    <mergeCell ref="DS42:DU42"/>
    <mergeCell ref="DO41:DQ41"/>
    <mergeCell ref="DS41:DU41"/>
    <mergeCell ref="CQ30:CS30"/>
    <mergeCell ref="DC34:DE34"/>
    <mergeCell ref="EM29:EO29"/>
    <mergeCell ref="EM30:EO30"/>
    <mergeCell ref="EI26:EK26"/>
    <mergeCell ref="BU17:BV17"/>
    <mergeCell ref="BU18:BV18"/>
    <mergeCell ref="DG42:DI42"/>
    <mergeCell ref="DW23:DY23"/>
    <mergeCell ref="EE42:EG42"/>
    <mergeCell ref="EE37:EG37"/>
    <mergeCell ref="EE38:EG38"/>
    <mergeCell ref="DS36:DU36"/>
    <mergeCell ref="DS37:DU37"/>
    <mergeCell ref="DS35:DU35"/>
    <mergeCell ref="DS38:DU38"/>
    <mergeCell ref="DG23:DI23"/>
    <mergeCell ref="DG24:DI24"/>
    <mergeCell ref="DG26:DI26"/>
    <mergeCell ref="DG28:DI28"/>
    <mergeCell ref="DG29:DI29"/>
    <mergeCell ref="DG30:DI30"/>
    <mergeCell ref="DG32:DI32"/>
    <mergeCell ref="BW33:BY33"/>
    <mergeCell ref="BW34:BY34"/>
    <mergeCell ref="BW35:BY35"/>
    <mergeCell ref="BW36:BY36"/>
    <mergeCell ref="BW37:BY37"/>
    <mergeCell ref="BW38:BY38"/>
    <mergeCell ref="EU47:EW47"/>
    <mergeCell ref="EU48:EW48"/>
    <mergeCell ref="EU49:EW49"/>
    <mergeCell ref="EU51:EW51"/>
    <mergeCell ref="DG44:DI44"/>
    <mergeCell ref="DG48:DI48"/>
    <mergeCell ref="DG49:DI49"/>
    <mergeCell ref="DK46:DM46"/>
    <mergeCell ref="DG43:DI43"/>
    <mergeCell ref="FC45:FE45"/>
    <mergeCell ref="FC46:FE46"/>
    <mergeCell ref="FC23:FE23"/>
    <mergeCell ref="FC24:FE24"/>
    <mergeCell ref="FC26:FE26"/>
    <mergeCell ref="DK44:DM44"/>
    <mergeCell ref="DS45:DU45"/>
    <mergeCell ref="BU13:BV13"/>
    <mergeCell ref="BU14:BV14"/>
    <mergeCell ref="DG33:DI33"/>
    <mergeCell ref="DG34:DI34"/>
    <mergeCell ref="DG35:DI35"/>
    <mergeCell ref="DG36:DI36"/>
    <mergeCell ref="DG37:DI37"/>
    <mergeCell ref="DG38:DI38"/>
    <mergeCell ref="DG40:DI40"/>
    <mergeCell ref="DG41:DI41"/>
    <mergeCell ref="EM42:EO42"/>
    <mergeCell ref="DW30:DY30"/>
    <mergeCell ref="DW32:DY32"/>
    <mergeCell ref="DW33:DY33"/>
    <mergeCell ref="DW34:DY34"/>
    <mergeCell ref="DO26:DQ26"/>
    <mergeCell ref="FK24:FM24"/>
    <mergeCell ref="FC30:FE30"/>
    <mergeCell ref="FC32:FE32"/>
    <mergeCell ref="FC33:FE33"/>
    <mergeCell ref="FC34:FE34"/>
    <mergeCell ref="FG40:FI40"/>
    <mergeCell ref="FG24:FI24"/>
    <mergeCell ref="EY38:FA38"/>
    <mergeCell ref="EY26:FA26"/>
    <mergeCell ref="EY23:FA23"/>
    <mergeCell ref="FG28:FI28"/>
    <mergeCell ref="FK29:FM29"/>
    <mergeCell ref="FK30:FM30"/>
    <mergeCell ref="FG26:FI26"/>
    <mergeCell ref="EM51:EO51"/>
    <mergeCell ref="DG45:DI45"/>
    <mergeCell ref="EU44:EW44"/>
    <mergeCell ref="DW38:DY38"/>
    <mergeCell ref="DW41:DY41"/>
    <mergeCell ref="FC44:FE44"/>
    <mergeCell ref="EY30:FA30"/>
    <mergeCell ref="FC35:FE35"/>
    <mergeCell ref="FC36:FE36"/>
    <mergeCell ref="FC37:FE37"/>
    <mergeCell ref="FC38:FE38"/>
    <mergeCell ref="FC40:FE40"/>
    <mergeCell ref="FC41:FE41"/>
    <mergeCell ref="FC42:FE42"/>
    <mergeCell ref="FC43:FE43"/>
    <mergeCell ref="EA26:EC26"/>
    <mergeCell ref="FC51:FE51"/>
    <mergeCell ref="EM34:EO34"/>
    <mergeCell ref="EY24:FA24"/>
    <mergeCell ref="EU36:EW36"/>
    <mergeCell ref="EU37:EW37"/>
    <mergeCell ref="EU38:EW38"/>
    <mergeCell ref="EU40:EW40"/>
    <mergeCell ref="EU41:EW41"/>
    <mergeCell ref="FO36:FQ36"/>
    <mergeCell ref="FO37:FQ37"/>
    <mergeCell ref="FO38:FQ38"/>
    <mergeCell ref="FO40:FQ40"/>
    <mergeCell ref="FO41:FQ41"/>
    <mergeCell ref="EQ35:ES35"/>
    <mergeCell ref="EQ36:ES36"/>
    <mergeCell ref="EQ37:ES37"/>
    <mergeCell ref="EQ38:ES38"/>
    <mergeCell ref="EQ32:ES32"/>
    <mergeCell ref="EU23:EW23"/>
    <mergeCell ref="EU24:EW24"/>
    <mergeCell ref="EU26:EW26"/>
    <mergeCell ref="EU28:EW28"/>
    <mergeCell ref="EU29:EW29"/>
    <mergeCell ref="EU30:EW30"/>
    <mergeCell ref="EU32:EW32"/>
    <mergeCell ref="EU33:EW33"/>
    <mergeCell ref="EU34:EW34"/>
    <mergeCell ref="EU35:EW35"/>
    <mergeCell ref="FG33:FI33"/>
    <mergeCell ref="FK28:FM28"/>
    <mergeCell ref="FG29:FI29"/>
    <mergeCell ref="FG30:FI30"/>
    <mergeCell ref="FG34:FI34"/>
    <mergeCell ref="FG32:FI32"/>
    <mergeCell ref="EM33:EO33"/>
    <mergeCell ref="EI29:EK29"/>
    <mergeCell ref="EI30:EK30"/>
    <mergeCell ref="EQ28:ES28"/>
    <mergeCell ref="EQ29:ES29"/>
    <mergeCell ref="EQ26:ES26"/>
    <mergeCell ref="EM26:EO26"/>
    <mergeCell ref="EM28:EO28"/>
    <mergeCell ref="FO26:FQ26"/>
    <mergeCell ref="FO28:FQ28"/>
    <mergeCell ref="FO29:FQ29"/>
    <mergeCell ref="FO30:FQ30"/>
    <mergeCell ref="FO32:FQ32"/>
    <mergeCell ref="FO33:FQ33"/>
    <mergeCell ref="FO34:FQ34"/>
    <mergeCell ref="GA45:GC45"/>
    <mergeCell ref="FS45:FU45"/>
    <mergeCell ref="FK26:FM26"/>
    <mergeCell ref="EU42:EW42"/>
    <mergeCell ref="EU43:EW43"/>
    <mergeCell ref="FC28:FE28"/>
    <mergeCell ref="FC29:FE29"/>
    <mergeCell ref="EU45:EW45"/>
    <mergeCell ref="EM44:EO44"/>
    <mergeCell ref="FO35:FQ35"/>
    <mergeCell ref="FO42:FQ42"/>
    <mergeCell ref="FO43:FQ43"/>
    <mergeCell ref="FO23:FQ23"/>
    <mergeCell ref="FO24:FQ24"/>
    <mergeCell ref="FS46:FU46"/>
    <mergeCell ref="FS47:FU47"/>
    <mergeCell ref="FS48:FU48"/>
    <mergeCell ref="FW23:FY23"/>
    <mergeCell ref="GA23:GC23"/>
    <mergeCell ref="FW24:FY24"/>
    <mergeCell ref="GA24:GC24"/>
    <mergeCell ref="FW26:FY26"/>
    <mergeCell ref="GA26:GC26"/>
    <mergeCell ref="FW28:FY28"/>
    <mergeCell ref="GA28:GC28"/>
    <mergeCell ref="FW29:FY29"/>
    <mergeCell ref="GA29:GC29"/>
    <mergeCell ref="FW30:FY30"/>
    <mergeCell ref="GA30:GC30"/>
    <mergeCell ref="FW32:FY32"/>
    <mergeCell ref="GA32:GC32"/>
    <mergeCell ref="FW33:FY33"/>
    <mergeCell ref="GA33:GC33"/>
    <mergeCell ref="FW34:FY34"/>
    <mergeCell ref="GA34:GC34"/>
    <mergeCell ref="FW35:FY35"/>
    <mergeCell ref="GA35:GC35"/>
    <mergeCell ref="FW36:FY36"/>
    <mergeCell ref="GA36:GC36"/>
    <mergeCell ref="FW37:FY37"/>
    <mergeCell ref="FS23:FU23"/>
    <mergeCell ref="FS24:FU24"/>
    <mergeCell ref="FS26:FU26"/>
    <mergeCell ref="FW38:FY38"/>
    <mergeCell ref="FS49:FU49"/>
    <mergeCell ref="FS51:FU51"/>
    <mergeCell ref="FO45:FQ45"/>
    <mergeCell ref="FO46:FQ46"/>
    <mergeCell ref="FO47:FQ47"/>
    <mergeCell ref="FO48:FQ48"/>
    <mergeCell ref="FO49:FQ49"/>
    <mergeCell ref="FO51:FQ51"/>
    <mergeCell ref="FS44:FU44"/>
    <mergeCell ref="FS28:FU28"/>
    <mergeCell ref="FS29:FU29"/>
    <mergeCell ref="FS30:FU30"/>
    <mergeCell ref="FS32:FU32"/>
    <mergeCell ref="FS33:FU33"/>
    <mergeCell ref="FS34:FU34"/>
    <mergeCell ref="FS35:FU35"/>
    <mergeCell ref="FS36:FU36"/>
    <mergeCell ref="FS37:FU37"/>
    <mergeCell ref="FS38:FU38"/>
    <mergeCell ref="FS40:FU40"/>
    <mergeCell ref="FS41:FU41"/>
    <mergeCell ref="FS42:FU42"/>
    <mergeCell ref="FS43:FU43"/>
    <mergeCell ref="FO44:FQ44"/>
    <mergeCell ref="FW49:FY49"/>
    <mergeCell ref="FW51:FY51"/>
    <mergeCell ref="FW41:FY41"/>
    <mergeCell ref="GA41:GC41"/>
    <mergeCell ref="FW42:FY42"/>
    <mergeCell ref="GA42:GC42"/>
    <mergeCell ref="FW43:FY43"/>
    <mergeCell ref="GA43:GC43"/>
    <mergeCell ref="FW44:FY44"/>
    <mergeCell ref="GA44:GC44"/>
    <mergeCell ref="FW46:FY46"/>
    <mergeCell ref="FW47:FY47"/>
    <mergeCell ref="FW48:FY48"/>
    <mergeCell ref="GA38:GC38"/>
    <mergeCell ref="FW40:FY40"/>
    <mergeCell ref="GA40:GC40"/>
    <mergeCell ref="FW45:FY45"/>
    <mergeCell ref="GE30:GG30"/>
    <mergeCell ref="GE32:GG32"/>
    <mergeCell ref="GE33:GG33"/>
    <mergeCell ref="GE34:GG34"/>
    <mergeCell ref="GE35:GG35"/>
    <mergeCell ref="GE36:GG36"/>
    <mergeCell ref="GE37:GG37"/>
    <mergeCell ref="GE38:GG38"/>
    <mergeCell ref="GE40:GG40"/>
    <mergeCell ref="GE41:GG41"/>
    <mergeCell ref="GE42:GG42"/>
    <mergeCell ref="GE43:GG43"/>
    <mergeCell ref="GA46:GC46"/>
    <mergeCell ref="GA47:GC47"/>
    <mergeCell ref="GA48:GC48"/>
    <mergeCell ref="GA49:GC49"/>
    <mergeCell ref="GA51:GC51"/>
    <mergeCell ref="GE44:GG44"/>
    <mergeCell ref="GE45:GG45"/>
    <mergeCell ref="GA37:GC37"/>
    <mergeCell ref="CA49:CC49"/>
    <mergeCell ref="GM46:GO46"/>
    <mergeCell ref="GM47:GO47"/>
    <mergeCell ref="GM48:GO48"/>
    <mergeCell ref="GE46:GG46"/>
    <mergeCell ref="GE47:GG47"/>
    <mergeCell ref="GE48:GG48"/>
    <mergeCell ref="GE49:GG49"/>
    <mergeCell ref="GE51:GG51"/>
    <mergeCell ref="GI44:GK44"/>
    <mergeCell ref="GI23:GK23"/>
    <mergeCell ref="GI24:GK24"/>
    <mergeCell ref="GI26:GK26"/>
    <mergeCell ref="GI28:GK28"/>
    <mergeCell ref="GI29:GK29"/>
    <mergeCell ref="GI30:GK30"/>
    <mergeCell ref="GI32:GK32"/>
    <mergeCell ref="GI33:GK33"/>
    <mergeCell ref="GI34:GK34"/>
    <mergeCell ref="GI35:GK35"/>
    <mergeCell ref="GI36:GK36"/>
    <mergeCell ref="GI37:GK37"/>
    <mergeCell ref="GI38:GK38"/>
    <mergeCell ref="GI40:GK40"/>
    <mergeCell ref="GI41:GK41"/>
    <mergeCell ref="GI42:GK42"/>
    <mergeCell ref="GM49:GO49"/>
    <mergeCell ref="GE23:GG23"/>
    <mergeCell ref="GE24:GG24"/>
    <mergeCell ref="GE26:GG26"/>
    <mergeCell ref="GE28:GG28"/>
    <mergeCell ref="GE29:GG29"/>
    <mergeCell ref="BW41:BY41"/>
    <mergeCell ref="BW42:BY42"/>
    <mergeCell ref="BW43:BY43"/>
    <mergeCell ref="GI46:GK46"/>
    <mergeCell ref="GI47:GK47"/>
    <mergeCell ref="GI48:GK48"/>
    <mergeCell ref="GI49:GK49"/>
    <mergeCell ref="GI51:GK51"/>
    <mergeCell ref="GM28:GO28"/>
    <mergeCell ref="GM29:GO29"/>
    <mergeCell ref="GM30:GO30"/>
    <mergeCell ref="GM32:GO32"/>
    <mergeCell ref="GM33:GO33"/>
    <mergeCell ref="GM34:GO34"/>
    <mergeCell ref="GM35:GO35"/>
    <mergeCell ref="GM36:GO36"/>
    <mergeCell ref="GM37:GO37"/>
    <mergeCell ref="GM38:GO38"/>
    <mergeCell ref="GM40:GO40"/>
    <mergeCell ref="GM41:GO41"/>
    <mergeCell ref="GM42:GO42"/>
    <mergeCell ref="GM43:GO43"/>
    <mergeCell ref="GM44:GO44"/>
    <mergeCell ref="GM45:GO45"/>
    <mergeCell ref="GI43:GK43"/>
    <mergeCell ref="GI45:GK45"/>
    <mergeCell ref="GM51:GO51"/>
    <mergeCell ref="CA44:CC44"/>
    <mergeCell ref="CA45:CC45"/>
    <mergeCell ref="CA46:CC46"/>
    <mergeCell ref="CA47:CC47"/>
    <mergeCell ref="CA48:CC48"/>
    <mergeCell ref="CA23:CC23"/>
    <mergeCell ref="CA24:CC24"/>
    <mergeCell ref="CA26:CC26"/>
    <mergeCell ref="CA28:CC28"/>
    <mergeCell ref="CA29:CC29"/>
    <mergeCell ref="CA30:CC30"/>
    <mergeCell ref="CA32:CC32"/>
    <mergeCell ref="CA33:CC33"/>
    <mergeCell ref="CA34:CC34"/>
    <mergeCell ref="CA35:CC35"/>
    <mergeCell ref="CA36:CC36"/>
    <mergeCell ref="CA37:CC37"/>
    <mergeCell ref="CA38:CC38"/>
    <mergeCell ref="CA40:CC40"/>
    <mergeCell ref="CA41:CC41"/>
    <mergeCell ref="CA42:CC42"/>
    <mergeCell ref="CA43:CC43"/>
    <mergeCell ref="CI43:CK43"/>
    <mergeCell ref="CI44:CK44"/>
    <mergeCell ref="BW23:BY23"/>
    <mergeCell ref="BW24:BY24"/>
    <mergeCell ref="BW26:BY26"/>
    <mergeCell ref="BW28:BY28"/>
    <mergeCell ref="BW29:BY29"/>
    <mergeCell ref="BW30:BY30"/>
    <mergeCell ref="BW32:BY32"/>
    <mergeCell ref="CI45:CK45"/>
    <mergeCell ref="CI46:CK46"/>
    <mergeCell ref="CI47:CK47"/>
    <mergeCell ref="CI48:CK48"/>
    <mergeCell ref="CI49:CK49"/>
    <mergeCell ref="CI51:CK51"/>
    <mergeCell ref="CE23:CG23"/>
    <mergeCell ref="CE24:CG24"/>
    <mergeCell ref="CE26:CG26"/>
    <mergeCell ref="CE28:CG28"/>
    <mergeCell ref="CE29:CG29"/>
    <mergeCell ref="CE30:CG30"/>
    <mergeCell ref="CE32:CG32"/>
    <mergeCell ref="CE33:CG33"/>
    <mergeCell ref="CE34:CG34"/>
    <mergeCell ref="CE35:CG35"/>
    <mergeCell ref="CE36:CG36"/>
    <mergeCell ref="CE37:CG37"/>
    <mergeCell ref="CE38:CG38"/>
    <mergeCell ref="CE40:CG40"/>
    <mergeCell ref="CE41:CG41"/>
    <mergeCell ref="CE42:CG42"/>
    <mergeCell ref="CE43:CG43"/>
    <mergeCell ref="AR9:BD9"/>
    <mergeCell ref="BF9:BS9"/>
    <mergeCell ref="BC22:CK22"/>
    <mergeCell ref="BW21:BY21"/>
    <mergeCell ref="CA21:CC21"/>
    <mergeCell ref="CE21:CG21"/>
    <mergeCell ref="CI21:CK21"/>
    <mergeCell ref="FS21:FU21"/>
    <mergeCell ref="FW21:FY21"/>
    <mergeCell ref="GA21:GC21"/>
    <mergeCell ref="CE45:CG45"/>
    <mergeCell ref="CE46:CG46"/>
    <mergeCell ref="CE47:CG47"/>
    <mergeCell ref="CE48:CG48"/>
    <mergeCell ref="CE49:CG49"/>
    <mergeCell ref="CE51:CG51"/>
    <mergeCell ref="CI23:CK23"/>
    <mergeCell ref="CI24:CK24"/>
    <mergeCell ref="CI26:CK26"/>
    <mergeCell ref="CI28:CK28"/>
    <mergeCell ref="CI29:CK29"/>
    <mergeCell ref="CI30:CK30"/>
    <mergeCell ref="CI32:CK32"/>
    <mergeCell ref="CI33:CK33"/>
    <mergeCell ref="CI34:CK34"/>
    <mergeCell ref="CI35:CK35"/>
    <mergeCell ref="CI36:CK36"/>
    <mergeCell ref="CI37:CK37"/>
    <mergeCell ref="CI38:CK38"/>
    <mergeCell ref="CI40:CK40"/>
    <mergeCell ref="CI41:CK41"/>
    <mergeCell ref="CI42:CK42"/>
  </mergeCells>
  <conditionalFormatting sqref="AQ28:AS30 AQ51 AQ32:AS38 AQ40:AS50">
    <cfRule type="colorScale" priority="39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DR31 ED31 CP31 AK31 AB28:AF38 AB40:AF51 AP31:AT31 DZ31 AX31 BB31 BF31:BJ31 CT31 CX31 DB31 DV31">
    <cfRule type="colorScale" priority="55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R8 BE8:BS8">
    <cfRule type="expression" dxfId="6" priority="280">
      <formula>$AO$8="Ei"</formula>
    </cfRule>
  </conditionalFormatting>
  <conditionalFormatting sqref="AG50:AJ50 AG51 AG28:AG30 AG32:AG38 AG40:AG49">
    <cfRule type="colorScale" priority="23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G31:AJ31">
    <cfRule type="colorScale" priority="24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L50:AO50 AL51 AL28:AL30 AL32:AL38 AL40:AL49">
    <cfRule type="colorScale" priority="23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L31:AO31">
    <cfRule type="colorScale" priority="23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I50:GK50 GI51">
    <cfRule type="colorScale" priority="10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I40:GK49">
    <cfRule type="colorScale" priority="9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I32:GK38">
    <cfRule type="colorScale" priority="9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I28:GK30">
    <cfRule type="colorScale" priority="9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AU28:AW30 AU51 AU32:AW38 AU40:AW50">
    <cfRule type="colorScale" priority="9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U31:AW31">
    <cfRule type="colorScale" priority="9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Y28:BA30 AY51 AY32:BA38 AY40:BA50">
    <cfRule type="colorScale" priority="8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Y31:BA31">
    <cfRule type="colorScale" priority="9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C28:BE30 BC51 BC32:BE38 BC40:BE50">
    <cfRule type="colorScale" priority="8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K28:BM30 BK51 BK32:BM38 BK40:BM50">
    <cfRule type="colorScale" priority="8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S28:BU30 BS51 BS32:BU38 BS40:BU50">
    <cfRule type="colorScale" priority="8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S31:BU31">
    <cfRule type="colorScale" priority="8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M28:CO30 CM51 CM32:CO38 CM40:CO50">
    <cfRule type="colorScale" priority="7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M31:CO31">
    <cfRule type="colorScale" priority="8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Q28:CS30 CQ51 CQ32:CS38 CQ40:CS50">
    <cfRule type="colorScale" priority="7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Q31:CS31">
    <cfRule type="colorScale" priority="7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U28:CW30 CU51 CU32:CW38 CU40:CW50">
    <cfRule type="colorScale" priority="7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U31:CW31">
    <cfRule type="colorScale" priority="7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Y28:DA30 CY51 CY32:DA38 CY40:DA50">
    <cfRule type="colorScale" priority="7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Y31:DA31">
    <cfRule type="colorScale" priority="7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DO28:DQ30 DO51 DO32:DQ38 DO40:DQ50">
    <cfRule type="colorScale" priority="6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S28:DU30 DS51 DS32:DU38 DS40:DU50">
    <cfRule type="colorScale" priority="6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W28:DY30 DW51 DW32:DY38 DW40:DY50">
    <cfRule type="colorScale" priority="5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C28:DE30 DC51 DC32:DE38 DC40:DE50">
    <cfRule type="colorScale" priority="3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K28:DM30 DK51 DK32:DM38 DK40:DM50">
    <cfRule type="colorScale" priority="3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EA28:EC30 EA51 EA32:EC38 EA40:EC50">
    <cfRule type="colorScale" priority="3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EE28:EG30 EE51 EE32:EG38 EE40:EG50">
    <cfRule type="colorScale" priority="3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EI28:EK30 EI51 EI32:EK38 EI40:EK50">
    <cfRule type="colorScale" priority="3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EM28:EO30 EM51 EM32:EO38 EM40:EO50">
    <cfRule type="colorScale" priority="3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EQ28:ES30 EQ51 EQ32:ES38 EQ40:ES50">
    <cfRule type="colorScale" priority="2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EY28:FA30 EY51 EY32:FA38 EY40:FA50">
    <cfRule type="colorScale" priority="2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FC28:FE30 FC51 FC32:FE38 FC40:FE50">
    <cfRule type="colorScale" priority="2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FG28:FI30 FG51 FG32:FI38 FG40:FI50">
    <cfRule type="colorScale" priority="2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FK28:FM30 FK51 FK32:FM38 FK40:FM50">
    <cfRule type="colorScale" priority="2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FO28:FQ30 FO51 FO32:FQ38 FO40:FQ50">
    <cfRule type="colorScale" priority="2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M28:GO30 GM51 GM32:GO38 GM40:GO50">
    <cfRule type="colorScale" priority="2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A28:CC30 CA51 CA32:CC38 CA40:CC50">
    <cfRule type="colorScale" priority="1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A31:CC31">
    <cfRule type="colorScale" priority="2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E28:CG30 CE51 CE32:CG38 CE40:CG50">
    <cfRule type="colorScale" priority="1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E31:CG31">
    <cfRule type="colorScale" priority="1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U28:EW30 EU51 EU32:EW38 EU40:EW50">
    <cfRule type="colorScale" priority="1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FS28:FU30 FS51 FS32:FU38 FS40:FU50">
    <cfRule type="colorScale" priority="1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FW28:FY30 FW51 FW32:FY38 FW40:FY50">
    <cfRule type="colorScale" priority="1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A28:GC30 GA51 GA32:GC38 GA40:GC50">
    <cfRule type="colorScale" priority="1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G50:DI50 DG51 DG28:DG30 DG32:DG38 DG40:DG49">
    <cfRule type="colorScale" priority="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DG31:DI31">
    <cfRule type="colorScale" priority="1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W28:BY30 BW51 BW32:BY38 BW40:BY50">
    <cfRule type="colorScale" priority="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I28:CK30 CI51 CI32:CK38 CI40:CK50">
    <cfRule type="colorScale" priority="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E28:GG30 GE51 GE32:GG38 GE40:GG50">
    <cfRule type="colorScale" priority="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AR9 BE9:BS9">
    <cfRule type="expression" dxfId="5" priority="2">
      <formula>$AO$8="Ei"</formula>
    </cfRule>
  </conditionalFormatting>
  <conditionalFormatting sqref="BO28:BQ30 BO51 BO32:BQ38 BO40:BQ50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dataValidations count="32">
    <dataValidation type="list" allowBlank="1" showInputMessage="1" showErrorMessage="1" sqref="BN12">
      <formula1>lõpptarbimine</formula1>
    </dataValidation>
    <dataValidation type="list" allowBlank="1" showInputMessage="1" showErrorMessage="1" sqref="BF7">
      <formula1>Võrk</formula1>
    </dataValidation>
    <dataValidation type="list" allowBlank="1" showInputMessage="1" showErrorMessage="1" sqref="AQ56">
      <formula1>TOP</formula1>
    </dataValidation>
    <dataValidation type="list" allowBlank="1" showInputMessage="1" showErrorMessage="1" sqref="BF8:BS8">
      <formula1>INDIRECT($BX$8)</formula1>
    </dataValidation>
    <dataValidation type="list" allowBlank="1" showInputMessage="1" showErrorMessage="1" sqref="Q8:R8 Q13:R13">
      <formula1>Konkurentsivõime_Koondindeks</formula1>
    </dataValidation>
    <dataValidation type="list" allowBlank="1" showInputMessage="1" showErrorMessage="1" sqref="Q9:R12">
      <formula1>Majanduse_seisund</formula1>
    </dataValidation>
    <dataValidation type="list" allowBlank="1" showInputMessage="1" showErrorMessage="1" sqref="AO7:AP13 AO15:AP19">
      <formula1>binaar</formula1>
    </dataValidation>
    <dataValidation type="list" allowBlank="1" showInputMessage="1" showErrorMessage="1" sqref="BF11:BS11">
      <formula1>INDIRECT($BX$11)</formula1>
    </dataValidation>
    <dataValidation type="list" allowBlank="1" showInputMessage="1" showErrorMessage="1" sqref="BN15">
      <formula1>importkütused</formula1>
    </dataValidation>
    <dataValidation type="list" allowBlank="1" showInputMessage="1" showErrorMessage="1" sqref="BN13">
      <formula1>CO2_nonETS</formula1>
    </dataValidation>
    <dataValidation type="list" allowBlank="1" showInputMessage="1" showErrorMessage="1" sqref="BN17">
      <formula1>NOx_list</formula1>
    </dataValidation>
    <dataValidation type="list" allowBlank="1" showInputMessage="1" showErrorMessage="1" sqref="BN18">
      <formula1>SO2_list</formula1>
    </dataValidation>
    <dataValidation type="list" allowBlank="1" showInputMessage="1" showErrorMessage="1" sqref="BN19">
      <formula1>LOU_list</formula1>
    </dataValidation>
    <dataValidation type="list" allowBlank="1" showInputMessage="1" showErrorMessage="1" sqref="BN20">
      <formula1>PM25_list</formula1>
    </dataValidation>
    <dataValidation type="list" allowBlank="1" showInputMessage="1" showErrorMessage="1" sqref="Q14:R16">
      <formula1>Ressursikasutus</formula1>
    </dataValidation>
    <dataValidation type="list" allowBlank="1" showInputMessage="1" showErrorMessage="1" sqref="BN14:BS14">
      <formula1>KHG_list</formula1>
    </dataValidation>
    <dataValidation type="list" showInputMessage="1" showErrorMessage="1" sqref="AB23:AE23">
      <formula1>IF(AND(ISBLANK(AL23:$GM$23)),isYES,isNo)</formula1>
    </dataValidation>
    <dataValidation type="list" showInputMessage="1" showErrorMessage="1" sqref="AG23:AJ23">
      <formula1>IF(AND(ISBLANK(AL23:$GM$23)*ISBLANK(AB23)),isYES,isNo)</formula1>
    </dataValidation>
    <dataValidation type="list" showInputMessage="1" showErrorMessage="1" sqref="AQ23:AS23">
      <formula1>IF(AND(ISBLANK(AU23:$GM$23)*AND(ISBLANK($AB$23:AL23))),isYES,isNo)</formula1>
    </dataValidation>
    <dataValidation type="list" showInputMessage="1" showErrorMessage="1" sqref="GI23:GK23">
      <formula1>IF(AND(ISBLANK(GY23:$GY$23)*AND(ISBLANK($AB$23:GE23))),isYES,isNo)</formula1>
    </dataValidation>
    <dataValidation type="list" showInputMessage="1" showErrorMessage="1" sqref="CI23:CK23">
      <formula1>IF(AND(ISBLANK(DC23:$GM$23)*AND(ISBLANK($AB$23:CE23))),isYES,isNo)</formula1>
    </dataValidation>
    <dataValidation type="list" showInputMessage="1" showErrorMessage="1" sqref="CM23:CO23">
      <formula1>IF(AND(ISBLANK(CQ23:$GM$23)*AND(ISBLANK($AB$23:BS23))),isYES,isNo)</formula1>
    </dataValidation>
    <dataValidation type="list" showInputMessage="1" showErrorMessage="1" sqref="GM23:GO23">
      <formula1>IF(AND(ISBLANK(GM23:$GQ$23)*AND(ISBLANK($AB$23:FK23))),isYES,isNo)</formula1>
    </dataValidation>
    <dataValidation type="list" showInputMessage="1" showErrorMessage="1" sqref="AL23:AO23">
      <formula1>IF(AND(ISBLANK(AQ23:$GM$23)*AND(ISBLANK($AB$23:AG23))),isYES,isNo)</formula1>
    </dataValidation>
    <dataValidation type="list" showInputMessage="1" showErrorMessage="1" sqref="DO23:DQ23 DS23:DU23 DW23:DY23 EA23:EC23 EE23:EG23 EI23:EK23 EM23:EO23 EQ23:ES23 EU23:EW23 EY23:FA23 FC23:FE23 FG23:FI23 FK23:FM23 FO23:FQ23 FS23:FU23 FW23:FY23 GA23:GC23 GE23:GG23">
      <formula1>IF(AND(ISBLANK(DS23:$GM$23)*AND(ISBLANK($AB$23:DK23))),isYES,isNo)</formula1>
    </dataValidation>
    <dataValidation type="list" showInputMessage="1" showErrorMessage="1" sqref="CE23:CG23">
      <formula1>IF(AND(ISBLANK(CY23:$GM$23)*AND(ISBLANK($AB$23:CA23))),isYES,isNo)</formula1>
    </dataValidation>
    <dataValidation type="list" showInputMessage="1" showErrorMessage="1" sqref="CY23:DA23">
      <formula1>IF(AND(ISBLANK(DC23:$GM$23)*AND(ISBLANK($AB$23:CU23))),isYES,isNo)</formula1>
    </dataValidation>
    <dataValidation type="list" showInputMessage="1" showErrorMessage="1" sqref="CA23:CC23">
      <formula1>IF(AND(ISBLANK(CU23:$GM$23)*AND(ISBLANK($AB$23:BW23))),isYES,isNo)</formula1>
    </dataValidation>
    <dataValidation type="list" showInputMessage="1" showErrorMessage="1" sqref="AU23:AW23 AY23:BA23 BC23:BE23 BG23:BI23 BK23:BM23 BO23:BQ23 CQ23:CS23 CU23:CW23">
      <formula1>IF(AND(ISBLANK(AY23:$GM$23)*AND(ISBLANK($AB$23:AQ23))),isYES,isNo)</formula1>
    </dataValidation>
    <dataValidation type="list" showInputMessage="1" showErrorMessage="1" sqref="BS23:BU23 BW23:BY23">
      <formula1>IF(AND(ISBLANK(CM23:$GM$23)*AND(ISBLANK($AB$23:BO23))),isYES,isNo)</formula1>
    </dataValidation>
    <dataValidation type="list" showInputMessage="1" showErrorMessage="1" sqref="DC23:DE23">
      <formula1>IF(AND(ISBLANK(DK23:$GM$23)*AND(ISBLANK($AB$23:CY23))),isYES,isNo)</formula1>
    </dataValidation>
    <dataValidation type="list" showInputMessage="1" showErrorMessage="1" sqref="DG23:DI23 DK23:DM23">
      <formula1>IF(AND(ISBLANK(DK23:$GM$23)*AND(ISBLANK($AB$23:CY23))),isYES,isNo)</formula1>
    </dataValidation>
  </dataValidations>
  <hyperlinks>
    <hyperlink ref="P24" r:id="rId1" display="http://www.energiatalgud.ee/index.php?title=Hoonefondi_ENMAK_stsenaariumid"/>
  </hyperlinks>
  <pageMargins left="0.7" right="0.7" top="0.75" bottom="0.75" header="0.3" footer="0.3"/>
  <pageSetup paperSize="9" scale="49" orientation="landscape"/>
  <drawing r:id="rId2"/>
  <legacy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633" id="{99714BA2-7FD1-493E-B7CB-D20BABE9D114}">
            <xm:f>AND(#REF!=data!$C$19,ISTEXT($AJ10))</xm:f>
            <x14:dxf>
              <fill>
                <patternFill>
                  <bgColor rgb="FFFF0000"/>
                </patternFill>
              </fill>
            </x14:dxf>
          </x14:cfRule>
          <xm:sqref>Q8:R16</xm:sqref>
        </x14:conditionalFormatting>
        <x14:conditionalFormatting xmlns:xm="http://schemas.microsoft.com/office/excel/2006/main">
          <x14:cfRule type="expression" priority="634" id="{413EB770-524E-4967-8A6A-E4E55AC2D465}">
            <xm:f>AND(#REF!=data!$D$19,ISNUMBER($AJ10))</xm:f>
            <x14:dxf>
              <fill>
                <patternFill>
                  <bgColor rgb="FFFF0000"/>
                </patternFill>
              </fill>
            </x14:dxf>
          </x14:cfRule>
          <xm:sqref>Q8:R16</xm:sqref>
        </x14:conditionalFormatting>
        <x14:conditionalFormatting xmlns:xm="http://schemas.microsoft.com/office/excel/2006/main">
          <x14:cfRule type="expression" priority="274" id="{0A58BCA2-FE13-48C6-8832-77891806B029}">
            <xm:f>AND(#REF!=data!$C$19,ISTEXT($AJ9))</xm:f>
            <x14:dxf>
              <fill>
                <patternFill>
                  <bgColor rgb="FFFF0000"/>
                </patternFill>
              </fill>
            </x14:dxf>
          </x14:cfRule>
          <xm:sqref>BF7</xm:sqref>
        </x14:conditionalFormatting>
        <x14:conditionalFormatting xmlns:xm="http://schemas.microsoft.com/office/excel/2006/main">
          <x14:cfRule type="expression" priority="275" id="{A2CB9AD8-3391-433A-A69F-0828B6D3B10B}">
            <xm:f>AND(#REF!=data!$D$19,ISNUMBER($AJ9))</xm:f>
            <x14:dxf>
              <fill>
                <patternFill>
                  <bgColor rgb="FFFF0000"/>
                </patternFill>
              </fill>
            </x14:dxf>
          </x14:cfRule>
          <xm:sqref>BF7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1:CL138"/>
  <sheetViews>
    <sheetView zoomScale="70" zoomScaleNormal="70" zoomScalePageLayoutView="70" workbookViewId="0">
      <pane xSplit="2" ySplit="2" topLeftCell="E3" activePane="bottomRight" state="frozen"/>
      <selection pane="topRight" activeCell="C1" sqref="C1"/>
      <selection pane="bottomLeft" activeCell="A3" sqref="A3"/>
      <selection pane="bottomRight" activeCell="AT1" sqref="AT1"/>
    </sheetView>
  </sheetViews>
  <sheetFormatPr baseColWidth="10" defaultColWidth="8.796875" defaultRowHeight="15" x14ac:dyDescent="0.2"/>
  <cols>
    <col min="1" max="3" width="8.796875" style="25"/>
    <col min="4" max="44" width="5" style="25" customWidth="1"/>
    <col min="45" max="45" width="11.3984375" style="25" customWidth="1"/>
    <col min="46" max="46" width="16.19921875" style="25" customWidth="1"/>
    <col min="47" max="47" width="12.19921875" style="25" customWidth="1"/>
    <col min="48" max="48" width="10.3984375" style="25" customWidth="1"/>
    <col min="49" max="49" width="9.796875" style="25" customWidth="1"/>
    <col min="50" max="50" width="13" style="25" customWidth="1"/>
    <col min="51" max="52" width="8.796875" style="25"/>
    <col min="53" max="83" width="4.796875" style="25" customWidth="1"/>
    <col min="84" max="90" width="5.796875" style="25" customWidth="1"/>
    <col min="91" max="16384" width="8.796875" style="25"/>
  </cols>
  <sheetData>
    <row r="1" spans="2:90" ht="199.25" customHeight="1" x14ac:dyDescent="0.2">
      <c r="D1" s="299" t="str">
        <f t="array" ref="D1">INDEX(data!$C$67:$D$107,MATCH('KSH järjestus'!D$3,data!$D$67:$D$107,0),1)</f>
        <v>MAJANDUSE KONKURENTSIVÕIME KOONDINDEKS</v>
      </c>
      <c r="E1" s="299" t="str">
        <f t="array" ref="E1">INDEX(data!$C$67:$D$107,MATCH('KSH järjestus'!E$3,data!$D$67:$D$107,0),1)</f>
        <v>SKP muutus turuhindades 2015-2030 VS BAAS, mln €/a</v>
      </c>
      <c r="F1" s="299" t="str">
        <f t="array" ref="F1">INDEX(data!$C$67:$D$107,MATCH('KSH järjestus'!F$3,data!$D$67:$D$107,0),1)</f>
        <v>KULUD JA TULUD KOKKU [MEUR/a]</v>
      </c>
      <c r="G1" s="299" t="str">
        <f t="array" ref="G1">INDEX(data!$C$67:$D$107,MATCH('KSH järjestus'!G$3,data!$D$67:$D$107,0),1)</f>
        <v>sh RIIGI TEGEVUSTE MAKSUMUS VS BAAS [MEUR/a]</v>
      </c>
      <c r="H1" s="299" t="str">
        <f t="array" ref="H1">INDEX(data!$C$67:$D$107,MATCH('KSH järjestus'!H$3,data!$D$67:$D$107,0),1)</f>
        <v>sh MAKSUTULU LAEKUMINE VS BAAS [MEUR/a]</v>
      </c>
      <c r="I1" s="299" t="str">
        <f t="array" ref="I1">INDEX(data!$C$67:$D$107,MATCH('KSH järjestus'!I$3,data!$D$67:$D$107,0),1)</f>
        <v>sh RAHAS MÕÕDETAVAD VÄLISMÕJUD [MEUR/a]</v>
      </c>
      <c r="J1" s="299" t="str">
        <f t="array" ref="J1">INDEX(data!$C$67:$D$107,MATCH('KSH järjestus'!J$3,data!$D$67:$D$107,0),1)</f>
        <v>IMPORDITAVATE KÜTUSTE OSAKAAL 2030</v>
      </c>
      <c r="K1" s="299" t="str">
        <f t="array" ref="K1">INDEX(data!$C$67:$D$107,MATCH('KSH järjestus'!K$3,data!$D$67:$D$107,0),1)</f>
        <v>SAIDI [minutit]</v>
      </c>
      <c r="L1" s="299" t="str">
        <f t="array" ref="L1">INDEX(data!$C$67:$D$107,MATCH('KSH järjestus'!L$3,data!$D$67:$D$107,0),1)</f>
        <v>Imporditud transpordikütuste osakaal</v>
      </c>
      <c r="M1" s="299" t="str">
        <f t="array" ref="M1">INDEX(data!$C$67:$D$107,MATCH('KSH järjestus'!M$3,data!$D$67:$D$107,0),1)</f>
        <v>Imporditud elektritoodangu osakaal</v>
      </c>
      <c r="N1" s="299" t="str">
        <f t="array" ref="N1">INDEX(data!$C$67:$D$107,MATCH('KSH järjestus'!N$3,data!$D$67:$D$107,0),1)</f>
        <v>TAASTUVENERGIA % @ 2030</v>
      </c>
      <c r="O1" s="299" t="str">
        <f t="array" ref="O1">INDEX(data!$C$67:$D$107,MATCH('KSH järjestus'!O$3,data!$D$67:$D$107,0),1)</f>
        <v>SKP MUUTUS 2015...2030 VS BAAS</v>
      </c>
      <c r="P1" s="299" t="str">
        <f t="array" ref="P1">INDEX(data!$C$67:$D$107,MATCH('KSH järjestus'!P$3,data!$D$67:$D$107,0),1)</f>
        <v>VÄLISKAUBANDUSE SALDO MUUTUS 2015...2030 VS BAAS</v>
      </c>
      <c r="Q1" s="299" t="str">
        <f t="array" ref="Q1">INDEX(data!$C$67:$D$107,MATCH('KSH järjestus'!Q$3,data!$D$67:$D$107,0),1)</f>
        <v>TÖÖVILJAKUSE MUUTUS 2015...2030 VS BAAS</v>
      </c>
      <c r="R1" s="299" t="str">
        <f t="array" ref="R1">INDEX(data!$C$67:$D$107,MATCH('KSH järjestus'!R$3,data!$D$67:$D$107,0),1)</f>
        <v>TÖÖHÕIVE MUUTUS 2015...2030 VS BAAS</v>
      </c>
      <c r="S1" s="299" t="str">
        <f t="array" ref="S1">INDEX(data!$C$67:$D$107,MATCH('KSH järjestus'!S$3,data!$D$67:$D$107,0),1)</f>
        <v>PM2.5 @ 2030</v>
      </c>
      <c r="T1" s="299" t="str">
        <f t="array" ref="T1">INDEX(data!$C$67:$D$107,MATCH('KSH järjestus'!T$3,data!$D$67:$D$107,0),1)</f>
        <v>Mõju inimese tervisele @ 2030 [kDALY]</v>
      </c>
      <c r="U1" s="299" t="str">
        <f t="array" ref="U1">INDEX(data!$C$67:$D$107,MATCH('KSH järjestus'!U$3,data!$D$67:$D$107,0),1)</f>
        <v>PRIMAARENERGIA/SKP 2015...2030 VS BAAS</v>
      </c>
      <c r="V1" s="299" t="str">
        <f t="array" ref="V1">INDEX(data!$C$67:$D$107,MATCH('KSH järjestus'!V$3,data!$D$67:$D$107,0),1)</f>
        <v>FOS. KÜTUSTED/SKP 2015...2030 VS BAAS</v>
      </c>
      <c r="W1" s="299" t="str">
        <f t="array" ref="W1">INDEX(data!$C$67:$D$107,MATCH('KSH järjestus'!W$3,data!$D$67:$D$107,0),1)</f>
        <v>CO2 KOGUEMISSIOON/SKP 2015...2030 VS BAAS</v>
      </c>
      <c r="X1" s="299" t="str">
        <f t="array" ref="X1">INDEX(data!$C$67:$D$107,MATCH('KSH järjestus'!X$3,data!$D$67:$D$107,0),1)</f>
        <v>KHG @ 2030 [Mton/a]</v>
      </c>
      <c r="Y1" s="299" t="str">
        <f t="array" ref="Y1">INDEX(data!$C$67:$D$107,MATCH('KSH järjestus'!Y$3,data!$D$67:$D$107,0),1)</f>
        <v>CO2 ETS @ 2030 [Mton/a]</v>
      </c>
      <c r="Z1" s="299" t="str">
        <f t="array" ref="Z1">INDEX(data!$C$67:$D$107,MATCH('KSH järjestus'!Z$3,data!$D$67:$D$107,0),1)</f>
        <v>CO2 non-ETS @ 2030 [Mton/a]</v>
      </c>
      <c r="AA1" s="299" t="str">
        <f t="array" ref="AA1">INDEX(data!$C$67:$D$107,MATCH('KSH järjestus'!AA$3,data!$D$67:$D$107,0),1)</f>
        <v>NOx [kt] @ 2030</v>
      </c>
      <c r="AB1" s="299" t="str">
        <f t="array" ref="AB1">INDEX(data!$C$67:$D$107,MATCH('KSH järjestus'!AB$3,data!$D$67:$D$107,0),1)</f>
        <v>SO2 [kt] @ 2030</v>
      </c>
      <c r="AC1" s="299" t="str">
        <f t="array" ref="AC1">INDEX(data!$C$67:$D$107,MATCH('KSH järjestus'!AC$3,data!$D$67:$D$107,0),1)</f>
        <v>Ökosüsteemi kvaliteet [Species*y]</v>
      </c>
      <c r="AD1" s="299" t="str">
        <f t="array" ref="AD1">INDEX(data!$C$67:$D$107,MATCH('KSH järjestus'!AD$3,data!$D$67:$D$107,0),1)</f>
        <v>Mõju globaalsele soojenemisele</v>
      </c>
      <c r="AE1" s="299" t="str">
        <f t="array" ref="AE1">INDEX(data!$C$67:$D$107,MATCH('KSH järjestus'!AE$3,data!$D$67:$D$107,0),1)</f>
        <v>Ressursside ammendumine</v>
      </c>
      <c r="AF1" s="299" t="str">
        <f t="array" ref="AF1">INDEX(data!$C$67:$D$107,MATCH('KSH järjestus'!AF$3,data!$D$67:$D$107,0),1)</f>
        <v>Keskkonnamõju kokku [Pt]</v>
      </c>
      <c r="AG1" s="299" t="str">
        <f t="array" ref="AG1">INDEX(data!$C$67:$D$107,MATCH('KSH järjestus'!AG$3,data!$D$67:$D$107,0),1)</f>
        <v>PM2.5-st tingitud varajaste surmajuhtumite arv @ 2030</v>
      </c>
      <c r="AH1" s="299" t="str">
        <f t="array" ref="AH1">INDEX(data!$C$67:$D$107,MATCH('KSH järjestus'!AH$3,data!$D$67:$D$107,0),1)</f>
        <v>LOÜ @ 2030 [1000 t]</v>
      </c>
      <c r="AI1" s="299" t="str">
        <f t="array" ref="AI1">INDEX(data!$C$67:$D$107,MATCH('KSH järjestus'!AI$3,data!$D$67:$D$107,0),1)</f>
        <v>Primaarenergiaga varustatus @ 2030</v>
      </c>
      <c r="AJ1" s="299" t="str">
        <f t="array" ref="AJ1">INDEX(data!$C$67:$D$107,MATCH('KSH järjestus'!AJ$3,data!$D$67:$D$107,0),1)</f>
        <v>Kütusevabade taastuvate allikate osakaal energia lõpptarbimisest @ 2030</v>
      </c>
      <c r="AK1" s="299" t="str">
        <f t="array" ref="AK1">INDEX(data!$C$67:$D$107,MATCH('KSH järjestus'!AK$3,data!$D$67:$D$107,0),1)</f>
        <v>Taastuvate allikate osakaal energia lõpptarbimisest @ 2030</v>
      </c>
      <c r="AL1" s="299" t="str">
        <f t="array" ref="AL1">INDEX(data!$C$67:$D$107,MATCH('KSH järjestus'!AL$3,data!$D$67:$D$107,0),1)</f>
        <v>Puitkütuste kogutarbimine @2030, mln tm/a</v>
      </c>
      <c r="AM1" s="299" t="str">
        <f t="array" ref="AM1">INDEX(data!$C$67:$D$107,MATCH('KSH järjestus'!AM$3,data!$D$67:$D$107,0),1)</f>
        <v>KHG (CO2 eq) @ 2050</v>
      </c>
      <c r="AN1" s="299" t="str">
        <f t="array" ref="AN1">INDEX(data!$C$67:$D$107,MATCH('KSH järjestus'!AN$3,data!$D$67:$D$107,0),1)</f>
        <v>PAH @ 2030 [1000 t]</v>
      </c>
      <c r="AO1" s="299" t="str">
        <f t="array" ref="AO1">INDEX(data!$C$67:$D$107,MATCH('KSH järjestus'!AO$3,data!$D$67:$D$107,0),1)</f>
        <v>HCB @ 2030 [kg]</v>
      </c>
    </row>
    <row r="2" spans="2:90" x14ac:dyDescent="0.2">
      <c r="B2" s="25">
        <v>2030</v>
      </c>
      <c r="D2" s="25">
        <f>VLOOKUP('KSH järjestus'!D$3,data!$D$67:$E$107,2,FALSE)</f>
        <v>0</v>
      </c>
      <c r="E2" s="25">
        <f>VLOOKUP('KSH järjestus'!E$3,data!$D$67:$E$107,2,FALSE)</f>
        <v>0</v>
      </c>
      <c r="F2" s="25">
        <f>VLOOKUP('KSH järjestus'!F$3,data!$D$67:$E$107,2,FALSE)</f>
        <v>0</v>
      </c>
      <c r="G2" s="25">
        <f>VLOOKUP('KSH järjestus'!G$3,data!$D$67:$E$107,2,FALSE)</f>
        <v>1</v>
      </c>
      <c r="H2" s="25">
        <f>VLOOKUP('KSH järjestus'!H$3,data!$D$67:$E$107,2,FALSE)</f>
        <v>0</v>
      </c>
      <c r="I2" s="25">
        <f>VLOOKUP('KSH järjestus'!I$3,data!$D$67:$E$107,2,FALSE)</f>
        <v>0</v>
      </c>
      <c r="J2" s="25">
        <f>VLOOKUP('KSH järjestus'!J$3,data!$D$67:$E$107,2,FALSE)</f>
        <v>1</v>
      </c>
      <c r="K2" s="25">
        <f>VLOOKUP('KSH järjestus'!K$3,data!$D$67:$E$107,2,FALSE)</f>
        <v>1</v>
      </c>
      <c r="L2" s="25">
        <f>VLOOKUP('KSH järjestus'!L$3,data!$D$67:$E$107,2,FALSE)</f>
        <v>1</v>
      </c>
      <c r="M2" s="25">
        <f>VLOOKUP('KSH järjestus'!M$3,data!$D$67:$E$107,2,FALSE)</f>
        <v>1</v>
      </c>
      <c r="N2" s="25">
        <f>VLOOKUP('KSH järjestus'!N$3,data!$D$67:$E$107,2,FALSE)</f>
        <v>0</v>
      </c>
      <c r="O2" s="25">
        <f>VLOOKUP('KSH järjestus'!O$3,data!$D$67:$E$107,2,FALSE)</f>
        <v>0</v>
      </c>
      <c r="P2" s="25">
        <f>VLOOKUP('KSH järjestus'!P$3,data!$D$67:$E$107,2,FALSE)</f>
        <v>0</v>
      </c>
      <c r="Q2" s="25">
        <f>VLOOKUP('KSH järjestus'!Q$3,data!$D$67:$E$107,2,FALSE)</f>
        <v>0</v>
      </c>
      <c r="R2" s="25">
        <f>VLOOKUP('KSH järjestus'!R$3,data!$D$67:$E$107,2,FALSE)</f>
        <v>0</v>
      </c>
      <c r="S2" s="25">
        <f>VLOOKUP('KSH järjestus'!S$3,data!$D$67:$E$107,2,FALSE)</f>
        <v>1</v>
      </c>
      <c r="T2" s="25">
        <f>VLOOKUP('KSH järjestus'!T$3,data!$D$67:$E$107,2,FALSE)</f>
        <v>1</v>
      </c>
      <c r="U2" s="25">
        <f>VLOOKUP('KSH järjestus'!U$3,data!$D$67:$E$107,2,FALSE)</f>
        <v>1</v>
      </c>
      <c r="V2" s="25">
        <f>VLOOKUP('KSH järjestus'!V$3,data!$D$67:$E$107,2,FALSE)</f>
        <v>1</v>
      </c>
      <c r="W2" s="25">
        <f>VLOOKUP('KSH järjestus'!W$3,data!$D$67:$E$107,2,FALSE)</f>
        <v>1</v>
      </c>
      <c r="X2" s="25">
        <f>VLOOKUP('KSH järjestus'!X$3,data!$D$67:$E$107,2,FALSE)</f>
        <v>1</v>
      </c>
      <c r="Y2" s="25">
        <f>VLOOKUP('KSH järjestus'!Y$3,data!$D$67:$E$107,2,FALSE)</f>
        <v>1</v>
      </c>
      <c r="Z2" s="25">
        <f>VLOOKUP('KSH järjestus'!Z$3,data!$D$67:$E$107,2,FALSE)</f>
        <v>1</v>
      </c>
      <c r="AA2" s="25">
        <f>VLOOKUP('KSH järjestus'!AA$3,data!$D$67:$E$107,2,FALSE)</f>
        <v>1</v>
      </c>
      <c r="AB2" s="25">
        <f>VLOOKUP('KSH järjestus'!AB$3,data!$D$67:$E$107,2,FALSE)</f>
        <v>1</v>
      </c>
      <c r="AC2" s="25">
        <f>VLOOKUP('KSH järjestus'!AC$3,data!$D$67:$E$107,2,FALSE)</f>
        <v>1</v>
      </c>
      <c r="AD2" s="25">
        <f>VLOOKUP('KSH järjestus'!AD$3,data!$D$67:$E$107,2,FALSE)</f>
        <v>1</v>
      </c>
      <c r="AE2" s="25">
        <f>VLOOKUP('KSH järjestus'!AE$3,data!$D$67:$E$107,2,FALSE)</f>
        <v>1</v>
      </c>
      <c r="AF2" s="25">
        <f>VLOOKUP('KSH järjestus'!AF$3,data!$D$67:$E$107,2,FALSE)</f>
        <v>1</v>
      </c>
      <c r="AG2" s="25">
        <f>VLOOKUP('KSH järjestus'!AG$3,data!$D$67:$E$107,2,FALSE)</f>
        <v>1</v>
      </c>
      <c r="AH2" s="25">
        <f>VLOOKUP('KSH järjestus'!AH$3,data!$D$67:$E$107,2,FALSE)</f>
        <v>1</v>
      </c>
      <c r="AI2" s="25">
        <f>VLOOKUP('KSH järjestus'!AI$3,data!$D$67:$E$107,2,FALSE)</f>
        <v>1</v>
      </c>
      <c r="AJ2" s="25">
        <f>VLOOKUP('KSH järjestus'!AJ$3,data!$D$67:$E$107,2,FALSE)</f>
        <v>0</v>
      </c>
      <c r="AK2" s="25">
        <f>VLOOKUP('KSH järjestus'!AK$3,data!$D$67:$E$107,2,FALSE)</f>
        <v>0</v>
      </c>
      <c r="AL2" s="25">
        <f>VLOOKUP('KSH järjestus'!AL$3,data!$D$67:$E$107,2,FALSE)</f>
        <v>0</v>
      </c>
      <c r="AM2" s="25">
        <f>VLOOKUP('KSH järjestus'!AM$3,data!$D$67:$E$107,2,FALSE)</f>
        <v>1</v>
      </c>
      <c r="AN2" s="25">
        <f>VLOOKUP('KSH järjestus'!AN$3,data!$D$67:$E$107,2,FALSE)</f>
        <v>1</v>
      </c>
      <c r="AO2" s="25">
        <f>VLOOKUP('KSH järjestus'!AO$3,data!$D$67:$E$107,2,FALSE)</f>
        <v>1</v>
      </c>
      <c r="BA2" s="517" t="s">
        <v>676</v>
      </c>
      <c r="BB2" s="517"/>
      <c r="BC2" s="517"/>
      <c r="BD2" s="517"/>
      <c r="BE2" s="517"/>
      <c r="BF2" s="517"/>
      <c r="BG2" s="517"/>
      <c r="BH2" s="517"/>
      <c r="BI2" s="517"/>
      <c r="BJ2" s="517"/>
      <c r="BK2" s="517"/>
      <c r="BL2" s="517"/>
      <c r="BM2" s="517"/>
      <c r="BN2" s="517"/>
      <c r="BO2" s="517"/>
      <c r="BP2" s="517"/>
      <c r="BQ2" s="517"/>
      <c r="BR2" s="517"/>
      <c r="BS2" s="517"/>
      <c r="BT2" s="517"/>
      <c r="BU2" s="517"/>
      <c r="BV2" s="517"/>
      <c r="BW2" s="517"/>
      <c r="BX2" s="517"/>
      <c r="BY2" s="517"/>
      <c r="BZ2" s="517"/>
      <c r="CA2" s="517"/>
      <c r="CB2" s="517"/>
      <c r="CC2" s="517"/>
      <c r="CD2" s="517"/>
      <c r="CE2" s="517"/>
      <c r="CF2" s="517"/>
      <c r="CG2" s="517"/>
      <c r="CH2" s="517"/>
      <c r="CI2" s="517"/>
      <c r="CJ2" s="517"/>
      <c r="CK2" s="517"/>
      <c r="CL2" s="517"/>
    </row>
    <row r="3" spans="2:90" ht="45" x14ac:dyDescent="0.2">
      <c r="D3" s="25">
        <v>26</v>
      </c>
      <c r="E3" s="25">
        <v>152</v>
      </c>
      <c r="F3" s="25">
        <v>157</v>
      </c>
      <c r="G3" s="25">
        <v>155</v>
      </c>
      <c r="H3" s="25">
        <v>156</v>
      </c>
      <c r="I3" s="25">
        <v>127</v>
      </c>
      <c r="J3" s="25">
        <v>47</v>
      </c>
      <c r="K3" s="25">
        <v>83</v>
      </c>
      <c r="L3" s="25">
        <v>85</v>
      </c>
      <c r="M3" s="25">
        <v>150</v>
      </c>
      <c r="N3" s="25">
        <v>48</v>
      </c>
      <c r="O3" s="25">
        <v>19</v>
      </c>
      <c r="P3" s="25">
        <v>20</v>
      </c>
      <c r="Q3" s="25">
        <v>21</v>
      </c>
      <c r="R3" s="25">
        <v>22</v>
      </c>
      <c r="S3" s="25">
        <v>81</v>
      </c>
      <c r="T3" s="25">
        <v>88</v>
      </c>
      <c r="U3" s="25">
        <v>23</v>
      </c>
      <c r="V3" s="25">
        <v>24</v>
      </c>
      <c r="W3" s="25">
        <v>25</v>
      </c>
      <c r="X3" s="25">
        <v>80</v>
      </c>
      <c r="Y3" s="25">
        <v>17</v>
      </c>
      <c r="Z3" s="25">
        <v>18</v>
      </c>
      <c r="AA3" s="25">
        <v>78</v>
      </c>
      <c r="AB3" s="25">
        <v>79</v>
      </c>
      <c r="AC3" s="25">
        <v>89</v>
      </c>
      <c r="AD3" s="25">
        <v>90</v>
      </c>
      <c r="AE3" s="25">
        <v>91</v>
      </c>
      <c r="AF3" s="25">
        <v>92</v>
      </c>
      <c r="AG3" s="25">
        <v>153</v>
      </c>
      <c r="AH3" s="25">
        <v>82</v>
      </c>
      <c r="AI3" s="87">
        <v>123</v>
      </c>
      <c r="AJ3" s="87">
        <v>124</v>
      </c>
      <c r="AK3" s="87">
        <v>125</v>
      </c>
      <c r="AL3" s="87">
        <v>131</v>
      </c>
      <c r="AM3" s="25">
        <v>120</v>
      </c>
      <c r="AN3" s="25">
        <v>129</v>
      </c>
      <c r="AO3" s="25">
        <v>130</v>
      </c>
      <c r="AS3" s="333" t="s">
        <v>544</v>
      </c>
      <c r="AT3" s="355" t="s">
        <v>674</v>
      </c>
      <c r="AU3" s="355" t="s">
        <v>675</v>
      </c>
      <c r="AV3" s="453" t="s">
        <v>543</v>
      </c>
      <c r="AW3" s="453"/>
      <c r="AX3" s="453"/>
      <c r="AY3" s="453"/>
      <c r="BA3" s="25">
        <v>26</v>
      </c>
      <c r="BB3" s="25">
        <v>152</v>
      </c>
      <c r="BC3" s="25">
        <v>157</v>
      </c>
      <c r="BD3" s="25">
        <v>155</v>
      </c>
      <c r="BE3" s="25">
        <v>156</v>
      </c>
      <c r="BF3" s="25">
        <v>127</v>
      </c>
      <c r="BG3" s="25">
        <v>47</v>
      </c>
      <c r="BH3" s="25">
        <v>83</v>
      </c>
      <c r="BI3" s="25">
        <v>85</v>
      </c>
      <c r="BJ3" s="25">
        <v>150</v>
      </c>
      <c r="BK3" s="25">
        <v>48</v>
      </c>
      <c r="BL3" s="25">
        <v>19</v>
      </c>
      <c r="BM3" s="25">
        <v>20</v>
      </c>
      <c r="BN3" s="25">
        <v>21</v>
      </c>
      <c r="BO3" s="25">
        <v>22</v>
      </c>
      <c r="BP3" s="25">
        <v>81</v>
      </c>
      <c r="BQ3" s="25">
        <v>88</v>
      </c>
      <c r="BR3" s="25">
        <v>23</v>
      </c>
      <c r="BS3" s="25">
        <v>24</v>
      </c>
      <c r="BT3" s="25">
        <v>25</v>
      </c>
      <c r="BU3" s="25">
        <v>80</v>
      </c>
      <c r="BV3" s="25">
        <v>17</v>
      </c>
      <c r="BW3" s="25">
        <v>18</v>
      </c>
      <c r="BX3" s="25">
        <v>78</v>
      </c>
      <c r="BY3" s="25">
        <v>79</v>
      </c>
      <c r="BZ3" s="25">
        <v>89</v>
      </c>
      <c r="CA3" s="25">
        <v>90</v>
      </c>
      <c r="CB3" s="25">
        <v>91</v>
      </c>
      <c r="CC3" s="25">
        <v>92</v>
      </c>
      <c r="CD3" s="25">
        <v>153</v>
      </c>
      <c r="CE3" s="25">
        <v>82</v>
      </c>
      <c r="CF3" s="87">
        <v>123</v>
      </c>
      <c r="CG3" s="87">
        <v>124</v>
      </c>
      <c r="CH3" s="87">
        <v>125</v>
      </c>
      <c r="CI3" s="87">
        <v>131</v>
      </c>
      <c r="CJ3" s="25">
        <v>120</v>
      </c>
      <c r="CK3" s="25">
        <v>129</v>
      </c>
      <c r="CL3" s="25">
        <v>130</v>
      </c>
    </row>
    <row r="4" spans="2:90" x14ac:dyDescent="0.2">
      <c r="C4" s="184">
        <v>1</v>
      </c>
      <c r="G4" s="25">
        <f>RANK(INDEX(KOMBI!$A$11:$GI$145,MATCH('KSH järjestus'!$C4,KOMBI!$A$11:$A$145,0),MATCH('KSH järjestus'!G$3,KOMBI!$A$1:$GI$1,0)),BD$4:BD$138,G$2)</f>
        <v>131</v>
      </c>
      <c r="H4" s="25">
        <f>RANK(INDEX(KOMBI!$A$11:$GI$145,MATCH('KSH järjestus'!$C4,KOMBI!$A$11:$A$145,0),MATCH('KSH järjestus'!H$3,KOMBI!$A$1:$GI$1,0)),BE$4:BE$138,H$2)</f>
        <v>135</v>
      </c>
      <c r="J4" s="25">
        <f>RANK(INDEX(KOMBI!$A$11:$GI$145,MATCH('KSH järjestus'!$C4,KOMBI!$A$11:$A$145,0),MATCH('KSH järjestus'!J$3,KOMBI!$A$1:$GI$1,0)),BG$4:BG$138,J$2)</f>
        <v>113</v>
      </c>
      <c r="M4" s="25">
        <f>RANK(INDEX(KOMBI!$A$11:$GI$145,MATCH('KSH järjestus'!$C4,KOMBI!$A$11:$A$145,0),MATCH('KSH järjestus'!M$3,KOMBI!$A$1:$GI$1,0)),BJ$4:BJ$138,M$2)</f>
        <v>55</v>
      </c>
      <c r="N4" s="25">
        <f>RANK(INDEX(KOMBI!$A$11:$GI$145,MATCH('KSH järjestus'!$C4,KOMBI!$A$11:$A$145,0),MATCH('KSH järjestus'!N$3,KOMBI!$A$1:$GI$1,0)),BK$4:BK$138,N$2)</f>
        <v>91</v>
      </c>
      <c r="O4" s="25">
        <f>RANK(INDEX(KOMBI!$A$11:$GI$145,MATCH('KSH järjestus'!$C4,KOMBI!$A$11:$A$145,0),MATCH('KSH järjestus'!O$3,KOMBI!$A$1:$GI$1,0)),BL$4:BL$138,O$2)</f>
        <v>135</v>
      </c>
      <c r="P4" s="25">
        <f>RANK(INDEX(KOMBI!$A$11:$GI$145,MATCH('KSH järjestus'!$C4,KOMBI!$A$11:$A$145,0),MATCH('KSH järjestus'!P$3,KOMBI!$A$1:$GI$1,0)),BM$4:BM$138,P$2)</f>
        <v>80</v>
      </c>
      <c r="Q4" s="25">
        <f>RANK(INDEX(KOMBI!$A$11:$GI$145,MATCH('KSH järjestus'!$C4,KOMBI!$A$11:$A$145,0),MATCH('KSH järjestus'!Q$3,KOMBI!$A$1:$GI$1,0)),BN$4:BN$138,Q$2)</f>
        <v>121</v>
      </c>
      <c r="R4" s="25">
        <f>RANK(INDEX(KOMBI!$A$11:$GI$145,MATCH('KSH järjestus'!$C4,KOMBI!$A$11:$A$145,0),MATCH('KSH järjestus'!R$3,KOMBI!$A$1:$GI$1,0)),BO$4:BO$138,R$2)</f>
        <v>135</v>
      </c>
      <c r="T4" s="25">
        <f>RANK(INDEX(KOMBI!$A$11:$GI$145,MATCH('KSH järjestus'!$C4,KOMBI!$A$11:$A$145,0),MATCH('KSH järjestus'!T$3,KOMBI!$A$1:$GI$1,0)),BQ$4:BQ$138,T$2)</f>
        <v>110</v>
      </c>
      <c r="U4" s="25">
        <f>RANK(INDEX(KOMBI!$A$11:$GI$145,MATCH('KSH järjestus'!$C4,KOMBI!$A$11:$A$145,0),MATCH('KSH järjestus'!U$3,KOMBI!$A$1:$GI$1,0)),BR$4:BR$138,U$2)</f>
        <v>121</v>
      </c>
      <c r="AA4" s="25">
        <f>RANK(INDEX(KOMBI!$A$11:$GI$145,MATCH('KSH järjestus'!$C4,KOMBI!$A$11:$A$145,0),MATCH('KSH järjestus'!AA$3,KOMBI!$A$1:$GI$1,0)),BX$4:BX$138,AA$2)</f>
        <v>100</v>
      </c>
      <c r="AB4" s="25">
        <f>RANK(INDEX(KOMBI!$A$11:$GI$145,MATCH('KSH järjestus'!$C4,KOMBI!$A$11:$A$145,0),MATCH('KSH järjestus'!AB$3,KOMBI!$A$1:$GI$1,0)),BY$4:BY$138,AB$2)</f>
        <v>106</v>
      </c>
      <c r="AC4" s="25">
        <f>RANK(INDEX(KOMBI!$A$11:$GI$145,MATCH('KSH järjestus'!$C4,KOMBI!$A$11:$A$145,0),MATCH('KSH järjestus'!AC$3,KOMBI!$A$1:$GI$1,0)),BZ$4:BZ$138,AC$2)</f>
        <v>84</v>
      </c>
      <c r="AD4" s="25">
        <f>RANK(INDEX(KOMBI!$A$11:$GI$145,MATCH('KSH järjestus'!$C4,KOMBI!$A$11:$A$145,0),MATCH('KSH järjestus'!AD$3,KOMBI!$A$1:$GI$1,0)),CA$4:CA$138,AD$2)</f>
        <v>102</v>
      </c>
      <c r="AE4" s="25">
        <f>RANK(INDEX(KOMBI!$A$11:$GI$145,MATCH('KSH järjestus'!$C4,KOMBI!$A$11:$A$145,0),MATCH('KSH järjestus'!AE$3,KOMBI!$A$1:$GI$1,0)),CB$4:CB$138,AE$2)</f>
        <v>100</v>
      </c>
      <c r="AG4" s="25">
        <f>RANK(INDEX(KOMBI!$A$11:$GI$145,MATCH('KSH järjestus'!$C4,KOMBI!$A$11:$A$145,0),MATCH('KSH järjestus'!AG$3,KOMBI!$A$1:$GI$1,0)),CD$4:CD$138,AG$2)</f>
        <v>124</v>
      </c>
      <c r="AH4" s="25">
        <f>RANK(INDEX(KOMBI!$A$11:$GI$145,MATCH('KSH järjestus'!$C4,KOMBI!$A$11:$A$145,0),MATCH('KSH järjestus'!AH$3,KOMBI!$A$1:$GI$1,0)),CE$4:CE$138,AH$2)</f>
        <v>91</v>
      </c>
      <c r="AI4" s="25">
        <f>RANK(INDEX(KOMBI!$A$11:$GI$145,MATCH('KSH järjestus'!$C4,KOMBI!$A$11:$A$145,0),MATCH('KSH järjestus'!AI$3,KOMBI!$A$1:$GI$1,0)),CF$4:CF$138,AI$2)</f>
        <v>103</v>
      </c>
      <c r="AJ4" s="25">
        <f>RANK(INDEX(KOMBI!$A$11:$GI$145,MATCH('KSH järjestus'!$C4,KOMBI!$A$11:$A$145,0),MATCH('KSH järjestus'!AJ$3,KOMBI!$A$1:$GI$1,0)),CG$4:CG$138,AJ$2)</f>
        <v>124</v>
      </c>
      <c r="AK4" s="25">
        <f>RANK(INDEX(KOMBI!$A$11:$GI$145,MATCH('KSH järjestus'!$C4,KOMBI!$A$11:$A$145,0),MATCH('KSH järjestus'!AK$3,KOMBI!$A$1:$GI$1,0)),CH$4:CH$138,AK$2)</f>
        <v>112</v>
      </c>
      <c r="AN4" s="25">
        <f>RANK(INDEX(KOMBI!$A$11:$GI$145,MATCH('KSH järjestus'!$C4,KOMBI!$A$11:$A$145,0),MATCH('KSH järjestus'!AN$3,KOMBI!$A$1:$GI$1,0)),CK$4:CK$138,AN$2)</f>
        <v>91</v>
      </c>
      <c r="AO4" s="25">
        <f>RANK(INDEX(KOMBI!$A$11:$GI$145,MATCH('KSH järjestus'!$C4,KOMBI!$A$11:$A$145,0),MATCH('KSH järjestus'!AO$3,KOMBI!$A$1:$GI$1,0)),CL$4:CL$138,AO$2)</f>
        <v>91</v>
      </c>
      <c r="AS4" s="297">
        <f t="shared" ref="AS4:AS35" si="0">SUM(D4:AO4)</f>
        <v>2455</v>
      </c>
      <c r="AT4" s="25">
        <f t="shared" ref="AT4:AT67" si="1">SMALL($AS$4:$AS$138,ROW(1:1))</f>
        <v>462</v>
      </c>
      <c r="AU4" s="25">
        <f t="shared" ref="AU4:AU67" si="2">INDEX($C$2:$AS$138,MATCH($AT4,$AS$2:$AS$138,0),1)</f>
        <v>129</v>
      </c>
      <c r="AV4" s="295" t="str">
        <f>VLOOKUP(VLOOKUP($AU4,KOMBI!$A:$H,3,FALSE),data!$I$27:$J$29,2,FALSE)</f>
        <v>Sekkuv/EÜ</v>
      </c>
      <c r="AW4" s="295" t="str">
        <f>VLOOKUP(VLOOKUP($AU4,KOMBI!$A:$H,2,FALSE),data!$I$21:$J$23,2,FALSE)</f>
        <v>Sekkuv</v>
      </c>
      <c r="AX4" s="295" t="str">
        <f>VLOOKUP(VLOOKUP($AU4,KOMBI!$A:$H,5,FALSE),data!$I$39:$J$41,2,FALSE)</f>
        <v>Sekkuv</v>
      </c>
      <c r="AY4" s="295" t="str">
        <f>VLOOKUP(VLOOKUP($AU4,KOMBI!$A:$H,4,FALSE),data!$I$32:$J$36,2,FALSE)</f>
        <v>TE</v>
      </c>
      <c r="BA4" s="25">
        <f t="array" ref="BA4">INDEX(KOMBI!$A$1:$GI$145,ROW('KSH järjestus'!BA11),MATCH('KSH järjestus'!BA$3,KOMBI!$A$1:$GI$1,0))</f>
        <v>0</v>
      </c>
      <c r="BB4" s="25">
        <f t="array" ref="BB4">INDEX(KOMBI!$A$1:$GI$145,ROW('KSH järjestus'!BB11),MATCH('KSH järjestus'!BB$3,KOMBI!$A$1:$GI$1,0))</f>
        <v>36.816351506457288</v>
      </c>
      <c r="BC4" s="25">
        <f t="array" aca="1" ref="BC4" ca="1">INDEX(KOMBI!$A$1:$GI$145,ROW('KSH järjestus'!BC11),MATCH('KSH järjestus'!BC$3,KOMBI!$A$1:$GI$1,0))</f>
        <v>0</v>
      </c>
      <c r="BD4" s="25">
        <f t="array" ref="BD4">INDEX(KOMBI!$A$1:$GI$145,ROW('KSH järjestus'!BD11),MATCH('KSH järjestus'!BD$3,KOMBI!$A$1:$GI$1,0))</f>
        <v>0</v>
      </c>
      <c r="BE4" s="25">
        <f t="array" ref="BE4">INDEX(KOMBI!$A$1:$GI$145,ROW('KSH järjestus'!BE11),MATCH('KSH järjestus'!BE$3,KOMBI!$A$1:$GI$1,0))</f>
        <v>0</v>
      </c>
      <c r="BF4" s="25">
        <f t="array" aca="1" ref="BF4" ca="1">INDEX(KOMBI!$A$1:$GI$145,ROW('KSH järjestus'!BF11),MATCH('KSH järjestus'!BF$3,KOMBI!$A$1:$GI$1,0))</f>
        <v>0</v>
      </c>
      <c r="BG4" s="25">
        <f t="array" ref="BG4">INDEX(KOMBI!$A$1:$GI$145,ROW('KSH järjestus'!BG11),MATCH('KSH järjestus'!BG$3,KOMBI!$A$1:$GI$1,0))</f>
        <v>0.60965252676886705</v>
      </c>
      <c r="BH4" s="25">
        <f t="array" ref="BH4">INDEX(KOMBI!$A$1:$GI$145,ROW('KSH järjestus'!BH11),MATCH('KSH järjestus'!BH$3,KOMBI!$A$1:$GI$1,0))</f>
        <v>90</v>
      </c>
      <c r="BI4" s="25">
        <f t="array" ref="BI4">INDEX(KOMBI!$A$1:$GI$145,ROW('KSH järjestus'!BI11),MATCH('KSH järjestus'!BI$3,KOMBI!$A$1:$GI$1,0))</f>
        <v>1</v>
      </c>
      <c r="BJ4" s="25">
        <f t="array" ref="BJ4">INDEX(KOMBI!$A$1:$GI$145,ROW('KSH järjestus'!BJ11),MATCH('KSH järjestus'!BJ$3,KOMBI!$A$1:$GI$1,0))</f>
        <v>0.27911646586345373</v>
      </c>
      <c r="BK4" s="25">
        <f t="array" ref="BK4">INDEX(KOMBI!$A$1:$GI$145,ROW('KSH järjestus'!BK11),MATCH('KSH järjestus'!BK$3,KOMBI!$A$1:$GI$1,0))</f>
        <v>0.31068429743275605</v>
      </c>
      <c r="BL4" s="25">
        <f>INDEX(KOMBI!$A$1:$GI$145,ROW('KSH järjestus'!BL11),MATCH('KSH järjestus'!BL$3,KOMBI!$A$1:$GI$1,0))</f>
        <v>0</v>
      </c>
      <c r="BM4" s="25">
        <f t="array" ref="BM4">INDEX(KOMBI!$A$1:$GI$145,ROW('KSH järjestus'!BM11),MATCH('KSH järjestus'!BM$3,KOMBI!$A$1:$GI$1,0))</f>
        <v>0</v>
      </c>
      <c r="BN4" s="25">
        <f t="array" ref="BN4">INDEX(KOMBI!$A$1:$GI$145,ROW('KSH järjestus'!BN11),MATCH('KSH järjestus'!BN$3,KOMBI!$A$1:$GI$1,0))</f>
        <v>0</v>
      </c>
      <c r="BO4" s="25">
        <f t="array" ref="BO4">INDEX(KOMBI!$A$1:$GI$145,ROW('KSH järjestus'!BO11),MATCH('KSH järjestus'!BO$3,KOMBI!$A$1:$GI$1,0))</f>
        <v>0</v>
      </c>
      <c r="BP4" s="25">
        <f t="array" ref="BP4">INDEX(KOMBI!$A$1:$GI$145,ROW('KSH järjestus'!BP11),MATCH('KSH järjestus'!BP$3,KOMBI!$A$1:$GI$1,0))</f>
        <v>8.5549999999999997</v>
      </c>
      <c r="BQ4" s="25">
        <f t="array" ref="BQ4">INDEX(KOMBI!$A$1:$GI$145,ROW('KSH järjestus'!BQ11),MATCH('KSH järjestus'!BQ$3,KOMBI!$A$1:$GI$1,0))</f>
        <v>11.411</v>
      </c>
      <c r="BR4" s="25">
        <f t="array" ref="BR4">INDEX(KOMBI!$A$1:$GI$145,ROW('KSH järjestus'!BR11),MATCH('KSH järjestus'!BR$3,KOMBI!$A$1:$GI$1,0))</f>
        <v>0</v>
      </c>
      <c r="BS4" s="25">
        <f t="array" ref="BS4">INDEX(KOMBI!$A$1:$GI$145,ROW('KSH järjestus'!BS11),MATCH('KSH järjestus'!BS$3,KOMBI!$A$1:$GI$1,0))</f>
        <v>0</v>
      </c>
      <c r="BT4" s="25">
        <f t="array" ref="BT4">INDEX(KOMBI!$A$1:$GI$145,ROW('KSH järjestus'!BT11),MATCH('KSH järjestus'!BT$3,KOMBI!$A$1:$GI$1,0))</f>
        <v>0</v>
      </c>
      <c r="BU4" s="25">
        <f t="array" ref="BU4">INDEX(KOMBI!$A$1:$GI$145,ROW('KSH järjestus'!BU11),MATCH('KSH järjestus'!BU$3,KOMBI!$A$1:$GI$1,0))</f>
        <v>9.5602332703934589</v>
      </c>
      <c r="BV4" s="25">
        <f t="array" ref="BV4">INDEX(KOMBI!$A$1:$GI$145,ROW('KSH järjestus'!BV11),MATCH('KSH järjestus'!BV$3,KOMBI!$A$1:$GI$1,0))</f>
        <v>5.3310000000000004</v>
      </c>
      <c r="BW4" s="25">
        <f t="array" ref="BW4">INDEX(KOMBI!$A$1:$GI$145,ROW('KSH järjestus'!BW11),MATCH('KSH järjestus'!BW$3,KOMBI!$A$1:$GI$1,0))</f>
        <v>3.3026368215830604</v>
      </c>
      <c r="BX4" s="25">
        <f t="array" ref="BX4">INDEX(KOMBI!$A$1:$GI$145,ROW('KSH järjestus'!BX11),MATCH('KSH järjestus'!BX$3,KOMBI!$A$1:$GI$1,0))</f>
        <v>20.207999999999998</v>
      </c>
      <c r="BY4" s="25">
        <f t="array" ref="BY4">INDEX(KOMBI!$A$1:$GI$145,ROW('KSH järjestus'!BY11),MATCH('KSH järjestus'!BY$3,KOMBI!$A$1:$GI$1,0))</f>
        <v>12.808543134371309</v>
      </c>
      <c r="BZ4" s="25">
        <f t="array" ref="BZ4">INDEX(KOMBI!$A$1:$GI$145,ROW('KSH järjestus'!BZ11),MATCH('KSH järjestus'!BZ$3,KOMBI!$A$1:$GI$1,0))</f>
        <v>79</v>
      </c>
      <c r="CA4" s="25">
        <f t="array" ref="CA4">INDEX(KOMBI!$A$1:$GI$145,ROW('KSH järjestus'!CA11),MATCH('KSH järjestus'!CA$3,KOMBI!$A$1:$GI$1,0))</f>
        <v>15.372999999999999</v>
      </c>
      <c r="CB4" s="25">
        <f t="array" ref="CB4">INDEX(KOMBI!$A$1:$GI$145,ROW('KSH järjestus'!CB11),MATCH('KSH järjestus'!CB$3,KOMBI!$A$1:$GI$1,0))</f>
        <v>68.686111111111117</v>
      </c>
      <c r="CC4" s="25">
        <f t="array" ref="CC4">INDEX(KOMBI!$A$1:$GI$145,ROW('KSH järjestus'!CC11),MATCH('KSH järjestus'!CC$3,KOMBI!$A$1:$GI$1,0))</f>
        <v>5.4998170000000002</v>
      </c>
      <c r="CD4" s="25">
        <f t="array" ref="CD4">INDEX(KOMBI!$A$1:$GI$145,ROW('KSH järjestus'!CD11),MATCH('KSH järjestus'!CD$3,KOMBI!$A$1:$GI$1,0))</f>
        <v>339.59999999999997</v>
      </c>
      <c r="CE4" s="25">
        <f t="array" ref="CE4">INDEX(KOMBI!$A$1:$GI$145,ROW('KSH järjestus'!CE11),MATCH('KSH järjestus'!CE$3,KOMBI!$A$1:$GI$1,0))</f>
        <v>3.0259999999999998</v>
      </c>
      <c r="CF4" s="25">
        <f t="array" ref="CF4">INDEX(KOMBI!$A$1:$GI$145,ROW('KSH järjestus'!CF11),MATCH('KSH järjestus'!CF$3,KOMBI!$A$1:$GI$1,0))</f>
        <v>52.764567183462525</v>
      </c>
      <c r="CG4" s="25">
        <f t="array" ref="CG4">INDEX(KOMBI!$A$1:$GI$145,ROW('KSH järjestus'!CG11),MATCH('KSH järjestus'!CG$3,KOMBI!$A$1:$GI$1,0))</f>
        <v>2.0156356925118721E-2</v>
      </c>
      <c r="CH4" s="25">
        <f t="array" ref="CH4">INDEX(KOMBI!$A$1:$GI$145,ROW('KSH järjestus'!CH11),MATCH('KSH järjestus'!CH$3,KOMBI!$A$1:$GI$1,0))</f>
        <v>0.36168246787532254</v>
      </c>
      <c r="CI4" s="25">
        <f t="array" ref="CI4">INDEX(KOMBI!$A$1:$GI$145,ROW('KSH järjestus'!CI11),MATCH('KSH järjestus'!CI$3,KOMBI!$A$1:$GI$1,0))</f>
        <v>6.78</v>
      </c>
      <c r="CJ4" s="25">
        <f t="array" ref="CJ4">INDEX(KOMBI!$A$1:$GI$145,ROW('KSH järjestus'!CJ11),MATCH('KSH järjestus'!CJ$3,KOMBI!$A$1:$GI$1,0))</f>
        <v>5.9576368215830611</v>
      </c>
      <c r="CK4" s="25">
        <f t="array" ref="CK4">INDEX(KOMBI!$A$1:$GI$145,ROW('KSH järjestus'!CK11),MATCH('KSH järjestus'!CK$3,KOMBI!$A$1:$GI$1,0))</f>
        <v>0.22900000000000001</v>
      </c>
      <c r="CL4" s="25">
        <f t="array" ref="CL4">INDEX(KOMBI!$A$1:$GI$145,ROW('KSH järjestus'!CL11),MATCH('KSH järjestus'!CL$3,KOMBI!$A$1:$GI$1,0))</f>
        <v>0.82899999999999996</v>
      </c>
    </row>
    <row r="5" spans="2:90" x14ac:dyDescent="0.2">
      <c r="C5" s="184">
        <v>2</v>
      </c>
      <c r="G5" s="25">
        <f>RANK(INDEX(KOMBI!$A$11:$GI$145,MATCH('KSH järjestus'!$C5,KOMBI!$A$11:$A$145,0),MATCH('KSH järjestus'!G$3,KOMBI!$A$1:$GI$1,0)),BD$4:BD$138,G$2)</f>
        <v>126</v>
      </c>
      <c r="H5" s="25">
        <f>RANK(INDEX(KOMBI!$A$11:$GI$145,MATCH('KSH järjestus'!$C5,KOMBI!$A$11:$A$145,0),MATCH('KSH järjestus'!H$3,KOMBI!$A$1:$GI$1,0)),BE$4:BE$138,H$2)</f>
        <v>128</v>
      </c>
      <c r="J5" s="25">
        <f>RANK(INDEX(KOMBI!$A$11:$GI$145,MATCH('KSH järjestus'!$C5,KOMBI!$A$11:$A$145,0),MATCH('KSH järjestus'!J$3,KOMBI!$A$1:$GI$1,0)),BG$4:BG$138,J$2)</f>
        <v>99</v>
      </c>
      <c r="M5" s="25">
        <f>RANK(INDEX(KOMBI!$A$11:$GI$145,MATCH('KSH järjestus'!$C5,KOMBI!$A$11:$A$145,0),MATCH('KSH järjestus'!M$3,KOMBI!$A$1:$GI$1,0)),BJ$4:BJ$138,M$2)</f>
        <v>55</v>
      </c>
      <c r="N5" s="25">
        <f>RANK(INDEX(KOMBI!$A$11:$GI$145,MATCH('KSH järjestus'!$C5,KOMBI!$A$11:$A$145,0),MATCH('KSH järjestus'!N$3,KOMBI!$A$1:$GI$1,0)),BK$4:BK$138,N$2)</f>
        <v>91</v>
      </c>
      <c r="O5" s="25">
        <f>RANK(INDEX(KOMBI!$A$11:$GI$145,MATCH('KSH järjestus'!$C5,KOMBI!$A$11:$A$145,0),MATCH('KSH järjestus'!O$3,KOMBI!$A$1:$GI$1,0)),BL$4:BL$138,O$2)</f>
        <v>117</v>
      </c>
      <c r="P5" s="25">
        <f>RANK(INDEX(KOMBI!$A$11:$GI$145,MATCH('KSH järjestus'!$C5,KOMBI!$A$11:$A$145,0),MATCH('KSH järjestus'!P$3,KOMBI!$A$1:$GI$1,0)),BM$4:BM$138,P$2)</f>
        <v>113</v>
      </c>
      <c r="Q5" s="25">
        <f>RANK(INDEX(KOMBI!$A$11:$GI$145,MATCH('KSH järjestus'!$C5,KOMBI!$A$11:$A$145,0),MATCH('KSH järjestus'!Q$3,KOMBI!$A$1:$GI$1,0)),BN$4:BN$138,Q$2)</f>
        <v>92</v>
      </c>
      <c r="R5" s="25">
        <f>RANK(INDEX(KOMBI!$A$11:$GI$145,MATCH('KSH järjestus'!$C5,KOMBI!$A$11:$A$145,0),MATCH('KSH järjestus'!R$3,KOMBI!$A$1:$GI$1,0)),BO$4:BO$138,R$2)</f>
        <v>123</v>
      </c>
      <c r="T5" s="25">
        <f>RANK(INDEX(KOMBI!$A$11:$GI$145,MATCH('KSH järjestus'!$C5,KOMBI!$A$11:$A$145,0),MATCH('KSH järjestus'!T$3,KOMBI!$A$1:$GI$1,0)),BQ$4:BQ$138,T$2)</f>
        <v>115</v>
      </c>
      <c r="U5" s="25">
        <f>RANK(INDEX(KOMBI!$A$11:$GI$145,MATCH('KSH järjestus'!$C5,KOMBI!$A$11:$A$145,0),MATCH('KSH järjestus'!U$3,KOMBI!$A$1:$GI$1,0)),BR$4:BR$138,U$2)</f>
        <v>126</v>
      </c>
      <c r="AA5" s="25">
        <f>RANK(INDEX(KOMBI!$A$11:$GI$145,MATCH('KSH järjestus'!$C5,KOMBI!$A$11:$A$145,0),MATCH('KSH järjestus'!AA$3,KOMBI!$A$1:$GI$1,0)),BX$4:BX$138,AA$2)</f>
        <v>100</v>
      </c>
      <c r="AB5" s="25">
        <f>RANK(INDEX(KOMBI!$A$11:$GI$145,MATCH('KSH järjestus'!$C5,KOMBI!$A$11:$A$145,0),MATCH('KSH järjestus'!AB$3,KOMBI!$A$1:$GI$1,0)),BY$4:BY$138,AB$2)</f>
        <v>106</v>
      </c>
      <c r="AC5" s="25">
        <f>RANK(INDEX(KOMBI!$A$11:$GI$145,MATCH('KSH järjestus'!$C5,KOMBI!$A$11:$A$145,0),MATCH('KSH järjestus'!AC$3,KOMBI!$A$1:$GI$1,0)),BZ$4:BZ$138,AC$2)</f>
        <v>88</v>
      </c>
      <c r="AD5" s="25">
        <f>RANK(INDEX(KOMBI!$A$11:$GI$145,MATCH('KSH järjestus'!$C5,KOMBI!$A$11:$A$145,0),MATCH('KSH järjestus'!AD$3,KOMBI!$A$1:$GI$1,0)),CA$4:CA$138,AD$2)</f>
        <v>106</v>
      </c>
      <c r="AE5" s="25">
        <f>RANK(INDEX(KOMBI!$A$11:$GI$145,MATCH('KSH järjestus'!$C5,KOMBI!$A$11:$A$145,0),MATCH('KSH järjestus'!AE$3,KOMBI!$A$1:$GI$1,0)),CB$4:CB$138,AE$2)</f>
        <v>103</v>
      </c>
      <c r="AG5" s="25">
        <f>RANK(INDEX(KOMBI!$A$11:$GI$145,MATCH('KSH järjestus'!$C5,KOMBI!$A$11:$A$145,0),MATCH('KSH järjestus'!AG$3,KOMBI!$A$1:$GI$1,0)),CD$4:CD$138,AG$2)</f>
        <v>124</v>
      </c>
      <c r="AH5" s="25">
        <f>RANK(INDEX(KOMBI!$A$11:$GI$145,MATCH('KSH järjestus'!$C5,KOMBI!$A$11:$A$145,0),MATCH('KSH järjestus'!AH$3,KOMBI!$A$1:$GI$1,0)),CE$4:CE$138,AH$2)</f>
        <v>91</v>
      </c>
      <c r="AI5" s="25">
        <f>RANK(INDEX(KOMBI!$A$11:$GI$145,MATCH('KSH järjestus'!$C5,KOMBI!$A$11:$A$145,0),MATCH('KSH järjestus'!AI$3,KOMBI!$A$1:$GI$1,0)),CF$4:CF$138,AI$2)</f>
        <v>103</v>
      </c>
      <c r="AJ5" s="25">
        <f>RANK(INDEX(KOMBI!$A$11:$GI$145,MATCH('KSH järjestus'!$C5,KOMBI!$A$11:$A$145,0),MATCH('KSH järjestus'!AJ$3,KOMBI!$A$1:$GI$1,0)),CG$4:CG$138,AJ$2)</f>
        <v>124</v>
      </c>
      <c r="AK5" s="25">
        <f>RANK(INDEX(KOMBI!$A$11:$GI$145,MATCH('KSH järjestus'!$C5,KOMBI!$A$11:$A$145,0),MATCH('KSH järjestus'!AK$3,KOMBI!$A$1:$GI$1,0)),CH$4:CH$138,AK$2)</f>
        <v>112</v>
      </c>
      <c r="AN5" s="25">
        <f>RANK(INDEX(KOMBI!$A$11:$GI$145,MATCH('KSH järjestus'!$C5,KOMBI!$A$11:$A$145,0),MATCH('KSH järjestus'!AN$3,KOMBI!$A$1:$GI$1,0)),CK$4:CK$138,AN$2)</f>
        <v>91</v>
      </c>
      <c r="AO5" s="25">
        <f>RANK(INDEX(KOMBI!$A$11:$GI$145,MATCH('KSH järjestus'!$C5,KOMBI!$A$11:$A$145,0),MATCH('KSH järjestus'!AO$3,KOMBI!$A$1:$GI$1,0)),CL$4:CL$138,AO$2)</f>
        <v>91</v>
      </c>
      <c r="AS5" s="297">
        <f t="shared" si="0"/>
        <v>2424</v>
      </c>
      <c r="AT5" s="25">
        <f t="shared" si="1"/>
        <v>483</v>
      </c>
      <c r="AU5" s="25">
        <f t="shared" si="2"/>
        <v>128</v>
      </c>
      <c r="AV5" s="295" t="str">
        <f>VLOOKUP(VLOOKUP($AU5,KOMBI!$A:$H,3,FALSE),data!$I$27:$J$29,2,FALSE)</f>
        <v>Sekkuv/EÜ</v>
      </c>
      <c r="AW5" s="295" t="str">
        <f>VLOOKUP(VLOOKUP($AU5,KOMBI!$A:$H,2,FALSE),data!$I$21:$J$23,2,FALSE)</f>
        <v>Sekkuv</v>
      </c>
      <c r="AX5" s="295" t="str">
        <f>VLOOKUP(VLOOKUP($AU5,KOMBI!$A:$H,5,FALSE),data!$I$39:$J$41,2,FALSE)</f>
        <v>Vähe-sekkuv</v>
      </c>
      <c r="AY5" s="295" t="str">
        <f>VLOOKUP(VLOOKUP($AU5,KOMBI!$A:$H,4,FALSE),data!$I$32:$J$36,2,FALSE)</f>
        <v>TE</v>
      </c>
      <c r="BA5" s="25">
        <f t="array" ref="BA5">INDEX(KOMBI!$A$1:$GI$145,ROW('KSH järjestus'!BA12),MATCH('KSH järjestus'!BA$3,KOMBI!$A$1:$GI$1,0))</f>
        <v>0.97485681775238653</v>
      </c>
      <c r="BB5" s="25">
        <f t="array" ref="BB5">INDEX(KOMBI!$A$1:$GI$145,ROW('KSH järjestus'!BB12),MATCH('KSH järjestus'!BB$3,KOMBI!$A$1:$GI$1,0))</f>
        <v>197.29638377572053</v>
      </c>
      <c r="BC5" s="25">
        <f t="array" aca="1" ref="BC5" ca="1">INDEX(KOMBI!$A$1:$GI$145,ROW('KSH järjestus'!BC12),MATCH('KSH järjestus'!BC$3,KOMBI!$A$1:$GI$1,0))</f>
        <v>42.713266307507126</v>
      </c>
      <c r="BD5" s="25">
        <f t="array" ref="BD5">INDEX(KOMBI!$A$1:$GI$145,ROW('KSH järjestus'!BD12),MATCH('KSH järjestus'!BD$3,KOMBI!$A$1:$GI$1,0))</f>
        <v>-15.233219880632102</v>
      </c>
      <c r="BE5" s="25">
        <f t="array" ref="BE5">INDEX(KOMBI!$A$1:$GI$145,ROW('KSH järjestus'!BE12),MATCH('KSH järjestus'!BE$3,KOMBI!$A$1:$GI$1,0))</f>
        <v>57.946486188139225</v>
      </c>
      <c r="BF5" s="25">
        <f t="array" aca="1" ref="BF5" ca="1">INDEX(KOMBI!$A$1:$GI$145,ROW('KSH järjestus'!BF12),MATCH('KSH järjestus'!BF$3,KOMBI!$A$1:$GI$1,0))</f>
        <v>0</v>
      </c>
      <c r="BG5" s="25">
        <f t="array" ref="BG5">INDEX(KOMBI!$A$1:$GI$145,ROW('KSH järjestus'!BG12),MATCH('KSH järjestus'!BG$3,KOMBI!$A$1:$GI$1,0))</f>
        <v>0.58722985663449845</v>
      </c>
      <c r="BH5" s="25">
        <f t="array" ref="BH5">INDEX(KOMBI!$A$1:$GI$145,ROW('KSH järjestus'!BH12),MATCH('KSH järjestus'!BH$3,KOMBI!$A$1:$GI$1,0))</f>
        <v>90</v>
      </c>
      <c r="BI5" s="25">
        <f t="array" ref="BI5">INDEX(KOMBI!$A$1:$GI$145,ROW('KSH järjestus'!BI12),MATCH('KSH järjestus'!BI$3,KOMBI!$A$1:$GI$1,0))</f>
        <v>0.91028830406496797</v>
      </c>
      <c r="BJ5" s="25">
        <f t="array" ref="BJ5">INDEX(KOMBI!$A$1:$GI$145,ROW('KSH järjestus'!BJ12),MATCH('KSH järjestus'!BJ$3,KOMBI!$A$1:$GI$1,0))</f>
        <v>0.27911646586345373</v>
      </c>
      <c r="BK5" s="25">
        <f t="array" ref="BK5">INDEX(KOMBI!$A$1:$GI$145,ROW('KSH järjestus'!BK12),MATCH('KSH järjestus'!BK$3,KOMBI!$A$1:$GI$1,0))</f>
        <v>0.31068429743275605</v>
      </c>
      <c r="BL5" s="25">
        <f t="array" ref="BL5">INDEX(KOMBI!$A$1:$GI$145,ROW('KSH järjestus'!BL12),MATCH('KSH järjestus'!BL$3,KOMBI!$A$1:$GI$1,0))</f>
        <v>7.9594787268030369E-3</v>
      </c>
      <c r="BM5" s="25">
        <f t="array" ref="BM5">INDEX(KOMBI!$A$1:$GI$145,ROW('KSH järjestus'!BM12),MATCH('KSH järjestus'!BM$3,KOMBI!$A$1:$GI$1,0))</f>
        <v>-5.1383190362297819E-3</v>
      </c>
      <c r="BN5" s="25">
        <f t="array" ref="BN5">INDEX(KOMBI!$A$1:$GI$145,ROW('KSH järjestus'!BN12),MATCH('KSH järjestus'!BN$3,KOMBI!$A$1:$GI$1,0))</f>
        <v>2.5581680953431218E-3</v>
      </c>
      <c r="BO5" s="25">
        <f t="array" ref="BO5">INDEX(KOMBI!$A$1:$GI$145,ROW('KSH järjestus'!BO12),MATCH('KSH järjestus'!BO$3,KOMBI!$A$1:$GI$1,0))</f>
        <v>5.4398260676771903E-3</v>
      </c>
      <c r="BP5" s="25">
        <f t="array" ref="BP5">INDEX(KOMBI!$A$1:$GI$145,ROW('KSH järjestus'!BP12),MATCH('KSH järjestus'!BP$3,KOMBI!$A$1:$GI$1,0))</f>
        <v>8.5549999999999997</v>
      </c>
      <c r="BQ5" s="25">
        <f t="array" ref="BQ5">INDEX(KOMBI!$A$1:$GI$145,ROW('KSH järjestus'!BQ12),MATCH('KSH järjestus'!BQ$3,KOMBI!$A$1:$GI$1,0))</f>
        <v>11.502000000000001</v>
      </c>
      <c r="BR5" s="25">
        <f t="array" ref="BR5">INDEX(KOMBI!$A$1:$GI$145,ROW('KSH järjestus'!BR12),MATCH('KSH järjestus'!BR$3,KOMBI!$A$1:$GI$1,0))</f>
        <v>4.2337990112647217E-3</v>
      </c>
      <c r="BS5" s="25">
        <f t="array" ref="BS5">INDEX(KOMBI!$A$1:$GI$145,ROW('KSH järjestus'!BS12),MATCH('KSH järjestus'!BS$3,KOMBI!$A$1:$GI$1,0))</f>
        <v>1.3336122196355611E-3</v>
      </c>
      <c r="BT5" s="25">
        <f t="array" ref="BT5">INDEX(KOMBI!$A$1:$GI$145,ROW('KSH järjestus'!BT12),MATCH('KSH järjestus'!BT$3,KOMBI!$A$1:$GI$1,0))</f>
        <v>1.0989627993939581E-3</v>
      </c>
      <c r="BU5" s="25">
        <f t="array" ref="BU5">INDEX(KOMBI!$A$1:$GI$145,ROW('KSH järjestus'!BU12),MATCH('KSH järjestus'!BU$3,KOMBI!$A$1:$GI$1,0))</f>
        <v>9.5602332703934589</v>
      </c>
      <c r="BV5" s="25">
        <f t="array" ref="BV5">INDEX(KOMBI!$A$1:$GI$145,ROW('KSH järjestus'!BV12),MATCH('KSH järjestus'!BV$3,KOMBI!$A$1:$GI$1,0))</f>
        <v>5.3310000000000004</v>
      </c>
      <c r="BW5" s="25">
        <f t="array" ref="BW5">INDEX(KOMBI!$A$1:$GI$145,ROW('KSH järjestus'!BW12),MATCH('KSH järjestus'!BW$3,KOMBI!$A$1:$GI$1,0))</f>
        <v>3.6801368215830603</v>
      </c>
      <c r="BX5" s="25">
        <f t="array" ref="BX5">INDEX(KOMBI!$A$1:$GI$145,ROW('KSH järjestus'!BX12),MATCH('KSH järjestus'!BX$3,KOMBI!$A$1:$GI$1,0))</f>
        <v>20.207999999999998</v>
      </c>
      <c r="BY5" s="25">
        <f t="array" ref="BY5">INDEX(KOMBI!$A$1:$GI$145,ROW('KSH järjestus'!BY12),MATCH('KSH järjestus'!BY$3,KOMBI!$A$1:$GI$1,0))</f>
        <v>12.808543134371309</v>
      </c>
      <c r="BZ5" s="25">
        <f t="array" ref="BZ5">INDEX(KOMBI!$A$1:$GI$145,ROW('KSH järjestus'!BZ12),MATCH('KSH järjestus'!BZ$3,KOMBI!$A$1:$GI$1,0))</f>
        <v>79.400000000000006</v>
      </c>
      <c r="CA5" s="25">
        <f t="array" ref="CA5">INDEX(KOMBI!$A$1:$GI$145,ROW('KSH järjestus'!CA12),MATCH('KSH järjestus'!CA$3,KOMBI!$A$1:$GI$1,0))</f>
        <v>15.462</v>
      </c>
      <c r="CB5" s="25">
        <f t="array" ref="CB5">INDEX(KOMBI!$A$1:$GI$145,ROW('KSH järjestus'!CB12),MATCH('KSH järjestus'!CB$3,KOMBI!$A$1:$GI$1,0))</f>
        <v>69.026388888888889</v>
      </c>
      <c r="CC5" s="25">
        <f t="array" ref="CC5">INDEX(KOMBI!$A$1:$GI$145,ROW('KSH järjestus'!CC12),MATCH('KSH järjestus'!CC$3,KOMBI!$A$1:$GI$1,0))</f>
        <v>5.5331089999999996</v>
      </c>
      <c r="CD5" s="25">
        <f t="array" ref="CD5">INDEX(KOMBI!$A$1:$GI$145,ROW('KSH järjestus'!CD12),MATCH('KSH järjestus'!CD$3,KOMBI!$A$1:$GI$1,0))</f>
        <v>339.59999999999997</v>
      </c>
      <c r="CE5" s="25">
        <f t="array" ref="CE5">INDEX(KOMBI!$A$1:$GI$145,ROW('KSH järjestus'!CE12),MATCH('KSH järjestus'!CE$3,KOMBI!$A$1:$GI$1,0))</f>
        <v>3.0259999999999998</v>
      </c>
      <c r="CF5" s="25">
        <f t="array" ref="CF5">INDEX(KOMBI!$A$1:$GI$145,ROW('KSH järjestus'!CF12),MATCH('KSH järjestus'!CF$3,KOMBI!$A$1:$GI$1,0))</f>
        <v>52.764567183462525</v>
      </c>
      <c r="CG5" s="25">
        <f t="array" ref="CG5">INDEX(KOMBI!$A$1:$GI$145,ROW('KSH järjestus'!CG12),MATCH('KSH järjestus'!CG$3,KOMBI!$A$1:$GI$1,0))</f>
        <v>2.0156356925118721E-2</v>
      </c>
      <c r="CH5" s="25">
        <f t="array" ref="CH5">INDEX(KOMBI!$A$1:$GI$145,ROW('KSH järjestus'!CH12),MATCH('KSH järjestus'!CH$3,KOMBI!$A$1:$GI$1,0))</f>
        <v>0.36168246787532254</v>
      </c>
      <c r="CI5" s="25">
        <f t="array" ref="CI5">INDEX(KOMBI!$A$1:$GI$145,ROW('KSH järjestus'!CI12),MATCH('KSH järjestus'!CI$3,KOMBI!$A$1:$GI$1,0))</f>
        <v>6.78</v>
      </c>
      <c r="CJ5" s="25">
        <f t="array" ref="CJ5">INDEX(KOMBI!$A$1:$GI$145,ROW('KSH järjestus'!CJ12),MATCH('KSH järjestus'!CJ$3,KOMBI!$A$1:$GI$1,0))</f>
        <v>5.9576368215830611</v>
      </c>
      <c r="CK5" s="25">
        <f t="array" ref="CK5">INDEX(KOMBI!$A$1:$GI$145,ROW('KSH järjestus'!CK12),MATCH('KSH järjestus'!CK$3,KOMBI!$A$1:$GI$1,0))</f>
        <v>0.22900000000000001</v>
      </c>
      <c r="CL5" s="25">
        <f t="array" ref="CL5">INDEX(KOMBI!$A$1:$GI$145,ROW('KSH järjestus'!CL12),MATCH('KSH järjestus'!CL$3,KOMBI!$A$1:$GI$1,0))</f>
        <v>0.82899999999999996</v>
      </c>
    </row>
    <row r="6" spans="2:90" x14ac:dyDescent="0.2">
      <c r="C6" s="184">
        <v>3</v>
      </c>
      <c r="G6" s="25">
        <f>RANK(INDEX(KOMBI!$A$11:$GI$145,MATCH('KSH järjestus'!$C6,KOMBI!$A$11:$A$145,0),MATCH('KSH järjestus'!G$3,KOMBI!$A$1:$GI$1,0)),BD$4:BD$138,G$2)</f>
        <v>116</v>
      </c>
      <c r="H6" s="25">
        <f>RANK(INDEX(KOMBI!$A$11:$GI$145,MATCH('KSH järjestus'!$C6,KOMBI!$A$11:$A$145,0),MATCH('KSH järjestus'!H$3,KOMBI!$A$1:$GI$1,0)),BE$4:BE$138,H$2)</f>
        <v>113</v>
      </c>
      <c r="J6" s="25">
        <f>RANK(INDEX(KOMBI!$A$11:$GI$145,MATCH('KSH järjestus'!$C6,KOMBI!$A$11:$A$145,0),MATCH('KSH järjestus'!J$3,KOMBI!$A$1:$GI$1,0)),BG$4:BG$138,J$2)</f>
        <v>99</v>
      </c>
      <c r="M6" s="25">
        <f>RANK(INDEX(KOMBI!$A$11:$GI$145,MATCH('KSH järjestus'!$C6,KOMBI!$A$11:$A$145,0),MATCH('KSH järjestus'!M$3,KOMBI!$A$1:$GI$1,0)),BJ$4:BJ$138,M$2)</f>
        <v>55</v>
      </c>
      <c r="N6" s="25">
        <f>RANK(INDEX(KOMBI!$A$11:$GI$145,MATCH('KSH järjestus'!$C6,KOMBI!$A$11:$A$145,0),MATCH('KSH järjestus'!N$3,KOMBI!$A$1:$GI$1,0)),BK$4:BK$138,N$2)</f>
        <v>91</v>
      </c>
      <c r="O6" s="25">
        <f>RANK(INDEX(KOMBI!$A$11:$GI$145,MATCH('KSH järjestus'!$C6,KOMBI!$A$11:$A$145,0),MATCH('KSH järjestus'!O$3,KOMBI!$A$1:$GI$1,0)),BL$4:BL$138,O$2)</f>
        <v>91</v>
      </c>
      <c r="P6" s="25">
        <f>RANK(INDEX(KOMBI!$A$11:$GI$145,MATCH('KSH järjestus'!$C6,KOMBI!$A$11:$A$145,0),MATCH('KSH järjestus'!P$3,KOMBI!$A$1:$GI$1,0)),BM$4:BM$138,P$2)</f>
        <v>112</v>
      </c>
      <c r="Q6" s="25">
        <f>RANK(INDEX(KOMBI!$A$11:$GI$145,MATCH('KSH järjestus'!$C6,KOMBI!$A$11:$A$145,0),MATCH('KSH järjestus'!Q$3,KOMBI!$A$1:$GI$1,0)),BN$4:BN$138,Q$2)</f>
        <v>71</v>
      </c>
      <c r="R6" s="25">
        <f>RANK(INDEX(KOMBI!$A$11:$GI$145,MATCH('KSH järjestus'!$C6,KOMBI!$A$11:$A$145,0),MATCH('KSH järjestus'!R$3,KOMBI!$A$1:$GI$1,0)),BO$4:BO$138,R$2)</f>
        <v>98</v>
      </c>
      <c r="T6" s="25">
        <f>RANK(INDEX(KOMBI!$A$11:$GI$145,MATCH('KSH järjestus'!$C6,KOMBI!$A$11:$A$145,0),MATCH('KSH järjestus'!T$3,KOMBI!$A$1:$GI$1,0)),BQ$4:BQ$138,T$2)</f>
        <v>121</v>
      </c>
      <c r="U6" s="25">
        <f>RANK(INDEX(KOMBI!$A$11:$GI$145,MATCH('KSH järjestus'!$C6,KOMBI!$A$11:$A$145,0),MATCH('KSH järjestus'!U$3,KOMBI!$A$1:$GI$1,0)),BR$4:BR$138,U$2)</f>
        <v>130</v>
      </c>
      <c r="AA6" s="25">
        <f>RANK(INDEX(KOMBI!$A$11:$GI$145,MATCH('KSH järjestus'!$C6,KOMBI!$A$11:$A$145,0),MATCH('KSH järjestus'!AA$3,KOMBI!$A$1:$GI$1,0)),BX$4:BX$138,AA$2)</f>
        <v>100</v>
      </c>
      <c r="AB6" s="25">
        <f>RANK(INDEX(KOMBI!$A$11:$GI$145,MATCH('KSH järjestus'!$C6,KOMBI!$A$11:$A$145,0),MATCH('KSH järjestus'!AB$3,KOMBI!$A$1:$GI$1,0)),BY$4:BY$138,AB$2)</f>
        <v>106</v>
      </c>
      <c r="AC6" s="25">
        <f>RANK(INDEX(KOMBI!$A$11:$GI$145,MATCH('KSH järjestus'!$C6,KOMBI!$A$11:$A$145,0),MATCH('KSH järjestus'!AC$3,KOMBI!$A$1:$GI$1,0)),BZ$4:BZ$138,AC$2)</f>
        <v>93</v>
      </c>
      <c r="AD6" s="25">
        <f>RANK(INDEX(KOMBI!$A$11:$GI$145,MATCH('KSH järjestus'!$C6,KOMBI!$A$11:$A$145,0),MATCH('KSH järjestus'!AD$3,KOMBI!$A$1:$GI$1,0)),CA$4:CA$138,AD$2)</f>
        <v>111</v>
      </c>
      <c r="AE6" s="25">
        <f>RANK(INDEX(KOMBI!$A$11:$GI$145,MATCH('KSH järjestus'!$C6,KOMBI!$A$11:$A$145,0),MATCH('KSH järjestus'!AE$3,KOMBI!$A$1:$GI$1,0)),CB$4:CB$138,AE$2)</f>
        <v>106</v>
      </c>
      <c r="AG6" s="25">
        <f>RANK(INDEX(KOMBI!$A$11:$GI$145,MATCH('KSH järjestus'!$C6,KOMBI!$A$11:$A$145,0),MATCH('KSH järjestus'!AG$3,KOMBI!$A$1:$GI$1,0)),CD$4:CD$138,AG$2)</f>
        <v>124</v>
      </c>
      <c r="AH6" s="25">
        <f>RANK(INDEX(KOMBI!$A$11:$GI$145,MATCH('KSH järjestus'!$C6,KOMBI!$A$11:$A$145,0),MATCH('KSH järjestus'!AH$3,KOMBI!$A$1:$GI$1,0)),CE$4:CE$138,AH$2)</f>
        <v>91</v>
      </c>
      <c r="AI6" s="25">
        <f>RANK(INDEX(KOMBI!$A$11:$GI$145,MATCH('KSH järjestus'!$C6,KOMBI!$A$11:$A$145,0),MATCH('KSH järjestus'!AI$3,KOMBI!$A$1:$GI$1,0)),CF$4:CF$138,AI$2)</f>
        <v>103</v>
      </c>
      <c r="AJ6" s="25">
        <f>RANK(INDEX(KOMBI!$A$11:$GI$145,MATCH('KSH järjestus'!$C6,KOMBI!$A$11:$A$145,0),MATCH('KSH järjestus'!AJ$3,KOMBI!$A$1:$GI$1,0)),CG$4:CG$138,AJ$2)</f>
        <v>124</v>
      </c>
      <c r="AK6" s="25">
        <f>RANK(INDEX(KOMBI!$A$11:$GI$145,MATCH('KSH järjestus'!$C6,KOMBI!$A$11:$A$145,0),MATCH('KSH järjestus'!AK$3,KOMBI!$A$1:$GI$1,0)),CH$4:CH$138,AK$2)</f>
        <v>112</v>
      </c>
      <c r="AN6" s="25">
        <f>RANK(INDEX(KOMBI!$A$11:$GI$145,MATCH('KSH järjestus'!$C6,KOMBI!$A$11:$A$145,0),MATCH('KSH järjestus'!AN$3,KOMBI!$A$1:$GI$1,0)),CK$4:CK$138,AN$2)</f>
        <v>91</v>
      </c>
      <c r="AO6" s="25">
        <f>RANK(INDEX(KOMBI!$A$11:$GI$145,MATCH('KSH järjestus'!$C6,KOMBI!$A$11:$A$145,0),MATCH('KSH järjestus'!AO$3,KOMBI!$A$1:$GI$1,0)),CL$4:CL$138,AO$2)</f>
        <v>91</v>
      </c>
      <c r="AS6" s="297">
        <f t="shared" si="0"/>
        <v>2349</v>
      </c>
      <c r="AT6" s="25">
        <f t="shared" si="1"/>
        <v>519</v>
      </c>
      <c r="AU6" s="25">
        <f t="shared" si="2"/>
        <v>132</v>
      </c>
      <c r="AV6" s="295" t="str">
        <f>VLOOKUP(VLOOKUP($AU6,KOMBI!$A:$H,3,FALSE),data!$I$27:$J$29,2,FALSE)</f>
        <v>Sekkuv/EÜ</v>
      </c>
      <c r="AW6" s="295" t="str">
        <f>VLOOKUP(VLOOKUP($AU6,KOMBI!$A:$H,2,FALSE),data!$I$21:$J$23,2,FALSE)</f>
        <v>Sekkuv</v>
      </c>
      <c r="AX6" s="295" t="str">
        <f>VLOOKUP(VLOOKUP($AU6,KOMBI!$A:$H,5,FALSE),data!$I$39:$J$41,2,FALSE)</f>
        <v>Sekkuv</v>
      </c>
      <c r="AY6" s="295" t="str">
        <f>VLOOKUP(VLOOKUP($AU6,KOMBI!$A:$H,4,FALSE),data!$I$32:$J$36,2,FALSE)</f>
        <v>TE++</v>
      </c>
      <c r="BA6" s="25">
        <f t="array" ref="BA6">INDEX(KOMBI!$A$1:$GI$145,ROW('KSH järjestus'!BA13),MATCH('KSH järjestus'!BA$3,KOMBI!$A$1:$GI$1,0))</f>
        <v>1.8799565399939138</v>
      </c>
      <c r="BB6" s="25">
        <f t="array" ref="BB6">INDEX(KOMBI!$A$1:$GI$145,ROW('KSH järjestus'!BB13),MATCH('KSH järjestus'!BB$3,KOMBI!$A$1:$GI$1,0))</f>
        <v>313.90717479319983</v>
      </c>
      <c r="BC6" s="25">
        <f t="array" aca="1" ref="BC6" ca="1">INDEX(KOMBI!$A$1:$GI$145,ROW('KSH järjestus'!BC13),MATCH('KSH järjestus'!BC$3,KOMBI!$A$1:$GI$1,0))</f>
        <v>59.267680666592064</v>
      </c>
      <c r="BD6" s="25">
        <f t="array" ref="BD6">INDEX(KOMBI!$A$1:$GI$145,ROW('KSH järjestus'!BD13),MATCH('KSH järjestus'!BD$3,KOMBI!$A$1:$GI$1,0))</f>
        <v>-34.340813699091036</v>
      </c>
      <c r="BE6" s="25">
        <f t="array" ref="BE6">INDEX(KOMBI!$A$1:$GI$145,ROW('KSH järjestus'!BE13),MATCH('KSH järjestus'!BE$3,KOMBI!$A$1:$GI$1,0))</f>
        <v>93.6084943656831</v>
      </c>
      <c r="BF6" s="25">
        <f t="array" aca="1" ref="BF6" ca="1">INDEX(KOMBI!$A$1:$GI$145,ROW('KSH järjestus'!BF13),MATCH('KSH järjestus'!BF$3,KOMBI!$A$1:$GI$1,0))</f>
        <v>0</v>
      </c>
      <c r="BG6" s="25">
        <f t="array" ref="BG6">INDEX(KOMBI!$A$1:$GI$145,ROW('KSH järjestus'!BG13),MATCH('KSH järjestus'!BG$3,KOMBI!$A$1:$GI$1,0))</f>
        <v>0.58722985663449845</v>
      </c>
      <c r="BH6" s="25">
        <f t="array" ref="BH6">INDEX(KOMBI!$A$1:$GI$145,ROW('KSH järjestus'!BH13),MATCH('KSH järjestus'!BH$3,KOMBI!$A$1:$GI$1,0))</f>
        <v>90</v>
      </c>
      <c r="BI6" s="25">
        <f t="array" ref="BI6">INDEX(KOMBI!$A$1:$GI$145,ROW('KSH järjestus'!BI13),MATCH('KSH järjestus'!BI$3,KOMBI!$A$1:$GI$1,0))</f>
        <v>0.91028830406496786</v>
      </c>
      <c r="BJ6" s="25">
        <f t="array" ref="BJ6">INDEX(KOMBI!$A$1:$GI$145,ROW('KSH järjestus'!BJ13),MATCH('KSH järjestus'!BJ$3,KOMBI!$A$1:$GI$1,0))</f>
        <v>0.27911646586345373</v>
      </c>
      <c r="BK6" s="25">
        <f t="array" ref="BK6">INDEX(KOMBI!$A$1:$GI$145,ROW('KSH järjestus'!BK13),MATCH('KSH järjestus'!BK$3,KOMBI!$A$1:$GI$1,0))</f>
        <v>0.31068429743275605</v>
      </c>
      <c r="BL6" s="25">
        <f t="array" ref="BL6">INDEX(KOMBI!$A$1:$GI$145,ROW('KSH järjestus'!BL13),MATCH('KSH järjestus'!BL$3,KOMBI!$A$1:$GI$1,0))</f>
        <v>1.2610534105049559E-2</v>
      </c>
      <c r="BM6" s="25">
        <f t="array" ref="BM6">INDEX(KOMBI!$A$1:$GI$145,ROW('KSH järjestus'!BM13),MATCH('KSH järjestus'!BM$3,KOMBI!$A$1:$GI$1,0))</f>
        <v>-5.1255533091883951E-3</v>
      </c>
      <c r="BN6" s="25">
        <f t="array" ref="BN6">INDEX(KOMBI!$A$1:$GI$145,ROW('KSH järjestus'!BN13),MATCH('KSH järjestus'!BN$3,KOMBI!$A$1:$GI$1,0))</f>
        <v>3.8889579313898526E-3</v>
      </c>
      <c r="BO6" s="25">
        <f t="array" ref="BO6">INDEX(KOMBI!$A$1:$GI$145,ROW('KSH järjestus'!BO13),MATCH('KSH järjestus'!BO$3,KOMBI!$A$1:$GI$1,0))</f>
        <v>8.8336895158420449E-3</v>
      </c>
      <c r="BP6" s="25">
        <f t="array" ref="BP6">INDEX(KOMBI!$A$1:$GI$145,ROW('KSH järjestus'!BP13),MATCH('KSH järjestus'!BP$3,KOMBI!$A$1:$GI$1,0))</f>
        <v>8.5549999999999997</v>
      </c>
      <c r="BQ6" s="25">
        <f t="array" ref="BQ6">INDEX(KOMBI!$A$1:$GI$145,ROW('KSH järjestus'!BQ13),MATCH('KSH järjestus'!BQ$3,KOMBI!$A$1:$GI$1,0))</f>
        <v>11.726000000000001</v>
      </c>
      <c r="BR6" s="25">
        <f t="array" ref="BR6">INDEX(KOMBI!$A$1:$GI$145,ROW('KSH järjestus'!BR13),MATCH('KSH järjestus'!BR$3,KOMBI!$A$1:$GI$1,0))</f>
        <v>8.2132861417106191E-3</v>
      </c>
      <c r="BS6" s="25">
        <f t="array" ref="BS6">INDEX(KOMBI!$A$1:$GI$145,ROW('KSH järjestus'!BS13),MATCH('KSH järjestus'!BS$3,KOMBI!$A$1:$GI$1,0))</f>
        <v>2.5927721359240083E-3</v>
      </c>
      <c r="BT6" s="25">
        <f t="array" ref="BT6">INDEX(KOMBI!$A$1:$GI$145,ROW('KSH järjestus'!BT13),MATCH('KSH järjestus'!BT$3,KOMBI!$A$1:$GI$1,0))</f>
        <v>2.5596817726202137E-3</v>
      </c>
      <c r="BU6" s="25">
        <f t="array" ref="BU6">INDEX(KOMBI!$A$1:$GI$145,ROW('KSH järjestus'!BU13),MATCH('KSH järjestus'!BU$3,KOMBI!$A$1:$GI$1,0))</f>
        <v>9.5602332703934589</v>
      </c>
      <c r="BV6" s="25">
        <f t="array" ref="BV6">INDEX(KOMBI!$A$1:$GI$145,ROW('KSH järjestus'!BV13),MATCH('KSH järjestus'!BV$3,KOMBI!$A$1:$GI$1,0))</f>
        <v>5.3310000000000004</v>
      </c>
      <c r="BW6" s="25">
        <f t="array" ref="BW6">INDEX(KOMBI!$A$1:$GI$145,ROW('KSH järjestus'!BW13),MATCH('KSH järjestus'!BW$3,KOMBI!$A$1:$GI$1,0))</f>
        <v>3.8888368215830607</v>
      </c>
      <c r="BX6" s="25">
        <f t="array" ref="BX6">INDEX(KOMBI!$A$1:$GI$145,ROW('KSH järjestus'!BX13),MATCH('KSH järjestus'!BX$3,KOMBI!$A$1:$GI$1,0))</f>
        <v>20.207999999999998</v>
      </c>
      <c r="BY6" s="25">
        <f t="array" ref="BY6">INDEX(KOMBI!$A$1:$GI$145,ROW('KSH järjestus'!BY13),MATCH('KSH järjestus'!BY$3,KOMBI!$A$1:$GI$1,0))</f>
        <v>12.808543134371309</v>
      </c>
      <c r="BZ6" s="25">
        <f t="array" ref="BZ6">INDEX(KOMBI!$A$1:$GI$145,ROW('KSH järjestus'!BZ13),MATCH('KSH järjestus'!BZ$3,KOMBI!$A$1:$GI$1,0))</f>
        <v>81</v>
      </c>
      <c r="CA6" s="25">
        <f t="array" ref="CA6">INDEX(KOMBI!$A$1:$GI$145,ROW('KSH järjestus'!CA13),MATCH('KSH järjestus'!CA$3,KOMBI!$A$1:$GI$1,0))</f>
        <v>15.714</v>
      </c>
      <c r="CB6" s="25">
        <f t="array" ref="CB6">INDEX(KOMBI!$A$1:$GI$145,ROW('KSH järjestus'!CB13),MATCH('KSH järjestus'!CB$3,KOMBI!$A$1:$GI$1,0))</f>
        <v>69.934444444444452</v>
      </c>
      <c r="CC6" s="25">
        <f t="array" ref="CC6">INDEX(KOMBI!$A$1:$GI$145,ROW('KSH järjestus'!CC13),MATCH('KSH järjestus'!CC$3,KOMBI!$A$1:$GI$1,0))</f>
        <v>5.6264539999999998</v>
      </c>
      <c r="CD6" s="25">
        <f t="array" ref="CD6">INDEX(KOMBI!$A$1:$GI$145,ROW('KSH järjestus'!CD13),MATCH('KSH järjestus'!CD$3,KOMBI!$A$1:$GI$1,0))</f>
        <v>339.59999999999997</v>
      </c>
      <c r="CE6" s="25">
        <f t="array" ref="CE6">INDEX(KOMBI!$A$1:$GI$145,ROW('KSH järjestus'!CE13),MATCH('KSH järjestus'!CE$3,KOMBI!$A$1:$GI$1,0))</f>
        <v>3.0259999999999998</v>
      </c>
      <c r="CF6" s="25">
        <f t="array" ref="CF6">INDEX(KOMBI!$A$1:$GI$145,ROW('KSH järjestus'!CF13),MATCH('KSH järjestus'!CF$3,KOMBI!$A$1:$GI$1,0))</f>
        <v>52.764567183462525</v>
      </c>
      <c r="CG6" s="25">
        <f t="array" ref="CG6">INDEX(KOMBI!$A$1:$GI$145,ROW('KSH järjestus'!CG13),MATCH('KSH järjestus'!CG$3,KOMBI!$A$1:$GI$1,0))</f>
        <v>2.0156356925118721E-2</v>
      </c>
      <c r="CH6" s="25">
        <f t="array" ref="CH6">INDEX(KOMBI!$A$1:$GI$145,ROW('KSH järjestus'!CH13),MATCH('KSH järjestus'!CH$3,KOMBI!$A$1:$GI$1,0))</f>
        <v>0.36168246787532254</v>
      </c>
      <c r="CI6" s="25">
        <f t="array" ref="CI6">INDEX(KOMBI!$A$1:$GI$145,ROW('KSH järjestus'!CI13),MATCH('KSH järjestus'!CI$3,KOMBI!$A$1:$GI$1,0))</f>
        <v>6.78</v>
      </c>
      <c r="CJ6" s="25">
        <f t="array" ref="CJ6">INDEX(KOMBI!$A$1:$GI$145,ROW('KSH järjestus'!CJ13),MATCH('KSH järjestus'!CJ$3,KOMBI!$A$1:$GI$1,0))</f>
        <v>5.9576368215830611</v>
      </c>
      <c r="CK6" s="25">
        <f t="array" ref="CK6">INDEX(KOMBI!$A$1:$GI$145,ROW('KSH järjestus'!CK13),MATCH('KSH järjestus'!CK$3,KOMBI!$A$1:$GI$1,0))</f>
        <v>0.22900000000000001</v>
      </c>
      <c r="CL6" s="25">
        <f t="array" ref="CL6">INDEX(KOMBI!$A$1:$GI$145,ROW('KSH järjestus'!CL13),MATCH('KSH järjestus'!CL$3,KOMBI!$A$1:$GI$1,0))</f>
        <v>0.82899999999999996</v>
      </c>
    </row>
    <row r="7" spans="2:90" x14ac:dyDescent="0.2">
      <c r="C7" s="184">
        <v>4</v>
      </c>
      <c r="G7" s="25">
        <f>RANK(INDEX(KOMBI!$A$11:$GI$145,MATCH('KSH järjestus'!$C7,KOMBI!$A$11:$A$145,0),MATCH('KSH järjestus'!G$3,KOMBI!$A$1:$GI$1,0)),BD$4:BD$138,G$2)</f>
        <v>131</v>
      </c>
      <c r="H7" s="25">
        <f>RANK(INDEX(KOMBI!$A$11:$GI$145,MATCH('KSH järjestus'!$C7,KOMBI!$A$11:$A$145,0),MATCH('KSH järjestus'!H$3,KOMBI!$A$1:$GI$1,0)),BE$4:BE$138,H$2)</f>
        <v>134</v>
      </c>
      <c r="J7" s="25">
        <f>RANK(INDEX(KOMBI!$A$11:$GI$145,MATCH('KSH järjestus'!$C7,KOMBI!$A$11:$A$145,0),MATCH('KSH järjestus'!J$3,KOMBI!$A$1:$GI$1,0)),BG$4:BG$138,J$2)</f>
        <v>114</v>
      </c>
      <c r="M7" s="25">
        <f>RANK(INDEX(KOMBI!$A$11:$GI$145,MATCH('KSH järjestus'!$C7,KOMBI!$A$11:$A$145,0),MATCH('KSH järjestus'!M$3,KOMBI!$A$1:$GI$1,0)),BJ$4:BJ$138,M$2)</f>
        <v>55</v>
      </c>
      <c r="N7" s="25">
        <f>RANK(INDEX(KOMBI!$A$11:$GI$145,MATCH('KSH järjestus'!$C7,KOMBI!$A$11:$A$145,0),MATCH('KSH järjestus'!N$3,KOMBI!$A$1:$GI$1,0)),BK$4:BK$138,N$2)</f>
        <v>94</v>
      </c>
      <c r="O7" s="25">
        <f>RANK(INDEX(KOMBI!$A$11:$GI$145,MATCH('KSH järjestus'!$C7,KOMBI!$A$11:$A$145,0),MATCH('KSH järjestus'!O$3,KOMBI!$A$1:$GI$1,0)),BL$4:BL$138,O$2)</f>
        <v>134</v>
      </c>
      <c r="P7" s="25">
        <f>RANK(INDEX(KOMBI!$A$11:$GI$145,MATCH('KSH järjestus'!$C7,KOMBI!$A$11:$A$145,0),MATCH('KSH järjestus'!P$3,KOMBI!$A$1:$GI$1,0)),BM$4:BM$138,P$2)</f>
        <v>101</v>
      </c>
      <c r="Q7" s="25">
        <f>RANK(INDEX(KOMBI!$A$11:$GI$145,MATCH('KSH järjestus'!$C7,KOMBI!$A$11:$A$145,0),MATCH('KSH järjestus'!Q$3,KOMBI!$A$1:$GI$1,0)),BN$4:BN$138,Q$2)</f>
        <v>120</v>
      </c>
      <c r="R7" s="25">
        <f>RANK(INDEX(KOMBI!$A$11:$GI$145,MATCH('KSH järjestus'!$C7,KOMBI!$A$11:$A$145,0),MATCH('KSH järjestus'!R$3,KOMBI!$A$1:$GI$1,0)),BO$4:BO$138,R$2)</f>
        <v>134</v>
      </c>
      <c r="T7" s="25">
        <f>RANK(INDEX(KOMBI!$A$11:$GI$145,MATCH('KSH järjestus'!$C7,KOMBI!$A$11:$A$145,0),MATCH('KSH järjestus'!T$3,KOMBI!$A$1:$GI$1,0)),BQ$4:BQ$138,T$2)</f>
        <v>110</v>
      </c>
      <c r="U7" s="25">
        <f>RANK(INDEX(KOMBI!$A$11:$GI$145,MATCH('KSH järjestus'!$C7,KOMBI!$A$11:$A$145,0),MATCH('KSH järjestus'!U$3,KOMBI!$A$1:$GI$1,0)),BR$4:BR$138,U$2)</f>
        <v>122</v>
      </c>
      <c r="AA7" s="25">
        <f>RANK(INDEX(KOMBI!$A$11:$GI$145,MATCH('KSH järjestus'!$C7,KOMBI!$A$11:$A$145,0),MATCH('KSH järjestus'!AA$3,KOMBI!$A$1:$GI$1,0)),BX$4:BX$138,AA$2)</f>
        <v>103</v>
      </c>
      <c r="AB7" s="25">
        <f>RANK(INDEX(KOMBI!$A$11:$GI$145,MATCH('KSH järjestus'!$C7,KOMBI!$A$11:$A$145,0),MATCH('KSH järjestus'!AB$3,KOMBI!$A$1:$GI$1,0)),BY$4:BY$138,AB$2)</f>
        <v>100</v>
      </c>
      <c r="AC7" s="25">
        <f>RANK(INDEX(KOMBI!$A$11:$GI$145,MATCH('KSH järjestus'!$C7,KOMBI!$A$11:$A$145,0),MATCH('KSH järjestus'!AC$3,KOMBI!$A$1:$GI$1,0)),BZ$4:BZ$138,AC$2)</f>
        <v>84</v>
      </c>
      <c r="AD7" s="25">
        <f>RANK(INDEX(KOMBI!$A$11:$GI$145,MATCH('KSH järjestus'!$C7,KOMBI!$A$11:$A$145,0),MATCH('KSH järjestus'!AD$3,KOMBI!$A$1:$GI$1,0)),CA$4:CA$138,AD$2)</f>
        <v>103</v>
      </c>
      <c r="AE7" s="25">
        <f>RANK(INDEX(KOMBI!$A$11:$GI$145,MATCH('KSH järjestus'!$C7,KOMBI!$A$11:$A$145,0),MATCH('KSH järjestus'!AE$3,KOMBI!$A$1:$GI$1,0)),CB$4:CB$138,AE$2)</f>
        <v>101</v>
      </c>
      <c r="AG7" s="25">
        <f>RANK(INDEX(KOMBI!$A$11:$GI$145,MATCH('KSH järjestus'!$C7,KOMBI!$A$11:$A$145,0),MATCH('KSH järjestus'!AG$3,KOMBI!$A$1:$GI$1,0)),CD$4:CD$138,AG$2)</f>
        <v>124</v>
      </c>
      <c r="AH7" s="25">
        <f>RANK(INDEX(KOMBI!$A$11:$GI$145,MATCH('KSH järjestus'!$C7,KOMBI!$A$11:$A$145,0),MATCH('KSH järjestus'!AH$3,KOMBI!$A$1:$GI$1,0)),CE$4:CE$138,AH$2)</f>
        <v>91</v>
      </c>
      <c r="AI7" s="25">
        <f>RANK(INDEX(KOMBI!$A$11:$GI$145,MATCH('KSH järjestus'!$C7,KOMBI!$A$11:$A$145,0),MATCH('KSH järjestus'!AI$3,KOMBI!$A$1:$GI$1,0)),CF$4:CF$138,AI$2)</f>
        <v>106</v>
      </c>
      <c r="AJ7" s="25">
        <f>RANK(INDEX(KOMBI!$A$11:$GI$145,MATCH('KSH järjestus'!$C7,KOMBI!$A$11:$A$145,0),MATCH('KSH järjestus'!AJ$3,KOMBI!$A$1:$GI$1,0)),CG$4:CG$138,AJ$2)</f>
        <v>124</v>
      </c>
      <c r="AK7" s="25">
        <f>RANK(INDEX(KOMBI!$A$11:$GI$145,MATCH('KSH järjestus'!$C7,KOMBI!$A$11:$A$145,0),MATCH('KSH järjestus'!AK$3,KOMBI!$A$1:$GI$1,0)),CH$4:CH$138,AK$2)</f>
        <v>112</v>
      </c>
      <c r="AN7" s="25">
        <f>RANK(INDEX(KOMBI!$A$11:$GI$145,MATCH('KSH järjestus'!$C7,KOMBI!$A$11:$A$145,0),MATCH('KSH järjestus'!AN$3,KOMBI!$A$1:$GI$1,0)),CK$4:CK$138,AN$2)</f>
        <v>91</v>
      </c>
      <c r="AO7" s="25">
        <f>RANK(INDEX(KOMBI!$A$11:$GI$145,MATCH('KSH järjestus'!$C7,KOMBI!$A$11:$A$145,0),MATCH('KSH järjestus'!AO$3,KOMBI!$A$1:$GI$1,0)),CL$4:CL$138,AO$2)</f>
        <v>91</v>
      </c>
      <c r="AS7" s="297">
        <f t="shared" si="0"/>
        <v>2479</v>
      </c>
      <c r="AT7" s="25">
        <f t="shared" si="1"/>
        <v>574</v>
      </c>
      <c r="AU7" s="25">
        <f t="shared" si="2"/>
        <v>127</v>
      </c>
      <c r="AV7" s="295" t="str">
        <f>VLOOKUP(VLOOKUP($AU7,KOMBI!$A:$H,3,FALSE),data!$I$27:$J$29,2,FALSE)</f>
        <v>Sekkuv/EÜ</v>
      </c>
      <c r="AW7" s="295" t="str">
        <f>VLOOKUP(VLOOKUP($AU7,KOMBI!$A:$H,2,FALSE),data!$I$21:$J$23,2,FALSE)</f>
        <v>Sekkuv</v>
      </c>
      <c r="AX7" s="295" t="str">
        <f>VLOOKUP(VLOOKUP($AU7,KOMBI!$A:$H,5,FALSE),data!$I$39:$J$41,2,FALSE)</f>
        <v>Mittesekkuv</v>
      </c>
      <c r="AY7" s="295" t="str">
        <f>VLOOKUP(VLOOKUP($AU7,KOMBI!$A:$H,4,FALSE),data!$I$32:$J$36,2,FALSE)</f>
        <v>TE</v>
      </c>
      <c r="BA7" s="25">
        <f t="array" ref="BA7">INDEX(KOMBI!$A$1:$GI$145,ROW('KSH järjestus'!BA14),MATCH('KSH järjestus'!BA$3,KOMBI!$A$1:$GI$1,0))</f>
        <v>6.2365001726004024E-2</v>
      </c>
      <c r="BB7" s="25">
        <f t="array" ref="BB7">INDEX(KOMBI!$A$1:$GI$145,ROW('KSH järjestus'!BB14),MATCH('KSH järjestus'!BB$3,KOMBI!$A$1:$GI$1,0))</f>
        <v>37.399970822941228</v>
      </c>
      <c r="BC7" s="25">
        <f t="array" aca="1" ref="BC7" ca="1">INDEX(KOMBI!$A$1:$GI$145,ROW('KSH järjestus'!BC14),MATCH('KSH järjestus'!BC$3,KOMBI!$A$1:$GI$1,0))</f>
        <v>13.745349033645622</v>
      </c>
      <c r="BD7" s="25">
        <f t="array" ref="BD7">INDEX(KOMBI!$A$1:$GI$145,ROW('KSH järjestus'!BD14),MATCH('KSH järjestus'!BD$3,KOMBI!$A$1:$GI$1,0))</f>
        <v>0</v>
      </c>
      <c r="BE7" s="25">
        <f t="array" ref="BE7">INDEX(KOMBI!$A$1:$GI$145,ROW('KSH järjestus'!BE14),MATCH('KSH järjestus'!BE$3,KOMBI!$A$1:$GI$1,0))</f>
        <v>13.745349033645622</v>
      </c>
      <c r="BF7" s="25">
        <f t="array" aca="1" ref="BF7" ca="1">INDEX(KOMBI!$A$1:$GI$145,ROW('KSH järjestus'!BF14),MATCH('KSH järjestus'!BF$3,KOMBI!$A$1:$GI$1,0))</f>
        <v>0</v>
      </c>
      <c r="BG7" s="25">
        <f t="array" ref="BG7">INDEX(KOMBI!$A$1:$GI$145,ROW('KSH järjestus'!BG14),MATCH('KSH järjestus'!BG$3,KOMBI!$A$1:$GI$1,0))</f>
        <v>0.60972649184220895</v>
      </c>
      <c r="BH7" s="25">
        <f t="array" ref="BH7">INDEX(KOMBI!$A$1:$GI$145,ROW('KSH järjestus'!BH14),MATCH('KSH järjestus'!BH$3,KOMBI!$A$1:$GI$1,0))</f>
        <v>90</v>
      </c>
      <c r="BI7" s="25">
        <f t="array" ref="BI7">INDEX(KOMBI!$A$1:$GI$145,ROW('KSH järjestus'!BI14),MATCH('KSH järjestus'!BI$3,KOMBI!$A$1:$GI$1,0))</f>
        <v>1</v>
      </c>
      <c r="BJ7" s="25">
        <f t="array" ref="BJ7">INDEX(KOMBI!$A$1:$GI$145,ROW('KSH järjestus'!BJ14),MATCH('KSH järjestus'!BJ$3,KOMBI!$A$1:$GI$1,0))</f>
        <v>0.27911646586345373</v>
      </c>
      <c r="BK7" s="25">
        <f t="array" ref="BK7">INDEX(KOMBI!$A$1:$GI$145,ROW('KSH järjestus'!BK14),MATCH('KSH järjestus'!BK$3,KOMBI!$A$1:$GI$1,0))</f>
        <v>0.31062542735309201</v>
      </c>
      <c r="BL7" s="25">
        <f t="array" ref="BL7">INDEX(KOMBI!$A$1:$GI$145,ROW('KSH järjestus'!BL14),MATCH('KSH järjestus'!BL$3,KOMBI!$A$1:$GI$1,0))</f>
        <v>1.7159464163125527E-3</v>
      </c>
      <c r="BM7" s="25">
        <f t="array" ref="BM7">INDEX(KOMBI!$A$1:$GI$145,ROW('KSH järjestus'!BM14),MATCH('KSH järjestus'!BM$3,KOMBI!$A$1:$GI$1,0))</f>
        <v>-2.4780187187799789E-3</v>
      </c>
      <c r="BN7" s="25">
        <f t="array" ref="BN7">INDEX(KOMBI!$A$1:$GI$145,ROW('KSH järjestus'!BN14),MATCH('KSH järjestus'!BN$3,KOMBI!$A$1:$GI$1,0))</f>
        <v>8.2295731122755678E-5</v>
      </c>
      <c r="BO7" s="25">
        <f t="array" ref="BO7">INDEX(KOMBI!$A$1:$GI$145,ROW('KSH järjestus'!BO14),MATCH('KSH järjestus'!BO$3,KOMBI!$A$1:$GI$1,0))</f>
        <v>1.6368053121038728E-3</v>
      </c>
      <c r="BP7" s="25">
        <f t="array" ref="BP7">INDEX(KOMBI!$A$1:$GI$145,ROW('KSH järjestus'!BP14),MATCH('KSH järjestus'!BP$3,KOMBI!$A$1:$GI$1,0))</f>
        <v>8.5657605777489074</v>
      </c>
      <c r="BQ7" s="25">
        <f t="array" ref="BQ7">INDEX(KOMBI!$A$1:$GI$145,ROW('KSH järjestus'!BQ14),MATCH('KSH järjestus'!BQ$3,KOMBI!$A$1:$GI$1,0))</f>
        <v>11.411</v>
      </c>
      <c r="BR7" s="25">
        <f t="array" ref="BR7">INDEX(KOMBI!$A$1:$GI$145,ROW('KSH järjestus'!BR14),MATCH('KSH järjestus'!BR$3,KOMBI!$A$1:$GI$1,0))</f>
        <v>1.849685073702665E-5</v>
      </c>
      <c r="BS7" s="25">
        <f t="array" ref="BS7">INDEX(KOMBI!$A$1:$GI$145,ROW('KSH järjestus'!BS14),MATCH('KSH järjestus'!BS$3,KOMBI!$A$1:$GI$1,0))</f>
        <v>2.086028511696189E-5</v>
      </c>
      <c r="BT7" s="25">
        <f t="array" ref="BT7">INDEX(KOMBI!$A$1:$GI$145,ROW('KSH järjestus'!BT14),MATCH('KSH järjestus'!BT$3,KOMBI!$A$1:$GI$1,0))</f>
        <v>3.8062194737299741E-5</v>
      </c>
      <c r="BU7" s="25">
        <f t="array" ref="BU7">INDEX(KOMBI!$A$1:$GI$145,ROW('KSH järjestus'!BU14),MATCH('KSH järjestus'!BU$3,KOMBI!$A$1:$GI$1,0))</f>
        <v>9.5927140697148801</v>
      </c>
      <c r="BV7" s="25">
        <f t="array" ref="BV7">INDEX(KOMBI!$A$1:$GI$145,ROW('KSH järjestus'!BV14),MATCH('KSH järjestus'!BV$3,KOMBI!$A$1:$GI$1,0))</f>
        <v>5.3630000000000004</v>
      </c>
      <c r="BW7" s="25">
        <f t="array" ref="BW7">INDEX(KOMBI!$A$1:$GI$145,ROW('KSH järjestus'!BW14),MATCH('KSH järjestus'!BW$3,KOMBI!$A$1:$GI$1,0))</f>
        <v>3.3026368215830604</v>
      </c>
      <c r="BX7" s="25">
        <f t="array" ref="BX7">INDEX(KOMBI!$A$1:$GI$145,ROW('KSH järjestus'!BX14),MATCH('KSH järjestus'!BX$3,KOMBI!$A$1:$GI$1,0))</f>
        <v>20.210578011574537</v>
      </c>
      <c r="BY7" s="25">
        <f t="array" ref="BY7">INDEX(KOMBI!$A$1:$GI$145,ROW('KSH järjestus'!BY14),MATCH('KSH järjestus'!BY$3,KOMBI!$A$1:$GI$1,0))</f>
        <v>12.807124562278599</v>
      </c>
      <c r="BZ7" s="25">
        <f t="array" ref="BZ7">INDEX(KOMBI!$A$1:$GI$145,ROW('KSH järjestus'!BZ14),MATCH('KSH järjestus'!BZ$3,KOMBI!$A$1:$GI$1,0))</f>
        <v>79</v>
      </c>
      <c r="CA7" s="25">
        <f t="array" ref="CA7">INDEX(KOMBI!$A$1:$GI$145,ROW('KSH järjestus'!CA14),MATCH('KSH järjestus'!CA$3,KOMBI!$A$1:$GI$1,0))</f>
        <v>15.375</v>
      </c>
      <c r="CB7" s="25">
        <f t="array" ref="CB7">INDEX(KOMBI!$A$1:$GI$145,ROW('KSH järjestus'!CB14),MATCH('KSH järjestus'!CB$3,KOMBI!$A$1:$GI$1,0))</f>
        <v>68.69361111111111</v>
      </c>
      <c r="CC7" s="25">
        <f t="array" ref="CC7">INDEX(KOMBI!$A$1:$GI$145,ROW('KSH järjestus'!CC14),MATCH('KSH järjestus'!CC$3,KOMBI!$A$1:$GI$1,0))</f>
        <v>5.5003859999999998</v>
      </c>
      <c r="CD7" s="25">
        <f t="array" ref="CD7">INDEX(KOMBI!$A$1:$GI$145,ROW('KSH järjestus'!CD14),MATCH('KSH järjestus'!CD$3,KOMBI!$A$1:$GI$1,0))</f>
        <v>339.59999999999997</v>
      </c>
      <c r="CE7" s="25">
        <f t="array" ref="CE7">INDEX(KOMBI!$A$1:$GI$145,ROW('KSH järjestus'!CE14),MATCH('KSH järjestus'!CE$3,KOMBI!$A$1:$GI$1,0))</f>
        <v>3.0259999999999998</v>
      </c>
      <c r="CF7" s="25">
        <f t="array" ref="CF7">INDEX(KOMBI!$A$1:$GI$145,ROW('KSH järjestus'!CF14),MATCH('KSH järjestus'!CF$3,KOMBI!$A$1:$GI$1,0))</f>
        <v>52.774567183462523</v>
      </c>
      <c r="CG7" s="25">
        <f t="array" ref="CG7">INDEX(KOMBI!$A$1:$GI$145,ROW('KSH järjestus'!CG14),MATCH('KSH järjestus'!CG$3,KOMBI!$A$1:$GI$1,0))</f>
        <v>2.0156356925118721E-2</v>
      </c>
      <c r="CH7" s="25">
        <f t="array" ref="CH7">INDEX(KOMBI!$A$1:$GI$145,ROW('KSH järjestus'!CH14),MATCH('KSH järjestus'!CH$3,KOMBI!$A$1:$GI$1,0))</f>
        <v>0.36168246787532254</v>
      </c>
      <c r="CI7" s="25">
        <f t="array" ref="CI7">INDEX(KOMBI!$A$1:$GI$145,ROW('KSH järjestus'!CI14),MATCH('KSH järjestus'!CI$3,KOMBI!$A$1:$GI$1,0))</f>
        <v>6.78</v>
      </c>
      <c r="CJ7" s="25">
        <f t="array" ref="CJ7">INDEX(KOMBI!$A$1:$GI$145,ROW('KSH järjestus'!CJ14),MATCH('KSH järjestus'!CJ$3,KOMBI!$A$1:$GI$1,0))</f>
        <v>6.6726368215830609</v>
      </c>
      <c r="CK7" s="25">
        <f t="array" ref="CK7">INDEX(KOMBI!$A$1:$GI$145,ROW('KSH järjestus'!CK14),MATCH('KSH järjestus'!CK$3,KOMBI!$A$1:$GI$1,0))</f>
        <v>0.22900000000000001</v>
      </c>
      <c r="CL7" s="25">
        <f t="array" ref="CL7">INDEX(KOMBI!$A$1:$GI$145,ROW('KSH järjestus'!CL14),MATCH('KSH järjestus'!CL$3,KOMBI!$A$1:$GI$1,0))</f>
        <v>0.82899999999999996</v>
      </c>
    </row>
    <row r="8" spans="2:90" x14ac:dyDescent="0.2">
      <c r="C8" s="184">
        <v>5</v>
      </c>
      <c r="G8" s="25">
        <f>RANK(INDEX(KOMBI!$A$11:$GI$145,MATCH('KSH järjestus'!$C8,KOMBI!$A$11:$A$145,0),MATCH('KSH järjestus'!G$3,KOMBI!$A$1:$GI$1,0)),BD$4:BD$138,G$2)</f>
        <v>126</v>
      </c>
      <c r="H8" s="25">
        <f>RANK(INDEX(KOMBI!$A$11:$GI$145,MATCH('KSH järjestus'!$C8,KOMBI!$A$11:$A$145,0),MATCH('KSH järjestus'!H$3,KOMBI!$A$1:$GI$1,0)),BE$4:BE$138,H$2)</f>
        <v>127</v>
      </c>
      <c r="J8" s="25">
        <f>RANK(INDEX(KOMBI!$A$11:$GI$145,MATCH('KSH järjestus'!$C8,KOMBI!$A$11:$A$145,0),MATCH('KSH järjestus'!J$3,KOMBI!$A$1:$GI$1,0)),BG$4:BG$138,J$2)</f>
        <v>101</v>
      </c>
      <c r="M8" s="25">
        <f>RANK(INDEX(KOMBI!$A$11:$GI$145,MATCH('KSH järjestus'!$C8,KOMBI!$A$11:$A$145,0),MATCH('KSH järjestus'!M$3,KOMBI!$A$1:$GI$1,0)),BJ$4:BJ$138,M$2)</f>
        <v>55</v>
      </c>
      <c r="N8" s="25">
        <f>RANK(INDEX(KOMBI!$A$11:$GI$145,MATCH('KSH järjestus'!$C8,KOMBI!$A$11:$A$145,0),MATCH('KSH järjestus'!N$3,KOMBI!$A$1:$GI$1,0)),BK$4:BK$138,N$2)</f>
        <v>94</v>
      </c>
      <c r="O8" s="25">
        <f>RANK(INDEX(KOMBI!$A$11:$GI$145,MATCH('KSH järjestus'!$C8,KOMBI!$A$11:$A$145,0),MATCH('KSH järjestus'!O$3,KOMBI!$A$1:$GI$1,0)),BL$4:BL$138,O$2)</f>
        <v>116</v>
      </c>
      <c r="P8" s="25">
        <f>RANK(INDEX(KOMBI!$A$11:$GI$145,MATCH('KSH järjestus'!$C8,KOMBI!$A$11:$A$145,0),MATCH('KSH järjestus'!P$3,KOMBI!$A$1:$GI$1,0)),BM$4:BM$138,P$2)</f>
        <v>115</v>
      </c>
      <c r="Q8" s="25">
        <f>RANK(INDEX(KOMBI!$A$11:$GI$145,MATCH('KSH järjestus'!$C8,KOMBI!$A$11:$A$145,0),MATCH('KSH järjestus'!Q$3,KOMBI!$A$1:$GI$1,0)),BN$4:BN$138,Q$2)</f>
        <v>91</v>
      </c>
      <c r="R8" s="25">
        <f>RANK(INDEX(KOMBI!$A$11:$GI$145,MATCH('KSH järjestus'!$C8,KOMBI!$A$11:$A$145,0),MATCH('KSH järjestus'!R$3,KOMBI!$A$1:$GI$1,0)),BO$4:BO$138,R$2)</f>
        <v>122</v>
      </c>
      <c r="T8" s="25">
        <f>RANK(INDEX(KOMBI!$A$11:$GI$145,MATCH('KSH järjestus'!$C8,KOMBI!$A$11:$A$145,0),MATCH('KSH järjestus'!T$3,KOMBI!$A$1:$GI$1,0)),BQ$4:BQ$138,T$2)</f>
        <v>115</v>
      </c>
      <c r="U8" s="25">
        <f>RANK(INDEX(KOMBI!$A$11:$GI$145,MATCH('KSH järjestus'!$C8,KOMBI!$A$11:$A$145,0),MATCH('KSH järjestus'!U$3,KOMBI!$A$1:$GI$1,0)),BR$4:BR$138,U$2)</f>
        <v>127</v>
      </c>
      <c r="AA8" s="25">
        <f>RANK(INDEX(KOMBI!$A$11:$GI$145,MATCH('KSH järjestus'!$C8,KOMBI!$A$11:$A$145,0),MATCH('KSH järjestus'!AA$3,KOMBI!$A$1:$GI$1,0)),BX$4:BX$138,AA$2)</f>
        <v>103</v>
      </c>
      <c r="AB8" s="25">
        <f>RANK(INDEX(KOMBI!$A$11:$GI$145,MATCH('KSH järjestus'!$C8,KOMBI!$A$11:$A$145,0),MATCH('KSH järjestus'!AB$3,KOMBI!$A$1:$GI$1,0)),BY$4:BY$138,AB$2)</f>
        <v>100</v>
      </c>
      <c r="AC8" s="25">
        <f>RANK(INDEX(KOMBI!$A$11:$GI$145,MATCH('KSH järjestus'!$C8,KOMBI!$A$11:$A$145,0),MATCH('KSH järjestus'!AC$3,KOMBI!$A$1:$GI$1,0)),BZ$4:BZ$138,AC$2)</f>
        <v>88</v>
      </c>
      <c r="AD8" s="25">
        <f>RANK(INDEX(KOMBI!$A$11:$GI$145,MATCH('KSH järjestus'!$C8,KOMBI!$A$11:$A$145,0),MATCH('KSH järjestus'!AD$3,KOMBI!$A$1:$GI$1,0)),CA$4:CA$138,AD$2)</f>
        <v>107</v>
      </c>
      <c r="AE8" s="25">
        <f>RANK(INDEX(KOMBI!$A$11:$GI$145,MATCH('KSH järjestus'!$C8,KOMBI!$A$11:$A$145,0),MATCH('KSH järjestus'!AE$3,KOMBI!$A$1:$GI$1,0)),CB$4:CB$138,AE$2)</f>
        <v>104</v>
      </c>
      <c r="AG8" s="25">
        <f>RANK(INDEX(KOMBI!$A$11:$GI$145,MATCH('KSH järjestus'!$C8,KOMBI!$A$11:$A$145,0),MATCH('KSH järjestus'!AG$3,KOMBI!$A$1:$GI$1,0)),CD$4:CD$138,AG$2)</f>
        <v>124</v>
      </c>
      <c r="AH8" s="25">
        <f>RANK(INDEX(KOMBI!$A$11:$GI$145,MATCH('KSH järjestus'!$C8,KOMBI!$A$11:$A$145,0),MATCH('KSH järjestus'!AH$3,KOMBI!$A$1:$GI$1,0)),CE$4:CE$138,AH$2)</f>
        <v>91</v>
      </c>
      <c r="AI8" s="25">
        <f>RANK(INDEX(KOMBI!$A$11:$GI$145,MATCH('KSH järjestus'!$C8,KOMBI!$A$11:$A$145,0),MATCH('KSH järjestus'!AI$3,KOMBI!$A$1:$GI$1,0)),CF$4:CF$138,AI$2)</f>
        <v>106</v>
      </c>
      <c r="AJ8" s="25">
        <f>RANK(INDEX(KOMBI!$A$11:$GI$145,MATCH('KSH järjestus'!$C8,KOMBI!$A$11:$A$145,0),MATCH('KSH järjestus'!AJ$3,KOMBI!$A$1:$GI$1,0)),CG$4:CG$138,AJ$2)</f>
        <v>124</v>
      </c>
      <c r="AK8" s="25">
        <f>RANK(INDEX(KOMBI!$A$11:$GI$145,MATCH('KSH järjestus'!$C8,KOMBI!$A$11:$A$145,0),MATCH('KSH järjestus'!AK$3,KOMBI!$A$1:$GI$1,0)),CH$4:CH$138,AK$2)</f>
        <v>112</v>
      </c>
      <c r="AN8" s="25">
        <f>RANK(INDEX(KOMBI!$A$11:$GI$145,MATCH('KSH järjestus'!$C8,KOMBI!$A$11:$A$145,0),MATCH('KSH järjestus'!AN$3,KOMBI!$A$1:$GI$1,0)),CK$4:CK$138,AN$2)</f>
        <v>91</v>
      </c>
      <c r="AO8" s="25">
        <f>RANK(INDEX(KOMBI!$A$11:$GI$145,MATCH('KSH järjestus'!$C8,KOMBI!$A$11:$A$145,0),MATCH('KSH järjestus'!AO$3,KOMBI!$A$1:$GI$1,0)),CL$4:CL$138,AO$2)</f>
        <v>91</v>
      </c>
      <c r="AS8" s="297">
        <f t="shared" si="0"/>
        <v>2430</v>
      </c>
      <c r="AT8" s="25">
        <f t="shared" si="1"/>
        <v>584</v>
      </c>
      <c r="AU8" s="25">
        <f t="shared" si="2"/>
        <v>131</v>
      </c>
      <c r="AV8" s="295" t="str">
        <f>VLOOKUP(VLOOKUP($AU8,KOMBI!$A:$H,3,FALSE),data!$I$27:$J$29,2,FALSE)</f>
        <v>Sekkuv/EÜ</v>
      </c>
      <c r="AW8" s="295" t="str">
        <f>VLOOKUP(VLOOKUP($AU8,KOMBI!$A:$H,2,FALSE),data!$I$21:$J$23,2,FALSE)</f>
        <v>Sekkuv</v>
      </c>
      <c r="AX8" s="295" t="str">
        <f>VLOOKUP(VLOOKUP($AU8,KOMBI!$A:$H,5,FALSE),data!$I$39:$J$41,2,FALSE)</f>
        <v>Vähe-sekkuv</v>
      </c>
      <c r="AY8" s="295" t="str">
        <f>VLOOKUP(VLOOKUP($AU8,KOMBI!$A:$H,4,FALSE),data!$I$32:$J$36,2,FALSE)</f>
        <v>TE++</v>
      </c>
      <c r="BA8" s="25">
        <f t="array" ref="BA8">INDEX(KOMBI!$A$1:$GI$145,ROW('KSH järjestus'!BA15),MATCH('KSH järjestus'!BA$3,KOMBI!$A$1:$GI$1,0))</f>
        <v>0.9782766503718443</v>
      </c>
      <c r="BB8" s="25">
        <f t="array" ref="BB8">INDEX(KOMBI!$A$1:$GI$145,ROW('KSH järjestus'!BB15),MATCH('KSH järjestus'!BB$3,KOMBI!$A$1:$GI$1,0))</f>
        <v>197.88000309220448</v>
      </c>
      <c r="BC8" s="25">
        <f t="array" aca="1" ref="BC8" ca="1">INDEX(KOMBI!$A$1:$GI$145,ROW('KSH järjestus'!BC15),MATCH('KSH järjestus'!BC$3,KOMBI!$A$1:$GI$1,0))</f>
        <v>42.910671062180711</v>
      </c>
      <c r="BD8" s="25">
        <f t="array" ref="BD8">INDEX(KOMBI!$A$1:$GI$145,ROW('KSH järjestus'!BD15),MATCH('KSH järjestus'!BD$3,KOMBI!$A$1:$GI$1,0))</f>
        <v>-15.233219880632102</v>
      </c>
      <c r="BE8" s="25">
        <f t="array" ref="BE8">INDEX(KOMBI!$A$1:$GI$145,ROW('KSH järjestus'!BE15),MATCH('KSH järjestus'!BE$3,KOMBI!$A$1:$GI$1,0))</f>
        <v>58.143890942812817</v>
      </c>
      <c r="BF8" s="25">
        <f t="array" aca="1" ref="BF8" ca="1">INDEX(KOMBI!$A$1:$GI$145,ROW('KSH järjestus'!BF15),MATCH('KSH järjestus'!BF$3,KOMBI!$A$1:$GI$1,0))</f>
        <v>0</v>
      </c>
      <c r="BG8" s="25">
        <f t="array" ref="BG8">INDEX(KOMBI!$A$1:$GI$145,ROW('KSH järjestus'!BG15),MATCH('KSH järjestus'!BG$3,KOMBI!$A$1:$GI$1,0))</f>
        <v>0.58730807047222278</v>
      </c>
      <c r="BH8" s="25">
        <f t="array" ref="BH8">INDEX(KOMBI!$A$1:$GI$145,ROW('KSH järjestus'!BH15),MATCH('KSH järjestus'!BH$3,KOMBI!$A$1:$GI$1,0))</f>
        <v>90</v>
      </c>
      <c r="BI8" s="25">
        <f t="array" ref="BI8">INDEX(KOMBI!$A$1:$GI$145,ROW('KSH järjestus'!BI15),MATCH('KSH järjestus'!BI$3,KOMBI!$A$1:$GI$1,0))</f>
        <v>0.91028830406496797</v>
      </c>
      <c r="BJ8" s="25">
        <f t="array" ref="BJ8">INDEX(KOMBI!$A$1:$GI$145,ROW('KSH järjestus'!BJ15),MATCH('KSH järjestus'!BJ$3,KOMBI!$A$1:$GI$1,0))</f>
        <v>0.27911646586345373</v>
      </c>
      <c r="BK8" s="25">
        <f t="array" ref="BK8">INDEX(KOMBI!$A$1:$GI$145,ROW('KSH järjestus'!BK15),MATCH('KSH järjestus'!BK$3,KOMBI!$A$1:$GI$1,0))</f>
        <v>0.31062542735309201</v>
      </c>
      <c r="BL8" s="25">
        <f t="array" ref="BL8">INDEX(KOMBI!$A$1:$GI$145,ROW('KSH järjestus'!BL15),MATCH('KSH järjestus'!BL$3,KOMBI!$A$1:$GI$1,0))</f>
        <v>7.9983395027348782E-3</v>
      </c>
      <c r="BM8" s="25">
        <f t="array" ref="BM8">INDEX(KOMBI!$A$1:$GI$145,ROW('KSH järjestus'!BM15),MATCH('KSH järjestus'!BM$3,KOMBI!$A$1:$GI$1,0))</f>
        <v>-5.1710715681955923E-3</v>
      </c>
      <c r="BN8" s="25">
        <f t="array" ref="BN8">INDEX(KOMBI!$A$1:$GI$145,ROW('KSH järjestus'!BN15),MATCH('KSH järjestus'!BN$3,KOMBI!$A$1:$GI$1,0))</f>
        <v>2.5751655924805827E-3</v>
      </c>
      <c r="BO8" s="25">
        <f t="array" ref="BO8">INDEX(KOMBI!$A$1:$GI$145,ROW('KSH järjestus'!BO15),MATCH('KSH järjestus'!BO$3,KOMBI!$A$1:$GI$1,0))</f>
        <v>5.4616918559807007E-3</v>
      </c>
      <c r="BP8" s="25">
        <f t="array" ref="BP8">INDEX(KOMBI!$A$1:$GI$145,ROW('KSH järjestus'!BP15),MATCH('KSH järjestus'!BP$3,KOMBI!$A$1:$GI$1,0))</f>
        <v>8.5657605777489074</v>
      </c>
      <c r="BQ8" s="25">
        <f t="array" ref="BQ8">INDEX(KOMBI!$A$1:$GI$145,ROW('KSH järjestus'!BQ15),MATCH('KSH järjestus'!BQ$3,KOMBI!$A$1:$GI$1,0))</f>
        <v>11.502000000000001</v>
      </c>
      <c r="BR8" s="25">
        <f t="array" ref="BR8">INDEX(KOMBI!$A$1:$GI$145,ROW('KSH järjestus'!BR15),MATCH('KSH järjestus'!BR$3,KOMBI!$A$1:$GI$1,0))</f>
        <v>4.2522958620017483E-3</v>
      </c>
      <c r="BS8" s="25">
        <f t="array" ref="BS8">INDEX(KOMBI!$A$1:$GI$145,ROW('KSH järjestus'!BS15),MATCH('KSH järjestus'!BS$3,KOMBI!$A$1:$GI$1,0))</f>
        <v>1.354472504752523E-3</v>
      </c>
      <c r="BT8" s="25">
        <f t="array" ref="BT8">INDEX(KOMBI!$A$1:$GI$145,ROW('KSH järjestus'!BT15),MATCH('KSH järjestus'!BT$3,KOMBI!$A$1:$GI$1,0))</f>
        <v>1.1370249941312579E-3</v>
      </c>
      <c r="BU8" s="25">
        <f t="array" ref="BU8">INDEX(KOMBI!$A$1:$GI$145,ROW('KSH järjestus'!BU15),MATCH('KSH järjestus'!BU$3,KOMBI!$A$1:$GI$1,0))</f>
        <v>9.5927140697148801</v>
      </c>
      <c r="BV8" s="25">
        <f t="array" ref="BV8">INDEX(KOMBI!$A$1:$GI$145,ROW('KSH järjestus'!BV15),MATCH('KSH järjestus'!BV$3,KOMBI!$A$1:$GI$1,0))</f>
        <v>5.3630000000000004</v>
      </c>
      <c r="BW8" s="25">
        <f t="array" ref="BW8">INDEX(KOMBI!$A$1:$GI$145,ROW('KSH järjestus'!BW15),MATCH('KSH järjestus'!BW$3,KOMBI!$A$1:$GI$1,0))</f>
        <v>3.6801368215830603</v>
      </c>
      <c r="BX8" s="25">
        <f t="array" ref="BX8">INDEX(KOMBI!$A$1:$GI$145,ROW('KSH järjestus'!BX15),MATCH('KSH järjestus'!BX$3,KOMBI!$A$1:$GI$1,0))</f>
        <v>20.210578011574537</v>
      </c>
      <c r="BY8" s="25">
        <f t="array" ref="BY8">INDEX(KOMBI!$A$1:$GI$145,ROW('KSH järjestus'!BY15),MATCH('KSH järjestus'!BY$3,KOMBI!$A$1:$GI$1,0))</f>
        <v>12.807124562278599</v>
      </c>
      <c r="BZ8" s="25">
        <f t="array" ref="BZ8">INDEX(KOMBI!$A$1:$GI$145,ROW('KSH järjestus'!BZ15),MATCH('KSH järjestus'!BZ$3,KOMBI!$A$1:$GI$1,0))</f>
        <v>79.400000000000006</v>
      </c>
      <c r="CA8" s="25">
        <f t="array" ref="CA8">INDEX(KOMBI!$A$1:$GI$145,ROW('KSH järjestus'!CA15),MATCH('KSH järjestus'!CA$3,KOMBI!$A$1:$GI$1,0))</f>
        <v>15.464</v>
      </c>
      <c r="CB8" s="25">
        <f t="array" ref="CB8">INDEX(KOMBI!$A$1:$GI$145,ROW('KSH järjestus'!CB15),MATCH('KSH järjestus'!CB$3,KOMBI!$A$1:$GI$1,0))</f>
        <v>69.033888888888882</v>
      </c>
      <c r="CC8" s="25">
        <f t="array" ref="CC8">INDEX(KOMBI!$A$1:$GI$145,ROW('KSH järjestus'!CC15),MATCH('KSH järjestus'!CC$3,KOMBI!$A$1:$GI$1,0))</f>
        <v>5.5336780000000001</v>
      </c>
      <c r="CD8" s="25">
        <f t="array" ref="CD8">INDEX(KOMBI!$A$1:$GI$145,ROW('KSH järjestus'!CD15),MATCH('KSH järjestus'!CD$3,KOMBI!$A$1:$GI$1,0))</f>
        <v>339.59999999999997</v>
      </c>
      <c r="CE8" s="25">
        <f t="array" ref="CE8">INDEX(KOMBI!$A$1:$GI$145,ROW('KSH järjestus'!CE15),MATCH('KSH järjestus'!CE$3,KOMBI!$A$1:$GI$1,0))</f>
        <v>3.0259999999999998</v>
      </c>
      <c r="CF8" s="25">
        <f t="array" ref="CF8">INDEX(KOMBI!$A$1:$GI$145,ROW('KSH järjestus'!CF15),MATCH('KSH järjestus'!CF$3,KOMBI!$A$1:$GI$1,0))</f>
        <v>52.774567183462523</v>
      </c>
      <c r="CG8" s="25">
        <f t="array" ref="CG8">INDEX(KOMBI!$A$1:$GI$145,ROW('KSH järjestus'!CG15),MATCH('KSH järjestus'!CG$3,KOMBI!$A$1:$GI$1,0))</f>
        <v>2.0156356925118721E-2</v>
      </c>
      <c r="CH8" s="25">
        <f t="array" ref="CH8">INDEX(KOMBI!$A$1:$GI$145,ROW('KSH järjestus'!CH15),MATCH('KSH järjestus'!CH$3,KOMBI!$A$1:$GI$1,0))</f>
        <v>0.36168246787532254</v>
      </c>
      <c r="CI8" s="25">
        <f t="array" ref="CI8">INDEX(KOMBI!$A$1:$GI$145,ROW('KSH järjestus'!CI15),MATCH('KSH järjestus'!CI$3,KOMBI!$A$1:$GI$1,0))</f>
        <v>6.78</v>
      </c>
      <c r="CJ8" s="25">
        <f t="array" ref="CJ8">INDEX(KOMBI!$A$1:$GI$145,ROW('KSH järjestus'!CJ15),MATCH('KSH järjestus'!CJ$3,KOMBI!$A$1:$GI$1,0))</f>
        <v>6.6726368215830609</v>
      </c>
      <c r="CK8" s="25">
        <f t="array" ref="CK8">INDEX(KOMBI!$A$1:$GI$145,ROW('KSH järjestus'!CK15),MATCH('KSH järjestus'!CK$3,KOMBI!$A$1:$GI$1,0))</f>
        <v>0.22900000000000001</v>
      </c>
      <c r="CL8" s="25">
        <f t="array" ref="CL8">INDEX(KOMBI!$A$1:$GI$145,ROW('KSH järjestus'!CL15),MATCH('KSH järjestus'!CL$3,KOMBI!$A$1:$GI$1,0))</f>
        <v>0.82899999999999996</v>
      </c>
    </row>
    <row r="9" spans="2:90" x14ac:dyDescent="0.2">
      <c r="C9" s="184">
        <v>6</v>
      </c>
      <c r="G9" s="25">
        <f>RANK(INDEX(KOMBI!$A$11:$GI$145,MATCH('KSH järjestus'!$C9,KOMBI!$A$11:$A$145,0),MATCH('KSH järjestus'!G$3,KOMBI!$A$1:$GI$1,0)),BD$4:BD$138,G$2)</f>
        <v>116</v>
      </c>
      <c r="H9" s="25">
        <f>RANK(INDEX(KOMBI!$A$11:$GI$145,MATCH('KSH järjestus'!$C9,KOMBI!$A$11:$A$145,0),MATCH('KSH järjestus'!H$3,KOMBI!$A$1:$GI$1,0)),BE$4:BE$138,H$2)</f>
        <v>112</v>
      </c>
      <c r="J9" s="25">
        <f>RANK(INDEX(KOMBI!$A$11:$GI$145,MATCH('KSH järjestus'!$C9,KOMBI!$A$11:$A$145,0),MATCH('KSH järjestus'!J$3,KOMBI!$A$1:$GI$1,0)),BG$4:BG$138,J$2)</f>
        <v>101</v>
      </c>
      <c r="M9" s="25">
        <f>RANK(INDEX(KOMBI!$A$11:$GI$145,MATCH('KSH järjestus'!$C9,KOMBI!$A$11:$A$145,0),MATCH('KSH järjestus'!M$3,KOMBI!$A$1:$GI$1,0)),BJ$4:BJ$138,M$2)</f>
        <v>55</v>
      </c>
      <c r="N9" s="25">
        <f>RANK(INDEX(KOMBI!$A$11:$GI$145,MATCH('KSH järjestus'!$C9,KOMBI!$A$11:$A$145,0),MATCH('KSH järjestus'!N$3,KOMBI!$A$1:$GI$1,0)),BK$4:BK$138,N$2)</f>
        <v>94</v>
      </c>
      <c r="O9" s="25">
        <f>RANK(INDEX(KOMBI!$A$11:$GI$145,MATCH('KSH järjestus'!$C9,KOMBI!$A$11:$A$145,0),MATCH('KSH järjestus'!O$3,KOMBI!$A$1:$GI$1,0)),BL$4:BL$138,O$2)</f>
        <v>90</v>
      </c>
      <c r="P9" s="25">
        <f>RANK(INDEX(KOMBI!$A$11:$GI$145,MATCH('KSH järjestus'!$C9,KOMBI!$A$11:$A$145,0),MATCH('KSH järjestus'!P$3,KOMBI!$A$1:$GI$1,0)),BM$4:BM$138,P$2)</f>
        <v>114</v>
      </c>
      <c r="Q9" s="25">
        <f>RANK(INDEX(KOMBI!$A$11:$GI$145,MATCH('KSH järjestus'!$C9,KOMBI!$A$11:$A$145,0),MATCH('KSH järjestus'!Q$3,KOMBI!$A$1:$GI$1,0)),BN$4:BN$138,Q$2)</f>
        <v>70</v>
      </c>
      <c r="R9" s="25">
        <f>RANK(INDEX(KOMBI!$A$11:$GI$145,MATCH('KSH järjestus'!$C9,KOMBI!$A$11:$A$145,0),MATCH('KSH järjestus'!R$3,KOMBI!$A$1:$GI$1,0)),BO$4:BO$138,R$2)</f>
        <v>97</v>
      </c>
      <c r="T9" s="25">
        <f>RANK(INDEX(KOMBI!$A$11:$GI$145,MATCH('KSH järjestus'!$C9,KOMBI!$A$11:$A$145,0),MATCH('KSH järjestus'!T$3,KOMBI!$A$1:$GI$1,0)),BQ$4:BQ$138,T$2)</f>
        <v>121</v>
      </c>
      <c r="U9" s="25">
        <f>RANK(INDEX(KOMBI!$A$11:$GI$145,MATCH('KSH järjestus'!$C9,KOMBI!$A$11:$A$145,0),MATCH('KSH järjestus'!U$3,KOMBI!$A$1:$GI$1,0)),BR$4:BR$138,U$2)</f>
        <v>131</v>
      </c>
      <c r="AA9" s="25">
        <f>RANK(INDEX(KOMBI!$A$11:$GI$145,MATCH('KSH järjestus'!$C9,KOMBI!$A$11:$A$145,0),MATCH('KSH järjestus'!AA$3,KOMBI!$A$1:$GI$1,0)),BX$4:BX$138,AA$2)</f>
        <v>103</v>
      </c>
      <c r="AB9" s="25">
        <f>RANK(INDEX(KOMBI!$A$11:$GI$145,MATCH('KSH järjestus'!$C9,KOMBI!$A$11:$A$145,0),MATCH('KSH järjestus'!AB$3,KOMBI!$A$1:$GI$1,0)),BY$4:BY$138,AB$2)</f>
        <v>100</v>
      </c>
      <c r="AC9" s="25">
        <f>RANK(INDEX(KOMBI!$A$11:$GI$145,MATCH('KSH järjestus'!$C9,KOMBI!$A$11:$A$145,0),MATCH('KSH järjestus'!AC$3,KOMBI!$A$1:$GI$1,0)),BZ$4:BZ$138,AC$2)</f>
        <v>93</v>
      </c>
      <c r="AD9" s="25">
        <f>RANK(INDEX(KOMBI!$A$11:$GI$145,MATCH('KSH järjestus'!$C9,KOMBI!$A$11:$A$145,0),MATCH('KSH järjestus'!AD$3,KOMBI!$A$1:$GI$1,0)),CA$4:CA$138,AD$2)</f>
        <v>112</v>
      </c>
      <c r="AE9" s="25">
        <f>RANK(INDEX(KOMBI!$A$11:$GI$145,MATCH('KSH järjestus'!$C9,KOMBI!$A$11:$A$145,0),MATCH('KSH järjestus'!AE$3,KOMBI!$A$1:$GI$1,0)),CB$4:CB$138,AE$2)</f>
        <v>107</v>
      </c>
      <c r="AG9" s="25">
        <f>RANK(INDEX(KOMBI!$A$11:$GI$145,MATCH('KSH järjestus'!$C9,KOMBI!$A$11:$A$145,0),MATCH('KSH järjestus'!AG$3,KOMBI!$A$1:$GI$1,0)),CD$4:CD$138,AG$2)</f>
        <v>124</v>
      </c>
      <c r="AH9" s="25">
        <f>RANK(INDEX(KOMBI!$A$11:$GI$145,MATCH('KSH järjestus'!$C9,KOMBI!$A$11:$A$145,0),MATCH('KSH järjestus'!AH$3,KOMBI!$A$1:$GI$1,0)),CE$4:CE$138,AH$2)</f>
        <v>91</v>
      </c>
      <c r="AI9" s="25">
        <f>RANK(INDEX(KOMBI!$A$11:$GI$145,MATCH('KSH järjestus'!$C9,KOMBI!$A$11:$A$145,0),MATCH('KSH järjestus'!AI$3,KOMBI!$A$1:$GI$1,0)),CF$4:CF$138,AI$2)</f>
        <v>106</v>
      </c>
      <c r="AJ9" s="25">
        <f>RANK(INDEX(KOMBI!$A$11:$GI$145,MATCH('KSH järjestus'!$C9,KOMBI!$A$11:$A$145,0),MATCH('KSH järjestus'!AJ$3,KOMBI!$A$1:$GI$1,0)),CG$4:CG$138,AJ$2)</f>
        <v>124</v>
      </c>
      <c r="AK9" s="25">
        <f>RANK(INDEX(KOMBI!$A$11:$GI$145,MATCH('KSH järjestus'!$C9,KOMBI!$A$11:$A$145,0),MATCH('KSH järjestus'!AK$3,KOMBI!$A$1:$GI$1,0)),CH$4:CH$138,AK$2)</f>
        <v>112</v>
      </c>
      <c r="AN9" s="25">
        <f>RANK(INDEX(KOMBI!$A$11:$GI$145,MATCH('KSH järjestus'!$C9,KOMBI!$A$11:$A$145,0),MATCH('KSH järjestus'!AN$3,KOMBI!$A$1:$GI$1,0)),CK$4:CK$138,AN$2)</f>
        <v>91</v>
      </c>
      <c r="AO9" s="25">
        <f>RANK(INDEX(KOMBI!$A$11:$GI$145,MATCH('KSH järjestus'!$C9,KOMBI!$A$11:$A$145,0),MATCH('KSH järjestus'!AO$3,KOMBI!$A$1:$GI$1,0)),CL$4:CL$138,AO$2)</f>
        <v>91</v>
      </c>
      <c r="AS9" s="297">
        <f t="shared" si="0"/>
        <v>2355</v>
      </c>
      <c r="AT9" s="25">
        <f t="shared" si="1"/>
        <v>598</v>
      </c>
      <c r="AU9" s="25">
        <f t="shared" si="2"/>
        <v>123</v>
      </c>
      <c r="AV9" s="295" t="str">
        <f>VLOOKUP(VLOOKUP($AU9,KOMBI!$A:$H,3,FALSE),data!$I$27:$J$29,2,FALSE)</f>
        <v>Sekkuv/EÜ</v>
      </c>
      <c r="AW9" s="295" t="str">
        <f>VLOOKUP(VLOOKUP($AU9,KOMBI!$A:$H,2,FALSE),data!$I$21:$J$23,2,FALSE)</f>
        <v>Sekkuv</v>
      </c>
      <c r="AX9" s="295" t="str">
        <f>VLOOKUP(VLOOKUP($AU9,KOMBI!$A:$H,5,FALSE),data!$I$39:$J$41,2,FALSE)</f>
        <v>Sekkuv</v>
      </c>
      <c r="AY9" s="295" t="str">
        <f>VLOOKUP(VLOOKUP($AU9,KOMBI!$A:$H,4,FALSE),data!$I$32:$J$36,2,FALSE)</f>
        <v>LIB</v>
      </c>
      <c r="BA9" s="25">
        <f t="array" ref="BA9">INDEX(KOMBI!$A$1:$GI$145,ROW('KSH järjestus'!BA16),MATCH('KSH järjestus'!BA$3,KOMBI!$A$1:$GI$1,0))</f>
        <v>1.8833763726133721</v>
      </c>
      <c r="BB9" s="25">
        <f t="array" ref="BB9">INDEX(KOMBI!$A$1:$GI$145,ROW('KSH järjestus'!BB16),MATCH('KSH järjestus'!BB$3,KOMBI!$A$1:$GI$1,0))</f>
        <v>314.49079410968375</v>
      </c>
      <c r="BC9" s="25">
        <f t="array" aca="1" ref="BC9" ca="1">INDEX(KOMBI!$A$1:$GI$145,ROW('KSH järjestus'!BC16),MATCH('KSH järjestus'!BC$3,KOMBI!$A$1:$GI$1,0))</f>
        <v>59.465085421265648</v>
      </c>
      <c r="BD9" s="25">
        <f t="array" ref="BD9">INDEX(KOMBI!$A$1:$GI$145,ROW('KSH järjestus'!BD16),MATCH('KSH järjestus'!BD$3,KOMBI!$A$1:$GI$1,0))</f>
        <v>-34.340813699091036</v>
      </c>
      <c r="BE9" s="25">
        <f t="array" ref="BE9">INDEX(KOMBI!$A$1:$GI$145,ROW('KSH järjestus'!BE16),MATCH('KSH järjestus'!BE$3,KOMBI!$A$1:$GI$1,0))</f>
        <v>93.805899120356685</v>
      </c>
      <c r="BF9" s="25">
        <f t="array" aca="1" ref="BF9" ca="1">INDEX(KOMBI!$A$1:$GI$145,ROW('KSH järjestus'!BF16),MATCH('KSH järjestus'!BF$3,KOMBI!$A$1:$GI$1,0))</f>
        <v>0</v>
      </c>
      <c r="BG9" s="25">
        <f t="array" ref="BG9">INDEX(KOMBI!$A$1:$GI$145,ROW('KSH järjestus'!BG16),MATCH('KSH järjestus'!BG$3,KOMBI!$A$1:$GI$1,0))</f>
        <v>0.58730807047222278</v>
      </c>
      <c r="BH9" s="25">
        <f t="array" ref="BH9">INDEX(KOMBI!$A$1:$GI$145,ROW('KSH järjestus'!BH16),MATCH('KSH järjestus'!BH$3,KOMBI!$A$1:$GI$1,0))</f>
        <v>90</v>
      </c>
      <c r="BI9" s="25">
        <f t="array" ref="BI9">INDEX(KOMBI!$A$1:$GI$145,ROW('KSH järjestus'!BI16),MATCH('KSH järjestus'!BI$3,KOMBI!$A$1:$GI$1,0))</f>
        <v>0.91028830406496786</v>
      </c>
      <c r="BJ9" s="25">
        <f t="array" ref="BJ9">INDEX(KOMBI!$A$1:$GI$145,ROW('KSH järjestus'!BJ16),MATCH('KSH järjestus'!BJ$3,KOMBI!$A$1:$GI$1,0))</f>
        <v>0.27911646586345373</v>
      </c>
      <c r="BK9" s="25">
        <f t="array" ref="BK9">INDEX(KOMBI!$A$1:$GI$145,ROW('KSH järjestus'!BK16),MATCH('KSH järjestus'!BK$3,KOMBI!$A$1:$GI$1,0))</f>
        <v>0.31062542735309201</v>
      </c>
      <c r="BL9" s="25">
        <f t="array" ref="BL9">INDEX(KOMBI!$A$1:$GI$145,ROW('KSH järjestus'!BL16),MATCH('KSH järjestus'!BL$3,KOMBI!$A$1:$GI$1,0))</f>
        <v>1.26493948809814E-2</v>
      </c>
      <c r="BM9" s="25">
        <f t="array" ref="BM9">INDEX(KOMBI!$A$1:$GI$145,ROW('KSH järjestus'!BM16),MATCH('KSH järjestus'!BM$3,KOMBI!$A$1:$GI$1,0))</f>
        <v>-5.1583058411542055E-3</v>
      </c>
      <c r="BN9" s="25">
        <f t="array" ref="BN9">INDEX(KOMBI!$A$1:$GI$145,ROW('KSH järjestus'!BN16),MATCH('KSH järjestus'!BN$3,KOMBI!$A$1:$GI$1,0))</f>
        <v>3.9059554285273135E-3</v>
      </c>
      <c r="BO9" s="25">
        <f t="array" ref="BO9">INDEX(KOMBI!$A$1:$GI$145,ROW('KSH järjestus'!BO16),MATCH('KSH järjestus'!BO$3,KOMBI!$A$1:$GI$1,0))</f>
        <v>8.8555553041455553E-3</v>
      </c>
      <c r="BP9" s="25">
        <f t="array" ref="BP9">INDEX(KOMBI!$A$1:$GI$145,ROW('KSH järjestus'!BP16),MATCH('KSH järjestus'!BP$3,KOMBI!$A$1:$GI$1,0))</f>
        <v>8.5657605777489074</v>
      </c>
      <c r="BQ9" s="25">
        <f t="array" ref="BQ9">INDEX(KOMBI!$A$1:$GI$145,ROW('KSH järjestus'!BQ16),MATCH('KSH järjestus'!BQ$3,KOMBI!$A$1:$GI$1,0))</f>
        <v>11.726000000000001</v>
      </c>
      <c r="BR9" s="25">
        <f t="array" ref="BR9">INDEX(KOMBI!$A$1:$GI$145,ROW('KSH järjestus'!BR16),MATCH('KSH järjestus'!BR$3,KOMBI!$A$1:$GI$1,0))</f>
        <v>8.2317829924476466E-3</v>
      </c>
      <c r="BS9" s="25">
        <f t="array" ref="BS9">INDEX(KOMBI!$A$1:$GI$145,ROW('KSH järjestus'!BS16),MATCH('KSH järjestus'!BS$3,KOMBI!$A$1:$GI$1,0))</f>
        <v>2.6136324210409702E-3</v>
      </c>
      <c r="BT9" s="25">
        <f t="array" ref="BT9">INDEX(KOMBI!$A$1:$GI$145,ROW('KSH järjestus'!BT16),MATCH('KSH järjestus'!BT$3,KOMBI!$A$1:$GI$1,0))</f>
        <v>2.5977439673575136E-3</v>
      </c>
      <c r="BU9" s="25">
        <f t="array" ref="BU9">INDEX(KOMBI!$A$1:$GI$145,ROW('KSH järjestus'!BU16),MATCH('KSH järjestus'!BU$3,KOMBI!$A$1:$GI$1,0))</f>
        <v>9.5927140697148801</v>
      </c>
      <c r="BV9" s="25">
        <f t="array" ref="BV9">INDEX(KOMBI!$A$1:$GI$145,ROW('KSH järjestus'!BV16),MATCH('KSH järjestus'!BV$3,KOMBI!$A$1:$GI$1,0))</f>
        <v>5.3630000000000004</v>
      </c>
      <c r="BW9" s="25">
        <f t="array" ref="BW9">INDEX(KOMBI!$A$1:$GI$145,ROW('KSH järjestus'!BW16),MATCH('KSH järjestus'!BW$3,KOMBI!$A$1:$GI$1,0))</f>
        <v>3.8888368215830607</v>
      </c>
      <c r="BX9" s="25">
        <f t="array" ref="BX9">INDEX(KOMBI!$A$1:$GI$145,ROW('KSH järjestus'!BX16),MATCH('KSH järjestus'!BX$3,KOMBI!$A$1:$GI$1,0))</f>
        <v>20.210578011574537</v>
      </c>
      <c r="BY9" s="25">
        <f t="array" ref="BY9">INDEX(KOMBI!$A$1:$GI$145,ROW('KSH järjestus'!BY16),MATCH('KSH järjestus'!BY$3,KOMBI!$A$1:$GI$1,0))</f>
        <v>12.807124562278599</v>
      </c>
      <c r="BZ9" s="25">
        <f t="array" ref="BZ9">INDEX(KOMBI!$A$1:$GI$145,ROW('KSH järjestus'!BZ16),MATCH('KSH järjestus'!BZ$3,KOMBI!$A$1:$GI$1,0))</f>
        <v>81</v>
      </c>
      <c r="CA9" s="25">
        <f t="array" ref="CA9">INDEX(KOMBI!$A$1:$GI$145,ROW('KSH järjestus'!CA16),MATCH('KSH järjestus'!CA$3,KOMBI!$A$1:$GI$1,0))</f>
        <v>15.715999999999999</v>
      </c>
      <c r="CB9" s="25">
        <f t="array" ref="CB9">INDEX(KOMBI!$A$1:$GI$145,ROW('KSH järjestus'!CB16),MATCH('KSH järjestus'!CB$3,KOMBI!$A$1:$GI$1,0))</f>
        <v>69.941944444444445</v>
      </c>
      <c r="CC9" s="25">
        <f t="array" ref="CC9">INDEX(KOMBI!$A$1:$GI$145,ROW('KSH järjestus'!CC16),MATCH('KSH järjestus'!CC$3,KOMBI!$A$1:$GI$1,0))</f>
        <v>5.6270230000000003</v>
      </c>
      <c r="CD9" s="25">
        <f t="array" ref="CD9">INDEX(KOMBI!$A$1:$GI$145,ROW('KSH järjestus'!CD16),MATCH('KSH järjestus'!CD$3,KOMBI!$A$1:$GI$1,0))</f>
        <v>339.59999999999997</v>
      </c>
      <c r="CE9" s="25">
        <f t="array" ref="CE9">INDEX(KOMBI!$A$1:$GI$145,ROW('KSH järjestus'!CE16),MATCH('KSH järjestus'!CE$3,KOMBI!$A$1:$GI$1,0))</f>
        <v>3.0259999999999998</v>
      </c>
      <c r="CF9" s="25">
        <f t="array" ref="CF9">INDEX(KOMBI!$A$1:$GI$145,ROW('KSH järjestus'!CF16),MATCH('KSH järjestus'!CF$3,KOMBI!$A$1:$GI$1,0))</f>
        <v>52.774567183462523</v>
      </c>
      <c r="CG9" s="25">
        <f t="array" ref="CG9">INDEX(KOMBI!$A$1:$GI$145,ROW('KSH järjestus'!CG16),MATCH('KSH järjestus'!CG$3,KOMBI!$A$1:$GI$1,0))</f>
        <v>2.0156356925118721E-2</v>
      </c>
      <c r="CH9" s="25">
        <f t="array" ref="CH9">INDEX(KOMBI!$A$1:$GI$145,ROW('KSH järjestus'!CH16),MATCH('KSH järjestus'!CH$3,KOMBI!$A$1:$GI$1,0))</f>
        <v>0.36168246787532254</v>
      </c>
      <c r="CI9" s="25">
        <f t="array" ref="CI9">INDEX(KOMBI!$A$1:$GI$145,ROW('KSH järjestus'!CI16),MATCH('KSH järjestus'!CI$3,KOMBI!$A$1:$GI$1,0))</f>
        <v>6.78</v>
      </c>
      <c r="CJ9" s="25">
        <f t="array" ref="CJ9">INDEX(KOMBI!$A$1:$GI$145,ROW('KSH järjestus'!CJ16),MATCH('KSH järjestus'!CJ$3,KOMBI!$A$1:$GI$1,0))</f>
        <v>6.6726368215830609</v>
      </c>
      <c r="CK9" s="25">
        <f t="array" ref="CK9">INDEX(KOMBI!$A$1:$GI$145,ROW('KSH järjestus'!CK16),MATCH('KSH järjestus'!CK$3,KOMBI!$A$1:$GI$1,0))</f>
        <v>0.22900000000000001</v>
      </c>
      <c r="CL9" s="25">
        <f t="array" ref="CL9">INDEX(KOMBI!$A$1:$GI$145,ROW('KSH järjestus'!CL16),MATCH('KSH järjestus'!CL$3,KOMBI!$A$1:$GI$1,0))</f>
        <v>0.82899999999999996</v>
      </c>
    </row>
    <row r="10" spans="2:90" x14ac:dyDescent="0.2">
      <c r="C10" s="184">
        <v>7</v>
      </c>
      <c r="G10" s="25">
        <f>RANK(INDEX(KOMBI!$A$11:$GI$145,MATCH('KSH järjestus'!$C10,KOMBI!$A$11:$A$145,0),MATCH('KSH järjestus'!G$3,KOMBI!$A$1:$GI$1,0)),BD$4:BD$138,G$2)</f>
        <v>131</v>
      </c>
      <c r="H10" s="25">
        <f>RANK(INDEX(KOMBI!$A$11:$GI$145,MATCH('KSH järjestus'!$C10,KOMBI!$A$11:$A$145,0),MATCH('KSH järjestus'!H$3,KOMBI!$A$1:$GI$1,0)),BE$4:BE$138,H$2)</f>
        <v>132</v>
      </c>
      <c r="J10" s="25">
        <f>RANK(INDEX(KOMBI!$A$11:$GI$145,MATCH('KSH järjestus'!$C10,KOMBI!$A$11:$A$145,0),MATCH('KSH järjestus'!J$3,KOMBI!$A$1:$GI$1,0)),BG$4:BG$138,J$2)</f>
        <v>84</v>
      </c>
      <c r="M10" s="25">
        <f>RANK(INDEX(KOMBI!$A$11:$GI$145,MATCH('KSH järjestus'!$C10,KOMBI!$A$11:$A$145,0),MATCH('KSH järjestus'!M$3,KOMBI!$A$1:$GI$1,0)),BJ$4:BJ$138,M$2)</f>
        <v>28</v>
      </c>
      <c r="N10" s="25">
        <f>RANK(INDEX(KOMBI!$A$11:$GI$145,MATCH('KSH järjestus'!$C10,KOMBI!$A$11:$A$145,0),MATCH('KSH järjestus'!N$3,KOMBI!$A$1:$GI$1,0)),BK$4:BK$138,N$2)</f>
        <v>67</v>
      </c>
      <c r="O10" s="25">
        <f>RANK(INDEX(KOMBI!$A$11:$GI$145,MATCH('KSH järjestus'!$C10,KOMBI!$A$11:$A$145,0),MATCH('KSH järjestus'!O$3,KOMBI!$A$1:$GI$1,0)),BL$4:BL$138,O$2)</f>
        <v>126</v>
      </c>
      <c r="P10" s="25">
        <f>RANK(INDEX(KOMBI!$A$11:$GI$145,MATCH('KSH järjestus'!$C10,KOMBI!$A$11:$A$145,0),MATCH('KSH järjestus'!P$3,KOMBI!$A$1:$GI$1,0)),BM$4:BM$138,P$2)</f>
        <v>103</v>
      </c>
      <c r="Q10" s="25">
        <f>RANK(INDEX(KOMBI!$A$11:$GI$145,MATCH('KSH järjestus'!$C10,KOMBI!$A$11:$A$145,0),MATCH('KSH järjestus'!Q$3,KOMBI!$A$1:$GI$1,0)),BN$4:BN$138,Q$2)</f>
        <v>102</v>
      </c>
      <c r="R10" s="25">
        <f>RANK(INDEX(KOMBI!$A$11:$GI$145,MATCH('KSH järjestus'!$C10,KOMBI!$A$11:$A$145,0),MATCH('KSH järjestus'!R$3,KOMBI!$A$1:$GI$1,0)),BO$4:BO$138,R$2)</f>
        <v>130</v>
      </c>
      <c r="T10" s="25">
        <f>RANK(INDEX(KOMBI!$A$11:$GI$145,MATCH('KSH järjestus'!$C10,KOMBI!$A$11:$A$145,0),MATCH('KSH järjestus'!T$3,KOMBI!$A$1:$GI$1,0)),BQ$4:BQ$138,T$2)</f>
        <v>113</v>
      </c>
      <c r="U10" s="25">
        <f>RANK(INDEX(KOMBI!$A$11:$GI$145,MATCH('KSH järjestus'!$C10,KOMBI!$A$11:$A$145,0),MATCH('KSH järjestus'!U$3,KOMBI!$A$1:$GI$1,0)),BR$4:BR$138,U$2)</f>
        <v>123</v>
      </c>
      <c r="AA10" s="25">
        <f>RANK(INDEX(KOMBI!$A$11:$GI$145,MATCH('KSH järjestus'!$C10,KOMBI!$A$11:$A$145,0),MATCH('KSH järjestus'!AA$3,KOMBI!$A$1:$GI$1,0)),BX$4:BX$138,AA$2)</f>
        <v>106</v>
      </c>
      <c r="AB10" s="25">
        <f>RANK(INDEX(KOMBI!$A$11:$GI$145,MATCH('KSH järjestus'!$C10,KOMBI!$A$11:$A$145,0),MATCH('KSH järjestus'!AB$3,KOMBI!$A$1:$GI$1,0)),BY$4:BY$138,AB$2)</f>
        <v>100</v>
      </c>
      <c r="AC10" s="25">
        <f>RANK(INDEX(KOMBI!$A$11:$GI$145,MATCH('KSH järjestus'!$C10,KOMBI!$A$11:$A$145,0),MATCH('KSH järjestus'!AC$3,KOMBI!$A$1:$GI$1,0)),BZ$4:BZ$138,AC$2)</f>
        <v>91</v>
      </c>
      <c r="AD10" s="25">
        <f>RANK(INDEX(KOMBI!$A$11:$GI$145,MATCH('KSH järjestus'!$C10,KOMBI!$A$11:$A$145,0),MATCH('KSH järjestus'!AD$3,KOMBI!$A$1:$GI$1,0)),CA$4:CA$138,AD$2)</f>
        <v>104</v>
      </c>
      <c r="AE10" s="25">
        <f>RANK(INDEX(KOMBI!$A$11:$GI$145,MATCH('KSH järjestus'!$C10,KOMBI!$A$11:$A$145,0),MATCH('KSH järjestus'!AE$3,KOMBI!$A$1:$GI$1,0)),CB$4:CB$138,AE$2)</f>
        <v>102</v>
      </c>
      <c r="AG10" s="25">
        <f>RANK(INDEX(KOMBI!$A$11:$GI$145,MATCH('KSH järjestus'!$C10,KOMBI!$A$11:$A$145,0),MATCH('KSH järjestus'!AG$3,KOMBI!$A$1:$GI$1,0)),CD$4:CD$138,AG$2)</f>
        <v>124</v>
      </c>
      <c r="AH10" s="25">
        <f>RANK(INDEX(KOMBI!$A$11:$GI$145,MATCH('KSH järjestus'!$C10,KOMBI!$A$11:$A$145,0),MATCH('KSH järjestus'!AH$3,KOMBI!$A$1:$GI$1,0)),CE$4:CE$138,AH$2)</f>
        <v>91</v>
      </c>
      <c r="AI10" s="25">
        <f>RANK(INDEX(KOMBI!$A$11:$GI$145,MATCH('KSH järjestus'!$C10,KOMBI!$A$11:$A$145,0),MATCH('KSH järjestus'!AI$3,KOMBI!$A$1:$GI$1,0)),CF$4:CF$138,AI$2)</f>
        <v>100</v>
      </c>
      <c r="AJ10" s="25">
        <f>RANK(INDEX(KOMBI!$A$11:$GI$145,MATCH('KSH järjestus'!$C10,KOMBI!$A$11:$A$145,0),MATCH('KSH järjestus'!AJ$3,KOMBI!$A$1:$GI$1,0)),CG$4:CG$138,AJ$2)</f>
        <v>25</v>
      </c>
      <c r="AK10" s="25">
        <f>RANK(INDEX(KOMBI!$A$11:$GI$145,MATCH('KSH järjestus'!$C10,KOMBI!$A$11:$A$145,0),MATCH('KSH järjestus'!AK$3,KOMBI!$A$1:$GI$1,0)),CH$4:CH$138,AK$2)</f>
        <v>76</v>
      </c>
      <c r="AN10" s="25">
        <f>RANK(INDEX(KOMBI!$A$11:$GI$145,MATCH('KSH järjestus'!$C10,KOMBI!$A$11:$A$145,0),MATCH('KSH järjestus'!AN$3,KOMBI!$A$1:$GI$1,0)),CK$4:CK$138,AN$2)</f>
        <v>91</v>
      </c>
      <c r="AO10" s="25">
        <f>RANK(INDEX(KOMBI!$A$11:$GI$145,MATCH('KSH järjestus'!$C10,KOMBI!$A$11:$A$145,0),MATCH('KSH järjestus'!AO$3,KOMBI!$A$1:$GI$1,0)),CL$4:CL$138,AO$2)</f>
        <v>91</v>
      </c>
      <c r="AS10" s="297">
        <f t="shared" si="0"/>
        <v>2240</v>
      </c>
      <c r="AT10" s="25">
        <f t="shared" si="1"/>
        <v>603</v>
      </c>
      <c r="AU10" s="25">
        <f t="shared" si="2"/>
        <v>126</v>
      </c>
      <c r="AV10" s="295" t="str">
        <f>VLOOKUP(VLOOKUP($AU10,KOMBI!$A:$H,3,FALSE),data!$I$27:$J$29,2,FALSE)</f>
        <v>Sekkuv/EÜ</v>
      </c>
      <c r="AW10" s="295" t="str">
        <f>VLOOKUP(VLOOKUP($AU10,KOMBI!$A:$H,2,FALSE),data!$I$21:$J$23,2,FALSE)</f>
        <v>Sekkuv</v>
      </c>
      <c r="AX10" s="295" t="str">
        <f>VLOOKUP(VLOOKUP($AU10,KOMBI!$A:$H,5,FALSE),data!$I$39:$J$41,2,FALSE)</f>
        <v>Sekkuv</v>
      </c>
      <c r="AY10" s="295" t="str">
        <f>VLOOKUP(VLOOKUP($AU10,KOMBI!$A:$H,4,FALSE),data!$I$32:$J$36,2,FALSE)</f>
        <v>LIB+</v>
      </c>
      <c r="BA10" s="25">
        <f t="array" ref="BA10">INDEX(KOMBI!$A$1:$GI$145,ROW('KSH järjestus'!BA17),MATCH('KSH järjestus'!BA$3,KOMBI!$A$1:$GI$1,0))</f>
        <v>0.73734439827509057</v>
      </c>
      <c r="BB10" s="25">
        <f t="array" ref="BB10">INDEX(KOMBI!$A$1:$GI$145,ROW('KSH järjestus'!BB17),MATCH('KSH järjestus'!BB$3,KOMBI!$A$1:$GI$1,0))</f>
        <v>123.40502640747329</v>
      </c>
      <c r="BC10" s="25">
        <f t="array" aca="1" ref="BC10" ca="1">INDEX(KOMBI!$A$1:$GI$145,ROW('KSH järjestus'!BC17),MATCH('KSH järjestus'!BC$3,KOMBI!$A$1:$GI$1,0))</f>
        <v>36.567205017198681</v>
      </c>
      <c r="BD10" s="25">
        <f t="array" ref="BD10">INDEX(KOMBI!$A$1:$GI$145,ROW('KSH järjestus'!BD17),MATCH('KSH järjestus'!BD$3,KOMBI!$A$1:$GI$1,0))</f>
        <v>0</v>
      </c>
      <c r="BE10" s="25">
        <f t="array" ref="BE10">INDEX(KOMBI!$A$1:$GI$145,ROW('KSH järjestus'!BE17),MATCH('KSH järjestus'!BE$3,KOMBI!$A$1:$GI$1,0))</f>
        <v>36.567205017198681</v>
      </c>
      <c r="BF10" s="25">
        <f t="array" aca="1" ref="BF10" ca="1">INDEX(KOMBI!$A$1:$GI$145,ROW('KSH järjestus'!BF17),MATCH('KSH järjestus'!BF$3,KOMBI!$A$1:$GI$1,0))</f>
        <v>0</v>
      </c>
      <c r="BG10" s="25">
        <f t="array" ref="BG10">INDEX(KOMBI!$A$1:$GI$145,ROW('KSH järjestus'!BG17),MATCH('KSH järjestus'!BG$3,KOMBI!$A$1:$GI$1,0))</f>
        <v>0.56884987038768975</v>
      </c>
      <c r="BH10" s="25">
        <f t="array" ref="BH10">INDEX(KOMBI!$A$1:$GI$145,ROW('KSH järjestus'!BH17),MATCH('KSH järjestus'!BH$3,KOMBI!$A$1:$GI$1,0))</f>
        <v>90</v>
      </c>
      <c r="BI10" s="25">
        <f t="array" ref="BI10">INDEX(KOMBI!$A$1:$GI$145,ROW('KSH järjestus'!BI17),MATCH('KSH järjestus'!BI$3,KOMBI!$A$1:$GI$1,0))</f>
        <v>1</v>
      </c>
      <c r="BJ10" s="25">
        <f t="array" ref="BJ10">INDEX(KOMBI!$A$1:$GI$145,ROW('KSH järjestus'!BJ17),MATCH('KSH järjestus'!BJ$3,KOMBI!$A$1:$GI$1,0))</f>
        <v>6.6265060240963902E-2</v>
      </c>
      <c r="BK10" s="25">
        <f t="array" ref="BK10">INDEX(KOMBI!$A$1:$GI$145,ROW('KSH järjestus'!BK17),MATCH('KSH järjestus'!BK$3,KOMBI!$A$1:$GI$1,0))</f>
        <v>0.35144163448352844</v>
      </c>
      <c r="BL10" s="25">
        <f t="array" ref="BL10">INDEX(KOMBI!$A$1:$GI$145,ROW('KSH järjestus'!BL17),MATCH('KSH järjestus'!BL$3,KOMBI!$A$1:$GI$1,0))</f>
        <v>5.3265926313092911E-3</v>
      </c>
      <c r="BM10" s="25">
        <f t="array" ref="BM10">INDEX(KOMBI!$A$1:$GI$145,ROW('KSH järjestus'!BM17),MATCH('KSH järjestus'!BM$3,KOMBI!$A$1:$GI$1,0))</f>
        <v>-3.267230674372418E-3</v>
      </c>
      <c r="BN10" s="25">
        <f t="array" ref="BN10">INDEX(KOMBI!$A$1:$GI$145,ROW('KSH järjestus'!BN17),MATCH('KSH järjestus'!BN$3,KOMBI!$A$1:$GI$1,0))</f>
        <v>1.7191801605088985E-3</v>
      </c>
      <c r="BO10" s="25">
        <f t="array" ref="BO10">INDEX(KOMBI!$A$1:$GI$145,ROW('KSH järjestus'!BO17),MATCH('KSH järjestus'!BO$3,KOMBI!$A$1:$GI$1,0))</f>
        <v>3.6379398343971484E-3</v>
      </c>
      <c r="BP10" s="25">
        <f t="array" ref="BP10">INDEX(KOMBI!$A$1:$GI$145,ROW('KSH järjestus'!BP17),MATCH('KSH järjestus'!BP$3,KOMBI!$A$1:$GI$1,0))</f>
        <v>8.5683156794471032</v>
      </c>
      <c r="BQ10" s="25">
        <f t="array" ref="BQ10">INDEX(KOMBI!$A$1:$GI$145,ROW('KSH järjestus'!BQ17),MATCH('KSH järjestus'!BQ$3,KOMBI!$A$1:$GI$1,0))</f>
        <v>11.494</v>
      </c>
      <c r="BR10" s="25">
        <f t="array" ref="BR10">INDEX(KOMBI!$A$1:$GI$145,ROW('KSH järjestus'!BR17),MATCH('KSH järjestus'!BR$3,KOMBI!$A$1:$GI$1,0))</f>
        <v>3.5150727338995226E-5</v>
      </c>
      <c r="BS10" s="25">
        <f t="array" ref="BS10">INDEX(KOMBI!$A$1:$GI$145,ROW('KSH järjestus'!BS17),MATCH('KSH järjestus'!BS$3,KOMBI!$A$1:$GI$1,0))</f>
        <v>-3.1158306941380526E-4</v>
      </c>
      <c r="BT10" s="25">
        <f t="array" ref="BT10">INDEX(KOMBI!$A$1:$GI$145,ROW('KSH järjestus'!BT17),MATCH('KSH järjestus'!BT$3,KOMBI!$A$1:$GI$1,0))</f>
        <v>3.1057256013390471E-4</v>
      </c>
      <c r="BU10" s="25">
        <f t="array" ref="BU10">INDEX(KOMBI!$A$1:$GI$145,ROW('KSH järjestus'!BU17),MATCH('KSH järjestus'!BU$3,KOMBI!$A$1:$GI$1,0))</f>
        <v>9.5598856510938077</v>
      </c>
      <c r="BV10" s="25">
        <f t="array" ref="BV10">INDEX(KOMBI!$A$1:$GI$145,ROW('KSH järjestus'!BV17),MATCH('KSH järjestus'!BV$3,KOMBI!$A$1:$GI$1,0))</f>
        <v>5.33</v>
      </c>
      <c r="BW10" s="25">
        <f t="array" ref="BW10">INDEX(KOMBI!$A$1:$GI$145,ROW('KSH järjestus'!BW17),MATCH('KSH järjestus'!BW$3,KOMBI!$A$1:$GI$1,0))</f>
        <v>3.3026368215830604</v>
      </c>
      <c r="BX10" s="25">
        <f t="array" ref="BX10">INDEX(KOMBI!$A$1:$GI$145,ROW('KSH järjestus'!BX17),MATCH('KSH järjestus'!BX$3,KOMBI!$A$1:$GI$1,0))</f>
        <v>20.213861099430584</v>
      </c>
      <c r="BY10" s="25">
        <f t="array" ref="BY10">INDEX(KOMBI!$A$1:$GI$145,ROW('KSH järjestus'!BY17),MATCH('KSH järjestus'!BY$3,KOMBI!$A$1:$GI$1,0))</f>
        <v>12.807124562278599</v>
      </c>
      <c r="BZ10" s="25">
        <f t="array" ref="BZ10">INDEX(KOMBI!$A$1:$GI$145,ROW('KSH järjestus'!BZ17),MATCH('KSH järjestus'!BZ$3,KOMBI!$A$1:$GI$1,0))</f>
        <v>80</v>
      </c>
      <c r="CA10" s="25">
        <f t="array" ref="CA10">INDEX(KOMBI!$A$1:$GI$145,ROW('KSH järjestus'!CA17),MATCH('KSH järjestus'!CA$3,KOMBI!$A$1:$GI$1,0))</f>
        <v>15.39</v>
      </c>
      <c r="CB10" s="25">
        <f t="array" ref="CB10">INDEX(KOMBI!$A$1:$GI$145,ROW('KSH järjestus'!CB17),MATCH('KSH järjestus'!CB$3,KOMBI!$A$1:$GI$1,0))</f>
        <v>68.699444444444453</v>
      </c>
      <c r="CC10" s="25">
        <f t="array" ref="CC10">INDEX(KOMBI!$A$1:$GI$145,ROW('KSH järjestus'!CC17),MATCH('KSH järjestus'!CC$3,KOMBI!$A$1:$GI$1,0))</f>
        <v>5.5214049999999997</v>
      </c>
      <c r="CD10" s="25">
        <f t="array" ref="CD10">INDEX(KOMBI!$A$1:$GI$145,ROW('KSH järjestus'!CD17),MATCH('KSH järjestus'!CD$3,KOMBI!$A$1:$GI$1,0))</f>
        <v>339.59999999999997</v>
      </c>
      <c r="CE10" s="25">
        <f t="array" ref="CE10">INDEX(KOMBI!$A$1:$GI$145,ROW('KSH järjestus'!CE17),MATCH('KSH järjestus'!CE$3,KOMBI!$A$1:$GI$1,0))</f>
        <v>3.0259999999999998</v>
      </c>
      <c r="CF10" s="25">
        <f t="array" ref="CF10">INDEX(KOMBI!$A$1:$GI$145,ROW('KSH järjestus'!CF17),MATCH('KSH järjestus'!CF$3,KOMBI!$A$1:$GI$1,0))</f>
        <v>52.734567183462524</v>
      </c>
      <c r="CG10" s="25">
        <f t="array" ref="CG10">INDEX(KOMBI!$A$1:$GI$145,ROW('KSH järjestus'!CG17),MATCH('KSH järjestus'!CG$3,KOMBI!$A$1:$GI$1,0))</f>
        <v>7.3408954233457072E-2</v>
      </c>
      <c r="CH10" s="25">
        <f t="array" ref="CH10">INDEX(KOMBI!$A$1:$GI$145,ROW('KSH järjestus'!CH17),MATCH('KSH järjestus'!CH$3,KOMBI!$A$1:$GI$1,0))</f>
        <v>0.41568159692162826</v>
      </c>
      <c r="CI10" s="25">
        <f t="array" ref="CI10">INDEX(KOMBI!$A$1:$GI$145,ROW('KSH järjestus'!CI17),MATCH('KSH järjestus'!CI$3,KOMBI!$A$1:$GI$1,0))</f>
        <v>6.78</v>
      </c>
      <c r="CJ10" s="25">
        <f t="array" ref="CJ10">INDEX(KOMBI!$A$1:$GI$145,ROW('KSH järjestus'!CJ17),MATCH('KSH järjestus'!CJ$3,KOMBI!$A$1:$GI$1,0))</f>
        <v>5.9806368215830608</v>
      </c>
      <c r="CK10" s="25">
        <f t="array" ref="CK10">INDEX(KOMBI!$A$1:$GI$145,ROW('KSH järjestus'!CK17),MATCH('KSH järjestus'!CK$3,KOMBI!$A$1:$GI$1,0))</f>
        <v>0.22900000000000001</v>
      </c>
      <c r="CL10" s="25">
        <f t="array" ref="CL10">INDEX(KOMBI!$A$1:$GI$145,ROW('KSH järjestus'!CL17),MATCH('KSH järjestus'!CL$3,KOMBI!$A$1:$GI$1,0))</f>
        <v>0.82899999999999996</v>
      </c>
    </row>
    <row r="11" spans="2:90" x14ac:dyDescent="0.2">
      <c r="C11" s="184">
        <v>8</v>
      </c>
      <c r="G11" s="25">
        <f>RANK(INDEX(KOMBI!$A$11:$GI$145,MATCH('KSH järjestus'!$C11,KOMBI!$A$11:$A$145,0),MATCH('KSH järjestus'!G$3,KOMBI!$A$1:$GI$1,0)),BD$4:BD$138,G$2)</f>
        <v>126</v>
      </c>
      <c r="H11" s="25">
        <f>RANK(INDEX(KOMBI!$A$11:$GI$145,MATCH('KSH järjestus'!$C11,KOMBI!$A$11:$A$145,0),MATCH('KSH järjestus'!H$3,KOMBI!$A$1:$GI$1,0)),BE$4:BE$138,H$2)</f>
        <v>118</v>
      </c>
      <c r="J11" s="25">
        <f>RANK(INDEX(KOMBI!$A$11:$GI$145,MATCH('KSH järjestus'!$C11,KOMBI!$A$11:$A$145,0),MATCH('KSH järjestus'!J$3,KOMBI!$A$1:$GI$1,0)),BG$4:BG$138,J$2)</f>
        <v>61</v>
      </c>
      <c r="M11" s="25">
        <f>RANK(INDEX(KOMBI!$A$11:$GI$145,MATCH('KSH järjestus'!$C11,KOMBI!$A$11:$A$145,0),MATCH('KSH järjestus'!M$3,KOMBI!$A$1:$GI$1,0)),BJ$4:BJ$138,M$2)</f>
        <v>28</v>
      </c>
      <c r="N11" s="25">
        <f>RANK(INDEX(KOMBI!$A$11:$GI$145,MATCH('KSH järjestus'!$C11,KOMBI!$A$11:$A$145,0),MATCH('KSH järjestus'!N$3,KOMBI!$A$1:$GI$1,0)),BK$4:BK$138,N$2)</f>
        <v>67</v>
      </c>
      <c r="O11" s="25">
        <f>RANK(INDEX(KOMBI!$A$11:$GI$145,MATCH('KSH järjestus'!$C11,KOMBI!$A$11:$A$145,0),MATCH('KSH järjestus'!O$3,KOMBI!$A$1:$GI$1,0)),BL$4:BL$138,O$2)</f>
        <v>99</v>
      </c>
      <c r="P11" s="25">
        <f>RANK(INDEX(KOMBI!$A$11:$GI$145,MATCH('KSH järjestus'!$C11,KOMBI!$A$11:$A$145,0),MATCH('KSH järjestus'!P$3,KOMBI!$A$1:$GI$1,0)),BM$4:BM$138,P$2)</f>
        <v>119</v>
      </c>
      <c r="Q11" s="25">
        <f>RANK(INDEX(KOMBI!$A$11:$GI$145,MATCH('KSH järjestus'!$C11,KOMBI!$A$11:$A$145,0),MATCH('KSH järjestus'!Q$3,KOMBI!$A$1:$GI$1,0)),BN$4:BN$138,Q$2)</f>
        <v>65</v>
      </c>
      <c r="R11" s="25">
        <f>RANK(INDEX(KOMBI!$A$11:$GI$145,MATCH('KSH järjestus'!$C11,KOMBI!$A$11:$A$145,0),MATCH('KSH järjestus'!R$3,KOMBI!$A$1:$GI$1,0)),BO$4:BO$138,R$2)</f>
        <v>112</v>
      </c>
      <c r="T11" s="25">
        <f>RANK(INDEX(KOMBI!$A$11:$GI$145,MATCH('KSH järjestus'!$C11,KOMBI!$A$11:$A$145,0),MATCH('KSH järjestus'!T$3,KOMBI!$A$1:$GI$1,0)),BQ$4:BQ$138,T$2)</f>
        <v>118</v>
      </c>
      <c r="U11" s="25">
        <f>RANK(INDEX(KOMBI!$A$11:$GI$145,MATCH('KSH järjestus'!$C11,KOMBI!$A$11:$A$145,0),MATCH('KSH järjestus'!U$3,KOMBI!$A$1:$GI$1,0)),BR$4:BR$138,U$2)</f>
        <v>128</v>
      </c>
      <c r="AA11" s="25">
        <f>RANK(INDEX(KOMBI!$A$11:$GI$145,MATCH('KSH järjestus'!$C11,KOMBI!$A$11:$A$145,0),MATCH('KSH järjestus'!AA$3,KOMBI!$A$1:$GI$1,0)),BX$4:BX$138,AA$2)</f>
        <v>106</v>
      </c>
      <c r="AB11" s="25">
        <f>RANK(INDEX(KOMBI!$A$11:$GI$145,MATCH('KSH järjestus'!$C11,KOMBI!$A$11:$A$145,0),MATCH('KSH järjestus'!AB$3,KOMBI!$A$1:$GI$1,0)),BY$4:BY$138,AB$2)</f>
        <v>100</v>
      </c>
      <c r="AC11" s="25">
        <f>RANK(INDEX(KOMBI!$A$11:$GI$145,MATCH('KSH järjestus'!$C11,KOMBI!$A$11:$A$145,0),MATCH('KSH järjestus'!AC$3,KOMBI!$A$1:$GI$1,0)),BZ$4:BZ$138,AC$2)</f>
        <v>92</v>
      </c>
      <c r="AD11" s="25">
        <f>RANK(INDEX(KOMBI!$A$11:$GI$145,MATCH('KSH järjestus'!$C11,KOMBI!$A$11:$A$145,0),MATCH('KSH järjestus'!AD$3,KOMBI!$A$1:$GI$1,0)),CA$4:CA$138,AD$2)</f>
        <v>108</v>
      </c>
      <c r="AE11" s="25">
        <f>RANK(INDEX(KOMBI!$A$11:$GI$145,MATCH('KSH järjestus'!$C11,KOMBI!$A$11:$A$145,0),MATCH('KSH järjestus'!AE$3,KOMBI!$A$1:$GI$1,0)),CB$4:CB$138,AE$2)</f>
        <v>105</v>
      </c>
      <c r="AG11" s="25">
        <f>RANK(INDEX(KOMBI!$A$11:$GI$145,MATCH('KSH järjestus'!$C11,KOMBI!$A$11:$A$145,0),MATCH('KSH järjestus'!AG$3,KOMBI!$A$1:$GI$1,0)),CD$4:CD$138,AG$2)</f>
        <v>124</v>
      </c>
      <c r="AH11" s="25">
        <f>RANK(INDEX(KOMBI!$A$11:$GI$145,MATCH('KSH järjestus'!$C11,KOMBI!$A$11:$A$145,0),MATCH('KSH järjestus'!AH$3,KOMBI!$A$1:$GI$1,0)),CE$4:CE$138,AH$2)</f>
        <v>91</v>
      </c>
      <c r="AI11" s="25">
        <f>RANK(INDEX(KOMBI!$A$11:$GI$145,MATCH('KSH järjestus'!$C11,KOMBI!$A$11:$A$145,0),MATCH('KSH järjestus'!AI$3,KOMBI!$A$1:$GI$1,0)),CF$4:CF$138,AI$2)</f>
        <v>100</v>
      </c>
      <c r="AJ11" s="25">
        <f>RANK(INDEX(KOMBI!$A$11:$GI$145,MATCH('KSH järjestus'!$C11,KOMBI!$A$11:$A$145,0),MATCH('KSH järjestus'!AJ$3,KOMBI!$A$1:$GI$1,0)),CG$4:CG$138,AJ$2)</f>
        <v>25</v>
      </c>
      <c r="AK11" s="25">
        <f>RANK(INDEX(KOMBI!$A$11:$GI$145,MATCH('KSH järjestus'!$C11,KOMBI!$A$11:$A$145,0),MATCH('KSH järjestus'!AK$3,KOMBI!$A$1:$GI$1,0)),CH$4:CH$138,AK$2)</f>
        <v>76</v>
      </c>
      <c r="AN11" s="25">
        <f>RANK(INDEX(KOMBI!$A$11:$GI$145,MATCH('KSH järjestus'!$C11,KOMBI!$A$11:$A$145,0),MATCH('KSH järjestus'!AN$3,KOMBI!$A$1:$GI$1,0)),CK$4:CK$138,AN$2)</f>
        <v>91</v>
      </c>
      <c r="AO11" s="25">
        <f>RANK(INDEX(KOMBI!$A$11:$GI$145,MATCH('KSH järjestus'!$C11,KOMBI!$A$11:$A$145,0),MATCH('KSH järjestus'!AO$3,KOMBI!$A$1:$GI$1,0)),CL$4:CL$138,AO$2)</f>
        <v>91</v>
      </c>
      <c r="AS11" s="297">
        <f t="shared" si="0"/>
        <v>2150</v>
      </c>
      <c r="AT11" s="25">
        <f t="shared" si="1"/>
        <v>652</v>
      </c>
      <c r="AU11" s="25">
        <f t="shared" si="2"/>
        <v>122</v>
      </c>
      <c r="AV11" s="295" t="str">
        <f>VLOOKUP(VLOOKUP($AU11,KOMBI!$A:$H,3,FALSE),data!$I$27:$J$29,2,FALSE)</f>
        <v>Sekkuv/EÜ</v>
      </c>
      <c r="AW11" s="295" t="str">
        <f>VLOOKUP(VLOOKUP($AU11,KOMBI!$A:$H,2,FALSE),data!$I$21:$J$23,2,FALSE)</f>
        <v>Sekkuv</v>
      </c>
      <c r="AX11" s="295" t="str">
        <f>VLOOKUP(VLOOKUP($AU11,KOMBI!$A:$H,5,FALSE),data!$I$39:$J$41,2,FALSE)</f>
        <v>Vähe-sekkuv</v>
      </c>
      <c r="AY11" s="295" t="str">
        <f>VLOOKUP(VLOOKUP($AU11,KOMBI!$A:$H,4,FALSE),data!$I$32:$J$36,2,FALSE)</f>
        <v>LIB</v>
      </c>
      <c r="BA11" s="25">
        <f t="array" ref="BA11">INDEX(KOMBI!$A$1:$GI$145,ROW('KSH järjestus'!BA18),MATCH('KSH järjestus'!BA$3,KOMBI!$A$1:$GI$1,0))</f>
        <v>1.6532560469209312</v>
      </c>
      <c r="BB11" s="25">
        <f t="array" ref="BB11">INDEX(KOMBI!$A$1:$GI$145,ROW('KSH järjestus'!BB18),MATCH('KSH järjestus'!BB$3,KOMBI!$A$1:$GI$1,0))</f>
        <v>283.88505867673649</v>
      </c>
      <c r="BC11" s="25">
        <f t="array" aca="1" ref="BC11" ca="1">INDEX(KOMBI!$A$1:$GI$145,ROW('KSH järjestus'!BC18),MATCH('KSH järjestus'!BC$3,KOMBI!$A$1:$GI$1,0))</f>
        <v>65.732527045733775</v>
      </c>
      <c r="BD11" s="25">
        <f t="array" ref="BD11">INDEX(KOMBI!$A$1:$GI$145,ROW('KSH järjestus'!BD18),MATCH('KSH järjestus'!BD$3,KOMBI!$A$1:$GI$1,0))</f>
        <v>-15.233219880632102</v>
      </c>
      <c r="BE11" s="25">
        <f t="array" ref="BE11">INDEX(KOMBI!$A$1:$GI$145,ROW('KSH järjestus'!BE18),MATCH('KSH järjestus'!BE$3,KOMBI!$A$1:$GI$1,0))</f>
        <v>80.965746926365881</v>
      </c>
      <c r="BF11" s="25">
        <f t="array" aca="1" ref="BF11" ca="1">INDEX(KOMBI!$A$1:$GI$145,ROW('KSH järjestus'!BF18),MATCH('KSH järjestus'!BF$3,KOMBI!$A$1:$GI$1,0))</f>
        <v>0</v>
      </c>
      <c r="BG11" s="25">
        <f t="array" ref="BG11">INDEX(KOMBI!$A$1:$GI$145,ROW('KSH järjestus'!BG18),MATCH('KSH järjestus'!BG$3,KOMBI!$A$1:$GI$1,0))</f>
        <v>0.54641444429190988</v>
      </c>
      <c r="BH11" s="25">
        <f t="array" ref="BH11">INDEX(KOMBI!$A$1:$GI$145,ROW('KSH järjestus'!BH18),MATCH('KSH järjestus'!BH$3,KOMBI!$A$1:$GI$1,0))</f>
        <v>90</v>
      </c>
      <c r="BI11" s="25">
        <f t="array" ref="BI11">INDEX(KOMBI!$A$1:$GI$145,ROW('KSH järjestus'!BI18),MATCH('KSH järjestus'!BI$3,KOMBI!$A$1:$GI$1,0))</f>
        <v>0.91028830406496797</v>
      </c>
      <c r="BJ11" s="25">
        <f t="array" ref="BJ11">INDEX(KOMBI!$A$1:$GI$145,ROW('KSH järjestus'!BJ18),MATCH('KSH järjestus'!BJ$3,KOMBI!$A$1:$GI$1,0))</f>
        <v>6.6265060240963902E-2</v>
      </c>
      <c r="BK11" s="25">
        <f t="array" ref="BK11">INDEX(KOMBI!$A$1:$GI$145,ROW('KSH järjestus'!BK18),MATCH('KSH järjestus'!BK$3,KOMBI!$A$1:$GI$1,0))</f>
        <v>0.35144163448352844</v>
      </c>
      <c r="BL11" s="25">
        <f t="array" ref="BL11">INDEX(KOMBI!$A$1:$GI$145,ROW('KSH järjestus'!BL18),MATCH('KSH järjestus'!BL$3,KOMBI!$A$1:$GI$1,0))</f>
        <v>1.1608985717731619E-2</v>
      </c>
      <c r="BM11" s="25">
        <f t="array" ref="BM11">INDEX(KOMBI!$A$1:$GI$145,ROW('KSH järjestus'!BM18),MATCH('KSH järjestus'!BM$3,KOMBI!$A$1:$GI$1,0))</f>
        <v>-5.9602835237880314E-3</v>
      </c>
      <c r="BN11" s="25">
        <f t="array" ref="BN11">INDEX(KOMBI!$A$1:$GI$145,ROW('KSH järjestus'!BN18),MATCH('KSH järjestus'!BN$3,KOMBI!$A$1:$GI$1,0))</f>
        <v>4.2120500218667256E-3</v>
      </c>
      <c r="BO11" s="25">
        <f t="array" ref="BO11">INDEX(KOMBI!$A$1:$GI$145,ROW('KSH järjestus'!BO18),MATCH('KSH järjestus'!BO$3,KOMBI!$A$1:$GI$1,0))</f>
        <v>7.462826378273976E-3</v>
      </c>
      <c r="BP11" s="25">
        <f t="array" ref="BP11">INDEX(KOMBI!$A$1:$GI$145,ROW('KSH järjestus'!BP18),MATCH('KSH järjestus'!BP$3,KOMBI!$A$1:$GI$1,0))</f>
        <v>8.5683156794471032</v>
      </c>
      <c r="BQ11" s="25">
        <f t="array" ref="BQ11">INDEX(KOMBI!$A$1:$GI$145,ROW('KSH järjestus'!BQ18),MATCH('KSH järjestus'!BQ$3,KOMBI!$A$1:$GI$1,0))</f>
        <v>11.585000000000001</v>
      </c>
      <c r="BR11" s="25">
        <f t="array" ref="BR11">INDEX(KOMBI!$A$1:$GI$145,ROW('KSH järjestus'!BR18),MATCH('KSH järjestus'!BR$3,KOMBI!$A$1:$GI$1,0))</f>
        <v>4.2689497386037166E-3</v>
      </c>
      <c r="BS11" s="25">
        <f t="array" ref="BS11">INDEX(KOMBI!$A$1:$GI$145,ROW('KSH järjestus'!BS18),MATCH('KSH järjestus'!BS$3,KOMBI!$A$1:$GI$1,0))</f>
        <v>1.0220291502217559E-3</v>
      </c>
      <c r="BT11" s="25">
        <f t="array" ref="BT11">INDEX(KOMBI!$A$1:$GI$145,ROW('KSH järjestus'!BT18),MATCH('KSH järjestus'!BT$3,KOMBI!$A$1:$GI$1,0))</f>
        <v>1.4095353595278627E-3</v>
      </c>
      <c r="BU11" s="25">
        <f t="array" ref="BU11">INDEX(KOMBI!$A$1:$GI$145,ROW('KSH järjestus'!BU18),MATCH('KSH järjestus'!BU$3,KOMBI!$A$1:$GI$1,0))</f>
        <v>9.5598856510938077</v>
      </c>
      <c r="BV11" s="25">
        <f t="array" ref="BV11">INDEX(KOMBI!$A$1:$GI$145,ROW('KSH järjestus'!BV18),MATCH('KSH järjestus'!BV$3,KOMBI!$A$1:$GI$1,0))</f>
        <v>5.33</v>
      </c>
      <c r="BW11" s="25">
        <f t="array" ref="BW11">INDEX(KOMBI!$A$1:$GI$145,ROW('KSH järjestus'!BW18),MATCH('KSH järjestus'!BW$3,KOMBI!$A$1:$GI$1,0))</f>
        <v>3.6801368215830603</v>
      </c>
      <c r="BX11" s="25">
        <f t="array" ref="BX11">INDEX(KOMBI!$A$1:$GI$145,ROW('KSH järjestus'!BX18),MATCH('KSH järjestus'!BX$3,KOMBI!$A$1:$GI$1,0))</f>
        <v>20.213861099430584</v>
      </c>
      <c r="BY11" s="25">
        <f t="array" ref="BY11">INDEX(KOMBI!$A$1:$GI$145,ROW('KSH järjestus'!BY18),MATCH('KSH järjestus'!BY$3,KOMBI!$A$1:$GI$1,0))</f>
        <v>12.807124562278599</v>
      </c>
      <c r="BZ11" s="25">
        <f t="array" ref="BZ11">INDEX(KOMBI!$A$1:$GI$145,ROW('KSH järjestus'!BZ18),MATCH('KSH järjestus'!BZ$3,KOMBI!$A$1:$GI$1,0))</f>
        <v>80.400000000000006</v>
      </c>
      <c r="CA11" s="25">
        <f t="array" ref="CA11">INDEX(KOMBI!$A$1:$GI$145,ROW('KSH järjestus'!CA18),MATCH('KSH järjestus'!CA$3,KOMBI!$A$1:$GI$1,0))</f>
        <v>15.478999999999999</v>
      </c>
      <c r="CB11" s="25">
        <f t="array" ref="CB11">INDEX(KOMBI!$A$1:$GI$145,ROW('KSH järjestus'!CB18),MATCH('KSH järjestus'!CB$3,KOMBI!$A$1:$GI$1,0))</f>
        <v>69.039722222222224</v>
      </c>
      <c r="CC11" s="25">
        <f t="array" ref="CC11">INDEX(KOMBI!$A$1:$GI$145,ROW('KSH järjestus'!CC18),MATCH('KSH järjestus'!CC$3,KOMBI!$A$1:$GI$1,0))</f>
        <v>5.554697</v>
      </c>
      <c r="CD11" s="25">
        <f t="array" ref="CD11">INDEX(KOMBI!$A$1:$GI$145,ROW('KSH järjestus'!CD18),MATCH('KSH järjestus'!CD$3,KOMBI!$A$1:$GI$1,0))</f>
        <v>339.59999999999997</v>
      </c>
      <c r="CE11" s="25">
        <f t="array" ref="CE11">INDEX(KOMBI!$A$1:$GI$145,ROW('KSH järjestus'!CE18),MATCH('KSH järjestus'!CE$3,KOMBI!$A$1:$GI$1,0))</f>
        <v>3.0259999999999998</v>
      </c>
      <c r="CF11" s="25">
        <f t="array" ref="CF11">INDEX(KOMBI!$A$1:$GI$145,ROW('KSH järjestus'!CF18),MATCH('KSH järjestus'!CF$3,KOMBI!$A$1:$GI$1,0))</f>
        <v>52.734567183462524</v>
      </c>
      <c r="CG11" s="25">
        <f t="array" ref="CG11">INDEX(KOMBI!$A$1:$GI$145,ROW('KSH järjestus'!CG18),MATCH('KSH järjestus'!CG$3,KOMBI!$A$1:$GI$1,0))</f>
        <v>7.3408954233457072E-2</v>
      </c>
      <c r="CH11" s="25">
        <f t="array" ref="CH11">INDEX(KOMBI!$A$1:$GI$145,ROW('KSH järjestus'!CH18),MATCH('KSH järjestus'!CH$3,KOMBI!$A$1:$GI$1,0))</f>
        <v>0.41568159692162826</v>
      </c>
      <c r="CI11" s="25">
        <f t="array" ref="CI11">INDEX(KOMBI!$A$1:$GI$145,ROW('KSH järjestus'!CI18),MATCH('KSH järjestus'!CI$3,KOMBI!$A$1:$GI$1,0))</f>
        <v>6.78</v>
      </c>
      <c r="CJ11" s="25">
        <f t="array" ref="CJ11">INDEX(KOMBI!$A$1:$GI$145,ROW('KSH järjestus'!CJ18),MATCH('KSH järjestus'!CJ$3,KOMBI!$A$1:$GI$1,0))</f>
        <v>5.9806368215830608</v>
      </c>
      <c r="CK11" s="25">
        <f t="array" ref="CK11">INDEX(KOMBI!$A$1:$GI$145,ROW('KSH järjestus'!CK18),MATCH('KSH järjestus'!CK$3,KOMBI!$A$1:$GI$1,0))</f>
        <v>0.22900000000000001</v>
      </c>
      <c r="CL11" s="25">
        <f t="array" ref="CL11">INDEX(KOMBI!$A$1:$GI$145,ROW('KSH järjestus'!CL18),MATCH('KSH järjestus'!CL$3,KOMBI!$A$1:$GI$1,0))</f>
        <v>0.82899999999999996</v>
      </c>
    </row>
    <row r="12" spans="2:90" x14ac:dyDescent="0.2">
      <c r="C12" s="184">
        <v>9</v>
      </c>
      <c r="G12" s="25">
        <f>RANK(INDEX(KOMBI!$A$11:$GI$145,MATCH('KSH järjestus'!$C12,KOMBI!$A$11:$A$145,0),MATCH('KSH järjestus'!G$3,KOMBI!$A$1:$GI$1,0)),BD$4:BD$138,G$2)</f>
        <v>116</v>
      </c>
      <c r="H12" s="25">
        <f>RANK(INDEX(KOMBI!$A$11:$GI$145,MATCH('KSH järjestus'!$C12,KOMBI!$A$11:$A$145,0),MATCH('KSH järjestus'!H$3,KOMBI!$A$1:$GI$1,0)),BE$4:BE$138,H$2)</f>
        <v>99</v>
      </c>
      <c r="J12" s="25">
        <f>RANK(INDEX(KOMBI!$A$11:$GI$145,MATCH('KSH järjestus'!$C12,KOMBI!$A$11:$A$145,0),MATCH('KSH järjestus'!J$3,KOMBI!$A$1:$GI$1,0)),BG$4:BG$138,J$2)</f>
        <v>61</v>
      </c>
      <c r="M12" s="25">
        <f>RANK(INDEX(KOMBI!$A$11:$GI$145,MATCH('KSH järjestus'!$C12,KOMBI!$A$11:$A$145,0),MATCH('KSH järjestus'!M$3,KOMBI!$A$1:$GI$1,0)),BJ$4:BJ$138,M$2)</f>
        <v>28</v>
      </c>
      <c r="N12" s="25">
        <f>RANK(INDEX(KOMBI!$A$11:$GI$145,MATCH('KSH järjestus'!$C12,KOMBI!$A$11:$A$145,0),MATCH('KSH järjestus'!N$3,KOMBI!$A$1:$GI$1,0)),BK$4:BK$138,N$2)</f>
        <v>67</v>
      </c>
      <c r="O12" s="25">
        <f>RANK(INDEX(KOMBI!$A$11:$GI$145,MATCH('KSH järjestus'!$C12,KOMBI!$A$11:$A$145,0),MATCH('KSH järjestus'!O$3,KOMBI!$A$1:$GI$1,0)),BL$4:BL$138,O$2)</f>
        <v>66</v>
      </c>
      <c r="P12" s="25">
        <f>RANK(INDEX(KOMBI!$A$11:$GI$145,MATCH('KSH järjestus'!$C12,KOMBI!$A$11:$A$145,0),MATCH('KSH järjestus'!P$3,KOMBI!$A$1:$GI$1,0)),BM$4:BM$138,P$2)</f>
        <v>118</v>
      </c>
      <c r="Q12" s="25">
        <f>RANK(INDEX(KOMBI!$A$11:$GI$145,MATCH('KSH järjestus'!$C12,KOMBI!$A$11:$A$145,0),MATCH('KSH järjestus'!Q$3,KOMBI!$A$1:$GI$1,0)),BN$4:BN$138,Q$2)</f>
        <v>51</v>
      </c>
      <c r="R12" s="25">
        <f>RANK(INDEX(KOMBI!$A$11:$GI$145,MATCH('KSH järjestus'!$C12,KOMBI!$A$11:$A$145,0),MATCH('KSH järjestus'!R$3,KOMBI!$A$1:$GI$1,0)),BO$4:BO$138,R$2)</f>
        <v>79</v>
      </c>
      <c r="T12" s="25">
        <f>RANK(INDEX(KOMBI!$A$11:$GI$145,MATCH('KSH järjestus'!$C12,KOMBI!$A$11:$A$145,0),MATCH('KSH järjestus'!T$3,KOMBI!$A$1:$GI$1,0)),BQ$4:BQ$138,T$2)</f>
        <v>124</v>
      </c>
      <c r="U12" s="25">
        <f>RANK(INDEX(KOMBI!$A$11:$GI$145,MATCH('KSH järjestus'!$C12,KOMBI!$A$11:$A$145,0),MATCH('KSH järjestus'!U$3,KOMBI!$A$1:$GI$1,0)),BR$4:BR$138,U$2)</f>
        <v>132</v>
      </c>
      <c r="AA12" s="25">
        <f>RANK(INDEX(KOMBI!$A$11:$GI$145,MATCH('KSH järjestus'!$C12,KOMBI!$A$11:$A$145,0),MATCH('KSH järjestus'!AA$3,KOMBI!$A$1:$GI$1,0)),BX$4:BX$138,AA$2)</f>
        <v>106</v>
      </c>
      <c r="AB12" s="25">
        <f>RANK(INDEX(KOMBI!$A$11:$GI$145,MATCH('KSH järjestus'!$C12,KOMBI!$A$11:$A$145,0),MATCH('KSH järjestus'!AB$3,KOMBI!$A$1:$GI$1,0)),BY$4:BY$138,AB$2)</f>
        <v>100</v>
      </c>
      <c r="AC12" s="25">
        <f>RANK(INDEX(KOMBI!$A$11:$GI$145,MATCH('KSH järjestus'!$C12,KOMBI!$A$11:$A$145,0),MATCH('KSH järjestus'!AC$3,KOMBI!$A$1:$GI$1,0)),BZ$4:BZ$138,AC$2)</f>
        <v>98</v>
      </c>
      <c r="AD12" s="25">
        <f>RANK(INDEX(KOMBI!$A$11:$GI$145,MATCH('KSH järjestus'!$C12,KOMBI!$A$11:$A$145,0),MATCH('KSH järjestus'!AD$3,KOMBI!$A$1:$GI$1,0)),CA$4:CA$138,AD$2)</f>
        <v>113</v>
      </c>
      <c r="AE12" s="25">
        <f>RANK(INDEX(KOMBI!$A$11:$GI$145,MATCH('KSH järjestus'!$C12,KOMBI!$A$11:$A$145,0),MATCH('KSH järjestus'!AE$3,KOMBI!$A$1:$GI$1,0)),CB$4:CB$138,AE$2)</f>
        <v>108</v>
      </c>
      <c r="AG12" s="25">
        <f>RANK(INDEX(KOMBI!$A$11:$GI$145,MATCH('KSH järjestus'!$C12,KOMBI!$A$11:$A$145,0),MATCH('KSH järjestus'!AG$3,KOMBI!$A$1:$GI$1,0)),CD$4:CD$138,AG$2)</f>
        <v>124</v>
      </c>
      <c r="AH12" s="25">
        <f>RANK(INDEX(KOMBI!$A$11:$GI$145,MATCH('KSH järjestus'!$C12,KOMBI!$A$11:$A$145,0),MATCH('KSH järjestus'!AH$3,KOMBI!$A$1:$GI$1,0)),CE$4:CE$138,AH$2)</f>
        <v>91</v>
      </c>
      <c r="AI12" s="25">
        <f>RANK(INDEX(KOMBI!$A$11:$GI$145,MATCH('KSH järjestus'!$C12,KOMBI!$A$11:$A$145,0),MATCH('KSH järjestus'!AI$3,KOMBI!$A$1:$GI$1,0)),CF$4:CF$138,AI$2)</f>
        <v>100</v>
      </c>
      <c r="AJ12" s="25">
        <f>RANK(INDEX(KOMBI!$A$11:$GI$145,MATCH('KSH järjestus'!$C12,KOMBI!$A$11:$A$145,0),MATCH('KSH järjestus'!AJ$3,KOMBI!$A$1:$GI$1,0)),CG$4:CG$138,AJ$2)</f>
        <v>25</v>
      </c>
      <c r="AK12" s="25">
        <f>RANK(INDEX(KOMBI!$A$11:$GI$145,MATCH('KSH järjestus'!$C12,KOMBI!$A$11:$A$145,0),MATCH('KSH järjestus'!AK$3,KOMBI!$A$1:$GI$1,0)),CH$4:CH$138,AK$2)</f>
        <v>76</v>
      </c>
      <c r="AN12" s="25">
        <f>RANK(INDEX(KOMBI!$A$11:$GI$145,MATCH('KSH järjestus'!$C12,KOMBI!$A$11:$A$145,0),MATCH('KSH järjestus'!AN$3,KOMBI!$A$1:$GI$1,0)),CK$4:CK$138,AN$2)</f>
        <v>91</v>
      </c>
      <c r="AO12" s="25">
        <f>RANK(INDEX(KOMBI!$A$11:$GI$145,MATCH('KSH järjestus'!$C12,KOMBI!$A$11:$A$145,0),MATCH('KSH järjestus'!AO$3,KOMBI!$A$1:$GI$1,0)),CL$4:CL$138,AO$2)</f>
        <v>91</v>
      </c>
      <c r="AS12" s="297">
        <f t="shared" si="0"/>
        <v>2064</v>
      </c>
      <c r="AT12" s="25">
        <f t="shared" si="1"/>
        <v>655</v>
      </c>
      <c r="AU12" s="25">
        <f t="shared" si="2"/>
        <v>125</v>
      </c>
      <c r="AV12" s="295" t="str">
        <f>VLOOKUP(VLOOKUP($AU12,KOMBI!$A:$H,3,FALSE),data!$I$27:$J$29,2,FALSE)</f>
        <v>Sekkuv/EÜ</v>
      </c>
      <c r="AW12" s="295" t="str">
        <f>VLOOKUP(VLOOKUP($AU12,KOMBI!$A:$H,2,FALSE),data!$I$21:$J$23,2,FALSE)</f>
        <v>Sekkuv</v>
      </c>
      <c r="AX12" s="295" t="str">
        <f>VLOOKUP(VLOOKUP($AU12,KOMBI!$A:$H,5,FALSE),data!$I$39:$J$41,2,FALSE)</f>
        <v>Vähe-sekkuv</v>
      </c>
      <c r="AY12" s="295" t="str">
        <f>VLOOKUP(VLOOKUP($AU12,KOMBI!$A:$H,4,FALSE),data!$I$32:$J$36,2,FALSE)</f>
        <v>LIB+</v>
      </c>
      <c r="BA12" s="25">
        <f t="array" ref="BA12">INDEX(KOMBI!$A$1:$GI$145,ROW('KSH järjestus'!BA19),MATCH('KSH järjestus'!BA$3,KOMBI!$A$1:$GI$1,0))</f>
        <v>2.5583557691624588</v>
      </c>
      <c r="BB12" s="25">
        <f t="array" ref="BB12">INDEX(KOMBI!$A$1:$GI$145,ROW('KSH järjestus'!BB19),MATCH('KSH järjestus'!BB$3,KOMBI!$A$1:$GI$1,0))</f>
        <v>400.49584969421585</v>
      </c>
      <c r="BC12" s="25">
        <f t="array" aca="1" ref="BC12" ca="1">INDEX(KOMBI!$A$1:$GI$145,ROW('KSH järjestus'!BC19),MATCH('KSH järjestus'!BC$3,KOMBI!$A$1:$GI$1,0))</f>
        <v>82.28694140481872</v>
      </c>
      <c r="BD12" s="25">
        <f t="array" ref="BD12">INDEX(KOMBI!$A$1:$GI$145,ROW('KSH järjestus'!BD19),MATCH('KSH järjestus'!BD$3,KOMBI!$A$1:$GI$1,0))</f>
        <v>-34.340813699091036</v>
      </c>
      <c r="BE12" s="25">
        <f t="array" ref="BE12">INDEX(KOMBI!$A$1:$GI$145,ROW('KSH järjestus'!BE19),MATCH('KSH järjestus'!BE$3,KOMBI!$A$1:$GI$1,0))</f>
        <v>116.62775510390975</v>
      </c>
      <c r="BF12" s="25">
        <f t="array" aca="1" ref="BF12" ca="1">INDEX(KOMBI!$A$1:$GI$145,ROW('KSH järjestus'!BF19),MATCH('KSH järjestus'!BF$3,KOMBI!$A$1:$GI$1,0))</f>
        <v>0</v>
      </c>
      <c r="BG12" s="25">
        <f t="array" ref="BG12">INDEX(KOMBI!$A$1:$GI$145,ROW('KSH järjestus'!BG19),MATCH('KSH järjestus'!BG$3,KOMBI!$A$1:$GI$1,0))</f>
        <v>0.54641444429190988</v>
      </c>
      <c r="BH12" s="25">
        <f t="array" ref="BH12">INDEX(KOMBI!$A$1:$GI$145,ROW('KSH järjestus'!BH19),MATCH('KSH järjestus'!BH$3,KOMBI!$A$1:$GI$1,0))</f>
        <v>90</v>
      </c>
      <c r="BI12" s="25">
        <f t="array" ref="BI12">INDEX(KOMBI!$A$1:$GI$145,ROW('KSH järjestus'!BI19),MATCH('KSH järjestus'!BI$3,KOMBI!$A$1:$GI$1,0))</f>
        <v>0.91028830406496786</v>
      </c>
      <c r="BJ12" s="25">
        <f t="array" ref="BJ12">INDEX(KOMBI!$A$1:$GI$145,ROW('KSH järjestus'!BJ19),MATCH('KSH järjestus'!BJ$3,KOMBI!$A$1:$GI$1,0))</f>
        <v>6.6265060240963902E-2</v>
      </c>
      <c r="BK12" s="25">
        <f t="array" ref="BK12">INDEX(KOMBI!$A$1:$GI$145,ROW('KSH järjestus'!BK19),MATCH('KSH järjestus'!BK$3,KOMBI!$A$1:$GI$1,0))</f>
        <v>0.35144163448352844</v>
      </c>
      <c r="BL12" s="25">
        <f t="array" ref="BL12">INDEX(KOMBI!$A$1:$GI$145,ROW('KSH järjestus'!BL19),MATCH('KSH järjestus'!BL$3,KOMBI!$A$1:$GI$1,0))</f>
        <v>1.6260041095978138E-2</v>
      </c>
      <c r="BM12" s="25">
        <f t="array" ref="BM12">INDEX(KOMBI!$A$1:$GI$145,ROW('KSH järjestus'!BM19),MATCH('KSH järjestus'!BM$3,KOMBI!$A$1:$GI$1,0))</f>
        <v>-5.9475177967466455E-3</v>
      </c>
      <c r="BN12" s="25">
        <f t="array" ref="BN12">INDEX(KOMBI!$A$1:$GI$145,ROW('KSH järjestus'!BN19),MATCH('KSH järjestus'!BN$3,KOMBI!$A$1:$GI$1,0))</f>
        <v>5.5428398579134563E-3</v>
      </c>
      <c r="BO12" s="25">
        <f t="array" ref="BO12">INDEX(KOMBI!$A$1:$GI$145,ROW('KSH järjestus'!BO19),MATCH('KSH järjestus'!BO$3,KOMBI!$A$1:$GI$1,0))</f>
        <v>1.0856689826438832E-2</v>
      </c>
      <c r="BP12" s="25">
        <f t="array" ref="BP12">INDEX(KOMBI!$A$1:$GI$145,ROW('KSH järjestus'!BP19),MATCH('KSH järjestus'!BP$3,KOMBI!$A$1:$GI$1,0))</f>
        <v>8.5683156794471032</v>
      </c>
      <c r="BQ12" s="25">
        <f t="array" ref="BQ12">INDEX(KOMBI!$A$1:$GI$145,ROW('KSH järjestus'!BQ19),MATCH('KSH järjestus'!BQ$3,KOMBI!$A$1:$GI$1,0))</f>
        <v>11.808999999999999</v>
      </c>
      <c r="BR12" s="25">
        <f t="array" ref="BR12">INDEX(KOMBI!$A$1:$GI$145,ROW('KSH järjestus'!BR19),MATCH('KSH järjestus'!BR$3,KOMBI!$A$1:$GI$1,0))</f>
        <v>8.2484368690496149E-3</v>
      </c>
      <c r="BS12" s="25">
        <f t="array" ref="BS12">INDEX(KOMBI!$A$1:$GI$145,ROW('KSH järjestus'!BS19),MATCH('KSH järjestus'!BS$3,KOMBI!$A$1:$GI$1,0))</f>
        <v>2.281189066510203E-3</v>
      </c>
      <c r="BT12" s="25">
        <f t="array" ref="BT12">INDEX(KOMBI!$A$1:$GI$145,ROW('KSH järjestus'!BT19),MATCH('KSH järjestus'!BT$3,KOMBI!$A$1:$GI$1,0))</f>
        <v>2.8702543327541186E-3</v>
      </c>
      <c r="BU12" s="25">
        <f t="array" ref="BU12">INDEX(KOMBI!$A$1:$GI$145,ROW('KSH järjestus'!BU19),MATCH('KSH järjestus'!BU$3,KOMBI!$A$1:$GI$1,0))</f>
        <v>9.5598856510938077</v>
      </c>
      <c r="BV12" s="25">
        <f t="array" ref="BV12">INDEX(KOMBI!$A$1:$GI$145,ROW('KSH järjestus'!BV19),MATCH('KSH järjestus'!BV$3,KOMBI!$A$1:$GI$1,0))</f>
        <v>5.33</v>
      </c>
      <c r="BW12" s="25">
        <f t="array" ref="BW12">INDEX(KOMBI!$A$1:$GI$145,ROW('KSH järjestus'!BW19),MATCH('KSH järjestus'!BW$3,KOMBI!$A$1:$GI$1,0))</f>
        <v>3.8888368215830607</v>
      </c>
      <c r="BX12" s="25">
        <f t="array" ref="BX12">INDEX(KOMBI!$A$1:$GI$145,ROW('KSH järjestus'!BX19),MATCH('KSH järjestus'!BX$3,KOMBI!$A$1:$GI$1,0))</f>
        <v>20.213861099430584</v>
      </c>
      <c r="BY12" s="25">
        <f t="array" ref="BY12">INDEX(KOMBI!$A$1:$GI$145,ROW('KSH järjestus'!BY19),MATCH('KSH järjestus'!BY$3,KOMBI!$A$1:$GI$1,0))</f>
        <v>12.807124562278599</v>
      </c>
      <c r="BZ12" s="25">
        <f t="array" ref="BZ12">INDEX(KOMBI!$A$1:$GI$145,ROW('KSH järjestus'!BZ19),MATCH('KSH järjestus'!BZ$3,KOMBI!$A$1:$GI$1,0))</f>
        <v>82</v>
      </c>
      <c r="CA12" s="25">
        <f t="array" ref="CA12">INDEX(KOMBI!$A$1:$GI$145,ROW('KSH järjestus'!CA19),MATCH('KSH järjestus'!CA$3,KOMBI!$A$1:$GI$1,0))</f>
        <v>15.731</v>
      </c>
      <c r="CB12" s="25">
        <f t="array" ref="CB12">INDEX(KOMBI!$A$1:$GI$145,ROW('KSH järjestus'!CB19),MATCH('KSH järjestus'!CB$3,KOMBI!$A$1:$GI$1,0))</f>
        <v>69.947777777777773</v>
      </c>
      <c r="CC12" s="25">
        <f t="array" ref="CC12">INDEX(KOMBI!$A$1:$GI$145,ROW('KSH järjestus'!CC19),MATCH('KSH järjestus'!CC$3,KOMBI!$A$1:$GI$1,0))</f>
        <v>5.6480420000000002</v>
      </c>
      <c r="CD12" s="25">
        <f t="array" ref="CD12">INDEX(KOMBI!$A$1:$GI$145,ROW('KSH järjestus'!CD19),MATCH('KSH järjestus'!CD$3,KOMBI!$A$1:$GI$1,0))</f>
        <v>339.59999999999997</v>
      </c>
      <c r="CE12" s="25">
        <f t="array" ref="CE12">INDEX(KOMBI!$A$1:$GI$145,ROW('KSH järjestus'!CE19),MATCH('KSH järjestus'!CE$3,KOMBI!$A$1:$GI$1,0))</f>
        <v>3.0259999999999998</v>
      </c>
      <c r="CF12" s="25">
        <f t="array" ref="CF12">INDEX(KOMBI!$A$1:$GI$145,ROW('KSH järjestus'!CF19),MATCH('KSH järjestus'!CF$3,KOMBI!$A$1:$GI$1,0))</f>
        <v>52.734567183462524</v>
      </c>
      <c r="CG12" s="25">
        <f t="array" ref="CG12">INDEX(KOMBI!$A$1:$GI$145,ROW('KSH järjestus'!CG19),MATCH('KSH järjestus'!CG$3,KOMBI!$A$1:$GI$1,0))</f>
        <v>7.3408954233457072E-2</v>
      </c>
      <c r="CH12" s="25">
        <f t="array" ref="CH12">INDEX(KOMBI!$A$1:$GI$145,ROW('KSH järjestus'!CH19),MATCH('KSH järjestus'!CH$3,KOMBI!$A$1:$GI$1,0))</f>
        <v>0.41568159692162826</v>
      </c>
      <c r="CI12" s="25">
        <f t="array" ref="CI12">INDEX(KOMBI!$A$1:$GI$145,ROW('KSH järjestus'!CI19),MATCH('KSH järjestus'!CI$3,KOMBI!$A$1:$GI$1,0))</f>
        <v>6.78</v>
      </c>
      <c r="CJ12" s="25">
        <f t="array" ref="CJ12">INDEX(KOMBI!$A$1:$GI$145,ROW('KSH järjestus'!CJ19),MATCH('KSH järjestus'!CJ$3,KOMBI!$A$1:$GI$1,0))</f>
        <v>5.9806368215830608</v>
      </c>
      <c r="CK12" s="25">
        <f t="array" ref="CK12">INDEX(KOMBI!$A$1:$GI$145,ROW('KSH järjestus'!CK19),MATCH('KSH järjestus'!CK$3,KOMBI!$A$1:$GI$1,0))</f>
        <v>0.22900000000000001</v>
      </c>
      <c r="CL12" s="25">
        <f t="array" ref="CL12">INDEX(KOMBI!$A$1:$GI$145,ROW('KSH järjestus'!CL19),MATCH('KSH järjestus'!CL$3,KOMBI!$A$1:$GI$1,0))</f>
        <v>0.82899999999999996</v>
      </c>
    </row>
    <row r="13" spans="2:90" x14ac:dyDescent="0.2">
      <c r="C13" s="184">
        <v>10</v>
      </c>
      <c r="G13" s="25">
        <f>RANK(INDEX(KOMBI!$A$11:$GI$145,MATCH('KSH järjestus'!$C13,KOMBI!$A$11:$A$145,0),MATCH('KSH järjestus'!G$3,KOMBI!$A$1:$GI$1,0)),BD$4:BD$138,G$2)</f>
        <v>131</v>
      </c>
      <c r="H13" s="25">
        <f>RANK(INDEX(KOMBI!$A$11:$GI$145,MATCH('KSH järjestus'!$C13,KOMBI!$A$11:$A$145,0),MATCH('KSH järjestus'!H$3,KOMBI!$A$1:$GI$1,0)),BE$4:BE$138,H$2)</f>
        <v>133</v>
      </c>
      <c r="J13" s="25">
        <f>RANK(INDEX(KOMBI!$A$11:$GI$145,MATCH('KSH järjestus'!$C13,KOMBI!$A$11:$A$145,0),MATCH('KSH järjestus'!J$3,KOMBI!$A$1:$GI$1,0)),BG$4:BG$138,J$2)</f>
        <v>135</v>
      </c>
      <c r="M13" s="25">
        <f>RANK(INDEX(KOMBI!$A$11:$GI$145,MATCH('KSH järjestus'!$C13,KOMBI!$A$11:$A$145,0),MATCH('KSH järjestus'!M$3,KOMBI!$A$1:$GI$1,0)),BJ$4:BJ$138,M$2)</f>
        <v>109</v>
      </c>
      <c r="N13" s="25">
        <f>RANK(INDEX(KOMBI!$A$11:$GI$145,MATCH('KSH järjestus'!$C13,KOMBI!$A$11:$A$145,0),MATCH('KSH järjestus'!N$3,KOMBI!$A$1:$GI$1,0)),BK$4:BK$138,N$2)</f>
        <v>22</v>
      </c>
      <c r="O13" s="25">
        <f>RANK(INDEX(KOMBI!$A$11:$GI$145,MATCH('KSH järjestus'!$C13,KOMBI!$A$11:$A$145,0),MATCH('KSH järjestus'!O$3,KOMBI!$A$1:$GI$1,0)),BL$4:BL$138,O$2)</f>
        <v>133</v>
      </c>
      <c r="P13" s="25">
        <f>RANK(INDEX(KOMBI!$A$11:$GI$145,MATCH('KSH järjestus'!$C13,KOMBI!$A$11:$A$145,0),MATCH('KSH järjestus'!P$3,KOMBI!$A$1:$GI$1,0)),BM$4:BM$138,P$2)</f>
        <v>102</v>
      </c>
      <c r="Q13" s="25">
        <f>RANK(INDEX(KOMBI!$A$11:$GI$145,MATCH('KSH järjestus'!$C13,KOMBI!$A$11:$A$145,0),MATCH('KSH järjestus'!Q$3,KOMBI!$A$1:$GI$1,0)),BN$4:BN$138,Q$2)</f>
        <v>122</v>
      </c>
      <c r="R13" s="25">
        <f>RANK(INDEX(KOMBI!$A$11:$GI$145,MATCH('KSH järjestus'!$C13,KOMBI!$A$11:$A$145,0),MATCH('KSH järjestus'!R$3,KOMBI!$A$1:$GI$1,0)),BO$4:BO$138,R$2)</f>
        <v>131</v>
      </c>
      <c r="T13" s="25">
        <f>RANK(INDEX(KOMBI!$A$11:$GI$145,MATCH('KSH järjestus'!$C13,KOMBI!$A$11:$A$145,0),MATCH('KSH järjestus'!T$3,KOMBI!$A$1:$GI$1,0)),BQ$4:BQ$138,T$2)</f>
        <v>87</v>
      </c>
      <c r="U13" s="25">
        <f>RANK(INDEX(KOMBI!$A$11:$GI$145,MATCH('KSH järjestus'!$C13,KOMBI!$A$11:$A$145,0),MATCH('KSH järjestus'!U$3,KOMBI!$A$1:$GI$1,0)),BR$4:BR$138,U$2)</f>
        <v>79</v>
      </c>
      <c r="AA13" s="25">
        <f>RANK(INDEX(KOMBI!$A$11:$GI$145,MATCH('KSH järjestus'!$C13,KOMBI!$A$11:$A$145,0),MATCH('KSH järjestus'!AA$3,KOMBI!$A$1:$GI$1,0)),BX$4:BX$138,AA$2)</f>
        <v>97</v>
      </c>
      <c r="AB13" s="25">
        <f>RANK(INDEX(KOMBI!$A$11:$GI$145,MATCH('KSH järjestus'!$C13,KOMBI!$A$11:$A$145,0),MATCH('KSH järjestus'!AB$3,KOMBI!$A$1:$GI$1,0)),BY$4:BY$138,AB$2)</f>
        <v>25</v>
      </c>
      <c r="AC13" s="25">
        <f>RANK(INDEX(KOMBI!$A$11:$GI$145,MATCH('KSH järjestus'!$C13,KOMBI!$A$11:$A$145,0),MATCH('KSH järjestus'!AC$3,KOMBI!$A$1:$GI$1,0)),BZ$4:BZ$138,AC$2)</f>
        <v>106</v>
      </c>
      <c r="AD13" s="25">
        <f>RANK(INDEX(KOMBI!$A$11:$GI$145,MATCH('KSH järjestus'!$C13,KOMBI!$A$11:$A$145,0),MATCH('KSH järjestus'!AD$3,KOMBI!$A$1:$GI$1,0)),CA$4:CA$138,AD$2)</f>
        <v>25</v>
      </c>
      <c r="AE13" s="25">
        <f>RANK(INDEX(KOMBI!$A$11:$GI$145,MATCH('KSH järjestus'!$C13,KOMBI!$A$11:$A$145,0),MATCH('KSH järjestus'!AE$3,KOMBI!$A$1:$GI$1,0)),CB$4:CB$138,AE$2)</f>
        <v>25</v>
      </c>
      <c r="AG13" s="25">
        <f>RANK(INDEX(KOMBI!$A$11:$GI$145,MATCH('KSH järjestus'!$C13,KOMBI!$A$11:$A$145,0),MATCH('KSH järjestus'!AG$3,KOMBI!$A$1:$GI$1,0)),CD$4:CD$138,AG$2)</f>
        <v>133</v>
      </c>
      <c r="AH13" s="25">
        <f>RANK(INDEX(KOMBI!$A$11:$GI$145,MATCH('KSH järjestus'!$C13,KOMBI!$A$11:$A$145,0),MATCH('KSH järjestus'!AH$3,KOMBI!$A$1:$GI$1,0)),CE$4:CE$138,AH$2)</f>
        <v>91</v>
      </c>
      <c r="AI13" s="25">
        <f>RANK(INDEX(KOMBI!$A$11:$GI$145,MATCH('KSH järjestus'!$C13,KOMBI!$A$11:$A$145,0),MATCH('KSH järjestus'!AI$3,KOMBI!$A$1:$GI$1,0)),CF$4:CF$138,AI$2)</f>
        <v>52</v>
      </c>
      <c r="AJ13" s="25">
        <f>RANK(INDEX(KOMBI!$A$11:$GI$145,MATCH('KSH järjestus'!$C13,KOMBI!$A$11:$A$145,0),MATCH('KSH järjestus'!AJ$3,KOMBI!$A$1:$GI$1,0)),CG$4:CG$138,AJ$2)</f>
        <v>124</v>
      </c>
      <c r="AK13" s="25">
        <f>RANK(INDEX(KOMBI!$A$11:$GI$145,MATCH('KSH järjestus'!$C13,KOMBI!$A$11:$A$145,0),MATCH('KSH järjestus'!AK$3,KOMBI!$A$1:$GI$1,0)),CH$4:CH$138,AK$2)</f>
        <v>49</v>
      </c>
      <c r="AN13" s="25">
        <f>RANK(INDEX(KOMBI!$A$11:$GI$145,MATCH('KSH järjestus'!$C13,KOMBI!$A$11:$A$145,0),MATCH('KSH järjestus'!AN$3,KOMBI!$A$1:$GI$1,0)),CK$4:CK$138,AN$2)</f>
        <v>91</v>
      </c>
      <c r="AO13" s="25">
        <f>RANK(INDEX(KOMBI!$A$11:$GI$145,MATCH('KSH järjestus'!$C13,KOMBI!$A$11:$A$145,0),MATCH('KSH järjestus'!AO$3,KOMBI!$A$1:$GI$1,0)),CL$4:CL$138,AO$2)</f>
        <v>91</v>
      </c>
      <c r="AS13" s="297">
        <f t="shared" si="0"/>
        <v>2093</v>
      </c>
      <c r="AT13" s="25">
        <f t="shared" si="1"/>
        <v>714</v>
      </c>
      <c r="AU13" s="25">
        <f t="shared" si="2"/>
        <v>130</v>
      </c>
      <c r="AV13" s="295" t="str">
        <f>VLOOKUP(VLOOKUP($AU13,KOMBI!$A:$H,3,FALSE),data!$I$27:$J$29,2,FALSE)</f>
        <v>Sekkuv/EÜ</v>
      </c>
      <c r="AW13" s="295" t="str">
        <f>VLOOKUP(VLOOKUP($AU13,KOMBI!$A:$H,2,FALSE),data!$I$21:$J$23,2,FALSE)</f>
        <v>Sekkuv</v>
      </c>
      <c r="AX13" s="295" t="str">
        <f>VLOOKUP(VLOOKUP($AU13,KOMBI!$A:$H,5,FALSE),data!$I$39:$J$41,2,FALSE)</f>
        <v>Mittesekkuv</v>
      </c>
      <c r="AY13" s="295" t="str">
        <f>VLOOKUP(VLOOKUP($AU13,KOMBI!$A:$H,4,FALSE),data!$I$32:$J$36,2,FALSE)</f>
        <v>TE++</v>
      </c>
      <c r="BA13" s="25">
        <f t="array" ref="BA13">INDEX(KOMBI!$A$1:$GI$145,ROW('KSH järjestus'!BA20),MATCH('KSH järjestus'!BA$3,KOMBI!$A$1:$GI$1,0))</f>
        <v>4.6320456472115383</v>
      </c>
      <c r="BB13" s="25">
        <f t="array" ref="BB13">INDEX(KOMBI!$A$1:$GI$145,ROW('KSH järjestus'!BB20),MATCH('KSH järjestus'!BB$3,KOMBI!$A$1:$GI$1,0))</f>
        <v>65.994663566135756</v>
      </c>
      <c r="BC13" s="25">
        <f t="array" aca="1" ref="BC13" ca="1">INDEX(KOMBI!$A$1:$GI$145,ROW('KSH järjestus'!BC20),MATCH('KSH järjestus'!BC$3,KOMBI!$A$1:$GI$1,0))</f>
        <v>26.940405179899347</v>
      </c>
      <c r="BD13" s="25">
        <f t="array" ref="BD13">INDEX(KOMBI!$A$1:$GI$145,ROW('KSH järjestus'!BD20),MATCH('KSH järjestus'!BD$3,KOMBI!$A$1:$GI$1,0))</f>
        <v>0</v>
      </c>
      <c r="BE13" s="25">
        <f t="array" ref="BE13">INDEX(KOMBI!$A$1:$GI$145,ROW('KSH järjestus'!BE20),MATCH('KSH järjestus'!BE$3,KOMBI!$A$1:$GI$1,0))</f>
        <v>26.940405179899347</v>
      </c>
      <c r="BF13" s="25">
        <f t="array" aca="1" ref="BF13" ca="1">INDEX(KOMBI!$A$1:$GI$145,ROW('KSH järjestus'!BF20),MATCH('KSH järjestus'!BF$3,KOMBI!$A$1:$GI$1,0))</f>
        <v>0</v>
      </c>
      <c r="BG13" s="25">
        <f t="array" ref="BG13">INDEX(KOMBI!$A$1:$GI$145,ROW('KSH järjestus'!BG20),MATCH('KSH järjestus'!BG$3,KOMBI!$A$1:$GI$1,0))</f>
        <v>0.69679709677809665</v>
      </c>
      <c r="BH13" s="25">
        <f t="array" ref="BH13">INDEX(KOMBI!$A$1:$GI$145,ROW('KSH järjestus'!BH20),MATCH('KSH järjestus'!BH$3,KOMBI!$A$1:$GI$1,0))</f>
        <v>90</v>
      </c>
      <c r="BI13" s="25">
        <f t="array" ref="BI13">INDEX(KOMBI!$A$1:$GI$145,ROW('KSH järjestus'!BI20),MATCH('KSH järjestus'!BI$3,KOMBI!$A$1:$GI$1,0))</f>
        <v>1</v>
      </c>
      <c r="BJ13" s="25">
        <f t="array" ref="BJ13">INDEX(KOMBI!$A$1:$GI$145,ROW('KSH järjestus'!BJ20),MATCH('KSH järjestus'!BJ$3,KOMBI!$A$1:$GI$1,0))</f>
        <v>0.36609829488465395</v>
      </c>
      <c r="BK13" s="25">
        <f t="array" ref="BK13">INDEX(KOMBI!$A$1:$GI$145,ROW('KSH järjestus'!BK20),MATCH('KSH järjestus'!BK$3,KOMBI!$A$1:$GI$1,0))</f>
        <v>0.54033748449096464</v>
      </c>
      <c r="BL13" s="25">
        <f t="array" ref="BL13">INDEX(KOMBI!$A$1:$GI$145,ROW('KSH järjestus'!BL20),MATCH('KSH järjestus'!BL$3,KOMBI!$A$1:$GI$1,0))</f>
        <v>2.8630561745928164E-3</v>
      </c>
      <c r="BM13" s="25">
        <f t="array" ref="BM13">INDEX(KOMBI!$A$1:$GI$145,ROW('KSH järjestus'!BM20),MATCH('KSH järjestus'!BM$3,KOMBI!$A$1:$GI$1,0))</f>
        <v>-3.1634636185096242E-3</v>
      </c>
      <c r="BN13" s="25">
        <f t="array" ref="BN13">INDEX(KOMBI!$A$1:$GI$145,ROW('KSH järjestus'!BN20),MATCH('KSH järjestus'!BN$3,KOMBI!$A$1:$GI$1,0))</f>
        <v>-2.2056458928035316E-4</v>
      </c>
      <c r="BO13" s="25">
        <f t="array" ref="BO13">INDEX(KOMBI!$A$1:$GI$145,ROW('KSH järjestus'!BO20),MATCH('KSH järjestus'!BO$3,KOMBI!$A$1:$GI$1,0))</f>
        <v>3.0900747649084842E-3</v>
      </c>
      <c r="BP13" s="25">
        <f t="array" ref="BP13">INDEX(KOMBI!$A$1:$GI$145,ROW('KSH järjestus'!BP20),MATCH('KSH järjestus'!BP$3,KOMBI!$A$1:$GI$1,0))</f>
        <v>8.5978313570900955</v>
      </c>
      <c r="BQ13" s="25">
        <f t="array" ref="BQ13">INDEX(KOMBI!$A$1:$GI$145,ROW('KSH järjestus'!BQ20),MATCH('KSH järjestus'!BQ$3,KOMBI!$A$1:$GI$1,0))</f>
        <v>10.948</v>
      </c>
      <c r="BR13" s="25">
        <f t="array" ref="BR13">INDEX(KOMBI!$A$1:$GI$145,ROW('KSH järjestus'!BR20),MATCH('KSH järjestus'!BR$3,KOMBI!$A$1:$GI$1,0))</f>
        <v>-2.0444720242954191E-2</v>
      </c>
      <c r="BS13" s="25">
        <f t="array" ref="BS13">INDEX(KOMBI!$A$1:$GI$145,ROW('KSH järjestus'!BS20),MATCH('KSH järjestus'!BS$3,KOMBI!$A$1:$GI$1,0))</f>
        <v>-0.14018616807588472</v>
      </c>
      <c r="BT13" s="25">
        <f t="array" ref="BT13">INDEX(KOMBI!$A$1:$GI$145,ROW('KSH järjestus'!BT20),MATCH('KSH järjestus'!BT$3,KOMBI!$A$1:$GI$1,0))</f>
        <v>-4.8984251623603543E-2</v>
      </c>
      <c r="BU13" s="25">
        <f t="array" ref="BU13">INDEX(KOMBI!$A$1:$GI$145,ROW('KSH järjestus'!BU20),MATCH('KSH järjestus'!BU$3,KOMBI!$A$1:$GI$1,0))</f>
        <v>5.889000509401181</v>
      </c>
      <c r="BV13" s="25">
        <f t="array" ref="BV13">INDEX(KOMBI!$A$1:$GI$145,ROW('KSH järjestus'!BV20),MATCH('KSH järjestus'!BV$3,KOMBI!$A$1:$GI$1,0))</f>
        <v>1.6020000000000001</v>
      </c>
      <c r="BW13" s="25">
        <f t="array" ref="BW13">INDEX(KOMBI!$A$1:$GI$145,ROW('KSH järjestus'!BW20),MATCH('KSH järjestus'!BW$3,KOMBI!$A$1:$GI$1,0))</f>
        <v>3.3026368215830604</v>
      </c>
      <c r="BX13" s="25">
        <f t="array" ref="BX13">INDEX(KOMBI!$A$1:$GI$145,ROW('KSH järjestus'!BX20),MATCH('KSH järjestus'!BX$3,KOMBI!$A$1:$GI$1,0))</f>
        <v>19.777721793242819</v>
      </c>
      <c r="BY13" s="25">
        <f t="array" ref="BY13">INDEX(KOMBI!$A$1:$GI$145,ROW('KSH järjestus'!BY20),MATCH('KSH järjestus'!BY$3,KOMBI!$A$1:$GI$1,0))</f>
        <v>7.5937453871512233</v>
      </c>
      <c r="BZ13" s="25">
        <f t="array" ref="BZ13">INDEX(KOMBI!$A$1:$GI$145,ROW('KSH järjestus'!BZ20),MATCH('KSH järjestus'!BZ$3,KOMBI!$A$1:$GI$1,0))</f>
        <v>87</v>
      </c>
      <c r="CA13" s="25">
        <f t="array" ref="CA13">INDEX(KOMBI!$A$1:$GI$145,ROW('KSH järjestus'!CA20),MATCH('KSH järjestus'!CA$3,KOMBI!$A$1:$GI$1,0))</f>
        <v>11.27</v>
      </c>
      <c r="CB13" s="25">
        <f t="array" ref="CB13">INDEX(KOMBI!$A$1:$GI$145,ROW('KSH järjestus'!CB20),MATCH('KSH järjestus'!CB$3,KOMBI!$A$1:$GI$1,0))</f>
        <v>45.660833333333329</v>
      </c>
      <c r="CC13" s="25">
        <f t="array" ref="CC13">INDEX(KOMBI!$A$1:$GI$145,ROW('KSH järjestus'!CC20),MATCH('KSH järjestus'!CC$3,KOMBI!$A$1:$GI$1,0))</f>
        <v>4.5513789999999998</v>
      </c>
      <c r="CD13" s="25">
        <f t="array" ref="CD13">INDEX(KOMBI!$A$1:$GI$145,ROW('KSH järjestus'!CD20),MATCH('KSH järjestus'!CD$3,KOMBI!$A$1:$GI$1,0))</f>
        <v>339.7</v>
      </c>
      <c r="CE13" s="25">
        <f t="array" ref="CE13">INDEX(KOMBI!$A$1:$GI$145,ROW('KSH järjestus'!CE20),MATCH('KSH järjestus'!CE$3,KOMBI!$A$1:$GI$1,0))</f>
        <v>3.0259999999999998</v>
      </c>
      <c r="CF13" s="25">
        <f t="array" ref="CF13">INDEX(KOMBI!$A$1:$GI$145,ROW('KSH järjestus'!CF20),MATCH('KSH järjestus'!CF$3,KOMBI!$A$1:$GI$1,0))</f>
        <v>47.328055555555551</v>
      </c>
      <c r="CG13" s="25">
        <f t="array" ref="CG13">INDEX(KOMBI!$A$1:$GI$145,ROW('KSH järjestus'!CG20),MATCH('KSH järjestus'!CG$3,KOMBI!$A$1:$GI$1,0))</f>
        <v>2.0156356925118721E-2</v>
      </c>
      <c r="CH13" s="25">
        <f t="array" ref="CH13">INDEX(KOMBI!$A$1:$GI$145,ROW('KSH järjestus'!CH20),MATCH('KSH järjestus'!CH$3,KOMBI!$A$1:$GI$1,0))</f>
        <v>0.44604055426563427</v>
      </c>
      <c r="CI13" s="25">
        <f t="array" ref="CI13">INDEX(KOMBI!$A$1:$GI$145,ROW('KSH järjestus'!CI20),MATCH('KSH järjestus'!CI$3,KOMBI!$A$1:$GI$1,0))</f>
        <v>11.370000000000001</v>
      </c>
      <c r="CJ13" s="25">
        <f t="array" ref="CJ13">INDEX(KOMBI!$A$1:$GI$145,ROW('KSH järjestus'!CJ20),MATCH('KSH järjestus'!CJ$3,KOMBI!$A$1:$GI$1,0))</f>
        <v>4.9526368215830612</v>
      </c>
      <c r="CK13" s="25">
        <f t="array" ref="CK13">INDEX(KOMBI!$A$1:$GI$145,ROW('KSH järjestus'!CK20),MATCH('KSH järjestus'!CK$3,KOMBI!$A$1:$GI$1,0))</f>
        <v>0.22900000000000001</v>
      </c>
      <c r="CL13" s="25">
        <f t="array" ref="CL13">INDEX(KOMBI!$A$1:$GI$145,ROW('KSH järjestus'!CL20),MATCH('KSH järjestus'!CL$3,KOMBI!$A$1:$GI$1,0))</f>
        <v>0.82899999999999996</v>
      </c>
    </row>
    <row r="14" spans="2:90" x14ac:dyDescent="0.2">
      <c r="C14" s="184">
        <v>11</v>
      </c>
      <c r="G14" s="25">
        <f>RANK(INDEX(KOMBI!$A$11:$GI$145,MATCH('KSH järjestus'!$C14,KOMBI!$A$11:$A$145,0),MATCH('KSH järjestus'!G$3,KOMBI!$A$1:$GI$1,0)),BD$4:BD$138,G$2)</f>
        <v>126</v>
      </c>
      <c r="H14" s="25">
        <f>RANK(INDEX(KOMBI!$A$11:$GI$145,MATCH('KSH järjestus'!$C14,KOMBI!$A$11:$A$145,0),MATCH('KSH järjestus'!H$3,KOMBI!$A$1:$GI$1,0)),BE$4:BE$138,H$2)</f>
        <v>121</v>
      </c>
      <c r="J14" s="25">
        <f>RANK(INDEX(KOMBI!$A$11:$GI$145,MATCH('KSH järjestus'!$C14,KOMBI!$A$11:$A$145,0),MATCH('KSH järjestus'!J$3,KOMBI!$A$1:$GI$1,0)),BG$4:BG$138,J$2)</f>
        <v>130</v>
      </c>
      <c r="M14" s="25">
        <f>RANK(INDEX(KOMBI!$A$11:$GI$145,MATCH('KSH järjestus'!$C14,KOMBI!$A$11:$A$145,0),MATCH('KSH järjestus'!M$3,KOMBI!$A$1:$GI$1,0)),BJ$4:BJ$138,M$2)</f>
        <v>109</v>
      </c>
      <c r="N14" s="25">
        <f>RANK(INDEX(KOMBI!$A$11:$GI$145,MATCH('KSH järjestus'!$C14,KOMBI!$A$11:$A$145,0),MATCH('KSH järjestus'!N$3,KOMBI!$A$1:$GI$1,0)),BK$4:BK$138,N$2)</f>
        <v>22</v>
      </c>
      <c r="O14" s="25">
        <f>RANK(INDEX(KOMBI!$A$11:$GI$145,MATCH('KSH järjestus'!$C14,KOMBI!$A$11:$A$145,0),MATCH('KSH järjestus'!O$3,KOMBI!$A$1:$GI$1,0)),BL$4:BL$138,O$2)</f>
        <v>109</v>
      </c>
      <c r="P14" s="25">
        <f>RANK(INDEX(KOMBI!$A$11:$GI$145,MATCH('KSH järjestus'!$C14,KOMBI!$A$11:$A$145,0),MATCH('KSH järjestus'!P$3,KOMBI!$A$1:$GI$1,0)),BM$4:BM$138,P$2)</f>
        <v>117</v>
      </c>
      <c r="Q14" s="25">
        <f>RANK(INDEX(KOMBI!$A$11:$GI$145,MATCH('KSH järjestus'!$C14,KOMBI!$A$11:$A$145,0),MATCH('KSH järjestus'!Q$3,KOMBI!$A$1:$GI$1,0)),BN$4:BN$138,Q$2)</f>
        <v>96</v>
      </c>
      <c r="R14" s="25">
        <f>RANK(INDEX(KOMBI!$A$11:$GI$145,MATCH('KSH järjestus'!$C14,KOMBI!$A$11:$A$145,0),MATCH('KSH järjestus'!R$3,KOMBI!$A$1:$GI$1,0)),BO$4:BO$138,R$2)</f>
        <v>115</v>
      </c>
      <c r="T14" s="25">
        <f>RANK(INDEX(KOMBI!$A$11:$GI$145,MATCH('KSH järjestus'!$C14,KOMBI!$A$11:$A$145,0),MATCH('KSH järjestus'!T$3,KOMBI!$A$1:$GI$1,0)),BQ$4:BQ$138,T$2)</f>
        <v>95</v>
      </c>
      <c r="U14" s="25">
        <f>RANK(INDEX(KOMBI!$A$11:$GI$145,MATCH('KSH järjestus'!$C14,KOMBI!$A$11:$A$145,0),MATCH('KSH järjestus'!U$3,KOMBI!$A$1:$GI$1,0)),BR$4:BR$138,U$2)</f>
        <v>89</v>
      </c>
      <c r="AA14" s="25">
        <f>RANK(INDEX(KOMBI!$A$11:$GI$145,MATCH('KSH järjestus'!$C14,KOMBI!$A$11:$A$145,0),MATCH('KSH järjestus'!AA$3,KOMBI!$A$1:$GI$1,0)),BX$4:BX$138,AA$2)</f>
        <v>97</v>
      </c>
      <c r="AB14" s="25">
        <f>RANK(INDEX(KOMBI!$A$11:$GI$145,MATCH('KSH järjestus'!$C14,KOMBI!$A$11:$A$145,0),MATCH('KSH järjestus'!AB$3,KOMBI!$A$1:$GI$1,0)),BY$4:BY$138,AB$2)</f>
        <v>25</v>
      </c>
      <c r="AC14" s="25">
        <f>RANK(INDEX(KOMBI!$A$11:$GI$145,MATCH('KSH järjestus'!$C14,KOMBI!$A$11:$A$145,0),MATCH('KSH järjestus'!AC$3,KOMBI!$A$1:$GI$1,0)),BZ$4:BZ$138,AC$2)</f>
        <v>107</v>
      </c>
      <c r="AD14" s="25">
        <f>RANK(INDEX(KOMBI!$A$11:$GI$145,MATCH('KSH järjestus'!$C14,KOMBI!$A$11:$A$145,0),MATCH('KSH järjestus'!AD$3,KOMBI!$A$1:$GI$1,0)),CA$4:CA$138,AD$2)</f>
        <v>26</v>
      </c>
      <c r="AE14" s="25">
        <f>RANK(INDEX(KOMBI!$A$11:$GI$145,MATCH('KSH järjestus'!$C14,KOMBI!$A$11:$A$145,0),MATCH('KSH järjestus'!AE$3,KOMBI!$A$1:$GI$1,0)),CB$4:CB$138,AE$2)</f>
        <v>26</v>
      </c>
      <c r="AG14" s="25">
        <f>RANK(INDEX(KOMBI!$A$11:$GI$145,MATCH('KSH järjestus'!$C14,KOMBI!$A$11:$A$145,0),MATCH('KSH järjestus'!AG$3,KOMBI!$A$1:$GI$1,0)),CD$4:CD$138,AG$2)</f>
        <v>133</v>
      </c>
      <c r="AH14" s="25">
        <f>RANK(INDEX(KOMBI!$A$11:$GI$145,MATCH('KSH järjestus'!$C14,KOMBI!$A$11:$A$145,0),MATCH('KSH järjestus'!AH$3,KOMBI!$A$1:$GI$1,0)),CE$4:CE$138,AH$2)</f>
        <v>91</v>
      </c>
      <c r="AI14" s="25">
        <f>RANK(INDEX(KOMBI!$A$11:$GI$145,MATCH('KSH järjestus'!$C14,KOMBI!$A$11:$A$145,0),MATCH('KSH järjestus'!AI$3,KOMBI!$A$1:$GI$1,0)),CF$4:CF$138,AI$2)</f>
        <v>52</v>
      </c>
      <c r="AJ14" s="25">
        <f>RANK(INDEX(KOMBI!$A$11:$GI$145,MATCH('KSH järjestus'!$C14,KOMBI!$A$11:$A$145,0),MATCH('KSH järjestus'!AJ$3,KOMBI!$A$1:$GI$1,0)),CG$4:CG$138,AJ$2)</f>
        <v>124</v>
      </c>
      <c r="AK14" s="25">
        <f>RANK(INDEX(KOMBI!$A$11:$GI$145,MATCH('KSH järjestus'!$C14,KOMBI!$A$11:$A$145,0),MATCH('KSH järjestus'!AK$3,KOMBI!$A$1:$GI$1,0)),CH$4:CH$138,AK$2)</f>
        <v>49</v>
      </c>
      <c r="AN14" s="25">
        <f>RANK(INDEX(KOMBI!$A$11:$GI$145,MATCH('KSH järjestus'!$C14,KOMBI!$A$11:$A$145,0),MATCH('KSH järjestus'!AN$3,KOMBI!$A$1:$GI$1,0)),CK$4:CK$138,AN$2)</f>
        <v>91</v>
      </c>
      <c r="AO14" s="25">
        <f>RANK(INDEX(KOMBI!$A$11:$GI$145,MATCH('KSH järjestus'!$C14,KOMBI!$A$11:$A$145,0),MATCH('KSH järjestus'!AO$3,KOMBI!$A$1:$GI$1,0)),CL$4:CL$138,AO$2)</f>
        <v>91</v>
      </c>
      <c r="AS14" s="297">
        <f t="shared" si="0"/>
        <v>2041</v>
      </c>
      <c r="AT14" s="25">
        <f t="shared" si="1"/>
        <v>728</v>
      </c>
      <c r="AU14" s="25">
        <f t="shared" si="2"/>
        <v>114</v>
      </c>
      <c r="AV14" s="295" t="str">
        <f>VLOOKUP(VLOOKUP($AU14,KOMBI!$A:$H,3,FALSE),data!$I$27:$J$29,2,FALSE)</f>
        <v>Vähe-sekkuv</v>
      </c>
      <c r="AW14" s="295" t="str">
        <f>VLOOKUP(VLOOKUP($AU14,KOMBI!$A:$H,2,FALSE),data!$I$21:$J$23,2,FALSE)</f>
        <v>Sekkuv</v>
      </c>
      <c r="AX14" s="295" t="str">
        <f>VLOOKUP(VLOOKUP($AU14,KOMBI!$A:$H,5,FALSE),data!$I$39:$J$41,2,FALSE)</f>
        <v>Sekkuv</v>
      </c>
      <c r="AY14" s="295" t="str">
        <f>VLOOKUP(VLOOKUP($AU14,KOMBI!$A:$H,4,FALSE),data!$I$32:$J$36,2,FALSE)</f>
        <v>TE</v>
      </c>
      <c r="BA14" s="25">
        <f t="array" ref="BA14">INDEX(KOMBI!$A$1:$GI$145,ROW('KSH järjestus'!BA21),MATCH('KSH järjestus'!BA$3,KOMBI!$A$1:$GI$1,0))</f>
        <v>5.5479572958573797</v>
      </c>
      <c r="BB14" s="25">
        <f t="array" ref="BB14">INDEX(KOMBI!$A$1:$GI$145,ROW('KSH järjestus'!BB21),MATCH('KSH järjestus'!BB$3,KOMBI!$A$1:$GI$1,0))</f>
        <v>226.47469583539902</v>
      </c>
      <c r="BC14" s="25">
        <f t="array" aca="1" ref="BC14" ca="1">INDEX(KOMBI!$A$1:$GI$145,ROW('KSH järjestus'!BC21),MATCH('KSH järjestus'!BC$3,KOMBI!$A$1:$GI$1,0))</f>
        <v>56.105727208434445</v>
      </c>
      <c r="BD14" s="25">
        <f t="array" ref="BD14">INDEX(KOMBI!$A$1:$GI$145,ROW('KSH järjestus'!BD21),MATCH('KSH järjestus'!BD$3,KOMBI!$A$1:$GI$1,0))</f>
        <v>-15.233219880632102</v>
      </c>
      <c r="BE14" s="25">
        <f t="array" ref="BE14">INDEX(KOMBI!$A$1:$GI$145,ROW('KSH järjestus'!BE21),MATCH('KSH järjestus'!BE$3,KOMBI!$A$1:$GI$1,0))</f>
        <v>71.338947089066551</v>
      </c>
      <c r="BF14" s="25">
        <f t="array" aca="1" ref="BF14" ca="1">INDEX(KOMBI!$A$1:$GI$145,ROW('KSH järjestus'!BF21),MATCH('KSH järjestus'!BF$3,KOMBI!$A$1:$GI$1,0))</f>
        <v>0</v>
      </c>
      <c r="BG14" s="25">
        <f t="array" ref="BG14">INDEX(KOMBI!$A$1:$GI$145,ROW('KSH järjestus'!BG21),MATCH('KSH järjestus'!BG$3,KOMBI!$A$1:$GI$1,0))</f>
        <v>0.67179876395310423</v>
      </c>
      <c r="BH14" s="25">
        <f t="array" ref="BH14">INDEX(KOMBI!$A$1:$GI$145,ROW('KSH järjestus'!BH21),MATCH('KSH järjestus'!BH$3,KOMBI!$A$1:$GI$1,0))</f>
        <v>90</v>
      </c>
      <c r="BI14" s="25">
        <f t="array" ref="BI14">INDEX(KOMBI!$A$1:$GI$145,ROW('KSH järjestus'!BI21),MATCH('KSH järjestus'!BI$3,KOMBI!$A$1:$GI$1,0))</f>
        <v>0.91028830406496797</v>
      </c>
      <c r="BJ14" s="25">
        <f t="array" ref="BJ14">INDEX(KOMBI!$A$1:$GI$145,ROW('KSH järjestus'!BJ21),MATCH('KSH järjestus'!BJ$3,KOMBI!$A$1:$GI$1,0))</f>
        <v>0.36609829488465395</v>
      </c>
      <c r="BK14" s="25">
        <f t="array" ref="BK14">INDEX(KOMBI!$A$1:$GI$145,ROW('KSH järjestus'!BK21),MATCH('KSH järjestus'!BK$3,KOMBI!$A$1:$GI$1,0))</f>
        <v>0.54033748449096464</v>
      </c>
      <c r="BL14" s="25">
        <f t="array" ref="BL14">INDEX(KOMBI!$A$1:$GI$145,ROW('KSH järjestus'!BL21),MATCH('KSH järjestus'!BL$3,KOMBI!$A$1:$GI$1,0))</f>
        <v>9.1454492610151435E-3</v>
      </c>
      <c r="BM14" s="25">
        <f t="array" ref="BM14">INDEX(KOMBI!$A$1:$GI$145,ROW('KSH järjestus'!BM21),MATCH('KSH järjestus'!BM$3,KOMBI!$A$1:$GI$1,0))</f>
        <v>-5.8565164679252376E-3</v>
      </c>
      <c r="BN14" s="25">
        <f t="array" ref="BN14">INDEX(KOMBI!$A$1:$GI$145,ROW('KSH järjestus'!BN21),MATCH('KSH järjestus'!BN$3,KOMBI!$A$1:$GI$1,0))</f>
        <v>2.2723052720774739E-3</v>
      </c>
      <c r="BO14" s="25">
        <f t="array" ref="BO14">INDEX(KOMBI!$A$1:$GI$145,ROW('KSH järjestus'!BO21),MATCH('KSH järjestus'!BO$3,KOMBI!$A$1:$GI$1,0))</f>
        <v>6.9149613087853123E-3</v>
      </c>
      <c r="BP14" s="25">
        <f t="array" ref="BP14">INDEX(KOMBI!$A$1:$GI$145,ROW('KSH järjestus'!BP21),MATCH('KSH järjestus'!BP$3,KOMBI!$A$1:$GI$1,0))</f>
        <v>8.5978313570900955</v>
      </c>
      <c r="BQ14" s="25">
        <f t="array" ref="BQ14">INDEX(KOMBI!$A$1:$GI$145,ROW('KSH järjestus'!BQ21),MATCH('KSH järjestus'!BQ$3,KOMBI!$A$1:$GI$1,0))</f>
        <v>11.039</v>
      </c>
      <c r="BR14" s="25">
        <f t="array" ref="BR14">INDEX(KOMBI!$A$1:$GI$145,ROW('KSH järjestus'!BR21),MATCH('KSH järjestus'!BR$3,KOMBI!$A$1:$GI$1,0))</f>
        <v>-1.6210921231689469E-2</v>
      </c>
      <c r="BS14" s="25">
        <f t="array" ref="BS14">INDEX(KOMBI!$A$1:$GI$145,ROW('KSH järjestus'!BS21),MATCH('KSH järjestus'!BS$3,KOMBI!$A$1:$GI$1,0))</f>
        <v>-0.13885255585624914</v>
      </c>
      <c r="BT14" s="25">
        <f t="array" ref="BT14">INDEX(KOMBI!$A$1:$GI$145,ROW('KSH järjestus'!BT21),MATCH('KSH järjestus'!BT$3,KOMBI!$A$1:$GI$1,0))</f>
        <v>-4.7885288824209588E-2</v>
      </c>
      <c r="BU14" s="25">
        <f t="array" ref="BU14">INDEX(KOMBI!$A$1:$GI$145,ROW('KSH järjestus'!BU21),MATCH('KSH järjestus'!BU$3,KOMBI!$A$1:$GI$1,0))</f>
        <v>5.889000509401181</v>
      </c>
      <c r="BV14" s="25">
        <f t="array" ref="BV14">INDEX(KOMBI!$A$1:$GI$145,ROW('KSH järjestus'!BV21),MATCH('KSH järjestus'!BV$3,KOMBI!$A$1:$GI$1,0))</f>
        <v>1.6020000000000001</v>
      </c>
      <c r="BW14" s="25">
        <f t="array" ref="BW14">INDEX(KOMBI!$A$1:$GI$145,ROW('KSH järjestus'!BW21),MATCH('KSH järjestus'!BW$3,KOMBI!$A$1:$GI$1,0))</f>
        <v>3.6801368215830603</v>
      </c>
      <c r="BX14" s="25">
        <f t="array" ref="BX14">INDEX(KOMBI!$A$1:$GI$145,ROW('KSH järjestus'!BX21),MATCH('KSH järjestus'!BX$3,KOMBI!$A$1:$GI$1,0))</f>
        <v>19.777721793242819</v>
      </c>
      <c r="BY14" s="25">
        <f t="array" ref="BY14">INDEX(KOMBI!$A$1:$GI$145,ROW('KSH järjestus'!BY21),MATCH('KSH järjestus'!BY$3,KOMBI!$A$1:$GI$1,0))</f>
        <v>7.5937453871512233</v>
      </c>
      <c r="BZ14" s="25">
        <f t="array" ref="BZ14">INDEX(KOMBI!$A$1:$GI$145,ROW('KSH järjestus'!BZ21),MATCH('KSH järjestus'!BZ$3,KOMBI!$A$1:$GI$1,0))</f>
        <v>87.4</v>
      </c>
      <c r="CA14" s="25">
        <f t="array" ref="CA14">INDEX(KOMBI!$A$1:$GI$145,ROW('KSH järjestus'!CA21),MATCH('KSH järjestus'!CA$3,KOMBI!$A$1:$GI$1,0))</f>
        <v>11.359</v>
      </c>
      <c r="CB14" s="25">
        <f t="array" ref="CB14">INDEX(KOMBI!$A$1:$GI$145,ROW('KSH järjestus'!CB21),MATCH('KSH järjestus'!CB$3,KOMBI!$A$1:$GI$1,0))</f>
        <v>46.001111111111115</v>
      </c>
      <c r="CC14" s="25">
        <f t="array" ref="CC14">INDEX(KOMBI!$A$1:$GI$145,ROW('KSH järjestus'!CC21),MATCH('KSH järjestus'!CC$3,KOMBI!$A$1:$GI$1,0))</f>
        <v>4.5846710000000002</v>
      </c>
      <c r="CD14" s="25">
        <f t="array" ref="CD14">INDEX(KOMBI!$A$1:$GI$145,ROW('KSH järjestus'!CD21),MATCH('KSH järjestus'!CD$3,KOMBI!$A$1:$GI$1,0))</f>
        <v>339.7</v>
      </c>
      <c r="CE14" s="25">
        <f t="array" ref="CE14">INDEX(KOMBI!$A$1:$GI$145,ROW('KSH järjestus'!CE21),MATCH('KSH järjestus'!CE$3,KOMBI!$A$1:$GI$1,0))</f>
        <v>3.0259999999999998</v>
      </c>
      <c r="CF14" s="25">
        <f t="array" ref="CF14">INDEX(KOMBI!$A$1:$GI$145,ROW('KSH järjestus'!CF21),MATCH('KSH järjestus'!CF$3,KOMBI!$A$1:$GI$1,0))</f>
        <v>47.328055555555551</v>
      </c>
      <c r="CG14" s="25">
        <f t="array" ref="CG14">INDEX(KOMBI!$A$1:$GI$145,ROW('KSH järjestus'!CG21),MATCH('KSH järjestus'!CG$3,KOMBI!$A$1:$GI$1,0))</f>
        <v>2.0156356925118721E-2</v>
      </c>
      <c r="CH14" s="25">
        <f t="array" ref="CH14">INDEX(KOMBI!$A$1:$GI$145,ROW('KSH järjestus'!CH21),MATCH('KSH järjestus'!CH$3,KOMBI!$A$1:$GI$1,0))</f>
        <v>0.44604055426563427</v>
      </c>
      <c r="CI14" s="25">
        <f t="array" ref="CI14">INDEX(KOMBI!$A$1:$GI$145,ROW('KSH järjestus'!CI21),MATCH('KSH järjestus'!CI$3,KOMBI!$A$1:$GI$1,0))</f>
        <v>11.370000000000001</v>
      </c>
      <c r="CJ14" s="25">
        <f t="array" ref="CJ14">INDEX(KOMBI!$A$1:$GI$145,ROW('KSH järjestus'!CJ21),MATCH('KSH järjestus'!CJ$3,KOMBI!$A$1:$GI$1,0))</f>
        <v>4.9526368215830612</v>
      </c>
      <c r="CK14" s="25">
        <f t="array" ref="CK14">INDEX(KOMBI!$A$1:$GI$145,ROW('KSH järjestus'!CK21),MATCH('KSH järjestus'!CK$3,KOMBI!$A$1:$GI$1,0))</f>
        <v>0.22900000000000001</v>
      </c>
      <c r="CL14" s="25">
        <f t="array" ref="CL14">INDEX(KOMBI!$A$1:$GI$145,ROW('KSH järjestus'!CL21),MATCH('KSH järjestus'!CL$3,KOMBI!$A$1:$GI$1,0))</f>
        <v>0.82899999999999996</v>
      </c>
    </row>
    <row r="15" spans="2:90" x14ac:dyDescent="0.2">
      <c r="C15" s="184">
        <v>12</v>
      </c>
      <c r="G15" s="25">
        <f>RANK(INDEX(KOMBI!$A$11:$GI$145,MATCH('KSH järjestus'!$C15,KOMBI!$A$11:$A$145,0),MATCH('KSH järjestus'!G$3,KOMBI!$A$1:$GI$1,0)),BD$4:BD$138,G$2)</f>
        <v>116</v>
      </c>
      <c r="H15" s="25">
        <f>RANK(INDEX(KOMBI!$A$11:$GI$145,MATCH('KSH järjestus'!$C15,KOMBI!$A$11:$A$145,0),MATCH('KSH järjestus'!H$3,KOMBI!$A$1:$GI$1,0)),BE$4:BE$138,H$2)</f>
        <v>106</v>
      </c>
      <c r="J15" s="25">
        <f>RANK(INDEX(KOMBI!$A$11:$GI$145,MATCH('KSH järjestus'!$C15,KOMBI!$A$11:$A$145,0),MATCH('KSH järjestus'!J$3,KOMBI!$A$1:$GI$1,0)),BG$4:BG$138,J$2)</f>
        <v>130</v>
      </c>
      <c r="M15" s="25">
        <f>RANK(INDEX(KOMBI!$A$11:$GI$145,MATCH('KSH järjestus'!$C15,KOMBI!$A$11:$A$145,0),MATCH('KSH järjestus'!M$3,KOMBI!$A$1:$GI$1,0)),BJ$4:BJ$138,M$2)</f>
        <v>109</v>
      </c>
      <c r="N15" s="25">
        <f>RANK(INDEX(KOMBI!$A$11:$GI$145,MATCH('KSH järjestus'!$C15,KOMBI!$A$11:$A$145,0),MATCH('KSH järjestus'!N$3,KOMBI!$A$1:$GI$1,0)),BK$4:BK$138,N$2)</f>
        <v>22</v>
      </c>
      <c r="O15" s="25">
        <f>RANK(INDEX(KOMBI!$A$11:$GI$145,MATCH('KSH järjestus'!$C15,KOMBI!$A$11:$A$145,0),MATCH('KSH järjestus'!O$3,KOMBI!$A$1:$GI$1,0)),BL$4:BL$138,O$2)</f>
        <v>84</v>
      </c>
      <c r="P15" s="25">
        <f>RANK(INDEX(KOMBI!$A$11:$GI$145,MATCH('KSH järjestus'!$C15,KOMBI!$A$11:$A$145,0),MATCH('KSH järjestus'!P$3,KOMBI!$A$1:$GI$1,0)),BM$4:BM$138,P$2)</f>
        <v>116</v>
      </c>
      <c r="Q15" s="25">
        <f>RANK(INDEX(KOMBI!$A$11:$GI$145,MATCH('KSH järjestus'!$C15,KOMBI!$A$11:$A$145,0),MATCH('KSH järjestus'!Q$3,KOMBI!$A$1:$GI$1,0)),BN$4:BN$138,Q$2)</f>
        <v>73</v>
      </c>
      <c r="R15" s="25">
        <f>RANK(INDEX(KOMBI!$A$11:$GI$145,MATCH('KSH järjestus'!$C15,KOMBI!$A$11:$A$145,0),MATCH('KSH järjestus'!R$3,KOMBI!$A$1:$GI$1,0)),BO$4:BO$138,R$2)</f>
        <v>84</v>
      </c>
      <c r="T15" s="25">
        <f>RANK(INDEX(KOMBI!$A$11:$GI$145,MATCH('KSH järjestus'!$C15,KOMBI!$A$11:$A$145,0),MATCH('KSH järjestus'!T$3,KOMBI!$A$1:$GI$1,0)),BQ$4:BQ$138,T$2)</f>
        <v>105</v>
      </c>
      <c r="U15" s="25">
        <f>RANK(INDEX(KOMBI!$A$11:$GI$145,MATCH('KSH järjestus'!$C15,KOMBI!$A$11:$A$145,0),MATCH('KSH järjestus'!U$3,KOMBI!$A$1:$GI$1,0)),BR$4:BR$138,U$2)</f>
        <v>101</v>
      </c>
      <c r="AA15" s="25">
        <f>RANK(INDEX(KOMBI!$A$11:$GI$145,MATCH('KSH järjestus'!$C15,KOMBI!$A$11:$A$145,0),MATCH('KSH järjestus'!AA$3,KOMBI!$A$1:$GI$1,0)),BX$4:BX$138,AA$2)</f>
        <v>97</v>
      </c>
      <c r="AB15" s="25">
        <f>RANK(INDEX(KOMBI!$A$11:$GI$145,MATCH('KSH järjestus'!$C15,KOMBI!$A$11:$A$145,0),MATCH('KSH järjestus'!AB$3,KOMBI!$A$1:$GI$1,0)),BY$4:BY$138,AB$2)</f>
        <v>25</v>
      </c>
      <c r="AC15" s="25">
        <f>RANK(INDEX(KOMBI!$A$11:$GI$145,MATCH('KSH järjestus'!$C15,KOMBI!$A$11:$A$145,0),MATCH('KSH järjestus'!AC$3,KOMBI!$A$1:$GI$1,0)),BZ$4:BZ$138,AC$2)</f>
        <v>108</v>
      </c>
      <c r="AD15" s="25">
        <f>RANK(INDEX(KOMBI!$A$11:$GI$145,MATCH('KSH järjestus'!$C15,KOMBI!$A$11:$A$145,0),MATCH('KSH järjestus'!AD$3,KOMBI!$A$1:$GI$1,0)),CA$4:CA$138,AD$2)</f>
        <v>27</v>
      </c>
      <c r="AE15" s="25">
        <f>RANK(INDEX(KOMBI!$A$11:$GI$145,MATCH('KSH järjestus'!$C15,KOMBI!$A$11:$A$145,0),MATCH('KSH järjestus'!AE$3,KOMBI!$A$1:$GI$1,0)),CB$4:CB$138,AE$2)</f>
        <v>27</v>
      </c>
      <c r="AG15" s="25">
        <f>RANK(INDEX(KOMBI!$A$11:$GI$145,MATCH('KSH järjestus'!$C15,KOMBI!$A$11:$A$145,0),MATCH('KSH järjestus'!AG$3,KOMBI!$A$1:$GI$1,0)),CD$4:CD$138,AG$2)</f>
        <v>133</v>
      </c>
      <c r="AH15" s="25">
        <f>RANK(INDEX(KOMBI!$A$11:$GI$145,MATCH('KSH järjestus'!$C15,KOMBI!$A$11:$A$145,0),MATCH('KSH järjestus'!AH$3,KOMBI!$A$1:$GI$1,0)),CE$4:CE$138,AH$2)</f>
        <v>91</v>
      </c>
      <c r="AI15" s="25">
        <f>RANK(INDEX(KOMBI!$A$11:$GI$145,MATCH('KSH järjestus'!$C15,KOMBI!$A$11:$A$145,0),MATCH('KSH järjestus'!AI$3,KOMBI!$A$1:$GI$1,0)),CF$4:CF$138,AI$2)</f>
        <v>52</v>
      </c>
      <c r="AJ15" s="25">
        <f>RANK(INDEX(KOMBI!$A$11:$GI$145,MATCH('KSH järjestus'!$C15,KOMBI!$A$11:$A$145,0),MATCH('KSH järjestus'!AJ$3,KOMBI!$A$1:$GI$1,0)),CG$4:CG$138,AJ$2)</f>
        <v>124</v>
      </c>
      <c r="AK15" s="25">
        <f>RANK(INDEX(KOMBI!$A$11:$GI$145,MATCH('KSH järjestus'!$C15,KOMBI!$A$11:$A$145,0),MATCH('KSH järjestus'!AK$3,KOMBI!$A$1:$GI$1,0)),CH$4:CH$138,AK$2)</f>
        <v>49</v>
      </c>
      <c r="AN15" s="25">
        <f>RANK(INDEX(KOMBI!$A$11:$GI$145,MATCH('KSH järjestus'!$C15,KOMBI!$A$11:$A$145,0),MATCH('KSH järjestus'!AN$3,KOMBI!$A$1:$GI$1,0)),CK$4:CK$138,AN$2)</f>
        <v>91</v>
      </c>
      <c r="AO15" s="25">
        <f>RANK(INDEX(KOMBI!$A$11:$GI$145,MATCH('KSH järjestus'!$C15,KOMBI!$A$11:$A$145,0),MATCH('KSH järjestus'!AO$3,KOMBI!$A$1:$GI$1,0)),CL$4:CL$138,AO$2)</f>
        <v>91</v>
      </c>
      <c r="AS15" s="297">
        <f t="shared" si="0"/>
        <v>1961</v>
      </c>
      <c r="AT15" s="25">
        <f t="shared" si="1"/>
        <v>742</v>
      </c>
      <c r="AU15" s="25">
        <f t="shared" si="2"/>
        <v>117</v>
      </c>
      <c r="AV15" s="295" t="str">
        <f>VLOOKUP(VLOOKUP($AU15,KOMBI!$A:$H,3,FALSE),data!$I$27:$J$29,2,FALSE)</f>
        <v>Vähe-sekkuv</v>
      </c>
      <c r="AW15" s="295" t="str">
        <f>VLOOKUP(VLOOKUP($AU15,KOMBI!$A:$H,2,FALSE),data!$I$21:$J$23,2,FALSE)</f>
        <v>Sekkuv</v>
      </c>
      <c r="AX15" s="295" t="str">
        <f>VLOOKUP(VLOOKUP($AU15,KOMBI!$A:$H,5,FALSE),data!$I$39:$J$41,2,FALSE)</f>
        <v>Sekkuv</v>
      </c>
      <c r="AY15" s="295" t="str">
        <f>VLOOKUP(VLOOKUP($AU15,KOMBI!$A:$H,4,FALSE),data!$I$32:$J$36,2,FALSE)</f>
        <v>TE++</v>
      </c>
      <c r="BA15" s="25">
        <f t="array" ref="BA15">INDEX(KOMBI!$A$1:$GI$145,ROW('KSH järjestus'!BA22),MATCH('KSH järjestus'!BA$3,KOMBI!$A$1:$GI$1,0))</f>
        <v>6.4530570180989058</v>
      </c>
      <c r="BB15" s="25">
        <f t="array" ref="BB15">INDEX(KOMBI!$A$1:$GI$145,ROW('KSH järjestus'!BB22),MATCH('KSH järjestus'!BB$3,KOMBI!$A$1:$GI$1,0))</f>
        <v>343.08548685287832</v>
      </c>
      <c r="BC15" s="25">
        <f t="array" aca="1" ref="BC15" ca="1">INDEX(KOMBI!$A$1:$GI$145,ROW('KSH järjestus'!BC22),MATCH('KSH järjestus'!BC$3,KOMBI!$A$1:$GI$1,0))</f>
        <v>72.660141567519389</v>
      </c>
      <c r="BD15" s="25">
        <f t="array" ref="BD15">INDEX(KOMBI!$A$1:$GI$145,ROW('KSH järjestus'!BD22),MATCH('KSH järjestus'!BD$3,KOMBI!$A$1:$GI$1,0))</f>
        <v>-34.340813699091036</v>
      </c>
      <c r="BE15" s="25">
        <f t="array" ref="BE15">INDEX(KOMBI!$A$1:$GI$145,ROW('KSH järjestus'!BE22),MATCH('KSH järjestus'!BE$3,KOMBI!$A$1:$GI$1,0))</f>
        <v>107.00095526661042</v>
      </c>
      <c r="BF15" s="25">
        <f t="array" aca="1" ref="BF15" ca="1">INDEX(KOMBI!$A$1:$GI$145,ROW('KSH järjestus'!BF22),MATCH('KSH järjestus'!BF$3,KOMBI!$A$1:$GI$1,0))</f>
        <v>0</v>
      </c>
      <c r="BG15" s="25">
        <f t="array" ref="BG15">INDEX(KOMBI!$A$1:$GI$145,ROW('KSH järjestus'!BG22),MATCH('KSH järjestus'!BG$3,KOMBI!$A$1:$GI$1,0))</f>
        <v>0.67179876395310423</v>
      </c>
      <c r="BH15" s="25">
        <f t="array" ref="BH15">INDEX(KOMBI!$A$1:$GI$145,ROW('KSH järjestus'!BH22),MATCH('KSH järjestus'!BH$3,KOMBI!$A$1:$GI$1,0))</f>
        <v>90</v>
      </c>
      <c r="BI15" s="25">
        <f t="array" ref="BI15">INDEX(KOMBI!$A$1:$GI$145,ROW('KSH järjestus'!BI22),MATCH('KSH järjestus'!BI$3,KOMBI!$A$1:$GI$1,0))</f>
        <v>0.91028830406496786</v>
      </c>
      <c r="BJ15" s="25">
        <f t="array" ref="BJ15">INDEX(KOMBI!$A$1:$GI$145,ROW('KSH järjestus'!BJ22),MATCH('KSH järjestus'!BJ$3,KOMBI!$A$1:$GI$1,0))</f>
        <v>0.36609829488465395</v>
      </c>
      <c r="BK15" s="25">
        <f t="array" ref="BK15">INDEX(KOMBI!$A$1:$GI$145,ROW('KSH järjestus'!BK22),MATCH('KSH järjestus'!BK$3,KOMBI!$A$1:$GI$1,0))</f>
        <v>0.54033748449096464</v>
      </c>
      <c r="BL15" s="25">
        <f t="array" ref="BL15">INDEX(KOMBI!$A$1:$GI$145,ROW('KSH järjestus'!BL22),MATCH('KSH järjestus'!BL$3,KOMBI!$A$1:$GI$1,0))</f>
        <v>1.3796504639261662E-2</v>
      </c>
      <c r="BM15" s="25">
        <f t="array" ref="BM15">INDEX(KOMBI!$A$1:$GI$145,ROW('KSH järjestus'!BM22),MATCH('KSH järjestus'!BM$3,KOMBI!$A$1:$GI$1,0))</f>
        <v>-5.8437507408838508E-3</v>
      </c>
      <c r="BN15" s="25">
        <f t="array" ref="BN15">INDEX(KOMBI!$A$1:$GI$145,ROW('KSH järjestus'!BN22),MATCH('KSH järjestus'!BN$3,KOMBI!$A$1:$GI$1,0))</f>
        <v>3.6030951081242046E-3</v>
      </c>
      <c r="BO15" s="25">
        <f t="array" ref="BO15">INDEX(KOMBI!$A$1:$GI$145,ROW('KSH järjestus'!BO22),MATCH('KSH järjestus'!BO$3,KOMBI!$A$1:$GI$1,0))</f>
        <v>1.0308824756950167E-2</v>
      </c>
      <c r="BP15" s="25">
        <f t="array" ref="BP15">INDEX(KOMBI!$A$1:$GI$145,ROW('KSH järjestus'!BP22),MATCH('KSH järjestus'!BP$3,KOMBI!$A$1:$GI$1,0))</f>
        <v>8.5978313570900955</v>
      </c>
      <c r="BQ15" s="25">
        <f t="array" ref="BQ15">INDEX(KOMBI!$A$1:$GI$145,ROW('KSH järjestus'!BQ22),MATCH('KSH järjestus'!BQ$3,KOMBI!$A$1:$GI$1,0))</f>
        <v>11.263</v>
      </c>
      <c r="BR15" s="25">
        <f t="array" ref="BR15">INDEX(KOMBI!$A$1:$GI$145,ROW('KSH järjestus'!BR22),MATCH('KSH järjestus'!BR$3,KOMBI!$A$1:$GI$1,0))</f>
        <v>-1.2231434101243572E-2</v>
      </c>
      <c r="BS15" s="25">
        <f t="array" ref="BS15">INDEX(KOMBI!$A$1:$GI$145,ROW('KSH järjestus'!BS22),MATCH('KSH järjestus'!BS$3,KOMBI!$A$1:$GI$1,0))</f>
        <v>-0.1375933959399607</v>
      </c>
      <c r="BT15" s="25">
        <f t="array" ref="BT15">INDEX(KOMBI!$A$1:$GI$145,ROW('KSH järjestus'!BT22),MATCH('KSH järjestus'!BT$3,KOMBI!$A$1:$GI$1,0))</f>
        <v>-4.6424569850983331E-2</v>
      </c>
      <c r="BU15" s="25">
        <f t="array" ref="BU15">INDEX(KOMBI!$A$1:$GI$145,ROW('KSH järjestus'!BU22),MATCH('KSH järjestus'!BU$3,KOMBI!$A$1:$GI$1,0))</f>
        <v>5.889000509401181</v>
      </c>
      <c r="BV15" s="25">
        <f t="array" ref="BV15">INDEX(KOMBI!$A$1:$GI$145,ROW('KSH järjestus'!BV22),MATCH('KSH järjestus'!BV$3,KOMBI!$A$1:$GI$1,0))</f>
        <v>1.6020000000000001</v>
      </c>
      <c r="BW15" s="25">
        <f t="array" ref="BW15">INDEX(KOMBI!$A$1:$GI$145,ROW('KSH järjestus'!BW22),MATCH('KSH järjestus'!BW$3,KOMBI!$A$1:$GI$1,0))</f>
        <v>3.8888368215830607</v>
      </c>
      <c r="BX15" s="25">
        <f t="array" ref="BX15">INDEX(KOMBI!$A$1:$GI$145,ROW('KSH järjestus'!BX22),MATCH('KSH järjestus'!BX$3,KOMBI!$A$1:$GI$1,0))</f>
        <v>19.777721793242819</v>
      </c>
      <c r="BY15" s="25">
        <f t="array" ref="BY15">INDEX(KOMBI!$A$1:$GI$145,ROW('KSH järjestus'!BY22),MATCH('KSH järjestus'!BY$3,KOMBI!$A$1:$GI$1,0))</f>
        <v>7.5937453871512233</v>
      </c>
      <c r="BZ15" s="25">
        <f t="array" ref="BZ15">INDEX(KOMBI!$A$1:$GI$145,ROW('KSH järjestus'!BZ22),MATCH('KSH järjestus'!BZ$3,KOMBI!$A$1:$GI$1,0))</f>
        <v>89</v>
      </c>
      <c r="CA15" s="25">
        <f t="array" ref="CA15">INDEX(KOMBI!$A$1:$GI$145,ROW('KSH järjestus'!CA22),MATCH('KSH järjestus'!CA$3,KOMBI!$A$1:$GI$1,0))</f>
        <v>11.611000000000001</v>
      </c>
      <c r="CB15" s="25">
        <f t="array" ref="CB15">INDEX(KOMBI!$A$1:$GI$145,ROW('KSH järjestus'!CB22),MATCH('KSH järjestus'!CB$3,KOMBI!$A$1:$GI$1,0))</f>
        <v>46.909166666666664</v>
      </c>
      <c r="CC15" s="25">
        <f t="array" ref="CC15">INDEX(KOMBI!$A$1:$GI$145,ROW('KSH järjestus'!CC22),MATCH('KSH järjestus'!CC$3,KOMBI!$A$1:$GI$1,0))</f>
        <v>4.6780160000000004</v>
      </c>
      <c r="CD15" s="25">
        <f t="array" ref="CD15">INDEX(KOMBI!$A$1:$GI$145,ROW('KSH järjestus'!CD22),MATCH('KSH järjestus'!CD$3,KOMBI!$A$1:$GI$1,0))</f>
        <v>339.7</v>
      </c>
      <c r="CE15" s="25">
        <f t="array" ref="CE15">INDEX(KOMBI!$A$1:$GI$145,ROW('KSH järjestus'!CE22),MATCH('KSH järjestus'!CE$3,KOMBI!$A$1:$GI$1,0))</f>
        <v>3.0259999999999998</v>
      </c>
      <c r="CF15" s="25">
        <f t="array" ref="CF15">INDEX(KOMBI!$A$1:$GI$145,ROW('KSH järjestus'!CF22),MATCH('KSH järjestus'!CF$3,KOMBI!$A$1:$GI$1,0))</f>
        <v>47.328055555555551</v>
      </c>
      <c r="CG15" s="25">
        <f t="array" ref="CG15">INDEX(KOMBI!$A$1:$GI$145,ROW('KSH järjestus'!CG22),MATCH('KSH järjestus'!CG$3,KOMBI!$A$1:$GI$1,0))</f>
        <v>2.0156356925118721E-2</v>
      </c>
      <c r="CH15" s="25">
        <f t="array" ref="CH15">INDEX(KOMBI!$A$1:$GI$145,ROW('KSH järjestus'!CH22),MATCH('KSH järjestus'!CH$3,KOMBI!$A$1:$GI$1,0))</f>
        <v>0.44604055426563427</v>
      </c>
      <c r="CI15" s="25">
        <f t="array" ref="CI15">INDEX(KOMBI!$A$1:$GI$145,ROW('KSH järjestus'!CI22),MATCH('KSH järjestus'!CI$3,KOMBI!$A$1:$GI$1,0))</f>
        <v>11.370000000000001</v>
      </c>
      <c r="CJ15" s="25">
        <f t="array" ref="CJ15">INDEX(KOMBI!$A$1:$GI$145,ROW('KSH järjestus'!CJ22),MATCH('KSH järjestus'!CJ$3,KOMBI!$A$1:$GI$1,0))</f>
        <v>4.9526368215830612</v>
      </c>
      <c r="CK15" s="25">
        <f t="array" ref="CK15">INDEX(KOMBI!$A$1:$GI$145,ROW('KSH järjestus'!CK22),MATCH('KSH järjestus'!CK$3,KOMBI!$A$1:$GI$1,0))</f>
        <v>0.22900000000000001</v>
      </c>
      <c r="CL15" s="25">
        <f t="array" ref="CL15">INDEX(KOMBI!$A$1:$GI$145,ROW('KSH järjestus'!CL22),MATCH('KSH järjestus'!CL$3,KOMBI!$A$1:$GI$1,0))</f>
        <v>0.82899999999999996</v>
      </c>
    </row>
    <row r="16" spans="2:90" x14ac:dyDescent="0.2">
      <c r="C16" s="184">
        <v>13</v>
      </c>
      <c r="G16" s="25">
        <f>RANK(INDEX(KOMBI!$A$11:$GI$145,MATCH('KSH järjestus'!$C16,KOMBI!$A$11:$A$145,0),MATCH('KSH järjestus'!G$3,KOMBI!$A$1:$GI$1,0)),BD$4:BD$138,G$2)</f>
        <v>131</v>
      </c>
      <c r="H16" s="25">
        <f>RANK(INDEX(KOMBI!$A$11:$GI$145,MATCH('KSH järjestus'!$C16,KOMBI!$A$11:$A$145,0),MATCH('KSH järjestus'!H$3,KOMBI!$A$1:$GI$1,0)),BE$4:BE$138,H$2)</f>
        <v>96</v>
      </c>
      <c r="J16" s="25">
        <f>RANK(INDEX(KOMBI!$A$11:$GI$145,MATCH('KSH järjestus'!$C16,KOMBI!$A$11:$A$145,0),MATCH('KSH järjestus'!J$3,KOMBI!$A$1:$GI$1,0)),BG$4:BG$138,J$2)</f>
        <v>27</v>
      </c>
      <c r="M16" s="25">
        <f>RANK(INDEX(KOMBI!$A$11:$GI$145,MATCH('KSH järjestus'!$C16,KOMBI!$A$11:$A$145,0),MATCH('KSH järjestus'!M$3,KOMBI!$A$1:$GI$1,0)),BJ$4:BJ$138,M$2)</f>
        <v>1</v>
      </c>
      <c r="N16" s="25">
        <f>RANK(INDEX(KOMBI!$A$11:$GI$145,MATCH('KSH järjestus'!$C16,KOMBI!$A$11:$A$145,0),MATCH('KSH järjestus'!N$3,KOMBI!$A$1:$GI$1,0)),BK$4:BK$138,N$2)</f>
        <v>127</v>
      </c>
      <c r="O16" s="25">
        <f>RANK(INDEX(KOMBI!$A$11:$GI$145,MATCH('KSH järjestus'!$C16,KOMBI!$A$11:$A$145,0),MATCH('KSH järjestus'!O$3,KOMBI!$A$1:$GI$1,0)),BL$4:BL$138,O$2)</f>
        <v>59</v>
      </c>
      <c r="P16" s="25">
        <f>RANK(INDEX(KOMBI!$A$11:$GI$145,MATCH('KSH järjestus'!$C16,KOMBI!$A$11:$A$145,0),MATCH('KSH järjestus'!P$3,KOMBI!$A$1:$GI$1,0)),BM$4:BM$138,P$2)</f>
        <v>35</v>
      </c>
      <c r="Q16" s="25">
        <f>RANK(INDEX(KOMBI!$A$11:$GI$145,MATCH('KSH järjestus'!$C16,KOMBI!$A$11:$A$145,0),MATCH('KSH järjestus'!Q$3,KOMBI!$A$1:$GI$1,0)),BN$4:BN$138,Q$2)</f>
        <v>24</v>
      </c>
      <c r="R16" s="25">
        <f>RANK(INDEX(KOMBI!$A$11:$GI$145,MATCH('KSH järjestus'!$C16,KOMBI!$A$11:$A$145,0),MATCH('KSH järjestus'!R$3,KOMBI!$A$1:$GI$1,0)),BO$4:BO$138,R$2)</f>
        <v>104</v>
      </c>
      <c r="T16" s="25">
        <f>RANK(INDEX(KOMBI!$A$11:$GI$145,MATCH('KSH järjestus'!$C16,KOMBI!$A$11:$A$145,0),MATCH('KSH järjestus'!T$3,KOMBI!$A$1:$GI$1,0)),BQ$4:BQ$138,T$2)</f>
        <v>133</v>
      </c>
      <c r="U16" s="25">
        <f>RANK(INDEX(KOMBI!$A$11:$GI$145,MATCH('KSH järjestus'!$C16,KOMBI!$A$11:$A$145,0),MATCH('KSH järjestus'!U$3,KOMBI!$A$1:$GI$1,0)),BR$4:BR$138,U$2)</f>
        <v>133</v>
      </c>
      <c r="AA16" s="25">
        <f>RANK(INDEX(KOMBI!$A$11:$GI$145,MATCH('KSH järjestus'!$C16,KOMBI!$A$11:$A$145,0),MATCH('KSH järjestus'!AA$3,KOMBI!$A$1:$GI$1,0)),BX$4:BX$138,AA$2)</f>
        <v>133</v>
      </c>
      <c r="AB16" s="25">
        <f>RANK(INDEX(KOMBI!$A$11:$GI$145,MATCH('KSH järjestus'!$C16,KOMBI!$A$11:$A$145,0),MATCH('KSH järjestus'!AB$3,KOMBI!$A$1:$GI$1,0)),BY$4:BY$138,AB$2)</f>
        <v>133</v>
      </c>
      <c r="AC16" s="25">
        <f>RANK(INDEX(KOMBI!$A$11:$GI$145,MATCH('KSH järjestus'!$C16,KOMBI!$A$11:$A$145,0),MATCH('KSH järjestus'!AC$3,KOMBI!$A$1:$GI$1,0)),BZ$4:BZ$138,AC$2)</f>
        <v>133</v>
      </c>
      <c r="AD16" s="25">
        <f>RANK(INDEX(KOMBI!$A$11:$GI$145,MATCH('KSH järjestus'!$C16,KOMBI!$A$11:$A$145,0),MATCH('KSH järjestus'!AD$3,KOMBI!$A$1:$GI$1,0)),CA$4:CA$138,AD$2)</f>
        <v>133</v>
      </c>
      <c r="AE16" s="25">
        <f>RANK(INDEX(KOMBI!$A$11:$GI$145,MATCH('KSH järjestus'!$C16,KOMBI!$A$11:$A$145,0),MATCH('KSH järjestus'!AE$3,KOMBI!$A$1:$GI$1,0)),CB$4:CB$138,AE$2)</f>
        <v>133</v>
      </c>
      <c r="AG16" s="25">
        <f>RANK(INDEX(KOMBI!$A$11:$GI$145,MATCH('KSH järjestus'!$C16,KOMBI!$A$11:$A$145,0),MATCH('KSH järjestus'!AG$3,KOMBI!$A$1:$GI$1,0)),CD$4:CD$138,AG$2)</f>
        <v>121</v>
      </c>
      <c r="AH16" s="25">
        <f>RANK(INDEX(KOMBI!$A$11:$GI$145,MATCH('KSH järjestus'!$C16,KOMBI!$A$11:$A$145,0),MATCH('KSH järjestus'!AH$3,KOMBI!$A$1:$GI$1,0)),CE$4:CE$138,AH$2)</f>
        <v>91</v>
      </c>
      <c r="AI16" s="25">
        <f>RANK(INDEX(KOMBI!$A$11:$GI$145,MATCH('KSH järjestus'!$C16,KOMBI!$A$11:$A$145,0),MATCH('KSH järjestus'!AI$3,KOMBI!$A$1:$GI$1,0)),CF$4:CF$138,AI$2)</f>
        <v>133</v>
      </c>
      <c r="AJ16" s="25">
        <f>RANK(INDEX(KOMBI!$A$11:$GI$145,MATCH('KSH järjestus'!$C16,KOMBI!$A$11:$A$145,0),MATCH('KSH järjestus'!AJ$3,KOMBI!$A$1:$GI$1,0)),CG$4:CG$138,AJ$2)</f>
        <v>124</v>
      </c>
      <c r="AK16" s="25">
        <f>RANK(INDEX(KOMBI!$A$11:$GI$145,MATCH('KSH järjestus'!$C16,KOMBI!$A$11:$A$145,0),MATCH('KSH järjestus'!AK$3,KOMBI!$A$1:$GI$1,0)),CH$4:CH$138,AK$2)</f>
        <v>109</v>
      </c>
      <c r="AN16" s="25">
        <f>RANK(INDEX(KOMBI!$A$11:$GI$145,MATCH('KSH järjestus'!$C16,KOMBI!$A$11:$A$145,0),MATCH('KSH järjestus'!AN$3,KOMBI!$A$1:$GI$1,0)),CK$4:CK$138,AN$2)</f>
        <v>91</v>
      </c>
      <c r="AO16" s="25">
        <f>RANK(INDEX(KOMBI!$A$11:$GI$145,MATCH('KSH järjestus'!$C16,KOMBI!$A$11:$A$145,0),MATCH('KSH järjestus'!AO$3,KOMBI!$A$1:$GI$1,0)),CL$4:CL$138,AO$2)</f>
        <v>91</v>
      </c>
      <c r="AS16" s="297">
        <f t="shared" si="0"/>
        <v>2295</v>
      </c>
      <c r="AT16" s="25">
        <f t="shared" si="1"/>
        <v>768</v>
      </c>
      <c r="AU16" s="25">
        <f t="shared" si="2"/>
        <v>113</v>
      </c>
      <c r="AV16" s="295" t="str">
        <f>VLOOKUP(VLOOKUP($AU16,KOMBI!$A:$H,3,FALSE),data!$I$27:$J$29,2,FALSE)</f>
        <v>Vähe-sekkuv</v>
      </c>
      <c r="AW16" s="295" t="str">
        <f>VLOOKUP(VLOOKUP($AU16,KOMBI!$A:$H,2,FALSE),data!$I$21:$J$23,2,FALSE)</f>
        <v>Sekkuv</v>
      </c>
      <c r="AX16" s="295" t="str">
        <f>VLOOKUP(VLOOKUP($AU16,KOMBI!$A:$H,5,FALSE),data!$I$39:$J$41,2,FALSE)</f>
        <v>Vähe-sekkuv</v>
      </c>
      <c r="AY16" s="295" t="str">
        <f>VLOOKUP(VLOOKUP($AU16,KOMBI!$A:$H,4,FALSE),data!$I$32:$J$36,2,FALSE)</f>
        <v>TE</v>
      </c>
      <c r="BA16" s="25">
        <f t="array" ref="BA16">INDEX(KOMBI!$A$1:$GI$145,ROW('KSH järjestus'!BA23),MATCH('KSH järjestus'!BA$3,KOMBI!$A$1:$GI$1,0))</f>
        <v>1.6407273675000287</v>
      </c>
      <c r="BB16" s="25">
        <f t="array" ref="BB16">INDEX(KOMBI!$A$1:$GI$145,ROW('KSH järjestus'!BB23),MATCH('KSH järjestus'!BB$3,KOMBI!$A$1:$GI$1,0))</f>
        <v>486.20813825993793</v>
      </c>
      <c r="BC16" s="25">
        <f t="array" aca="1" ref="BC16" ca="1">INDEX(KOMBI!$A$1:$GI$145,ROW('KSH järjestus'!BC23),MATCH('KSH järjestus'!BC$3,KOMBI!$A$1:$GI$1,0))</f>
        <v>119.77822597562084</v>
      </c>
      <c r="BD16" s="25">
        <f t="array" ref="BD16">INDEX(KOMBI!$A$1:$GI$145,ROW('KSH järjestus'!BD23),MATCH('KSH järjestus'!BD$3,KOMBI!$A$1:$GI$1,0))</f>
        <v>0</v>
      </c>
      <c r="BE16" s="25">
        <f t="array" ref="BE16">INDEX(KOMBI!$A$1:$GI$145,ROW('KSH järjestus'!BE23),MATCH('KSH järjestus'!BE$3,KOMBI!$A$1:$GI$1,0))</f>
        <v>119.77822597562084</v>
      </c>
      <c r="BF16" s="25">
        <f t="array" aca="1" ref="BF16" ca="1">INDEX(KOMBI!$A$1:$GI$145,ROW('KSH järjestus'!BF23),MATCH('KSH järjestus'!BF$3,KOMBI!$A$1:$GI$1,0))</f>
        <v>0</v>
      </c>
      <c r="BG16" s="25">
        <f t="array" ref="BG16">INDEX(KOMBI!$A$1:$GI$145,ROW('KSH järjestus'!BG23),MATCH('KSH järjestus'!BG$3,KOMBI!$A$1:$GI$1,0))</f>
        <v>0.36814396550513301</v>
      </c>
      <c r="BH16" s="25">
        <f t="array" ref="BH16">INDEX(KOMBI!$A$1:$GI$145,ROW('KSH järjestus'!BH23),MATCH('KSH järjestus'!BH$3,KOMBI!$A$1:$GI$1,0))</f>
        <v>90</v>
      </c>
      <c r="BI16" s="25">
        <f t="array" ref="BI16">INDEX(KOMBI!$A$1:$GI$145,ROW('KSH järjestus'!BI23),MATCH('KSH järjestus'!BI$3,KOMBI!$A$1:$GI$1,0))</f>
        <v>1</v>
      </c>
      <c r="BJ16" s="25">
        <f t="array" ref="BJ16">INDEX(KOMBI!$A$1:$GI$145,ROW('KSH järjestus'!BJ23),MATCH('KSH järjestus'!BJ$3,KOMBI!$A$1:$GI$1,0))</f>
        <v>0</v>
      </c>
      <c r="BK16" s="25">
        <f t="array" ref="BK16">INDEX(KOMBI!$A$1:$GI$145,ROW('KSH järjestus'!BK23),MATCH('KSH järjestus'!BK$3,KOMBI!$A$1:$GI$1,0))</f>
        <v>0.24395733301707928</v>
      </c>
      <c r="BL16" s="25">
        <f t="array" ref="BL16">INDEX(KOMBI!$A$1:$GI$145,ROW('KSH järjestus'!BL23),MATCH('KSH järjestus'!BL$3,KOMBI!$A$1:$GI$1,0))</f>
        <v>1.7847736432563193E-2</v>
      </c>
      <c r="BM16" s="25">
        <f t="array" ref="BM16">INDEX(KOMBI!$A$1:$GI$145,ROW('KSH järjestus'!BM23),MATCH('KSH järjestus'!BM$3,KOMBI!$A$1:$GI$1,0))</f>
        <v>5.1658898578553249E-3</v>
      </c>
      <c r="BN16" s="25">
        <f t="array" ref="BN16">INDEX(KOMBI!$A$1:$GI$145,ROW('KSH järjestus'!BN23),MATCH('KSH järjestus'!BN$3,KOMBI!$A$1:$GI$1,0))</f>
        <v>9.5180893431195679E-3</v>
      </c>
      <c r="BO16" s="25">
        <f t="array" ref="BO16">INDEX(KOMBI!$A$1:$GI$145,ROW('KSH järjestus'!BO23),MATCH('KSH järjestus'!BO$3,KOMBI!$A$1:$GI$1,0))</f>
        <v>8.6130861372077025E-3</v>
      </c>
      <c r="BP16" s="25">
        <f t="array" ref="BP16">INDEX(KOMBI!$A$1:$GI$145,ROW('KSH järjestus'!BP23),MATCH('KSH järjestus'!BP$3,KOMBI!$A$1:$GI$1,0))</f>
        <v>8.5139896156049168</v>
      </c>
      <c r="BQ16" s="25">
        <f t="array" ref="BQ16">INDEX(KOMBI!$A$1:$GI$145,ROW('KSH järjestus'!BQ23),MATCH('KSH järjestus'!BQ$3,KOMBI!$A$1:$GI$1,0))</f>
        <v>12.446</v>
      </c>
      <c r="BR16" s="25">
        <f t="array" ref="BR16">INDEX(KOMBI!$A$1:$GI$145,ROW('KSH järjestus'!BR23),MATCH('KSH järjestus'!BR$3,KOMBI!$A$1:$GI$1,0))</f>
        <v>9.81009517832457E-3</v>
      </c>
      <c r="BS16" s="25">
        <f t="array" ref="BS16">INDEX(KOMBI!$A$1:$GI$145,ROW('KSH järjestus'!BS23),MATCH('KSH järjestus'!BS$3,KOMBI!$A$1:$GI$1,0))</f>
        <v>8.820364857878267E-2</v>
      </c>
      <c r="BT16" s="25">
        <f t="array" ref="BT16">INDEX(KOMBI!$A$1:$GI$145,ROW('KSH järjestus'!BT23),MATCH('KSH järjestus'!BT$3,KOMBI!$A$1:$GI$1,0))</f>
        <v>9.4910950897915763E-2</v>
      </c>
      <c r="BU16" s="25">
        <f t="array" ref="BU16">INDEX(KOMBI!$A$1:$GI$145,ROW('KSH järjestus'!BU23),MATCH('KSH järjestus'!BU$3,KOMBI!$A$1:$GI$1,0))</f>
        <v>12.898233270393458</v>
      </c>
      <c r="BV16" s="25">
        <f t="array" ref="BV16">INDEX(KOMBI!$A$1:$GI$145,ROW('KSH järjestus'!BV23),MATCH('KSH järjestus'!BV$3,KOMBI!$A$1:$GI$1,0))</f>
        <v>6.3289999999999997</v>
      </c>
      <c r="BW16" s="25">
        <f t="array" ref="BW16">INDEX(KOMBI!$A$1:$GI$145,ROW('KSH järjestus'!BW23),MATCH('KSH järjestus'!BW$3,KOMBI!$A$1:$GI$1,0))</f>
        <v>3.3026368215830604</v>
      </c>
      <c r="BX16" s="25">
        <f t="array" ref="BX16">INDEX(KOMBI!$A$1:$GI$145,ROW('KSH järjestus'!BX23),MATCH('KSH järjestus'!BX$3,KOMBI!$A$1:$GI$1,0))</f>
        <v>24.675999999999998</v>
      </c>
      <c r="BY16" s="25">
        <f t="array" ref="BY16">INDEX(KOMBI!$A$1:$GI$145,ROW('KSH järjestus'!BY23),MATCH('KSH järjestus'!BY$3,KOMBI!$A$1:$GI$1,0))</f>
        <v>39.425716140171815</v>
      </c>
      <c r="BZ16" s="25">
        <f t="array" ref="BZ16">INDEX(KOMBI!$A$1:$GI$145,ROW('KSH järjestus'!BZ23),MATCH('KSH järjestus'!BZ$3,KOMBI!$A$1:$GI$1,0))</f>
        <v>103</v>
      </c>
      <c r="CA16" s="25">
        <f t="array" ref="CA16">INDEX(KOMBI!$A$1:$GI$145,ROW('KSH järjestus'!CA23),MATCH('KSH järjestus'!CA$3,KOMBI!$A$1:$GI$1,0))</f>
        <v>17.931000000000001</v>
      </c>
      <c r="CB16" s="25">
        <f t="array" ref="CB16">INDEX(KOMBI!$A$1:$GI$145,ROW('KSH järjestus'!CB23),MATCH('KSH järjestus'!CB$3,KOMBI!$A$1:$GI$1,0))</f>
        <v>142.42055555555558</v>
      </c>
      <c r="CC16" s="25">
        <f t="array" ref="CC16">INDEX(KOMBI!$A$1:$GI$145,ROW('KSH järjestus'!CC23),MATCH('KSH järjestus'!CC$3,KOMBI!$A$1:$GI$1,0))</f>
        <v>7.8642110000000001</v>
      </c>
      <c r="CD16" s="25">
        <f t="array" ref="CD16">INDEX(KOMBI!$A$1:$GI$145,ROW('KSH järjestus'!CD23),MATCH('KSH järjestus'!CD$3,KOMBI!$A$1:$GI$1,0))</f>
        <v>339.5</v>
      </c>
      <c r="CE16" s="25">
        <f t="array" ref="CE16">INDEX(KOMBI!$A$1:$GI$145,ROW('KSH järjestus'!CE23),MATCH('KSH järjestus'!CE$3,KOMBI!$A$1:$GI$1,0))</f>
        <v>3.0259999999999998</v>
      </c>
      <c r="CF16" s="25">
        <f t="array" ref="CF16">INDEX(KOMBI!$A$1:$GI$145,ROW('KSH järjestus'!CF23),MATCH('KSH järjestus'!CF$3,KOMBI!$A$1:$GI$1,0))</f>
        <v>67.196678542103257</v>
      </c>
      <c r="CG16" s="25">
        <f t="array" ref="CG16">INDEX(KOMBI!$A$1:$GI$145,ROW('KSH järjestus'!CG23),MATCH('KSH järjestus'!CG$3,KOMBI!$A$1:$GI$1,0))</f>
        <v>2.0156356925118721E-2</v>
      </c>
      <c r="CH16" s="25">
        <f t="array" ref="CH16">INDEX(KOMBI!$A$1:$GI$145,ROW('KSH järjestus'!CH23),MATCH('KSH järjestus'!CH$3,KOMBI!$A$1:$GI$1,0))</f>
        <v>0.36242899961328989</v>
      </c>
      <c r="CI16" s="25">
        <f t="array" ref="CI16">INDEX(KOMBI!$A$1:$GI$145,ROW('KSH järjestus'!CI23),MATCH('KSH järjestus'!CI$3,KOMBI!$A$1:$GI$1,0))</f>
        <v>6.78</v>
      </c>
      <c r="CJ16" s="25">
        <f t="array" ref="CJ16">INDEX(KOMBI!$A$1:$GI$145,ROW('KSH järjestus'!CJ23),MATCH('KSH järjestus'!CJ$3,KOMBI!$A$1:$GI$1,0))</f>
        <v>10.456636821583061</v>
      </c>
      <c r="CK16" s="25">
        <f t="array" ref="CK16">INDEX(KOMBI!$A$1:$GI$145,ROW('KSH järjestus'!CK23),MATCH('KSH järjestus'!CK$3,KOMBI!$A$1:$GI$1,0))</f>
        <v>0.22900000000000001</v>
      </c>
      <c r="CL16" s="25">
        <f t="array" ref="CL16">INDEX(KOMBI!$A$1:$GI$145,ROW('KSH järjestus'!CL23),MATCH('KSH järjestus'!CL$3,KOMBI!$A$1:$GI$1,0))</f>
        <v>0.82899999999999996</v>
      </c>
    </row>
    <row r="17" spans="3:90" x14ac:dyDescent="0.2">
      <c r="C17" s="184">
        <v>14</v>
      </c>
      <c r="G17" s="25">
        <f>RANK(INDEX(KOMBI!$A$11:$GI$145,MATCH('KSH järjestus'!$C17,KOMBI!$A$11:$A$145,0),MATCH('KSH järjestus'!G$3,KOMBI!$A$1:$GI$1,0)),BD$4:BD$138,G$2)</f>
        <v>126</v>
      </c>
      <c r="H17" s="25">
        <f>RANK(INDEX(KOMBI!$A$11:$GI$145,MATCH('KSH järjestus'!$C17,KOMBI!$A$11:$A$145,0),MATCH('KSH järjestus'!H$3,KOMBI!$A$1:$GI$1,0)),BE$4:BE$138,H$2)</f>
        <v>66</v>
      </c>
      <c r="J17" s="25">
        <f>RANK(INDEX(KOMBI!$A$11:$GI$145,MATCH('KSH järjestus'!$C17,KOMBI!$A$11:$A$145,0),MATCH('KSH järjestus'!J$3,KOMBI!$A$1:$GI$1,0)),BG$4:BG$138,J$2)</f>
        <v>24</v>
      </c>
      <c r="M17" s="25">
        <f>RANK(INDEX(KOMBI!$A$11:$GI$145,MATCH('KSH järjestus'!$C17,KOMBI!$A$11:$A$145,0),MATCH('KSH järjestus'!M$3,KOMBI!$A$1:$GI$1,0)),BJ$4:BJ$138,M$2)</f>
        <v>1</v>
      </c>
      <c r="N17" s="25">
        <f>RANK(INDEX(KOMBI!$A$11:$GI$145,MATCH('KSH järjestus'!$C17,KOMBI!$A$11:$A$145,0),MATCH('KSH järjestus'!N$3,KOMBI!$A$1:$GI$1,0)),BK$4:BK$138,N$2)</f>
        <v>127</v>
      </c>
      <c r="O17" s="25">
        <f>RANK(INDEX(KOMBI!$A$11:$GI$145,MATCH('KSH järjestus'!$C17,KOMBI!$A$11:$A$145,0),MATCH('KSH järjestus'!O$3,KOMBI!$A$1:$GI$1,0)),BL$4:BL$138,O$2)</f>
        <v>24</v>
      </c>
      <c r="P17" s="25">
        <f>RANK(INDEX(KOMBI!$A$11:$GI$145,MATCH('KSH järjestus'!$C17,KOMBI!$A$11:$A$145,0),MATCH('KSH järjestus'!P$3,KOMBI!$A$1:$GI$1,0)),BM$4:BM$138,P$2)</f>
        <v>61</v>
      </c>
      <c r="Q17" s="25">
        <f>RANK(INDEX(KOMBI!$A$11:$GI$145,MATCH('KSH järjestus'!$C17,KOMBI!$A$11:$A$145,0),MATCH('KSH järjestus'!Q$3,KOMBI!$A$1:$GI$1,0)),BN$4:BN$138,Q$2)</f>
        <v>15</v>
      </c>
      <c r="R17" s="25">
        <f>RANK(INDEX(KOMBI!$A$11:$GI$145,MATCH('KSH järjestus'!$C17,KOMBI!$A$11:$A$145,0),MATCH('KSH järjestus'!R$3,KOMBI!$A$1:$GI$1,0)),BO$4:BO$138,R$2)</f>
        <v>61</v>
      </c>
      <c r="T17" s="25">
        <f>RANK(INDEX(KOMBI!$A$11:$GI$145,MATCH('KSH järjestus'!$C17,KOMBI!$A$11:$A$145,0),MATCH('KSH järjestus'!T$3,KOMBI!$A$1:$GI$1,0)),BQ$4:BQ$138,T$2)</f>
        <v>134</v>
      </c>
      <c r="U17" s="25">
        <f>RANK(INDEX(KOMBI!$A$11:$GI$145,MATCH('KSH järjestus'!$C17,KOMBI!$A$11:$A$145,0),MATCH('KSH järjestus'!U$3,KOMBI!$A$1:$GI$1,0)),BR$4:BR$138,U$2)</f>
        <v>134</v>
      </c>
      <c r="AA17" s="25">
        <f>RANK(INDEX(KOMBI!$A$11:$GI$145,MATCH('KSH järjestus'!$C17,KOMBI!$A$11:$A$145,0),MATCH('KSH järjestus'!AA$3,KOMBI!$A$1:$GI$1,0)),BX$4:BX$138,AA$2)</f>
        <v>133</v>
      </c>
      <c r="AB17" s="25">
        <f>RANK(INDEX(KOMBI!$A$11:$GI$145,MATCH('KSH järjestus'!$C17,KOMBI!$A$11:$A$145,0),MATCH('KSH järjestus'!AB$3,KOMBI!$A$1:$GI$1,0)),BY$4:BY$138,AB$2)</f>
        <v>133</v>
      </c>
      <c r="AC17" s="25">
        <f>RANK(INDEX(KOMBI!$A$11:$GI$145,MATCH('KSH järjestus'!$C17,KOMBI!$A$11:$A$145,0),MATCH('KSH järjestus'!AC$3,KOMBI!$A$1:$GI$1,0)),BZ$4:BZ$138,AC$2)</f>
        <v>134</v>
      </c>
      <c r="AD17" s="25">
        <f>RANK(INDEX(KOMBI!$A$11:$GI$145,MATCH('KSH järjestus'!$C17,KOMBI!$A$11:$A$145,0),MATCH('KSH järjestus'!AD$3,KOMBI!$A$1:$GI$1,0)),CA$4:CA$138,AD$2)</f>
        <v>134</v>
      </c>
      <c r="AE17" s="25">
        <f>RANK(INDEX(KOMBI!$A$11:$GI$145,MATCH('KSH järjestus'!$C17,KOMBI!$A$11:$A$145,0),MATCH('KSH järjestus'!AE$3,KOMBI!$A$1:$GI$1,0)),CB$4:CB$138,AE$2)</f>
        <v>134</v>
      </c>
      <c r="AG17" s="25">
        <f>RANK(INDEX(KOMBI!$A$11:$GI$145,MATCH('KSH järjestus'!$C17,KOMBI!$A$11:$A$145,0),MATCH('KSH järjestus'!AG$3,KOMBI!$A$1:$GI$1,0)),CD$4:CD$138,AG$2)</f>
        <v>121</v>
      </c>
      <c r="AH17" s="25">
        <f>RANK(INDEX(KOMBI!$A$11:$GI$145,MATCH('KSH järjestus'!$C17,KOMBI!$A$11:$A$145,0),MATCH('KSH järjestus'!AH$3,KOMBI!$A$1:$GI$1,0)),CE$4:CE$138,AH$2)</f>
        <v>91</v>
      </c>
      <c r="AI17" s="25">
        <f>RANK(INDEX(KOMBI!$A$11:$GI$145,MATCH('KSH järjestus'!$C17,KOMBI!$A$11:$A$145,0),MATCH('KSH järjestus'!AI$3,KOMBI!$A$1:$GI$1,0)),CF$4:CF$138,AI$2)</f>
        <v>133</v>
      </c>
      <c r="AJ17" s="25">
        <f>RANK(INDEX(KOMBI!$A$11:$GI$145,MATCH('KSH järjestus'!$C17,KOMBI!$A$11:$A$145,0),MATCH('KSH järjestus'!AJ$3,KOMBI!$A$1:$GI$1,0)),CG$4:CG$138,AJ$2)</f>
        <v>124</v>
      </c>
      <c r="AK17" s="25">
        <f>RANK(INDEX(KOMBI!$A$11:$GI$145,MATCH('KSH järjestus'!$C17,KOMBI!$A$11:$A$145,0),MATCH('KSH järjestus'!AK$3,KOMBI!$A$1:$GI$1,0)),CH$4:CH$138,AK$2)</f>
        <v>109</v>
      </c>
      <c r="AN17" s="25">
        <f>RANK(INDEX(KOMBI!$A$11:$GI$145,MATCH('KSH järjestus'!$C17,KOMBI!$A$11:$A$145,0),MATCH('KSH järjestus'!AN$3,KOMBI!$A$1:$GI$1,0)),CK$4:CK$138,AN$2)</f>
        <v>91</v>
      </c>
      <c r="AO17" s="25">
        <f>RANK(INDEX(KOMBI!$A$11:$GI$145,MATCH('KSH järjestus'!$C17,KOMBI!$A$11:$A$145,0),MATCH('KSH järjestus'!AO$3,KOMBI!$A$1:$GI$1,0)),CL$4:CL$138,AO$2)</f>
        <v>91</v>
      </c>
      <c r="AS17" s="297">
        <f t="shared" si="0"/>
        <v>2201</v>
      </c>
      <c r="AT17" s="25">
        <f t="shared" si="1"/>
        <v>781</v>
      </c>
      <c r="AU17" s="25">
        <f t="shared" si="2"/>
        <v>121</v>
      </c>
      <c r="AV17" s="295" t="str">
        <f>VLOOKUP(VLOOKUP($AU17,KOMBI!$A:$H,3,FALSE),data!$I$27:$J$29,2,FALSE)</f>
        <v>Sekkuv/EÜ</v>
      </c>
      <c r="AW17" s="295" t="str">
        <f>VLOOKUP(VLOOKUP($AU17,KOMBI!$A:$H,2,FALSE),data!$I$21:$J$23,2,FALSE)</f>
        <v>Sekkuv</v>
      </c>
      <c r="AX17" s="295" t="str">
        <f>VLOOKUP(VLOOKUP($AU17,KOMBI!$A:$H,5,FALSE),data!$I$39:$J$41,2,FALSE)</f>
        <v>Mittesekkuv</v>
      </c>
      <c r="AY17" s="295" t="str">
        <f>VLOOKUP(VLOOKUP($AU17,KOMBI!$A:$H,4,FALSE),data!$I$32:$J$36,2,FALSE)</f>
        <v>LIB</v>
      </c>
      <c r="BA17" s="25">
        <f t="array" ref="BA17">INDEX(KOMBI!$A$1:$GI$145,ROW('KSH järjestus'!BA24),MATCH('KSH järjestus'!BA$3,KOMBI!$A$1:$GI$1,0))</f>
        <v>2.5566390161458683</v>
      </c>
      <c r="BB17" s="25">
        <f t="array" ref="BB17">INDEX(KOMBI!$A$1:$GI$145,ROW('KSH järjestus'!BB24),MATCH('KSH järjestus'!BB$3,KOMBI!$A$1:$GI$1,0))</f>
        <v>646.68817052920122</v>
      </c>
      <c r="BC17" s="25">
        <f t="array" aca="1" ref="BC17" ca="1">INDEX(KOMBI!$A$1:$GI$145,ROW('KSH järjestus'!BC24),MATCH('KSH järjestus'!BC$3,KOMBI!$A$1:$GI$1,0))</f>
        <v>148.94354800415593</v>
      </c>
      <c r="BD17" s="25">
        <f t="array" ref="BD17">INDEX(KOMBI!$A$1:$GI$145,ROW('KSH järjestus'!BD24),MATCH('KSH järjestus'!BD$3,KOMBI!$A$1:$GI$1,0))</f>
        <v>-15.233219880632102</v>
      </c>
      <c r="BE17" s="25">
        <f t="array" ref="BE17">INDEX(KOMBI!$A$1:$GI$145,ROW('KSH järjestus'!BE24),MATCH('KSH järjestus'!BE$3,KOMBI!$A$1:$GI$1,0))</f>
        <v>164.17676788478803</v>
      </c>
      <c r="BF17" s="25">
        <f t="array" aca="1" ref="BF17" ca="1">INDEX(KOMBI!$A$1:$GI$145,ROW('KSH järjestus'!BF24),MATCH('KSH järjestus'!BF$3,KOMBI!$A$1:$GI$1,0))</f>
        <v>0</v>
      </c>
      <c r="BG17" s="25">
        <f t="array" ref="BG17">INDEX(KOMBI!$A$1:$GI$145,ROW('KSH järjestus'!BG24),MATCH('KSH järjestus'!BG$3,KOMBI!$A$1:$GI$1,0))</f>
        <v>0.35053710590423465</v>
      </c>
      <c r="BH17" s="25">
        <f t="array" ref="BH17">INDEX(KOMBI!$A$1:$GI$145,ROW('KSH järjestus'!BH24),MATCH('KSH järjestus'!BH$3,KOMBI!$A$1:$GI$1,0))</f>
        <v>90</v>
      </c>
      <c r="BI17" s="25">
        <f t="array" ref="BI17">INDEX(KOMBI!$A$1:$GI$145,ROW('KSH järjestus'!BI24),MATCH('KSH järjestus'!BI$3,KOMBI!$A$1:$GI$1,0))</f>
        <v>0.91028830406496797</v>
      </c>
      <c r="BJ17" s="25">
        <f t="array" ref="BJ17">INDEX(KOMBI!$A$1:$GI$145,ROW('KSH järjestus'!BJ24),MATCH('KSH järjestus'!BJ$3,KOMBI!$A$1:$GI$1,0))</f>
        <v>0</v>
      </c>
      <c r="BK17" s="25">
        <f t="array" ref="BK17">INDEX(KOMBI!$A$1:$GI$145,ROW('KSH järjestus'!BK24),MATCH('KSH järjestus'!BK$3,KOMBI!$A$1:$GI$1,0))</f>
        <v>0.24395733301707928</v>
      </c>
      <c r="BL17" s="25">
        <f t="array" ref="BL17">INDEX(KOMBI!$A$1:$GI$145,ROW('KSH järjestus'!BL24),MATCH('KSH järjestus'!BL$3,KOMBI!$A$1:$GI$1,0))</f>
        <v>2.4130129518985518E-2</v>
      </c>
      <c r="BM17" s="25">
        <f t="array" ref="BM17">INDEX(KOMBI!$A$1:$GI$145,ROW('KSH järjestus'!BM24),MATCH('KSH järjestus'!BM$3,KOMBI!$A$1:$GI$1,0))</f>
        <v>2.472837008439711E-3</v>
      </c>
      <c r="BN17" s="25">
        <f t="array" ref="BN17">INDEX(KOMBI!$A$1:$GI$145,ROW('KSH järjestus'!BN24),MATCH('KSH järjestus'!BN$3,KOMBI!$A$1:$GI$1,0))</f>
        <v>1.2010959204477395E-2</v>
      </c>
      <c r="BO17" s="25">
        <f t="array" ref="BO17">INDEX(KOMBI!$A$1:$GI$145,ROW('KSH järjestus'!BO24),MATCH('KSH järjestus'!BO$3,KOMBI!$A$1:$GI$1,0))</f>
        <v>1.2437972681084529E-2</v>
      </c>
      <c r="BP17" s="25">
        <f t="array" ref="BP17">INDEX(KOMBI!$A$1:$GI$145,ROW('KSH järjestus'!BP24),MATCH('KSH järjestus'!BP$3,KOMBI!$A$1:$GI$1,0))</f>
        <v>8.5139896156049168</v>
      </c>
      <c r="BQ17" s="25">
        <f t="array" ref="BQ17">INDEX(KOMBI!$A$1:$GI$145,ROW('KSH järjestus'!BQ24),MATCH('KSH järjestus'!BQ$3,KOMBI!$A$1:$GI$1,0))</f>
        <v>12.537000000000001</v>
      </c>
      <c r="BR17" s="25">
        <f t="array" ref="BR17">INDEX(KOMBI!$A$1:$GI$145,ROW('KSH järjestus'!BR24),MATCH('KSH järjestus'!BR$3,KOMBI!$A$1:$GI$1,0))</f>
        <v>1.4043894189589292E-2</v>
      </c>
      <c r="BS17" s="25">
        <f t="array" ref="BS17">INDEX(KOMBI!$A$1:$GI$145,ROW('KSH järjestus'!BS24),MATCH('KSH järjestus'!BS$3,KOMBI!$A$1:$GI$1,0))</f>
        <v>8.9537260798418228E-2</v>
      </c>
      <c r="BT17" s="25">
        <f t="array" ref="BT17">INDEX(KOMBI!$A$1:$GI$145,ROW('KSH järjestus'!BT24),MATCH('KSH järjestus'!BT$3,KOMBI!$A$1:$GI$1,0))</f>
        <v>9.6009913697309726E-2</v>
      </c>
      <c r="BU17" s="25">
        <f t="array" ref="BU17">INDEX(KOMBI!$A$1:$GI$145,ROW('KSH järjestus'!BU24),MATCH('KSH järjestus'!BU$3,KOMBI!$A$1:$GI$1,0))</f>
        <v>12.898233270393458</v>
      </c>
      <c r="BV17" s="25">
        <f t="array" ref="BV17">INDEX(KOMBI!$A$1:$GI$145,ROW('KSH järjestus'!BV24),MATCH('KSH järjestus'!BV$3,KOMBI!$A$1:$GI$1,0))</f>
        <v>6.3289999999999997</v>
      </c>
      <c r="BW17" s="25">
        <f t="array" ref="BW17">INDEX(KOMBI!$A$1:$GI$145,ROW('KSH järjestus'!BW24),MATCH('KSH järjestus'!BW$3,KOMBI!$A$1:$GI$1,0))</f>
        <v>3.6801368215830603</v>
      </c>
      <c r="BX17" s="25">
        <f t="array" ref="BX17">INDEX(KOMBI!$A$1:$GI$145,ROW('KSH järjestus'!BX24),MATCH('KSH järjestus'!BX$3,KOMBI!$A$1:$GI$1,0))</f>
        <v>24.675999999999998</v>
      </c>
      <c r="BY17" s="25">
        <f t="array" ref="BY17">INDEX(KOMBI!$A$1:$GI$145,ROW('KSH järjestus'!BY24),MATCH('KSH järjestus'!BY$3,KOMBI!$A$1:$GI$1,0))</f>
        <v>39.425716140171815</v>
      </c>
      <c r="BZ17" s="25">
        <f t="array" ref="BZ17">INDEX(KOMBI!$A$1:$GI$145,ROW('KSH järjestus'!BZ24),MATCH('KSH järjestus'!BZ$3,KOMBI!$A$1:$GI$1,0))</f>
        <v>103.4</v>
      </c>
      <c r="CA17" s="25">
        <f t="array" ref="CA17">INDEX(KOMBI!$A$1:$GI$145,ROW('KSH järjestus'!CA24),MATCH('KSH järjestus'!CA$3,KOMBI!$A$1:$GI$1,0))</f>
        <v>18.02</v>
      </c>
      <c r="CB17" s="25">
        <f t="array" ref="CB17">INDEX(KOMBI!$A$1:$GI$145,ROW('KSH järjestus'!CB24),MATCH('KSH järjestus'!CB$3,KOMBI!$A$1:$GI$1,0))</f>
        <v>142.76083333333332</v>
      </c>
      <c r="CC17" s="25">
        <f t="array" ref="CC17">INDEX(KOMBI!$A$1:$GI$145,ROW('KSH järjestus'!CC24),MATCH('KSH järjestus'!CC$3,KOMBI!$A$1:$GI$1,0))</f>
        <v>7.8975030000000004</v>
      </c>
      <c r="CD17" s="25">
        <f t="array" ref="CD17">INDEX(KOMBI!$A$1:$GI$145,ROW('KSH järjestus'!CD24),MATCH('KSH järjestus'!CD$3,KOMBI!$A$1:$GI$1,0))</f>
        <v>339.5</v>
      </c>
      <c r="CE17" s="25">
        <f t="array" ref="CE17">INDEX(KOMBI!$A$1:$GI$145,ROW('KSH järjestus'!CE24),MATCH('KSH järjestus'!CE$3,KOMBI!$A$1:$GI$1,0))</f>
        <v>3.0259999999999998</v>
      </c>
      <c r="CF17" s="25">
        <f t="array" ref="CF17">INDEX(KOMBI!$A$1:$GI$145,ROW('KSH järjestus'!CF24),MATCH('KSH järjestus'!CF$3,KOMBI!$A$1:$GI$1,0))</f>
        <v>67.196678542103257</v>
      </c>
      <c r="CG17" s="25">
        <f t="array" ref="CG17">INDEX(KOMBI!$A$1:$GI$145,ROW('KSH järjestus'!CG24),MATCH('KSH järjestus'!CG$3,KOMBI!$A$1:$GI$1,0))</f>
        <v>2.0156356925118721E-2</v>
      </c>
      <c r="CH17" s="25">
        <f t="array" ref="CH17">INDEX(KOMBI!$A$1:$GI$145,ROW('KSH järjestus'!CH24),MATCH('KSH järjestus'!CH$3,KOMBI!$A$1:$GI$1,0))</f>
        <v>0.36242899961328989</v>
      </c>
      <c r="CI17" s="25">
        <f t="array" ref="CI17">INDEX(KOMBI!$A$1:$GI$145,ROW('KSH järjestus'!CI24),MATCH('KSH järjestus'!CI$3,KOMBI!$A$1:$GI$1,0))</f>
        <v>6.78</v>
      </c>
      <c r="CJ17" s="25">
        <f t="array" ref="CJ17">INDEX(KOMBI!$A$1:$GI$145,ROW('KSH järjestus'!CJ24),MATCH('KSH järjestus'!CJ$3,KOMBI!$A$1:$GI$1,0))</f>
        <v>10.456636821583061</v>
      </c>
      <c r="CK17" s="25">
        <f t="array" ref="CK17">INDEX(KOMBI!$A$1:$GI$145,ROW('KSH järjestus'!CK24),MATCH('KSH järjestus'!CK$3,KOMBI!$A$1:$GI$1,0))</f>
        <v>0.22900000000000001</v>
      </c>
      <c r="CL17" s="25">
        <f t="array" ref="CL17">INDEX(KOMBI!$A$1:$GI$145,ROW('KSH järjestus'!CL24),MATCH('KSH järjestus'!CL$3,KOMBI!$A$1:$GI$1,0))</f>
        <v>0.82899999999999996</v>
      </c>
    </row>
    <row r="18" spans="3:90" x14ac:dyDescent="0.2">
      <c r="C18" s="184">
        <v>15</v>
      </c>
      <c r="G18" s="25">
        <f>RANK(INDEX(KOMBI!$A$11:$GI$145,MATCH('KSH järjestus'!$C18,KOMBI!$A$11:$A$145,0),MATCH('KSH järjestus'!G$3,KOMBI!$A$1:$GI$1,0)),BD$4:BD$138,G$2)</f>
        <v>116</v>
      </c>
      <c r="H18" s="25">
        <f>RANK(INDEX(KOMBI!$A$11:$GI$145,MATCH('KSH järjestus'!$C18,KOMBI!$A$11:$A$145,0),MATCH('KSH järjestus'!H$3,KOMBI!$A$1:$GI$1,0)),BE$4:BE$138,H$2)</f>
        <v>43</v>
      </c>
      <c r="J18" s="25">
        <f>RANK(INDEX(KOMBI!$A$11:$GI$145,MATCH('KSH järjestus'!$C18,KOMBI!$A$11:$A$145,0),MATCH('KSH järjestus'!J$3,KOMBI!$A$1:$GI$1,0)),BG$4:BG$138,J$2)</f>
        <v>24</v>
      </c>
      <c r="M18" s="25">
        <f>RANK(INDEX(KOMBI!$A$11:$GI$145,MATCH('KSH järjestus'!$C18,KOMBI!$A$11:$A$145,0),MATCH('KSH järjestus'!M$3,KOMBI!$A$1:$GI$1,0)),BJ$4:BJ$138,M$2)</f>
        <v>1</v>
      </c>
      <c r="N18" s="25">
        <f>RANK(INDEX(KOMBI!$A$11:$GI$145,MATCH('KSH järjestus'!$C18,KOMBI!$A$11:$A$145,0),MATCH('KSH järjestus'!N$3,KOMBI!$A$1:$GI$1,0)),BK$4:BK$138,N$2)</f>
        <v>127</v>
      </c>
      <c r="O18" s="25">
        <f>RANK(INDEX(KOMBI!$A$11:$GI$145,MATCH('KSH järjestus'!$C18,KOMBI!$A$11:$A$145,0),MATCH('KSH järjestus'!O$3,KOMBI!$A$1:$GI$1,0)),BL$4:BL$138,O$2)</f>
        <v>14</v>
      </c>
      <c r="P18" s="25">
        <f>RANK(INDEX(KOMBI!$A$11:$GI$145,MATCH('KSH järjestus'!$C18,KOMBI!$A$11:$A$145,0),MATCH('KSH järjestus'!P$3,KOMBI!$A$1:$GI$1,0)),BM$4:BM$138,P$2)</f>
        <v>60</v>
      </c>
      <c r="Q18" s="25">
        <f>RANK(INDEX(KOMBI!$A$11:$GI$145,MATCH('KSH järjestus'!$C18,KOMBI!$A$11:$A$145,0),MATCH('KSH järjestus'!Q$3,KOMBI!$A$1:$GI$1,0)),BN$4:BN$138,Q$2)</f>
        <v>10</v>
      </c>
      <c r="R18" s="25">
        <f>RANK(INDEX(KOMBI!$A$11:$GI$145,MATCH('KSH järjestus'!$C18,KOMBI!$A$11:$A$145,0),MATCH('KSH järjestus'!R$3,KOMBI!$A$1:$GI$1,0)),BO$4:BO$138,R$2)</f>
        <v>30</v>
      </c>
      <c r="T18" s="25">
        <f>RANK(INDEX(KOMBI!$A$11:$GI$145,MATCH('KSH järjestus'!$C18,KOMBI!$A$11:$A$145,0),MATCH('KSH järjestus'!T$3,KOMBI!$A$1:$GI$1,0)),BQ$4:BQ$138,T$2)</f>
        <v>135</v>
      </c>
      <c r="U18" s="25">
        <f>RANK(INDEX(KOMBI!$A$11:$GI$145,MATCH('KSH järjestus'!$C18,KOMBI!$A$11:$A$145,0),MATCH('KSH järjestus'!U$3,KOMBI!$A$1:$GI$1,0)),BR$4:BR$138,U$2)</f>
        <v>135</v>
      </c>
      <c r="AA18" s="25">
        <f>RANK(INDEX(KOMBI!$A$11:$GI$145,MATCH('KSH järjestus'!$C18,KOMBI!$A$11:$A$145,0),MATCH('KSH järjestus'!AA$3,KOMBI!$A$1:$GI$1,0)),BX$4:BX$138,AA$2)</f>
        <v>133</v>
      </c>
      <c r="AB18" s="25">
        <f>RANK(INDEX(KOMBI!$A$11:$GI$145,MATCH('KSH järjestus'!$C18,KOMBI!$A$11:$A$145,0),MATCH('KSH järjestus'!AB$3,KOMBI!$A$1:$GI$1,0)),BY$4:BY$138,AB$2)</f>
        <v>133</v>
      </c>
      <c r="AC18" s="25">
        <f>RANK(INDEX(KOMBI!$A$11:$GI$145,MATCH('KSH järjestus'!$C18,KOMBI!$A$11:$A$145,0),MATCH('KSH järjestus'!AC$3,KOMBI!$A$1:$GI$1,0)),BZ$4:BZ$138,AC$2)</f>
        <v>135</v>
      </c>
      <c r="AD18" s="25">
        <f>RANK(INDEX(KOMBI!$A$11:$GI$145,MATCH('KSH järjestus'!$C18,KOMBI!$A$11:$A$145,0),MATCH('KSH järjestus'!AD$3,KOMBI!$A$1:$GI$1,0)),CA$4:CA$138,AD$2)</f>
        <v>135</v>
      </c>
      <c r="AE18" s="25">
        <f>RANK(INDEX(KOMBI!$A$11:$GI$145,MATCH('KSH järjestus'!$C18,KOMBI!$A$11:$A$145,0),MATCH('KSH järjestus'!AE$3,KOMBI!$A$1:$GI$1,0)),CB$4:CB$138,AE$2)</f>
        <v>135</v>
      </c>
      <c r="AG18" s="25">
        <f>RANK(INDEX(KOMBI!$A$11:$GI$145,MATCH('KSH järjestus'!$C18,KOMBI!$A$11:$A$145,0),MATCH('KSH järjestus'!AG$3,KOMBI!$A$1:$GI$1,0)),CD$4:CD$138,AG$2)</f>
        <v>121</v>
      </c>
      <c r="AH18" s="25">
        <f>RANK(INDEX(KOMBI!$A$11:$GI$145,MATCH('KSH järjestus'!$C18,KOMBI!$A$11:$A$145,0),MATCH('KSH järjestus'!AH$3,KOMBI!$A$1:$GI$1,0)),CE$4:CE$138,AH$2)</f>
        <v>91</v>
      </c>
      <c r="AI18" s="25">
        <f>RANK(INDEX(KOMBI!$A$11:$GI$145,MATCH('KSH järjestus'!$C18,KOMBI!$A$11:$A$145,0),MATCH('KSH järjestus'!AI$3,KOMBI!$A$1:$GI$1,0)),CF$4:CF$138,AI$2)</f>
        <v>133</v>
      </c>
      <c r="AJ18" s="25">
        <f>RANK(INDEX(KOMBI!$A$11:$GI$145,MATCH('KSH järjestus'!$C18,KOMBI!$A$11:$A$145,0),MATCH('KSH järjestus'!AJ$3,KOMBI!$A$1:$GI$1,0)),CG$4:CG$138,AJ$2)</f>
        <v>124</v>
      </c>
      <c r="AK18" s="25">
        <f>RANK(INDEX(KOMBI!$A$11:$GI$145,MATCH('KSH järjestus'!$C18,KOMBI!$A$11:$A$145,0),MATCH('KSH järjestus'!AK$3,KOMBI!$A$1:$GI$1,0)),CH$4:CH$138,AK$2)</f>
        <v>109</v>
      </c>
      <c r="AN18" s="25">
        <f>RANK(INDEX(KOMBI!$A$11:$GI$145,MATCH('KSH järjestus'!$C18,KOMBI!$A$11:$A$145,0),MATCH('KSH järjestus'!AN$3,KOMBI!$A$1:$GI$1,0)),CK$4:CK$138,AN$2)</f>
        <v>91</v>
      </c>
      <c r="AO18" s="25">
        <f>RANK(INDEX(KOMBI!$A$11:$GI$145,MATCH('KSH järjestus'!$C18,KOMBI!$A$11:$A$145,0),MATCH('KSH järjestus'!AO$3,KOMBI!$A$1:$GI$1,0)),CL$4:CL$138,AO$2)</f>
        <v>91</v>
      </c>
      <c r="AS18" s="297">
        <f t="shared" si="0"/>
        <v>2126</v>
      </c>
      <c r="AT18" s="25">
        <f t="shared" si="1"/>
        <v>784</v>
      </c>
      <c r="AU18" s="25">
        <f t="shared" si="2"/>
        <v>124</v>
      </c>
      <c r="AV18" s="295" t="str">
        <f>VLOOKUP(VLOOKUP($AU18,KOMBI!$A:$H,3,FALSE),data!$I$27:$J$29,2,FALSE)</f>
        <v>Sekkuv/EÜ</v>
      </c>
      <c r="AW18" s="295" t="str">
        <f>VLOOKUP(VLOOKUP($AU18,KOMBI!$A:$H,2,FALSE),data!$I$21:$J$23,2,FALSE)</f>
        <v>Sekkuv</v>
      </c>
      <c r="AX18" s="295" t="str">
        <f>VLOOKUP(VLOOKUP($AU18,KOMBI!$A:$H,5,FALSE),data!$I$39:$J$41,2,FALSE)</f>
        <v>Mittesekkuv</v>
      </c>
      <c r="AY18" s="295" t="str">
        <f>VLOOKUP(VLOOKUP($AU18,KOMBI!$A:$H,4,FALSE),data!$I$32:$J$36,2,FALSE)</f>
        <v>LIB+</v>
      </c>
      <c r="BA18" s="25">
        <f t="array" ref="BA18">INDEX(KOMBI!$A$1:$GI$145,ROW('KSH järjestus'!BA25),MATCH('KSH järjestus'!BA$3,KOMBI!$A$1:$GI$1,0))</f>
        <v>3.4617387383873961</v>
      </c>
      <c r="BB18" s="25">
        <f t="array" ref="BB18">INDEX(KOMBI!$A$1:$GI$145,ROW('KSH järjestus'!BB25),MATCH('KSH järjestus'!BB$3,KOMBI!$A$1:$GI$1,0))</f>
        <v>763.2989615466804</v>
      </c>
      <c r="BC18" s="25">
        <f t="array" aca="1" ref="BC18" ca="1">INDEX(KOMBI!$A$1:$GI$145,ROW('KSH järjestus'!BC25),MATCH('KSH järjestus'!BC$3,KOMBI!$A$1:$GI$1,0))</f>
        <v>165.49796236324087</v>
      </c>
      <c r="BD18" s="25">
        <f t="array" ref="BD18">INDEX(KOMBI!$A$1:$GI$145,ROW('KSH järjestus'!BD25),MATCH('KSH järjestus'!BD$3,KOMBI!$A$1:$GI$1,0))</f>
        <v>-34.340813699091036</v>
      </c>
      <c r="BE18" s="25">
        <f t="array" ref="BE18">INDEX(KOMBI!$A$1:$GI$145,ROW('KSH järjestus'!BE25),MATCH('KSH järjestus'!BE$3,KOMBI!$A$1:$GI$1,0))</f>
        <v>199.8387760623319</v>
      </c>
      <c r="BF18" s="25">
        <f t="array" aca="1" ref="BF18" ca="1">INDEX(KOMBI!$A$1:$GI$145,ROW('KSH järjestus'!BF25),MATCH('KSH järjestus'!BF$3,KOMBI!$A$1:$GI$1,0))</f>
        <v>0</v>
      </c>
      <c r="BG18" s="25">
        <f t="array" ref="BG18">INDEX(KOMBI!$A$1:$GI$145,ROW('KSH järjestus'!BG25),MATCH('KSH järjestus'!BG$3,KOMBI!$A$1:$GI$1,0))</f>
        <v>0.35053710590423465</v>
      </c>
      <c r="BH18" s="25">
        <f t="array" ref="BH18">INDEX(KOMBI!$A$1:$GI$145,ROW('KSH järjestus'!BH25),MATCH('KSH järjestus'!BH$3,KOMBI!$A$1:$GI$1,0))</f>
        <v>90</v>
      </c>
      <c r="BI18" s="25">
        <f t="array" ref="BI18">INDEX(KOMBI!$A$1:$GI$145,ROW('KSH järjestus'!BI25),MATCH('KSH järjestus'!BI$3,KOMBI!$A$1:$GI$1,0))</f>
        <v>0.91028830406496786</v>
      </c>
      <c r="BJ18" s="25">
        <f t="array" ref="BJ18">INDEX(KOMBI!$A$1:$GI$145,ROW('KSH järjestus'!BJ25),MATCH('KSH järjestus'!BJ$3,KOMBI!$A$1:$GI$1,0))</f>
        <v>0</v>
      </c>
      <c r="BK18" s="25">
        <f t="array" ref="BK18">INDEX(KOMBI!$A$1:$GI$145,ROW('KSH järjestus'!BK25),MATCH('KSH järjestus'!BK$3,KOMBI!$A$1:$GI$1,0))</f>
        <v>0.24395733301707928</v>
      </c>
      <c r="BL18" s="25">
        <f t="array" ref="BL18">INDEX(KOMBI!$A$1:$GI$145,ROW('KSH järjestus'!BL25),MATCH('KSH järjestus'!BL$3,KOMBI!$A$1:$GI$1,0))</f>
        <v>2.878118489723204E-2</v>
      </c>
      <c r="BM18" s="25">
        <f t="array" ref="BM18">INDEX(KOMBI!$A$1:$GI$145,ROW('KSH järjestus'!BM25),MATCH('KSH järjestus'!BM$3,KOMBI!$A$1:$GI$1,0))</f>
        <v>2.4856027354810978E-3</v>
      </c>
      <c r="BN18" s="25">
        <f t="array" ref="BN18">INDEX(KOMBI!$A$1:$GI$145,ROW('KSH järjestus'!BN25),MATCH('KSH järjestus'!BN$3,KOMBI!$A$1:$GI$1,0))</f>
        <v>1.3341749040524126E-2</v>
      </c>
      <c r="BO18" s="25">
        <f t="array" ref="BO18">INDEX(KOMBI!$A$1:$GI$145,ROW('KSH järjestus'!BO25),MATCH('KSH järjestus'!BO$3,KOMBI!$A$1:$GI$1,0))</f>
        <v>1.5831836129249387E-2</v>
      </c>
      <c r="BP18" s="25">
        <f t="array" ref="BP18">INDEX(KOMBI!$A$1:$GI$145,ROW('KSH järjestus'!BP25),MATCH('KSH järjestus'!BP$3,KOMBI!$A$1:$GI$1,0))</f>
        <v>8.5139896156049168</v>
      </c>
      <c r="BQ18" s="25">
        <f t="array" ref="BQ18">INDEX(KOMBI!$A$1:$GI$145,ROW('KSH järjestus'!BQ25),MATCH('KSH järjestus'!BQ$3,KOMBI!$A$1:$GI$1,0))</f>
        <v>12.760999999999999</v>
      </c>
      <c r="BR18" s="25">
        <f t="array" ref="BR18">INDEX(KOMBI!$A$1:$GI$145,ROW('KSH järjestus'!BR25),MATCH('KSH järjestus'!BR$3,KOMBI!$A$1:$GI$1,0))</f>
        <v>1.8023381320035191E-2</v>
      </c>
      <c r="BS18" s="25">
        <f t="array" ref="BS18">INDEX(KOMBI!$A$1:$GI$145,ROW('KSH järjestus'!BS25),MATCH('KSH järjestus'!BS$3,KOMBI!$A$1:$GI$1,0))</f>
        <v>9.0796420714706672E-2</v>
      </c>
      <c r="BT18" s="25">
        <f t="array" ref="BT18">INDEX(KOMBI!$A$1:$GI$145,ROW('KSH järjestus'!BT25),MATCH('KSH järjestus'!BT$3,KOMBI!$A$1:$GI$1,0))</f>
        <v>9.7470632670535975E-2</v>
      </c>
      <c r="BU18" s="25">
        <f t="array" ref="BU18">INDEX(KOMBI!$A$1:$GI$145,ROW('KSH järjestus'!BU25),MATCH('KSH järjestus'!BU$3,KOMBI!$A$1:$GI$1,0))</f>
        <v>12.898233270393458</v>
      </c>
      <c r="BV18" s="25">
        <f t="array" ref="BV18">INDEX(KOMBI!$A$1:$GI$145,ROW('KSH järjestus'!BV25),MATCH('KSH järjestus'!BV$3,KOMBI!$A$1:$GI$1,0))</f>
        <v>6.3289999999999997</v>
      </c>
      <c r="BW18" s="25">
        <f t="array" ref="BW18">INDEX(KOMBI!$A$1:$GI$145,ROW('KSH järjestus'!BW25),MATCH('KSH järjestus'!BW$3,KOMBI!$A$1:$GI$1,0))</f>
        <v>3.8888368215830607</v>
      </c>
      <c r="BX18" s="25">
        <f t="array" ref="BX18">INDEX(KOMBI!$A$1:$GI$145,ROW('KSH järjestus'!BX25),MATCH('KSH järjestus'!BX$3,KOMBI!$A$1:$GI$1,0))</f>
        <v>24.675999999999998</v>
      </c>
      <c r="BY18" s="25">
        <f t="array" ref="BY18">INDEX(KOMBI!$A$1:$GI$145,ROW('KSH järjestus'!BY25),MATCH('KSH järjestus'!BY$3,KOMBI!$A$1:$GI$1,0))</f>
        <v>39.425716140171815</v>
      </c>
      <c r="BZ18" s="25">
        <f t="array" ref="BZ18">INDEX(KOMBI!$A$1:$GI$145,ROW('KSH järjestus'!BZ25),MATCH('KSH järjestus'!BZ$3,KOMBI!$A$1:$GI$1,0))</f>
        <v>105</v>
      </c>
      <c r="CA18" s="25">
        <f t="array" ref="CA18">INDEX(KOMBI!$A$1:$GI$145,ROW('KSH järjestus'!CA25),MATCH('KSH järjestus'!CA$3,KOMBI!$A$1:$GI$1,0))</f>
        <v>18.271999999999998</v>
      </c>
      <c r="CB18" s="25">
        <f t="array" ref="CB18">INDEX(KOMBI!$A$1:$GI$145,ROW('KSH järjestus'!CB25),MATCH('KSH järjestus'!CB$3,KOMBI!$A$1:$GI$1,0))</f>
        <v>143.66888888888889</v>
      </c>
      <c r="CC18" s="25">
        <f t="array" ref="CC18">INDEX(KOMBI!$A$1:$GI$145,ROW('KSH järjestus'!CC25),MATCH('KSH järjestus'!CC$3,KOMBI!$A$1:$GI$1,0))</f>
        <v>7.9908479999999997</v>
      </c>
      <c r="CD18" s="25">
        <f t="array" ref="CD18">INDEX(KOMBI!$A$1:$GI$145,ROW('KSH järjestus'!CD25),MATCH('KSH järjestus'!CD$3,KOMBI!$A$1:$GI$1,0))</f>
        <v>339.5</v>
      </c>
      <c r="CE18" s="25">
        <f t="array" ref="CE18">INDEX(KOMBI!$A$1:$GI$145,ROW('KSH järjestus'!CE25),MATCH('KSH järjestus'!CE$3,KOMBI!$A$1:$GI$1,0))</f>
        <v>3.0259999999999998</v>
      </c>
      <c r="CF18" s="25">
        <f t="array" ref="CF18">INDEX(KOMBI!$A$1:$GI$145,ROW('KSH järjestus'!CF25),MATCH('KSH järjestus'!CF$3,KOMBI!$A$1:$GI$1,0))</f>
        <v>67.196678542103257</v>
      </c>
      <c r="CG18" s="25">
        <f t="array" ref="CG18">INDEX(KOMBI!$A$1:$GI$145,ROW('KSH järjestus'!CG25),MATCH('KSH järjestus'!CG$3,KOMBI!$A$1:$GI$1,0))</f>
        <v>2.0156356925118721E-2</v>
      </c>
      <c r="CH18" s="25">
        <f t="array" ref="CH18">INDEX(KOMBI!$A$1:$GI$145,ROW('KSH järjestus'!CH25),MATCH('KSH järjestus'!CH$3,KOMBI!$A$1:$GI$1,0))</f>
        <v>0.36242899961328989</v>
      </c>
      <c r="CI18" s="25">
        <f t="array" ref="CI18">INDEX(KOMBI!$A$1:$GI$145,ROW('KSH järjestus'!CI25),MATCH('KSH järjestus'!CI$3,KOMBI!$A$1:$GI$1,0))</f>
        <v>6.78</v>
      </c>
      <c r="CJ18" s="25">
        <f t="array" ref="CJ18">INDEX(KOMBI!$A$1:$GI$145,ROW('KSH järjestus'!CJ25),MATCH('KSH järjestus'!CJ$3,KOMBI!$A$1:$GI$1,0))</f>
        <v>10.456636821583061</v>
      </c>
      <c r="CK18" s="25">
        <f t="array" ref="CK18">INDEX(KOMBI!$A$1:$GI$145,ROW('KSH järjestus'!CK25),MATCH('KSH järjestus'!CK$3,KOMBI!$A$1:$GI$1,0))</f>
        <v>0.22900000000000001</v>
      </c>
      <c r="CL18" s="25">
        <f t="array" ref="CL18">INDEX(KOMBI!$A$1:$GI$145,ROW('KSH järjestus'!CL25),MATCH('KSH järjestus'!CL$3,KOMBI!$A$1:$GI$1,0))</f>
        <v>0.82899999999999996</v>
      </c>
    </row>
    <row r="19" spans="3:90" x14ac:dyDescent="0.2">
      <c r="C19" s="184">
        <v>16</v>
      </c>
      <c r="G19" s="25">
        <f>RANK(INDEX(KOMBI!$A$11:$GI$145,MATCH('KSH järjestus'!$C19,KOMBI!$A$11:$A$145,0),MATCH('KSH järjestus'!G$3,KOMBI!$A$1:$GI$1,0)),BD$4:BD$138,G$2)</f>
        <v>111</v>
      </c>
      <c r="H19" s="25">
        <f>RANK(INDEX(KOMBI!$A$11:$GI$145,MATCH('KSH järjestus'!$C19,KOMBI!$A$11:$A$145,0),MATCH('KSH järjestus'!H$3,KOMBI!$A$1:$GI$1,0)),BE$4:BE$138,H$2)</f>
        <v>131</v>
      </c>
      <c r="J19" s="25">
        <f>RANK(INDEX(KOMBI!$A$11:$GI$145,MATCH('KSH järjestus'!$C19,KOMBI!$A$11:$A$145,0),MATCH('KSH järjestus'!J$3,KOMBI!$A$1:$GI$1,0)),BG$4:BG$138,J$2)</f>
        <v>107</v>
      </c>
      <c r="M19" s="25">
        <f>RANK(INDEX(KOMBI!$A$11:$GI$145,MATCH('KSH järjestus'!$C19,KOMBI!$A$11:$A$145,0),MATCH('KSH järjestus'!M$3,KOMBI!$A$1:$GI$1,0)),BJ$4:BJ$138,M$2)</f>
        <v>55</v>
      </c>
      <c r="N19" s="25">
        <f>RANK(INDEX(KOMBI!$A$11:$GI$145,MATCH('KSH järjestus'!$C19,KOMBI!$A$11:$A$145,0),MATCH('KSH järjestus'!N$3,KOMBI!$A$1:$GI$1,0)),BK$4:BK$138,N$2)</f>
        <v>103</v>
      </c>
      <c r="O19" s="25">
        <f>RANK(INDEX(KOMBI!$A$11:$GI$145,MATCH('KSH järjestus'!$C19,KOMBI!$A$11:$A$145,0),MATCH('KSH järjestus'!O$3,KOMBI!$A$1:$GI$1,0)),BL$4:BL$138,O$2)</f>
        <v>132</v>
      </c>
      <c r="P19" s="25">
        <f>RANK(INDEX(KOMBI!$A$11:$GI$145,MATCH('KSH järjestus'!$C19,KOMBI!$A$11:$A$145,0),MATCH('KSH järjestus'!P$3,KOMBI!$A$1:$GI$1,0)),BM$4:BM$138,P$2)</f>
        <v>104</v>
      </c>
      <c r="Q19" s="25">
        <f>RANK(INDEX(KOMBI!$A$11:$GI$145,MATCH('KSH järjestus'!$C19,KOMBI!$A$11:$A$145,0),MATCH('KSH järjestus'!Q$3,KOMBI!$A$1:$GI$1,0)),BN$4:BN$138,Q$2)</f>
        <v>126</v>
      </c>
      <c r="R19" s="25">
        <f>RANK(INDEX(KOMBI!$A$11:$GI$145,MATCH('KSH järjestus'!$C19,KOMBI!$A$11:$A$145,0),MATCH('KSH järjestus'!R$3,KOMBI!$A$1:$GI$1,0)),BO$4:BO$138,R$2)</f>
        <v>127</v>
      </c>
      <c r="T19" s="25">
        <f>RANK(INDEX(KOMBI!$A$11:$GI$145,MATCH('KSH järjestus'!$C19,KOMBI!$A$11:$A$145,0),MATCH('KSH järjestus'!T$3,KOMBI!$A$1:$GI$1,0)),BQ$4:BQ$138,T$2)</f>
        <v>78</v>
      </c>
      <c r="U19" s="25">
        <f>RANK(INDEX(KOMBI!$A$11:$GI$145,MATCH('KSH järjestus'!$C19,KOMBI!$A$11:$A$145,0),MATCH('KSH järjestus'!U$3,KOMBI!$A$1:$GI$1,0)),BR$4:BR$138,U$2)</f>
        <v>98</v>
      </c>
      <c r="AA19" s="25">
        <f>RANK(INDEX(KOMBI!$A$11:$GI$145,MATCH('KSH järjestus'!$C19,KOMBI!$A$11:$A$145,0),MATCH('KSH järjestus'!AA$3,KOMBI!$A$1:$GI$1,0)),BX$4:BX$138,AA$2)</f>
        <v>88</v>
      </c>
      <c r="AB19" s="25">
        <f>RANK(INDEX(KOMBI!$A$11:$GI$145,MATCH('KSH järjestus'!$C19,KOMBI!$A$11:$A$145,0),MATCH('KSH järjestus'!AB$3,KOMBI!$A$1:$GI$1,0)),BY$4:BY$138,AB$2)</f>
        <v>79</v>
      </c>
      <c r="AC19" s="25">
        <f>RANK(INDEX(KOMBI!$A$11:$GI$145,MATCH('KSH järjestus'!$C19,KOMBI!$A$11:$A$145,0),MATCH('KSH järjestus'!AC$3,KOMBI!$A$1:$GI$1,0)),BZ$4:BZ$138,AC$2)</f>
        <v>49</v>
      </c>
      <c r="AD19" s="25">
        <f>RANK(INDEX(KOMBI!$A$11:$GI$145,MATCH('KSH järjestus'!$C19,KOMBI!$A$11:$A$145,0),MATCH('KSH järjestus'!AD$3,KOMBI!$A$1:$GI$1,0)),CA$4:CA$138,AD$2)</f>
        <v>79</v>
      </c>
      <c r="AE19" s="25">
        <f>RANK(INDEX(KOMBI!$A$11:$GI$145,MATCH('KSH järjestus'!$C19,KOMBI!$A$11:$A$145,0),MATCH('KSH järjestus'!AE$3,KOMBI!$A$1:$GI$1,0)),CB$4:CB$138,AE$2)</f>
        <v>79</v>
      </c>
      <c r="AG19" s="25">
        <f>RANK(INDEX(KOMBI!$A$11:$GI$145,MATCH('KSH järjestus'!$C19,KOMBI!$A$11:$A$145,0),MATCH('KSH järjestus'!AG$3,KOMBI!$A$1:$GI$1,0)),CD$4:CD$138,AG$2)</f>
        <v>94</v>
      </c>
      <c r="AH19" s="25">
        <f>RANK(INDEX(KOMBI!$A$11:$GI$145,MATCH('KSH järjestus'!$C19,KOMBI!$A$11:$A$145,0),MATCH('KSH järjestus'!AH$3,KOMBI!$A$1:$GI$1,0)),CE$4:CE$138,AH$2)</f>
        <v>31</v>
      </c>
      <c r="AI19" s="25">
        <f>RANK(INDEX(KOMBI!$A$11:$GI$145,MATCH('KSH järjestus'!$C19,KOMBI!$A$11:$A$145,0),MATCH('KSH järjestus'!AI$3,KOMBI!$A$1:$GI$1,0)),CF$4:CF$138,AI$2)</f>
        <v>85</v>
      </c>
      <c r="AJ19" s="25">
        <f>RANK(INDEX(KOMBI!$A$11:$GI$145,MATCH('KSH järjestus'!$C19,KOMBI!$A$11:$A$145,0),MATCH('KSH järjestus'!AJ$3,KOMBI!$A$1:$GI$1,0)),CG$4:CG$138,AJ$2)</f>
        <v>112</v>
      </c>
      <c r="AK19" s="25">
        <f>RANK(INDEX(KOMBI!$A$11:$GI$145,MATCH('KSH järjestus'!$C19,KOMBI!$A$11:$A$145,0),MATCH('KSH järjestus'!AK$3,KOMBI!$A$1:$GI$1,0)),CH$4:CH$138,AK$2)</f>
        <v>130</v>
      </c>
      <c r="AN19" s="25">
        <f>RANK(INDEX(KOMBI!$A$11:$GI$145,MATCH('KSH järjestus'!$C19,KOMBI!$A$11:$A$145,0),MATCH('KSH järjestus'!AN$3,KOMBI!$A$1:$GI$1,0)),CK$4:CK$138,AN$2)</f>
        <v>46</v>
      </c>
      <c r="AO19" s="25">
        <f>RANK(INDEX(KOMBI!$A$11:$GI$145,MATCH('KSH järjestus'!$C19,KOMBI!$A$11:$A$145,0),MATCH('KSH järjestus'!AO$3,KOMBI!$A$1:$GI$1,0)),CL$4:CL$138,AO$2)</f>
        <v>46</v>
      </c>
      <c r="AS19" s="297">
        <f t="shared" si="0"/>
        <v>2090</v>
      </c>
      <c r="AT19" s="25">
        <f t="shared" si="1"/>
        <v>812</v>
      </c>
      <c r="AU19" s="25">
        <f t="shared" si="2"/>
        <v>116</v>
      </c>
      <c r="AV19" s="295" t="str">
        <f>VLOOKUP(VLOOKUP($AU19,KOMBI!$A:$H,3,FALSE),data!$I$27:$J$29,2,FALSE)</f>
        <v>Vähe-sekkuv</v>
      </c>
      <c r="AW19" s="295" t="str">
        <f>VLOOKUP(VLOOKUP($AU19,KOMBI!$A:$H,2,FALSE),data!$I$21:$J$23,2,FALSE)</f>
        <v>Sekkuv</v>
      </c>
      <c r="AX19" s="295" t="str">
        <f>VLOOKUP(VLOOKUP($AU19,KOMBI!$A:$H,5,FALSE),data!$I$39:$J$41,2,FALSE)</f>
        <v>Vähe-sekkuv</v>
      </c>
      <c r="AY19" s="295" t="str">
        <f>VLOOKUP(VLOOKUP($AU19,KOMBI!$A:$H,4,FALSE),data!$I$32:$J$36,2,FALSE)</f>
        <v>TE++</v>
      </c>
      <c r="BA19" s="25">
        <f t="array" ref="BA19">INDEX(KOMBI!$A$1:$GI$145,ROW('KSH järjestus'!BA26),MATCH('KSH järjestus'!BA$3,KOMBI!$A$1:$GI$1,0))</f>
        <v>0.96483978949162208</v>
      </c>
      <c r="BB19" s="25">
        <f t="array" ref="BB19">INDEX(KOMBI!$A$1:$GI$145,ROW('KSH järjestus'!BB26),MATCH('KSH järjestus'!BB$3,KOMBI!$A$1:$GI$1,0))</f>
        <v>102.15504074879252</v>
      </c>
      <c r="BC19" s="25">
        <f t="array" aca="1" ref="BC19" ca="1">INDEX(KOMBI!$A$1:$GI$145,ROW('KSH järjestus'!BC26),MATCH('KSH järjestus'!BC$3,KOMBI!$A$1:$GI$1,0))</f>
        <v>5.2138772564972484</v>
      </c>
      <c r="BD19" s="25">
        <f t="array" ref="BD19">INDEX(KOMBI!$A$1:$GI$145,ROW('KSH järjestus'!BD26),MATCH('KSH järjestus'!BD$3,KOMBI!$A$1:$GI$1,0))</f>
        <v>-36.76</v>
      </c>
      <c r="BE19" s="25">
        <f t="array" ref="BE19">INDEX(KOMBI!$A$1:$GI$145,ROW('KSH järjestus'!BE26),MATCH('KSH järjestus'!BE$3,KOMBI!$A$1:$GI$1,0))</f>
        <v>41.973877256497246</v>
      </c>
      <c r="BF19" s="25">
        <f t="array" aca="1" ref="BF19" ca="1">INDEX(KOMBI!$A$1:$GI$145,ROW('KSH järjestus'!BF26),MATCH('KSH järjestus'!BF$3,KOMBI!$A$1:$GI$1,0))</f>
        <v>0</v>
      </c>
      <c r="BG19" s="25">
        <f t="array" ref="BG19">INDEX(KOMBI!$A$1:$GI$145,ROW('KSH järjestus'!BG26),MATCH('KSH järjestus'!BG$3,KOMBI!$A$1:$GI$1,0))</f>
        <v>0.60176978426984962</v>
      </c>
      <c r="BH19" s="25">
        <f t="array" ref="BH19">INDEX(KOMBI!$A$1:$GI$145,ROW('KSH järjestus'!BH26),MATCH('KSH järjestus'!BH$3,KOMBI!$A$1:$GI$1,0))</f>
        <v>90</v>
      </c>
      <c r="BI19" s="25">
        <f t="array" ref="BI19">INDEX(KOMBI!$A$1:$GI$145,ROW('KSH järjestus'!BI26),MATCH('KSH järjestus'!BI$3,KOMBI!$A$1:$GI$1,0))</f>
        <v>1</v>
      </c>
      <c r="BJ19" s="25">
        <f t="array" ref="BJ19">INDEX(KOMBI!$A$1:$GI$145,ROW('KSH järjestus'!BJ26),MATCH('KSH järjestus'!BJ$3,KOMBI!$A$1:$GI$1,0))</f>
        <v>0.27911646586345373</v>
      </c>
      <c r="BK19" s="25">
        <f t="array" ref="BK19">INDEX(KOMBI!$A$1:$GI$145,ROW('KSH järjestus'!BK26),MATCH('KSH järjestus'!BK$3,KOMBI!$A$1:$GI$1,0))</f>
        <v>0.30502832668268498</v>
      </c>
      <c r="BL19" s="25">
        <f t="array" ref="BL19">INDEX(KOMBI!$A$1:$GI$145,ROW('KSH järjestus'!BL26),MATCH('KSH järjestus'!BL$3,KOMBI!$A$1:$GI$1,0))</f>
        <v>4.2878443017911501E-3</v>
      </c>
      <c r="BM19" s="25">
        <f t="array" ref="BM19">INDEX(KOMBI!$A$1:$GI$145,ROW('KSH järjestus'!BM26),MATCH('KSH järjestus'!BM$3,KOMBI!$A$1:$GI$1,0))</f>
        <v>-3.2820865895897499E-3</v>
      </c>
      <c r="BN19" s="25">
        <f t="array" ref="BN19">INDEX(KOMBI!$A$1:$GI$145,ROW('KSH järjestus'!BN26),MATCH('KSH järjestus'!BN$3,KOMBI!$A$1:$GI$1,0))</f>
        <v>-6.8195150252256531E-4</v>
      </c>
      <c r="BO19" s="25">
        <f t="array" ref="BO19">INDEX(KOMBI!$A$1:$GI$145,ROW('KSH järjestus'!BO26),MATCH('KSH järjestus'!BO$3,KOMBI!$A$1:$GI$1,0))</f>
        <v>4.983530417072504E-3</v>
      </c>
      <c r="BP19" s="25">
        <f t="array" ref="BP19">INDEX(KOMBI!$A$1:$GI$145,ROW('KSH järjestus'!BP26),MATCH('KSH järjestus'!BP$3,KOMBI!$A$1:$GI$1,0))</f>
        <v>7.7960000000000003</v>
      </c>
      <c r="BQ19" s="25">
        <f t="array" ref="BQ19">INDEX(KOMBI!$A$1:$GI$145,ROW('KSH järjestus'!BQ26),MATCH('KSH järjestus'!BQ$3,KOMBI!$A$1:$GI$1,0))</f>
        <v>10.851000000000001</v>
      </c>
      <c r="BR19" s="25">
        <f t="array" ref="BR19">INDEX(KOMBI!$A$1:$GI$145,ROW('KSH järjestus'!BR26),MATCH('KSH järjestus'!BR$3,KOMBI!$A$1:$GI$1,0))</f>
        <v>-1.2805851953787001E-2</v>
      </c>
      <c r="BS19" s="25">
        <f t="array" ref="BS19">INDEX(KOMBI!$A$1:$GI$145,ROW('KSH järjestus'!BS26),MATCH('KSH järjestus'!BS$3,KOMBI!$A$1:$GI$1,0))</f>
        <v>-1.0978676018761777E-2</v>
      </c>
      <c r="BT19" s="25">
        <f t="array" ref="BT19">INDEX(KOMBI!$A$1:$GI$145,ROW('KSH järjestus'!BT26),MATCH('KSH järjestus'!BT$3,KOMBI!$A$1:$GI$1,0))</f>
        <v>-1.9517465554739134E-2</v>
      </c>
      <c r="BU19" s="25">
        <f t="array" ref="BU19">INDEX(KOMBI!$A$1:$GI$145,ROW('KSH järjestus'!BU26),MATCH('KSH järjestus'!BU$3,KOMBI!$A$1:$GI$1,0))</f>
        <v>9.1482332703934581</v>
      </c>
      <c r="BV19" s="25">
        <f t="array" ref="BV19">INDEX(KOMBI!$A$1:$GI$145,ROW('KSH järjestus'!BV26),MATCH('KSH järjestus'!BV$3,KOMBI!$A$1:$GI$1,0))</f>
        <v>5.0659999999999998</v>
      </c>
      <c r="BW19" s="25">
        <f t="array" ref="BW19">INDEX(KOMBI!$A$1:$GI$145,ROW('KSH järjestus'!BW26),MATCH('KSH järjestus'!BW$3,KOMBI!$A$1:$GI$1,0))</f>
        <v>3.1566368215830605</v>
      </c>
      <c r="BX19" s="25">
        <f t="array" ref="BX19">INDEX(KOMBI!$A$1:$GI$145,ROW('KSH järjestus'!BX26),MATCH('KSH järjestus'!BX$3,KOMBI!$A$1:$GI$1,0))</f>
        <v>19.289000000000001</v>
      </c>
      <c r="BY19" s="25">
        <f t="array" ref="BY19">INDEX(KOMBI!$A$1:$GI$145,ROW('KSH järjestus'!BY26),MATCH('KSH järjestus'!BY$3,KOMBI!$A$1:$GI$1,0))</f>
        <v>11.87654313437131</v>
      </c>
      <c r="BZ19" s="25">
        <f t="array" ref="BZ19">INDEX(KOMBI!$A$1:$GI$145,ROW('KSH järjestus'!BZ26),MATCH('KSH järjestus'!BZ$3,KOMBI!$A$1:$GI$1,0))</f>
        <v>74</v>
      </c>
      <c r="CA19" s="25">
        <f t="array" ref="CA19">INDEX(KOMBI!$A$1:$GI$145,ROW('KSH järjestus'!CA26),MATCH('KSH järjestus'!CA$3,KOMBI!$A$1:$GI$1,0))</f>
        <v>14.522</v>
      </c>
      <c r="CB19" s="25">
        <f t="array" ref="CB19">INDEX(KOMBI!$A$1:$GI$145,ROW('KSH järjestus'!CB26),MATCH('KSH järjestus'!CB$3,KOMBI!$A$1:$GI$1,0))</f>
        <v>65.046944444444449</v>
      </c>
      <c r="CC19" s="25">
        <f t="array" ref="CC19">INDEX(KOMBI!$A$1:$GI$145,ROW('KSH järjestus'!CC26),MATCH('KSH järjestus'!CC$3,KOMBI!$A$1:$GI$1,0))</f>
        <v>5.2099929999999999</v>
      </c>
      <c r="CD19" s="25">
        <f t="array" ref="CD19">INDEX(KOMBI!$A$1:$GI$145,ROW('KSH järjestus'!CD26),MATCH('KSH järjestus'!CD$3,KOMBI!$A$1:$GI$1,0))</f>
        <v>318.5</v>
      </c>
      <c r="CE19" s="25">
        <f t="array" ref="CE19">INDEX(KOMBI!$A$1:$GI$145,ROW('KSH järjestus'!CE26),MATCH('KSH järjestus'!CE$3,KOMBI!$A$1:$GI$1,0))</f>
        <v>2.851</v>
      </c>
      <c r="CF19" s="25">
        <f t="array" ref="CF19">INDEX(KOMBI!$A$1:$GI$145,ROW('KSH järjestus'!CF26),MATCH('KSH järjestus'!CF$3,KOMBI!$A$1:$GI$1,0))</f>
        <v>50.464567183462528</v>
      </c>
      <c r="CG19" s="25">
        <f t="array" ref="CG19">INDEX(KOMBI!$A$1:$GI$145,ROW('KSH järjestus'!CG26),MATCH('KSH järjestus'!CG$3,KOMBI!$A$1:$GI$1,0))</f>
        <v>2.1267750475898739E-2</v>
      </c>
      <c r="CH19" s="25">
        <f t="array" ref="CH19">INDEX(KOMBI!$A$1:$GI$145,ROW('KSH järjestus'!CH26),MATCH('KSH järjestus'!CH$3,KOMBI!$A$1:$GI$1,0))</f>
        <v>0.35547441046944428</v>
      </c>
      <c r="CI19" s="25">
        <f t="array" ref="CI19">INDEX(KOMBI!$A$1:$GI$145,ROW('KSH järjestus'!CI26),MATCH('KSH järjestus'!CI$3,KOMBI!$A$1:$GI$1,0))</f>
        <v>6.28</v>
      </c>
      <c r="CJ19" s="25">
        <f t="array" ref="CJ19">INDEX(KOMBI!$A$1:$GI$145,ROW('KSH järjestus'!CJ26),MATCH('KSH järjestus'!CJ$3,KOMBI!$A$1:$GI$1,0))</f>
        <v>4.9416368215830611</v>
      </c>
      <c r="CK19" s="25">
        <f t="array" ref="CK19">INDEX(KOMBI!$A$1:$GI$145,ROW('KSH järjestus'!CK26),MATCH('KSH järjestus'!CK$3,KOMBI!$A$1:$GI$1,0))</f>
        <v>0.21099999999999999</v>
      </c>
      <c r="CL19" s="25">
        <f t="array" ref="CL19">INDEX(KOMBI!$A$1:$GI$145,ROW('KSH järjestus'!CL26),MATCH('KSH järjestus'!CL$3,KOMBI!$A$1:$GI$1,0))</f>
        <v>0.76300000000000001</v>
      </c>
    </row>
    <row r="20" spans="3:90" x14ac:dyDescent="0.2">
      <c r="C20" s="184">
        <v>17</v>
      </c>
      <c r="G20" s="25">
        <f>RANK(INDEX(KOMBI!$A$11:$GI$145,MATCH('KSH järjestus'!$C20,KOMBI!$A$11:$A$145,0),MATCH('KSH järjestus'!G$3,KOMBI!$A$1:$GI$1,0)),BD$4:BD$138,G$2)</f>
        <v>96</v>
      </c>
      <c r="H20" s="25">
        <f>RANK(INDEX(KOMBI!$A$11:$GI$145,MATCH('KSH järjestus'!$C20,KOMBI!$A$11:$A$145,0),MATCH('KSH järjestus'!H$3,KOMBI!$A$1:$GI$1,0)),BE$4:BE$138,H$2)</f>
        <v>116</v>
      </c>
      <c r="J20" s="25">
        <f>RANK(INDEX(KOMBI!$A$11:$GI$145,MATCH('KSH järjestus'!$C20,KOMBI!$A$11:$A$145,0),MATCH('KSH järjestus'!J$3,KOMBI!$A$1:$GI$1,0)),BG$4:BG$138,J$2)</f>
        <v>89</v>
      </c>
      <c r="M20" s="25">
        <f>RANK(INDEX(KOMBI!$A$11:$GI$145,MATCH('KSH järjestus'!$C20,KOMBI!$A$11:$A$145,0),MATCH('KSH järjestus'!M$3,KOMBI!$A$1:$GI$1,0)),BJ$4:BJ$138,M$2)</f>
        <v>55</v>
      </c>
      <c r="N20" s="25">
        <f>RANK(INDEX(KOMBI!$A$11:$GI$145,MATCH('KSH järjestus'!$C20,KOMBI!$A$11:$A$145,0),MATCH('KSH järjestus'!N$3,KOMBI!$A$1:$GI$1,0)),BK$4:BK$138,N$2)</f>
        <v>103</v>
      </c>
      <c r="O20" s="25">
        <f>RANK(INDEX(KOMBI!$A$11:$GI$145,MATCH('KSH järjestus'!$C20,KOMBI!$A$11:$A$145,0),MATCH('KSH järjestus'!O$3,KOMBI!$A$1:$GI$1,0)),BL$4:BL$138,O$2)</f>
        <v>107</v>
      </c>
      <c r="P20" s="25">
        <f>RANK(INDEX(KOMBI!$A$11:$GI$145,MATCH('KSH järjestus'!$C20,KOMBI!$A$11:$A$145,0),MATCH('KSH järjestus'!P$3,KOMBI!$A$1:$GI$1,0)),BM$4:BM$138,P$2)</f>
        <v>121</v>
      </c>
      <c r="Q20" s="25">
        <f>RANK(INDEX(KOMBI!$A$11:$GI$145,MATCH('KSH järjestus'!$C20,KOMBI!$A$11:$A$145,0),MATCH('KSH järjestus'!Q$3,KOMBI!$A$1:$GI$1,0)),BN$4:BN$138,Q$2)</f>
        <v>101</v>
      </c>
      <c r="R20" s="25">
        <f>RANK(INDEX(KOMBI!$A$11:$GI$145,MATCH('KSH järjestus'!$C20,KOMBI!$A$11:$A$145,0),MATCH('KSH järjestus'!R$3,KOMBI!$A$1:$GI$1,0)),BO$4:BO$138,R$2)</f>
        <v>102</v>
      </c>
      <c r="T20" s="25">
        <f>RANK(INDEX(KOMBI!$A$11:$GI$145,MATCH('KSH järjestus'!$C20,KOMBI!$A$11:$A$145,0),MATCH('KSH järjestus'!T$3,KOMBI!$A$1:$GI$1,0)),BQ$4:BQ$138,T$2)</f>
        <v>85</v>
      </c>
      <c r="U20" s="25">
        <f>RANK(INDEX(KOMBI!$A$11:$GI$145,MATCH('KSH järjestus'!$C20,KOMBI!$A$11:$A$145,0),MATCH('KSH järjestus'!U$3,KOMBI!$A$1:$GI$1,0)),BR$4:BR$138,U$2)</f>
        <v>107</v>
      </c>
      <c r="AA20" s="25">
        <f>RANK(INDEX(KOMBI!$A$11:$GI$145,MATCH('KSH järjestus'!$C20,KOMBI!$A$11:$A$145,0),MATCH('KSH järjestus'!AA$3,KOMBI!$A$1:$GI$1,0)),BX$4:BX$138,AA$2)</f>
        <v>88</v>
      </c>
      <c r="AB20" s="25">
        <f>RANK(INDEX(KOMBI!$A$11:$GI$145,MATCH('KSH järjestus'!$C20,KOMBI!$A$11:$A$145,0),MATCH('KSH järjestus'!AB$3,KOMBI!$A$1:$GI$1,0)),BY$4:BY$138,AB$2)</f>
        <v>79</v>
      </c>
      <c r="AC20" s="25">
        <f>RANK(INDEX(KOMBI!$A$11:$GI$145,MATCH('KSH järjestus'!$C20,KOMBI!$A$11:$A$145,0),MATCH('KSH järjestus'!AC$3,KOMBI!$A$1:$GI$1,0)),BZ$4:BZ$138,AC$2)</f>
        <v>54</v>
      </c>
      <c r="AD20" s="25">
        <f>RANK(INDEX(KOMBI!$A$11:$GI$145,MATCH('KSH järjestus'!$C20,KOMBI!$A$11:$A$145,0),MATCH('KSH järjestus'!AD$3,KOMBI!$A$1:$GI$1,0)),CA$4:CA$138,AD$2)</f>
        <v>82</v>
      </c>
      <c r="AE20" s="25">
        <f>RANK(INDEX(KOMBI!$A$11:$GI$145,MATCH('KSH järjestus'!$C20,KOMBI!$A$11:$A$145,0),MATCH('KSH järjestus'!AE$3,KOMBI!$A$1:$GI$1,0)),CB$4:CB$138,AE$2)</f>
        <v>85</v>
      </c>
      <c r="AG20" s="25">
        <f>RANK(INDEX(KOMBI!$A$11:$GI$145,MATCH('KSH järjestus'!$C20,KOMBI!$A$11:$A$145,0),MATCH('KSH järjestus'!AG$3,KOMBI!$A$1:$GI$1,0)),CD$4:CD$138,AG$2)</f>
        <v>94</v>
      </c>
      <c r="AH20" s="25">
        <f>RANK(INDEX(KOMBI!$A$11:$GI$145,MATCH('KSH järjestus'!$C20,KOMBI!$A$11:$A$145,0),MATCH('KSH järjestus'!AH$3,KOMBI!$A$1:$GI$1,0)),CE$4:CE$138,AH$2)</f>
        <v>31</v>
      </c>
      <c r="AI20" s="25">
        <f>RANK(INDEX(KOMBI!$A$11:$GI$145,MATCH('KSH järjestus'!$C20,KOMBI!$A$11:$A$145,0),MATCH('KSH järjestus'!AI$3,KOMBI!$A$1:$GI$1,0)),CF$4:CF$138,AI$2)</f>
        <v>85</v>
      </c>
      <c r="AJ20" s="25">
        <f>RANK(INDEX(KOMBI!$A$11:$GI$145,MATCH('KSH järjestus'!$C20,KOMBI!$A$11:$A$145,0),MATCH('KSH järjestus'!AJ$3,KOMBI!$A$1:$GI$1,0)),CG$4:CG$138,AJ$2)</f>
        <v>112</v>
      </c>
      <c r="AK20" s="25">
        <f>RANK(INDEX(KOMBI!$A$11:$GI$145,MATCH('KSH järjestus'!$C20,KOMBI!$A$11:$A$145,0),MATCH('KSH järjestus'!AK$3,KOMBI!$A$1:$GI$1,0)),CH$4:CH$138,AK$2)</f>
        <v>130</v>
      </c>
      <c r="AN20" s="25">
        <f>RANK(INDEX(KOMBI!$A$11:$GI$145,MATCH('KSH järjestus'!$C20,KOMBI!$A$11:$A$145,0),MATCH('KSH järjestus'!AN$3,KOMBI!$A$1:$GI$1,0)),CK$4:CK$138,AN$2)</f>
        <v>46</v>
      </c>
      <c r="AO20" s="25">
        <f>RANK(INDEX(KOMBI!$A$11:$GI$145,MATCH('KSH järjestus'!$C20,KOMBI!$A$11:$A$145,0),MATCH('KSH järjestus'!AO$3,KOMBI!$A$1:$GI$1,0)),CL$4:CL$138,AO$2)</f>
        <v>46</v>
      </c>
      <c r="AS20" s="297">
        <f t="shared" si="0"/>
        <v>2014</v>
      </c>
      <c r="AT20" s="25">
        <f t="shared" si="1"/>
        <v>858</v>
      </c>
      <c r="AU20" s="25">
        <f t="shared" si="2"/>
        <v>112</v>
      </c>
      <c r="AV20" s="295" t="str">
        <f>VLOOKUP(VLOOKUP($AU20,KOMBI!$A:$H,3,FALSE),data!$I$27:$J$29,2,FALSE)</f>
        <v>Vähe-sekkuv</v>
      </c>
      <c r="AW20" s="295" t="str">
        <f>VLOOKUP(VLOOKUP($AU20,KOMBI!$A:$H,2,FALSE),data!$I$21:$J$23,2,FALSE)</f>
        <v>Sekkuv</v>
      </c>
      <c r="AX20" s="295" t="str">
        <f>VLOOKUP(VLOOKUP($AU20,KOMBI!$A:$H,5,FALSE),data!$I$39:$J$41,2,FALSE)</f>
        <v>Mittesekkuv</v>
      </c>
      <c r="AY20" s="295" t="str">
        <f>VLOOKUP(VLOOKUP($AU20,KOMBI!$A:$H,4,FALSE),data!$I$32:$J$36,2,FALSE)</f>
        <v>TE</v>
      </c>
      <c r="BA20" s="25">
        <f t="array" ref="BA20">INDEX(KOMBI!$A$1:$GI$145,ROW('KSH järjestus'!BA27),MATCH('KSH järjestus'!BA$3,KOMBI!$A$1:$GI$1,0))</f>
        <v>1.8807514381374633</v>
      </c>
      <c r="BB20" s="25">
        <f t="array" ref="BB20">INDEX(KOMBI!$A$1:$GI$145,ROW('KSH järjestus'!BB27),MATCH('KSH järjestus'!BB$3,KOMBI!$A$1:$GI$1,0))</f>
        <v>262.63507301805578</v>
      </c>
      <c r="BC20" s="25">
        <f t="array" aca="1" ref="BC20" ca="1">INDEX(KOMBI!$A$1:$GI$145,ROW('KSH järjestus'!BC27),MATCH('KSH järjestus'!BC$3,KOMBI!$A$1:$GI$1,0))</f>
        <v>34.379199285032342</v>
      </c>
      <c r="BD20" s="25">
        <f t="array" ref="BD20">INDEX(KOMBI!$A$1:$GI$145,ROW('KSH järjestus'!BD27),MATCH('KSH järjestus'!BD$3,KOMBI!$A$1:$GI$1,0))</f>
        <v>-51.993219880632097</v>
      </c>
      <c r="BE20" s="25">
        <f t="array" ref="BE20">INDEX(KOMBI!$A$1:$GI$145,ROW('KSH järjestus'!BE27),MATCH('KSH järjestus'!BE$3,KOMBI!$A$1:$GI$1,0))</f>
        <v>86.372419165664439</v>
      </c>
      <c r="BF20" s="25">
        <f t="array" aca="1" ref="BF20" ca="1">INDEX(KOMBI!$A$1:$GI$145,ROW('KSH järjestus'!BF27),MATCH('KSH järjestus'!BF$3,KOMBI!$A$1:$GI$1,0))</f>
        <v>0</v>
      </c>
      <c r="BG20" s="25">
        <f t="array" ref="BG20">INDEX(KOMBI!$A$1:$GI$145,ROW('KSH järjestus'!BG27),MATCH('KSH järjestus'!BG$3,KOMBI!$A$1:$GI$1,0))</f>
        <v>0.57832516657529365</v>
      </c>
      <c r="BH20" s="25">
        <f t="array" ref="BH20">INDEX(KOMBI!$A$1:$GI$145,ROW('KSH järjestus'!BH27),MATCH('KSH järjestus'!BH$3,KOMBI!$A$1:$GI$1,0))</f>
        <v>90</v>
      </c>
      <c r="BI20" s="25">
        <f t="array" ref="BI20">INDEX(KOMBI!$A$1:$GI$145,ROW('KSH järjestus'!BI27),MATCH('KSH järjestus'!BI$3,KOMBI!$A$1:$GI$1,0))</f>
        <v>0.91028830406496797</v>
      </c>
      <c r="BJ20" s="25">
        <f t="array" ref="BJ20">INDEX(KOMBI!$A$1:$GI$145,ROW('KSH järjestus'!BJ27),MATCH('KSH järjestus'!BJ$3,KOMBI!$A$1:$GI$1,0))</f>
        <v>0.27911646586345373</v>
      </c>
      <c r="BK20" s="25">
        <f t="array" ref="BK20">INDEX(KOMBI!$A$1:$GI$145,ROW('KSH järjestus'!BK27),MATCH('KSH järjestus'!BK$3,KOMBI!$A$1:$GI$1,0))</f>
        <v>0.30502832668268498</v>
      </c>
      <c r="BL20" s="25">
        <f t="array" ref="BL20">INDEX(KOMBI!$A$1:$GI$145,ROW('KSH järjestus'!BL27),MATCH('KSH järjestus'!BL$3,KOMBI!$A$1:$GI$1,0))</f>
        <v>1.0570237388213478E-2</v>
      </c>
      <c r="BM20" s="25">
        <f t="array" ref="BM20">INDEX(KOMBI!$A$1:$GI$145,ROW('KSH järjestus'!BM27),MATCH('KSH järjestus'!BM$3,KOMBI!$A$1:$GI$1,0))</f>
        <v>-5.9751394390053633E-3</v>
      </c>
      <c r="BN20" s="25">
        <f t="array" ref="BN20">INDEX(KOMBI!$A$1:$GI$145,ROW('KSH järjestus'!BN27),MATCH('KSH järjestus'!BN$3,KOMBI!$A$1:$GI$1,0))</f>
        <v>1.8109183588352618E-3</v>
      </c>
      <c r="BO20" s="25">
        <f t="array" ref="BO20">INDEX(KOMBI!$A$1:$GI$145,ROW('KSH järjestus'!BO27),MATCH('KSH järjestus'!BO$3,KOMBI!$A$1:$GI$1,0))</f>
        <v>8.8084169609493317E-3</v>
      </c>
      <c r="BP20" s="25">
        <f t="array" ref="BP20">INDEX(KOMBI!$A$1:$GI$145,ROW('KSH järjestus'!BP27),MATCH('KSH järjestus'!BP$3,KOMBI!$A$1:$GI$1,0))</f>
        <v>7.7960000000000003</v>
      </c>
      <c r="BQ20" s="25">
        <f t="array" ref="BQ20">INDEX(KOMBI!$A$1:$GI$145,ROW('KSH järjestus'!BQ27),MATCH('KSH järjestus'!BQ$3,KOMBI!$A$1:$GI$1,0))</f>
        <v>10.942</v>
      </c>
      <c r="BR20" s="25">
        <f t="array" ref="BR20">INDEX(KOMBI!$A$1:$GI$145,ROW('KSH järjestus'!BR27),MATCH('KSH järjestus'!BR$3,KOMBI!$A$1:$GI$1,0))</f>
        <v>-8.5720529425222791E-3</v>
      </c>
      <c r="BS20" s="25">
        <f t="array" ref="BS20">INDEX(KOMBI!$A$1:$GI$145,ROW('KSH järjestus'!BS27),MATCH('KSH järjestus'!BS$3,KOMBI!$A$1:$GI$1,0))</f>
        <v>-9.6450637991262154E-3</v>
      </c>
      <c r="BT20" s="25">
        <f t="array" ref="BT20">INDEX(KOMBI!$A$1:$GI$145,ROW('KSH järjestus'!BT27),MATCH('KSH järjestus'!BT$3,KOMBI!$A$1:$GI$1,0))</f>
        <v>-1.8418502755345175E-2</v>
      </c>
      <c r="BU20" s="25">
        <f t="array" ref="BU20">INDEX(KOMBI!$A$1:$GI$145,ROW('KSH järjestus'!BU27),MATCH('KSH järjestus'!BU$3,KOMBI!$A$1:$GI$1,0))</f>
        <v>9.1482332703934581</v>
      </c>
      <c r="BV20" s="25">
        <f t="array" ref="BV20">INDEX(KOMBI!$A$1:$GI$145,ROW('KSH järjestus'!BV27),MATCH('KSH järjestus'!BV$3,KOMBI!$A$1:$GI$1,0))</f>
        <v>5.0659999999999998</v>
      </c>
      <c r="BW20" s="25">
        <f t="array" ref="BW20">INDEX(KOMBI!$A$1:$GI$145,ROW('KSH järjestus'!BW27),MATCH('KSH järjestus'!BW$3,KOMBI!$A$1:$GI$1,0))</f>
        <v>3.5341368215830604</v>
      </c>
      <c r="BX20" s="25">
        <f t="array" ref="BX20">INDEX(KOMBI!$A$1:$GI$145,ROW('KSH järjestus'!BX27),MATCH('KSH järjestus'!BX$3,KOMBI!$A$1:$GI$1,0))</f>
        <v>19.289000000000001</v>
      </c>
      <c r="BY20" s="25">
        <f t="array" ref="BY20">INDEX(KOMBI!$A$1:$GI$145,ROW('KSH järjestus'!BY27),MATCH('KSH järjestus'!BY$3,KOMBI!$A$1:$GI$1,0))</f>
        <v>11.87654313437131</v>
      </c>
      <c r="BZ20" s="25">
        <f t="array" ref="BZ20">INDEX(KOMBI!$A$1:$GI$145,ROW('KSH järjestus'!BZ27),MATCH('KSH järjestus'!BZ$3,KOMBI!$A$1:$GI$1,0))</f>
        <v>74.400000000000006</v>
      </c>
      <c r="CA20" s="25">
        <f t="array" ref="CA20">INDEX(KOMBI!$A$1:$GI$145,ROW('KSH järjestus'!CA27),MATCH('KSH järjestus'!CA$3,KOMBI!$A$1:$GI$1,0))</f>
        <v>14.611000000000001</v>
      </c>
      <c r="CB20" s="25">
        <f t="array" ref="CB20">INDEX(KOMBI!$A$1:$GI$145,ROW('KSH järjestus'!CB27),MATCH('KSH järjestus'!CB$3,KOMBI!$A$1:$GI$1,0))</f>
        <v>65.387222222222221</v>
      </c>
      <c r="CC20" s="25">
        <f t="array" ref="CC20">INDEX(KOMBI!$A$1:$GI$145,ROW('KSH järjestus'!CC27),MATCH('KSH järjestus'!CC$3,KOMBI!$A$1:$GI$1,0))</f>
        <v>5.2432850000000002</v>
      </c>
      <c r="CD20" s="25">
        <f t="array" ref="CD20">INDEX(KOMBI!$A$1:$GI$145,ROW('KSH järjestus'!CD27),MATCH('KSH järjestus'!CD$3,KOMBI!$A$1:$GI$1,0))</f>
        <v>318.5</v>
      </c>
      <c r="CE20" s="25">
        <f t="array" ref="CE20">INDEX(KOMBI!$A$1:$GI$145,ROW('KSH järjestus'!CE27),MATCH('KSH järjestus'!CE$3,KOMBI!$A$1:$GI$1,0))</f>
        <v>2.851</v>
      </c>
      <c r="CF20" s="25">
        <f t="array" ref="CF20">INDEX(KOMBI!$A$1:$GI$145,ROW('KSH järjestus'!CF27),MATCH('KSH järjestus'!CF$3,KOMBI!$A$1:$GI$1,0))</f>
        <v>50.464567183462528</v>
      </c>
      <c r="CG20" s="25">
        <f t="array" ref="CG20">INDEX(KOMBI!$A$1:$GI$145,ROW('KSH järjestus'!CG27),MATCH('KSH järjestus'!CG$3,KOMBI!$A$1:$GI$1,0))</f>
        <v>2.1267750475898739E-2</v>
      </c>
      <c r="CH20" s="25">
        <f t="array" ref="CH20">INDEX(KOMBI!$A$1:$GI$145,ROW('KSH järjestus'!CH27),MATCH('KSH järjestus'!CH$3,KOMBI!$A$1:$GI$1,0))</f>
        <v>0.35547441046944428</v>
      </c>
      <c r="CI20" s="25">
        <f t="array" ref="CI20">INDEX(KOMBI!$A$1:$GI$145,ROW('KSH järjestus'!CI27),MATCH('KSH järjestus'!CI$3,KOMBI!$A$1:$GI$1,0))</f>
        <v>6.28</v>
      </c>
      <c r="CJ20" s="25">
        <f t="array" ref="CJ20">INDEX(KOMBI!$A$1:$GI$145,ROW('KSH järjestus'!CJ27),MATCH('KSH järjestus'!CJ$3,KOMBI!$A$1:$GI$1,0))</f>
        <v>4.9416368215830611</v>
      </c>
      <c r="CK20" s="25">
        <f t="array" ref="CK20">INDEX(KOMBI!$A$1:$GI$145,ROW('KSH järjestus'!CK27),MATCH('KSH järjestus'!CK$3,KOMBI!$A$1:$GI$1,0))</f>
        <v>0.21099999999999999</v>
      </c>
      <c r="CL20" s="25">
        <f t="array" ref="CL20">INDEX(KOMBI!$A$1:$GI$145,ROW('KSH järjestus'!CL27),MATCH('KSH järjestus'!CL$3,KOMBI!$A$1:$GI$1,0))</f>
        <v>0.76300000000000001</v>
      </c>
    </row>
    <row r="21" spans="3:90" x14ac:dyDescent="0.2">
      <c r="C21" s="184">
        <v>18</v>
      </c>
      <c r="G21" s="25">
        <f>RANK(INDEX(KOMBI!$A$11:$GI$145,MATCH('KSH järjestus'!$C21,KOMBI!$A$11:$A$145,0),MATCH('KSH järjestus'!G$3,KOMBI!$A$1:$GI$1,0)),BD$4:BD$138,G$2)</f>
        <v>76</v>
      </c>
      <c r="H21" s="25">
        <f>RANK(INDEX(KOMBI!$A$11:$GI$145,MATCH('KSH järjestus'!$C21,KOMBI!$A$11:$A$145,0),MATCH('KSH järjestus'!H$3,KOMBI!$A$1:$GI$1,0)),BE$4:BE$138,H$2)</f>
        <v>95</v>
      </c>
      <c r="J21" s="25">
        <f>RANK(INDEX(KOMBI!$A$11:$GI$145,MATCH('KSH järjestus'!$C21,KOMBI!$A$11:$A$145,0),MATCH('KSH järjestus'!J$3,KOMBI!$A$1:$GI$1,0)),BG$4:BG$138,J$2)</f>
        <v>89</v>
      </c>
      <c r="M21" s="25">
        <f>RANK(INDEX(KOMBI!$A$11:$GI$145,MATCH('KSH järjestus'!$C21,KOMBI!$A$11:$A$145,0),MATCH('KSH järjestus'!M$3,KOMBI!$A$1:$GI$1,0)),BJ$4:BJ$138,M$2)</f>
        <v>55</v>
      </c>
      <c r="N21" s="25">
        <f>RANK(INDEX(KOMBI!$A$11:$GI$145,MATCH('KSH järjestus'!$C21,KOMBI!$A$11:$A$145,0),MATCH('KSH järjestus'!N$3,KOMBI!$A$1:$GI$1,0)),BK$4:BK$138,N$2)</f>
        <v>103</v>
      </c>
      <c r="O21" s="25">
        <f>RANK(INDEX(KOMBI!$A$11:$GI$145,MATCH('KSH järjestus'!$C21,KOMBI!$A$11:$A$145,0),MATCH('KSH järjestus'!O$3,KOMBI!$A$1:$GI$1,0)),BL$4:BL$138,O$2)</f>
        <v>77</v>
      </c>
      <c r="P21" s="25">
        <f>RANK(INDEX(KOMBI!$A$11:$GI$145,MATCH('KSH järjestus'!$C21,KOMBI!$A$11:$A$145,0),MATCH('KSH järjestus'!P$3,KOMBI!$A$1:$GI$1,0)),BM$4:BM$138,P$2)</f>
        <v>120</v>
      </c>
      <c r="Q21" s="25">
        <f>RANK(INDEX(KOMBI!$A$11:$GI$145,MATCH('KSH järjestus'!$C21,KOMBI!$A$11:$A$145,0),MATCH('KSH järjestus'!Q$3,KOMBI!$A$1:$GI$1,0)),BN$4:BN$138,Q$2)</f>
        <v>84</v>
      </c>
      <c r="R21" s="25">
        <f>RANK(INDEX(KOMBI!$A$11:$GI$145,MATCH('KSH järjestus'!$C21,KOMBI!$A$11:$A$145,0),MATCH('KSH järjestus'!R$3,KOMBI!$A$1:$GI$1,0)),BO$4:BO$138,R$2)</f>
        <v>65</v>
      </c>
      <c r="T21" s="25">
        <f>RANK(INDEX(KOMBI!$A$11:$GI$145,MATCH('KSH järjestus'!$C21,KOMBI!$A$11:$A$145,0),MATCH('KSH järjestus'!T$3,KOMBI!$A$1:$GI$1,0)),BQ$4:BQ$138,T$2)</f>
        <v>99</v>
      </c>
      <c r="U21" s="25">
        <f>RANK(INDEX(KOMBI!$A$11:$GI$145,MATCH('KSH järjestus'!$C21,KOMBI!$A$11:$A$145,0),MATCH('KSH järjestus'!U$3,KOMBI!$A$1:$GI$1,0)),BR$4:BR$138,U$2)</f>
        <v>115</v>
      </c>
      <c r="AA21" s="25">
        <f>RANK(INDEX(KOMBI!$A$11:$GI$145,MATCH('KSH järjestus'!$C21,KOMBI!$A$11:$A$145,0),MATCH('KSH järjestus'!AA$3,KOMBI!$A$1:$GI$1,0)),BX$4:BX$138,AA$2)</f>
        <v>88</v>
      </c>
      <c r="AB21" s="25">
        <f>RANK(INDEX(KOMBI!$A$11:$GI$145,MATCH('KSH järjestus'!$C21,KOMBI!$A$11:$A$145,0),MATCH('KSH järjestus'!AB$3,KOMBI!$A$1:$GI$1,0)),BY$4:BY$138,AB$2)</f>
        <v>79</v>
      </c>
      <c r="AC21" s="25">
        <f>RANK(INDEX(KOMBI!$A$11:$GI$145,MATCH('KSH järjestus'!$C21,KOMBI!$A$11:$A$145,0),MATCH('KSH järjestus'!AC$3,KOMBI!$A$1:$GI$1,0)),BZ$4:BZ$138,AC$2)</f>
        <v>68</v>
      </c>
      <c r="AD21" s="25">
        <f>RANK(INDEX(KOMBI!$A$11:$GI$145,MATCH('KSH järjestus'!$C21,KOMBI!$A$11:$A$145,0),MATCH('KSH järjestus'!AD$3,KOMBI!$A$1:$GI$1,0)),CA$4:CA$138,AD$2)</f>
        <v>88</v>
      </c>
      <c r="AE21" s="25">
        <f>RANK(INDEX(KOMBI!$A$11:$GI$145,MATCH('KSH järjestus'!$C21,KOMBI!$A$11:$A$145,0),MATCH('KSH järjestus'!AE$3,KOMBI!$A$1:$GI$1,0)),CB$4:CB$138,AE$2)</f>
        <v>91</v>
      </c>
      <c r="AG21" s="25">
        <f>RANK(INDEX(KOMBI!$A$11:$GI$145,MATCH('KSH järjestus'!$C21,KOMBI!$A$11:$A$145,0),MATCH('KSH järjestus'!AG$3,KOMBI!$A$1:$GI$1,0)),CD$4:CD$138,AG$2)</f>
        <v>94</v>
      </c>
      <c r="AH21" s="25">
        <f>RANK(INDEX(KOMBI!$A$11:$GI$145,MATCH('KSH järjestus'!$C21,KOMBI!$A$11:$A$145,0),MATCH('KSH järjestus'!AH$3,KOMBI!$A$1:$GI$1,0)),CE$4:CE$138,AH$2)</f>
        <v>31</v>
      </c>
      <c r="AI21" s="25">
        <f>RANK(INDEX(KOMBI!$A$11:$GI$145,MATCH('KSH järjestus'!$C21,KOMBI!$A$11:$A$145,0),MATCH('KSH järjestus'!AI$3,KOMBI!$A$1:$GI$1,0)),CF$4:CF$138,AI$2)</f>
        <v>85</v>
      </c>
      <c r="AJ21" s="25">
        <f>RANK(INDEX(KOMBI!$A$11:$GI$145,MATCH('KSH järjestus'!$C21,KOMBI!$A$11:$A$145,0),MATCH('KSH järjestus'!AJ$3,KOMBI!$A$1:$GI$1,0)),CG$4:CG$138,AJ$2)</f>
        <v>112</v>
      </c>
      <c r="AK21" s="25">
        <f>RANK(INDEX(KOMBI!$A$11:$GI$145,MATCH('KSH järjestus'!$C21,KOMBI!$A$11:$A$145,0),MATCH('KSH järjestus'!AK$3,KOMBI!$A$1:$GI$1,0)),CH$4:CH$138,AK$2)</f>
        <v>130</v>
      </c>
      <c r="AN21" s="25">
        <f>RANK(INDEX(KOMBI!$A$11:$GI$145,MATCH('KSH järjestus'!$C21,KOMBI!$A$11:$A$145,0),MATCH('KSH järjestus'!AN$3,KOMBI!$A$1:$GI$1,0)),CK$4:CK$138,AN$2)</f>
        <v>46</v>
      </c>
      <c r="AO21" s="25">
        <f>RANK(INDEX(KOMBI!$A$11:$GI$145,MATCH('KSH järjestus'!$C21,KOMBI!$A$11:$A$145,0),MATCH('KSH järjestus'!AO$3,KOMBI!$A$1:$GI$1,0)),CL$4:CL$138,AO$2)</f>
        <v>46</v>
      </c>
      <c r="AS21" s="297">
        <f t="shared" si="0"/>
        <v>1936</v>
      </c>
      <c r="AT21" s="25">
        <f t="shared" si="1"/>
        <v>889</v>
      </c>
      <c r="AU21" s="25">
        <f t="shared" si="2"/>
        <v>84</v>
      </c>
      <c r="AV21" s="295" t="str">
        <f>VLOOKUP(VLOOKUP($AU21,KOMBI!$A:$H,3,FALSE),data!$I$27:$J$29,2,FALSE)</f>
        <v>Sekkuv/EÜ</v>
      </c>
      <c r="AW21" s="295" t="str">
        <f>VLOOKUP(VLOOKUP($AU21,KOMBI!$A:$H,2,FALSE),data!$I$21:$J$23,2,FALSE)</f>
        <v>Vähe-sekkuv</v>
      </c>
      <c r="AX21" s="295" t="str">
        <f>VLOOKUP(VLOOKUP($AU21,KOMBI!$A:$H,5,FALSE),data!$I$39:$J$41,2,FALSE)</f>
        <v>Sekkuv</v>
      </c>
      <c r="AY21" s="295" t="str">
        <f>VLOOKUP(VLOOKUP($AU21,KOMBI!$A:$H,4,FALSE),data!$I$32:$J$36,2,FALSE)</f>
        <v>TE</v>
      </c>
      <c r="BA21" s="25">
        <f t="array" ref="BA21">INDEX(KOMBI!$A$1:$GI$145,ROW('KSH järjestus'!BA28),MATCH('KSH järjestus'!BA$3,KOMBI!$A$1:$GI$1,0))</f>
        <v>2.7858511603789902</v>
      </c>
      <c r="BB21" s="25">
        <f t="array" ref="BB21">INDEX(KOMBI!$A$1:$GI$145,ROW('KSH järjestus'!BB28),MATCH('KSH järjestus'!BB$3,KOMBI!$A$1:$GI$1,0))</f>
        <v>379.24586403553508</v>
      </c>
      <c r="BC21" s="25">
        <f t="array" aca="1" ref="BC21" ca="1">INDEX(KOMBI!$A$1:$GI$145,ROW('KSH järjestus'!BC28),MATCH('KSH järjestus'!BC$3,KOMBI!$A$1:$GI$1,0))</f>
        <v>50.933613644117273</v>
      </c>
      <c r="BD21" s="25">
        <f t="array" ref="BD21">INDEX(KOMBI!$A$1:$GI$145,ROW('KSH järjestus'!BD28),MATCH('KSH järjestus'!BD$3,KOMBI!$A$1:$GI$1,0))</f>
        <v>-71.100813699091034</v>
      </c>
      <c r="BE21" s="25">
        <f t="array" ref="BE21">INDEX(KOMBI!$A$1:$GI$145,ROW('KSH järjestus'!BE28),MATCH('KSH järjestus'!BE$3,KOMBI!$A$1:$GI$1,0))</f>
        <v>122.03442734320831</v>
      </c>
      <c r="BF21" s="25">
        <f t="array" aca="1" ref="BF21" ca="1">INDEX(KOMBI!$A$1:$GI$145,ROW('KSH järjestus'!BF28),MATCH('KSH järjestus'!BF$3,KOMBI!$A$1:$GI$1,0))</f>
        <v>0</v>
      </c>
      <c r="BG21" s="25">
        <f t="array" ref="BG21">INDEX(KOMBI!$A$1:$GI$145,ROW('KSH järjestus'!BG28),MATCH('KSH järjestus'!BG$3,KOMBI!$A$1:$GI$1,0))</f>
        <v>0.57832516657529365</v>
      </c>
      <c r="BH21" s="25">
        <f t="array" ref="BH21">INDEX(KOMBI!$A$1:$GI$145,ROW('KSH järjestus'!BH28),MATCH('KSH järjestus'!BH$3,KOMBI!$A$1:$GI$1,0))</f>
        <v>90</v>
      </c>
      <c r="BI21" s="25">
        <f t="array" ref="BI21">INDEX(KOMBI!$A$1:$GI$145,ROW('KSH järjestus'!BI28),MATCH('KSH järjestus'!BI$3,KOMBI!$A$1:$GI$1,0))</f>
        <v>0.91028830406496786</v>
      </c>
      <c r="BJ21" s="25">
        <f t="array" ref="BJ21">INDEX(KOMBI!$A$1:$GI$145,ROW('KSH järjestus'!BJ28),MATCH('KSH järjestus'!BJ$3,KOMBI!$A$1:$GI$1,0))</f>
        <v>0.27911646586345373</v>
      </c>
      <c r="BK21" s="25">
        <f t="array" ref="BK21">INDEX(KOMBI!$A$1:$GI$145,ROW('KSH järjestus'!BK28),MATCH('KSH järjestus'!BK$3,KOMBI!$A$1:$GI$1,0))</f>
        <v>0.30502832668268498</v>
      </c>
      <c r="BL21" s="25">
        <f t="array" ref="BL21">INDEX(KOMBI!$A$1:$GI$145,ROW('KSH järjestus'!BL28),MATCH('KSH järjestus'!BL$3,KOMBI!$A$1:$GI$1,0))</f>
        <v>1.5221292766459997E-2</v>
      </c>
      <c r="BM21" s="25">
        <f t="array" ref="BM21">INDEX(KOMBI!$A$1:$GI$145,ROW('KSH järjestus'!BM28),MATCH('KSH järjestus'!BM$3,KOMBI!$A$1:$GI$1,0))</f>
        <v>-5.9623737119639773E-3</v>
      </c>
      <c r="BN21" s="25">
        <f t="array" ref="BN21">INDEX(KOMBI!$A$1:$GI$145,ROW('KSH järjestus'!BN28),MATCH('KSH järjestus'!BN$3,KOMBI!$A$1:$GI$1,0))</f>
        <v>3.1417081948819925E-3</v>
      </c>
      <c r="BO21" s="25">
        <f t="array" ref="BO21">INDEX(KOMBI!$A$1:$GI$145,ROW('KSH järjestus'!BO28),MATCH('KSH järjestus'!BO$3,KOMBI!$A$1:$GI$1,0))</f>
        <v>1.2202280409114188E-2</v>
      </c>
      <c r="BP21" s="25">
        <f t="array" ref="BP21">INDEX(KOMBI!$A$1:$GI$145,ROW('KSH järjestus'!BP28),MATCH('KSH järjestus'!BP$3,KOMBI!$A$1:$GI$1,0))</f>
        <v>7.7960000000000003</v>
      </c>
      <c r="BQ21" s="25">
        <f t="array" ref="BQ21">INDEX(KOMBI!$A$1:$GI$145,ROW('KSH järjestus'!BQ28),MATCH('KSH järjestus'!BQ$3,KOMBI!$A$1:$GI$1,0))</f>
        <v>11.166</v>
      </c>
      <c r="BR21" s="25">
        <f t="array" ref="BR21">INDEX(KOMBI!$A$1:$GI$145,ROW('KSH järjestus'!BR28),MATCH('KSH järjestus'!BR$3,KOMBI!$A$1:$GI$1,0))</f>
        <v>-4.5925658120763817E-3</v>
      </c>
      <c r="BS21" s="25">
        <f t="array" ref="BS21">INDEX(KOMBI!$A$1:$GI$145,ROW('KSH järjestus'!BS28),MATCH('KSH järjestus'!BS$3,KOMBI!$A$1:$GI$1,0))</f>
        <v>-8.3859038828377683E-3</v>
      </c>
      <c r="BT21" s="25">
        <f t="array" ref="BT21">INDEX(KOMBI!$A$1:$GI$145,ROW('KSH järjestus'!BT28),MATCH('KSH järjestus'!BT$3,KOMBI!$A$1:$GI$1,0))</f>
        <v>-1.6957783782118922E-2</v>
      </c>
      <c r="BU21" s="25">
        <f t="array" ref="BU21">INDEX(KOMBI!$A$1:$GI$145,ROW('KSH järjestus'!BU28),MATCH('KSH järjestus'!BU$3,KOMBI!$A$1:$GI$1,0))</f>
        <v>9.1482332703934581</v>
      </c>
      <c r="BV21" s="25">
        <f t="array" ref="BV21">INDEX(KOMBI!$A$1:$GI$145,ROW('KSH järjestus'!BV28),MATCH('KSH järjestus'!BV$3,KOMBI!$A$1:$GI$1,0))</f>
        <v>5.0659999999999998</v>
      </c>
      <c r="BW21" s="25">
        <f t="array" ref="BW21">INDEX(KOMBI!$A$1:$GI$145,ROW('KSH järjestus'!BW28),MATCH('KSH järjestus'!BW$3,KOMBI!$A$1:$GI$1,0))</f>
        <v>3.7428368215830607</v>
      </c>
      <c r="BX21" s="25">
        <f t="array" ref="BX21">INDEX(KOMBI!$A$1:$GI$145,ROW('KSH järjestus'!BX28),MATCH('KSH järjestus'!BX$3,KOMBI!$A$1:$GI$1,0))</f>
        <v>19.289000000000001</v>
      </c>
      <c r="BY21" s="25">
        <f t="array" ref="BY21">INDEX(KOMBI!$A$1:$GI$145,ROW('KSH järjestus'!BY28),MATCH('KSH järjestus'!BY$3,KOMBI!$A$1:$GI$1,0))</f>
        <v>11.87654313437131</v>
      </c>
      <c r="BZ21" s="25">
        <f t="array" ref="BZ21">INDEX(KOMBI!$A$1:$GI$145,ROW('KSH järjestus'!BZ28),MATCH('KSH järjestus'!BZ$3,KOMBI!$A$1:$GI$1,0))</f>
        <v>76</v>
      </c>
      <c r="CA21" s="25">
        <f t="array" ref="CA21">INDEX(KOMBI!$A$1:$GI$145,ROW('KSH järjestus'!CA28),MATCH('KSH järjestus'!CA$3,KOMBI!$A$1:$GI$1,0))</f>
        <v>14.863</v>
      </c>
      <c r="CB21" s="25">
        <f t="array" ref="CB21">INDEX(KOMBI!$A$1:$GI$145,ROW('KSH järjestus'!CB28),MATCH('KSH järjestus'!CB$3,KOMBI!$A$1:$GI$1,0))</f>
        <v>66.295277777777784</v>
      </c>
      <c r="CC21" s="25">
        <f t="array" ref="CC21">INDEX(KOMBI!$A$1:$GI$145,ROW('KSH järjestus'!CC28),MATCH('KSH järjestus'!CC$3,KOMBI!$A$1:$GI$1,0))</f>
        <v>5.3366300000000004</v>
      </c>
      <c r="CD21" s="25">
        <f t="array" ref="CD21">INDEX(KOMBI!$A$1:$GI$145,ROW('KSH järjestus'!CD28),MATCH('KSH järjestus'!CD$3,KOMBI!$A$1:$GI$1,0))</f>
        <v>318.5</v>
      </c>
      <c r="CE21" s="25">
        <f t="array" ref="CE21">INDEX(KOMBI!$A$1:$GI$145,ROW('KSH järjestus'!CE28),MATCH('KSH järjestus'!CE$3,KOMBI!$A$1:$GI$1,0))</f>
        <v>2.851</v>
      </c>
      <c r="CF21" s="25">
        <f t="array" ref="CF21">INDEX(KOMBI!$A$1:$GI$145,ROW('KSH järjestus'!CF28),MATCH('KSH järjestus'!CF$3,KOMBI!$A$1:$GI$1,0))</f>
        <v>50.464567183462528</v>
      </c>
      <c r="CG21" s="25">
        <f t="array" ref="CG21">INDEX(KOMBI!$A$1:$GI$145,ROW('KSH järjestus'!CG28),MATCH('KSH järjestus'!CG$3,KOMBI!$A$1:$GI$1,0))</f>
        <v>2.1267750475898739E-2</v>
      </c>
      <c r="CH21" s="25">
        <f t="array" ref="CH21">INDEX(KOMBI!$A$1:$GI$145,ROW('KSH järjestus'!CH28),MATCH('KSH järjestus'!CH$3,KOMBI!$A$1:$GI$1,0))</f>
        <v>0.35547441046944428</v>
      </c>
      <c r="CI21" s="25">
        <f t="array" ref="CI21">INDEX(KOMBI!$A$1:$GI$145,ROW('KSH järjestus'!CI28),MATCH('KSH järjestus'!CI$3,KOMBI!$A$1:$GI$1,0))</f>
        <v>6.28</v>
      </c>
      <c r="CJ21" s="25">
        <f t="array" ref="CJ21">INDEX(KOMBI!$A$1:$GI$145,ROW('KSH järjestus'!CJ28),MATCH('KSH järjestus'!CJ$3,KOMBI!$A$1:$GI$1,0))</f>
        <v>4.9416368215830611</v>
      </c>
      <c r="CK21" s="25">
        <f t="array" ref="CK21">INDEX(KOMBI!$A$1:$GI$145,ROW('KSH järjestus'!CK28),MATCH('KSH järjestus'!CK$3,KOMBI!$A$1:$GI$1,0))</f>
        <v>0.21099999999999999</v>
      </c>
      <c r="CL21" s="25">
        <f t="array" ref="CL21">INDEX(KOMBI!$A$1:$GI$145,ROW('KSH järjestus'!CL28),MATCH('KSH järjestus'!CL$3,KOMBI!$A$1:$GI$1,0))</f>
        <v>0.76300000000000001</v>
      </c>
    </row>
    <row r="22" spans="3:90" x14ac:dyDescent="0.2">
      <c r="C22" s="184">
        <v>19</v>
      </c>
      <c r="G22" s="25">
        <f>RANK(INDEX(KOMBI!$A$11:$GI$145,MATCH('KSH järjestus'!$C22,KOMBI!$A$11:$A$145,0),MATCH('KSH järjestus'!G$3,KOMBI!$A$1:$GI$1,0)),BD$4:BD$138,G$2)</f>
        <v>111</v>
      </c>
      <c r="H22" s="25">
        <f>RANK(INDEX(KOMBI!$A$11:$GI$145,MATCH('KSH järjestus'!$C22,KOMBI!$A$11:$A$145,0),MATCH('KSH järjestus'!H$3,KOMBI!$A$1:$GI$1,0)),BE$4:BE$138,H$2)</f>
        <v>130</v>
      </c>
      <c r="J22" s="25">
        <f>RANK(INDEX(KOMBI!$A$11:$GI$145,MATCH('KSH järjestus'!$C22,KOMBI!$A$11:$A$145,0),MATCH('KSH järjestus'!J$3,KOMBI!$A$1:$GI$1,0)),BG$4:BG$138,J$2)</f>
        <v>108</v>
      </c>
      <c r="M22" s="25">
        <f>RANK(INDEX(KOMBI!$A$11:$GI$145,MATCH('KSH järjestus'!$C22,KOMBI!$A$11:$A$145,0),MATCH('KSH järjestus'!M$3,KOMBI!$A$1:$GI$1,0)),BJ$4:BJ$138,M$2)</f>
        <v>55</v>
      </c>
      <c r="N22" s="25">
        <f>RANK(INDEX(KOMBI!$A$11:$GI$145,MATCH('KSH järjestus'!$C22,KOMBI!$A$11:$A$145,0),MATCH('KSH järjestus'!N$3,KOMBI!$A$1:$GI$1,0)),BK$4:BK$138,N$2)</f>
        <v>106</v>
      </c>
      <c r="O22" s="25">
        <f>RANK(INDEX(KOMBI!$A$11:$GI$145,MATCH('KSH järjestus'!$C22,KOMBI!$A$11:$A$145,0),MATCH('KSH järjestus'!O$3,KOMBI!$A$1:$GI$1,0)),BL$4:BL$138,O$2)</f>
        <v>131</v>
      </c>
      <c r="P22" s="25">
        <f>RANK(INDEX(KOMBI!$A$11:$GI$145,MATCH('KSH järjestus'!$C22,KOMBI!$A$11:$A$145,0),MATCH('KSH järjestus'!P$3,KOMBI!$A$1:$GI$1,0)),BM$4:BM$138,P$2)</f>
        <v>105</v>
      </c>
      <c r="Q22" s="25">
        <f>RANK(INDEX(KOMBI!$A$11:$GI$145,MATCH('KSH järjestus'!$C22,KOMBI!$A$11:$A$145,0),MATCH('KSH järjestus'!Q$3,KOMBI!$A$1:$GI$1,0)),BN$4:BN$138,Q$2)</f>
        <v>124</v>
      </c>
      <c r="R22" s="25">
        <f>RANK(INDEX(KOMBI!$A$11:$GI$145,MATCH('KSH järjestus'!$C22,KOMBI!$A$11:$A$145,0),MATCH('KSH järjestus'!R$3,KOMBI!$A$1:$GI$1,0)),BO$4:BO$138,R$2)</f>
        <v>124</v>
      </c>
      <c r="T22" s="25">
        <f>RANK(INDEX(KOMBI!$A$11:$GI$145,MATCH('KSH järjestus'!$C22,KOMBI!$A$11:$A$145,0),MATCH('KSH järjestus'!T$3,KOMBI!$A$1:$GI$1,0)),BQ$4:BQ$138,T$2)</f>
        <v>78</v>
      </c>
      <c r="U22" s="25">
        <f>RANK(INDEX(KOMBI!$A$11:$GI$145,MATCH('KSH järjestus'!$C22,KOMBI!$A$11:$A$145,0),MATCH('KSH järjestus'!U$3,KOMBI!$A$1:$GI$1,0)),BR$4:BR$138,U$2)</f>
        <v>99</v>
      </c>
      <c r="AA22" s="25">
        <f>RANK(INDEX(KOMBI!$A$11:$GI$145,MATCH('KSH järjestus'!$C22,KOMBI!$A$11:$A$145,0),MATCH('KSH järjestus'!AA$3,KOMBI!$A$1:$GI$1,0)),BX$4:BX$138,AA$2)</f>
        <v>91</v>
      </c>
      <c r="AB22" s="25">
        <f>RANK(INDEX(KOMBI!$A$11:$GI$145,MATCH('KSH järjestus'!$C22,KOMBI!$A$11:$A$145,0),MATCH('KSH järjestus'!AB$3,KOMBI!$A$1:$GI$1,0)),BY$4:BY$138,AB$2)</f>
        <v>73</v>
      </c>
      <c r="AC22" s="25">
        <f>RANK(INDEX(KOMBI!$A$11:$GI$145,MATCH('KSH järjestus'!$C22,KOMBI!$A$11:$A$145,0),MATCH('KSH järjestus'!AC$3,KOMBI!$A$1:$GI$1,0)),BZ$4:BZ$138,AC$2)</f>
        <v>49</v>
      </c>
      <c r="AD22" s="25">
        <f>RANK(INDEX(KOMBI!$A$11:$GI$145,MATCH('KSH järjestus'!$C22,KOMBI!$A$11:$A$145,0),MATCH('KSH järjestus'!AD$3,KOMBI!$A$1:$GI$1,0)),CA$4:CA$138,AD$2)</f>
        <v>80</v>
      </c>
      <c r="AE22" s="25">
        <f>RANK(INDEX(KOMBI!$A$11:$GI$145,MATCH('KSH järjestus'!$C22,KOMBI!$A$11:$A$145,0),MATCH('KSH järjestus'!AE$3,KOMBI!$A$1:$GI$1,0)),CB$4:CB$138,AE$2)</f>
        <v>80</v>
      </c>
      <c r="AG22" s="25">
        <f>RANK(INDEX(KOMBI!$A$11:$GI$145,MATCH('KSH järjestus'!$C22,KOMBI!$A$11:$A$145,0),MATCH('KSH järjestus'!AG$3,KOMBI!$A$1:$GI$1,0)),CD$4:CD$138,AG$2)</f>
        <v>94</v>
      </c>
      <c r="AH22" s="25">
        <f>RANK(INDEX(KOMBI!$A$11:$GI$145,MATCH('KSH järjestus'!$C22,KOMBI!$A$11:$A$145,0),MATCH('KSH järjestus'!AH$3,KOMBI!$A$1:$GI$1,0)),CE$4:CE$138,AH$2)</f>
        <v>31</v>
      </c>
      <c r="AI22" s="25">
        <f>RANK(INDEX(KOMBI!$A$11:$GI$145,MATCH('KSH järjestus'!$C22,KOMBI!$A$11:$A$145,0),MATCH('KSH järjestus'!AI$3,KOMBI!$A$1:$GI$1,0)),CF$4:CF$138,AI$2)</f>
        <v>88</v>
      </c>
      <c r="AJ22" s="25">
        <f>RANK(INDEX(KOMBI!$A$11:$GI$145,MATCH('KSH järjestus'!$C22,KOMBI!$A$11:$A$145,0),MATCH('KSH järjestus'!AJ$3,KOMBI!$A$1:$GI$1,0)),CG$4:CG$138,AJ$2)</f>
        <v>112</v>
      </c>
      <c r="AK22" s="25">
        <f>RANK(INDEX(KOMBI!$A$11:$GI$145,MATCH('KSH järjestus'!$C22,KOMBI!$A$11:$A$145,0),MATCH('KSH järjestus'!AK$3,KOMBI!$A$1:$GI$1,0)),CH$4:CH$138,AK$2)</f>
        <v>130</v>
      </c>
      <c r="AN22" s="25">
        <f>RANK(INDEX(KOMBI!$A$11:$GI$145,MATCH('KSH järjestus'!$C22,KOMBI!$A$11:$A$145,0),MATCH('KSH järjestus'!AN$3,KOMBI!$A$1:$GI$1,0)),CK$4:CK$138,AN$2)</f>
        <v>46</v>
      </c>
      <c r="AO22" s="25">
        <f>RANK(INDEX(KOMBI!$A$11:$GI$145,MATCH('KSH järjestus'!$C22,KOMBI!$A$11:$A$145,0),MATCH('KSH järjestus'!AO$3,KOMBI!$A$1:$GI$1,0)),CL$4:CL$138,AO$2)</f>
        <v>46</v>
      </c>
      <c r="AS22" s="297">
        <f t="shared" si="0"/>
        <v>2091</v>
      </c>
      <c r="AT22" s="25">
        <f t="shared" si="1"/>
        <v>891</v>
      </c>
      <c r="AU22" s="25">
        <f t="shared" si="2"/>
        <v>87</v>
      </c>
      <c r="AV22" s="295" t="str">
        <f>VLOOKUP(VLOOKUP($AU22,KOMBI!$A:$H,3,FALSE),data!$I$27:$J$29,2,FALSE)</f>
        <v>Sekkuv/EÜ</v>
      </c>
      <c r="AW22" s="295" t="str">
        <f>VLOOKUP(VLOOKUP($AU22,KOMBI!$A:$H,2,FALSE),data!$I$21:$J$23,2,FALSE)</f>
        <v>Vähe-sekkuv</v>
      </c>
      <c r="AX22" s="295" t="str">
        <f>VLOOKUP(VLOOKUP($AU22,KOMBI!$A:$H,5,FALSE),data!$I$39:$J$41,2,FALSE)</f>
        <v>Sekkuv</v>
      </c>
      <c r="AY22" s="295" t="str">
        <f>VLOOKUP(VLOOKUP($AU22,KOMBI!$A:$H,4,FALSE),data!$I$32:$J$36,2,FALSE)</f>
        <v>TE++</v>
      </c>
      <c r="BA22" s="25">
        <f t="array" ref="BA22">INDEX(KOMBI!$A$1:$GI$145,ROW('KSH järjestus'!BA29),MATCH('KSH järjestus'!BA$3,KOMBI!$A$1:$GI$1,0))</f>
        <v>0.9682596221110803</v>
      </c>
      <c r="BB22" s="25">
        <f t="array" ref="BB22">INDEX(KOMBI!$A$1:$GI$145,ROW('KSH järjestus'!BB29),MATCH('KSH järjestus'!BB$3,KOMBI!$A$1:$GI$1,0))</f>
        <v>102.73866006527646</v>
      </c>
      <c r="BC22" s="25">
        <f t="array" aca="1" ref="BC22" ca="1">INDEX(KOMBI!$A$1:$GI$145,ROW('KSH järjestus'!BC29),MATCH('KSH järjestus'!BC$3,KOMBI!$A$1:$GI$1,0))</f>
        <v>5.4112820111708402</v>
      </c>
      <c r="BD22" s="25">
        <f t="array" ref="BD22">INDEX(KOMBI!$A$1:$GI$145,ROW('KSH järjestus'!BD29),MATCH('KSH järjestus'!BD$3,KOMBI!$A$1:$GI$1,0))</f>
        <v>-36.76</v>
      </c>
      <c r="BE22" s="25">
        <f t="array" ref="BE22">INDEX(KOMBI!$A$1:$GI$145,ROW('KSH järjestus'!BE29),MATCH('KSH järjestus'!BE$3,KOMBI!$A$1:$GI$1,0))</f>
        <v>42.171282011170838</v>
      </c>
      <c r="BF22" s="25">
        <f t="array" aca="1" ref="BF22" ca="1">INDEX(KOMBI!$A$1:$GI$145,ROW('KSH järjestus'!BF29),MATCH('KSH järjestus'!BF$3,KOMBI!$A$1:$GI$1,0))</f>
        <v>0</v>
      </c>
      <c r="BG22" s="25">
        <f t="array" ref="BG22">INDEX(KOMBI!$A$1:$GI$145,ROW('KSH järjestus'!BG29),MATCH('KSH järjestus'!BG$3,KOMBI!$A$1:$GI$1,0))</f>
        <v>0.60184868147253034</v>
      </c>
      <c r="BH22" s="25">
        <f t="array" ref="BH22">INDEX(KOMBI!$A$1:$GI$145,ROW('KSH järjestus'!BH29),MATCH('KSH järjestus'!BH$3,KOMBI!$A$1:$GI$1,0))</f>
        <v>90</v>
      </c>
      <c r="BI22" s="25">
        <f t="array" ref="BI22">INDEX(KOMBI!$A$1:$GI$145,ROW('KSH järjestus'!BI29),MATCH('KSH järjestus'!BI$3,KOMBI!$A$1:$GI$1,0))</f>
        <v>1</v>
      </c>
      <c r="BJ22" s="25">
        <f t="array" ref="BJ22">INDEX(KOMBI!$A$1:$GI$145,ROW('KSH järjestus'!BJ29),MATCH('KSH järjestus'!BJ$3,KOMBI!$A$1:$GI$1,0))</f>
        <v>0.27911646586345373</v>
      </c>
      <c r="BK22" s="25">
        <f t="array" ref="BK22">INDEX(KOMBI!$A$1:$GI$145,ROW('KSH järjestus'!BK29),MATCH('KSH järjestus'!BK$3,KOMBI!$A$1:$GI$1,0))</f>
        <v>0.30496789459902313</v>
      </c>
      <c r="BL22" s="25">
        <f t="array" ref="BL22">INDEX(KOMBI!$A$1:$GI$145,ROW('KSH järjestus'!BL29),MATCH('KSH järjestus'!BL$3,KOMBI!$A$1:$GI$1,0))</f>
        <v>4.3267050777229914E-3</v>
      </c>
      <c r="BM22" s="25">
        <f t="array" ref="BM22">INDEX(KOMBI!$A$1:$GI$145,ROW('KSH järjestus'!BM29),MATCH('KSH järjestus'!BM$3,KOMBI!$A$1:$GI$1,0))</f>
        <v>-3.3148391215555607E-3</v>
      </c>
      <c r="BN22" s="25">
        <f t="array" ref="BN22">INDEX(KOMBI!$A$1:$GI$145,ROW('KSH järjestus'!BN29),MATCH('KSH järjestus'!BN$3,KOMBI!$A$1:$GI$1,0))</f>
        <v>-6.6495400538510441E-4</v>
      </c>
      <c r="BO22" s="25">
        <f t="array" ref="BO22">INDEX(KOMBI!$A$1:$GI$145,ROW('KSH järjestus'!BO29),MATCH('KSH järjestus'!BO$3,KOMBI!$A$1:$GI$1,0))</f>
        <v>5.0053962053760153E-3</v>
      </c>
      <c r="BP22" s="25">
        <f t="array" ref="BP22">INDEX(KOMBI!$A$1:$GI$145,ROW('KSH järjestus'!BP29),MATCH('KSH järjestus'!BP$3,KOMBI!$A$1:$GI$1,0))</f>
        <v>7.8067605777489071</v>
      </c>
      <c r="BQ22" s="25">
        <f t="array" ref="BQ22">INDEX(KOMBI!$A$1:$GI$145,ROW('KSH järjestus'!BQ29),MATCH('KSH järjestus'!BQ$3,KOMBI!$A$1:$GI$1,0))</f>
        <v>10.851000000000001</v>
      </c>
      <c r="BR22" s="25">
        <f t="array" ref="BR22">INDEX(KOMBI!$A$1:$GI$145,ROW('KSH järjestus'!BR29),MATCH('KSH järjestus'!BR$3,KOMBI!$A$1:$GI$1,0))</f>
        <v>-1.2787355103049973E-2</v>
      </c>
      <c r="BS22" s="25">
        <f t="array" ref="BS22">INDEX(KOMBI!$A$1:$GI$145,ROW('KSH järjestus'!BS29),MATCH('KSH järjestus'!BS$3,KOMBI!$A$1:$GI$1,0))</f>
        <v>-1.0957815733644814E-2</v>
      </c>
      <c r="BT22" s="25">
        <f t="array" ref="BT22">INDEX(KOMBI!$A$1:$GI$145,ROW('KSH järjestus'!BT29),MATCH('KSH järjestus'!BT$3,KOMBI!$A$1:$GI$1,0))</f>
        <v>-1.9479403360001833E-2</v>
      </c>
      <c r="BU22" s="25">
        <f t="array" ref="BU22">INDEX(KOMBI!$A$1:$GI$145,ROW('KSH järjestus'!BU29),MATCH('KSH järjestus'!BU$3,KOMBI!$A$1:$GI$1,0))</f>
        <v>9.180714069714881</v>
      </c>
      <c r="BV22" s="25">
        <f t="array" ref="BV22">INDEX(KOMBI!$A$1:$GI$145,ROW('KSH järjestus'!BV29),MATCH('KSH järjestus'!BV$3,KOMBI!$A$1:$GI$1,0))</f>
        <v>5.0979999999999999</v>
      </c>
      <c r="BW22" s="25">
        <f t="array" ref="BW22">INDEX(KOMBI!$A$1:$GI$145,ROW('KSH järjestus'!BW29),MATCH('KSH järjestus'!BW$3,KOMBI!$A$1:$GI$1,0))</f>
        <v>3.1566368215830605</v>
      </c>
      <c r="BX22" s="25">
        <f t="array" ref="BX22">INDEX(KOMBI!$A$1:$GI$145,ROW('KSH järjestus'!BX29),MATCH('KSH järjestus'!BX$3,KOMBI!$A$1:$GI$1,0))</f>
        <v>19.291578011574536</v>
      </c>
      <c r="BY22" s="25">
        <f t="array" ref="BY22">INDEX(KOMBI!$A$1:$GI$145,ROW('KSH järjestus'!BY29),MATCH('KSH järjestus'!BY$3,KOMBI!$A$1:$GI$1,0))</f>
        <v>11.875124562278598</v>
      </c>
      <c r="BZ22" s="25">
        <f t="array" ref="BZ22">INDEX(KOMBI!$A$1:$GI$145,ROW('KSH järjestus'!BZ29),MATCH('KSH järjestus'!BZ$3,KOMBI!$A$1:$GI$1,0))</f>
        <v>74</v>
      </c>
      <c r="CA22" s="25">
        <f t="array" ref="CA22">INDEX(KOMBI!$A$1:$GI$145,ROW('KSH järjestus'!CA29),MATCH('KSH järjestus'!CA$3,KOMBI!$A$1:$GI$1,0))</f>
        <v>14.523999999999999</v>
      </c>
      <c r="CB22" s="25">
        <f t="array" ref="CB22">INDEX(KOMBI!$A$1:$GI$145,ROW('KSH järjestus'!CB29),MATCH('KSH järjestus'!CB$3,KOMBI!$A$1:$GI$1,0))</f>
        <v>65.054444444444442</v>
      </c>
      <c r="CC22" s="25">
        <f t="array" ref="CC22">INDEX(KOMBI!$A$1:$GI$145,ROW('KSH järjestus'!CC29),MATCH('KSH järjestus'!CC$3,KOMBI!$A$1:$GI$1,0))</f>
        <v>5.2105620000000004</v>
      </c>
      <c r="CD22" s="25">
        <f t="array" ref="CD22">INDEX(KOMBI!$A$1:$GI$145,ROW('KSH järjestus'!CD29),MATCH('KSH järjestus'!CD$3,KOMBI!$A$1:$GI$1,0))</f>
        <v>318.5</v>
      </c>
      <c r="CE22" s="25">
        <f t="array" ref="CE22">INDEX(KOMBI!$A$1:$GI$145,ROW('KSH järjestus'!CE29),MATCH('KSH järjestus'!CE$3,KOMBI!$A$1:$GI$1,0))</f>
        <v>2.851</v>
      </c>
      <c r="CF22" s="25">
        <f t="array" ref="CF22">INDEX(KOMBI!$A$1:$GI$145,ROW('KSH järjestus'!CF29),MATCH('KSH järjestus'!CF$3,KOMBI!$A$1:$GI$1,0))</f>
        <v>50.474567183462526</v>
      </c>
      <c r="CG22" s="25">
        <f t="array" ref="CG22">INDEX(KOMBI!$A$1:$GI$145,ROW('KSH järjestus'!CG29),MATCH('KSH järjestus'!CG$3,KOMBI!$A$1:$GI$1,0))</f>
        <v>2.1267750475898739E-2</v>
      </c>
      <c r="CH22" s="25">
        <f t="array" ref="CH22">INDEX(KOMBI!$A$1:$GI$145,ROW('KSH järjestus'!CH29),MATCH('KSH järjestus'!CH$3,KOMBI!$A$1:$GI$1,0))</f>
        <v>0.35547441046944428</v>
      </c>
      <c r="CI22" s="25">
        <f t="array" ref="CI22">INDEX(KOMBI!$A$1:$GI$145,ROW('KSH järjestus'!CI29),MATCH('KSH järjestus'!CI$3,KOMBI!$A$1:$GI$1,0))</f>
        <v>6.28</v>
      </c>
      <c r="CJ22" s="25">
        <f t="array" ref="CJ22">INDEX(KOMBI!$A$1:$GI$145,ROW('KSH järjestus'!CJ29),MATCH('KSH järjestus'!CJ$3,KOMBI!$A$1:$GI$1,0))</f>
        <v>5.6566368215830609</v>
      </c>
      <c r="CK22" s="25">
        <f t="array" ref="CK22">INDEX(KOMBI!$A$1:$GI$145,ROW('KSH järjestus'!CK29),MATCH('KSH järjestus'!CK$3,KOMBI!$A$1:$GI$1,0))</f>
        <v>0.21099999999999999</v>
      </c>
      <c r="CL22" s="25">
        <f t="array" ref="CL22">INDEX(KOMBI!$A$1:$GI$145,ROW('KSH järjestus'!CL29),MATCH('KSH järjestus'!CL$3,KOMBI!$A$1:$GI$1,0))</f>
        <v>0.76300000000000001</v>
      </c>
    </row>
    <row r="23" spans="3:90" x14ac:dyDescent="0.2">
      <c r="C23" s="184">
        <v>20</v>
      </c>
      <c r="G23" s="25">
        <f>RANK(INDEX(KOMBI!$A$11:$GI$145,MATCH('KSH järjestus'!$C23,KOMBI!$A$11:$A$145,0),MATCH('KSH järjestus'!G$3,KOMBI!$A$1:$GI$1,0)),BD$4:BD$138,G$2)</f>
        <v>96</v>
      </c>
      <c r="H23" s="25">
        <f>RANK(INDEX(KOMBI!$A$11:$GI$145,MATCH('KSH järjestus'!$C23,KOMBI!$A$11:$A$145,0),MATCH('KSH järjestus'!H$3,KOMBI!$A$1:$GI$1,0)),BE$4:BE$138,H$2)</f>
        <v>115</v>
      </c>
      <c r="J23" s="25">
        <f>RANK(INDEX(KOMBI!$A$11:$GI$145,MATCH('KSH järjestus'!$C23,KOMBI!$A$11:$A$145,0),MATCH('KSH järjestus'!J$3,KOMBI!$A$1:$GI$1,0)),BG$4:BG$138,J$2)</f>
        <v>91</v>
      </c>
      <c r="M23" s="25">
        <f>RANK(INDEX(KOMBI!$A$11:$GI$145,MATCH('KSH järjestus'!$C23,KOMBI!$A$11:$A$145,0),MATCH('KSH järjestus'!M$3,KOMBI!$A$1:$GI$1,0)),BJ$4:BJ$138,M$2)</f>
        <v>55</v>
      </c>
      <c r="N23" s="25">
        <f>RANK(INDEX(KOMBI!$A$11:$GI$145,MATCH('KSH järjestus'!$C23,KOMBI!$A$11:$A$145,0),MATCH('KSH järjestus'!N$3,KOMBI!$A$1:$GI$1,0)),BK$4:BK$138,N$2)</f>
        <v>106</v>
      </c>
      <c r="O23" s="25">
        <f>RANK(INDEX(KOMBI!$A$11:$GI$145,MATCH('KSH järjestus'!$C23,KOMBI!$A$11:$A$145,0),MATCH('KSH järjestus'!O$3,KOMBI!$A$1:$GI$1,0)),BL$4:BL$138,O$2)</f>
        <v>106</v>
      </c>
      <c r="P23" s="25">
        <f>RANK(INDEX(KOMBI!$A$11:$GI$145,MATCH('KSH järjestus'!$C23,KOMBI!$A$11:$A$145,0),MATCH('KSH järjestus'!P$3,KOMBI!$A$1:$GI$1,0)),BM$4:BM$138,P$2)</f>
        <v>123</v>
      </c>
      <c r="Q23" s="25">
        <f>RANK(INDEX(KOMBI!$A$11:$GI$145,MATCH('KSH järjestus'!$C23,KOMBI!$A$11:$A$145,0),MATCH('KSH järjestus'!Q$3,KOMBI!$A$1:$GI$1,0)),BN$4:BN$138,Q$2)</f>
        <v>100</v>
      </c>
      <c r="R23" s="25">
        <f>RANK(INDEX(KOMBI!$A$11:$GI$145,MATCH('KSH järjestus'!$C23,KOMBI!$A$11:$A$145,0),MATCH('KSH järjestus'!R$3,KOMBI!$A$1:$GI$1,0)),BO$4:BO$138,R$2)</f>
        <v>99</v>
      </c>
      <c r="T23" s="25">
        <f>RANK(INDEX(KOMBI!$A$11:$GI$145,MATCH('KSH järjestus'!$C23,KOMBI!$A$11:$A$145,0),MATCH('KSH järjestus'!T$3,KOMBI!$A$1:$GI$1,0)),BQ$4:BQ$138,T$2)</f>
        <v>85</v>
      </c>
      <c r="U23" s="25">
        <f>RANK(INDEX(KOMBI!$A$11:$GI$145,MATCH('KSH järjestus'!$C23,KOMBI!$A$11:$A$145,0),MATCH('KSH järjestus'!U$3,KOMBI!$A$1:$GI$1,0)),BR$4:BR$138,U$2)</f>
        <v>108</v>
      </c>
      <c r="AA23" s="25">
        <f>RANK(INDEX(KOMBI!$A$11:$GI$145,MATCH('KSH järjestus'!$C23,KOMBI!$A$11:$A$145,0),MATCH('KSH järjestus'!AA$3,KOMBI!$A$1:$GI$1,0)),BX$4:BX$138,AA$2)</f>
        <v>91</v>
      </c>
      <c r="AB23" s="25">
        <f>RANK(INDEX(KOMBI!$A$11:$GI$145,MATCH('KSH järjestus'!$C23,KOMBI!$A$11:$A$145,0),MATCH('KSH järjestus'!AB$3,KOMBI!$A$1:$GI$1,0)),BY$4:BY$138,AB$2)</f>
        <v>73</v>
      </c>
      <c r="AC23" s="25">
        <f>RANK(INDEX(KOMBI!$A$11:$GI$145,MATCH('KSH järjestus'!$C23,KOMBI!$A$11:$A$145,0),MATCH('KSH järjestus'!AC$3,KOMBI!$A$1:$GI$1,0)),BZ$4:BZ$138,AC$2)</f>
        <v>54</v>
      </c>
      <c r="AD23" s="25">
        <f>RANK(INDEX(KOMBI!$A$11:$GI$145,MATCH('KSH järjestus'!$C23,KOMBI!$A$11:$A$145,0),MATCH('KSH järjestus'!AD$3,KOMBI!$A$1:$GI$1,0)),CA$4:CA$138,AD$2)</f>
        <v>83</v>
      </c>
      <c r="AE23" s="25">
        <f>RANK(INDEX(KOMBI!$A$11:$GI$145,MATCH('KSH järjestus'!$C23,KOMBI!$A$11:$A$145,0),MATCH('KSH järjestus'!AE$3,KOMBI!$A$1:$GI$1,0)),CB$4:CB$138,AE$2)</f>
        <v>86</v>
      </c>
      <c r="AG23" s="25">
        <f>RANK(INDEX(KOMBI!$A$11:$GI$145,MATCH('KSH järjestus'!$C23,KOMBI!$A$11:$A$145,0),MATCH('KSH järjestus'!AG$3,KOMBI!$A$1:$GI$1,0)),CD$4:CD$138,AG$2)</f>
        <v>94</v>
      </c>
      <c r="AH23" s="25">
        <f>RANK(INDEX(KOMBI!$A$11:$GI$145,MATCH('KSH järjestus'!$C23,KOMBI!$A$11:$A$145,0),MATCH('KSH järjestus'!AH$3,KOMBI!$A$1:$GI$1,0)),CE$4:CE$138,AH$2)</f>
        <v>31</v>
      </c>
      <c r="AI23" s="25">
        <f>RANK(INDEX(KOMBI!$A$11:$GI$145,MATCH('KSH järjestus'!$C23,KOMBI!$A$11:$A$145,0),MATCH('KSH järjestus'!AI$3,KOMBI!$A$1:$GI$1,0)),CF$4:CF$138,AI$2)</f>
        <v>88</v>
      </c>
      <c r="AJ23" s="25">
        <f>RANK(INDEX(KOMBI!$A$11:$GI$145,MATCH('KSH järjestus'!$C23,KOMBI!$A$11:$A$145,0),MATCH('KSH järjestus'!AJ$3,KOMBI!$A$1:$GI$1,0)),CG$4:CG$138,AJ$2)</f>
        <v>112</v>
      </c>
      <c r="AK23" s="25">
        <f>RANK(INDEX(KOMBI!$A$11:$GI$145,MATCH('KSH järjestus'!$C23,KOMBI!$A$11:$A$145,0),MATCH('KSH järjestus'!AK$3,KOMBI!$A$1:$GI$1,0)),CH$4:CH$138,AK$2)</f>
        <v>130</v>
      </c>
      <c r="AN23" s="25">
        <f>RANK(INDEX(KOMBI!$A$11:$GI$145,MATCH('KSH järjestus'!$C23,KOMBI!$A$11:$A$145,0),MATCH('KSH järjestus'!AN$3,KOMBI!$A$1:$GI$1,0)),CK$4:CK$138,AN$2)</f>
        <v>46</v>
      </c>
      <c r="AO23" s="25">
        <f>RANK(INDEX(KOMBI!$A$11:$GI$145,MATCH('KSH järjestus'!$C23,KOMBI!$A$11:$A$145,0),MATCH('KSH järjestus'!AO$3,KOMBI!$A$1:$GI$1,0)),CL$4:CL$138,AO$2)</f>
        <v>46</v>
      </c>
      <c r="AS23" s="297">
        <f t="shared" si="0"/>
        <v>2018</v>
      </c>
      <c r="AT23" s="25">
        <f t="shared" si="1"/>
        <v>909</v>
      </c>
      <c r="AU23" s="25">
        <f t="shared" si="2"/>
        <v>108</v>
      </c>
      <c r="AV23" s="295" t="str">
        <f>VLOOKUP(VLOOKUP($AU23,KOMBI!$A:$H,3,FALSE),data!$I$27:$J$29,2,FALSE)</f>
        <v>Vähe-sekkuv</v>
      </c>
      <c r="AW23" s="295" t="str">
        <f>VLOOKUP(VLOOKUP($AU23,KOMBI!$A:$H,2,FALSE),data!$I$21:$J$23,2,FALSE)</f>
        <v>Sekkuv</v>
      </c>
      <c r="AX23" s="295" t="str">
        <f>VLOOKUP(VLOOKUP($AU23,KOMBI!$A:$H,5,FALSE),data!$I$39:$J$41,2,FALSE)</f>
        <v>Sekkuv</v>
      </c>
      <c r="AY23" s="295" t="str">
        <f>VLOOKUP(VLOOKUP($AU23,KOMBI!$A:$H,4,FALSE),data!$I$32:$J$36,2,FALSE)</f>
        <v>LIB</v>
      </c>
      <c r="BA23" s="25">
        <f t="array" ref="BA23">INDEX(KOMBI!$A$1:$GI$145,ROW('KSH järjestus'!BA30),MATCH('KSH järjestus'!BA$3,KOMBI!$A$1:$GI$1,0))</f>
        <v>1.8841712707569214</v>
      </c>
      <c r="BB23" s="25">
        <f t="array" ref="BB23">INDEX(KOMBI!$A$1:$GI$145,ROW('KSH järjestus'!BB30),MATCH('KSH järjestus'!BB$3,KOMBI!$A$1:$GI$1,0))</f>
        <v>263.2186923345397</v>
      </c>
      <c r="BC23" s="25">
        <f t="array" aca="1" ref="BC23" ca="1">INDEX(KOMBI!$A$1:$GI$145,ROW('KSH järjestus'!BC30),MATCH('KSH järjestus'!BC$3,KOMBI!$A$1:$GI$1,0))</f>
        <v>34.576604039705927</v>
      </c>
      <c r="BD23" s="25">
        <f t="array" ref="BD23">INDEX(KOMBI!$A$1:$GI$145,ROW('KSH järjestus'!BD30),MATCH('KSH järjestus'!BD$3,KOMBI!$A$1:$GI$1,0))</f>
        <v>-51.993219880632097</v>
      </c>
      <c r="BE23" s="25">
        <f t="array" ref="BE23">INDEX(KOMBI!$A$1:$GI$145,ROW('KSH järjestus'!BE30),MATCH('KSH järjestus'!BE$3,KOMBI!$A$1:$GI$1,0))</f>
        <v>86.569823920338024</v>
      </c>
      <c r="BF23" s="25">
        <f t="array" aca="1" ref="BF23" ca="1">INDEX(KOMBI!$A$1:$GI$145,ROW('KSH järjestus'!BF30),MATCH('KSH järjestus'!BF$3,KOMBI!$A$1:$GI$1,0))</f>
        <v>0</v>
      </c>
      <c r="BG23" s="25">
        <f t="array" ref="BG23">INDEX(KOMBI!$A$1:$GI$145,ROW('KSH järjestus'!BG30),MATCH('KSH järjestus'!BG$3,KOMBI!$A$1:$GI$1,0))</f>
        <v>0.57840870861576166</v>
      </c>
      <c r="BH23" s="25">
        <f t="array" ref="BH23">INDEX(KOMBI!$A$1:$GI$145,ROW('KSH järjestus'!BH30),MATCH('KSH järjestus'!BH$3,KOMBI!$A$1:$GI$1,0))</f>
        <v>90</v>
      </c>
      <c r="BI23" s="25">
        <f t="array" ref="BI23">INDEX(KOMBI!$A$1:$GI$145,ROW('KSH järjestus'!BI30),MATCH('KSH järjestus'!BI$3,KOMBI!$A$1:$GI$1,0))</f>
        <v>0.91028830406496797</v>
      </c>
      <c r="BJ23" s="25">
        <f t="array" ref="BJ23">INDEX(KOMBI!$A$1:$GI$145,ROW('KSH järjestus'!BJ30),MATCH('KSH järjestus'!BJ$3,KOMBI!$A$1:$GI$1,0))</f>
        <v>0.27911646586345373</v>
      </c>
      <c r="BK23" s="25">
        <f t="array" ref="BK23">INDEX(KOMBI!$A$1:$GI$145,ROW('KSH järjestus'!BK30),MATCH('KSH järjestus'!BK$3,KOMBI!$A$1:$GI$1,0))</f>
        <v>0.30496789459902313</v>
      </c>
      <c r="BL23" s="25">
        <f t="array" ref="BL23">INDEX(KOMBI!$A$1:$GI$145,ROW('KSH järjestus'!BL30),MATCH('KSH järjestus'!BL$3,KOMBI!$A$1:$GI$1,0))</f>
        <v>1.060909816414532E-2</v>
      </c>
      <c r="BM23" s="25">
        <f t="array" ref="BM23">INDEX(KOMBI!$A$1:$GI$145,ROW('KSH järjestus'!BM30),MATCH('KSH järjestus'!BM$3,KOMBI!$A$1:$GI$1,0))</f>
        <v>-6.0078919709711746E-3</v>
      </c>
      <c r="BN23" s="25">
        <f t="array" ref="BN23">INDEX(KOMBI!$A$1:$GI$145,ROW('KSH järjestus'!BN30),MATCH('KSH järjestus'!BN$3,KOMBI!$A$1:$GI$1,0))</f>
        <v>1.8279158559727227E-3</v>
      </c>
      <c r="BO23" s="25">
        <f t="array" ref="BO23">INDEX(KOMBI!$A$1:$GI$145,ROW('KSH järjestus'!BO30),MATCH('KSH järjestus'!BO$3,KOMBI!$A$1:$GI$1,0))</f>
        <v>8.8302827492528421E-3</v>
      </c>
      <c r="BP23" s="25">
        <f t="array" ref="BP23">INDEX(KOMBI!$A$1:$GI$145,ROW('KSH järjestus'!BP30),MATCH('KSH järjestus'!BP$3,KOMBI!$A$1:$GI$1,0))</f>
        <v>7.8067605777489071</v>
      </c>
      <c r="BQ23" s="25">
        <f t="array" ref="BQ23">INDEX(KOMBI!$A$1:$GI$145,ROW('KSH järjestus'!BQ30),MATCH('KSH järjestus'!BQ$3,KOMBI!$A$1:$GI$1,0))</f>
        <v>10.942</v>
      </c>
      <c r="BR23" s="25">
        <f t="array" ref="BR23">INDEX(KOMBI!$A$1:$GI$145,ROW('KSH järjestus'!BR30),MATCH('KSH järjestus'!BR$3,KOMBI!$A$1:$GI$1,0))</f>
        <v>-8.5535560917852516E-3</v>
      </c>
      <c r="BS23" s="25">
        <f t="array" ref="BS23">INDEX(KOMBI!$A$1:$GI$145,ROW('KSH järjestus'!BS30),MATCH('KSH järjestus'!BS$3,KOMBI!$A$1:$GI$1,0))</f>
        <v>-9.6242035140092531E-3</v>
      </c>
      <c r="BT23" s="25">
        <f t="array" ref="BT23">INDEX(KOMBI!$A$1:$GI$145,ROW('KSH järjestus'!BT30),MATCH('KSH järjestus'!BT$3,KOMBI!$A$1:$GI$1,0))</f>
        <v>-1.8380440560607874E-2</v>
      </c>
      <c r="BU23" s="25">
        <f t="array" ref="BU23">INDEX(KOMBI!$A$1:$GI$145,ROW('KSH järjestus'!BU30),MATCH('KSH järjestus'!BU$3,KOMBI!$A$1:$GI$1,0))</f>
        <v>9.180714069714881</v>
      </c>
      <c r="BV23" s="25">
        <f t="array" ref="BV23">INDEX(KOMBI!$A$1:$GI$145,ROW('KSH järjestus'!BV30),MATCH('KSH järjestus'!BV$3,KOMBI!$A$1:$GI$1,0))</f>
        <v>5.0979999999999999</v>
      </c>
      <c r="BW23" s="25">
        <f t="array" ref="BW23">INDEX(KOMBI!$A$1:$GI$145,ROW('KSH järjestus'!BW30),MATCH('KSH järjestus'!BW$3,KOMBI!$A$1:$GI$1,0))</f>
        <v>3.5341368215830604</v>
      </c>
      <c r="BX23" s="25">
        <f t="array" ref="BX23">INDEX(KOMBI!$A$1:$GI$145,ROW('KSH järjestus'!BX30),MATCH('KSH järjestus'!BX$3,KOMBI!$A$1:$GI$1,0))</f>
        <v>19.291578011574536</v>
      </c>
      <c r="BY23" s="25">
        <f t="array" ref="BY23">INDEX(KOMBI!$A$1:$GI$145,ROW('KSH järjestus'!BY30),MATCH('KSH järjestus'!BY$3,KOMBI!$A$1:$GI$1,0))</f>
        <v>11.875124562278598</v>
      </c>
      <c r="BZ23" s="25">
        <f t="array" ref="BZ23">INDEX(KOMBI!$A$1:$GI$145,ROW('KSH järjestus'!BZ30),MATCH('KSH järjestus'!BZ$3,KOMBI!$A$1:$GI$1,0))</f>
        <v>74.400000000000006</v>
      </c>
      <c r="CA23" s="25">
        <f t="array" ref="CA23">INDEX(KOMBI!$A$1:$GI$145,ROW('KSH järjestus'!CA30),MATCH('KSH järjestus'!CA$3,KOMBI!$A$1:$GI$1,0))</f>
        <v>14.613</v>
      </c>
      <c r="CB23" s="25">
        <f t="array" ref="CB23">INDEX(KOMBI!$A$1:$GI$145,ROW('KSH järjestus'!CB30),MATCH('KSH järjestus'!CB$3,KOMBI!$A$1:$GI$1,0))</f>
        <v>65.394722222222214</v>
      </c>
      <c r="CC23" s="25">
        <f t="array" ref="CC23">INDEX(KOMBI!$A$1:$GI$145,ROW('KSH järjestus'!CC30),MATCH('KSH järjestus'!CC$3,KOMBI!$A$1:$GI$1,0))</f>
        <v>5.2438539999999998</v>
      </c>
      <c r="CD23" s="25">
        <f t="array" ref="CD23">INDEX(KOMBI!$A$1:$GI$145,ROW('KSH järjestus'!CD30),MATCH('KSH järjestus'!CD$3,KOMBI!$A$1:$GI$1,0))</f>
        <v>318.5</v>
      </c>
      <c r="CE23" s="25">
        <f t="array" ref="CE23">INDEX(KOMBI!$A$1:$GI$145,ROW('KSH järjestus'!CE30),MATCH('KSH järjestus'!CE$3,KOMBI!$A$1:$GI$1,0))</f>
        <v>2.851</v>
      </c>
      <c r="CF23" s="25">
        <f t="array" ref="CF23">INDEX(KOMBI!$A$1:$GI$145,ROW('KSH järjestus'!CF30),MATCH('KSH järjestus'!CF$3,KOMBI!$A$1:$GI$1,0))</f>
        <v>50.474567183462526</v>
      </c>
      <c r="CG23" s="25">
        <f t="array" ref="CG23">INDEX(KOMBI!$A$1:$GI$145,ROW('KSH järjestus'!CG30),MATCH('KSH järjestus'!CG$3,KOMBI!$A$1:$GI$1,0))</f>
        <v>2.1267750475898739E-2</v>
      </c>
      <c r="CH23" s="25">
        <f t="array" ref="CH23">INDEX(KOMBI!$A$1:$GI$145,ROW('KSH järjestus'!CH30),MATCH('KSH järjestus'!CH$3,KOMBI!$A$1:$GI$1,0))</f>
        <v>0.35547441046944428</v>
      </c>
      <c r="CI23" s="25">
        <f t="array" ref="CI23">INDEX(KOMBI!$A$1:$GI$145,ROW('KSH järjestus'!CI30),MATCH('KSH järjestus'!CI$3,KOMBI!$A$1:$GI$1,0))</f>
        <v>6.28</v>
      </c>
      <c r="CJ23" s="25">
        <f t="array" ref="CJ23">INDEX(KOMBI!$A$1:$GI$145,ROW('KSH järjestus'!CJ30),MATCH('KSH järjestus'!CJ$3,KOMBI!$A$1:$GI$1,0))</f>
        <v>5.6566368215830609</v>
      </c>
      <c r="CK23" s="25">
        <f t="array" ref="CK23">INDEX(KOMBI!$A$1:$GI$145,ROW('KSH järjestus'!CK30),MATCH('KSH järjestus'!CK$3,KOMBI!$A$1:$GI$1,0))</f>
        <v>0.21099999999999999</v>
      </c>
      <c r="CL23" s="25">
        <f t="array" ref="CL23">INDEX(KOMBI!$A$1:$GI$145,ROW('KSH järjestus'!CL30),MATCH('KSH järjestus'!CL$3,KOMBI!$A$1:$GI$1,0))</f>
        <v>0.76300000000000001</v>
      </c>
    </row>
    <row r="24" spans="3:90" x14ac:dyDescent="0.2">
      <c r="C24" s="184">
        <v>21</v>
      </c>
      <c r="G24" s="25">
        <f>RANK(INDEX(KOMBI!$A$11:$GI$145,MATCH('KSH järjestus'!$C24,KOMBI!$A$11:$A$145,0),MATCH('KSH järjestus'!G$3,KOMBI!$A$1:$GI$1,0)),BD$4:BD$138,G$2)</f>
        <v>76</v>
      </c>
      <c r="H24" s="25">
        <f>RANK(INDEX(KOMBI!$A$11:$GI$145,MATCH('KSH järjestus'!$C24,KOMBI!$A$11:$A$145,0),MATCH('KSH järjestus'!H$3,KOMBI!$A$1:$GI$1,0)),BE$4:BE$138,H$2)</f>
        <v>94</v>
      </c>
      <c r="J24" s="25">
        <f>RANK(INDEX(KOMBI!$A$11:$GI$145,MATCH('KSH järjestus'!$C24,KOMBI!$A$11:$A$145,0),MATCH('KSH järjestus'!J$3,KOMBI!$A$1:$GI$1,0)),BG$4:BG$138,J$2)</f>
        <v>91</v>
      </c>
      <c r="M24" s="25">
        <f>RANK(INDEX(KOMBI!$A$11:$GI$145,MATCH('KSH järjestus'!$C24,KOMBI!$A$11:$A$145,0),MATCH('KSH järjestus'!M$3,KOMBI!$A$1:$GI$1,0)),BJ$4:BJ$138,M$2)</f>
        <v>55</v>
      </c>
      <c r="N24" s="25">
        <f>RANK(INDEX(KOMBI!$A$11:$GI$145,MATCH('KSH järjestus'!$C24,KOMBI!$A$11:$A$145,0),MATCH('KSH järjestus'!N$3,KOMBI!$A$1:$GI$1,0)),BK$4:BK$138,N$2)</f>
        <v>106</v>
      </c>
      <c r="O24" s="25">
        <f>RANK(INDEX(KOMBI!$A$11:$GI$145,MATCH('KSH järjestus'!$C24,KOMBI!$A$11:$A$145,0),MATCH('KSH järjestus'!O$3,KOMBI!$A$1:$GI$1,0)),BL$4:BL$138,O$2)</f>
        <v>75</v>
      </c>
      <c r="P24" s="25">
        <f>RANK(INDEX(KOMBI!$A$11:$GI$145,MATCH('KSH järjestus'!$C24,KOMBI!$A$11:$A$145,0),MATCH('KSH järjestus'!P$3,KOMBI!$A$1:$GI$1,0)),BM$4:BM$138,P$2)</f>
        <v>122</v>
      </c>
      <c r="Q24" s="25">
        <f>RANK(INDEX(KOMBI!$A$11:$GI$145,MATCH('KSH järjestus'!$C24,KOMBI!$A$11:$A$145,0),MATCH('KSH järjestus'!Q$3,KOMBI!$A$1:$GI$1,0)),BN$4:BN$138,Q$2)</f>
        <v>83</v>
      </c>
      <c r="R24" s="25">
        <f>RANK(INDEX(KOMBI!$A$11:$GI$145,MATCH('KSH järjestus'!$C24,KOMBI!$A$11:$A$145,0),MATCH('KSH järjestus'!R$3,KOMBI!$A$1:$GI$1,0)),BO$4:BO$138,R$2)</f>
        <v>62</v>
      </c>
      <c r="T24" s="25">
        <f>RANK(INDEX(KOMBI!$A$11:$GI$145,MATCH('KSH järjestus'!$C24,KOMBI!$A$11:$A$145,0),MATCH('KSH järjestus'!T$3,KOMBI!$A$1:$GI$1,0)),BQ$4:BQ$138,T$2)</f>
        <v>99</v>
      </c>
      <c r="U24" s="25">
        <f>RANK(INDEX(KOMBI!$A$11:$GI$145,MATCH('KSH järjestus'!$C24,KOMBI!$A$11:$A$145,0),MATCH('KSH järjestus'!U$3,KOMBI!$A$1:$GI$1,0)),BR$4:BR$138,U$2)</f>
        <v>116</v>
      </c>
      <c r="AA24" s="25">
        <f>RANK(INDEX(KOMBI!$A$11:$GI$145,MATCH('KSH järjestus'!$C24,KOMBI!$A$11:$A$145,0),MATCH('KSH järjestus'!AA$3,KOMBI!$A$1:$GI$1,0)),BX$4:BX$138,AA$2)</f>
        <v>91</v>
      </c>
      <c r="AB24" s="25">
        <f>RANK(INDEX(KOMBI!$A$11:$GI$145,MATCH('KSH järjestus'!$C24,KOMBI!$A$11:$A$145,0),MATCH('KSH järjestus'!AB$3,KOMBI!$A$1:$GI$1,0)),BY$4:BY$138,AB$2)</f>
        <v>73</v>
      </c>
      <c r="AC24" s="25">
        <f>RANK(INDEX(KOMBI!$A$11:$GI$145,MATCH('KSH järjestus'!$C24,KOMBI!$A$11:$A$145,0),MATCH('KSH järjestus'!AC$3,KOMBI!$A$1:$GI$1,0)),BZ$4:BZ$138,AC$2)</f>
        <v>68</v>
      </c>
      <c r="AD24" s="25">
        <f>RANK(INDEX(KOMBI!$A$11:$GI$145,MATCH('KSH järjestus'!$C24,KOMBI!$A$11:$A$145,0),MATCH('KSH järjestus'!AD$3,KOMBI!$A$1:$GI$1,0)),CA$4:CA$138,AD$2)</f>
        <v>89</v>
      </c>
      <c r="AE24" s="25">
        <f>RANK(INDEX(KOMBI!$A$11:$GI$145,MATCH('KSH järjestus'!$C24,KOMBI!$A$11:$A$145,0),MATCH('KSH järjestus'!AE$3,KOMBI!$A$1:$GI$1,0)),CB$4:CB$138,AE$2)</f>
        <v>92</v>
      </c>
      <c r="AG24" s="25">
        <f>RANK(INDEX(KOMBI!$A$11:$GI$145,MATCH('KSH järjestus'!$C24,KOMBI!$A$11:$A$145,0),MATCH('KSH järjestus'!AG$3,KOMBI!$A$1:$GI$1,0)),CD$4:CD$138,AG$2)</f>
        <v>94</v>
      </c>
      <c r="AH24" s="25">
        <f>RANK(INDEX(KOMBI!$A$11:$GI$145,MATCH('KSH järjestus'!$C24,KOMBI!$A$11:$A$145,0),MATCH('KSH järjestus'!AH$3,KOMBI!$A$1:$GI$1,0)),CE$4:CE$138,AH$2)</f>
        <v>31</v>
      </c>
      <c r="AI24" s="25">
        <f>RANK(INDEX(KOMBI!$A$11:$GI$145,MATCH('KSH järjestus'!$C24,KOMBI!$A$11:$A$145,0),MATCH('KSH järjestus'!AI$3,KOMBI!$A$1:$GI$1,0)),CF$4:CF$138,AI$2)</f>
        <v>88</v>
      </c>
      <c r="AJ24" s="25">
        <f>RANK(INDEX(KOMBI!$A$11:$GI$145,MATCH('KSH järjestus'!$C24,KOMBI!$A$11:$A$145,0),MATCH('KSH järjestus'!AJ$3,KOMBI!$A$1:$GI$1,0)),CG$4:CG$138,AJ$2)</f>
        <v>112</v>
      </c>
      <c r="AK24" s="25">
        <f>RANK(INDEX(KOMBI!$A$11:$GI$145,MATCH('KSH järjestus'!$C24,KOMBI!$A$11:$A$145,0),MATCH('KSH järjestus'!AK$3,KOMBI!$A$1:$GI$1,0)),CH$4:CH$138,AK$2)</f>
        <v>130</v>
      </c>
      <c r="AN24" s="25">
        <f>RANK(INDEX(KOMBI!$A$11:$GI$145,MATCH('KSH järjestus'!$C24,KOMBI!$A$11:$A$145,0),MATCH('KSH järjestus'!AN$3,KOMBI!$A$1:$GI$1,0)),CK$4:CK$138,AN$2)</f>
        <v>46</v>
      </c>
      <c r="AO24" s="25">
        <f>RANK(INDEX(KOMBI!$A$11:$GI$145,MATCH('KSH järjestus'!$C24,KOMBI!$A$11:$A$145,0),MATCH('KSH järjestus'!AO$3,KOMBI!$A$1:$GI$1,0)),CL$4:CL$138,AO$2)</f>
        <v>46</v>
      </c>
      <c r="AS24" s="297">
        <f t="shared" si="0"/>
        <v>1939</v>
      </c>
      <c r="AT24" s="25">
        <f t="shared" si="1"/>
        <v>914</v>
      </c>
      <c r="AU24" s="25">
        <f t="shared" si="2"/>
        <v>111</v>
      </c>
      <c r="AV24" s="295" t="str">
        <f>VLOOKUP(VLOOKUP($AU24,KOMBI!$A:$H,3,FALSE),data!$I$27:$J$29,2,FALSE)</f>
        <v>Vähe-sekkuv</v>
      </c>
      <c r="AW24" s="295" t="str">
        <f>VLOOKUP(VLOOKUP($AU24,KOMBI!$A:$H,2,FALSE),data!$I$21:$J$23,2,FALSE)</f>
        <v>Sekkuv</v>
      </c>
      <c r="AX24" s="295" t="str">
        <f>VLOOKUP(VLOOKUP($AU24,KOMBI!$A:$H,5,FALSE),data!$I$39:$J$41,2,FALSE)</f>
        <v>Sekkuv</v>
      </c>
      <c r="AY24" s="295" t="str">
        <f>VLOOKUP(VLOOKUP($AU24,KOMBI!$A:$H,4,FALSE),data!$I$32:$J$36,2,FALSE)</f>
        <v>LIB+</v>
      </c>
      <c r="BA24" s="25">
        <f t="array" ref="BA24">INDEX(KOMBI!$A$1:$GI$145,ROW('KSH järjestus'!BA31),MATCH('KSH järjestus'!BA$3,KOMBI!$A$1:$GI$1,0))</f>
        <v>2.7892709929984485</v>
      </c>
      <c r="BB24" s="25">
        <f t="array" ref="BB24">INDEX(KOMBI!$A$1:$GI$145,ROW('KSH järjestus'!BB31),MATCH('KSH järjestus'!BB$3,KOMBI!$A$1:$GI$1,0))</f>
        <v>379.829483352019</v>
      </c>
      <c r="BC24" s="25">
        <f t="array" aca="1" ref="BC24" ca="1">INDEX(KOMBI!$A$1:$GI$145,ROW('KSH järjestus'!BC31),MATCH('KSH järjestus'!BC$3,KOMBI!$A$1:$GI$1,0))</f>
        <v>51.131018398790857</v>
      </c>
      <c r="BD24" s="25">
        <f t="array" ref="BD24">INDEX(KOMBI!$A$1:$GI$145,ROW('KSH järjestus'!BD31),MATCH('KSH järjestus'!BD$3,KOMBI!$A$1:$GI$1,0))</f>
        <v>-71.100813699091034</v>
      </c>
      <c r="BE24" s="25">
        <f t="array" ref="BE24">INDEX(KOMBI!$A$1:$GI$145,ROW('KSH järjestus'!BE31),MATCH('KSH järjestus'!BE$3,KOMBI!$A$1:$GI$1,0))</f>
        <v>122.23183209788189</v>
      </c>
      <c r="BF24" s="25">
        <f t="array" aca="1" ref="BF24" ca="1">INDEX(KOMBI!$A$1:$GI$145,ROW('KSH järjestus'!BF31),MATCH('KSH järjestus'!BF$3,KOMBI!$A$1:$GI$1,0))</f>
        <v>0</v>
      </c>
      <c r="BG24" s="25">
        <f t="array" ref="BG24">INDEX(KOMBI!$A$1:$GI$145,ROW('KSH järjestus'!BG31),MATCH('KSH järjestus'!BG$3,KOMBI!$A$1:$GI$1,0))</f>
        <v>0.57840870861576166</v>
      </c>
      <c r="BH24" s="25">
        <f t="array" ref="BH24">INDEX(KOMBI!$A$1:$GI$145,ROW('KSH järjestus'!BH31),MATCH('KSH järjestus'!BH$3,KOMBI!$A$1:$GI$1,0))</f>
        <v>90</v>
      </c>
      <c r="BI24" s="25">
        <f t="array" ref="BI24">INDEX(KOMBI!$A$1:$GI$145,ROW('KSH järjestus'!BI31),MATCH('KSH järjestus'!BI$3,KOMBI!$A$1:$GI$1,0))</f>
        <v>0.91028830406496786</v>
      </c>
      <c r="BJ24" s="25">
        <f t="array" ref="BJ24">INDEX(KOMBI!$A$1:$GI$145,ROW('KSH järjestus'!BJ31),MATCH('KSH järjestus'!BJ$3,KOMBI!$A$1:$GI$1,0))</f>
        <v>0.27911646586345373</v>
      </c>
      <c r="BK24" s="25">
        <f t="array" ref="BK24">INDEX(KOMBI!$A$1:$GI$145,ROW('KSH järjestus'!BK31),MATCH('KSH järjestus'!BK$3,KOMBI!$A$1:$GI$1,0))</f>
        <v>0.30496789459902313</v>
      </c>
      <c r="BL24" s="25">
        <f t="array" ref="BL24">INDEX(KOMBI!$A$1:$GI$145,ROW('KSH järjestus'!BL31),MATCH('KSH järjestus'!BL$3,KOMBI!$A$1:$GI$1,0))</f>
        <v>1.5260153542391838E-2</v>
      </c>
      <c r="BM24" s="25">
        <f t="array" ref="BM24">INDEX(KOMBI!$A$1:$GI$145,ROW('KSH järjestus'!BM31),MATCH('KSH järjestus'!BM$3,KOMBI!$A$1:$GI$1,0))</f>
        <v>-5.9951262439297878E-3</v>
      </c>
      <c r="BN24" s="25">
        <f t="array" ref="BN24">INDEX(KOMBI!$A$1:$GI$145,ROW('KSH järjestus'!BN31),MATCH('KSH järjestus'!BN$3,KOMBI!$A$1:$GI$1,0))</f>
        <v>3.1587056920194534E-3</v>
      </c>
      <c r="BO24" s="25">
        <f t="array" ref="BO24">INDEX(KOMBI!$A$1:$GI$145,ROW('KSH järjestus'!BO31),MATCH('KSH järjestus'!BO$3,KOMBI!$A$1:$GI$1,0))</f>
        <v>1.2224146197417698E-2</v>
      </c>
      <c r="BP24" s="25">
        <f t="array" ref="BP24">INDEX(KOMBI!$A$1:$GI$145,ROW('KSH järjestus'!BP31),MATCH('KSH järjestus'!BP$3,KOMBI!$A$1:$GI$1,0))</f>
        <v>7.8067605777489071</v>
      </c>
      <c r="BQ24" s="25">
        <f t="array" ref="BQ24">INDEX(KOMBI!$A$1:$GI$145,ROW('KSH järjestus'!BQ31),MATCH('KSH järjestus'!BQ$3,KOMBI!$A$1:$GI$1,0))</f>
        <v>11.166</v>
      </c>
      <c r="BR24" s="25">
        <f t="array" ref="BR24">INDEX(KOMBI!$A$1:$GI$145,ROW('KSH järjestus'!BR31),MATCH('KSH järjestus'!BR$3,KOMBI!$A$1:$GI$1,0))</f>
        <v>-4.5740689613393551E-3</v>
      </c>
      <c r="BS24" s="25">
        <f t="array" ref="BS24">INDEX(KOMBI!$A$1:$GI$145,ROW('KSH järjestus'!BS31),MATCH('KSH järjestus'!BS$3,KOMBI!$A$1:$GI$1,0))</f>
        <v>-8.365043597720806E-3</v>
      </c>
      <c r="BT24" s="25">
        <f t="array" ref="BT24">INDEX(KOMBI!$A$1:$GI$145,ROW('KSH järjestus'!BT31),MATCH('KSH järjestus'!BT$3,KOMBI!$A$1:$GI$1,0))</f>
        <v>-1.6919721587381621E-2</v>
      </c>
      <c r="BU24" s="25">
        <f t="array" ref="BU24">INDEX(KOMBI!$A$1:$GI$145,ROW('KSH järjestus'!BU31),MATCH('KSH järjestus'!BU$3,KOMBI!$A$1:$GI$1,0))</f>
        <v>9.180714069714881</v>
      </c>
      <c r="BV24" s="25">
        <f t="array" ref="BV24">INDEX(KOMBI!$A$1:$GI$145,ROW('KSH järjestus'!BV31),MATCH('KSH järjestus'!BV$3,KOMBI!$A$1:$GI$1,0))</f>
        <v>5.0979999999999999</v>
      </c>
      <c r="BW24" s="25">
        <f t="array" ref="BW24">INDEX(KOMBI!$A$1:$GI$145,ROW('KSH järjestus'!BW31),MATCH('KSH järjestus'!BW$3,KOMBI!$A$1:$GI$1,0))</f>
        <v>3.7428368215830607</v>
      </c>
      <c r="BX24" s="25">
        <f t="array" ref="BX24">INDEX(KOMBI!$A$1:$GI$145,ROW('KSH järjestus'!BX31),MATCH('KSH järjestus'!BX$3,KOMBI!$A$1:$GI$1,0))</f>
        <v>19.291578011574536</v>
      </c>
      <c r="BY24" s="25">
        <f t="array" ref="BY24">INDEX(KOMBI!$A$1:$GI$145,ROW('KSH järjestus'!BY31),MATCH('KSH järjestus'!BY$3,KOMBI!$A$1:$GI$1,0))</f>
        <v>11.875124562278598</v>
      </c>
      <c r="BZ24" s="25">
        <f t="array" ref="BZ24">INDEX(KOMBI!$A$1:$GI$145,ROW('KSH järjestus'!BZ31),MATCH('KSH järjestus'!BZ$3,KOMBI!$A$1:$GI$1,0))</f>
        <v>76</v>
      </c>
      <c r="CA24" s="25">
        <f t="array" ref="CA24">INDEX(KOMBI!$A$1:$GI$145,ROW('KSH järjestus'!CA31),MATCH('KSH järjestus'!CA$3,KOMBI!$A$1:$GI$1,0))</f>
        <v>14.865</v>
      </c>
      <c r="CB24" s="25">
        <f t="array" ref="CB24">INDEX(KOMBI!$A$1:$GI$145,ROW('KSH järjestus'!CB31),MATCH('KSH järjestus'!CB$3,KOMBI!$A$1:$GI$1,0))</f>
        <v>66.302777777777777</v>
      </c>
      <c r="CC24" s="25">
        <f t="array" ref="CC24">INDEX(KOMBI!$A$1:$GI$145,ROW('KSH järjestus'!CC31),MATCH('KSH järjestus'!CC$3,KOMBI!$A$1:$GI$1,0))</f>
        <v>5.337199</v>
      </c>
      <c r="CD24" s="25">
        <f t="array" ref="CD24">INDEX(KOMBI!$A$1:$GI$145,ROW('KSH järjestus'!CD31),MATCH('KSH järjestus'!CD$3,KOMBI!$A$1:$GI$1,0))</f>
        <v>318.5</v>
      </c>
      <c r="CE24" s="25">
        <f t="array" ref="CE24">INDEX(KOMBI!$A$1:$GI$145,ROW('KSH järjestus'!CE31),MATCH('KSH järjestus'!CE$3,KOMBI!$A$1:$GI$1,0))</f>
        <v>2.851</v>
      </c>
      <c r="CF24" s="25">
        <f t="array" ref="CF24">INDEX(KOMBI!$A$1:$GI$145,ROW('KSH järjestus'!CF31),MATCH('KSH järjestus'!CF$3,KOMBI!$A$1:$GI$1,0))</f>
        <v>50.474567183462526</v>
      </c>
      <c r="CG24" s="25">
        <f t="array" ref="CG24">INDEX(KOMBI!$A$1:$GI$145,ROW('KSH järjestus'!CG31),MATCH('KSH järjestus'!CG$3,KOMBI!$A$1:$GI$1,0))</f>
        <v>2.1267750475898739E-2</v>
      </c>
      <c r="CH24" s="25">
        <f t="array" ref="CH24">INDEX(KOMBI!$A$1:$GI$145,ROW('KSH järjestus'!CH31),MATCH('KSH järjestus'!CH$3,KOMBI!$A$1:$GI$1,0))</f>
        <v>0.35547441046944428</v>
      </c>
      <c r="CI24" s="25">
        <f t="array" ref="CI24">INDEX(KOMBI!$A$1:$GI$145,ROW('KSH järjestus'!CI31),MATCH('KSH järjestus'!CI$3,KOMBI!$A$1:$GI$1,0))</f>
        <v>6.28</v>
      </c>
      <c r="CJ24" s="25">
        <f t="array" ref="CJ24">INDEX(KOMBI!$A$1:$GI$145,ROW('KSH järjestus'!CJ31),MATCH('KSH järjestus'!CJ$3,KOMBI!$A$1:$GI$1,0))</f>
        <v>5.6566368215830609</v>
      </c>
      <c r="CK24" s="25">
        <f t="array" ref="CK24">INDEX(KOMBI!$A$1:$GI$145,ROW('KSH järjestus'!CK31),MATCH('KSH järjestus'!CK$3,KOMBI!$A$1:$GI$1,0))</f>
        <v>0.21099999999999999</v>
      </c>
      <c r="CL24" s="25">
        <f t="array" ref="CL24">INDEX(KOMBI!$A$1:$GI$145,ROW('KSH järjestus'!CL31),MATCH('KSH järjestus'!CL$3,KOMBI!$A$1:$GI$1,0))</f>
        <v>0.76300000000000001</v>
      </c>
    </row>
    <row r="25" spans="3:90" x14ac:dyDescent="0.2">
      <c r="C25" s="184">
        <v>22</v>
      </c>
      <c r="G25" s="25">
        <f>RANK(INDEX(KOMBI!$A$11:$GI$145,MATCH('KSH järjestus'!$C25,KOMBI!$A$11:$A$145,0),MATCH('KSH järjestus'!G$3,KOMBI!$A$1:$GI$1,0)),BD$4:BD$138,G$2)</f>
        <v>111</v>
      </c>
      <c r="H25" s="25">
        <f>RANK(INDEX(KOMBI!$A$11:$GI$145,MATCH('KSH järjestus'!$C25,KOMBI!$A$11:$A$145,0),MATCH('KSH järjestus'!H$3,KOMBI!$A$1:$GI$1,0)),BE$4:BE$138,H$2)</f>
        <v>124</v>
      </c>
      <c r="J25" s="25">
        <f>RANK(INDEX(KOMBI!$A$11:$GI$145,MATCH('KSH järjestus'!$C25,KOMBI!$A$11:$A$145,0),MATCH('KSH järjestus'!J$3,KOMBI!$A$1:$GI$1,0)),BG$4:BG$138,J$2)</f>
        <v>81</v>
      </c>
      <c r="M25" s="25">
        <f>RANK(INDEX(KOMBI!$A$11:$GI$145,MATCH('KSH järjestus'!$C25,KOMBI!$A$11:$A$145,0),MATCH('KSH järjestus'!M$3,KOMBI!$A$1:$GI$1,0)),BJ$4:BJ$138,M$2)</f>
        <v>28</v>
      </c>
      <c r="N25" s="25">
        <f>RANK(INDEX(KOMBI!$A$11:$GI$145,MATCH('KSH järjestus'!$C25,KOMBI!$A$11:$A$145,0),MATCH('KSH järjestus'!N$3,KOMBI!$A$1:$GI$1,0)),BK$4:BK$138,N$2)</f>
        <v>70</v>
      </c>
      <c r="O25" s="25">
        <f>RANK(INDEX(KOMBI!$A$11:$GI$145,MATCH('KSH järjestus'!$C25,KOMBI!$A$11:$A$145,0),MATCH('KSH järjestus'!O$3,KOMBI!$A$1:$GI$1,0)),BL$4:BL$138,O$2)</f>
        <v>118</v>
      </c>
      <c r="P25" s="25">
        <f>RANK(INDEX(KOMBI!$A$11:$GI$145,MATCH('KSH järjestus'!$C25,KOMBI!$A$11:$A$145,0),MATCH('KSH järjestus'!P$3,KOMBI!$A$1:$GI$1,0)),BM$4:BM$138,P$2)</f>
        <v>107</v>
      </c>
      <c r="Q25" s="25">
        <f>RANK(INDEX(KOMBI!$A$11:$GI$145,MATCH('KSH järjestus'!$C25,KOMBI!$A$11:$A$145,0),MATCH('KSH järjestus'!Q$3,KOMBI!$A$1:$GI$1,0)),BN$4:BN$138,Q$2)</f>
        <v>110</v>
      </c>
      <c r="R25" s="25">
        <f>RANK(INDEX(KOMBI!$A$11:$GI$145,MATCH('KSH järjestus'!$C25,KOMBI!$A$11:$A$145,0),MATCH('KSH järjestus'!R$3,KOMBI!$A$1:$GI$1,0)),BO$4:BO$138,R$2)</f>
        <v>113</v>
      </c>
      <c r="T25" s="25">
        <f>RANK(INDEX(KOMBI!$A$11:$GI$145,MATCH('KSH järjestus'!$C25,KOMBI!$A$11:$A$145,0),MATCH('KSH järjestus'!T$3,KOMBI!$A$1:$GI$1,0)),BQ$4:BQ$138,T$2)</f>
        <v>83</v>
      </c>
      <c r="U25" s="25">
        <f>RANK(INDEX(KOMBI!$A$11:$GI$145,MATCH('KSH järjestus'!$C25,KOMBI!$A$11:$A$145,0),MATCH('KSH järjestus'!U$3,KOMBI!$A$1:$GI$1,0)),BR$4:BR$138,U$2)</f>
        <v>100</v>
      </c>
      <c r="AA25" s="25">
        <f>RANK(INDEX(KOMBI!$A$11:$GI$145,MATCH('KSH järjestus'!$C25,KOMBI!$A$11:$A$145,0),MATCH('KSH järjestus'!AA$3,KOMBI!$A$1:$GI$1,0)),BX$4:BX$138,AA$2)</f>
        <v>94</v>
      </c>
      <c r="AB25" s="25">
        <f>RANK(INDEX(KOMBI!$A$11:$GI$145,MATCH('KSH järjestus'!$C25,KOMBI!$A$11:$A$145,0),MATCH('KSH järjestus'!AB$3,KOMBI!$A$1:$GI$1,0)),BY$4:BY$138,AB$2)</f>
        <v>73</v>
      </c>
      <c r="AC25" s="25">
        <f>RANK(INDEX(KOMBI!$A$11:$GI$145,MATCH('KSH järjestus'!$C25,KOMBI!$A$11:$A$145,0),MATCH('KSH järjestus'!AC$3,KOMBI!$A$1:$GI$1,0)),BZ$4:BZ$138,AC$2)</f>
        <v>58</v>
      </c>
      <c r="AD25" s="25">
        <f>RANK(INDEX(KOMBI!$A$11:$GI$145,MATCH('KSH järjestus'!$C25,KOMBI!$A$11:$A$145,0),MATCH('KSH järjestus'!AD$3,KOMBI!$A$1:$GI$1,0)),CA$4:CA$138,AD$2)</f>
        <v>81</v>
      </c>
      <c r="AE25" s="25">
        <f>RANK(INDEX(KOMBI!$A$11:$GI$145,MATCH('KSH järjestus'!$C25,KOMBI!$A$11:$A$145,0),MATCH('KSH järjestus'!AE$3,KOMBI!$A$1:$GI$1,0)),CB$4:CB$138,AE$2)</f>
        <v>81</v>
      </c>
      <c r="AG25" s="25">
        <f>RANK(INDEX(KOMBI!$A$11:$GI$145,MATCH('KSH järjestus'!$C25,KOMBI!$A$11:$A$145,0),MATCH('KSH järjestus'!AG$3,KOMBI!$A$1:$GI$1,0)),CD$4:CD$138,AG$2)</f>
        <v>94</v>
      </c>
      <c r="AH25" s="25">
        <f>RANK(INDEX(KOMBI!$A$11:$GI$145,MATCH('KSH järjestus'!$C25,KOMBI!$A$11:$A$145,0),MATCH('KSH järjestus'!AH$3,KOMBI!$A$1:$GI$1,0)),CE$4:CE$138,AH$2)</f>
        <v>31</v>
      </c>
      <c r="AI25" s="25">
        <f>RANK(INDEX(KOMBI!$A$11:$GI$145,MATCH('KSH järjestus'!$C25,KOMBI!$A$11:$A$145,0),MATCH('KSH järjestus'!AI$3,KOMBI!$A$1:$GI$1,0)),CF$4:CF$138,AI$2)</f>
        <v>82</v>
      </c>
      <c r="AJ25" s="25">
        <f>RANK(INDEX(KOMBI!$A$11:$GI$145,MATCH('KSH järjestus'!$C25,KOMBI!$A$11:$A$145,0),MATCH('KSH järjestus'!AJ$3,KOMBI!$A$1:$GI$1,0)),CG$4:CG$138,AJ$2)</f>
        <v>22</v>
      </c>
      <c r="AK25" s="25">
        <f>RANK(INDEX(KOMBI!$A$11:$GI$145,MATCH('KSH järjestus'!$C25,KOMBI!$A$11:$A$145,0),MATCH('KSH järjestus'!AK$3,KOMBI!$A$1:$GI$1,0)),CH$4:CH$138,AK$2)</f>
        <v>79</v>
      </c>
      <c r="AN25" s="25">
        <f>RANK(INDEX(KOMBI!$A$11:$GI$145,MATCH('KSH järjestus'!$C25,KOMBI!$A$11:$A$145,0),MATCH('KSH järjestus'!AN$3,KOMBI!$A$1:$GI$1,0)),CK$4:CK$138,AN$2)</f>
        <v>46</v>
      </c>
      <c r="AO25" s="25">
        <f>RANK(INDEX(KOMBI!$A$11:$GI$145,MATCH('KSH järjestus'!$C25,KOMBI!$A$11:$A$145,0),MATCH('KSH järjestus'!AO$3,KOMBI!$A$1:$GI$1,0)),CL$4:CL$138,AO$2)</f>
        <v>46</v>
      </c>
      <c r="AS25" s="297">
        <f t="shared" si="0"/>
        <v>1832</v>
      </c>
      <c r="AT25" s="25">
        <f t="shared" si="1"/>
        <v>940</v>
      </c>
      <c r="AU25" s="25">
        <f t="shared" si="2"/>
        <v>83</v>
      </c>
      <c r="AV25" s="295" t="str">
        <f>VLOOKUP(VLOOKUP($AU25,KOMBI!$A:$H,3,FALSE),data!$I$27:$J$29,2,FALSE)</f>
        <v>Sekkuv/EÜ</v>
      </c>
      <c r="AW25" s="295" t="str">
        <f>VLOOKUP(VLOOKUP($AU25,KOMBI!$A:$H,2,FALSE),data!$I$21:$J$23,2,FALSE)</f>
        <v>Vähe-sekkuv</v>
      </c>
      <c r="AX25" s="295" t="str">
        <f>VLOOKUP(VLOOKUP($AU25,KOMBI!$A:$H,5,FALSE),data!$I$39:$J$41,2,FALSE)</f>
        <v>Vähe-sekkuv</v>
      </c>
      <c r="AY25" s="295" t="str">
        <f>VLOOKUP(VLOOKUP($AU25,KOMBI!$A:$H,4,FALSE),data!$I$32:$J$36,2,FALSE)</f>
        <v>TE</v>
      </c>
      <c r="BA25" s="25">
        <f t="array" ref="BA25">INDEX(KOMBI!$A$1:$GI$145,ROW('KSH järjestus'!BA32),MATCH('KSH järjestus'!BA$3,KOMBI!$A$1:$GI$1,0))</f>
        <v>1.6432390186601669</v>
      </c>
      <c r="BB25" s="25">
        <f t="array" ref="BB25">INDEX(KOMBI!$A$1:$GI$145,ROW('KSH järjestus'!BB32),MATCH('KSH järjestus'!BB$3,KOMBI!$A$1:$GI$1,0))</f>
        <v>188.74371564980851</v>
      </c>
      <c r="BC25" s="25">
        <f t="array" aca="1" ref="BC25" ca="1">INDEX(KOMBI!$A$1:$GI$145,ROW('KSH järjestus'!BC32),MATCH('KSH järjestus'!BC$3,KOMBI!$A$1:$GI$1,0))</f>
        <v>28.233137994723897</v>
      </c>
      <c r="BD25" s="25">
        <f t="array" ref="BD25">INDEX(KOMBI!$A$1:$GI$145,ROW('KSH järjestus'!BD32),MATCH('KSH järjestus'!BD$3,KOMBI!$A$1:$GI$1,0))</f>
        <v>-36.76</v>
      </c>
      <c r="BE25" s="25">
        <f t="array" ref="BE25">INDEX(KOMBI!$A$1:$GI$145,ROW('KSH järjestus'!BE32),MATCH('KSH järjestus'!BE$3,KOMBI!$A$1:$GI$1,0))</f>
        <v>64.993137994723895</v>
      </c>
      <c r="BF25" s="25">
        <f t="array" aca="1" ref="BF25" ca="1">INDEX(KOMBI!$A$1:$GI$145,ROW('KSH järjestus'!BF32),MATCH('KSH järjestus'!BF$3,KOMBI!$A$1:$GI$1,0))</f>
        <v>0</v>
      </c>
      <c r="BG25" s="25">
        <f t="array" ref="BG25">INDEX(KOMBI!$A$1:$GI$145,ROW('KSH järjestus'!BG32),MATCH('KSH järjestus'!BG$3,KOMBI!$A$1:$GI$1,0))</f>
        <v>0.55910168921821746</v>
      </c>
      <c r="BH25" s="25">
        <f t="array" ref="BH25">INDEX(KOMBI!$A$1:$GI$145,ROW('KSH järjestus'!BH32),MATCH('KSH järjestus'!BH$3,KOMBI!$A$1:$GI$1,0))</f>
        <v>90</v>
      </c>
      <c r="BI25" s="25">
        <f t="array" ref="BI25">INDEX(KOMBI!$A$1:$GI$145,ROW('KSH järjestus'!BI32),MATCH('KSH järjestus'!BI$3,KOMBI!$A$1:$GI$1,0))</f>
        <v>1</v>
      </c>
      <c r="BJ25" s="25">
        <f t="array" ref="BJ25">INDEX(KOMBI!$A$1:$GI$145,ROW('KSH järjestus'!BJ32),MATCH('KSH järjestus'!BJ$3,KOMBI!$A$1:$GI$1,0))</f>
        <v>6.6265060240963902E-2</v>
      </c>
      <c r="BK25" s="25">
        <f t="array" ref="BK25">INDEX(KOMBI!$A$1:$GI$145,ROW('KSH järjestus'!BK32),MATCH('KSH järjestus'!BK$3,KOMBI!$A$1:$GI$1,0))</f>
        <v>0.34764098244282376</v>
      </c>
      <c r="BL25" s="25">
        <f t="array" ref="BL25">INDEX(KOMBI!$A$1:$GI$145,ROW('KSH järjestus'!BL32),MATCH('KSH järjestus'!BL$3,KOMBI!$A$1:$GI$1,0))</f>
        <v>7.9373512927197291E-3</v>
      </c>
      <c r="BM25" s="25">
        <f t="array" ref="BM25">INDEX(KOMBI!$A$1:$GI$145,ROW('KSH järjestus'!BM32),MATCH('KSH järjestus'!BM$3,KOMBI!$A$1:$GI$1,0))</f>
        <v>-4.1040510771479998E-3</v>
      </c>
      <c r="BN25" s="25">
        <f t="array" ref="BN25">INDEX(KOMBI!$A$1:$GI$145,ROW('KSH järjestus'!BN32),MATCH('KSH järjestus'!BN$3,KOMBI!$A$1:$GI$1,0))</f>
        <v>9.7193042400103846E-4</v>
      </c>
      <c r="BO25" s="25">
        <f t="array" ref="BO25">INDEX(KOMBI!$A$1:$GI$145,ROW('KSH järjestus'!BO32),MATCH('KSH järjestus'!BO$3,KOMBI!$A$1:$GI$1,0))</f>
        <v>7.0065307276692898E-3</v>
      </c>
      <c r="BP25" s="25">
        <f t="array" ref="BP25">INDEX(KOMBI!$A$1:$GI$145,ROW('KSH järjestus'!BP32),MATCH('KSH järjestus'!BP$3,KOMBI!$A$1:$GI$1,0))</f>
        <v>7.8093156794471028</v>
      </c>
      <c r="BQ25" s="25">
        <f t="array" ref="BQ25">INDEX(KOMBI!$A$1:$GI$145,ROW('KSH järjestus'!BQ32),MATCH('KSH järjestus'!BQ$3,KOMBI!$A$1:$GI$1,0))</f>
        <v>10.933999999999999</v>
      </c>
      <c r="BR25" s="25">
        <f t="array" ref="BR25">INDEX(KOMBI!$A$1:$GI$145,ROW('KSH järjestus'!BR32),MATCH('KSH järjestus'!BR$3,KOMBI!$A$1:$GI$1,0))</f>
        <v>-1.2770701226448005E-2</v>
      </c>
      <c r="BS25" s="25">
        <f t="array" ref="BS25">INDEX(KOMBI!$A$1:$GI$145,ROW('KSH järjestus'!BS32),MATCH('KSH järjestus'!BS$3,KOMBI!$A$1:$GI$1,0))</f>
        <v>-1.1290259088175582E-2</v>
      </c>
      <c r="BT25" s="25">
        <f t="array" ref="BT25">INDEX(KOMBI!$A$1:$GI$145,ROW('KSH järjestus'!BT32),MATCH('KSH järjestus'!BT$3,KOMBI!$A$1:$GI$1,0))</f>
        <v>-1.9206892994605231E-2</v>
      </c>
      <c r="BU25" s="25">
        <f t="array" ref="BU25">INDEX(KOMBI!$A$1:$GI$145,ROW('KSH järjestus'!BU32),MATCH('KSH järjestus'!BU$3,KOMBI!$A$1:$GI$1,0))</f>
        <v>9.1478856510938069</v>
      </c>
      <c r="BV25" s="25">
        <f t="array" ref="BV25">INDEX(KOMBI!$A$1:$GI$145,ROW('KSH järjestus'!BV32),MATCH('KSH järjestus'!BV$3,KOMBI!$A$1:$GI$1,0))</f>
        <v>5.0650000000000004</v>
      </c>
      <c r="BW25" s="25">
        <f t="array" ref="BW25">INDEX(KOMBI!$A$1:$GI$145,ROW('KSH järjestus'!BW32),MATCH('KSH järjestus'!BW$3,KOMBI!$A$1:$GI$1,0))</f>
        <v>3.1566368215830605</v>
      </c>
      <c r="BX25" s="25">
        <f t="array" ref="BX25">INDEX(KOMBI!$A$1:$GI$145,ROW('KSH järjestus'!BX32),MATCH('KSH järjestus'!BX$3,KOMBI!$A$1:$GI$1,0))</f>
        <v>19.294861099430584</v>
      </c>
      <c r="BY25" s="25">
        <f t="array" ref="BY25">INDEX(KOMBI!$A$1:$GI$145,ROW('KSH järjestus'!BY32),MATCH('KSH järjestus'!BY$3,KOMBI!$A$1:$GI$1,0))</f>
        <v>11.875124562278598</v>
      </c>
      <c r="BZ25" s="25">
        <f t="array" ref="BZ25">INDEX(KOMBI!$A$1:$GI$145,ROW('KSH järjestus'!BZ32),MATCH('KSH järjestus'!BZ$3,KOMBI!$A$1:$GI$1,0))</f>
        <v>75</v>
      </c>
      <c r="CA25" s="25">
        <f t="array" ref="CA25">INDEX(KOMBI!$A$1:$GI$145,ROW('KSH järjestus'!CA32),MATCH('KSH järjestus'!CA$3,KOMBI!$A$1:$GI$1,0))</f>
        <v>14.539</v>
      </c>
      <c r="CB25" s="25">
        <f t="array" ref="CB25">INDEX(KOMBI!$A$1:$GI$145,ROW('KSH järjestus'!CB32),MATCH('KSH järjestus'!CB$3,KOMBI!$A$1:$GI$1,0))</f>
        <v>65.060277777777785</v>
      </c>
      <c r="CC25" s="25">
        <f t="array" ref="CC25">INDEX(KOMBI!$A$1:$GI$145,ROW('KSH järjestus'!CC32),MATCH('KSH järjestus'!CC$3,KOMBI!$A$1:$GI$1,0))</f>
        <v>5.2315810000000003</v>
      </c>
      <c r="CD25" s="25">
        <f t="array" ref="CD25">INDEX(KOMBI!$A$1:$GI$145,ROW('KSH järjestus'!CD32),MATCH('KSH järjestus'!CD$3,KOMBI!$A$1:$GI$1,0))</f>
        <v>318.5</v>
      </c>
      <c r="CE25" s="25">
        <f t="array" ref="CE25">INDEX(KOMBI!$A$1:$GI$145,ROW('KSH järjestus'!CE32),MATCH('KSH järjestus'!CE$3,KOMBI!$A$1:$GI$1,0))</f>
        <v>2.851</v>
      </c>
      <c r="CF25" s="25">
        <f t="array" ref="CF25">INDEX(KOMBI!$A$1:$GI$145,ROW('KSH järjestus'!CF32),MATCH('KSH järjestus'!CF$3,KOMBI!$A$1:$GI$1,0))</f>
        <v>50.434567183462526</v>
      </c>
      <c r="CG25" s="25">
        <f t="array" ref="CG25">INDEX(KOMBI!$A$1:$GI$145,ROW('KSH järjestus'!CG32),MATCH('KSH järjestus'!CG$3,KOMBI!$A$1:$GI$1,0))</f>
        <v>7.7456622103581826E-2</v>
      </c>
      <c r="CH25" s="25">
        <f t="array" ref="CH25">INDEX(KOMBI!$A$1:$GI$145,ROW('KSH järjestus'!CH32),MATCH('KSH järjestus'!CH$3,KOMBI!$A$1:$GI$1,0))</f>
        <v>0.41245097655919771</v>
      </c>
      <c r="CI25" s="25">
        <f t="array" ref="CI25">INDEX(KOMBI!$A$1:$GI$145,ROW('KSH järjestus'!CI32),MATCH('KSH järjestus'!CI$3,KOMBI!$A$1:$GI$1,0))</f>
        <v>6.28</v>
      </c>
      <c r="CJ25" s="25">
        <f t="array" ref="CJ25">INDEX(KOMBI!$A$1:$GI$145,ROW('KSH järjestus'!CJ32),MATCH('KSH järjestus'!CJ$3,KOMBI!$A$1:$GI$1,0))</f>
        <v>4.9646368215830607</v>
      </c>
      <c r="CK25" s="25">
        <f t="array" ref="CK25">INDEX(KOMBI!$A$1:$GI$145,ROW('KSH järjestus'!CK32),MATCH('KSH järjestus'!CK$3,KOMBI!$A$1:$GI$1,0))</f>
        <v>0.21099999999999999</v>
      </c>
      <c r="CL25" s="25">
        <f t="array" ref="CL25">INDEX(KOMBI!$A$1:$GI$145,ROW('KSH järjestus'!CL32),MATCH('KSH järjestus'!CL$3,KOMBI!$A$1:$GI$1,0))</f>
        <v>0.76300000000000001</v>
      </c>
    </row>
    <row r="26" spans="3:90" x14ac:dyDescent="0.2">
      <c r="C26" s="184">
        <v>23</v>
      </c>
      <c r="G26" s="25">
        <f>RANK(INDEX(KOMBI!$A$11:$GI$145,MATCH('KSH järjestus'!$C26,KOMBI!$A$11:$A$145,0),MATCH('KSH järjestus'!G$3,KOMBI!$A$1:$GI$1,0)),BD$4:BD$138,G$2)</f>
        <v>96</v>
      </c>
      <c r="H26" s="25">
        <f>RANK(INDEX(KOMBI!$A$11:$GI$145,MATCH('KSH järjestus'!$C26,KOMBI!$A$11:$A$145,0),MATCH('KSH järjestus'!H$3,KOMBI!$A$1:$GI$1,0)),BE$4:BE$138,H$2)</f>
        <v>104</v>
      </c>
      <c r="J26" s="25">
        <f>RANK(INDEX(KOMBI!$A$11:$GI$145,MATCH('KSH järjestus'!$C26,KOMBI!$A$11:$A$145,0),MATCH('KSH järjestus'!J$3,KOMBI!$A$1:$GI$1,0)),BG$4:BG$138,J$2)</f>
        <v>57</v>
      </c>
      <c r="M26" s="25">
        <f>RANK(INDEX(KOMBI!$A$11:$GI$145,MATCH('KSH järjestus'!$C26,KOMBI!$A$11:$A$145,0),MATCH('KSH järjestus'!M$3,KOMBI!$A$1:$GI$1,0)),BJ$4:BJ$138,M$2)</f>
        <v>28</v>
      </c>
      <c r="N26" s="25">
        <f>RANK(INDEX(KOMBI!$A$11:$GI$145,MATCH('KSH järjestus'!$C26,KOMBI!$A$11:$A$145,0),MATCH('KSH järjestus'!N$3,KOMBI!$A$1:$GI$1,0)),BK$4:BK$138,N$2)</f>
        <v>70</v>
      </c>
      <c r="O26" s="25">
        <f>RANK(INDEX(KOMBI!$A$11:$GI$145,MATCH('KSH järjestus'!$C26,KOMBI!$A$11:$A$145,0),MATCH('KSH järjestus'!O$3,KOMBI!$A$1:$GI$1,0)),BL$4:BL$138,O$2)</f>
        <v>81</v>
      </c>
      <c r="P26" s="25">
        <f>RANK(INDEX(KOMBI!$A$11:$GI$145,MATCH('KSH järjestus'!$C26,KOMBI!$A$11:$A$145,0),MATCH('KSH järjestus'!P$3,KOMBI!$A$1:$GI$1,0)),BM$4:BM$138,P$2)</f>
        <v>127</v>
      </c>
      <c r="Q26" s="25">
        <f>RANK(INDEX(KOMBI!$A$11:$GI$145,MATCH('KSH järjestus'!$C26,KOMBI!$A$11:$A$145,0),MATCH('KSH järjestus'!Q$3,KOMBI!$A$1:$GI$1,0)),BN$4:BN$138,Q$2)</f>
        <v>77</v>
      </c>
      <c r="R26" s="25">
        <f>RANK(INDEX(KOMBI!$A$11:$GI$145,MATCH('KSH järjestus'!$C26,KOMBI!$A$11:$A$145,0),MATCH('KSH järjestus'!R$3,KOMBI!$A$1:$GI$1,0)),BO$4:BO$138,R$2)</f>
        <v>80</v>
      </c>
      <c r="T26" s="25">
        <f>RANK(INDEX(KOMBI!$A$11:$GI$145,MATCH('KSH järjestus'!$C26,KOMBI!$A$11:$A$145,0),MATCH('KSH järjestus'!T$3,KOMBI!$A$1:$GI$1,0)),BQ$4:BQ$138,T$2)</f>
        <v>91</v>
      </c>
      <c r="U26" s="25">
        <f>RANK(INDEX(KOMBI!$A$11:$GI$145,MATCH('KSH järjestus'!$C26,KOMBI!$A$11:$A$145,0),MATCH('KSH järjestus'!U$3,KOMBI!$A$1:$GI$1,0)),BR$4:BR$138,U$2)</f>
        <v>109</v>
      </c>
      <c r="AA26" s="25">
        <f>RANK(INDEX(KOMBI!$A$11:$GI$145,MATCH('KSH järjestus'!$C26,KOMBI!$A$11:$A$145,0),MATCH('KSH järjestus'!AA$3,KOMBI!$A$1:$GI$1,0)),BX$4:BX$138,AA$2)</f>
        <v>94</v>
      </c>
      <c r="AB26" s="25">
        <f>RANK(INDEX(KOMBI!$A$11:$GI$145,MATCH('KSH järjestus'!$C26,KOMBI!$A$11:$A$145,0),MATCH('KSH järjestus'!AB$3,KOMBI!$A$1:$GI$1,0)),BY$4:BY$138,AB$2)</f>
        <v>73</v>
      </c>
      <c r="AC26" s="25">
        <f>RANK(INDEX(KOMBI!$A$11:$GI$145,MATCH('KSH järjestus'!$C26,KOMBI!$A$11:$A$145,0),MATCH('KSH järjestus'!AC$3,KOMBI!$A$1:$GI$1,0)),BZ$4:BZ$138,AC$2)</f>
        <v>64</v>
      </c>
      <c r="AD26" s="25">
        <f>RANK(INDEX(KOMBI!$A$11:$GI$145,MATCH('KSH järjestus'!$C26,KOMBI!$A$11:$A$145,0),MATCH('KSH järjestus'!AD$3,KOMBI!$A$1:$GI$1,0)),CA$4:CA$138,AD$2)</f>
        <v>86</v>
      </c>
      <c r="AE26" s="25">
        <f>RANK(INDEX(KOMBI!$A$11:$GI$145,MATCH('KSH järjestus'!$C26,KOMBI!$A$11:$A$145,0),MATCH('KSH järjestus'!AE$3,KOMBI!$A$1:$GI$1,0)),CB$4:CB$138,AE$2)</f>
        <v>87</v>
      </c>
      <c r="AG26" s="25">
        <f>RANK(INDEX(KOMBI!$A$11:$GI$145,MATCH('KSH järjestus'!$C26,KOMBI!$A$11:$A$145,0),MATCH('KSH järjestus'!AG$3,KOMBI!$A$1:$GI$1,0)),CD$4:CD$138,AG$2)</f>
        <v>94</v>
      </c>
      <c r="AH26" s="25">
        <f>RANK(INDEX(KOMBI!$A$11:$GI$145,MATCH('KSH järjestus'!$C26,KOMBI!$A$11:$A$145,0),MATCH('KSH järjestus'!AH$3,KOMBI!$A$1:$GI$1,0)),CE$4:CE$138,AH$2)</f>
        <v>31</v>
      </c>
      <c r="AI26" s="25">
        <f>RANK(INDEX(KOMBI!$A$11:$GI$145,MATCH('KSH järjestus'!$C26,KOMBI!$A$11:$A$145,0),MATCH('KSH järjestus'!AI$3,KOMBI!$A$1:$GI$1,0)),CF$4:CF$138,AI$2)</f>
        <v>82</v>
      </c>
      <c r="AJ26" s="25">
        <f>RANK(INDEX(KOMBI!$A$11:$GI$145,MATCH('KSH järjestus'!$C26,KOMBI!$A$11:$A$145,0),MATCH('KSH järjestus'!AJ$3,KOMBI!$A$1:$GI$1,0)),CG$4:CG$138,AJ$2)</f>
        <v>22</v>
      </c>
      <c r="AK26" s="25">
        <f>RANK(INDEX(KOMBI!$A$11:$GI$145,MATCH('KSH järjestus'!$C26,KOMBI!$A$11:$A$145,0),MATCH('KSH järjestus'!AK$3,KOMBI!$A$1:$GI$1,0)),CH$4:CH$138,AK$2)</f>
        <v>79</v>
      </c>
      <c r="AN26" s="25">
        <f>RANK(INDEX(KOMBI!$A$11:$GI$145,MATCH('KSH järjestus'!$C26,KOMBI!$A$11:$A$145,0),MATCH('KSH järjestus'!AN$3,KOMBI!$A$1:$GI$1,0)),CK$4:CK$138,AN$2)</f>
        <v>46</v>
      </c>
      <c r="AO26" s="25">
        <f>RANK(INDEX(KOMBI!$A$11:$GI$145,MATCH('KSH järjestus'!$C26,KOMBI!$A$11:$A$145,0),MATCH('KSH järjestus'!AO$3,KOMBI!$A$1:$GI$1,0)),CL$4:CL$138,AO$2)</f>
        <v>46</v>
      </c>
      <c r="AS26" s="297">
        <f t="shared" si="0"/>
        <v>1724</v>
      </c>
      <c r="AT26" s="25">
        <f t="shared" si="1"/>
        <v>947</v>
      </c>
      <c r="AU26" s="25">
        <f t="shared" si="2"/>
        <v>115</v>
      </c>
      <c r="AV26" s="295" t="str">
        <f>VLOOKUP(VLOOKUP($AU26,KOMBI!$A:$H,3,FALSE),data!$I$27:$J$29,2,FALSE)</f>
        <v>Vähe-sekkuv</v>
      </c>
      <c r="AW26" s="295" t="str">
        <f>VLOOKUP(VLOOKUP($AU26,KOMBI!$A:$H,2,FALSE),data!$I$21:$J$23,2,FALSE)</f>
        <v>Sekkuv</v>
      </c>
      <c r="AX26" s="295" t="str">
        <f>VLOOKUP(VLOOKUP($AU26,KOMBI!$A:$H,5,FALSE),data!$I$39:$J$41,2,FALSE)</f>
        <v>Mittesekkuv</v>
      </c>
      <c r="AY26" s="295" t="str">
        <f>VLOOKUP(VLOOKUP($AU26,KOMBI!$A:$H,4,FALSE),data!$I$32:$J$36,2,FALSE)</f>
        <v>TE++</v>
      </c>
      <c r="BA26" s="25">
        <f t="array" ref="BA26">INDEX(KOMBI!$A$1:$GI$145,ROW('KSH järjestus'!BA33),MATCH('KSH järjestus'!BA$3,KOMBI!$A$1:$GI$1,0))</f>
        <v>2.5591506673060076</v>
      </c>
      <c r="BB26" s="25">
        <f t="array" ref="BB26">INDEX(KOMBI!$A$1:$GI$145,ROW('KSH järjestus'!BB33),MATCH('KSH järjestus'!BB$3,KOMBI!$A$1:$GI$1,0))</f>
        <v>349.22374791907174</v>
      </c>
      <c r="BC26" s="25">
        <f t="array" aca="1" ref="BC26" ca="1">INDEX(KOMBI!$A$1:$GI$145,ROW('KSH järjestus'!BC33),MATCH('KSH järjestus'!BC$3,KOMBI!$A$1:$GI$1,0))</f>
        <v>57.398460023258991</v>
      </c>
      <c r="BD26" s="25">
        <f t="array" ref="BD26">INDEX(KOMBI!$A$1:$GI$145,ROW('KSH järjestus'!BD33),MATCH('KSH järjestus'!BD$3,KOMBI!$A$1:$GI$1,0))</f>
        <v>-51.993219880632097</v>
      </c>
      <c r="BE26" s="25">
        <f t="array" ref="BE26">INDEX(KOMBI!$A$1:$GI$145,ROW('KSH järjestus'!BE33),MATCH('KSH järjestus'!BE$3,KOMBI!$A$1:$GI$1,0))</f>
        <v>109.39167990389109</v>
      </c>
      <c r="BF26" s="25">
        <f t="array" aca="1" ref="BF26" ca="1">INDEX(KOMBI!$A$1:$GI$145,ROW('KSH järjestus'!BF33),MATCH('KSH järjestus'!BF$3,KOMBI!$A$1:$GI$1,0))</f>
        <v>0</v>
      </c>
      <c r="BG26" s="25">
        <f t="array" ref="BG26">INDEX(KOMBI!$A$1:$GI$145,ROW('KSH järjestus'!BG33),MATCH('KSH järjestus'!BG$3,KOMBI!$A$1:$GI$1,0))</f>
        <v>0.53564312595874219</v>
      </c>
      <c r="BH26" s="25">
        <f t="array" ref="BH26">INDEX(KOMBI!$A$1:$GI$145,ROW('KSH järjestus'!BH33),MATCH('KSH järjestus'!BH$3,KOMBI!$A$1:$GI$1,0))</f>
        <v>90</v>
      </c>
      <c r="BI26" s="25">
        <f t="array" ref="BI26">INDEX(KOMBI!$A$1:$GI$145,ROW('KSH järjestus'!BI33),MATCH('KSH järjestus'!BI$3,KOMBI!$A$1:$GI$1,0))</f>
        <v>0.91028830406496797</v>
      </c>
      <c r="BJ26" s="25">
        <f t="array" ref="BJ26">INDEX(KOMBI!$A$1:$GI$145,ROW('KSH järjestus'!BJ33),MATCH('KSH järjestus'!BJ$3,KOMBI!$A$1:$GI$1,0))</f>
        <v>6.6265060240963902E-2</v>
      </c>
      <c r="BK26" s="25">
        <f t="array" ref="BK26">INDEX(KOMBI!$A$1:$GI$145,ROW('KSH järjestus'!BK33),MATCH('KSH järjestus'!BK$3,KOMBI!$A$1:$GI$1,0))</f>
        <v>0.34764098244282376</v>
      </c>
      <c r="BL26" s="25">
        <f t="array" ref="BL26">INDEX(KOMBI!$A$1:$GI$145,ROW('KSH järjestus'!BL33),MATCH('KSH järjestus'!BL$3,KOMBI!$A$1:$GI$1,0))</f>
        <v>1.4219744379142057E-2</v>
      </c>
      <c r="BM26" s="25">
        <f t="array" ref="BM26">INDEX(KOMBI!$A$1:$GI$145,ROW('KSH järjestus'!BM33),MATCH('KSH järjestus'!BM$3,KOMBI!$A$1:$GI$1,0))</f>
        <v>-6.7971039265636137E-3</v>
      </c>
      <c r="BN26" s="25">
        <f t="array" ref="BN26">INDEX(KOMBI!$A$1:$GI$145,ROW('KSH järjestus'!BN33),MATCH('KSH järjestus'!BN$3,KOMBI!$A$1:$GI$1,0))</f>
        <v>3.4648002853588655E-3</v>
      </c>
      <c r="BO26" s="25">
        <f t="array" ref="BO26">INDEX(KOMBI!$A$1:$GI$145,ROW('KSH järjestus'!BO33),MATCH('KSH järjestus'!BO$3,KOMBI!$A$1:$GI$1,0))</f>
        <v>1.0831417271546118E-2</v>
      </c>
      <c r="BP26" s="25">
        <f t="array" ref="BP26">INDEX(KOMBI!$A$1:$GI$145,ROW('KSH järjestus'!BP33),MATCH('KSH järjestus'!BP$3,KOMBI!$A$1:$GI$1,0))</f>
        <v>7.8093156794471028</v>
      </c>
      <c r="BQ26" s="25">
        <f t="array" ref="BQ26">INDEX(KOMBI!$A$1:$GI$145,ROW('KSH järjestus'!BQ33),MATCH('KSH järjestus'!BQ$3,KOMBI!$A$1:$GI$1,0))</f>
        <v>11.025</v>
      </c>
      <c r="BR26" s="25">
        <f t="array" ref="BR26">INDEX(KOMBI!$A$1:$GI$145,ROW('KSH järjestus'!BR33),MATCH('KSH järjestus'!BR$3,KOMBI!$A$1:$GI$1,0))</f>
        <v>-8.5369022151832834E-3</v>
      </c>
      <c r="BS26" s="25">
        <f t="array" ref="BS26">INDEX(KOMBI!$A$1:$GI$145,ROW('KSH järjestus'!BS33),MATCH('KSH järjestus'!BS$3,KOMBI!$A$1:$GI$1,0))</f>
        <v>-9.9566468685400207E-3</v>
      </c>
      <c r="BT26" s="25">
        <f t="array" ref="BT26">INDEX(KOMBI!$A$1:$GI$145,ROW('KSH järjestus'!BT33),MATCH('KSH järjestus'!BT$3,KOMBI!$A$1:$GI$1,0))</f>
        <v>-1.8107930195211272E-2</v>
      </c>
      <c r="BU26" s="25">
        <f t="array" ref="BU26">INDEX(KOMBI!$A$1:$GI$145,ROW('KSH järjestus'!BU33),MATCH('KSH järjestus'!BU$3,KOMBI!$A$1:$GI$1,0))</f>
        <v>9.1478856510938069</v>
      </c>
      <c r="BV26" s="25">
        <f t="array" ref="BV26">INDEX(KOMBI!$A$1:$GI$145,ROW('KSH järjestus'!BV33),MATCH('KSH järjestus'!BV$3,KOMBI!$A$1:$GI$1,0))</f>
        <v>5.0650000000000004</v>
      </c>
      <c r="BW26" s="25">
        <f t="array" ref="BW26">INDEX(KOMBI!$A$1:$GI$145,ROW('KSH järjestus'!BW33),MATCH('KSH järjestus'!BW$3,KOMBI!$A$1:$GI$1,0))</f>
        <v>3.5341368215830604</v>
      </c>
      <c r="BX26" s="25">
        <f t="array" ref="BX26">INDEX(KOMBI!$A$1:$GI$145,ROW('KSH järjestus'!BX33),MATCH('KSH järjestus'!BX$3,KOMBI!$A$1:$GI$1,0))</f>
        <v>19.294861099430584</v>
      </c>
      <c r="BY26" s="25">
        <f t="array" ref="BY26">INDEX(KOMBI!$A$1:$GI$145,ROW('KSH järjestus'!BY33),MATCH('KSH järjestus'!BY$3,KOMBI!$A$1:$GI$1,0))</f>
        <v>11.875124562278598</v>
      </c>
      <c r="BZ26" s="25">
        <f t="array" ref="BZ26">INDEX(KOMBI!$A$1:$GI$145,ROW('KSH järjestus'!BZ33),MATCH('KSH järjestus'!BZ$3,KOMBI!$A$1:$GI$1,0))</f>
        <v>75.400000000000006</v>
      </c>
      <c r="CA26" s="25">
        <f t="array" ref="CA26">INDEX(KOMBI!$A$1:$GI$145,ROW('KSH järjestus'!CA33),MATCH('KSH järjestus'!CA$3,KOMBI!$A$1:$GI$1,0))</f>
        <v>14.628</v>
      </c>
      <c r="CB26" s="25">
        <f t="array" ref="CB26">INDEX(KOMBI!$A$1:$GI$145,ROW('KSH järjestus'!CB33),MATCH('KSH järjestus'!CB$3,KOMBI!$A$1:$GI$1,0))</f>
        <v>65.400555555555556</v>
      </c>
      <c r="CC26" s="25">
        <f t="array" ref="CC26">INDEX(KOMBI!$A$1:$GI$145,ROW('KSH järjestus'!CC33),MATCH('KSH järjestus'!CC$3,KOMBI!$A$1:$GI$1,0))</f>
        <v>5.2648729999999997</v>
      </c>
      <c r="CD26" s="25">
        <f t="array" ref="CD26">INDEX(KOMBI!$A$1:$GI$145,ROW('KSH järjestus'!CD33),MATCH('KSH järjestus'!CD$3,KOMBI!$A$1:$GI$1,0))</f>
        <v>318.5</v>
      </c>
      <c r="CE26" s="25">
        <f t="array" ref="CE26">INDEX(KOMBI!$A$1:$GI$145,ROW('KSH järjestus'!CE33),MATCH('KSH järjestus'!CE$3,KOMBI!$A$1:$GI$1,0))</f>
        <v>2.851</v>
      </c>
      <c r="CF26" s="25">
        <f t="array" ref="CF26">INDEX(KOMBI!$A$1:$GI$145,ROW('KSH järjestus'!CF33),MATCH('KSH järjestus'!CF$3,KOMBI!$A$1:$GI$1,0))</f>
        <v>50.434567183462526</v>
      </c>
      <c r="CG26" s="25">
        <f t="array" ref="CG26">INDEX(KOMBI!$A$1:$GI$145,ROW('KSH järjestus'!CG33),MATCH('KSH järjestus'!CG$3,KOMBI!$A$1:$GI$1,0))</f>
        <v>7.7456622103581826E-2</v>
      </c>
      <c r="CH26" s="25">
        <f t="array" ref="CH26">INDEX(KOMBI!$A$1:$GI$145,ROW('KSH järjestus'!CH33),MATCH('KSH järjestus'!CH$3,KOMBI!$A$1:$GI$1,0))</f>
        <v>0.41245097655919771</v>
      </c>
      <c r="CI26" s="25">
        <f t="array" ref="CI26">INDEX(KOMBI!$A$1:$GI$145,ROW('KSH järjestus'!CI33),MATCH('KSH järjestus'!CI$3,KOMBI!$A$1:$GI$1,0))</f>
        <v>6.28</v>
      </c>
      <c r="CJ26" s="25">
        <f t="array" ref="CJ26">INDEX(KOMBI!$A$1:$GI$145,ROW('KSH järjestus'!CJ33),MATCH('KSH järjestus'!CJ$3,KOMBI!$A$1:$GI$1,0))</f>
        <v>4.9646368215830607</v>
      </c>
      <c r="CK26" s="25">
        <f t="array" ref="CK26">INDEX(KOMBI!$A$1:$GI$145,ROW('KSH järjestus'!CK33),MATCH('KSH järjestus'!CK$3,KOMBI!$A$1:$GI$1,0))</f>
        <v>0.21099999999999999</v>
      </c>
      <c r="CL26" s="25">
        <f t="array" ref="CL26">INDEX(KOMBI!$A$1:$GI$145,ROW('KSH järjestus'!CL33),MATCH('KSH järjestus'!CL$3,KOMBI!$A$1:$GI$1,0))</f>
        <v>0.76300000000000001</v>
      </c>
    </row>
    <row r="27" spans="3:90" x14ac:dyDescent="0.2">
      <c r="C27" s="184">
        <v>24</v>
      </c>
      <c r="G27" s="25">
        <f>RANK(INDEX(KOMBI!$A$11:$GI$145,MATCH('KSH järjestus'!$C27,KOMBI!$A$11:$A$145,0),MATCH('KSH järjestus'!G$3,KOMBI!$A$1:$GI$1,0)),BD$4:BD$138,G$2)</f>
        <v>76</v>
      </c>
      <c r="H27" s="25">
        <f>RANK(INDEX(KOMBI!$A$11:$GI$145,MATCH('KSH järjestus'!$C27,KOMBI!$A$11:$A$145,0),MATCH('KSH järjestus'!H$3,KOMBI!$A$1:$GI$1,0)),BE$4:BE$138,H$2)</f>
        <v>80</v>
      </c>
      <c r="J27" s="25">
        <f>RANK(INDEX(KOMBI!$A$11:$GI$145,MATCH('KSH järjestus'!$C27,KOMBI!$A$11:$A$145,0),MATCH('KSH järjestus'!J$3,KOMBI!$A$1:$GI$1,0)),BG$4:BG$138,J$2)</f>
        <v>57</v>
      </c>
      <c r="M27" s="25">
        <f>RANK(INDEX(KOMBI!$A$11:$GI$145,MATCH('KSH järjestus'!$C27,KOMBI!$A$11:$A$145,0),MATCH('KSH järjestus'!M$3,KOMBI!$A$1:$GI$1,0)),BJ$4:BJ$138,M$2)</f>
        <v>28</v>
      </c>
      <c r="N27" s="25">
        <f>RANK(INDEX(KOMBI!$A$11:$GI$145,MATCH('KSH järjestus'!$C27,KOMBI!$A$11:$A$145,0),MATCH('KSH järjestus'!N$3,KOMBI!$A$1:$GI$1,0)),BK$4:BK$138,N$2)</f>
        <v>70</v>
      </c>
      <c r="O27" s="25">
        <f>RANK(INDEX(KOMBI!$A$11:$GI$145,MATCH('KSH järjestus'!$C27,KOMBI!$A$11:$A$145,0),MATCH('KSH järjestus'!O$3,KOMBI!$A$1:$GI$1,0)),BL$4:BL$138,O$2)</f>
        <v>50</v>
      </c>
      <c r="P27" s="25">
        <f>RANK(INDEX(KOMBI!$A$11:$GI$145,MATCH('KSH järjestus'!$C27,KOMBI!$A$11:$A$145,0),MATCH('KSH järjestus'!P$3,KOMBI!$A$1:$GI$1,0)),BM$4:BM$138,P$2)</f>
        <v>126</v>
      </c>
      <c r="Q27" s="25">
        <f>RANK(INDEX(KOMBI!$A$11:$GI$145,MATCH('KSH järjestus'!$C27,KOMBI!$A$11:$A$145,0),MATCH('KSH järjestus'!Q$3,KOMBI!$A$1:$GI$1,0)),BN$4:BN$138,Q$2)</f>
        <v>58</v>
      </c>
      <c r="R27" s="25">
        <f>RANK(INDEX(KOMBI!$A$11:$GI$145,MATCH('KSH järjestus'!$C27,KOMBI!$A$11:$A$145,0),MATCH('KSH järjestus'!R$3,KOMBI!$A$1:$GI$1,0)),BO$4:BO$138,R$2)</f>
        <v>45</v>
      </c>
      <c r="T27" s="25">
        <f>RANK(INDEX(KOMBI!$A$11:$GI$145,MATCH('KSH järjestus'!$C27,KOMBI!$A$11:$A$145,0),MATCH('KSH järjestus'!T$3,KOMBI!$A$1:$GI$1,0)),BQ$4:BQ$138,T$2)</f>
        <v>104</v>
      </c>
      <c r="U27" s="25">
        <f>RANK(INDEX(KOMBI!$A$11:$GI$145,MATCH('KSH järjestus'!$C27,KOMBI!$A$11:$A$145,0),MATCH('KSH järjestus'!U$3,KOMBI!$A$1:$GI$1,0)),BR$4:BR$138,U$2)</f>
        <v>117</v>
      </c>
      <c r="AA27" s="25">
        <f>RANK(INDEX(KOMBI!$A$11:$GI$145,MATCH('KSH järjestus'!$C27,KOMBI!$A$11:$A$145,0),MATCH('KSH järjestus'!AA$3,KOMBI!$A$1:$GI$1,0)),BX$4:BX$138,AA$2)</f>
        <v>94</v>
      </c>
      <c r="AB27" s="25">
        <f>RANK(INDEX(KOMBI!$A$11:$GI$145,MATCH('KSH järjestus'!$C27,KOMBI!$A$11:$A$145,0),MATCH('KSH järjestus'!AB$3,KOMBI!$A$1:$GI$1,0)),BY$4:BY$138,AB$2)</f>
        <v>73</v>
      </c>
      <c r="AC27" s="25">
        <f>RANK(INDEX(KOMBI!$A$11:$GI$145,MATCH('KSH järjestus'!$C27,KOMBI!$A$11:$A$145,0),MATCH('KSH järjestus'!AC$3,KOMBI!$A$1:$GI$1,0)),BZ$4:BZ$138,AC$2)</f>
        <v>76</v>
      </c>
      <c r="AD27" s="25">
        <f>RANK(INDEX(KOMBI!$A$11:$GI$145,MATCH('KSH järjestus'!$C27,KOMBI!$A$11:$A$145,0),MATCH('KSH järjestus'!AD$3,KOMBI!$A$1:$GI$1,0)),CA$4:CA$138,AD$2)</f>
        <v>92</v>
      </c>
      <c r="AE27" s="25">
        <f>RANK(INDEX(KOMBI!$A$11:$GI$145,MATCH('KSH järjestus'!$C27,KOMBI!$A$11:$A$145,0),MATCH('KSH järjestus'!AE$3,KOMBI!$A$1:$GI$1,0)),CB$4:CB$138,AE$2)</f>
        <v>93</v>
      </c>
      <c r="AG27" s="25">
        <f>RANK(INDEX(KOMBI!$A$11:$GI$145,MATCH('KSH järjestus'!$C27,KOMBI!$A$11:$A$145,0),MATCH('KSH järjestus'!AG$3,KOMBI!$A$1:$GI$1,0)),CD$4:CD$138,AG$2)</f>
        <v>94</v>
      </c>
      <c r="AH27" s="25">
        <f>RANK(INDEX(KOMBI!$A$11:$GI$145,MATCH('KSH järjestus'!$C27,KOMBI!$A$11:$A$145,0),MATCH('KSH järjestus'!AH$3,KOMBI!$A$1:$GI$1,0)),CE$4:CE$138,AH$2)</f>
        <v>31</v>
      </c>
      <c r="AI27" s="25">
        <f>RANK(INDEX(KOMBI!$A$11:$GI$145,MATCH('KSH järjestus'!$C27,KOMBI!$A$11:$A$145,0),MATCH('KSH järjestus'!AI$3,KOMBI!$A$1:$GI$1,0)),CF$4:CF$138,AI$2)</f>
        <v>82</v>
      </c>
      <c r="AJ27" s="25">
        <f>RANK(INDEX(KOMBI!$A$11:$GI$145,MATCH('KSH järjestus'!$C27,KOMBI!$A$11:$A$145,0),MATCH('KSH järjestus'!AJ$3,KOMBI!$A$1:$GI$1,0)),CG$4:CG$138,AJ$2)</f>
        <v>22</v>
      </c>
      <c r="AK27" s="25">
        <f>RANK(INDEX(KOMBI!$A$11:$GI$145,MATCH('KSH järjestus'!$C27,KOMBI!$A$11:$A$145,0),MATCH('KSH järjestus'!AK$3,KOMBI!$A$1:$GI$1,0)),CH$4:CH$138,AK$2)</f>
        <v>79</v>
      </c>
      <c r="AN27" s="25">
        <f>RANK(INDEX(KOMBI!$A$11:$GI$145,MATCH('KSH järjestus'!$C27,KOMBI!$A$11:$A$145,0),MATCH('KSH järjestus'!AN$3,KOMBI!$A$1:$GI$1,0)),CK$4:CK$138,AN$2)</f>
        <v>46</v>
      </c>
      <c r="AO27" s="25">
        <f>RANK(INDEX(KOMBI!$A$11:$GI$145,MATCH('KSH järjestus'!$C27,KOMBI!$A$11:$A$145,0),MATCH('KSH järjestus'!AO$3,KOMBI!$A$1:$GI$1,0)),CL$4:CL$138,AO$2)</f>
        <v>46</v>
      </c>
      <c r="AS27" s="297">
        <f t="shared" si="0"/>
        <v>1639</v>
      </c>
      <c r="AT27" s="25">
        <f t="shared" si="1"/>
        <v>973</v>
      </c>
      <c r="AU27" s="25">
        <f t="shared" si="2"/>
        <v>107</v>
      </c>
      <c r="AV27" s="295" t="str">
        <f>VLOOKUP(VLOOKUP($AU27,KOMBI!$A:$H,3,FALSE),data!$I$27:$J$29,2,FALSE)</f>
        <v>Vähe-sekkuv</v>
      </c>
      <c r="AW27" s="295" t="str">
        <f>VLOOKUP(VLOOKUP($AU27,KOMBI!$A:$H,2,FALSE),data!$I$21:$J$23,2,FALSE)</f>
        <v>Sekkuv</v>
      </c>
      <c r="AX27" s="295" t="str">
        <f>VLOOKUP(VLOOKUP($AU27,KOMBI!$A:$H,5,FALSE),data!$I$39:$J$41,2,FALSE)</f>
        <v>Vähe-sekkuv</v>
      </c>
      <c r="AY27" s="295" t="str">
        <f>VLOOKUP(VLOOKUP($AU27,KOMBI!$A:$H,4,FALSE),data!$I$32:$J$36,2,FALSE)</f>
        <v>LIB</v>
      </c>
      <c r="BA27" s="25">
        <f t="array" ref="BA27">INDEX(KOMBI!$A$1:$GI$145,ROW('KSH järjestus'!BA34),MATCH('KSH järjestus'!BA$3,KOMBI!$A$1:$GI$1,0))</f>
        <v>3.4642503895475349</v>
      </c>
      <c r="BB27" s="25">
        <f t="array" ref="BB27">INDEX(KOMBI!$A$1:$GI$145,ROW('KSH järjestus'!BB34),MATCH('KSH järjestus'!BB$3,KOMBI!$A$1:$GI$1,0))</f>
        <v>465.83453893655104</v>
      </c>
      <c r="BC27" s="25">
        <f t="array" aca="1" ref="BC27" ca="1">INDEX(KOMBI!$A$1:$GI$145,ROW('KSH järjestus'!BC34),MATCH('KSH järjestus'!BC$3,KOMBI!$A$1:$GI$1,0))</f>
        <v>73.952874382343921</v>
      </c>
      <c r="BD27" s="25">
        <f t="array" ref="BD27">INDEX(KOMBI!$A$1:$GI$145,ROW('KSH järjestus'!BD34),MATCH('KSH järjestus'!BD$3,KOMBI!$A$1:$GI$1,0))</f>
        <v>-71.100813699091034</v>
      </c>
      <c r="BE27" s="25">
        <f t="array" ref="BE27">INDEX(KOMBI!$A$1:$GI$145,ROW('KSH järjestus'!BE34),MATCH('KSH järjestus'!BE$3,KOMBI!$A$1:$GI$1,0))</f>
        <v>145.05368808143496</v>
      </c>
      <c r="BF27" s="25">
        <f t="array" aca="1" ref="BF27" ca="1">INDEX(KOMBI!$A$1:$GI$145,ROW('KSH järjestus'!BF34),MATCH('KSH järjestus'!BF$3,KOMBI!$A$1:$GI$1,0))</f>
        <v>0</v>
      </c>
      <c r="BG27" s="25">
        <f t="array" ref="BG27">INDEX(KOMBI!$A$1:$GI$145,ROW('KSH järjestus'!BG34),MATCH('KSH järjestus'!BG$3,KOMBI!$A$1:$GI$1,0))</f>
        <v>0.53564312595874219</v>
      </c>
      <c r="BH27" s="25">
        <f t="array" ref="BH27">INDEX(KOMBI!$A$1:$GI$145,ROW('KSH järjestus'!BH34),MATCH('KSH järjestus'!BH$3,KOMBI!$A$1:$GI$1,0))</f>
        <v>90</v>
      </c>
      <c r="BI27" s="25">
        <f t="array" ref="BI27">INDEX(KOMBI!$A$1:$GI$145,ROW('KSH järjestus'!BI34),MATCH('KSH järjestus'!BI$3,KOMBI!$A$1:$GI$1,0))</f>
        <v>0.91028830406496786</v>
      </c>
      <c r="BJ27" s="25">
        <f t="array" ref="BJ27">INDEX(KOMBI!$A$1:$GI$145,ROW('KSH järjestus'!BJ34),MATCH('KSH järjestus'!BJ$3,KOMBI!$A$1:$GI$1,0))</f>
        <v>6.6265060240963902E-2</v>
      </c>
      <c r="BK27" s="25">
        <f t="array" ref="BK27">INDEX(KOMBI!$A$1:$GI$145,ROW('KSH järjestus'!BK34),MATCH('KSH järjestus'!BK$3,KOMBI!$A$1:$GI$1,0))</f>
        <v>0.34764098244282376</v>
      </c>
      <c r="BL27" s="25">
        <f t="array" ref="BL27">INDEX(KOMBI!$A$1:$GI$145,ROW('KSH järjestus'!BL34),MATCH('KSH järjestus'!BL$3,KOMBI!$A$1:$GI$1,0))</f>
        <v>1.8870799757388576E-2</v>
      </c>
      <c r="BM27" s="25">
        <f t="array" ref="BM27">INDEX(KOMBI!$A$1:$GI$145,ROW('KSH järjestus'!BM34),MATCH('KSH järjestus'!BM$3,KOMBI!$A$1:$GI$1,0))</f>
        <v>-6.7843381995222269E-3</v>
      </c>
      <c r="BN27" s="25">
        <f t="array" ref="BN27">INDEX(KOMBI!$A$1:$GI$145,ROW('KSH järjestus'!BN34),MATCH('KSH järjestus'!BN$3,KOMBI!$A$1:$GI$1,0))</f>
        <v>4.7955901214055963E-3</v>
      </c>
      <c r="BO27" s="25">
        <f t="array" ref="BO27">INDEX(KOMBI!$A$1:$GI$145,ROW('KSH järjestus'!BO34),MATCH('KSH järjestus'!BO$3,KOMBI!$A$1:$GI$1,0))</f>
        <v>1.4225280719710975E-2</v>
      </c>
      <c r="BP27" s="25">
        <f t="array" ref="BP27">INDEX(KOMBI!$A$1:$GI$145,ROW('KSH järjestus'!BP34),MATCH('KSH järjestus'!BP$3,KOMBI!$A$1:$GI$1,0))</f>
        <v>7.8093156794471028</v>
      </c>
      <c r="BQ27" s="25">
        <f t="array" ref="BQ27">INDEX(KOMBI!$A$1:$GI$145,ROW('KSH järjestus'!BQ34),MATCH('KSH järjestus'!BQ$3,KOMBI!$A$1:$GI$1,0))</f>
        <v>11.249000000000001</v>
      </c>
      <c r="BR27" s="25">
        <f t="array" ref="BR27">INDEX(KOMBI!$A$1:$GI$145,ROW('KSH järjestus'!BR34),MATCH('KSH järjestus'!BR$3,KOMBI!$A$1:$GI$1,0))</f>
        <v>-4.5574150847373868E-3</v>
      </c>
      <c r="BS27" s="25">
        <f t="array" ref="BS27">INDEX(KOMBI!$A$1:$GI$145,ROW('KSH järjestus'!BS34),MATCH('KSH järjestus'!BS$3,KOMBI!$A$1:$GI$1,0))</f>
        <v>-8.6974869522515735E-3</v>
      </c>
      <c r="BT27" s="25">
        <f t="array" ref="BT27">INDEX(KOMBI!$A$1:$GI$145,ROW('KSH järjestus'!BT34),MATCH('KSH järjestus'!BT$3,KOMBI!$A$1:$GI$1,0))</f>
        <v>-1.6647211221985019E-2</v>
      </c>
      <c r="BU27" s="25">
        <f t="array" ref="BU27">INDEX(KOMBI!$A$1:$GI$145,ROW('KSH järjestus'!BU34),MATCH('KSH järjestus'!BU$3,KOMBI!$A$1:$GI$1,0))</f>
        <v>9.1478856510938069</v>
      </c>
      <c r="BV27" s="25">
        <f t="array" ref="BV27">INDEX(KOMBI!$A$1:$GI$145,ROW('KSH järjestus'!BV34),MATCH('KSH järjestus'!BV$3,KOMBI!$A$1:$GI$1,0))</f>
        <v>5.0650000000000004</v>
      </c>
      <c r="BW27" s="25">
        <f t="array" ref="BW27">INDEX(KOMBI!$A$1:$GI$145,ROW('KSH järjestus'!BW34),MATCH('KSH järjestus'!BW$3,KOMBI!$A$1:$GI$1,0))</f>
        <v>3.7428368215830607</v>
      </c>
      <c r="BX27" s="25">
        <f t="array" ref="BX27">INDEX(KOMBI!$A$1:$GI$145,ROW('KSH järjestus'!BX34),MATCH('KSH järjestus'!BX$3,KOMBI!$A$1:$GI$1,0))</f>
        <v>19.294861099430584</v>
      </c>
      <c r="BY27" s="25">
        <f t="array" ref="BY27">INDEX(KOMBI!$A$1:$GI$145,ROW('KSH järjestus'!BY34),MATCH('KSH järjestus'!BY$3,KOMBI!$A$1:$GI$1,0))</f>
        <v>11.875124562278598</v>
      </c>
      <c r="BZ27" s="25">
        <f t="array" ref="BZ27">INDEX(KOMBI!$A$1:$GI$145,ROW('KSH järjestus'!BZ34),MATCH('KSH järjestus'!BZ$3,KOMBI!$A$1:$GI$1,0))</f>
        <v>77</v>
      </c>
      <c r="CA27" s="25">
        <f t="array" ref="CA27">INDEX(KOMBI!$A$1:$GI$145,ROW('KSH järjestus'!CA34),MATCH('KSH järjestus'!CA$3,KOMBI!$A$1:$GI$1,0))</f>
        <v>14.88</v>
      </c>
      <c r="CB27" s="25">
        <f t="array" ref="CB27">INDEX(KOMBI!$A$1:$GI$145,ROW('KSH järjestus'!CB34),MATCH('KSH järjestus'!CB$3,KOMBI!$A$1:$GI$1,0))</f>
        <v>66.308611111111119</v>
      </c>
      <c r="CC27" s="25">
        <f t="array" ref="CC27">INDEX(KOMBI!$A$1:$GI$145,ROW('KSH järjestus'!CC34),MATCH('KSH järjestus'!CC$3,KOMBI!$A$1:$GI$1,0))</f>
        <v>5.3582179999999999</v>
      </c>
      <c r="CD27" s="25">
        <f t="array" ref="CD27">INDEX(KOMBI!$A$1:$GI$145,ROW('KSH järjestus'!CD34),MATCH('KSH järjestus'!CD$3,KOMBI!$A$1:$GI$1,0))</f>
        <v>318.5</v>
      </c>
      <c r="CE27" s="25">
        <f t="array" ref="CE27">INDEX(KOMBI!$A$1:$GI$145,ROW('KSH järjestus'!CE34),MATCH('KSH järjestus'!CE$3,KOMBI!$A$1:$GI$1,0))</f>
        <v>2.851</v>
      </c>
      <c r="CF27" s="25">
        <f t="array" ref="CF27">INDEX(KOMBI!$A$1:$GI$145,ROW('KSH järjestus'!CF34),MATCH('KSH järjestus'!CF$3,KOMBI!$A$1:$GI$1,0))</f>
        <v>50.434567183462526</v>
      </c>
      <c r="CG27" s="25">
        <f t="array" ref="CG27">INDEX(KOMBI!$A$1:$GI$145,ROW('KSH järjestus'!CG34),MATCH('KSH järjestus'!CG$3,KOMBI!$A$1:$GI$1,0))</f>
        <v>7.7456622103581826E-2</v>
      </c>
      <c r="CH27" s="25">
        <f t="array" ref="CH27">INDEX(KOMBI!$A$1:$GI$145,ROW('KSH järjestus'!CH34),MATCH('KSH järjestus'!CH$3,KOMBI!$A$1:$GI$1,0))</f>
        <v>0.41245097655919771</v>
      </c>
      <c r="CI27" s="25">
        <f t="array" ref="CI27">INDEX(KOMBI!$A$1:$GI$145,ROW('KSH järjestus'!CI34),MATCH('KSH järjestus'!CI$3,KOMBI!$A$1:$GI$1,0))</f>
        <v>6.28</v>
      </c>
      <c r="CJ27" s="25">
        <f t="array" ref="CJ27">INDEX(KOMBI!$A$1:$GI$145,ROW('KSH järjestus'!CJ34),MATCH('KSH järjestus'!CJ$3,KOMBI!$A$1:$GI$1,0))</f>
        <v>4.9646368215830607</v>
      </c>
      <c r="CK27" s="25">
        <f t="array" ref="CK27">INDEX(KOMBI!$A$1:$GI$145,ROW('KSH järjestus'!CK34),MATCH('KSH järjestus'!CK$3,KOMBI!$A$1:$GI$1,0))</f>
        <v>0.21099999999999999</v>
      </c>
      <c r="CL27" s="25">
        <f t="array" ref="CL27">INDEX(KOMBI!$A$1:$GI$145,ROW('KSH järjestus'!CL34),MATCH('KSH järjestus'!CL$3,KOMBI!$A$1:$GI$1,0))</f>
        <v>0.76300000000000001</v>
      </c>
    </row>
    <row r="28" spans="3:90" x14ac:dyDescent="0.2">
      <c r="C28" s="184">
        <v>25</v>
      </c>
      <c r="G28" s="25">
        <f>RANK(INDEX(KOMBI!$A$11:$GI$145,MATCH('KSH järjestus'!$C28,KOMBI!$A$11:$A$145,0),MATCH('KSH järjestus'!G$3,KOMBI!$A$1:$GI$1,0)),BD$4:BD$138,G$2)</f>
        <v>111</v>
      </c>
      <c r="H28" s="25">
        <f>RANK(INDEX(KOMBI!$A$11:$GI$145,MATCH('KSH järjestus'!$C28,KOMBI!$A$11:$A$145,0),MATCH('KSH järjestus'!H$3,KOMBI!$A$1:$GI$1,0)),BE$4:BE$138,H$2)</f>
        <v>129</v>
      </c>
      <c r="J28" s="25">
        <f>RANK(INDEX(KOMBI!$A$11:$GI$145,MATCH('KSH järjestus'!$C28,KOMBI!$A$11:$A$145,0),MATCH('KSH järjestus'!J$3,KOMBI!$A$1:$GI$1,0)),BG$4:BG$138,J$2)</f>
        <v>134</v>
      </c>
      <c r="M28" s="25">
        <f>RANK(INDEX(KOMBI!$A$11:$GI$145,MATCH('KSH järjestus'!$C28,KOMBI!$A$11:$A$145,0),MATCH('KSH järjestus'!M$3,KOMBI!$A$1:$GI$1,0)),BJ$4:BJ$138,M$2)</f>
        <v>109</v>
      </c>
      <c r="N28" s="25">
        <f>RANK(INDEX(KOMBI!$A$11:$GI$145,MATCH('KSH järjestus'!$C28,KOMBI!$A$11:$A$145,0),MATCH('KSH järjestus'!N$3,KOMBI!$A$1:$GI$1,0)),BK$4:BK$138,N$2)</f>
        <v>25</v>
      </c>
      <c r="O28" s="25">
        <f>RANK(INDEX(KOMBI!$A$11:$GI$145,MATCH('KSH järjestus'!$C28,KOMBI!$A$11:$A$145,0),MATCH('KSH järjestus'!O$3,KOMBI!$A$1:$GI$1,0)),BL$4:BL$138,O$2)</f>
        <v>125</v>
      </c>
      <c r="P28" s="25">
        <f>RANK(INDEX(KOMBI!$A$11:$GI$145,MATCH('KSH järjestus'!$C28,KOMBI!$A$11:$A$145,0),MATCH('KSH järjestus'!P$3,KOMBI!$A$1:$GI$1,0)),BM$4:BM$138,P$2)</f>
        <v>106</v>
      </c>
      <c r="Q28" s="25">
        <f>RANK(INDEX(KOMBI!$A$11:$GI$145,MATCH('KSH järjestus'!$C28,KOMBI!$A$11:$A$145,0),MATCH('KSH järjestus'!Q$3,KOMBI!$A$1:$GI$1,0)),BN$4:BN$138,Q$2)</f>
        <v>128</v>
      </c>
      <c r="R28" s="25">
        <f>RANK(INDEX(KOMBI!$A$11:$GI$145,MATCH('KSH järjestus'!$C28,KOMBI!$A$11:$A$145,0),MATCH('KSH järjestus'!R$3,KOMBI!$A$1:$GI$1,0)),BO$4:BO$138,R$2)</f>
        <v>118</v>
      </c>
      <c r="T28" s="25">
        <f>RANK(INDEX(KOMBI!$A$11:$GI$145,MATCH('KSH järjestus'!$C28,KOMBI!$A$11:$A$145,0),MATCH('KSH järjestus'!T$3,KOMBI!$A$1:$GI$1,0)),BQ$4:BQ$138,T$2)</f>
        <v>46</v>
      </c>
      <c r="U28" s="25">
        <f>RANK(INDEX(KOMBI!$A$11:$GI$145,MATCH('KSH järjestus'!$C28,KOMBI!$A$11:$A$145,0),MATCH('KSH järjestus'!U$3,KOMBI!$A$1:$GI$1,0)),BR$4:BR$138,U$2)</f>
        <v>45</v>
      </c>
      <c r="AA28" s="25">
        <f>RANK(INDEX(KOMBI!$A$11:$GI$145,MATCH('KSH järjestus'!$C28,KOMBI!$A$11:$A$145,0),MATCH('KSH järjestus'!AA$3,KOMBI!$A$1:$GI$1,0)),BX$4:BX$138,AA$2)</f>
        <v>76</v>
      </c>
      <c r="AB28" s="25">
        <f>RANK(INDEX(KOMBI!$A$11:$GI$145,MATCH('KSH järjestus'!$C28,KOMBI!$A$11:$A$145,0),MATCH('KSH järjestus'!AB$3,KOMBI!$A$1:$GI$1,0)),BY$4:BY$138,AB$2)</f>
        <v>16</v>
      </c>
      <c r="AC28" s="25">
        <f>RANK(INDEX(KOMBI!$A$11:$GI$145,MATCH('KSH järjestus'!$C28,KOMBI!$A$11:$A$145,0),MATCH('KSH järjestus'!AC$3,KOMBI!$A$1:$GI$1,0)),BZ$4:BZ$138,AC$2)</f>
        <v>98</v>
      </c>
      <c r="AD28" s="25">
        <f>RANK(INDEX(KOMBI!$A$11:$GI$145,MATCH('KSH järjestus'!$C28,KOMBI!$A$11:$A$145,0),MATCH('KSH järjestus'!AD$3,KOMBI!$A$1:$GI$1,0)),CA$4:CA$138,AD$2)</f>
        <v>18</v>
      </c>
      <c r="AE28" s="25">
        <f>RANK(INDEX(KOMBI!$A$11:$GI$145,MATCH('KSH järjestus'!$C28,KOMBI!$A$11:$A$145,0),MATCH('KSH järjestus'!AE$3,KOMBI!$A$1:$GI$1,0)),CB$4:CB$138,AE$2)</f>
        <v>18</v>
      </c>
      <c r="AG28" s="25">
        <f>RANK(INDEX(KOMBI!$A$11:$GI$145,MATCH('KSH järjestus'!$C28,KOMBI!$A$11:$A$145,0),MATCH('KSH järjestus'!AG$3,KOMBI!$A$1:$GI$1,0)),CD$4:CD$138,AG$2)</f>
        <v>103</v>
      </c>
      <c r="AH28" s="25">
        <f>RANK(INDEX(KOMBI!$A$11:$GI$145,MATCH('KSH järjestus'!$C28,KOMBI!$A$11:$A$145,0),MATCH('KSH järjestus'!AH$3,KOMBI!$A$1:$GI$1,0)),CE$4:CE$138,AH$2)</f>
        <v>31</v>
      </c>
      <c r="AI28" s="25">
        <f>RANK(INDEX(KOMBI!$A$11:$GI$145,MATCH('KSH järjestus'!$C28,KOMBI!$A$11:$A$145,0),MATCH('KSH järjestus'!AI$3,KOMBI!$A$1:$GI$1,0)),CF$4:CF$138,AI$2)</f>
        <v>40</v>
      </c>
      <c r="AJ28" s="25">
        <f>RANK(INDEX(KOMBI!$A$11:$GI$145,MATCH('KSH järjestus'!$C28,KOMBI!$A$11:$A$145,0),MATCH('KSH järjestus'!AJ$3,KOMBI!$A$1:$GI$1,0)),CG$4:CG$138,AJ$2)</f>
        <v>112</v>
      </c>
      <c r="AK28" s="25">
        <f>RANK(INDEX(KOMBI!$A$11:$GI$145,MATCH('KSH järjestus'!$C28,KOMBI!$A$11:$A$145,0),MATCH('KSH järjestus'!AK$3,KOMBI!$A$1:$GI$1,0)),CH$4:CH$138,AK$2)</f>
        <v>52</v>
      </c>
      <c r="AN28" s="25">
        <f>RANK(INDEX(KOMBI!$A$11:$GI$145,MATCH('KSH järjestus'!$C28,KOMBI!$A$11:$A$145,0),MATCH('KSH järjestus'!AN$3,KOMBI!$A$1:$GI$1,0)),CK$4:CK$138,AN$2)</f>
        <v>46</v>
      </c>
      <c r="AO28" s="25">
        <f>RANK(INDEX(KOMBI!$A$11:$GI$145,MATCH('KSH järjestus'!$C28,KOMBI!$A$11:$A$145,0),MATCH('KSH järjestus'!AO$3,KOMBI!$A$1:$GI$1,0)),CL$4:CL$138,AO$2)</f>
        <v>46</v>
      </c>
      <c r="AS28" s="297">
        <f t="shared" si="0"/>
        <v>1732</v>
      </c>
      <c r="AT28" s="25">
        <f t="shared" si="1"/>
        <v>977</v>
      </c>
      <c r="AU28" s="25">
        <f t="shared" si="2"/>
        <v>86</v>
      </c>
      <c r="AV28" s="295" t="str">
        <f>VLOOKUP(VLOOKUP($AU28,KOMBI!$A:$H,3,FALSE),data!$I$27:$J$29,2,FALSE)</f>
        <v>Sekkuv/EÜ</v>
      </c>
      <c r="AW28" s="295" t="str">
        <f>VLOOKUP(VLOOKUP($AU28,KOMBI!$A:$H,2,FALSE),data!$I$21:$J$23,2,FALSE)</f>
        <v>Vähe-sekkuv</v>
      </c>
      <c r="AX28" s="295" t="str">
        <f>VLOOKUP(VLOOKUP($AU28,KOMBI!$A:$H,5,FALSE),data!$I$39:$J$41,2,FALSE)</f>
        <v>Vähe-sekkuv</v>
      </c>
      <c r="AY28" s="295" t="str">
        <f>VLOOKUP(VLOOKUP($AU28,KOMBI!$A:$H,4,FALSE),data!$I$32:$J$36,2,FALSE)</f>
        <v>TE++</v>
      </c>
      <c r="BA28" s="25">
        <f t="array" ref="BA28">INDEX(KOMBI!$A$1:$GI$145,ROW('KSH järjestus'!BA35),MATCH('KSH järjestus'!BA$3,KOMBI!$A$1:$GI$1,0))</f>
        <v>5.5379402675966141</v>
      </c>
      <c r="BB28" s="25">
        <f t="array" ref="BB28">INDEX(KOMBI!$A$1:$GI$145,ROW('KSH järjestus'!BB35),MATCH('KSH järjestus'!BB$3,KOMBI!$A$1:$GI$1,0))</f>
        <v>131.33335280847101</v>
      </c>
      <c r="BC28" s="25">
        <f t="array" aca="1" ref="BC28" ca="1">INDEX(KOMBI!$A$1:$GI$145,ROW('KSH järjestus'!BC35),MATCH('KSH järjestus'!BC$3,KOMBI!$A$1:$GI$1,0))</f>
        <v>18.606338157424567</v>
      </c>
      <c r="BD28" s="25">
        <f t="array" ref="BD28">INDEX(KOMBI!$A$1:$GI$145,ROW('KSH järjestus'!BD35),MATCH('KSH järjestus'!BD$3,KOMBI!$A$1:$GI$1,0))</f>
        <v>-36.76</v>
      </c>
      <c r="BE28" s="25">
        <f t="array" ref="BE28">INDEX(KOMBI!$A$1:$GI$145,ROW('KSH järjestus'!BE35),MATCH('KSH järjestus'!BE$3,KOMBI!$A$1:$GI$1,0))</f>
        <v>55.366338157424565</v>
      </c>
      <c r="BF28" s="25">
        <f t="array" aca="1" ref="BF28" ca="1">INDEX(KOMBI!$A$1:$GI$145,ROW('KSH järjestus'!BF35),MATCH('KSH järjestus'!BF$3,KOMBI!$A$1:$GI$1,0))</f>
        <v>0</v>
      </c>
      <c r="BG28" s="25">
        <f t="array" ref="BG28">INDEX(KOMBI!$A$1:$GI$145,ROW('KSH järjestus'!BG35),MATCH('KSH järjestus'!BG$3,KOMBI!$A$1:$GI$1,0))</f>
        <v>0.68480964817877188</v>
      </c>
      <c r="BH28" s="25">
        <f t="array" ref="BH28">INDEX(KOMBI!$A$1:$GI$145,ROW('KSH järjestus'!BH35),MATCH('KSH järjestus'!BH$3,KOMBI!$A$1:$GI$1,0))</f>
        <v>90</v>
      </c>
      <c r="BI28" s="25">
        <f t="array" ref="BI28">INDEX(KOMBI!$A$1:$GI$145,ROW('KSH järjestus'!BI35),MATCH('KSH järjestus'!BI$3,KOMBI!$A$1:$GI$1,0))</f>
        <v>1</v>
      </c>
      <c r="BJ28" s="25">
        <f t="array" ref="BJ28">INDEX(KOMBI!$A$1:$GI$145,ROW('KSH järjestus'!BJ35),MATCH('KSH järjestus'!BJ$3,KOMBI!$A$1:$GI$1,0))</f>
        <v>0.36609829488465395</v>
      </c>
      <c r="BK28" s="25">
        <f t="array" ref="BK28">INDEX(KOMBI!$A$1:$GI$145,ROW('KSH järjestus'!BK35),MATCH('KSH järjestus'!BK$3,KOMBI!$A$1:$GI$1,0))</f>
        <v>0.53973582189892089</v>
      </c>
      <c r="BL28" s="25">
        <f t="array" ref="BL28">INDEX(KOMBI!$A$1:$GI$145,ROW('KSH järjestus'!BL35),MATCH('KSH järjestus'!BL$3,KOMBI!$A$1:$GI$1,0))</f>
        <v>5.4738148360032549E-3</v>
      </c>
      <c r="BM28" s="25">
        <f t="array" ref="BM28">INDEX(KOMBI!$A$1:$GI$145,ROW('KSH järjestus'!BM35),MATCH('KSH järjestus'!BM$3,KOMBI!$A$1:$GI$1,0))</f>
        <v>-4.000284021285206E-3</v>
      </c>
      <c r="BN28" s="25">
        <f t="array" ref="BN28">INDEX(KOMBI!$A$1:$GI$145,ROW('KSH järjestus'!BN35),MATCH('KSH järjestus'!BN$3,KOMBI!$A$1:$GI$1,0))</f>
        <v>-9.6781432578821325E-4</v>
      </c>
      <c r="BO28" s="25">
        <f t="array" ref="BO28">INDEX(KOMBI!$A$1:$GI$145,ROW('KSH järjestus'!BO35),MATCH('KSH järjestus'!BO$3,KOMBI!$A$1:$GI$1,0))</f>
        <v>6.458665658180626E-3</v>
      </c>
      <c r="BP28" s="25">
        <f t="array" ref="BP28">INDEX(KOMBI!$A$1:$GI$145,ROW('KSH järjestus'!BP35),MATCH('KSH järjestus'!BP$3,KOMBI!$A$1:$GI$1,0))</f>
        <v>7.8388313570900952</v>
      </c>
      <c r="BQ28" s="25">
        <f t="array" ref="BQ28">INDEX(KOMBI!$A$1:$GI$145,ROW('KSH järjestus'!BQ35),MATCH('KSH järjestus'!BQ$3,KOMBI!$A$1:$GI$1,0))</f>
        <v>10.388</v>
      </c>
      <c r="BR28" s="25">
        <f t="array" ref="BR28">INDEX(KOMBI!$A$1:$GI$145,ROW('KSH järjestus'!BR35),MATCH('KSH järjestus'!BR$3,KOMBI!$A$1:$GI$1,0))</f>
        <v>-3.3250572196741192E-2</v>
      </c>
      <c r="BS28" s="25">
        <f t="array" ref="BS28">INDEX(KOMBI!$A$1:$GI$145,ROW('KSH järjestus'!BS35),MATCH('KSH järjestus'!BS$3,KOMBI!$A$1:$GI$1,0))</f>
        <v>-0.15116484409464648</v>
      </c>
      <c r="BT28" s="25">
        <f t="array" ref="BT28">INDEX(KOMBI!$A$1:$GI$145,ROW('KSH järjestus'!BT35),MATCH('KSH järjestus'!BT$3,KOMBI!$A$1:$GI$1,0))</f>
        <v>-6.8501717178342678E-2</v>
      </c>
      <c r="BU28" s="25">
        <f t="array" ref="BU28">INDEX(KOMBI!$A$1:$GI$145,ROW('KSH järjestus'!BU35),MATCH('KSH järjestus'!BU$3,KOMBI!$A$1:$GI$1,0))</f>
        <v>5.4770005094011811</v>
      </c>
      <c r="BV28" s="25">
        <f t="array" ref="BV28">INDEX(KOMBI!$A$1:$GI$145,ROW('KSH järjestus'!BV35),MATCH('KSH järjestus'!BV$3,KOMBI!$A$1:$GI$1,0))</f>
        <v>1.337</v>
      </c>
      <c r="BW28" s="25">
        <f t="array" ref="BW28">INDEX(KOMBI!$A$1:$GI$145,ROW('KSH järjestus'!BW35),MATCH('KSH järjestus'!BW$3,KOMBI!$A$1:$GI$1,0))</f>
        <v>3.1566368215830605</v>
      </c>
      <c r="BX28" s="25">
        <f t="array" ref="BX28">INDEX(KOMBI!$A$1:$GI$145,ROW('KSH järjestus'!BX35),MATCH('KSH järjestus'!BX$3,KOMBI!$A$1:$GI$1,0))</f>
        <v>18.858721793242818</v>
      </c>
      <c r="BY28" s="25">
        <f t="array" ref="BY28">INDEX(KOMBI!$A$1:$GI$145,ROW('KSH järjestus'!BY35),MATCH('KSH järjestus'!BY$3,KOMBI!$A$1:$GI$1,0))</f>
        <v>6.6617453871512238</v>
      </c>
      <c r="BZ28" s="25">
        <f t="array" ref="BZ28">INDEX(KOMBI!$A$1:$GI$145,ROW('KSH järjestus'!BZ35),MATCH('KSH järjestus'!BZ$3,KOMBI!$A$1:$GI$1,0))</f>
        <v>82</v>
      </c>
      <c r="CA28" s="25">
        <f t="array" ref="CA28">INDEX(KOMBI!$A$1:$GI$145,ROW('KSH järjestus'!CA35),MATCH('KSH järjestus'!CA$3,KOMBI!$A$1:$GI$1,0))</f>
        <v>10.419</v>
      </c>
      <c r="CB28" s="25">
        <f t="array" ref="CB28">INDEX(KOMBI!$A$1:$GI$145,ROW('KSH järjestus'!CB35),MATCH('KSH järjestus'!CB$3,KOMBI!$A$1:$GI$1,0))</f>
        <v>42.021666666666661</v>
      </c>
      <c r="CC28" s="25">
        <f t="array" ref="CC28">INDEX(KOMBI!$A$1:$GI$145,ROW('KSH järjestus'!CC35),MATCH('KSH järjestus'!CC$3,KOMBI!$A$1:$GI$1,0))</f>
        <v>4.2615550000000004</v>
      </c>
      <c r="CD28" s="25">
        <f t="array" ref="CD28">INDEX(KOMBI!$A$1:$GI$145,ROW('KSH järjestus'!CD35),MATCH('KSH järjestus'!CD$3,KOMBI!$A$1:$GI$1,0))</f>
        <v>318.60000000000002</v>
      </c>
      <c r="CE28" s="25">
        <f t="array" ref="CE28">INDEX(KOMBI!$A$1:$GI$145,ROW('KSH järjestus'!CE35),MATCH('KSH järjestus'!CE$3,KOMBI!$A$1:$GI$1,0))</f>
        <v>2.851</v>
      </c>
      <c r="CF28" s="25">
        <f t="array" ref="CF28">INDEX(KOMBI!$A$1:$GI$145,ROW('KSH järjestus'!CF35),MATCH('KSH järjestus'!CF$3,KOMBI!$A$1:$GI$1,0))</f>
        <v>45.528055555555554</v>
      </c>
      <c r="CG28" s="25">
        <f t="array" ref="CG28">INDEX(KOMBI!$A$1:$GI$145,ROW('KSH järjestus'!CG35),MATCH('KSH järjestus'!CG$3,KOMBI!$A$1:$GI$1,0))</f>
        <v>2.1267750475898739E-2</v>
      </c>
      <c r="CH28" s="25">
        <f t="array" ref="CH28">INDEX(KOMBI!$A$1:$GI$145,ROW('KSH järjestus'!CH35),MATCH('KSH järjestus'!CH$3,KOMBI!$A$1:$GI$1,0))</f>
        <v>0.44448388468339084</v>
      </c>
      <c r="CI28" s="25">
        <f t="array" ref="CI28">INDEX(KOMBI!$A$1:$GI$145,ROW('KSH järjestus'!CI35),MATCH('KSH järjestus'!CI$3,KOMBI!$A$1:$GI$1,0))</f>
        <v>10.870000000000001</v>
      </c>
      <c r="CJ28" s="25">
        <f t="array" ref="CJ28">INDEX(KOMBI!$A$1:$GI$145,ROW('KSH järjestus'!CJ35),MATCH('KSH järjestus'!CJ$3,KOMBI!$A$1:$GI$1,0))</f>
        <v>3.9366368215830603</v>
      </c>
      <c r="CK28" s="25">
        <f t="array" ref="CK28">INDEX(KOMBI!$A$1:$GI$145,ROW('KSH järjestus'!CK35),MATCH('KSH järjestus'!CK$3,KOMBI!$A$1:$GI$1,0))</f>
        <v>0.21099999999999999</v>
      </c>
      <c r="CL28" s="25">
        <f t="array" ref="CL28">INDEX(KOMBI!$A$1:$GI$145,ROW('KSH järjestus'!CL35),MATCH('KSH järjestus'!CL$3,KOMBI!$A$1:$GI$1,0))</f>
        <v>0.76300000000000001</v>
      </c>
    </row>
    <row r="29" spans="3:90" x14ac:dyDescent="0.2">
      <c r="C29" s="184">
        <v>26</v>
      </c>
      <c r="G29" s="25">
        <f>RANK(INDEX(KOMBI!$A$11:$GI$145,MATCH('KSH järjestus'!$C29,KOMBI!$A$11:$A$145,0),MATCH('KSH järjestus'!G$3,KOMBI!$A$1:$GI$1,0)),BD$4:BD$138,G$2)</f>
        <v>96</v>
      </c>
      <c r="H29" s="25">
        <f>RANK(INDEX(KOMBI!$A$11:$GI$145,MATCH('KSH järjestus'!$C29,KOMBI!$A$11:$A$145,0),MATCH('KSH järjestus'!H$3,KOMBI!$A$1:$GI$1,0)),BE$4:BE$138,H$2)</f>
        <v>109</v>
      </c>
      <c r="J29" s="25">
        <f>RANK(INDEX(KOMBI!$A$11:$GI$145,MATCH('KSH järjestus'!$C29,KOMBI!$A$11:$A$145,0),MATCH('KSH järjestus'!J$3,KOMBI!$A$1:$GI$1,0)),BG$4:BG$138,J$2)</f>
        <v>126</v>
      </c>
      <c r="M29" s="25">
        <f>RANK(INDEX(KOMBI!$A$11:$GI$145,MATCH('KSH järjestus'!$C29,KOMBI!$A$11:$A$145,0),MATCH('KSH järjestus'!M$3,KOMBI!$A$1:$GI$1,0)),BJ$4:BJ$138,M$2)</f>
        <v>109</v>
      </c>
      <c r="N29" s="25">
        <f>RANK(INDEX(KOMBI!$A$11:$GI$145,MATCH('KSH järjestus'!$C29,KOMBI!$A$11:$A$145,0),MATCH('KSH järjestus'!N$3,KOMBI!$A$1:$GI$1,0)),BK$4:BK$138,N$2)</f>
        <v>25</v>
      </c>
      <c r="O29" s="25">
        <f>RANK(INDEX(KOMBI!$A$11:$GI$145,MATCH('KSH järjestus'!$C29,KOMBI!$A$11:$A$145,0),MATCH('KSH järjestus'!O$3,KOMBI!$A$1:$GI$1,0)),BL$4:BL$138,O$2)</f>
        <v>96</v>
      </c>
      <c r="P29" s="25">
        <f>RANK(INDEX(KOMBI!$A$11:$GI$145,MATCH('KSH järjestus'!$C29,KOMBI!$A$11:$A$145,0),MATCH('KSH järjestus'!P$3,KOMBI!$A$1:$GI$1,0)),BM$4:BM$138,P$2)</f>
        <v>125</v>
      </c>
      <c r="Q29" s="25">
        <f>RANK(INDEX(KOMBI!$A$11:$GI$145,MATCH('KSH järjestus'!$C29,KOMBI!$A$11:$A$145,0),MATCH('KSH järjestus'!Q$3,KOMBI!$A$1:$GI$1,0)),BN$4:BN$138,Q$2)</f>
        <v>104</v>
      </c>
      <c r="R29" s="25">
        <f>RANK(INDEX(KOMBI!$A$11:$GI$145,MATCH('KSH järjestus'!$C29,KOMBI!$A$11:$A$145,0),MATCH('KSH järjestus'!R$3,KOMBI!$A$1:$GI$1,0)),BO$4:BO$138,R$2)</f>
        <v>85</v>
      </c>
      <c r="T29" s="25">
        <f>RANK(INDEX(KOMBI!$A$11:$GI$145,MATCH('KSH järjestus'!$C29,KOMBI!$A$11:$A$145,0),MATCH('KSH järjestus'!T$3,KOMBI!$A$1:$GI$1,0)),BQ$4:BQ$138,T$2)</f>
        <v>54</v>
      </c>
      <c r="U29" s="25">
        <f>RANK(INDEX(KOMBI!$A$11:$GI$145,MATCH('KSH järjestus'!$C29,KOMBI!$A$11:$A$145,0),MATCH('KSH järjestus'!U$3,KOMBI!$A$1:$GI$1,0)),BR$4:BR$138,U$2)</f>
        <v>57</v>
      </c>
      <c r="AA29" s="25">
        <f>RANK(INDEX(KOMBI!$A$11:$GI$145,MATCH('KSH järjestus'!$C29,KOMBI!$A$11:$A$145,0),MATCH('KSH järjestus'!AA$3,KOMBI!$A$1:$GI$1,0)),BX$4:BX$138,AA$2)</f>
        <v>76</v>
      </c>
      <c r="AB29" s="25">
        <f>RANK(INDEX(KOMBI!$A$11:$GI$145,MATCH('KSH järjestus'!$C29,KOMBI!$A$11:$A$145,0),MATCH('KSH järjestus'!AB$3,KOMBI!$A$1:$GI$1,0)),BY$4:BY$138,AB$2)</f>
        <v>16</v>
      </c>
      <c r="AC29" s="25">
        <f>RANK(INDEX(KOMBI!$A$11:$GI$145,MATCH('KSH järjestus'!$C29,KOMBI!$A$11:$A$145,0),MATCH('KSH järjestus'!AC$3,KOMBI!$A$1:$GI$1,0)),BZ$4:BZ$138,AC$2)</f>
        <v>100</v>
      </c>
      <c r="AD29" s="25">
        <f>RANK(INDEX(KOMBI!$A$11:$GI$145,MATCH('KSH järjestus'!$C29,KOMBI!$A$11:$A$145,0),MATCH('KSH järjestus'!AD$3,KOMBI!$A$1:$GI$1,0)),CA$4:CA$138,AD$2)</f>
        <v>19</v>
      </c>
      <c r="AE29" s="25">
        <f>RANK(INDEX(KOMBI!$A$11:$GI$145,MATCH('KSH järjestus'!$C29,KOMBI!$A$11:$A$145,0),MATCH('KSH järjestus'!AE$3,KOMBI!$A$1:$GI$1,0)),CB$4:CB$138,AE$2)</f>
        <v>20</v>
      </c>
      <c r="AG29" s="25">
        <f>RANK(INDEX(KOMBI!$A$11:$GI$145,MATCH('KSH järjestus'!$C29,KOMBI!$A$11:$A$145,0),MATCH('KSH järjestus'!AG$3,KOMBI!$A$1:$GI$1,0)),CD$4:CD$138,AG$2)</f>
        <v>103</v>
      </c>
      <c r="AH29" s="25">
        <f>RANK(INDEX(KOMBI!$A$11:$GI$145,MATCH('KSH järjestus'!$C29,KOMBI!$A$11:$A$145,0),MATCH('KSH järjestus'!AH$3,KOMBI!$A$1:$GI$1,0)),CE$4:CE$138,AH$2)</f>
        <v>31</v>
      </c>
      <c r="AI29" s="25">
        <f>RANK(INDEX(KOMBI!$A$11:$GI$145,MATCH('KSH järjestus'!$C29,KOMBI!$A$11:$A$145,0),MATCH('KSH järjestus'!AI$3,KOMBI!$A$1:$GI$1,0)),CF$4:CF$138,AI$2)</f>
        <v>40</v>
      </c>
      <c r="AJ29" s="25">
        <f>RANK(INDEX(KOMBI!$A$11:$GI$145,MATCH('KSH järjestus'!$C29,KOMBI!$A$11:$A$145,0),MATCH('KSH järjestus'!AJ$3,KOMBI!$A$1:$GI$1,0)),CG$4:CG$138,AJ$2)</f>
        <v>112</v>
      </c>
      <c r="AK29" s="25">
        <f>RANK(INDEX(KOMBI!$A$11:$GI$145,MATCH('KSH järjestus'!$C29,KOMBI!$A$11:$A$145,0),MATCH('KSH järjestus'!AK$3,KOMBI!$A$1:$GI$1,0)),CH$4:CH$138,AK$2)</f>
        <v>52</v>
      </c>
      <c r="AN29" s="25">
        <f>RANK(INDEX(KOMBI!$A$11:$GI$145,MATCH('KSH järjestus'!$C29,KOMBI!$A$11:$A$145,0),MATCH('KSH järjestus'!AN$3,KOMBI!$A$1:$GI$1,0)),CK$4:CK$138,AN$2)</f>
        <v>46</v>
      </c>
      <c r="AO29" s="25">
        <f>RANK(INDEX(KOMBI!$A$11:$GI$145,MATCH('KSH järjestus'!$C29,KOMBI!$A$11:$A$145,0),MATCH('KSH järjestus'!AO$3,KOMBI!$A$1:$GI$1,0)),CL$4:CL$138,AO$2)</f>
        <v>46</v>
      </c>
      <c r="AS29" s="297">
        <f t="shared" si="0"/>
        <v>1647</v>
      </c>
      <c r="AT29" s="25">
        <f t="shared" si="1"/>
        <v>978</v>
      </c>
      <c r="AU29" s="25">
        <f t="shared" si="2"/>
        <v>110</v>
      </c>
      <c r="AV29" s="295" t="str">
        <f>VLOOKUP(VLOOKUP($AU29,KOMBI!$A:$H,3,FALSE),data!$I$27:$J$29,2,FALSE)</f>
        <v>Vähe-sekkuv</v>
      </c>
      <c r="AW29" s="295" t="str">
        <f>VLOOKUP(VLOOKUP($AU29,KOMBI!$A:$H,2,FALSE),data!$I$21:$J$23,2,FALSE)</f>
        <v>Sekkuv</v>
      </c>
      <c r="AX29" s="295" t="str">
        <f>VLOOKUP(VLOOKUP($AU29,KOMBI!$A:$H,5,FALSE),data!$I$39:$J$41,2,FALSE)</f>
        <v>Vähe-sekkuv</v>
      </c>
      <c r="AY29" s="295" t="str">
        <f>VLOOKUP(VLOOKUP($AU29,KOMBI!$A:$H,4,FALSE),data!$I$32:$J$36,2,FALSE)</f>
        <v>LIB+</v>
      </c>
      <c r="BA29" s="25">
        <f t="array" ref="BA29">INDEX(KOMBI!$A$1:$GI$145,ROW('KSH järjestus'!BA36),MATCH('KSH järjestus'!BA$3,KOMBI!$A$1:$GI$1,0))</f>
        <v>6.4538519162424555</v>
      </c>
      <c r="BB29" s="25">
        <f t="array" ref="BB29">INDEX(KOMBI!$A$1:$GI$145,ROW('KSH järjestus'!BB36),MATCH('KSH järjestus'!BB$3,KOMBI!$A$1:$GI$1,0))</f>
        <v>291.81338507773421</v>
      </c>
      <c r="BC29" s="25">
        <f t="array" aca="1" ref="BC29" ca="1">INDEX(KOMBI!$A$1:$GI$145,ROW('KSH järjestus'!BC36),MATCH('KSH järjestus'!BC$3,KOMBI!$A$1:$GI$1,0))</f>
        <v>47.771660185959661</v>
      </c>
      <c r="BD29" s="25">
        <f t="array" ref="BD29">INDEX(KOMBI!$A$1:$GI$145,ROW('KSH järjestus'!BD36),MATCH('KSH järjestus'!BD$3,KOMBI!$A$1:$GI$1,0))</f>
        <v>-51.993219880632097</v>
      </c>
      <c r="BE29" s="25">
        <f t="array" ref="BE29">INDEX(KOMBI!$A$1:$GI$145,ROW('KSH järjestus'!BE36),MATCH('KSH järjestus'!BE$3,KOMBI!$A$1:$GI$1,0))</f>
        <v>99.764880066591758</v>
      </c>
      <c r="BF29" s="25">
        <f t="array" aca="1" ref="BF29" ca="1">INDEX(KOMBI!$A$1:$GI$145,ROW('KSH järjestus'!BF36),MATCH('KSH järjestus'!BF$3,KOMBI!$A$1:$GI$1,0))</f>
        <v>0</v>
      </c>
      <c r="BG29" s="25">
        <f t="array" ref="BG29">INDEX(KOMBI!$A$1:$GI$145,ROW('KSH järjestus'!BG36),MATCH('KSH järjestus'!BG$3,KOMBI!$A$1:$GI$1,0))</f>
        <v>0.65882297973223991</v>
      </c>
      <c r="BH29" s="25">
        <f t="array" ref="BH29">INDEX(KOMBI!$A$1:$GI$145,ROW('KSH järjestus'!BH36),MATCH('KSH järjestus'!BH$3,KOMBI!$A$1:$GI$1,0))</f>
        <v>90</v>
      </c>
      <c r="BI29" s="25">
        <f t="array" ref="BI29">INDEX(KOMBI!$A$1:$GI$145,ROW('KSH järjestus'!BI36),MATCH('KSH järjestus'!BI$3,KOMBI!$A$1:$GI$1,0))</f>
        <v>0.91028830406496797</v>
      </c>
      <c r="BJ29" s="25">
        <f t="array" ref="BJ29">INDEX(KOMBI!$A$1:$GI$145,ROW('KSH järjestus'!BJ36),MATCH('KSH järjestus'!BJ$3,KOMBI!$A$1:$GI$1,0))</f>
        <v>0.36609829488465395</v>
      </c>
      <c r="BK29" s="25">
        <f t="array" ref="BK29">INDEX(KOMBI!$A$1:$GI$145,ROW('KSH järjestus'!BK36),MATCH('KSH järjestus'!BK$3,KOMBI!$A$1:$GI$1,0))</f>
        <v>0.53973582189892089</v>
      </c>
      <c r="BL29" s="25">
        <f t="array" ref="BL29">INDEX(KOMBI!$A$1:$GI$145,ROW('KSH järjestus'!BL36),MATCH('KSH järjestus'!BL$3,KOMBI!$A$1:$GI$1,0))</f>
        <v>1.1756207922425582E-2</v>
      </c>
      <c r="BM29" s="25">
        <f t="array" ref="BM29">INDEX(KOMBI!$A$1:$GI$145,ROW('KSH järjestus'!BM36),MATCH('KSH järjestus'!BM$3,KOMBI!$A$1:$GI$1,0))</f>
        <v>-6.693336870700819E-3</v>
      </c>
      <c r="BN29" s="25">
        <f t="array" ref="BN29">INDEX(KOMBI!$A$1:$GI$145,ROW('KSH järjestus'!BN36),MATCH('KSH järjestus'!BN$3,KOMBI!$A$1:$GI$1,0))</f>
        <v>1.5250555355696138E-3</v>
      </c>
      <c r="BO29" s="25">
        <f t="array" ref="BO29">INDEX(KOMBI!$A$1:$GI$145,ROW('KSH järjestus'!BO36),MATCH('KSH järjestus'!BO$3,KOMBI!$A$1:$GI$1,0))</f>
        <v>1.0283552202057454E-2</v>
      </c>
      <c r="BP29" s="25">
        <f t="array" ref="BP29">INDEX(KOMBI!$A$1:$GI$145,ROW('KSH järjestus'!BP36),MATCH('KSH järjestus'!BP$3,KOMBI!$A$1:$GI$1,0))</f>
        <v>7.8388313570900952</v>
      </c>
      <c r="BQ29" s="25">
        <f t="array" ref="BQ29">INDEX(KOMBI!$A$1:$GI$145,ROW('KSH järjestus'!BQ36),MATCH('KSH järjestus'!BQ$3,KOMBI!$A$1:$GI$1,0))</f>
        <v>10.478999999999999</v>
      </c>
      <c r="BR29" s="25">
        <f t="array" ref="BR29">INDEX(KOMBI!$A$1:$GI$145,ROW('KSH järjestus'!BR36),MATCH('KSH järjestus'!BR$3,KOMBI!$A$1:$GI$1,0))</f>
        <v>-2.901677318547647E-2</v>
      </c>
      <c r="BS29" s="25">
        <f t="array" ref="BS29">INDEX(KOMBI!$A$1:$GI$145,ROW('KSH järjestus'!BS36),MATCH('KSH järjestus'!BS$3,KOMBI!$A$1:$GI$1,0))</f>
        <v>-0.14983123187501093</v>
      </c>
      <c r="BT29" s="25">
        <f t="array" ref="BT29">INDEX(KOMBI!$A$1:$GI$145,ROW('KSH järjestus'!BT36),MATCH('KSH järjestus'!BT$3,KOMBI!$A$1:$GI$1,0))</f>
        <v>-6.7402754378948715E-2</v>
      </c>
      <c r="BU29" s="25">
        <f t="array" ref="BU29">INDEX(KOMBI!$A$1:$GI$145,ROW('KSH järjestus'!BU36),MATCH('KSH järjestus'!BU$3,KOMBI!$A$1:$GI$1,0))</f>
        <v>5.4770005094011811</v>
      </c>
      <c r="BV29" s="25">
        <f t="array" ref="BV29">INDEX(KOMBI!$A$1:$GI$145,ROW('KSH järjestus'!BV36),MATCH('KSH järjestus'!BV$3,KOMBI!$A$1:$GI$1,0))</f>
        <v>1.337</v>
      </c>
      <c r="BW29" s="25">
        <f t="array" ref="BW29">INDEX(KOMBI!$A$1:$GI$145,ROW('KSH järjestus'!BW36),MATCH('KSH järjestus'!BW$3,KOMBI!$A$1:$GI$1,0))</f>
        <v>3.5341368215830604</v>
      </c>
      <c r="BX29" s="25">
        <f t="array" ref="BX29">INDEX(KOMBI!$A$1:$GI$145,ROW('KSH järjestus'!BX36),MATCH('KSH järjestus'!BX$3,KOMBI!$A$1:$GI$1,0))</f>
        <v>18.858721793242818</v>
      </c>
      <c r="BY29" s="25">
        <f t="array" ref="BY29">INDEX(KOMBI!$A$1:$GI$145,ROW('KSH järjestus'!BY36),MATCH('KSH järjestus'!BY$3,KOMBI!$A$1:$GI$1,0))</f>
        <v>6.6617453871512238</v>
      </c>
      <c r="BZ29" s="25">
        <f t="array" ref="BZ29">INDEX(KOMBI!$A$1:$GI$145,ROW('KSH järjestus'!BZ36),MATCH('KSH järjestus'!BZ$3,KOMBI!$A$1:$GI$1,0))</f>
        <v>82.4</v>
      </c>
      <c r="CA29" s="25">
        <f t="array" ref="CA29">INDEX(KOMBI!$A$1:$GI$145,ROW('KSH järjestus'!CA36),MATCH('KSH järjestus'!CA$3,KOMBI!$A$1:$GI$1,0))</f>
        <v>10.507999999999999</v>
      </c>
      <c r="CB29" s="25">
        <f t="array" ref="CB29">INDEX(KOMBI!$A$1:$GI$145,ROW('KSH järjestus'!CB36),MATCH('KSH järjestus'!CB$3,KOMBI!$A$1:$GI$1,0))</f>
        <v>42.36194444444444</v>
      </c>
      <c r="CC29" s="25">
        <f t="array" ref="CC29">INDEX(KOMBI!$A$1:$GI$145,ROW('KSH järjestus'!CC36),MATCH('KSH järjestus'!CC$3,KOMBI!$A$1:$GI$1,0))</f>
        <v>4.2948469999999999</v>
      </c>
      <c r="CD29" s="25">
        <f t="array" ref="CD29">INDEX(KOMBI!$A$1:$GI$145,ROW('KSH järjestus'!CD36),MATCH('KSH järjestus'!CD$3,KOMBI!$A$1:$GI$1,0))</f>
        <v>318.60000000000002</v>
      </c>
      <c r="CE29" s="25">
        <f t="array" ref="CE29">INDEX(KOMBI!$A$1:$GI$145,ROW('KSH järjestus'!CE36),MATCH('KSH järjestus'!CE$3,KOMBI!$A$1:$GI$1,0))</f>
        <v>2.851</v>
      </c>
      <c r="CF29" s="25">
        <f t="array" ref="CF29">INDEX(KOMBI!$A$1:$GI$145,ROW('KSH järjestus'!CF36),MATCH('KSH järjestus'!CF$3,KOMBI!$A$1:$GI$1,0))</f>
        <v>45.528055555555554</v>
      </c>
      <c r="CG29" s="25">
        <f t="array" ref="CG29">INDEX(KOMBI!$A$1:$GI$145,ROW('KSH järjestus'!CG36),MATCH('KSH järjestus'!CG$3,KOMBI!$A$1:$GI$1,0))</f>
        <v>2.1267750475898739E-2</v>
      </c>
      <c r="CH29" s="25">
        <f t="array" ref="CH29">INDEX(KOMBI!$A$1:$GI$145,ROW('KSH järjestus'!CH36),MATCH('KSH järjestus'!CH$3,KOMBI!$A$1:$GI$1,0))</f>
        <v>0.44448388468339084</v>
      </c>
      <c r="CI29" s="25">
        <f t="array" ref="CI29">INDEX(KOMBI!$A$1:$GI$145,ROW('KSH järjestus'!CI36),MATCH('KSH järjestus'!CI$3,KOMBI!$A$1:$GI$1,0))</f>
        <v>10.870000000000001</v>
      </c>
      <c r="CJ29" s="25">
        <f t="array" ref="CJ29">INDEX(KOMBI!$A$1:$GI$145,ROW('KSH järjestus'!CJ36),MATCH('KSH järjestus'!CJ$3,KOMBI!$A$1:$GI$1,0))</f>
        <v>3.9366368215830603</v>
      </c>
      <c r="CK29" s="25">
        <f t="array" ref="CK29">INDEX(KOMBI!$A$1:$GI$145,ROW('KSH järjestus'!CK36),MATCH('KSH järjestus'!CK$3,KOMBI!$A$1:$GI$1,0))</f>
        <v>0.21099999999999999</v>
      </c>
      <c r="CL29" s="25">
        <f t="array" ref="CL29">INDEX(KOMBI!$A$1:$GI$145,ROW('KSH järjestus'!CL36),MATCH('KSH järjestus'!CL$3,KOMBI!$A$1:$GI$1,0))</f>
        <v>0.76300000000000001</v>
      </c>
    </row>
    <row r="30" spans="3:90" x14ac:dyDescent="0.2">
      <c r="C30" s="184">
        <v>27</v>
      </c>
      <c r="G30" s="25">
        <f>RANK(INDEX(KOMBI!$A$11:$GI$145,MATCH('KSH järjestus'!$C30,KOMBI!$A$11:$A$145,0),MATCH('KSH järjestus'!G$3,KOMBI!$A$1:$GI$1,0)),BD$4:BD$138,G$2)</f>
        <v>76</v>
      </c>
      <c r="H30" s="25">
        <f>RANK(INDEX(KOMBI!$A$11:$GI$145,MATCH('KSH järjestus'!$C30,KOMBI!$A$11:$A$145,0),MATCH('KSH järjestus'!H$3,KOMBI!$A$1:$GI$1,0)),BE$4:BE$138,H$2)</f>
        <v>87</v>
      </c>
      <c r="J30" s="25">
        <f>RANK(INDEX(KOMBI!$A$11:$GI$145,MATCH('KSH järjestus'!$C30,KOMBI!$A$11:$A$145,0),MATCH('KSH järjestus'!J$3,KOMBI!$A$1:$GI$1,0)),BG$4:BG$138,J$2)</f>
        <v>126</v>
      </c>
      <c r="M30" s="25">
        <f>RANK(INDEX(KOMBI!$A$11:$GI$145,MATCH('KSH järjestus'!$C30,KOMBI!$A$11:$A$145,0),MATCH('KSH järjestus'!M$3,KOMBI!$A$1:$GI$1,0)),BJ$4:BJ$138,M$2)</f>
        <v>109</v>
      </c>
      <c r="N30" s="25">
        <f>RANK(INDEX(KOMBI!$A$11:$GI$145,MATCH('KSH järjestus'!$C30,KOMBI!$A$11:$A$145,0),MATCH('KSH järjestus'!N$3,KOMBI!$A$1:$GI$1,0)),BK$4:BK$138,N$2)</f>
        <v>25</v>
      </c>
      <c r="O30" s="25">
        <f>RANK(INDEX(KOMBI!$A$11:$GI$145,MATCH('KSH järjestus'!$C30,KOMBI!$A$11:$A$145,0),MATCH('KSH järjestus'!O$3,KOMBI!$A$1:$GI$1,0)),BL$4:BL$138,O$2)</f>
        <v>65</v>
      </c>
      <c r="P30" s="25">
        <f>RANK(INDEX(KOMBI!$A$11:$GI$145,MATCH('KSH järjestus'!$C30,KOMBI!$A$11:$A$145,0),MATCH('KSH järjestus'!P$3,KOMBI!$A$1:$GI$1,0)),BM$4:BM$138,P$2)</f>
        <v>124</v>
      </c>
      <c r="Q30" s="25">
        <f>RANK(INDEX(KOMBI!$A$11:$GI$145,MATCH('KSH järjestus'!$C30,KOMBI!$A$11:$A$145,0),MATCH('KSH järjestus'!Q$3,KOMBI!$A$1:$GI$1,0)),BN$4:BN$138,Q$2)</f>
        <v>87</v>
      </c>
      <c r="R30" s="25">
        <f>RANK(INDEX(KOMBI!$A$11:$GI$145,MATCH('KSH järjestus'!$C30,KOMBI!$A$11:$A$145,0),MATCH('KSH järjestus'!R$3,KOMBI!$A$1:$GI$1,0)),BO$4:BO$138,R$2)</f>
        <v>50</v>
      </c>
      <c r="T30" s="25">
        <f>RANK(INDEX(KOMBI!$A$11:$GI$145,MATCH('KSH järjestus'!$C30,KOMBI!$A$11:$A$145,0),MATCH('KSH järjestus'!T$3,KOMBI!$A$1:$GI$1,0)),BQ$4:BQ$138,T$2)</f>
        <v>66</v>
      </c>
      <c r="U30" s="25">
        <f>RANK(INDEX(KOMBI!$A$11:$GI$145,MATCH('KSH järjestus'!$C30,KOMBI!$A$11:$A$145,0),MATCH('KSH järjestus'!U$3,KOMBI!$A$1:$GI$1,0)),BR$4:BR$138,U$2)</f>
        <v>67</v>
      </c>
      <c r="AA30" s="25">
        <f>RANK(INDEX(KOMBI!$A$11:$GI$145,MATCH('KSH järjestus'!$C30,KOMBI!$A$11:$A$145,0),MATCH('KSH järjestus'!AA$3,KOMBI!$A$1:$GI$1,0)),BX$4:BX$138,AA$2)</f>
        <v>76</v>
      </c>
      <c r="AB30" s="25">
        <f>RANK(INDEX(KOMBI!$A$11:$GI$145,MATCH('KSH järjestus'!$C30,KOMBI!$A$11:$A$145,0),MATCH('KSH järjestus'!AB$3,KOMBI!$A$1:$GI$1,0)),BY$4:BY$138,AB$2)</f>
        <v>16</v>
      </c>
      <c r="AC30" s="25">
        <f>RANK(INDEX(KOMBI!$A$11:$GI$145,MATCH('KSH järjestus'!$C30,KOMBI!$A$11:$A$145,0),MATCH('KSH järjestus'!AC$3,KOMBI!$A$1:$GI$1,0)),BZ$4:BZ$138,AC$2)</f>
        <v>104</v>
      </c>
      <c r="AD30" s="25">
        <f>RANK(INDEX(KOMBI!$A$11:$GI$145,MATCH('KSH järjestus'!$C30,KOMBI!$A$11:$A$145,0),MATCH('KSH järjestus'!AD$3,KOMBI!$A$1:$GI$1,0)),CA$4:CA$138,AD$2)</f>
        <v>21</v>
      </c>
      <c r="AE30" s="25">
        <f>RANK(INDEX(KOMBI!$A$11:$GI$145,MATCH('KSH järjestus'!$C30,KOMBI!$A$11:$A$145,0),MATCH('KSH järjestus'!AE$3,KOMBI!$A$1:$GI$1,0)),CB$4:CB$138,AE$2)</f>
        <v>22</v>
      </c>
      <c r="AG30" s="25">
        <f>RANK(INDEX(KOMBI!$A$11:$GI$145,MATCH('KSH järjestus'!$C30,KOMBI!$A$11:$A$145,0),MATCH('KSH järjestus'!AG$3,KOMBI!$A$1:$GI$1,0)),CD$4:CD$138,AG$2)</f>
        <v>103</v>
      </c>
      <c r="AH30" s="25">
        <f>RANK(INDEX(KOMBI!$A$11:$GI$145,MATCH('KSH järjestus'!$C30,KOMBI!$A$11:$A$145,0),MATCH('KSH järjestus'!AH$3,KOMBI!$A$1:$GI$1,0)),CE$4:CE$138,AH$2)</f>
        <v>31</v>
      </c>
      <c r="AI30" s="25">
        <f>RANK(INDEX(KOMBI!$A$11:$GI$145,MATCH('KSH järjestus'!$C30,KOMBI!$A$11:$A$145,0),MATCH('KSH järjestus'!AI$3,KOMBI!$A$1:$GI$1,0)),CF$4:CF$138,AI$2)</f>
        <v>40</v>
      </c>
      <c r="AJ30" s="25">
        <f>RANK(INDEX(KOMBI!$A$11:$GI$145,MATCH('KSH järjestus'!$C30,KOMBI!$A$11:$A$145,0),MATCH('KSH järjestus'!AJ$3,KOMBI!$A$1:$GI$1,0)),CG$4:CG$138,AJ$2)</f>
        <v>112</v>
      </c>
      <c r="AK30" s="25">
        <f>RANK(INDEX(KOMBI!$A$11:$GI$145,MATCH('KSH järjestus'!$C30,KOMBI!$A$11:$A$145,0),MATCH('KSH järjestus'!AK$3,KOMBI!$A$1:$GI$1,0)),CH$4:CH$138,AK$2)</f>
        <v>52</v>
      </c>
      <c r="AN30" s="25">
        <f>RANK(INDEX(KOMBI!$A$11:$GI$145,MATCH('KSH järjestus'!$C30,KOMBI!$A$11:$A$145,0),MATCH('KSH järjestus'!AN$3,KOMBI!$A$1:$GI$1,0)),CK$4:CK$138,AN$2)</f>
        <v>46</v>
      </c>
      <c r="AO30" s="25">
        <f>RANK(INDEX(KOMBI!$A$11:$GI$145,MATCH('KSH järjestus'!$C30,KOMBI!$A$11:$A$145,0),MATCH('KSH järjestus'!AO$3,KOMBI!$A$1:$GI$1,0)),CL$4:CL$138,AO$2)</f>
        <v>46</v>
      </c>
      <c r="AS30" s="297">
        <f t="shared" si="0"/>
        <v>1551</v>
      </c>
      <c r="AT30" s="25">
        <f t="shared" si="1"/>
        <v>1007</v>
      </c>
      <c r="AU30" s="25">
        <f t="shared" si="2"/>
        <v>134</v>
      </c>
      <c r="AV30" s="295" t="str">
        <f>VLOOKUP(VLOOKUP($AU30,KOMBI!$A:$H,3,FALSE),data!$I$27:$J$29,2,FALSE)</f>
        <v>Sekkuv/EÜ</v>
      </c>
      <c r="AW30" s="295" t="str">
        <f>VLOOKUP(VLOOKUP($AU30,KOMBI!$A:$H,2,FALSE),data!$I$21:$J$23,2,FALSE)</f>
        <v>Sekkuv</v>
      </c>
      <c r="AX30" s="295" t="str">
        <f>VLOOKUP(VLOOKUP($AU30,KOMBI!$A:$H,5,FALSE),data!$I$39:$J$41,2,FALSE)</f>
        <v>Vähe-sekkuv</v>
      </c>
      <c r="AY30" s="295" t="str">
        <f>VLOOKUP(VLOOKUP($AU30,KOMBI!$A:$H,4,FALSE),data!$I$32:$J$36,2,FALSE)</f>
        <v>PK &amp; UG</v>
      </c>
      <c r="BA30" s="25">
        <f t="array" ref="BA30">INDEX(KOMBI!$A$1:$GI$145,ROW('KSH järjestus'!BA37),MATCH('KSH järjestus'!BA$3,KOMBI!$A$1:$GI$1,0))</f>
        <v>7.3589516384839833</v>
      </c>
      <c r="BB30" s="25">
        <f t="array" ref="BB30">INDEX(KOMBI!$A$1:$GI$145,ROW('KSH järjestus'!BB37),MATCH('KSH järjestus'!BB$3,KOMBI!$A$1:$GI$1,0))</f>
        <v>408.42417609521351</v>
      </c>
      <c r="BC30" s="25">
        <f t="array" aca="1" ref="BC30" ca="1">INDEX(KOMBI!$A$1:$GI$145,ROW('KSH järjestus'!BC37),MATCH('KSH järjestus'!BC$3,KOMBI!$A$1:$GI$1,0))</f>
        <v>64.326074545044591</v>
      </c>
      <c r="BD30" s="25">
        <f t="array" ref="BD30">INDEX(KOMBI!$A$1:$GI$145,ROW('KSH järjestus'!BD37),MATCH('KSH järjestus'!BD$3,KOMBI!$A$1:$GI$1,0))</f>
        <v>-71.100813699091034</v>
      </c>
      <c r="BE30" s="25">
        <f t="array" ref="BE30">INDEX(KOMBI!$A$1:$GI$145,ROW('KSH järjestus'!BE37),MATCH('KSH järjestus'!BE$3,KOMBI!$A$1:$GI$1,0))</f>
        <v>135.42688824413563</v>
      </c>
      <c r="BF30" s="25">
        <f t="array" aca="1" ref="BF30" ca="1">INDEX(KOMBI!$A$1:$GI$145,ROW('KSH järjestus'!BF37),MATCH('KSH järjestus'!BF$3,KOMBI!$A$1:$GI$1,0))</f>
        <v>0</v>
      </c>
      <c r="BG30" s="25">
        <f t="array" ref="BG30">INDEX(KOMBI!$A$1:$GI$145,ROW('KSH järjestus'!BG37),MATCH('KSH järjestus'!BG$3,KOMBI!$A$1:$GI$1,0))</f>
        <v>0.65882297973223991</v>
      </c>
      <c r="BH30" s="25">
        <f t="array" ref="BH30">INDEX(KOMBI!$A$1:$GI$145,ROW('KSH järjestus'!BH37),MATCH('KSH järjestus'!BH$3,KOMBI!$A$1:$GI$1,0))</f>
        <v>90</v>
      </c>
      <c r="BI30" s="25">
        <f t="array" ref="BI30">INDEX(KOMBI!$A$1:$GI$145,ROW('KSH järjestus'!BI37),MATCH('KSH järjestus'!BI$3,KOMBI!$A$1:$GI$1,0))</f>
        <v>0.91028830406496786</v>
      </c>
      <c r="BJ30" s="25">
        <f t="array" ref="BJ30">INDEX(KOMBI!$A$1:$GI$145,ROW('KSH järjestus'!BJ37),MATCH('KSH järjestus'!BJ$3,KOMBI!$A$1:$GI$1,0))</f>
        <v>0.36609829488465395</v>
      </c>
      <c r="BK30" s="25">
        <f t="array" ref="BK30">INDEX(KOMBI!$A$1:$GI$145,ROW('KSH järjestus'!BK37),MATCH('KSH järjestus'!BK$3,KOMBI!$A$1:$GI$1,0))</f>
        <v>0.53973582189892089</v>
      </c>
      <c r="BL30" s="25">
        <f t="array" ref="BL30">INDEX(KOMBI!$A$1:$GI$145,ROW('KSH järjestus'!BL37),MATCH('KSH järjestus'!BL$3,KOMBI!$A$1:$GI$1,0))</f>
        <v>1.64072633006721E-2</v>
      </c>
      <c r="BM30" s="25">
        <f t="array" ref="BM30">INDEX(KOMBI!$A$1:$GI$145,ROW('KSH järjestus'!BM37),MATCH('KSH järjestus'!BM$3,KOMBI!$A$1:$GI$1,0))</f>
        <v>-6.680571143659433E-3</v>
      </c>
      <c r="BN30" s="25">
        <f t="array" ref="BN30">INDEX(KOMBI!$A$1:$GI$145,ROW('KSH järjestus'!BN37),MATCH('KSH järjestus'!BN$3,KOMBI!$A$1:$GI$1,0))</f>
        <v>2.8558453716163446E-3</v>
      </c>
      <c r="BO30" s="25">
        <f t="array" ref="BO30">INDEX(KOMBI!$A$1:$GI$145,ROW('KSH järjestus'!BO37),MATCH('KSH järjestus'!BO$3,KOMBI!$A$1:$GI$1,0))</f>
        <v>1.367741565022231E-2</v>
      </c>
      <c r="BP30" s="25">
        <f t="array" ref="BP30">INDEX(KOMBI!$A$1:$GI$145,ROW('KSH järjestus'!BP37),MATCH('KSH järjestus'!BP$3,KOMBI!$A$1:$GI$1,0))</f>
        <v>7.8388313570900952</v>
      </c>
      <c r="BQ30" s="25">
        <f t="array" ref="BQ30">INDEX(KOMBI!$A$1:$GI$145,ROW('KSH järjestus'!BQ37),MATCH('KSH järjestus'!BQ$3,KOMBI!$A$1:$GI$1,0))</f>
        <v>10.702999999999999</v>
      </c>
      <c r="BR30" s="25">
        <f t="array" ref="BR30">INDEX(KOMBI!$A$1:$GI$145,ROW('KSH järjestus'!BR37),MATCH('KSH järjestus'!BR$3,KOMBI!$A$1:$GI$1,0))</f>
        <v>-2.5037286055030573E-2</v>
      </c>
      <c r="BS30" s="25">
        <f t="array" ref="BS30">INDEX(KOMBI!$A$1:$GI$145,ROW('KSH järjestus'!BS37),MATCH('KSH järjestus'!BS$3,KOMBI!$A$1:$GI$1,0))</f>
        <v>-0.14857207195872249</v>
      </c>
      <c r="BT30" s="25">
        <f t="array" ref="BT30">INDEX(KOMBI!$A$1:$GI$145,ROW('KSH järjestus'!BT37),MATCH('KSH järjestus'!BT$3,KOMBI!$A$1:$GI$1,0))</f>
        <v>-6.5942035405722466E-2</v>
      </c>
      <c r="BU30" s="25">
        <f t="array" ref="BU30">INDEX(KOMBI!$A$1:$GI$145,ROW('KSH järjestus'!BU37),MATCH('KSH järjestus'!BU$3,KOMBI!$A$1:$GI$1,0))</f>
        <v>5.4770005094011811</v>
      </c>
      <c r="BV30" s="25">
        <f t="array" ref="BV30">INDEX(KOMBI!$A$1:$GI$145,ROW('KSH järjestus'!BV37),MATCH('KSH järjestus'!BV$3,KOMBI!$A$1:$GI$1,0))</f>
        <v>1.337</v>
      </c>
      <c r="BW30" s="25">
        <f t="array" ref="BW30">INDEX(KOMBI!$A$1:$GI$145,ROW('KSH järjestus'!BW37),MATCH('KSH järjestus'!BW$3,KOMBI!$A$1:$GI$1,0))</f>
        <v>3.7428368215830607</v>
      </c>
      <c r="BX30" s="25">
        <f t="array" ref="BX30">INDEX(KOMBI!$A$1:$GI$145,ROW('KSH järjestus'!BX37),MATCH('KSH järjestus'!BX$3,KOMBI!$A$1:$GI$1,0))</f>
        <v>18.858721793242818</v>
      </c>
      <c r="BY30" s="25">
        <f t="array" ref="BY30">INDEX(KOMBI!$A$1:$GI$145,ROW('KSH järjestus'!BY37),MATCH('KSH järjestus'!BY$3,KOMBI!$A$1:$GI$1,0))</f>
        <v>6.6617453871512238</v>
      </c>
      <c r="BZ30" s="25">
        <f t="array" ref="BZ30">INDEX(KOMBI!$A$1:$GI$145,ROW('KSH järjestus'!BZ37),MATCH('KSH järjestus'!BZ$3,KOMBI!$A$1:$GI$1,0))</f>
        <v>84</v>
      </c>
      <c r="CA30" s="25">
        <f t="array" ref="CA30">INDEX(KOMBI!$A$1:$GI$145,ROW('KSH järjestus'!CA37),MATCH('KSH järjestus'!CA$3,KOMBI!$A$1:$GI$1,0))</f>
        <v>10.76</v>
      </c>
      <c r="CB30" s="25">
        <f t="array" ref="CB30">INDEX(KOMBI!$A$1:$GI$145,ROW('KSH järjestus'!CB37),MATCH('KSH järjestus'!CB$3,KOMBI!$A$1:$GI$1,0))</f>
        <v>43.269999999999996</v>
      </c>
      <c r="CC30" s="25">
        <f t="array" ref="CC30">INDEX(KOMBI!$A$1:$GI$145,ROW('KSH järjestus'!CC37),MATCH('KSH järjestus'!CC$3,KOMBI!$A$1:$GI$1,0))</f>
        <v>4.3881920000000001</v>
      </c>
      <c r="CD30" s="25">
        <f t="array" ref="CD30">INDEX(KOMBI!$A$1:$GI$145,ROW('KSH järjestus'!CD37),MATCH('KSH järjestus'!CD$3,KOMBI!$A$1:$GI$1,0))</f>
        <v>318.60000000000002</v>
      </c>
      <c r="CE30" s="25">
        <f t="array" ref="CE30">INDEX(KOMBI!$A$1:$GI$145,ROW('KSH järjestus'!CE37),MATCH('KSH järjestus'!CE$3,KOMBI!$A$1:$GI$1,0))</f>
        <v>2.851</v>
      </c>
      <c r="CF30" s="25">
        <f t="array" ref="CF30">INDEX(KOMBI!$A$1:$GI$145,ROW('KSH järjestus'!CF37),MATCH('KSH järjestus'!CF$3,KOMBI!$A$1:$GI$1,0))</f>
        <v>45.528055555555554</v>
      </c>
      <c r="CG30" s="25">
        <f t="array" ref="CG30">INDEX(KOMBI!$A$1:$GI$145,ROW('KSH järjestus'!CG37),MATCH('KSH järjestus'!CG$3,KOMBI!$A$1:$GI$1,0))</f>
        <v>2.1267750475898739E-2</v>
      </c>
      <c r="CH30" s="25">
        <f t="array" ref="CH30">INDEX(KOMBI!$A$1:$GI$145,ROW('KSH järjestus'!CH37),MATCH('KSH järjestus'!CH$3,KOMBI!$A$1:$GI$1,0))</f>
        <v>0.44448388468339084</v>
      </c>
      <c r="CI30" s="25">
        <f t="array" ref="CI30">INDEX(KOMBI!$A$1:$GI$145,ROW('KSH järjestus'!CI37),MATCH('KSH järjestus'!CI$3,KOMBI!$A$1:$GI$1,0))</f>
        <v>10.870000000000001</v>
      </c>
      <c r="CJ30" s="25">
        <f t="array" ref="CJ30">INDEX(KOMBI!$A$1:$GI$145,ROW('KSH järjestus'!CJ37),MATCH('KSH järjestus'!CJ$3,KOMBI!$A$1:$GI$1,0))</f>
        <v>3.9366368215830603</v>
      </c>
      <c r="CK30" s="25">
        <f t="array" ref="CK30">INDEX(KOMBI!$A$1:$GI$145,ROW('KSH järjestus'!CK37),MATCH('KSH järjestus'!CK$3,KOMBI!$A$1:$GI$1,0))</f>
        <v>0.21099999999999999</v>
      </c>
      <c r="CL30" s="25">
        <f t="array" ref="CL30">INDEX(KOMBI!$A$1:$GI$145,ROW('KSH järjestus'!CL37),MATCH('KSH järjestus'!CL$3,KOMBI!$A$1:$GI$1,0))</f>
        <v>0.76300000000000001</v>
      </c>
    </row>
    <row r="31" spans="3:90" x14ac:dyDescent="0.2">
      <c r="C31" s="184">
        <v>28</v>
      </c>
      <c r="G31" s="25">
        <f>RANK(INDEX(KOMBI!$A$11:$GI$145,MATCH('KSH järjestus'!$C31,KOMBI!$A$11:$A$145,0),MATCH('KSH järjestus'!G$3,KOMBI!$A$1:$GI$1,0)),BD$4:BD$138,G$2)</f>
        <v>111</v>
      </c>
      <c r="H31" s="25">
        <f>RANK(INDEX(KOMBI!$A$11:$GI$145,MATCH('KSH järjestus'!$C31,KOMBI!$A$11:$A$145,0),MATCH('KSH järjestus'!H$3,KOMBI!$A$1:$GI$1,0)),BE$4:BE$138,H$2)</f>
        <v>77</v>
      </c>
      <c r="J31" s="25">
        <f>RANK(INDEX(KOMBI!$A$11:$GI$145,MATCH('KSH järjestus'!$C31,KOMBI!$A$11:$A$145,0),MATCH('KSH järjestus'!J$3,KOMBI!$A$1:$GI$1,0)),BG$4:BG$138,J$2)</f>
        <v>26</v>
      </c>
      <c r="M31" s="25">
        <f>RANK(INDEX(KOMBI!$A$11:$GI$145,MATCH('KSH järjestus'!$C31,KOMBI!$A$11:$A$145,0),MATCH('KSH järjestus'!M$3,KOMBI!$A$1:$GI$1,0)),BJ$4:BJ$138,M$2)</f>
        <v>1</v>
      </c>
      <c r="N31" s="25">
        <f>RANK(INDEX(KOMBI!$A$11:$GI$145,MATCH('KSH järjestus'!$C31,KOMBI!$A$11:$A$145,0),MATCH('KSH järjestus'!N$3,KOMBI!$A$1:$GI$1,0)),BK$4:BK$138,N$2)</f>
        <v>133</v>
      </c>
      <c r="O31" s="25">
        <f>RANK(INDEX(KOMBI!$A$11:$GI$145,MATCH('KSH järjestus'!$C31,KOMBI!$A$11:$A$145,0),MATCH('KSH järjestus'!O$3,KOMBI!$A$1:$GI$1,0)),BL$4:BL$138,O$2)</f>
        <v>40</v>
      </c>
      <c r="P31" s="25">
        <f>RANK(INDEX(KOMBI!$A$11:$GI$145,MATCH('KSH järjestus'!$C31,KOMBI!$A$11:$A$145,0),MATCH('KSH järjestus'!P$3,KOMBI!$A$1:$GI$1,0)),BM$4:BM$138,P$2)</f>
        <v>44</v>
      </c>
      <c r="Q31" s="25">
        <f>RANK(INDEX(KOMBI!$A$11:$GI$145,MATCH('KSH järjestus'!$C31,KOMBI!$A$11:$A$145,0),MATCH('KSH järjestus'!Q$3,KOMBI!$A$1:$GI$1,0)),BN$4:BN$138,Q$2)</f>
        <v>27</v>
      </c>
      <c r="R31" s="25">
        <f>RANK(INDEX(KOMBI!$A$11:$GI$145,MATCH('KSH järjestus'!$C31,KOMBI!$A$11:$A$145,0),MATCH('KSH järjestus'!R$3,KOMBI!$A$1:$GI$1,0)),BO$4:BO$138,R$2)</f>
        <v>70</v>
      </c>
      <c r="T31" s="25">
        <f>RANK(INDEX(KOMBI!$A$11:$GI$145,MATCH('KSH järjestus'!$C31,KOMBI!$A$11:$A$145,0),MATCH('KSH järjestus'!T$3,KOMBI!$A$1:$GI$1,0)),BQ$4:BQ$138,T$2)</f>
        <v>126</v>
      </c>
      <c r="U31" s="25">
        <f>RANK(INDEX(KOMBI!$A$11:$GI$145,MATCH('KSH järjestus'!$C31,KOMBI!$A$11:$A$145,0),MATCH('KSH järjestus'!U$3,KOMBI!$A$1:$GI$1,0)),BR$4:BR$138,U$2)</f>
        <v>119</v>
      </c>
      <c r="AA31" s="25">
        <f>RANK(INDEX(KOMBI!$A$11:$GI$145,MATCH('KSH järjestus'!$C31,KOMBI!$A$11:$A$145,0),MATCH('KSH järjestus'!AA$3,KOMBI!$A$1:$GI$1,0)),BX$4:BX$138,AA$2)</f>
        <v>130</v>
      </c>
      <c r="AB31" s="25">
        <f>RANK(INDEX(KOMBI!$A$11:$GI$145,MATCH('KSH järjestus'!$C31,KOMBI!$A$11:$A$145,0),MATCH('KSH järjestus'!AB$3,KOMBI!$A$1:$GI$1,0)),BY$4:BY$138,AB$2)</f>
        <v>124</v>
      </c>
      <c r="AC31" s="25">
        <f>RANK(INDEX(KOMBI!$A$11:$GI$145,MATCH('KSH järjestus'!$C31,KOMBI!$A$11:$A$145,0),MATCH('KSH järjestus'!AC$3,KOMBI!$A$1:$GI$1,0)),BZ$4:BZ$138,AC$2)</f>
        <v>126</v>
      </c>
      <c r="AD31" s="25">
        <f>RANK(INDEX(KOMBI!$A$11:$GI$145,MATCH('KSH järjestus'!$C31,KOMBI!$A$11:$A$145,0),MATCH('KSH järjestus'!AD$3,KOMBI!$A$1:$GI$1,0)),CA$4:CA$138,AD$2)</f>
        <v>126</v>
      </c>
      <c r="AE31" s="25">
        <f>RANK(INDEX(KOMBI!$A$11:$GI$145,MATCH('KSH järjestus'!$C31,KOMBI!$A$11:$A$145,0),MATCH('KSH järjestus'!AE$3,KOMBI!$A$1:$GI$1,0)),CB$4:CB$138,AE$2)</f>
        <v>126</v>
      </c>
      <c r="AG31" s="25">
        <f>RANK(INDEX(KOMBI!$A$11:$GI$145,MATCH('KSH järjestus'!$C31,KOMBI!$A$11:$A$145,0),MATCH('KSH järjestus'!AG$3,KOMBI!$A$1:$GI$1,0)),CD$4:CD$138,AG$2)</f>
        <v>91</v>
      </c>
      <c r="AH31" s="25">
        <f>RANK(INDEX(KOMBI!$A$11:$GI$145,MATCH('KSH järjestus'!$C31,KOMBI!$A$11:$A$145,0),MATCH('KSH järjestus'!AH$3,KOMBI!$A$1:$GI$1,0)),CE$4:CE$138,AH$2)</f>
        <v>31</v>
      </c>
      <c r="AI31" s="25">
        <f>RANK(INDEX(KOMBI!$A$11:$GI$145,MATCH('KSH järjestus'!$C31,KOMBI!$A$11:$A$145,0),MATCH('KSH järjestus'!AI$3,KOMBI!$A$1:$GI$1,0)),CF$4:CF$138,AI$2)</f>
        <v>127</v>
      </c>
      <c r="AJ31" s="25">
        <f>RANK(INDEX(KOMBI!$A$11:$GI$145,MATCH('KSH järjestus'!$C31,KOMBI!$A$11:$A$145,0),MATCH('KSH järjestus'!AJ$3,KOMBI!$A$1:$GI$1,0)),CG$4:CG$138,AJ$2)</f>
        <v>112</v>
      </c>
      <c r="AK31" s="25">
        <f>RANK(INDEX(KOMBI!$A$11:$GI$145,MATCH('KSH järjestus'!$C31,KOMBI!$A$11:$A$145,0),MATCH('KSH järjestus'!AK$3,KOMBI!$A$1:$GI$1,0)),CH$4:CH$138,AK$2)</f>
        <v>127</v>
      </c>
      <c r="AN31" s="25">
        <f>RANK(INDEX(KOMBI!$A$11:$GI$145,MATCH('KSH järjestus'!$C31,KOMBI!$A$11:$A$145,0),MATCH('KSH järjestus'!AN$3,KOMBI!$A$1:$GI$1,0)),CK$4:CK$138,AN$2)</f>
        <v>46</v>
      </c>
      <c r="AO31" s="25">
        <f>RANK(INDEX(KOMBI!$A$11:$GI$145,MATCH('KSH järjestus'!$C31,KOMBI!$A$11:$A$145,0),MATCH('KSH järjestus'!AO$3,KOMBI!$A$1:$GI$1,0)),CL$4:CL$138,AO$2)</f>
        <v>46</v>
      </c>
      <c r="AS31" s="297">
        <f t="shared" si="0"/>
        <v>1986</v>
      </c>
      <c r="AT31" s="25">
        <f t="shared" si="1"/>
        <v>1020</v>
      </c>
      <c r="AU31" s="25">
        <f t="shared" si="2"/>
        <v>135</v>
      </c>
      <c r="AV31" s="295" t="str">
        <f>VLOOKUP(VLOOKUP($AU31,KOMBI!$A:$H,3,FALSE),data!$I$27:$J$29,2,FALSE)</f>
        <v>Sekkuv/EÜ</v>
      </c>
      <c r="AW31" s="295" t="str">
        <f>VLOOKUP(VLOOKUP($AU31,KOMBI!$A:$H,2,FALSE),data!$I$21:$J$23,2,FALSE)</f>
        <v>Sekkuv</v>
      </c>
      <c r="AX31" s="295" t="str">
        <f>VLOOKUP(VLOOKUP($AU31,KOMBI!$A:$H,5,FALSE),data!$I$39:$J$41,2,FALSE)</f>
        <v>Sekkuv</v>
      </c>
      <c r="AY31" s="295" t="str">
        <f>VLOOKUP(VLOOKUP($AU31,KOMBI!$A:$H,4,FALSE),data!$I$32:$J$36,2,FALSE)</f>
        <v>PK &amp; UG</v>
      </c>
      <c r="BA31" s="25">
        <f t="array" ref="BA31">INDEX(KOMBI!$A$1:$GI$145,ROW('KSH järjestus'!BA38),MATCH('KSH järjestus'!BA$3,KOMBI!$A$1:$GI$1,0))</f>
        <v>2.546621987885104</v>
      </c>
      <c r="BB31" s="25">
        <f t="array" ref="BB31">INDEX(KOMBI!$A$1:$GI$145,ROW('KSH järjestus'!BB38),MATCH('KSH järjestus'!BB$3,KOMBI!$A$1:$GI$1,0))</f>
        <v>551.54682750227312</v>
      </c>
      <c r="BC31" s="25">
        <f t="array" aca="1" ref="BC31" ca="1">INDEX(KOMBI!$A$1:$GI$145,ROW('KSH järjestus'!BC38),MATCH('KSH järjestus'!BC$3,KOMBI!$A$1:$GI$1,0))</f>
        <v>111.44415895314606</v>
      </c>
      <c r="BD31" s="25">
        <f t="array" ref="BD31">INDEX(KOMBI!$A$1:$GI$145,ROW('KSH järjestus'!BD38),MATCH('KSH järjestus'!BD$3,KOMBI!$A$1:$GI$1,0))</f>
        <v>-36.76</v>
      </c>
      <c r="BE31" s="25">
        <f t="array" ref="BE31">INDEX(KOMBI!$A$1:$GI$145,ROW('KSH järjestus'!BE38),MATCH('KSH järjestus'!BE$3,KOMBI!$A$1:$GI$1,0))</f>
        <v>148.20415895314605</v>
      </c>
      <c r="BF31" s="25">
        <f t="array" aca="1" ref="BF31" ca="1">INDEX(KOMBI!$A$1:$GI$145,ROW('KSH järjestus'!BF38),MATCH('KSH järjestus'!BF$3,KOMBI!$A$1:$GI$1,0))</f>
        <v>0</v>
      </c>
      <c r="BG31" s="25">
        <f t="array" ref="BG31">INDEX(KOMBI!$A$1:$GI$145,ROW('KSH järjestus'!BG38),MATCH('KSH järjestus'!BG$3,KOMBI!$A$1:$GI$1,0))</f>
        <v>0.35345494134005595</v>
      </c>
      <c r="BH31" s="25">
        <f t="array" ref="BH31">INDEX(KOMBI!$A$1:$GI$145,ROW('KSH järjestus'!BH38),MATCH('KSH järjestus'!BH$3,KOMBI!$A$1:$GI$1,0))</f>
        <v>90</v>
      </c>
      <c r="BI31" s="25">
        <f t="array" ref="BI31">INDEX(KOMBI!$A$1:$GI$145,ROW('KSH järjestus'!BI38),MATCH('KSH järjestus'!BI$3,KOMBI!$A$1:$GI$1,0))</f>
        <v>1</v>
      </c>
      <c r="BJ31" s="25">
        <f t="array" ref="BJ31">INDEX(KOMBI!$A$1:$GI$145,ROW('KSH järjestus'!BJ38),MATCH('KSH järjestus'!BJ$3,KOMBI!$A$1:$GI$1,0))</f>
        <v>0</v>
      </c>
      <c r="BK31" s="25">
        <f t="array" ref="BK31">INDEX(KOMBI!$A$1:$GI$145,ROW('KSH järjestus'!BK38),MATCH('KSH järjestus'!BK$3,KOMBI!$A$1:$GI$1,0))</f>
        <v>0.23719430378475931</v>
      </c>
      <c r="BL31" s="25">
        <f t="array" ref="BL31">INDEX(KOMBI!$A$1:$GI$145,ROW('KSH järjestus'!BL38),MATCH('KSH järjestus'!BL$3,KOMBI!$A$1:$GI$1,0))</f>
        <v>2.0458495093973631E-2</v>
      </c>
      <c r="BM31" s="25">
        <f t="array" ref="BM31">INDEX(KOMBI!$A$1:$GI$145,ROW('KSH järjestus'!BM38),MATCH('KSH järjestus'!BM$3,KOMBI!$A$1:$GI$1,0))</f>
        <v>4.3290694550797435E-3</v>
      </c>
      <c r="BN31" s="25">
        <f t="array" ref="BN31">INDEX(KOMBI!$A$1:$GI$145,ROW('KSH järjestus'!BN38),MATCH('KSH järjestus'!BN$3,KOMBI!$A$1:$GI$1,0))</f>
        <v>8.7708396066117078E-3</v>
      </c>
      <c r="BO31" s="25">
        <f t="array" ref="BO31">INDEX(KOMBI!$A$1:$GI$145,ROW('KSH järjestus'!BO38),MATCH('KSH järjestus'!BO$3,KOMBI!$A$1:$GI$1,0))</f>
        <v>1.1981677030479844E-2</v>
      </c>
      <c r="BP31" s="25">
        <f t="array" ref="BP31">INDEX(KOMBI!$A$1:$GI$145,ROW('KSH järjestus'!BP38),MATCH('KSH järjestus'!BP$3,KOMBI!$A$1:$GI$1,0))</f>
        <v>7.7549896156049165</v>
      </c>
      <c r="BQ31" s="25">
        <f t="array" ref="BQ31">INDEX(KOMBI!$A$1:$GI$145,ROW('KSH järjestus'!BQ38),MATCH('KSH järjestus'!BQ$3,KOMBI!$A$1:$GI$1,0))</f>
        <v>11.885999999999999</v>
      </c>
      <c r="BR31" s="25">
        <f t="array" ref="BR31">INDEX(KOMBI!$A$1:$GI$145,ROW('KSH järjestus'!BR38),MATCH('KSH järjestus'!BR$3,KOMBI!$A$1:$GI$1,0))</f>
        <v>-2.9957567754624308E-3</v>
      </c>
      <c r="BS31" s="25">
        <f t="array" ref="BS31">INDEX(KOMBI!$A$1:$GI$145,ROW('KSH järjestus'!BS38),MATCH('KSH järjestus'!BS$3,KOMBI!$A$1:$GI$1,0))</f>
        <v>7.7224972560020894E-2</v>
      </c>
      <c r="BT31" s="25">
        <f t="array" ref="BT31">INDEX(KOMBI!$A$1:$GI$145,ROW('KSH järjestus'!BT38),MATCH('KSH järjestus'!BT$3,KOMBI!$A$1:$GI$1,0))</f>
        <v>7.5393485343176636E-2</v>
      </c>
      <c r="BU31" s="25">
        <f t="array" ref="BU31">INDEX(KOMBI!$A$1:$GI$145,ROW('KSH järjestus'!BU38),MATCH('KSH järjestus'!BU$3,KOMBI!$A$1:$GI$1,0))</f>
        <v>12.486233270393459</v>
      </c>
      <c r="BV31" s="25">
        <f t="array" ref="BV31">INDEX(KOMBI!$A$1:$GI$145,ROW('KSH järjestus'!BV38),MATCH('KSH järjestus'!BV$3,KOMBI!$A$1:$GI$1,0))</f>
        <v>6.0640000000000001</v>
      </c>
      <c r="BW31" s="25">
        <f t="array" ref="BW31">INDEX(KOMBI!$A$1:$GI$145,ROW('KSH järjestus'!BW38),MATCH('KSH järjestus'!BW$3,KOMBI!$A$1:$GI$1,0))</f>
        <v>3.1566368215830605</v>
      </c>
      <c r="BX31" s="25">
        <f t="array" ref="BX31">INDEX(KOMBI!$A$1:$GI$145,ROW('KSH järjestus'!BX38),MATCH('KSH järjestus'!BX$3,KOMBI!$A$1:$GI$1,0))</f>
        <v>23.757000000000001</v>
      </c>
      <c r="BY31" s="25">
        <f t="array" ref="BY31">INDEX(KOMBI!$A$1:$GI$145,ROW('KSH järjestus'!BY38),MATCH('KSH järjestus'!BY$3,KOMBI!$A$1:$GI$1,0))</f>
        <v>38.49371614017182</v>
      </c>
      <c r="BZ31" s="25">
        <f t="array" ref="BZ31">INDEX(KOMBI!$A$1:$GI$145,ROW('KSH järjestus'!BZ38),MATCH('KSH järjestus'!BZ$3,KOMBI!$A$1:$GI$1,0))</f>
        <v>98</v>
      </c>
      <c r="CA31" s="25">
        <f t="array" ref="CA31">INDEX(KOMBI!$A$1:$GI$145,ROW('KSH järjestus'!CA38),MATCH('KSH järjestus'!CA$3,KOMBI!$A$1:$GI$1,0))</f>
        <v>17.079999999999998</v>
      </c>
      <c r="CB31" s="25">
        <f t="array" ref="CB31">INDEX(KOMBI!$A$1:$GI$145,ROW('KSH järjestus'!CB38),MATCH('KSH järjestus'!CB$3,KOMBI!$A$1:$GI$1,0))</f>
        <v>138.7813888888889</v>
      </c>
      <c r="CC31" s="25">
        <f t="array" ref="CC31">INDEX(KOMBI!$A$1:$GI$145,ROW('KSH järjestus'!CC38),MATCH('KSH järjestus'!CC$3,KOMBI!$A$1:$GI$1,0))</f>
        <v>7.5743869999999998</v>
      </c>
      <c r="CD31" s="25">
        <f t="array" ref="CD31">INDEX(KOMBI!$A$1:$GI$145,ROW('KSH järjestus'!CD38),MATCH('KSH järjestus'!CD$3,KOMBI!$A$1:$GI$1,0))</f>
        <v>318.40000000000003</v>
      </c>
      <c r="CE31" s="25">
        <f t="array" ref="CE31">INDEX(KOMBI!$A$1:$GI$145,ROW('KSH järjestus'!CE38),MATCH('KSH järjestus'!CE$3,KOMBI!$A$1:$GI$1,0))</f>
        <v>2.851</v>
      </c>
      <c r="CF31" s="25">
        <f t="array" ref="CF31">INDEX(KOMBI!$A$1:$GI$145,ROW('KSH järjestus'!CF38),MATCH('KSH järjestus'!CF$3,KOMBI!$A$1:$GI$1,0))</f>
        <v>64.89667854210326</v>
      </c>
      <c r="CG31" s="25">
        <f t="array" ref="CG31">INDEX(KOMBI!$A$1:$GI$145,ROW('KSH järjestus'!CG38),MATCH('KSH järjestus'!CG$3,KOMBI!$A$1:$GI$1,0))</f>
        <v>2.1267750475898739E-2</v>
      </c>
      <c r="CH31" s="25">
        <f t="array" ref="CH31">INDEX(KOMBI!$A$1:$GI$145,ROW('KSH järjestus'!CH38),MATCH('KSH järjestus'!CH$3,KOMBI!$A$1:$GI$1,0))</f>
        <v>0.35626210493151461</v>
      </c>
      <c r="CI31" s="25">
        <f t="array" ref="CI31">INDEX(KOMBI!$A$1:$GI$145,ROW('KSH järjestus'!CI38),MATCH('KSH järjestus'!CI$3,KOMBI!$A$1:$GI$1,0))</f>
        <v>6.28</v>
      </c>
      <c r="CJ31" s="25">
        <f t="array" ref="CJ31">INDEX(KOMBI!$A$1:$GI$145,ROW('KSH järjestus'!CJ38),MATCH('KSH järjestus'!CJ$3,KOMBI!$A$1:$GI$1,0))</f>
        <v>9.4406368215830607</v>
      </c>
      <c r="CK31" s="25">
        <f t="array" ref="CK31">INDEX(KOMBI!$A$1:$GI$145,ROW('KSH järjestus'!CK38),MATCH('KSH järjestus'!CK$3,KOMBI!$A$1:$GI$1,0))</f>
        <v>0.21099999999999999</v>
      </c>
      <c r="CL31" s="25">
        <f t="array" ref="CL31">INDEX(KOMBI!$A$1:$GI$145,ROW('KSH järjestus'!CL38),MATCH('KSH järjestus'!CL$3,KOMBI!$A$1:$GI$1,0))</f>
        <v>0.76300000000000001</v>
      </c>
    </row>
    <row r="32" spans="3:90" x14ac:dyDescent="0.2">
      <c r="C32" s="184">
        <v>29</v>
      </c>
      <c r="G32" s="25">
        <f>RANK(INDEX(KOMBI!$A$11:$GI$145,MATCH('KSH järjestus'!$C32,KOMBI!$A$11:$A$145,0),MATCH('KSH järjestus'!G$3,KOMBI!$A$1:$GI$1,0)),BD$4:BD$138,G$2)</f>
        <v>96</v>
      </c>
      <c r="H32" s="25">
        <f>RANK(INDEX(KOMBI!$A$11:$GI$145,MATCH('KSH järjestus'!$C32,KOMBI!$A$11:$A$145,0),MATCH('KSH järjestus'!H$3,KOMBI!$A$1:$GI$1,0)),BE$4:BE$138,H$2)</f>
        <v>49</v>
      </c>
      <c r="J32" s="25">
        <f>RANK(INDEX(KOMBI!$A$11:$GI$145,MATCH('KSH järjestus'!$C32,KOMBI!$A$11:$A$145,0),MATCH('KSH järjestus'!J$3,KOMBI!$A$1:$GI$1,0)),BG$4:BG$138,J$2)</f>
        <v>20</v>
      </c>
      <c r="M32" s="25">
        <f>RANK(INDEX(KOMBI!$A$11:$GI$145,MATCH('KSH järjestus'!$C32,KOMBI!$A$11:$A$145,0),MATCH('KSH järjestus'!M$3,KOMBI!$A$1:$GI$1,0)),BJ$4:BJ$138,M$2)</f>
        <v>1</v>
      </c>
      <c r="N32" s="25">
        <f>RANK(INDEX(KOMBI!$A$11:$GI$145,MATCH('KSH järjestus'!$C32,KOMBI!$A$11:$A$145,0),MATCH('KSH järjestus'!N$3,KOMBI!$A$1:$GI$1,0)),BK$4:BK$138,N$2)</f>
        <v>133</v>
      </c>
      <c r="O32" s="25">
        <f>RANK(INDEX(KOMBI!$A$11:$GI$145,MATCH('KSH järjestus'!$C32,KOMBI!$A$11:$A$145,0),MATCH('KSH järjestus'!O$3,KOMBI!$A$1:$GI$1,0)),BL$4:BL$138,O$2)</f>
        <v>19</v>
      </c>
      <c r="P32" s="25">
        <f>RANK(INDEX(KOMBI!$A$11:$GI$145,MATCH('KSH järjestus'!$C32,KOMBI!$A$11:$A$145,0),MATCH('KSH järjestus'!P$3,KOMBI!$A$1:$GI$1,0)),BM$4:BM$138,P$2)</f>
        <v>67</v>
      </c>
      <c r="Q32" s="25">
        <f>RANK(INDEX(KOMBI!$A$11:$GI$145,MATCH('KSH järjestus'!$C32,KOMBI!$A$11:$A$145,0),MATCH('KSH järjestus'!Q$3,KOMBI!$A$1:$GI$1,0)),BN$4:BN$138,Q$2)</f>
        <v>18</v>
      </c>
      <c r="R32" s="25">
        <f>RANK(INDEX(KOMBI!$A$11:$GI$145,MATCH('KSH järjestus'!$C32,KOMBI!$A$11:$A$145,0),MATCH('KSH järjestus'!R$3,KOMBI!$A$1:$GI$1,0)),BO$4:BO$138,R$2)</f>
        <v>31</v>
      </c>
      <c r="T32" s="25">
        <f>RANK(INDEX(KOMBI!$A$11:$GI$145,MATCH('KSH järjestus'!$C32,KOMBI!$A$11:$A$145,0),MATCH('KSH järjestus'!T$3,KOMBI!$A$1:$GI$1,0)),BQ$4:BQ$138,T$2)</f>
        <v>128</v>
      </c>
      <c r="U32" s="25">
        <f>RANK(INDEX(KOMBI!$A$11:$GI$145,MATCH('KSH järjestus'!$C32,KOMBI!$A$11:$A$145,0),MATCH('KSH järjestus'!U$3,KOMBI!$A$1:$GI$1,0)),BR$4:BR$138,U$2)</f>
        <v>124</v>
      </c>
      <c r="AA32" s="25">
        <f>RANK(INDEX(KOMBI!$A$11:$GI$145,MATCH('KSH järjestus'!$C32,KOMBI!$A$11:$A$145,0),MATCH('KSH järjestus'!AA$3,KOMBI!$A$1:$GI$1,0)),BX$4:BX$138,AA$2)</f>
        <v>130</v>
      </c>
      <c r="AB32" s="25">
        <f>RANK(INDEX(KOMBI!$A$11:$GI$145,MATCH('KSH järjestus'!$C32,KOMBI!$A$11:$A$145,0),MATCH('KSH järjestus'!AB$3,KOMBI!$A$1:$GI$1,0)),BY$4:BY$138,AB$2)</f>
        <v>124</v>
      </c>
      <c r="AC32" s="25">
        <f>RANK(INDEX(KOMBI!$A$11:$GI$145,MATCH('KSH järjestus'!$C32,KOMBI!$A$11:$A$145,0),MATCH('KSH järjestus'!AC$3,KOMBI!$A$1:$GI$1,0)),BZ$4:BZ$138,AC$2)</f>
        <v>127</v>
      </c>
      <c r="AD32" s="25">
        <f>RANK(INDEX(KOMBI!$A$11:$GI$145,MATCH('KSH järjestus'!$C32,KOMBI!$A$11:$A$145,0),MATCH('KSH järjestus'!AD$3,KOMBI!$A$1:$GI$1,0)),CA$4:CA$138,AD$2)</f>
        <v>127</v>
      </c>
      <c r="AE32" s="25">
        <f>RANK(INDEX(KOMBI!$A$11:$GI$145,MATCH('KSH järjestus'!$C32,KOMBI!$A$11:$A$145,0),MATCH('KSH järjestus'!AE$3,KOMBI!$A$1:$GI$1,0)),CB$4:CB$138,AE$2)</f>
        <v>128</v>
      </c>
      <c r="AG32" s="25">
        <f>RANK(INDEX(KOMBI!$A$11:$GI$145,MATCH('KSH järjestus'!$C32,KOMBI!$A$11:$A$145,0),MATCH('KSH järjestus'!AG$3,KOMBI!$A$1:$GI$1,0)),CD$4:CD$138,AG$2)</f>
        <v>91</v>
      </c>
      <c r="AH32" s="25">
        <f>RANK(INDEX(KOMBI!$A$11:$GI$145,MATCH('KSH järjestus'!$C32,KOMBI!$A$11:$A$145,0),MATCH('KSH järjestus'!AH$3,KOMBI!$A$1:$GI$1,0)),CE$4:CE$138,AH$2)</f>
        <v>31</v>
      </c>
      <c r="AI32" s="25">
        <f>RANK(INDEX(KOMBI!$A$11:$GI$145,MATCH('KSH järjestus'!$C32,KOMBI!$A$11:$A$145,0),MATCH('KSH järjestus'!AI$3,KOMBI!$A$1:$GI$1,0)),CF$4:CF$138,AI$2)</f>
        <v>127</v>
      </c>
      <c r="AJ32" s="25">
        <f>RANK(INDEX(KOMBI!$A$11:$GI$145,MATCH('KSH järjestus'!$C32,KOMBI!$A$11:$A$145,0),MATCH('KSH järjestus'!AJ$3,KOMBI!$A$1:$GI$1,0)),CG$4:CG$138,AJ$2)</f>
        <v>112</v>
      </c>
      <c r="AK32" s="25">
        <f>RANK(INDEX(KOMBI!$A$11:$GI$145,MATCH('KSH järjestus'!$C32,KOMBI!$A$11:$A$145,0),MATCH('KSH järjestus'!AK$3,KOMBI!$A$1:$GI$1,0)),CH$4:CH$138,AK$2)</f>
        <v>127</v>
      </c>
      <c r="AN32" s="25">
        <f>RANK(INDEX(KOMBI!$A$11:$GI$145,MATCH('KSH järjestus'!$C32,KOMBI!$A$11:$A$145,0),MATCH('KSH järjestus'!AN$3,KOMBI!$A$1:$GI$1,0)),CK$4:CK$138,AN$2)</f>
        <v>46</v>
      </c>
      <c r="AO32" s="25">
        <f>RANK(INDEX(KOMBI!$A$11:$GI$145,MATCH('KSH järjestus'!$C32,KOMBI!$A$11:$A$145,0),MATCH('KSH järjestus'!AO$3,KOMBI!$A$1:$GI$1,0)),CL$4:CL$138,AO$2)</f>
        <v>46</v>
      </c>
      <c r="AS32" s="297">
        <f t="shared" si="0"/>
        <v>1902</v>
      </c>
      <c r="AT32" s="25">
        <f t="shared" si="1"/>
        <v>1025</v>
      </c>
      <c r="AU32" s="25">
        <f t="shared" si="2"/>
        <v>133</v>
      </c>
      <c r="AV32" s="295" t="str">
        <f>VLOOKUP(VLOOKUP($AU32,KOMBI!$A:$H,3,FALSE),data!$I$27:$J$29,2,FALSE)</f>
        <v>Sekkuv/EÜ</v>
      </c>
      <c r="AW32" s="295" t="str">
        <f>VLOOKUP(VLOOKUP($AU32,KOMBI!$A:$H,2,FALSE),data!$I$21:$J$23,2,FALSE)</f>
        <v>Sekkuv</v>
      </c>
      <c r="AX32" s="295" t="str">
        <f>VLOOKUP(VLOOKUP($AU32,KOMBI!$A:$H,5,FALSE),data!$I$39:$J$41,2,FALSE)</f>
        <v>Mittesekkuv</v>
      </c>
      <c r="AY32" s="295" t="str">
        <f>VLOOKUP(VLOOKUP($AU32,KOMBI!$A:$H,4,FALSE),data!$I$32:$J$36,2,FALSE)</f>
        <v>PK &amp; UG</v>
      </c>
      <c r="BA32" s="25">
        <f t="array" ref="BA32">INDEX(KOMBI!$A$1:$GI$145,ROW('KSH järjestus'!BA39),MATCH('KSH järjestus'!BA$3,KOMBI!$A$1:$GI$1,0))</f>
        <v>3.4625336365309458</v>
      </c>
      <c r="BB32" s="25">
        <f t="array" ref="BB32">INDEX(KOMBI!$A$1:$GI$145,ROW('KSH järjestus'!BB39),MATCH('KSH järjestus'!BB$3,KOMBI!$A$1:$GI$1,0))</f>
        <v>712.02685977153635</v>
      </c>
      <c r="BC32" s="25">
        <f t="array" aca="1" ref="BC32" ca="1">INDEX(KOMBI!$A$1:$GI$145,ROW('KSH järjestus'!BC39),MATCH('KSH järjestus'!BC$3,KOMBI!$A$1:$GI$1,0))</f>
        <v>140.60948098168114</v>
      </c>
      <c r="BD32" s="25">
        <f t="array" ref="BD32">INDEX(KOMBI!$A$1:$GI$145,ROW('KSH järjestus'!BD39),MATCH('KSH järjestus'!BD$3,KOMBI!$A$1:$GI$1,0))</f>
        <v>-51.993219880632097</v>
      </c>
      <c r="BE32" s="25">
        <f t="array" ref="BE32">INDEX(KOMBI!$A$1:$GI$145,ROW('KSH järjestus'!BE39),MATCH('KSH järjestus'!BE$3,KOMBI!$A$1:$GI$1,0))</f>
        <v>192.60270086231324</v>
      </c>
      <c r="BF32" s="25">
        <f t="array" aca="1" ref="BF32" ca="1">INDEX(KOMBI!$A$1:$GI$145,ROW('KSH järjestus'!BF39),MATCH('KSH järjestus'!BF$3,KOMBI!$A$1:$GI$1,0))</f>
        <v>0</v>
      </c>
      <c r="BG32" s="25">
        <f t="array" ref="BG32">INDEX(KOMBI!$A$1:$GI$145,ROW('KSH järjestus'!BG39),MATCH('KSH järjestus'!BG$3,KOMBI!$A$1:$GI$1,0))</f>
        <v>0.3352240778919377</v>
      </c>
      <c r="BH32" s="25">
        <f t="array" ref="BH32">INDEX(KOMBI!$A$1:$GI$145,ROW('KSH järjestus'!BH39),MATCH('KSH järjestus'!BH$3,KOMBI!$A$1:$GI$1,0))</f>
        <v>90</v>
      </c>
      <c r="BI32" s="25">
        <f t="array" ref="BI32">INDEX(KOMBI!$A$1:$GI$145,ROW('KSH järjestus'!BI39),MATCH('KSH järjestus'!BI$3,KOMBI!$A$1:$GI$1,0))</f>
        <v>0.91028830406496797</v>
      </c>
      <c r="BJ32" s="25">
        <f t="array" ref="BJ32">INDEX(KOMBI!$A$1:$GI$145,ROW('KSH järjestus'!BJ39),MATCH('KSH järjestus'!BJ$3,KOMBI!$A$1:$GI$1,0))</f>
        <v>0</v>
      </c>
      <c r="BK32" s="25">
        <f t="array" ref="BK32">INDEX(KOMBI!$A$1:$GI$145,ROW('KSH järjestus'!BK39),MATCH('KSH järjestus'!BK$3,KOMBI!$A$1:$GI$1,0))</f>
        <v>0.23719430378475931</v>
      </c>
      <c r="BL32" s="25">
        <f t="array" ref="BL32">INDEX(KOMBI!$A$1:$GI$145,ROW('KSH järjestus'!BL39),MATCH('KSH järjestus'!BL$3,KOMBI!$A$1:$GI$1,0))</f>
        <v>2.6740888180395959E-2</v>
      </c>
      <c r="BM32" s="25">
        <f t="array" ref="BM32">INDEX(KOMBI!$A$1:$GI$145,ROW('KSH järjestus'!BM39),MATCH('KSH järjestus'!BM$3,KOMBI!$A$1:$GI$1,0))</f>
        <v>1.6360166056641296E-3</v>
      </c>
      <c r="BN32" s="25">
        <f t="array" ref="BN32">INDEX(KOMBI!$A$1:$GI$145,ROW('KSH järjestus'!BN39),MATCH('KSH järjestus'!BN$3,KOMBI!$A$1:$GI$1,0))</f>
        <v>1.1263709467969535E-2</v>
      </c>
      <c r="BO32" s="25">
        <f t="array" ref="BO32">INDEX(KOMBI!$A$1:$GI$145,ROW('KSH järjestus'!BO39),MATCH('KSH järjestus'!BO$3,KOMBI!$A$1:$GI$1,0))</f>
        <v>1.5806563574356673E-2</v>
      </c>
      <c r="BP32" s="25">
        <f t="array" ref="BP32">INDEX(KOMBI!$A$1:$GI$145,ROW('KSH järjestus'!BP39),MATCH('KSH järjestus'!BP$3,KOMBI!$A$1:$GI$1,0))</f>
        <v>7.7549896156049165</v>
      </c>
      <c r="BQ32" s="25">
        <f t="array" ref="BQ32">INDEX(KOMBI!$A$1:$GI$145,ROW('KSH järjestus'!BQ39),MATCH('KSH järjestus'!BQ$3,KOMBI!$A$1:$GI$1,0))</f>
        <v>11.977</v>
      </c>
      <c r="BR32" s="25">
        <f t="array" ref="BR32">INDEX(KOMBI!$A$1:$GI$145,ROW('KSH järjestus'!BR39),MATCH('KSH järjestus'!BR$3,KOMBI!$A$1:$GI$1,0))</f>
        <v>1.2380422358022908E-3</v>
      </c>
      <c r="BS32" s="25">
        <f t="array" ref="BS32">INDEX(KOMBI!$A$1:$GI$145,ROW('KSH järjestus'!BS39),MATCH('KSH järjestus'!BS$3,KOMBI!$A$1:$GI$1,0))</f>
        <v>7.8558584779656451E-2</v>
      </c>
      <c r="BT32" s="25">
        <f t="array" ref="BT32">INDEX(KOMBI!$A$1:$GI$145,ROW('KSH järjestus'!BT39),MATCH('KSH järjestus'!BT$3,KOMBI!$A$1:$GI$1,0))</f>
        <v>7.6492448142570585E-2</v>
      </c>
      <c r="BU32" s="25">
        <f t="array" ref="BU32">INDEX(KOMBI!$A$1:$GI$145,ROW('KSH järjestus'!BU39),MATCH('KSH järjestus'!BU$3,KOMBI!$A$1:$GI$1,0))</f>
        <v>12.486233270393459</v>
      </c>
      <c r="BV32" s="25">
        <f t="array" ref="BV32">INDEX(KOMBI!$A$1:$GI$145,ROW('KSH järjestus'!BV39),MATCH('KSH järjestus'!BV$3,KOMBI!$A$1:$GI$1,0))</f>
        <v>6.0640000000000001</v>
      </c>
      <c r="BW32" s="25">
        <f t="array" ref="BW32">INDEX(KOMBI!$A$1:$GI$145,ROW('KSH järjestus'!BW39),MATCH('KSH järjestus'!BW$3,KOMBI!$A$1:$GI$1,0))</f>
        <v>3.5341368215830604</v>
      </c>
      <c r="BX32" s="25">
        <f t="array" ref="BX32">INDEX(KOMBI!$A$1:$GI$145,ROW('KSH järjestus'!BX39),MATCH('KSH järjestus'!BX$3,KOMBI!$A$1:$GI$1,0))</f>
        <v>23.757000000000001</v>
      </c>
      <c r="BY32" s="25">
        <f t="array" ref="BY32">INDEX(KOMBI!$A$1:$GI$145,ROW('KSH järjestus'!BY39),MATCH('KSH järjestus'!BY$3,KOMBI!$A$1:$GI$1,0))</f>
        <v>38.49371614017182</v>
      </c>
      <c r="BZ32" s="25">
        <f t="array" ref="BZ32">INDEX(KOMBI!$A$1:$GI$145,ROW('KSH järjestus'!BZ39),MATCH('KSH järjestus'!BZ$3,KOMBI!$A$1:$GI$1,0))</f>
        <v>98.4</v>
      </c>
      <c r="CA32" s="25">
        <f t="array" ref="CA32">INDEX(KOMBI!$A$1:$GI$145,ROW('KSH järjestus'!CA39),MATCH('KSH järjestus'!CA$3,KOMBI!$A$1:$GI$1,0))</f>
        <v>17.169</v>
      </c>
      <c r="CB32" s="25">
        <f t="array" ref="CB32">INDEX(KOMBI!$A$1:$GI$145,ROW('KSH järjestus'!CB39),MATCH('KSH järjestus'!CB$3,KOMBI!$A$1:$GI$1,0))</f>
        <v>139.12166666666667</v>
      </c>
      <c r="CC32" s="25">
        <f t="array" ref="CC32">INDEX(KOMBI!$A$1:$GI$145,ROW('KSH järjestus'!CC39),MATCH('KSH järjestus'!CC$3,KOMBI!$A$1:$GI$1,0))</f>
        <v>7.6076790000000001</v>
      </c>
      <c r="CD32" s="25">
        <f t="array" ref="CD32">INDEX(KOMBI!$A$1:$GI$145,ROW('KSH järjestus'!CD39),MATCH('KSH järjestus'!CD$3,KOMBI!$A$1:$GI$1,0))</f>
        <v>318.40000000000003</v>
      </c>
      <c r="CE32" s="25">
        <f t="array" ref="CE32">INDEX(KOMBI!$A$1:$GI$145,ROW('KSH järjestus'!CE39),MATCH('KSH järjestus'!CE$3,KOMBI!$A$1:$GI$1,0))</f>
        <v>2.851</v>
      </c>
      <c r="CF32" s="25">
        <f t="array" ref="CF32">INDEX(KOMBI!$A$1:$GI$145,ROW('KSH järjestus'!CF39),MATCH('KSH järjestus'!CF$3,KOMBI!$A$1:$GI$1,0))</f>
        <v>64.89667854210326</v>
      </c>
      <c r="CG32" s="25">
        <f t="array" ref="CG32">INDEX(KOMBI!$A$1:$GI$145,ROW('KSH järjestus'!CG39),MATCH('KSH järjestus'!CG$3,KOMBI!$A$1:$GI$1,0))</f>
        <v>2.1267750475898739E-2</v>
      </c>
      <c r="CH32" s="25">
        <f t="array" ref="CH32">INDEX(KOMBI!$A$1:$GI$145,ROW('KSH järjestus'!CH39),MATCH('KSH järjestus'!CH$3,KOMBI!$A$1:$GI$1,0))</f>
        <v>0.35626210493151461</v>
      </c>
      <c r="CI32" s="25">
        <f t="array" ref="CI32">INDEX(KOMBI!$A$1:$GI$145,ROW('KSH järjestus'!CI39),MATCH('KSH järjestus'!CI$3,KOMBI!$A$1:$GI$1,0))</f>
        <v>6.28</v>
      </c>
      <c r="CJ32" s="25">
        <f t="array" ref="CJ32">INDEX(KOMBI!$A$1:$GI$145,ROW('KSH järjestus'!CJ39),MATCH('KSH järjestus'!CJ$3,KOMBI!$A$1:$GI$1,0))</f>
        <v>9.4406368215830607</v>
      </c>
      <c r="CK32" s="25">
        <f t="array" ref="CK32">INDEX(KOMBI!$A$1:$GI$145,ROW('KSH järjestus'!CK39),MATCH('KSH järjestus'!CK$3,KOMBI!$A$1:$GI$1,0))</f>
        <v>0.21099999999999999</v>
      </c>
      <c r="CL32" s="25">
        <f t="array" ref="CL32">INDEX(KOMBI!$A$1:$GI$145,ROW('KSH järjestus'!CL39),MATCH('KSH järjestus'!CL$3,KOMBI!$A$1:$GI$1,0))</f>
        <v>0.76300000000000001</v>
      </c>
    </row>
    <row r="33" spans="3:90" x14ac:dyDescent="0.2">
      <c r="C33" s="184">
        <v>30</v>
      </c>
      <c r="G33" s="25">
        <f>RANK(INDEX(KOMBI!$A$11:$GI$145,MATCH('KSH järjestus'!$C33,KOMBI!$A$11:$A$145,0),MATCH('KSH järjestus'!G$3,KOMBI!$A$1:$GI$1,0)),BD$4:BD$138,G$2)</f>
        <v>76</v>
      </c>
      <c r="H33" s="25">
        <f>RANK(INDEX(KOMBI!$A$11:$GI$145,MATCH('KSH järjestus'!$C33,KOMBI!$A$11:$A$145,0),MATCH('KSH järjestus'!H$3,KOMBI!$A$1:$GI$1,0)),BE$4:BE$138,H$2)</f>
        <v>27</v>
      </c>
      <c r="J33" s="25">
        <f>RANK(INDEX(KOMBI!$A$11:$GI$145,MATCH('KSH järjestus'!$C33,KOMBI!$A$11:$A$145,0),MATCH('KSH järjestus'!J$3,KOMBI!$A$1:$GI$1,0)),BG$4:BG$138,J$2)</f>
        <v>20</v>
      </c>
      <c r="M33" s="25">
        <f>RANK(INDEX(KOMBI!$A$11:$GI$145,MATCH('KSH järjestus'!$C33,KOMBI!$A$11:$A$145,0),MATCH('KSH järjestus'!M$3,KOMBI!$A$1:$GI$1,0)),BJ$4:BJ$138,M$2)</f>
        <v>1</v>
      </c>
      <c r="N33" s="25">
        <f>RANK(INDEX(KOMBI!$A$11:$GI$145,MATCH('KSH järjestus'!$C33,KOMBI!$A$11:$A$145,0),MATCH('KSH järjestus'!N$3,KOMBI!$A$1:$GI$1,0)),BK$4:BK$138,N$2)</f>
        <v>133</v>
      </c>
      <c r="O33" s="25">
        <f>RANK(INDEX(KOMBI!$A$11:$GI$145,MATCH('KSH järjestus'!$C33,KOMBI!$A$11:$A$145,0),MATCH('KSH järjestus'!O$3,KOMBI!$A$1:$GI$1,0)),BL$4:BL$138,O$2)</f>
        <v>11</v>
      </c>
      <c r="P33" s="25">
        <f>RANK(INDEX(KOMBI!$A$11:$GI$145,MATCH('KSH järjestus'!$C33,KOMBI!$A$11:$A$145,0),MATCH('KSH järjestus'!P$3,KOMBI!$A$1:$GI$1,0)),BM$4:BM$138,P$2)</f>
        <v>66</v>
      </c>
      <c r="Q33" s="25">
        <f>RANK(INDEX(KOMBI!$A$11:$GI$145,MATCH('KSH järjestus'!$C33,KOMBI!$A$11:$A$145,0),MATCH('KSH järjestus'!Q$3,KOMBI!$A$1:$GI$1,0)),BN$4:BN$138,Q$2)</f>
        <v>14</v>
      </c>
      <c r="R33" s="25">
        <f>RANK(INDEX(KOMBI!$A$11:$GI$145,MATCH('KSH järjestus'!$C33,KOMBI!$A$11:$A$145,0),MATCH('KSH järjestus'!R$3,KOMBI!$A$1:$GI$1,0)),BO$4:BO$138,R$2)</f>
        <v>10</v>
      </c>
      <c r="T33" s="25">
        <f>RANK(INDEX(KOMBI!$A$11:$GI$145,MATCH('KSH järjestus'!$C33,KOMBI!$A$11:$A$145,0),MATCH('KSH järjestus'!T$3,KOMBI!$A$1:$GI$1,0)),BQ$4:BQ$138,T$2)</f>
        <v>131</v>
      </c>
      <c r="U33" s="25">
        <f>RANK(INDEX(KOMBI!$A$11:$GI$145,MATCH('KSH järjestus'!$C33,KOMBI!$A$11:$A$145,0),MATCH('KSH järjestus'!U$3,KOMBI!$A$1:$GI$1,0)),BR$4:BR$138,U$2)</f>
        <v>129</v>
      </c>
      <c r="AA33" s="25">
        <f>RANK(INDEX(KOMBI!$A$11:$GI$145,MATCH('KSH järjestus'!$C33,KOMBI!$A$11:$A$145,0),MATCH('KSH järjestus'!AA$3,KOMBI!$A$1:$GI$1,0)),BX$4:BX$138,AA$2)</f>
        <v>130</v>
      </c>
      <c r="AB33" s="25">
        <f>RANK(INDEX(KOMBI!$A$11:$GI$145,MATCH('KSH järjestus'!$C33,KOMBI!$A$11:$A$145,0),MATCH('KSH järjestus'!AB$3,KOMBI!$A$1:$GI$1,0)),BY$4:BY$138,AB$2)</f>
        <v>124</v>
      </c>
      <c r="AC33" s="25">
        <f>RANK(INDEX(KOMBI!$A$11:$GI$145,MATCH('KSH järjestus'!$C33,KOMBI!$A$11:$A$145,0),MATCH('KSH järjestus'!AC$3,KOMBI!$A$1:$GI$1,0)),BZ$4:BZ$138,AC$2)</f>
        <v>131</v>
      </c>
      <c r="AD33" s="25">
        <f>RANK(INDEX(KOMBI!$A$11:$GI$145,MATCH('KSH järjestus'!$C33,KOMBI!$A$11:$A$145,0),MATCH('KSH järjestus'!AD$3,KOMBI!$A$1:$GI$1,0)),CA$4:CA$138,AD$2)</f>
        <v>129</v>
      </c>
      <c r="AE33" s="25">
        <f>RANK(INDEX(KOMBI!$A$11:$GI$145,MATCH('KSH järjestus'!$C33,KOMBI!$A$11:$A$145,0),MATCH('KSH järjestus'!AE$3,KOMBI!$A$1:$GI$1,0)),CB$4:CB$138,AE$2)</f>
        <v>130</v>
      </c>
      <c r="AG33" s="25">
        <f>RANK(INDEX(KOMBI!$A$11:$GI$145,MATCH('KSH järjestus'!$C33,KOMBI!$A$11:$A$145,0),MATCH('KSH järjestus'!AG$3,KOMBI!$A$1:$GI$1,0)),CD$4:CD$138,AG$2)</f>
        <v>91</v>
      </c>
      <c r="AH33" s="25">
        <f>RANK(INDEX(KOMBI!$A$11:$GI$145,MATCH('KSH järjestus'!$C33,KOMBI!$A$11:$A$145,0),MATCH('KSH järjestus'!AH$3,KOMBI!$A$1:$GI$1,0)),CE$4:CE$138,AH$2)</f>
        <v>31</v>
      </c>
      <c r="AI33" s="25">
        <f>RANK(INDEX(KOMBI!$A$11:$GI$145,MATCH('KSH järjestus'!$C33,KOMBI!$A$11:$A$145,0),MATCH('KSH järjestus'!AI$3,KOMBI!$A$1:$GI$1,0)),CF$4:CF$138,AI$2)</f>
        <v>127</v>
      </c>
      <c r="AJ33" s="25">
        <f>RANK(INDEX(KOMBI!$A$11:$GI$145,MATCH('KSH järjestus'!$C33,KOMBI!$A$11:$A$145,0),MATCH('KSH järjestus'!AJ$3,KOMBI!$A$1:$GI$1,0)),CG$4:CG$138,AJ$2)</f>
        <v>112</v>
      </c>
      <c r="AK33" s="25">
        <f>RANK(INDEX(KOMBI!$A$11:$GI$145,MATCH('KSH järjestus'!$C33,KOMBI!$A$11:$A$145,0),MATCH('KSH järjestus'!AK$3,KOMBI!$A$1:$GI$1,0)),CH$4:CH$138,AK$2)</f>
        <v>127</v>
      </c>
      <c r="AN33" s="25">
        <f>RANK(INDEX(KOMBI!$A$11:$GI$145,MATCH('KSH järjestus'!$C33,KOMBI!$A$11:$A$145,0),MATCH('KSH järjestus'!AN$3,KOMBI!$A$1:$GI$1,0)),CK$4:CK$138,AN$2)</f>
        <v>46</v>
      </c>
      <c r="AO33" s="25">
        <f>RANK(INDEX(KOMBI!$A$11:$GI$145,MATCH('KSH järjestus'!$C33,KOMBI!$A$11:$A$145,0),MATCH('KSH järjestus'!AO$3,KOMBI!$A$1:$GI$1,0)),CL$4:CL$138,AO$2)</f>
        <v>46</v>
      </c>
      <c r="AS33" s="297">
        <f t="shared" si="0"/>
        <v>1842</v>
      </c>
      <c r="AT33" s="25">
        <f t="shared" si="1"/>
        <v>1059</v>
      </c>
      <c r="AU33" s="25">
        <f t="shared" si="2"/>
        <v>82</v>
      </c>
      <c r="AV33" s="295" t="str">
        <f>VLOOKUP(VLOOKUP($AU33,KOMBI!$A:$H,3,FALSE),data!$I$27:$J$29,2,FALSE)</f>
        <v>Sekkuv/EÜ</v>
      </c>
      <c r="AW33" s="295" t="str">
        <f>VLOOKUP(VLOOKUP($AU33,KOMBI!$A:$H,2,FALSE),data!$I$21:$J$23,2,FALSE)</f>
        <v>Vähe-sekkuv</v>
      </c>
      <c r="AX33" s="295" t="str">
        <f>VLOOKUP(VLOOKUP($AU33,KOMBI!$A:$H,5,FALSE),data!$I$39:$J$41,2,FALSE)</f>
        <v>Mittesekkuv</v>
      </c>
      <c r="AY33" s="295" t="str">
        <f>VLOOKUP(VLOOKUP($AU33,KOMBI!$A:$H,4,FALSE),data!$I$32:$J$36,2,FALSE)</f>
        <v>TE</v>
      </c>
      <c r="BA33" s="25">
        <f t="array" ref="BA33">INDEX(KOMBI!$A$1:$GI$145,ROW('KSH järjestus'!BA40),MATCH('KSH järjestus'!BA$3,KOMBI!$A$1:$GI$1,0))</f>
        <v>4.3676333587724727</v>
      </c>
      <c r="BB33" s="25">
        <f t="array" ref="BB33">INDEX(KOMBI!$A$1:$GI$145,ROW('KSH järjestus'!BB40),MATCH('KSH järjestus'!BB$3,KOMBI!$A$1:$GI$1,0))</f>
        <v>828.63765078901565</v>
      </c>
      <c r="BC33" s="25">
        <f t="array" aca="1" ref="BC33" ca="1">INDEX(KOMBI!$A$1:$GI$145,ROW('KSH järjestus'!BC40),MATCH('KSH järjestus'!BC$3,KOMBI!$A$1:$GI$1,0))</f>
        <v>157.16389534076609</v>
      </c>
      <c r="BD33" s="25">
        <f t="array" ref="BD33">INDEX(KOMBI!$A$1:$GI$145,ROW('KSH järjestus'!BD40),MATCH('KSH järjestus'!BD$3,KOMBI!$A$1:$GI$1,0))</f>
        <v>-71.100813699091034</v>
      </c>
      <c r="BE33" s="25">
        <f t="array" ref="BE33">INDEX(KOMBI!$A$1:$GI$145,ROW('KSH järjestus'!BE40),MATCH('KSH järjestus'!BE$3,KOMBI!$A$1:$GI$1,0))</f>
        <v>228.26470903985711</v>
      </c>
      <c r="BF33" s="25">
        <f t="array" aca="1" ref="BF33" ca="1">INDEX(KOMBI!$A$1:$GI$145,ROW('KSH järjestus'!BF40),MATCH('KSH järjestus'!BF$3,KOMBI!$A$1:$GI$1,0))</f>
        <v>0</v>
      </c>
      <c r="BG33" s="25">
        <f t="array" ref="BG33">INDEX(KOMBI!$A$1:$GI$145,ROW('KSH järjestus'!BG40),MATCH('KSH järjestus'!BG$3,KOMBI!$A$1:$GI$1,0))</f>
        <v>0.3352240778919377</v>
      </c>
      <c r="BH33" s="25">
        <f t="array" ref="BH33">INDEX(KOMBI!$A$1:$GI$145,ROW('KSH järjestus'!BH40),MATCH('KSH järjestus'!BH$3,KOMBI!$A$1:$GI$1,0))</f>
        <v>90</v>
      </c>
      <c r="BI33" s="25">
        <f t="array" ref="BI33">INDEX(KOMBI!$A$1:$GI$145,ROW('KSH järjestus'!BI40),MATCH('KSH järjestus'!BI$3,KOMBI!$A$1:$GI$1,0))</f>
        <v>0.91028830406496786</v>
      </c>
      <c r="BJ33" s="25">
        <f t="array" ref="BJ33">INDEX(KOMBI!$A$1:$GI$145,ROW('KSH järjestus'!BJ40),MATCH('KSH järjestus'!BJ$3,KOMBI!$A$1:$GI$1,0))</f>
        <v>0</v>
      </c>
      <c r="BK33" s="25">
        <f t="array" ref="BK33">INDEX(KOMBI!$A$1:$GI$145,ROW('KSH järjestus'!BK40),MATCH('KSH järjestus'!BK$3,KOMBI!$A$1:$GI$1,0))</f>
        <v>0.23719430378475931</v>
      </c>
      <c r="BL33" s="25">
        <f t="array" ref="BL33">INDEX(KOMBI!$A$1:$GI$145,ROW('KSH järjestus'!BL40),MATCH('KSH järjestus'!BL$3,KOMBI!$A$1:$GI$1,0))</f>
        <v>3.1391943558642478E-2</v>
      </c>
      <c r="BM33" s="25">
        <f t="array" ref="BM33">INDEX(KOMBI!$A$1:$GI$145,ROW('KSH järjestus'!BM40),MATCH('KSH järjestus'!BM$3,KOMBI!$A$1:$GI$1,0))</f>
        <v>1.6487823327055156E-3</v>
      </c>
      <c r="BN33" s="25">
        <f t="array" ref="BN33">INDEX(KOMBI!$A$1:$GI$145,ROW('KSH järjestus'!BN40),MATCH('KSH järjestus'!BN$3,KOMBI!$A$1:$GI$1,0))</f>
        <v>1.2594499304016266E-2</v>
      </c>
      <c r="BO33" s="25">
        <f t="array" ref="BO33">INDEX(KOMBI!$A$1:$GI$145,ROW('KSH järjestus'!BO40),MATCH('KSH järjestus'!BO$3,KOMBI!$A$1:$GI$1,0))</f>
        <v>1.9200427022521529E-2</v>
      </c>
      <c r="BP33" s="25">
        <f t="array" ref="BP33">INDEX(KOMBI!$A$1:$GI$145,ROW('KSH järjestus'!BP40),MATCH('KSH järjestus'!BP$3,KOMBI!$A$1:$GI$1,0))</f>
        <v>7.7549896156049165</v>
      </c>
      <c r="BQ33" s="25">
        <f t="array" ref="BQ33">INDEX(KOMBI!$A$1:$GI$145,ROW('KSH järjestus'!BQ40),MATCH('KSH järjestus'!BQ$3,KOMBI!$A$1:$GI$1,0))</f>
        <v>12.201000000000001</v>
      </c>
      <c r="BR33" s="25">
        <f t="array" ref="BR33">INDEX(KOMBI!$A$1:$GI$145,ROW('KSH järjestus'!BR40),MATCH('KSH järjestus'!BR$3,KOMBI!$A$1:$GI$1,0))</f>
        <v>5.2175293662481883E-3</v>
      </c>
      <c r="BS33" s="25">
        <f t="array" ref="BS33">INDEX(KOMBI!$A$1:$GI$145,ROW('KSH järjestus'!BS40),MATCH('KSH järjestus'!BS$3,KOMBI!$A$1:$GI$1,0))</f>
        <v>7.9817744695944909E-2</v>
      </c>
      <c r="BT33" s="25">
        <f t="array" ref="BT33">INDEX(KOMBI!$A$1:$GI$145,ROW('KSH järjestus'!BT40),MATCH('KSH järjestus'!BT$3,KOMBI!$A$1:$GI$1,0))</f>
        <v>7.7953167115796834E-2</v>
      </c>
      <c r="BU33" s="25">
        <f t="array" ref="BU33">INDEX(KOMBI!$A$1:$GI$145,ROW('KSH järjestus'!BU40),MATCH('KSH järjestus'!BU$3,KOMBI!$A$1:$GI$1,0))</f>
        <v>12.486233270393459</v>
      </c>
      <c r="BV33" s="25">
        <f t="array" ref="BV33">INDEX(KOMBI!$A$1:$GI$145,ROW('KSH järjestus'!BV40),MATCH('KSH järjestus'!BV$3,KOMBI!$A$1:$GI$1,0))</f>
        <v>6.0640000000000001</v>
      </c>
      <c r="BW33" s="25">
        <f t="array" ref="BW33">INDEX(KOMBI!$A$1:$GI$145,ROW('KSH järjestus'!BW40),MATCH('KSH järjestus'!BW$3,KOMBI!$A$1:$GI$1,0))</f>
        <v>3.7428368215830607</v>
      </c>
      <c r="BX33" s="25">
        <f t="array" ref="BX33">INDEX(KOMBI!$A$1:$GI$145,ROW('KSH järjestus'!BX40),MATCH('KSH järjestus'!BX$3,KOMBI!$A$1:$GI$1,0))</f>
        <v>23.757000000000001</v>
      </c>
      <c r="BY33" s="25">
        <f t="array" ref="BY33">INDEX(KOMBI!$A$1:$GI$145,ROW('KSH järjestus'!BY40),MATCH('KSH järjestus'!BY$3,KOMBI!$A$1:$GI$1,0))</f>
        <v>38.49371614017182</v>
      </c>
      <c r="BZ33" s="25">
        <f t="array" ref="BZ33">INDEX(KOMBI!$A$1:$GI$145,ROW('KSH järjestus'!BZ40),MATCH('KSH järjestus'!BZ$3,KOMBI!$A$1:$GI$1,0))</f>
        <v>100</v>
      </c>
      <c r="CA33" s="25">
        <f t="array" ref="CA33">INDEX(KOMBI!$A$1:$GI$145,ROW('KSH järjestus'!CA40),MATCH('KSH järjestus'!CA$3,KOMBI!$A$1:$GI$1,0))</f>
        <v>17.420999999999999</v>
      </c>
      <c r="CB33" s="25">
        <f t="array" ref="CB33">INDEX(KOMBI!$A$1:$GI$145,ROW('KSH järjestus'!CB40),MATCH('KSH järjestus'!CB$3,KOMBI!$A$1:$GI$1,0))</f>
        <v>140.02972222222223</v>
      </c>
      <c r="CC33" s="25">
        <f t="array" ref="CC33">INDEX(KOMBI!$A$1:$GI$145,ROW('KSH järjestus'!CC40),MATCH('KSH järjestus'!CC$3,KOMBI!$A$1:$GI$1,0))</f>
        <v>7.7010240000000003</v>
      </c>
      <c r="CD33" s="25">
        <f t="array" ref="CD33">INDEX(KOMBI!$A$1:$GI$145,ROW('KSH järjestus'!CD40),MATCH('KSH järjestus'!CD$3,KOMBI!$A$1:$GI$1,0))</f>
        <v>318.40000000000003</v>
      </c>
      <c r="CE33" s="25">
        <f t="array" ref="CE33">INDEX(KOMBI!$A$1:$GI$145,ROW('KSH järjestus'!CE40),MATCH('KSH järjestus'!CE$3,KOMBI!$A$1:$GI$1,0))</f>
        <v>2.851</v>
      </c>
      <c r="CF33" s="25">
        <f t="array" ref="CF33">INDEX(KOMBI!$A$1:$GI$145,ROW('KSH järjestus'!CF40),MATCH('KSH järjestus'!CF$3,KOMBI!$A$1:$GI$1,0))</f>
        <v>64.89667854210326</v>
      </c>
      <c r="CG33" s="25">
        <f t="array" ref="CG33">INDEX(KOMBI!$A$1:$GI$145,ROW('KSH järjestus'!CG40),MATCH('KSH järjestus'!CG$3,KOMBI!$A$1:$GI$1,0))</f>
        <v>2.1267750475898739E-2</v>
      </c>
      <c r="CH33" s="25">
        <f t="array" ref="CH33">INDEX(KOMBI!$A$1:$GI$145,ROW('KSH järjestus'!CH40),MATCH('KSH järjestus'!CH$3,KOMBI!$A$1:$GI$1,0))</f>
        <v>0.35626210493151461</v>
      </c>
      <c r="CI33" s="25">
        <f t="array" ref="CI33">INDEX(KOMBI!$A$1:$GI$145,ROW('KSH järjestus'!CI40),MATCH('KSH järjestus'!CI$3,KOMBI!$A$1:$GI$1,0))</f>
        <v>6.28</v>
      </c>
      <c r="CJ33" s="25">
        <f t="array" ref="CJ33">INDEX(KOMBI!$A$1:$GI$145,ROW('KSH järjestus'!CJ40),MATCH('KSH järjestus'!CJ$3,KOMBI!$A$1:$GI$1,0))</f>
        <v>9.4406368215830607</v>
      </c>
      <c r="CK33" s="25">
        <f t="array" ref="CK33">INDEX(KOMBI!$A$1:$GI$145,ROW('KSH järjestus'!CK40),MATCH('KSH järjestus'!CK$3,KOMBI!$A$1:$GI$1,0))</f>
        <v>0.21099999999999999</v>
      </c>
      <c r="CL33" s="25">
        <f t="array" ref="CL33">INDEX(KOMBI!$A$1:$GI$145,ROW('KSH järjestus'!CL40),MATCH('KSH järjestus'!CL$3,KOMBI!$A$1:$GI$1,0))</f>
        <v>0.76300000000000001</v>
      </c>
    </row>
    <row r="34" spans="3:90" x14ac:dyDescent="0.2">
      <c r="C34" s="184">
        <v>31</v>
      </c>
      <c r="G34" s="25">
        <f>RANK(INDEX(KOMBI!$A$11:$GI$145,MATCH('KSH järjestus'!$C34,KOMBI!$A$11:$A$145,0),MATCH('KSH järjestus'!G$3,KOMBI!$A$1:$GI$1,0)),BD$4:BD$138,G$2)</f>
        <v>41</v>
      </c>
      <c r="H34" s="25">
        <f>RANK(INDEX(KOMBI!$A$11:$GI$145,MATCH('KSH järjestus'!$C34,KOMBI!$A$11:$A$145,0),MATCH('KSH järjestus'!H$3,KOMBI!$A$1:$GI$1,0)),BE$4:BE$138,H$2)</f>
        <v>126</v>
      </c>
      <c r="J34" s="25">
        <f>RANK(INDEX(KOMBI!$A$11:$GI$145,MATCH('KSH järjestus'!$C34,KOMBI!$A$11:$A$145,0),MATCH('KSH järjestus'!J$3,KOMBI!$A$1:$GI$1,0)),BG$4:BG$138,J$2)</f>
        <v>109</v>
      </c>
      <c r="M34" s="25">
        <f>RANK(INDEX(KOMBI!$A$11:$GI$145,MATCH('KSH järjestus'!$C34,KOMBI!$A$11:$A$145,0),MATCH('KSH järjestus'!M$3,KOMBI!$A$1:$GI$1,0)),BJ$4:BJ$138,M$2)</f>
        <v>55</v>
      </c>
      <c r="N34" s="25">
        <f>RANK(INDEX(KOMBI!$A$11:$GI$145,MATCH('KSH järjestus'!$C34,KOMBI!$A$11:$A$145,0),MATCH('KSH järjestus'!N$3,KOMBI!$A$1:$GI$1,0)),BK$4:BK$138,N$2)</f>
        <v>97</v>
      </c>
      <c r="O34" s="25">
        <f>RANK(INDEX(KOMBI!$A$11:$GI$145,MATCH('KSH järjestus'!$C34,KOMBI!$A$11:$A$145,0),MATCH('KSH järjestus'!O$3,KOMBI!$A$1:$GI$1,0)),BL$4:BL$138,O$2)</f>
        <v>130</v>
      </c>
      <c r="P34" s="25">
        <f>RANK(INDEX(KOMBI!$A$11:$GI$145,MATCH('KSH järjestus'!$C34,KOMBI!$A$11:$A$145,0),MATCH('KSH järjestus'!P$3,KOMBI!$A$1:$GI$1,0)),BM$4:BM$138,P$2)</f>
        <v>108</v>
      </c>
      <c r="Q34" s="25">
        <f>RANK(INDEX(KOMBI!$A$11:$GI$145,MATCH('KSH järjestus'!$C34,KOMBI!$A$11:$A$145,0),MATCH('KSH järjestus'!Q$3,KOMBI!$A$1:$GI$1,0)),BN$4:BN$138,Q$2)</f>
        <v>134</v>
      </c>
      <c r="R34" s="25">
        <f>RANK(INDEX(KOMBI!$A$11:$GI$145,MATCH('KSH järjestus'!$C34,KOMBI!$A$11:$A$145,0),MATCH('KSH järjestus'!R$3,KOMBI!$A$1:$GI$1,0)),BO$4:BO$138,R$2)</f>
        <v>110</v>
      </c>
      <c r="T34" s="25">
        <f>RANK(INDEX(KOMBI!$A$11:$GI$145,MATCH('KSH järjestus'!$C34,KOMBI!$A$11:$A$145,0),MATCH('KSH järjestus'!T$3,KOMBI!$A$1:$GI$1,0)),BQ$4:BQ$138,T$2)</f>
        <v>68</v>
      </c>
      <c r="U34" s="25">
        <f>RANK(INDEX(KOMBI!$A$11:$GI$145,MATCH('KSH järjestus'!$C34,KOMBI!$A$11:$A$145,0),MATCH('KSH järjestus'!U$3,KOMBI!$A$1:$GI$1,0)),BR$4:BR$138,U$2)</f>
        <v>75</v>
      </c>
      <c r="AA34" s="25">
        <f>RANK(INDEX(KOMBI!$A$11:$GI$145,MATCH('KSH järjestus'!$C34,KOMBI!$A$11:$A$145,0),MATCH('KSH järjestus'!AA$3,KOMBI!$A$1:$GI$1,0)),BX$4:BX$138,AA$2)</f>
        <v>64</v>
      </c>
      <c r="AB34" s="25">
        <f>RANK(INDEX(KOMBI!$A$11:$GI$145,MATCH('KSH järjestus'!$C34,KOMBI!$A$11:$A$145,0),MATCH('KSH järjestus'!AB$3,KOMBI!$A$1:$GI$1,0)),BY$4:BY$138,AB$2)</f>
        <v>52</v>
      </c>
      <c r="AC34" s="25">
        <f>RANK(INDEX(KOMBI!$A$11:$GI$145,MATCH('KSH järjestus'!$C34,KOMBI!$A$11:$A$145,0),MATCH('KSH järjestus'!AC$3,KOMBI!$A$1:$GI$1,0)),BZ$4:BZ$138,AC$2)</f>
        <v>58</v>
      </c>
      <c r="AD34" s="25">
        <f>RANK(INDEX(KOMBI!$A$11:$GI$145,MATCH('KSH järjestus'!$C34,KOMBI!$A$11:$A$145,0),MATCH('KSH järjestus'!AD$3,KOMBI!$A$1:$GI$1,0)),CA$4:CA$138,AD$2)</f>
        <v>70</v>
      </c>
      <c r="AE34" s="25">
        <f>RANK(INDEX(KOMBI!$A$11:$GI$145,MATCH('KSH järjestus'!$C34,KOMBI!$A$11:$A$145,0),MATCH('KSH järjestus'!AE$3,KOMBI!$A$1:$GI$1,0)),CB$4:CB$138,AE$2)</f>
        <v>73</v>
      </c>
      <c r="AG34" s="25">
        <f>RANK(INDEX(KOMBI!$A$11:$GI$145,MATCH('KSH järjestus'!$C34,KOMBI!$A$11:$A$145,0),MATCH('KSH järjestus'!AG$3,KOMBI!$A$1:$GI$1,0)),CD$4:CD$138,AG$2)</f>
        <v>64</v>
      </c>
      <c r="AH34" s="25">
        <f>RANK(INDEX(KOMBI!$A$11:$GI$145,MATCH('KSH järjestus'!$C34,KOMBI!$A$11:$A$145,0),MATCH('KSH järjestus'!AH$3,KOMBI!$A$1:$GI$1,0)),CE$4:CE$138,AH$2)</f>
        <v>1</v>
      </c>
      <c r="AI34" s="25">
        <f>RANK(INDEX(KOMBI!$A$11:$GI$145,MATCH('KSH järjestus'!$C34,KOMBI!$A$11:$A$145,0),MATCH('KSH järjestus'!AI$3,KOMBI!$A$1:$GI$1,0)),CF$4:CF$138,AI$2)</f>
        <v>76</v>
      </c>
      <c r="AJ34" s="25">
        <f>RANK(INDEX(KOMBI!$A$11:$GI$145,MATCH('KSH järjestus'!$C34,KOMBI!$A$11:$A$145,0),MATCH('KSH järjestus'!AJ$3,KOMBI!$A$1:$GI$1,0)),CG$4:CG$138,AJ$2)</f>
        <v>88</v>
      </c>
      <c r="AK34" s="25">
        <f>RANK(INDEX(KOMBI!$A$11:$GI$145,MATCH('KSH järjestus'!$C34,KOMBI!$A$11:$A$145,0),MATCH('KSH järjestus'!AK$3,KOMBI!$A$1:$GI$1,0)),CH$4:CH$138,AK$2)</f>
        <v>121</v>
      </c>
      <c r="AN34" s="25">
        <f>RANK(INDEX(KOMBI!$A$11:$GI$145,MATCH('KSH järjestus'!$C34,KOMBI!$A$11:$A$145,0),MATCH('KSH järjestus'!AN$3,KOMBI!$A$1:$GI$1,0)),CK$4:CK$138,AN$2)</f>
        <v>1</v>
      </c>
      <c r="AO34" s="25">
        <f>RANK(INDEX(KOMBI!$A$11:$GI$145,MATCH('KSH järjestus'!$C34,KOMBI!$A$11:$A$145,0),MATCH('KSH järjestus'!AO$3,KOMBI!$A$1:$GI$1,0)),CL$4:CL$138,AO$2)</f>
        <v>1</v>
      </c>
      <c r="AS34" s="297">
        <f t="shared" si="0"/>
        <v>1722</v>
      </c>
      <c r="AT34" s="25">
        <f t="shared" si="1"/>
        <v>1083</v>
      </c>
      <c r="AU34" s="25">
        <f t="shared" si="2"/>
        <v>85</v>
      </c>
      <c r="AV34" s="295" t="str">
        <f>VLOOKUP(VLOOKUP($AU34,KOMBI!$A:$H,3,FALSE),data!$I$27:$J$29,2,FALSE)</f>
        <v>Sekkuv/EÜ</v>
      </c>
      <c r="AW34" s="295" t="str">
        <f>VLOOKUP(VLOOKUP($AU34,KOMBI!$A:$H,2,FALSE),data!$I$21:$J$23,2,FALSE)</f>
        <v>Vähe-sekkuv</v>
      </c>
      <c r="AX34" s="295" t="str">
        <f>VLOOKUP(VLOOKUP($AU34,KOMBI!$A:$H,5,FALSE),data!$I$39:$J$41,2,FALSE)</f>
        <v>Mittesekkuv</v>
      </c>
      <c r="AY34" s="295" t="str">
        <f>VLOOKUP(VLOOKUP($AU34,KOMBI!$A:$H,4,FALSE),data!$I$32:$J$36,2,FALSE)</f>
        <v>TE++</v>
      </c>
      <c r="BA34" s="25">
        <f t="array" ref="BA34">INDEX(KOMBI!$A$1:$GI$145,ROW('KSH järjestus'!BA41),MATCH('KSH järjestus'!BA$3,KOMBI!$A$1:$GI$1,0))</f>
        <v>1.2589475044111165</v>
      </c>
      <c r="BB34" s="25">
        <f t="array" ref="BB34">INDEX(KOMBI!$A$1:$GI$145,ROW('KSH järjestus'!BB41),MATCH('KSH järjestus'!BB$3,KOMBI!$A$1:$GI$1,0))</f>
        <v>115.3222244139892</v>
      </c>
      <c r="BC34" s="25">
        <f t="array" aca="1" ref="BC34" ca="1">INDEX(KOMBI!$A$1:$GI$145,ROW('KSH järjestus'!BC41),MATCH('KSH järjestus'!BC$3,KOMBI!$A$1:$GI$1,0))</f>
        <v>-61.961528001892525</v>
      </c>
      <c r="BD34" s="25">
        <f t="array" ref="BD34">INDEX(KOMBI!$A$1:$GI$145,ROW('KSH järjestus'!BD41),MATCH('KSH järjestus'!BD$3,KOMBI!$A$1:$GI$1,0))</f>
        <v>-122.42</v>
      </c>
      <c r="BE34" s="25">
        <f t="array" ref="BE34">INDEX(KOMBI!$A$1:$GI$145,ROW('KSH järjestus'!BE41),MATCH('KSH järjestus'!BE$3,KOMBI!$A$1:$GI$1,0))</f>
        <v>60.458471998107477</v>
      </c>
      <c r="BF34" s="25">
        <f t="array" aca="1" ref="BF34" ca="1">INDEX(KOMBI!$A$1:$GI$145,ROW('KSH järjestus'!BF41),MATCH('KSH järjestus'!BF$3,KOMBI!$A$1:$GI$1,0))</f>
        <v>0</v>
      </c>
      <c r="BG34" s="25">
        <f t="array" ref="BG34">INDEX(KOMBI!$A$1:$GI$145,ROW('KSH järjestus'!BG41),MATCH('KSH järjestus'!BG$3,KOMBI!$A$1:$GI$1,0))</f>
        <v>0.60224622150185692</v>
      </c>
      <c r="BH34" s="25">
        <f t="array" ref="BH34">INDEX(KOMBI!$A$1:$GI$145,ROW('KSH järjestus'!BH41),MATCH('KSH järjestus'!BH$3,KOMBI!$A$1:$GI$1,0))</f>
        <v>90</v>
      </c>
      <c r="BI34" s="25">
        <f t="array" ref="BI34">INDEX(KOMBI!$A$1:$GI$145,ROW('KSH järjestus'!BI41),MATCH('KSH järjestus'!BI$3,KOMBI!$A$1:$GI$1,0))</f>
        <v>1</v>
      </c>
      <c r="BJ34" s="25">
        <f t="array" ref="BJ34">INDEX(KOMBI!$A$1:$GI$145,ROW('KSH järjestus'!BJ41),MATCH('KSH järjestus'!BJ$3,KOMBI!$A$1:$GI$1,0))</f>
        <v>0.27911646586345373</v>
      </c>
      <c r="BK34" s="25">
        <f t="array" ref="BK34">INDEX(KOMBI!$A$1:$GI$145,ROW('KSH järjestus'!BK41),MATCH('KSH järjestus'!BK$3,KOMBI!$A$1:$GI$1,0))</f>
        <v>0.30809115034793855</v>
      </c>
      <c r="BL34" s="25">
        <f t="array" ref="BL34">INDEX(KOMBI!$A$1:$GI$145,ROW('KSH järjestus'!BL41),MATCH('KSH järjestus'!BL$3,KOMBI!$A$1:$GI$1,0))</f>
        <v>4.654388185135392E-3</v>
      </c>
      <c r="BM34" s="25">
        <f t="array" ref="BM34">INDEX(KOMBI!$A$1:$GI$145,ROW('KSH järjestus'!BM41),MATCH('KSH järjestus'!BM$3,KOMBI!$A$1:$GI$1,0))</f>
        <v>-4.1375627086678857E-3</v>
      </c>
      <c r="BN34" s="25">
        <f t="array" ref="BN34">INDEX(KOMBI!$A$1:$GI$145,ROW('KSH järjestus'!BN41),MATCH('KSH järjestus'!BN$3,KOMBI!$A$1:$GI$1,0))</f>
        <v>-3.171495426866594E-3</v>
      </c>
      <c r="BO34" s="25">
        <f t="array" ref="BO34">INDEX(KOMBI!$A$1:$GI$145,ROW('KSH järjestus'!BO41),MATCH('KSH järjestus'!BO$3,KOMBI!$A$1:$GI$1,0))</f>
        <v>7.8606338593886476E-3</v>
      </c>
      <c r="BP34" s="25">
        <f t="array" ref="BP34">INDEX(KOMBI!$A$1:$GI$145,ROW('KSH järjestus'!BP41),MATCH('KSH järjestus'!BP$3,KOMBI!$A$1:$GI$1,0))</f>
        <v>7.61</v>
      </c>
      <c r="BQ34" s="25">
        <f t="array" ref="BQ34">INDEX(KOMBI!$A$1:$GI$145,ROW('KSH järjestus'!BQ41),MATCH('KSH järjestus'!BQ$3,KOMBI!$A$1:$GI$1,0))</f>
        <v>10.722</v>
      </c>
      <c r="BR34" s="25">
        <f t="array" ref="BR34">INDEX(KOMBI!$A$1:$GI$145,ROW('KSH järjestus'!BR41),MATCH('KSH järjestus'!BR$3,KOMBI!$A$1:$GI$1,0))</f>
        <v>-2.1560123171907759E-2</v>
      </c>
      <c r="BS34" s="25">
        <f t="array" ref="BS34">INDEX(KOMBI!$A$1:$GI$145,ROW('KSH järjestus'!BS41),MATCH('KSH järjestus'!BS$3,KOMBI!$A$1:$GI$1,0))</f>
        <v>-1.8678242133685109E-2</v>
      </c>
      <c r="BT34" s="25">
        <f t="array" ref="BT34">INDEX(KOMBI!$A$1:$GI$145,ROW('KSH järjestus'!BT41),MATCH('KSH järjestus'!BT$3,KOMBI!$A$1:$GI$1,0))</f>
        <v>-3.3253681720014201E-2</v>
      </c>
      <c r="BU34" s="25">
        <f t="array" ref="BU34">INDEX(KOMBI!$A$1:$GI$145,ROW('KSH järjestus'!BU41),MATCH('KSH järjestus'!BU$3,KOMBI!$A$1:$GI$1,0))</f>
        <v>8.8042332703934587</v>
      </c>
      <c r="BV34" s="25">
        <f t="array" ref="BV34">INDEX(KOMBI!$A$1:$GI$145,ROW('KSH järjestus'!BV41),MATCH('KSH järjestus'!BV$3,KOMBI!$A$1:$GI$1,0))</f>
        <v>4.9059999999999997</v>
      </c>
      <c r="BW34" s="25">
        <f t="array" ref="BW34">INDEX(KOMBI!$A$1:$GI$145,ROW('KSH järjestus'!BW41),MATCH('KSH järjestus'!BW$3,KOMBI!$A$1:$GI$1,0))</f>
        <v>2.9976368215830602</v>
      </c>
      <c r="BX34" s="25">
        <f t="array" ref="BX34">INDEX(KOMBI!$A$1:$GI$145,ROW('KSH järjestus'!BX41),MATCH('KSH järjestus'!BX$3,KOMBI!$A$1:$GI$1,0))</f>
        <v>18.587</v>
      </c>
      <c r="BY34" s="25">
        <f t="array" ref="BY34">INDEX(KOMBI!$A$1:$GI$145,ROW('KSH järjestus'!BY41),MATCH('KSH järjestus'!BY$3,KOMBI!$A$1:$GI$1,0))</f>
        <v>11.22654313437131</v>
      </c>
      <c r="BZ34" s="25">
        <f t="array" ref="BZ34">INDEX(KOMBI!$A$1:$GI$145,ROW('KSH järjestus'!BZ41),MATCH('KSH järjestus'!BZ$3,KOMBI!$A$1:$GI$1,0))</f>
        <v>75</v>
      </c>
      <c r="CA34" s="25">
        <f t="array" ref="CA34">INDEX(KOMBI!$A$1:$GI$145,ROW('KSH järjestus'!CA41),MATCH('KSH järjestus'!CA$3,KOMBI!$A$1:$GI$1,0))</f>
        <v>14.282</v>
      </c>
      <c r="CB34" s="25">
        <f t="array" ref="CB34">INDEX(KOMBI!$A$1:$GI$145,ROW('KSH järjestus'!CB41),MATCH('KSH järjestus'!CB$3,KOMBI!$A$1:$GI$1,0))</f>
        <v>63.828888888888883</v>
      </c>
      <c r="CC34" s="25">
        <f t="array" ref="CC34">INDEX(KOMBI!$A$1:$GI$145,ROW('KSH järjestus'!CC41),MATCH('KSH järjestus'!CC$3,KOMBI!$A$1:$GI$1,0))</f>
        <v>5.1440950000000001</v>
      </c>
      <c r="CD34" s="25">
        <f t="array" ref="CD34">INDEX(KOMBI!$A$1:$GI$145,ROW('KSH järjestus'!CD41),MATCH('KSH järjestus'!CD$3,KOMBI!$A$1:$GI$1,0))</f>
        <v>309.09999999999997</v>
      </c>
      <c r="CE34" s="25">
        <f t="array" ref="CE34">INDEX(KOMBI!$A$1:$GI$145,ROW('KSH järjestus'!CE41),MATCH('KSH järjestus'!CE$3,KOMBI!$A$1:$GI$1,0))</f>
        <v>2.7559999999999998</v>
      </c>
      <c r="CF34" s="25">
        <f t="array" ref="CF34">INDEX(KOMBI!$A$1:$GI$145,ROW('KSH järjestus'!CF41),MATCH('KSH järjestus'!CF$3,KOMBI!$A$1:$GI$1,0))</f>
        <v>48.66456718346253</v>
      </c>
      <c r="CG34" s="25">
        <f t="array" ref="CG34">INDEX(KOMBI!$A$1:$GI$145,ROW('KSH järjestus'!CG41),MATCH('KSH järjestus'!CG$3,KOMBI!$A$1:$GI$1,0))</f>
        <v>2.201934621570804E-2</v>
      </c>
      <c r="CH34" s="25">
        <f t="array" ref="CH34">INDEX(KOMBI!$A$1:$GI$145,ROW('KSH järjestus'!CH41),MATCH('KSH järjestus'!CH$3,KOMBI!$A$1:$GI$1,0))</f>
        <v>0.35947746298057853</v>
      </c>
      <c r="CI34" s="25">
        <f t="array" ref="CI34">INDEX(KOMBI!$A$1:$GI$145,ROW('KSH järjestus'!CI41),MATCH('KSH järjestus'!CI$3,KOMBI!$A$1:$GI$1,0))</f>
        <v>6.08</v>
      </c>
      <c r="CJ34" s="25">
        <f t="array" ref="CJ34">INDEX(KOMBI!$A$1:$GI$145,ROW('KSH järjestus'!CJ41),MATCH('KSH järjestus'!CJ$3,KOMBI!$A$1:$GI$1,0))</f>
        <v>4.6846368215830605</v>
      </c>
      <c r="CK34" s="25">
        <f t="array" ref="CK34">INDEX(KOMBI!$A$1:$GI$145,ROW('KSH järjestus'!CK41),MATCH('KSH järjestus'!CK$3,KOMBI!$A$1:$GI$1,0))</f>
        <v>0.19900000000000001</v>
      </c>
      <c r="CL34" s="25">
        <f t="array" ref="CL34">INDEX(KOMBI!$A$1:$GI$145,ROW('KSH järjestus'!CL41),MATCH('KSH järjestus'!CL$3,KOMBI!$A$1:$GI$1,0))</f>
        <v>0.72299999999999998</v>
      </c>
    </row>
    <row r="35" spans="3:90" x14ac:dyDescent="0.2">
      <c r="C35" s="184">
        <v>32</v>
      </c>
      <c r="G35" s="25">
        <f>RANK(INDEX(KOMBI!$A$11:$GI$145,MATCH('KSH järjestus'!$C35,KOMBI!$A$11:$A$145,0),MATCH('KSH järjestus'!G$3,KOMBI!$A$1:$GI$1,0)),BD$4:BD$138,G$2)</f>
        <v>36</v>
      </c>
      <c r="H35" s="25">
        <f>RANK(INDEX(KOMBI!$A$11:$GI$145,MATCH('KSH järjestus'!$C35,KOMBI!$A$11:$A$145,0),MATCH('KSH järjestus'!H$3,KOMBI!$A$1:$GI$1,0)),BE$4:BE$138,H$2)</f>
        <v>108</v>
      </c>
      <c r="J35" s="25">
        <f>RANK(INDEX(KOMBI!$A$11:$GI$145,MATCH('KSH järjestus'!$C35,KOMBI!$A$11:$A$145,0),MATCH('KSH järjestus'!J$3,KOMBI!$A$1:$GI$1,0)),BG$4:BG$138,J$2)</f>
        <v>85</v>
      </c>
      <c r="M35" s="25">
        <f>RANK(INDEX(KOMBI!$A$11:$GI$145,MATCH('KSH järjestus'!$C35,KOMBI!$A$11:$A$145,0),MATCH('KSH järjestus'!M$3,KOMBI!$A$1:$GI$1,0)),BJ$4:BJ$138,M$2)</f>
        <v>55</v>
      </c>
      <c r="N35" s="25">
        <f>RANK(INDEX(KOMBI!$A$11:$GI$145,MATCH('KSH järjestus'!$C35,KOMBI!$A$11:$A$145,0),MATCH('KSH järjestus'!N$3,KOMBI!$A$1:$GI$1,0)),BK$4:BK$138,N$2)</f>
        <v>97</v>
      </c>
      <c r="O35" s="25">
        <f>RANK(INDEX(KOMBI!$A$11:$GI$145,MATCH('KSH järjestus'!$C35,KOMBI!$A$11:$A$145,0),MATCH('KSH järjestus'!O$3,KOMBI!$A$1:$GI$1,0)),BL$4:BL$138,O$2)</f>
        <v>105</v>
      </c>
      <c r="P35" s="25">
        <f>RANK(INDEX(KOMBI!$A$11:$GI$145,MATCH('KSH järjestus'!$C35,KOMBI!$A$11:$A$145,0),MATCH('KSH järjestus'!P$3,KOMBI!$A$1:$GI$1,0)),BM$4:BM$138,P$2)</f>
        <v>129</v>
      </c>
      <c r="Q35" s="25">
        <f>RANK(INDEX(KOMBI!$A$11:$GI$145,MATCH('KSH järjestus'!$C35,KOMBI!$A$11:$A$145,0),MATCH('KSH järjestus'!Q$3,KOMBI!$A$1:$GI$1,0)),BN$4:BN$138,Q$2)</f>
        <v>125</v>
      </c>
      <c r="R35" s="25">
        <f>RANK(INDEX(KOMBI!$A$11:$GI$145,MATCH('KSH järjestus'!$C35,KOMBI!$A$11:$A$145,0),MATCH('KSH järjestus'!R$3,KOMBI!$A$1:$GI$1,0)),BO$4:BO$138,R$2)</f>
        <v>73</v>
      </c>
      <c r="T35" s="25">
        <f>RANK(INDEX(KOMBI!$A$11:$GI$145,MATCH('KSH järjestus'!$C35,KOMBI!$A$11:$A$145,0),MATCH('KSH järjestus'!T$3,KOMBI!$A$1:$GI$1,0)),BQ$4:BQ$138,T$2)</f>
        <v>75</v>
      </c>
      <c r="U35" s="25">
        <f>RANK(INDEX(KOMBI!$A$11:$GI$145,MATCH('KSH järjestus'!$C35,KOMBI!$A$11:$A$145,0),MATCH('KSH järjestus'!U$3,KOMBI!$A$1:$GI$1,0)),BR$4:BR$138,U$2)</f>
        <v>85</v>
      </c>
      <c r="AA35" s="25">
        <f>RANK(INDEX(KOMBI!$A$11:$GI$145,MATCH('KSH järjestus'!$C35,KOMBI!$A$11:$A$145,0),MATCH('KSH järjestus'!AA$3,KOMBI!$A$1:$GI$1,0)),BX$4:BX$138,AA$2)</f>
        <v>64</v>
      </c>
      <c r="AB35" s="25">
        <f>RANK(INDEX(KOMBI!$A$11:$GI$145,MATCH('KSH järjestus'!$C35,KOMBI!$A$11:$A$145,0),MATCH('KSH järjestus'!AB$3,KOMBI!$A$1:$GI$1,0)),BY$4:BY$138,AB$2)</f>
        <v>52</v>
      </c>
      <c r="AC35" s="25">
        <f>RANK(INDEX(KOMBI!$A$11:$GI$145,MATCH('KSH järjestus'!$C35,KOMBI!$A$11:$A$145,0),MATCH('KSH järjestus'!AC$3,KOMBI!$A$1:$GI$1,0)),BZ$4:BZ$138,AC$2)</f>
        <v>64</v>
      </c>
      <c r="AD35" s="25">
        <f>RANK(INDEX(KOMBI!$A$11:$GI$145,MATCH('KSH järjestus'!$C35,KOMBI!$A$11:$A$145,0),MATCH('KSH järjestus'!AD$3,KOMBI!$A$1:$GI$1,0)),CA$4:CA$138,AD$2)</f>
        <v>75</v>
      </c>
      <c r="AE35" s="25">
        <f>RANK(INDEX(KOMBI!$A$11:$GI$145,MATCH('KSH järjestus'!$C35,KOMBI!$A$11:$A$145,0),MATCH('KSH järjestus'!AE$3,KOMBI!$A$1:$GI$1,0)),CB$4:CB$138,AE$2)</f>
        <v>76</v>
      </c>
      <c r="AG35" s="25">
        <f>RANK(INDEX(KOMBI!$A$11:$GI$145,MATCH('KSH järjestus'!$C35,KOMBI!$A$11:$A$145,0),MATCH('KSH järjestus'!AG$3,KOMBI!$A$1:$GI$1,0)),CD$4:CD$138,AG$2)</f>
        <v>64</v>
      </c>
      <c r="AH35" s="25">
        <f>RANK(INDEX(KOMBI!$A$11:$GI$145,MATCH('KSH järjestus'!$C35,KOMBI!$A$11:$A$145,0),MATCH('KSH järjestus'!AH$3,KOMBI!$A$1:$GI$1,0)),CE$4:CE$138,AH$2)</f>
        <v>1</v>
      </c>
      <c r="AI35" s="25">
        <f>RANK(INDEX(KOMBI!$A$11:$GI$145,MATCH('KSH järjestus'!$C35,KOMBI!$A$11:$A$145,0),MATCH('KSH järjestus'!AI$3,KOMBI!$A$1:$GI$1,0)),CF$4:CF$138,AI$2)</f>
        <v>76</v>
      </c>
      <c r="AJ35" s="25">
        <f>RANK(INDEX(KOMBI!$A$11:$GI$145,MATCH('KSH järjestus'!$C35,KOMBI!$A$11:$A$145,0),MATCH('KSH järjestus'!AJ$3,KOMBI!$A$1:$GI$1,0)),CG$4:CG$138,AJ$2)</f>
        <v>88</v>
      </c>
      <c r="AK35" s="25">
        <f>RANK(INDEX(KOMBI!$A$11:$GI$145,MATCH('KSH järjestus'!$C35,KOMBI!$A$11:$A$145,0),MATCH('KSH järjestus'!AK$3,KOMBI!$A$1:$GI$1,0)),CH$4:CH$138,AK$2)</f>
        <v>121</v>
      </c>
      <c r="AN35" s="25">
        <f>RANK(INDEX(KOMBI!$A$11:$GI$145,MATCH('KSH järjestus'!$C35,KOMBI!$A$11:$A$145,0),MATCH('KSH järjestus'!AN$3,KOMBI!$A$1:$GI$1,0)),CK$4:CK$138,AN$2)</f>
        <v>1</v>
      </c>
      <c r="AO35" s="25">
        <f>RANK(INDEX(KOMBI!$A$11:$GI$145,MATCH('KSH järjestus'!$C35,KOMBI!$A$11:$A$145,0),MATCH('KSH järjestus'!AO$3,KOMBI!$A$1:$GI$1,0)),CL$4:CL$138,AO$2)</f>
        <v>1</v>
      </c>
      <c r="AS35" s="297">
        <f t="shared" si="0"/>
        <v>1656</v>
      </c>
      <c r="AT35" s="25">
        <f t="shared" si="1"/>
        <v>1106</v>
      </c>
      <c r="AU35" s="25">
        <f t="shared" si="2"/>
        <v>106</v>
      </c>
      <c r="AV35" s="295" t="str">
        <f>VLOOKUP(VLOOKUP($AU35,KOMBI!$A:$H,3,FALSE),data!$I$27:$J$29,2,FALSE)</f>
        <v>Vähe-sekkuv</v>
      </c>
      <c r="AW35" s="295" t="str">
        <f>VLOOKUP(VLOOKUP($AU35,KOMBI!$A:$H,2,FALSE),data!$I$21:$J$23,2,FALSE)</f>
        <v>Sekkuv</v>
      </c>
      <c r="AX35" s="295" t="str">
        <f>VLOOKUP(VLOOKUP($AU35,KOMBI!$A:$H,5,FALSE),data!$I$39:$J$41,2,FALSE)</f>
        <v>Mittesekkuv</v>
      </c>
      <c r="AY35" s="295" t="str">
        <f>VLOOKUP(VLOOKUP($AU35,KOMBI!$A:$H,4,FALSE),data!$I$32:$J$36,2,FALSE)</f>
        <v>LIB</v>
      </c>
      <c r="BA35" s="25">
        <f t="array" ref="BA35">INDEX(KOMBI!$A$1:$GI$145,ROW('KSH järjestus'!BA42),MATCH('KSH järjestus'!BA$3,KOMBI!$A$1:$GI$1,0))</f>
        <v>2.1748591530569574</v>
      </c>
      <c r="BB35" s="25">
        <f t="array" ref="BB35">INDEX(KOMBI!$A$1:$GI$145,ROW('KSH järjestus'!BB42),MATCH('KSH järjestus'!BB$3,KOMBI!$A$1:$GI$1,0))</f>
        <v>275.80225668325244</v>
      </c>
      <c r="BC35" s="25">
        <f t="array" aca="1" ref="BC35" ca="1">INDEX(KOMBI!$A$1:$GI$145,ROW('KSH järjestus'!BC42),MATCH('KSH järjestus'!BC$3,KOMBI!$A$1:$GI$1,0))</f>
        <v>-32.796205973357416</v>
      </c>
      <c r="BD35" s="25">
        <f t="array" ref="BD35">INDEX(KOMBI!$A$1:$GI$145,ROW('KSH järjestus'!BD42),MATCH('KSH järjestus'!BD$3,KOMBI!$A$1:$GI$1,0))</f>
        <v>-137.65321988063209</v>
      </c>
      <c r="BE35" s="25">
        <f t="array" ref="BE35">INDEX(KOMBI!$A$1:$GI$145,ROW('KSH järjestus'!BE42),MATCH('KSH järjestus'!BE$3,KOMBI!$A$1:$GI$1,0))</f>
        <v>104.85701390727468</v>
      </c>
      <c r="BF35" s="25">
        <f t="array" aca="1" ref="BF35" ca="1">INDEX(KOMBI!$A$1:$GI$145,ROW('KSH järjestus'!BF42),MATCH('KSH järjestus'!BF$3,KOMBI!$A$1:$GI$1,0))</f>
        <v>0</v>
      </c>
      <c r="BG35" s="25">
        <f t="array" ref="BG35">INDEX(KOMBI!$A$1:$GI$145,ROW('KSH järjestus'!BG42),MATCH('KSH järjestus'!BG$3,KOMBI!$A$1:$GI$1,0))</f>
        <v>0.57793443670210298</v>
      </c>
      <c r="BH35" s="25">
        <f t="array" ref="BH35">INDEX(KOMBI!$A$1:$GI$145,ROW('KSH järjestus'!BH42),MATCH('KSH järjestus'!BH$3,KOMBI!$A$1:$GI$1,0))</f>
        <v>90</v>
      </c>
      <c r="BI35" s="25">
        <f t="array" ref="BI35">INDEX(KOMBI!$A$1:$GI$145,ROW('KSH järjestus'!BI42),MATCH('KSH järjestus'!BI$3,KOMBI!$A$1:$GI$1,0))</f>
        <v>0.91028830406496797</v>
      </c>
      <c r="BJ35" s="25">
        <f t="array" ref="BJ35">INDEX(KOMBI!$A$1:$GI$145,ROW('KSH järjestus'!BJ42),MATCH('KSH järjestus'!BJ$3,KOMBI!$A$1:$GI$1,0))</f>
        <v>0.27911646586345373</v>
      </c>
      <c r="BK35" s="25">
        <f t="array" ref="BK35">INDEX(KOMBI!$A$1:$GI$145,ROW('KSH järjestus'!BK42),MATCH('KSH järjestus'!BK$3,KOMBI!$A$1:$GI$1,0))</f>
        <v>0.30809115034793855</v>
      </c>
      <c r="BL35" s="25">
        <f t="array" ref="BL35">INDEX(KOMBI!$A$1:$GI$145,ROW('KSH järjestus'!BL42),MATCH('KSH järjestus'!BL$3,KOMBI!$A$1:$GI$1,0))</f>
        <v>1.093678127155772E-2</v>
      </c>
      <c r="BM35" s="25">
        <f t="array" ref="BM35">INDEX(KOMBI!$A$1:$GI$145,ROW('KSH järjestus'!BM42),MATCH('KSH järjestus'!BM$3,KOMBI!$A$1:$GI$1,0))</f>
        <v>-6.8306155580834995E-3</v>
      </c>
      <c r="BN35" s="25">
        <f t="array" ref="BN35">INDEX(KOMBI!$A$1:$GI$145,ROW('KSH järjestus'!BN42),MATCH('KSH järjestus'!BN$3,KOMBI!$A$1:$GI$1,0))</f>
        <v>-6.7862556550876696E-4</v>
      </c>
      <c r="BO35" s="25">
        <f t="array" ref="BO35">INDEX(KOMBI!$A$1:$GI$145,ROW('KSH järjestus'!BO42),MATCH('KSH järjestus'!BO$3,KOMBI!$A$1:$GI$1,0))</f>
        <v>1.1685520403265476E-2</v>
      </c>
      <c r="BP35" s="25">
        <f t="array" ref="BP35">INDEX(KOMBI!$A$1:$GI$145,ROW('KSH järjestus'!BP42),MATCH('KSH järjestus'!BP$3,KOMBI!$A$1:$GI$1,0))</f>
        <v>7.61</v>
      </c>
      <c r="BQ35" s="25">
        <f t="array" ref="BQ35">INDEX(KOMBI!$A$1:$GI$145,ROW('KSH järjestus'!BQ42),MATCH('KSH järjestus'!BQ$3,KOMBI!$A$1:$GI$1,0))</f>
        <v>10.813000000000001</v>
      </c>
      <c r="BR35" s="25">
        <f t="array" ref="BR35">INDEX(KOMBI!$A$1:$GI$145,ROW('KSH järjestus'!BR42),MATCH('KSH järjestus'!BR$3,KOMBI!$A$1:$GI$1,0))</f>
        <v>-1.7326324160643038E-2</v>
      </c>
      <c r="BS35" s="25">
        <f t="array" ref="BS35">INDEX(KOMBI!$A$1:$GI$145,ROW('KSH järjestus'!BS42),MATCH('KSH järjestus'!BS$3,KOMBI!$A$1:$GI$1,0))</f>
        <v>-1.7344629914049548E-2</v>
      </c>
      <c r="BT35" s="25">
        <f t="array" ref="BT35">INDEX(KOMBI!$A$1:$GI$145,ROW('KSH järjestus'!BT42),MATCH('KSH järjestus'!BT$3,KOMBI!$A$1:$GI$1,0))</f>
        <v>-3.2154718920620246E-2</v>
      </c>
      <c r="BU35" s="25">
        <f t="array" ref="BU35">INDEX(KOMBI!$A$1:$GI$145,ROW('KSH järjestus'!BU42),MATCH('KSH järjestus'!BU$3,KOMBI!$A$1:$GI$1,0))</f>
        <v>8.8042332703934587</v>
      </c>
      <c r="BV35" s="25">
        <f t="array" ref="BV35">INDEX(KOMBI!$A$1:$GI$145,ROW('KSH järjestus'!BV42),MATCH('KSH järjestus'!BV$3,KOMBI!$A$1:$GI$1,0))</f>
        <v>4.9059999999999997</v>
      </c>
      <c r="BW35" s="25">
        <f t="array" ref="BW35">INDEX(KOMBI!$A$1:$GI$145,ROW('KSH järjestus'!BW42),MATCH('KSH järjestus'!BW$3,KOMBI!$A$1:$GI$1,0))</f>
        <v>3.3751368215830602</v>
      </c>
      <c r="BX35" s="25">
        <f t="array" ref="BX35">INDEX(KOMBI!$A$1:$GI$145,ROW('KSH järjestus'!BX42),MATCH('KSH järjestus'!BX$3,KOMBI!$A$1:$GI$1,0))</f>
        <v>18.587</v>
      </c>
      <c r="BY35" s="25">
        <f t="array" ref="BY35">INDEX(KOMBI!$A$1:$GI$145,ROW('KSH järjestus'!BY42),MATCH('KSH järjestus'!BY$3,KOMBI!$A$1:$GI$1,0))</f>
        <v>11.22654313437131</v>
      </c>
      <c r="BZ35" s="25">
        <f t="array" ref="BZ35">INDEX(KOMBI!$A$1:$GI$145,ROW('KSH järjestus'!BZ42),MATCH('KSH järjestus'!BZ$3,KOMBI!$A$1:$GI$1,0))</f>
        <v>75.400000000000006</v>
      </c>
      <c r="CA35" s="25">
        <f t="array" ref="CA35">INDEX(KOMBI!$A$1:$GI$145,ROW('KSH järjestus'!CA42),MATCH('KSH järjestus'!CA$3,KOMBI!$A$1:$GI$1,0))</f>
        <v>14.371</v>
      </c>
      <c r="CB35" s="25">
        <f t="array" ref="CB35">INDEX(KOMBI!$A$1:$GI$145,ROW('KSH järjestus'!CB42),MATCH('KSH järjestus'!CB$3,KOMBI!$A$1:$GI$1,0))</f>
        <v>64.169166666666655</v>
      </c>
      <c r="CC35" s="25">
        <f t="array" ref="CC35">INDEX(KOMBI!$A$1:$GI$145,ROW('KSH järjestus'!CC42),MATCH('KSH järjestus'!CC$3,KOMBI!$A$1:$GI$1,0))</f>
        <v>5.1773870000000004</v>
      </c>
      <c r="CD35" s="25">
        <f t="array" ref="CD35">INDEX(KOMBI!$A$1:$GI$145,ROW('KSH järjestus'!CD42),MATCH('KSH järjestus'!CD$3,KOMBI!$A$1:$GI$1,0))</f>
        <v>309.09999999999997</v>
      </c>
      <c r="CE35" s="25">
        <f t="array" ref="CE35">INDEX(KOMBI!$A$1:$GI$145,ROW('KSH järjestus'!CE42),MATCH('KSH järjestus'!CE$3,KOMBI!$A$1:$GI$1,0))</f>
        <v>2.7559999999999998</v>
      </c>
      <c r="CF35" s="25">
        <f t="array" ref="CF35">INDEX(KOMBI!$A$1:$GI$145,ROW('KSH järjestus'!CF42),MATCH('KSH järjestus'!CF$3,KOMBI!$A$1:$GI$1,0))</f>
        <v>48.66456718346253</v>
      </c>
      <c r="CG35" s="25">
        <f t="array" ref="CG35">INDEX(KOMBI!$A$1:$GI$145,ROW('KSH järjestus'!CG42),MATCH('KSH järjestus'!CG$3,KOMBI!$A$1:$GI$1,0))</f>
        <v>2.201934621570804E-2</v>
      </c>
      <c r="CH35" s="25">
        <f t="array" ref="CH35">INDEX(KOMBI!$A$1:$GI$145,ROW('KSH järjestus'!CH42),MATCH('KSH järjestus'!CH$3,KOMBI!$A$1:$GI$1,0))</f>
        <v>0.35947746298057853</v>
      </c>
      <c r="CI35" s="25">
        <f t="array" ref="CI35">INDEX(KOMBI!$A$1:$GI$145,ROW('KSH järjestus'!CI42),MATCH('KSH järjestus'!CI$3,KOMBI!$A$1:$GI$1,0))</f>
        <v>6.08</v>
      </c>
      <c r="CJ35" s="25">
        <f t="array" ref="CJ35">INDEX(KOMBI!$A$1:$GI$145,ROW('KSH järjestus'!CJ42),MATCH('KSH järjestus'!CJ$3,KOMBI!$A$1:$GI$1,0))</f>
        <v>4.6846368215830605</v>
      </c>
      <c r="CK35" s="25">
        <f t="array" ref="CK35">INDEX(KOMBI!$A$1:$GI$145,ROW('KSH järjestus'!CK42),MATCH('KSH järjestus'!CK$3,KOMBI!$A$1:$GI$1,0))</f>
        <v>0.19900000000000001</v>
      </c>
      <c r="CL35" s="25">
        <f t="array" ref="CL35">INDEX(KOMBI!$A$1:$GI$145,ROW('KSH järjestus'!CL42),MATCH('KSH järjestus'!CL$3,KOMBI!$A$1:$GI$1,0))</f>
        <v>0.72299999999999998</v>
      </c>
    </row>
    <row r="36" spans="3:90" x14ac:dyDescent="0.2">
      <c r="C36" s="184">
        <v>33</v>
      </c>
      <c r="G36" s="25">
        <f>RANK(INDEX(KOMBI!$A$11:$GI$145,MATCH('KSH järjestus'!$C36,KOMBI!$A$11:$A$145,0),MATCH('KSH järjestus'!G$3,KOMBI!$A$1:$GI$1,0)),BD$4:BD$138,G$2)</f>
        <v>26</v>
      </c>
      <c r="H36" s="25">
        <f>RANK(INDEX(KOMBI!$A$11:$GI$145,MATCH('KSH järjestus'!$C36,KOMBI!$A$11:$A$145,0),MATCH('KSH järjestus'!H$3,KOMBI!$A$1:$GI$1,0)),BE$4:BE$138,H$2)</f>
        <v>83</v>
      </c>
      <c r="J36" s="25">
        <f>RANK(INDEX(KOMBI!$A$11:$GI$145,MATCH('KSH järjestus'!$C36,KOMBI!$A$11:$A$145,0),MATCH('KSH järjestus'!J$3,KOMBI!$A$1:$GI$1,0)),BG$4:BG$138,J$2)</f>
        <v>85</v>
      </c>
      <c r="M36" s="25">
        <f>RANK(INDEX(KOMBI!$A$11:$GI$145,MATCH('KSH järjestus'!$C36,KOMBI!$A$11:$A$145,0),MATCH('KSH järjestus'!M$3,KOMBI!$A$1:$GI$1,0)),BJ$4:BJ$138,M$2)</f>
        <v>55</v>
      </c>
      <c r="N36" s="25">
        <f>RANK(INDEX(KOMBI!$A$11:$GI$145,MATCH('KSH järjestus'!$C36,KOMBI!$A$11:$A$145,0),MATCH('KSH järjestus'!N$3,KOMBI!$A$1:$GI$1,0)),BK$4:BK$138,N$2)</f>
        <v>97</v>
      </c>
      <c r="O36" s="25">
        <f>RANK(INDEX(KOMBI!$A$11:$GI$145,MATCH('KSH järjestus'!$C36,KOMBI!$A$11:$A$145,0),MATCH('KSH järjestus'!O$3,KOMBI!$A$1:$GI$1,0)),BL$4:BL$138,O$2)</f>
        <v>71</v>
      </c>
      <c r="P36" s="25">
        <f>RANK(INDEX(KOMBI!$A$11:$GI$145,MATCH('KSH järjestus'!$C36,KOMBI!$A$11:$A$145,0),MATCH('KSH järjestus'!P$3,KOMBI!$A$1:$GI$1,0)),BM$4:BM$138,P$2)</f>
        <v>128</v>
      </c>
      <c r="Q36" s="25">
        <f>RANK(INDEX(KOMBI!$A$11:$GI$145,MATCH('KSH järjestus'!$C36,KOMBI!$A$11:$A$145,0),MATCH('KSH järjestus'!Q$3,KOMBI!$A$1:$GI$1,0)),BN$4:BN$138,Q$2)</f>
        <v>116</v>
      </c>
      <c r="R36" s="25">
        <f>RANK(INDEX(KOMBI!$A$11:$GI$145,MATCH('KSH järjestus'!$C36,KOMBI!$A$11:$A$145,0),MATCH('KSH järjestus'!R$3,KOMBI!$A$1:$GI$1,0)),BO$4:BO$138,R$2)</f>
        <v>38</v>
      </c>
      <c r="T36" s="25">
        <f>RANK(INDEX(KOMBI!$A$11:$GI$145,MATCH('KSH järjestus'!$C36,KOMBI!$A$11:$A$145,0),MATCH('KSH järjestus'!T$3,KOMBI!$A$1:$GI$1,0)),BQ$4:BQ$138,T$2)</f>
        <v>93</v>
      </c>
      <c r="U36" s="25">
        <f>RANK(INDEX(KOMBI!$A$11:$GI$145,MATCH('KSH järjestus'!$C36,KOMBI!$A$11:$A$145,0),MATCH('KSH järjestus'!U$3,KOMBI!$A$1:$GI$1,0)),BR$4:BR$138,U$2)</f>
        <v>94</v>
      </c>
      <c r="AA36" s="25">
        <f>RANK(INDEX(KOMBI!$A$11:$GI$145,MATCH('KSH järjestus'!$C36,KOMBI!$A$11:$A$145,0),MATCH('KSH järjestus'!AA$3,KOMBI!$A$1:$GI$1,0)),BX$4:BX$138,AA$2)</f>
        <v>64</v>
      </c>
      <c r="AB36" s="25">
        <f>RANK(INDEX(KOMBI!$A$11:$GI$145,MATCH('KSH järjestus'!$C36,KOMBI!$A$11:$A$145,0),MATCH('KSH järjestus'!AB$3,KOMBI!$A$1:$GI$1,0)),BY$4:BY$138,AB$2)</f>
        <v>52</v>
      </c>
      <c r="AC36" s="25">
        <f>RANK(INDEX(KOMBI!$A$11:$GI$145,MATCH('KSH järjestus'!$C36,KOMBI!$A$11:$A$145,0),MATCH('KSH järjestus'!AC$3,KOMBI!$A$1:$GI$1,0)),BZ$4:BZ$138,AC$2)</f>
        <v>76</v>
      </c>
      <c r="AD36" s="25">
        <f>RANK(INDEX(KOMBI!$A$11:$GI$145,MATCH('KSH järjestus'!$C36,KOMBI!$A$11:$A$145,0),MATCH('KSH järjestus'!AD$3,KOMBI!$A$1:$GI$1,0)),CA$4:CA$138,AD$2)</f>
        <v>84</v>
      </c>
      <c r="AE36" s="25">
        <f>RANK(INDEX(KOMBI!$A$11:$GI$145,MATCH('KSH järjestus'!$C36,KOMBI!$A$11:$A$145,0),MATCH('KSH järjestus'!AE$3,KOMBI!$A$1:$GI$1,0)),CB$4:CB$138,AE$2)</f>
        <v>82</v>
      </c>
      <c r="AG36" s="25">
        <f>RANK(INDEX(KOMBI!$A$11:$GI$145,MATCH('KSH järjestus'!$C36,KOMBI!$A$11:$A$145,0),MATCH('KSH järjestus'!AG$3,KOMBI!$A$1:$GI$1,0)),CD$4:CD$138,AG$2)</f>
        <v>64</v>
      </c>
      <c r="AH36" s="25">
        <f>RANK(INDEX(KOMBI!$A$11:$GI$145,MATCH('KSH järjestus'!$C36,KOMBI!$A$11:$A$145,0),MATCH('KSH järjestus'!AH$3,KOMBI!$A$1:$GI$1,0)),CE$4:CE$138,AH$2)</f>
        <v>1</v>
      </c>
      <c r="AI36" s="25">
        <f>RANK(INDEX(KOMBI!$A$11:$GI$145,MATCH('KSH järjestus'!$C36,KOMBI!$A$11:$A$145,0),MATCH('KSH järjestus'!AI$3,KOMBI!$A$1:$GI$1,0)),CF$4:CF$138,AI$2)</f>
        <v>76</v>
      </c>
      <c r="AJ36" s="25">
        <f>RANK(INDEX(KOMBI!$A$11:$GI$145,MATCH('KSH järjestus'!$C36,KOMBI!$A$11:$A$145,0),MATCH('KSH järjestus'!AJ$3,KOMBI!$A$1:$GI$1,0)),CG$4:CG$138,AJ$2)</f>
        <v>88</v>
      </c>
      <c r="AK36" s="25">
        <f>RANK(INDEX(KOMBI!$A$11:$GI$145,MATCH('KSH järjestus'!$C36,KOMBI!$A$11:$A$145,0),MATCH('KSH järjestus'!AK$3,KOMBI!$A$1:$GI$1,0)),CH$4:CH$138,AK$2)</f>
        <v>121</v>
      </c>
      <c r="AN36" s="25">
        <f>RANK(INDEX(KOMBI!$A$11:$GI$145,MATCH('KSH järjestus'!$C36,KOMBI!$A$11:$A$145,0),MATCH('KSH järjestus'!AN$3,KOMBI!$A$1:$GI$1,0)),CK$4:CK$138,AN$2)</f>
        <v>1</v>
      </c>
      <c r="AO36" s="25">
        <f>RANK(INDEX(KOMBI!$A$11:$GI$145,MATCH('KSH järjestus'!$C36,KOMBI!$A$11:$A$145,0),MATCH('KSH järjestus'!AO$3,KOMBI!$A$1:$GI$1,0)),CL$4:CL$138,AO$2)</f>
        <v>1</v>
      </c>
      <c r="AS36" s="297">
        <f t="shared" ref="AS36:AS67" si="3">SUM(D36:AO36)</f>
        <v>1596</v>
      </c>
      <c r="AT36" s="25">
        <f t="shared" si="1"/>
        <v>1108</v>
      </c>
      <c r="AU36" s="25">
        <f t="shared" si="2"/>
        <v>109</v>
      </c>
      <c r="AV36" s="295" t="str">
        <f>VLOOKUP(VLOOKUP($AU36,KOMBI!$A:$H,3,FALSE),data!$I$27:$J$29,2,FALSE)</f>
        <v>Vähe-sekkuv</v>
      </c>
      <c r="AW36" s="295" t="str">
        <f>VLOOKUP(VLOOKUP($AU36,KOMBI!$A:$H,2,FALSE),data!$I$21:$J$23,2,FALSE)</f>
        <v>Sekkuv</v>
      </c>
      <c r="AX36" s="295" t="str">
        <f>VLOOKUP(VLOOKUP($AU36,KOMBI!$A:$H,5,FALSE),data!$I$39:$J$41,2,FALSE)</f>
        <v>Mittesekkuv</v>
      </c>
      <c r="AY36" s="295" t="str">
        <f>VLOOKUP(VLOOKUP($AU36,KOMBI!$A:$H,4,FALSE),data!$I$32:$J$36,2,FALSE)</f>
        <v>LIB+</v>
      </c>
      <c r="BA36" s="25">
        <f t="array" ref="BA36">INDEX(KOMBI!$A$1:$GI$145,ROW('KSH järjestus'!BA43),MATCH('KSH järjestus'!BA$3,KOMBI!$A$1:$GI$1,0))</f>
        <v>3.0799588752984848</v>
      </c>
      <c r="BB36" s="25">
        <f t="array" ref="BB36">INDEX(KOMBI!$A$1:$GI$145,ROW('KSH järjestus'!BB43),MATCH('KSH järjestus'!BB$3,KOMBI!$A$1:$GI$1,0))</f>
        <v>392.41304770073174</v>
      </c>
      <c r="BC36" s="25">
        <f t="array" aca="1" ref="BC36" ca="1">INDEX(KOMBI!$A$1:$GI$145,ROW('KSH järjestus'!BC43),MATCH('KSH järjestus'!BC$3,KOMBI!$A$1:$GI$1,0))</f>
        <v>-16.241791614272501</v>
      </c>
      <c r="BD36" s="25">
        <f t="array" ref="BD36">INDEX(KOMBI!$A$1:$GI$145,ROW('KSH järjestus'!BD43),MATCH('KSH järjestus'!BD$3,KOMBI!$A$1:$GI$1,0))</f>
        <v>-156.76081369909105</v>
      </c>
      <c r="BE36" s="25">
        <f t="array" ref="BE36">INDEX(KOMBI!$A$1:$GI$145,ROW('KSH järjestus'!BE43),MATCH('KSH järjestus'!BE$3,KOMBI!$A$1:$GI$1,0))</f>
        <v>140.51902208481854</v>
      </c>
      <c r="BF36" s="25">
        <f t="array" aca="1" ref="BF36" ca="1">INDEX(KOMBI!$A$1:$GI$145,ROW('KSH järjestus'!BF43),MATCH('KSH järjestus'!BF$3,KOMBI!$A$1:$GI$1,0))</f>
        <v>0</v>
      </c>
      <c r="BG36" s="25">
        <f t="array" ref="BG36">INDEX(KOMBI!$A$1:$GI$145,ROW('KSH järjestus'!BG43),MATCH('KSH järjestus'!BG$3,KOMBI!$A$1:$GI$1,0))</f>
        <v>0.57793443670210298</v>
      </c>
      <c r="BH36" s="25">
        <f t="array" ref="BH36">INDEX(KOMBI!$A$1:$GI$145,ROW('KSH järjestus'!BH43),MATCH('KSH järjestus'!BH$3,KOMBI!$A$1:$GI$1,0))</f>
        <v>90</v>
      </c>
      <c r="BI36" s="25">
        <f t="array" ref="BI36">INDEX(KOMBI!$A$1:$GI$145,ROW('KSH järjestus'!BI43),MATCH('KSH järjestus'!BI$3,KOMBI!$A$1:$GI$1,0))</f>
        <v>0.91028830406496786</v>
      </c>
      <c r="BJ36" s="25">
        <f t="array" ref="BJ36">INDEX(KOMBI!$A$1:$GI$145,ROW('KSH järjestus'!BJ43),MATCH('KSH järjestus'!BJ$3,KOMBI!$A$1:$GI$1,0))</f>
        <v>0.27911646586345373</v>
      </c>
      <c r="BK36" s="25">
        <f t="array" ref="BK36">INDEX(KOMBI!$A$1:$GI$145,ROW('KSH järjestus'!BK43),MATCH('KSH järjestus'!BK$3,KOMBI!$A$1:$GI$1,0))</f>
        <v>0.30809115034793855</v>
      </c>
      <c r="BL36" s="25">
        <f t="array" ref="BL36">INDEX(KOMBI!$A$1:$GI$145,ROW('KSH järjestus'!BL43),MATCH('KSH järjestus'!BL$3,KOMBI!$A$1:$GI$1,0))</f>
        <v>1.5587836649804239E-2</v>
      </c>
      <c r="BM36" s="25">
        <f t="array" ref="BM36">INDEX(KOMBI!$A$1:$GI$145,ROW('KSH järjestus'!BM43),MATCH('KSH järjestus'!BM$3,KOMBI!$A$1:$GI$1,0))</f>
        <v>-6.8178498310421127E-3</v>
      </c>
      <c r="BN36" s="25">
        <f t="array" ref="BN36">INDEX(KOMBI!$A$1:$GI$145,ROW('KSH järjestus'!BN43),MATCH('KSH järjestus'!BN$3,KOMBI!$A$1:$GI$1,0))</f>
        <v>6.5216427053796377E-4</v>
      </c>
      <c r="BO36" s="25">
        <f t="array" ref="BO36">INDEX(KOMBI!$A$1:$GI$145,ROW('KSH järjestus'!BO43),MATCH('KSH järjestus'!BO$3,KOMBI!$A$1:$GI$1,0))</f>
        <v>1.5079383851430331E-2</v>
      </c>
      <c r="BP36" s="25">
        <f t="array" ref="BP36">INDEX(KOMBI!$A$1:$GI$145,ROW('KSH järjestus'!BP43),MATCH('KSH järjestus'!BP$3,KOMBI!$A$1:$GI$1,0))</f>
        <v>7.61</v>
      </c>
      <c r="BQ36" s="25">
        <f t="array" ref="BQ36">INDEX(KOMBI!$A$1:$GI$145,ROW('KSH järjestus'!BQ43),MATCH('KSH järjestus'!BQ$3,KOMBI!$A$1:$GI$1,0))</f>
        <v>11.037000000000001</v>
      </c>
      <c r="BR36" s="25">
        <f t="array" ref="BR36">INDEX(KOMBI!$A$1:$GI$145,ROW('KSH järjestus'!BR43),MATCH('KSH järjestus'!BR$3,KOMBI!$A$1:$GI$1,0))</f>
        <v>-1.334683703019714E-2</v>
      </c>
      <c r="BS36" s="25">
        <f t="array" ref="BS36">INDEX(KOMBI!$A$1:$GI$145,ROW('KSH järjestus'!BS43),MATCH('KSH järjestus'!BS$3,KOMBI!$A$1:$GI$1,0))</f>
        <v>-1.6085469997761101E-2</v>
      </c>
      <c r="BT36" s="25">
        <f t="array" ref="BT36">INDEX(KOMBI!$A$1:$GI$145,ROW('KSH järjestus'!BT43),MATCH('KSH järjestus'!BT$3,KOMBI!$A$1:$GI$1,0))</f>
        <v>-3.0693999947393989E-2</v>
      </c>
      <c r="BU36" s="25">
        <f t="array" ref="BU36">INDEX(KOMBI!$A$1:$GI$145,ROW('KSH järjestus'!BU43),MATCH('KSH järjestus'!BU$3,KOMBI!$A$1:$GI$1,0))</f>
        <v>8.8042332703934587</v>
      </c>
      <c r="BV36" s="25">
        <f t="array" ref="BV36">INDEX(KOMBI!$A$1:$GI$145,ROW('KSH järjestus'!BV43),MATCH('KSH järjestus'!BV$3,KOMBI!$A$1:$GI$1,0))</f>
        <v>4.9059999999999997</v>
      </c>
      <c r="BW36" s="25">
        <f t="array" ref="BW36">INDEX(KOMBI!$A$1:$GI$145,ROW('KSH järjestus'!BW43),MATCH('KSH järjestus'!BW$3,KOMBI!$A$1:$GI$1,0))</f>
        <v>3.5838368215830605</v>
      </c>
      <c r="BX36" s="25">
        <f t="array" ref="BX36">INDEX(KOMBI!$A$1:$GI$145,ROW('KSH järjestus'!BX43),MATCH('KSH järjestus'!BX$3,KOMBI!$A$1:$GI$1,0))</f>
        <v>18.587</v>
      </c>
      <c r="BY36" s="25">
        <f t="array" ref="BY36">INDEX(KOMBI!$A$1:$GI$145,ROW('KSH järjestus'!BY43),MATCH('KSH järjestus'!BY$3,KOMBI!$A$1:$GI$1,0))</f>
        <v>11.22654313437131</v>
      </c>
      <c r="BZ36" s="25">
        <f t="array" ref="BZ36">INDEX(KOMBI!$A$1:$GI$145,ROW('KSH järjestus'!BZ43),MATCH('KSH järjestus'!BZ$3,KOMBI!$A$1:$GI$1,0))</f>
        <v>77</v>
      </c>
      <c r="CA36" s="25">
        <f t="array" ref="CA36">INDEX(KOMBI!$A$1:$GI$145,ROW('KSH järjestus'!CA43),MATCH('KSH järjestus'!CA$3,KOMBI!$A$1:$GI$1,0))</f>
        <v>14.622999999999999</v>
      </c>
      <c r="CB36" s="25">
        <f t="array" ref="CB36">INDEX(KOMBI!$A$1:$GI$145,ROW('KSH järjestus'!CB43),MATCH('KSH järjestus'!CB$3,KOMBI!$A$1:$GI$1,0))</f>
        <v>65.077222222222218</v>
      </c>
      <c r="CC36" s="25">
        <f t="array" ref="CC36">INDEX(KOMBI!$A$1:$GI$145,ROW('KSH järjestus'!CC43),MATCH('KSH järjestus'!CC$3,KOMBI!$A$1:$GI$1,0))</f>
        <v>5.2707319999999998</v>
      </c>
      <c r="CD36" s="25">
        <f t="array" ref="CD36">INDEX(KOMBI!$A$1:$GI$145,ROW('KSH järjestus'!CD43),MATCH('KSH järjestus'!CD$3,KOMBI!$A$1:$GI$1,0))</f>
        <v>309.09999999999997</v>
      </c>
      <c r="CE36" s="25">
        <f t="array" ref="CE36">INDEX(KOMBI!$A$1:$GI$145,ROW('KSH järjestus'!CE43),MATCH('KSH järjestus'!CE$3,KOMBI!$A$1:$GI$1,0))</f>
        <v>2.7559999999999998</v>
      </c>
      <c r="CF36" s="25">
        <f t="array" ref="CF36">INDEX(KOMBI!$A$1:$GI$145,ROW('KSH järjestus'!CF43),MATCH('KSH järjestus'!CF$3,KOMBI!$A$1:$GI$1,0))</f>
        <v>48.66456718346253</v>
      </c>
      <c r="CG36" s="25">
        <f t="array" ref="CG36">INDEX(KOMBI!$A$1:$GI$145,ROW('KSH järjestus'!CG43),MATCH('KSH järjestus'!CG$3,KOMBI!$A$1:$GI$1,0))</f>
        <v>2.201934621570804E-2</v>
      </c>
      <c r="CH36" s="25">
        <f t="array" ref="CH36">INDEX(KOMBI!$A$1:$GI$145,ROW('KSH järjestus'!CH43),MATCH('KSH järjestus'!CH$3,KOMBI!$A$1:$GI$1,0))</f>
        <v>0.35947746298057853</v>
      </c>
      <c r="CI36" s="25">
        <f t="array" ref="CI36">INDEX(KOMBI!$A$1:$GI$145,ROW('KSH järjestus'!CI43),MATCH('KSH järjestus'!CI$3,KOMBI!$A$1:$GI$1,0))</f>
        <v>6.08</v>
      </c>
      <c r="CJ36" s="25">
        <f t="array" ref="CJ36">INDEX(KOMBI!$A$1:$GI$145,ROW('KSH järjestus'!CJ43),MATCH('KSH järjestus'!CJ$3,KOMBI!$A$1:$GI$1,0))</f>
        <v>4.6846368215830605</v>
      </c>
      <c r="CK36" s="25">
        <f t="array" ref="CK36">INDEX(KOMBI!$A$1:$GI$145,ROW('KSH järjestus'!CK43),MATCH('KSH järjestus'!CK$3,KOMBI!$A$1:$GI$1,0))</f>
        <v>0.19900000000000001</v>
      </c>
      <c r="CL36" s="25">
        <f t="array" ref="CL36">INDEX(KOMBI!$A$1:$GI$145,ROW('KSH järjestus'!CL43),MATCH('KSH järjestus'!CL$3,KOMBI!$A$1:$GI$1,0))</f>
        <v>0.72299999999999998</v>
      </c>
    </row>
    <row r="37" spans="3:90" x14ac:dyDescent="0.2">
      <c r="C37" s="184">
        <v>34</v>
      </c>
      <c r="G37" s="25">
        <f>RANK(INDEX(KOMBI!$A$11:$GI$145,MATCH('KSH järjestus'!$C37,KOMBI!$A$11:$A$145,0),MATCH('KSH järjestus'!G$3,KOMBI!$A$1:$GI$1,0)),BD$4:BD$138,G$2)</f>
        <v>41</v>
      </c>
      <c r="H37" s="25">
        <f>RANK(INDEX(KOMBI!$A$11:$GI$145,MATCH('KSH järjestus'!$C37,KOMBI!$A$11:$A$145,0),MATCH('KSH järjestus'!H$3,KOMBI!$A$1:$GI$1,0)),BE$4:BE$138,H$2)</f>
        <v>125</v>
      </c>
      <c r="J37" s="25">
        <f>RANK(INDEX(KOMBI!$A$11:$GI$145,MATCH('KSH järjestus'!$C37,KOMBI!$A$11:$A$145,0),MATCH('KSH järjestus'!J$3,KOMBI!$A$1:$GI$1,0)),BG$4:BG$138,J$2)</f>
        <v>110</v>
      </c>
      <c r="M37" s="25">
        <f>RANK(INDEX(KOMBI!$A$11:$GI$145,MATCH('KSH järjestus'!$C37,KOMBI!$A$11:$A$145,0),MATCH('KSH järjestus'!M$3,KOMBI!$A$1:$GI$1,0)),BJ$4:BJ$138,M$2)</f>
        <v>55</v>
      </c>
      <c r="N37" s="25">
        <f>RANK(INDEX(KOMBI!$A$11:$GI$145,MATCH('KSH järjestus'!$C37,KOMBI!$A$11:$A$145,0),MATCH('KSH järjestus'!N$3,KOMBI!$A$1:$GI$1,0)),BK$4:BK$138,N$2)</f>
        <v>100</v>
      </c>
      <c r="O37" s="25">
        <f>RANK(INDEX(KOMBI!$A$11:$GI$145,MATCH('KSH järjestus'!$C37,KOMBI!$A$11:$A$145,0),MATCH('KSH järjestus'!O$3,KOMBI!$A$1:$GI$1,0)),BL$4:BL$138,O$2)</f>
        <v>129</v>
      </c>
      <c r="P37" s="25">
        <f>RANK(INDEX(KOMBI!$A$11:$GI$145,MATCH('KSH järjestus'!$C37,KOMBI!$A$11:$A$145,0),MATCH('KSH järjestus'!P$3,KOMBI!$A$1:$GI$1,0)),BM$4:BM$138,P$2)</f>
        <v>109</v>
      </c>
      <c r="Q37" s="25">
        <f>RANK(INDEX(KOMBI!$A$11:$GI$145,MATCH('KSH järjestus'!$C37,KOMBI!$A$11:$A$145,0),MATCH('KSH järjestus'!Q$3,KOMBI!$A$1:$GI$1,0)),BN$4:BN$138,Q$2)</f>
        <v>133</v>
      </c>
      <c r="R37" s="25">
        <f>RANK(INDEX(KOMBI!$A$11:$GI$145,MATCH('KSH järjestus'!$C37,KOMBI!$A$11:$A$145,0),MATCH('KSH järjestus'!R$3,KOMBI!$A$1:$GI$1,0)),BO$4:BO$138,R$2)</f>
        <v>109</v>
      </c>
      <c r="T37" s="25">
        <f>RANK(INDEX(KOMBI!$A$11:$GI$145,MATCH('KSH järjestus'!$C37,KOMBI!$A$11:$A$145,0),MATCH('KSH järjestus'!T$3,KOMBI!$A$1:$GI$1,0)),BQ$4:BQ$138,T$2)</f>
        <v>68</v>
      </c>
      <c r="U37" s="25">
        <f>RANK(INDEX(KOMBI!$A$11:$GI$145,MATCH('KSH järjestus'!$C37,KOMBI!$A$11:$A$145,0),MATCH('KSH järjestus'!U$3,KOMBI!$A$1:$GI$1,0)),BR$4:BR$138,U$2)</f>
        <v>76</v>
      </c>
      <c r="AA37" s="25">
        <f>RANK(INDEX(KOMBI!$A$11:$GI$145,MATCH('KSH järjestus'!$C37,KOMBI!$A$11:$A$145,0),MATCH('KSH järjestus'!AA$3,KOMBI!$A$1:$GI$1,0)),BX$4:BX$138,AA$2)</f>
        <v>67</v>
      </c>
      <c r="AB37" s="25">
        <f>RANK(INDEX(KOMBI!$A$11:$GI$145,MATCH('KSH järjestus'!$C37,KOMBI!$A$11:$A$145,0),MATCH('KSH järjestus'!AB$3,KOMBI!$A$1:$GI$1,0)),BY$4:BY$138,AB$2)</f>
        <v>46</v>
      </c>
      <c r="AC37" s="25">
        <f>RANK(INDEX(KOMBI!$A$11:$GI$145,MATCH('KSH järjestus'!$C37,KOMBI!$A$11:$A$145,0),MATCH('KSH järjestus'!AC$3,KOMBI!$A$1:$GI$1,0)),BZ$4:BZ$138,AC$2)</f>
        <v>58</v>
      </c>
      <c r="AD37" s="25">
        <f>RANK(INDEX(KOMBI!$A$11:$GI$145,MATCH('KSH järjestus'!$C37,KOMBI!$A$11:$A$145,0),MATCH('KSH järjestus'!AD$3,KOMBI!$A$1:$GI$1,0)),CA$4:CA$138,AD$2)</f>
        <v>71</v>
      </c>
      <c r="AE37" s="25">
        <f>RANK(INDEX(KOMBI!$A$11:$GI$145,MATCH('KSH järjestus'!$C37,KOMBI!$A$11:$A$145,0),MATCH('KSH järjestus'!AE$3,KOMBI!$A$1:$GI$1,0)),CB$4:CB$138,AE$2)</f>
        <v>74</v>
      </c>
      <c r="AG37" s="25">
        <f>RANK(INDEX(KOMBI!$A$11:$GI$145,MATCH('KSH järjestus'!$C37,KOMBI!$A$11:$A$145,0),MATCH('KSH järjestus'!AG$3,KOMBI!$A$1:$GI$1,0)),CD$4:CD$138,AG$2)</f>
        <v>64</v>
      </c>
      <c r="AH37" s="25">
        <f>RANK(INDEX(KOMBI!$A$11:$GI$145,MATCH('KSH järjestus'!$C37,KOMBI!$A$11:$A$145,0),MATCH('KSH järjestus'!AH$3,KOMBI!$A$1:$GI$1,0)),CE$4:CE$138,AH$2)</f>
        <v>1</v>
      </c>
      <c r="AI37" s="25">
        <f>RANK(INDEX(KOMBI!$A$11:$GI$145,MATCH('KSH järjestus'!$C37,KOMBI!$A$11:$A$145,0),MATCH('KSH järjestus'!AI$3,KOMBI!$A$1:$GI$1,0)),CF$4:CF$138,AI$2)</f>
        <v>79</v>
      </c>
      <c r="AJ37" s="25">
        <f>RANK(INDEX(KOMBI!$A$11:$GI$145,MATCH('KSH järjestus'!$C37,KOMBI!$A$11:$A$145,0),MATCH('KSH järjestus'!AJ$3,KOMBI!$A$1:$GI$1,0)),CG$4:CG$138,AJ$2)</f>
        <v>88</v>
      </c>
      <c r="AK37" s="25">
        <f>RANK(INDEX(KOMBI!$A$11:$GI$145,MATCH('KSH järjestus'!$C37,KOMBI!$A$11:$A$145,0),MATCH('KSH järjestus'!AK$3,KOMBI!$A$1:$GI$1,0)),CH$4:CH$138,AK$2)</f>
        <v>121</v>
      </c>
      <c r="AN37" s="25">
        <f>RANK(INDEX(KOMBI!$A$11:$GI$145,MATCH('KSH järjestus'!$C37,KOMBI!$A$11:$A$145,0),MATCH('KSH järjestus'!AN$3,KOMBI!$A$1:$GI$1,0)),CK$4:CK$138,AN$2)</f>
        <v>1</v>
      </c>
      <c r="AO37" s="25">
        <f>RANK(INDEX(KOMBI!$A$11:$GI$145,MATCH('KSH järjestus'!$C37,KOMBI!$A$11:$A$145,0),MATCH('KSH järjestus'!AO$3,KOMBI!$A$1:$GI$1,0)),CL$4:CL$138,AO$2)</f>
        <v>1</v>
      </c>
      <c r="AS37" s="297">
        <f t="shared" si="3"/>
        <v>1726</v>
      </c>
      <c r="AT37" s="25">
        <f t="shared" si="1"/>
        <v>1139</v>
      </c>
      <c r="AU37" s="25">
        <f t="shared" si="2"/>
        <v>78</v>
      </c>
      <c r="AV37" s="295" t="str">
        <f>VLOOKUP(VLOOKUP($AU37,KOMBI!$A:$H,3,FALSE),data!$I$27:$J$29,2,FALSE)</f>
        <v>Sekkuv/EÜ</v>
      </c>
      <c r="AW37" s="295" t="str">
        <f>VLOOKUP(VLOOKUP($AU37,KOMBI!$A:$H,2,FALSE),data!$I$21:$J$23,2,FALSE)</f>
        <v>Vähe-sekkuv</v>
      </c>
      <c r="AX37" s="295" t="str">
        <f>VLOOKUP(VLOOKUP($AU37,KOMBI!$A:$H,5,FALSE),data!$I$39:$J$41,2,FALSE)</f>
        <v>Sekkuv</v>
      </c>
      <c r="AY37" s="295" t="str">
        <f>VLOOKUP(VLOOKUP($AU37,KOMBI!$A:$H,4,FALSE),data!$I$32:$J$36,2,FALSE)</f>
        <v>LIB</v>
      </c>
      <c r="BA37" s="25">
        <f t="array" ref="BA37">INDEX(KOMBI!$A$1:$GI$145,ROW('KSH järjestus'!BA44),MATCH('KSH järjestus'!BA$3,KOMBI!$A$1:$GI$1,0))</f>
        <v>1.2623673370305748</v>
      </c>
      <c r="BB37" s="25">
        <f t="array" ref="BB37">INDEX(KOMBI!$A$1:$GI$145,ROW('KSH järjestus'!BB44),MATCH('KSH järjestus'!BB$3,KOMBI!$A$1:$GI$1,0))</f>
        <v>115.90584373047312</v>
      </c>
      <c r="BC37" s="25">
        <f t="array" aca="1" ref="BC37" ca="1">INDEX(KOMBI!$A$1:$GI$145,ROW('KSH järjestus'!BC44),MATCH('KSH järjestus'!BC$3,KOMBI!$A$1:$GI$1,0))</f>
        <v>-61.764123247218933</v>
      </c>
      <c r="BD37" s="25">
        <f t="array" ref="BD37">INDEX(KOMBI!$A$1:$GI$145,ROW('KSH järjestus'!BD44),MATCH('KSH järjestus'!BD$3,KOMBI!$A$1:$GI$1,0))</f>
        <v>-122.42</v>
      </c>
      <c r="BE37" s="25">
        <f t="array" ref="BE37">INDEX(KOMBI!$A$1:$GI$145,ROW('KSH järjestus'!BE44),MATCH('KSH järjestus'!BE$3,KOMBI!$A$1:$GI$1,0))</f>
        <v>60.655876752781069</v>
      </c>
      <c r="BF37" s="25">
        <f t="array" aca="1" ref="BF37" ca="1">INDEX(KOMBI!$A$1:$GI$145,ROW('KSH järjestus'!BF44),MATCH('KSH järjestus'!BF$3,KOMBI!$A$1:$GI$1,0))</f>
        <v>0</v>
      </c>
      <c r="BG37" s="25">
        <f t="array" ref="BG37">INDEX(KOMBI!$A$1:$GI$145,ROW('KSH järjestus'!BG44),MATCH('KSH järjestus'!BG$3,KOMBI!$A$1:$GI$1,0))</f>
        <v>0.602327938464434</v>
      </c>
      <c r="BH37" s="25">
        <f t="array" ref="BH37">INDEX(KOMBI!$A$1:$GI$145,ROW('KSH järjestus'!BH44),MATCH('KSH järjestus'!BH$3,KOMBI!$A$1:$GI$1,0))</f>
        <v>90</v>
      </c>
      <c r="BI37" s="25">
        <f t="array" ref="BI37">INDEX(KOMBI!$A$1:$GI$145,ROW('KSH järjestus'!BI44),MATCH('KSH järjestus'!BI$3,KOMBI!$A$1:$GI$1,0))</f>
        <v>1</v>
      </c>
      <c r="BJ37" s="25">
        <f t="array" ref="BJ37">INDEX(KOMBI!$A$1:$GI$145,ROW('KSH järjestus'!BJ44),MATCH('KSH järjestus'!BJ$3,KOMBI!$A$1:$GI$1,0))</f>
        <v>0.27911646586345373</v>
      </c>
      <c r="BK37" s="25">
        <f t="array" ref="BK37">INDEX(KOMBI!$A$1:$GI$145,ROW('KSH järjestus'!BK44),MATCH('KSH järjestus'!BK$3,KOMBI!$A$1:$GI$1,0))</f>
        <v>0.30802785422263623</v>
      </c>
      <c r="BL37" s="25">
        <f t="array" ref="BL37">INDEX(KOMBI!$A$1:$GI$145,ROW('KSH järjestus'!BL44),MATCH('KSH järjestus'!BL$3,KOMBI!$A$1:$GI$1,0))</f>
        <v>4.6932489610672333E-3</v>
      </c>
      <c r="BM37" s="25">
        <f t="array" ref="BM37">INDEX(KOMBI!$A$1:$GI$145,ROW('KSH järjestus'!BM44),MATCH('KSH järjestus'!BM$3,KOMBI!$A$1:$GI$1,0))</f>
        <v>-4.170315240633697E-3</v>
      </c>
      <c r="BN37" s="25">
        <f t="array" ref="BN37">INDEX(KOMBI!$A$1:$GI$145,ROW('KSH järjestus'!BN44),MATCH('KSH järjestus'!BN$3,KOMBI!$A$1:$GI$1,0))</f>
        <v>-3.1544979297291331E-3</v>
      </c>
      <c r="BO37" s="25">
        <f t="array" ref="BO37">INDEX(KOMBI!$A$1:$GI$145,ROW('KSH järjestus'!BO44),MATCH('KSH järjestus'!BO$3,KOMBI!$A$1:$GI$1,0))</f>
        <v>7.882499647692158E-3</v>
      </c>
      <c r="BP37" s="25">
        <f t="array" ref="BP37">INDEX(KOMBI!$A$1:$GI$145,ROW('KSH järjestus'!BP44),MATCH('KSH järjestus'!BP$3,KOMBI!$A$1:$GI$1,0))</f>
        <v>7.6207605777489071</v>
      </c>
      <c r="BQ37" s="25">
        <f t="array" ref="BQ37">INDEX(KOMBI!$A$1:$GI$145,ROW('KSH järjestus'!BQ44),MATCH('KSH järjestus'!BQ$3,KOMBI!$A$1:$GI$1,0))</f>
        <v>10.722</v>
      </c>
      <c r="BR37" s="25">
        <f t="array" ref="BR37">INDEX(KOMBI!$A$1:$GI$145,ROW('KSH järjestus'!BR44),MATCH('KSH järjestus'!BR$3,KOMBI!$A$1:$GI$1,0))</f>
        <v>-2.1541626321170734E-2</v>
      </c>
      <c r="BS37" s="25">
        <f t="array" ref="BS37">INDEX(KOMBI!$A$1:$GI$145,ROW('KSH järjestus'!BS44),MATCH('KSH järjestus'!BS$3,KOMBI!$A$1:$GI$1,0))</f>
        <v>-1.8657381848568147E-2</v>
      </c>
      <c r="BT37" s="25">
        <f t="array" ref="BT37">INDEX(KOMBI!$A$1:$GI$145,ROW('KSH järjestus'!BT44),MATCH('KSH järjestus'!BT$3,KOMBI!$A$1:$GI$1,0))</f>
        <v>-3.32156195252769E-2</v>
      </c>
      <c r="BU37" s="25">
        <f t="array" ref="BU37">INDEX(KOMBI!$A$1:$GI$145,ROW('KSH järjestus'!BU44),MATCH('KSH järjestus'!BU$3,KOMBI!$A$1:$GI$1,0))</f>
        <v>8.8367140697148798</v>
      </c>
      <c r="BV37" s="25">
        <f t="array" ref="BV37">INDEX(KOMBI!$A$1:$GI$145,ROW('KSH järjestus'!BV44),MATCH('KSH järjestus'!BV$3,KOMBI!$A$1:$GI$1,0))</f>
        <v>4.9379999999999997</v>
      </c>
      <c r="BW37" s="25">
        <f t="array" ref="BW37">INDEX(KOMBI!$A$1:$GI$145,ROW('KSH järjestus'!BW44),MATCH('KSH järjestus'!BW$3,KOMBI!$A$1:$GI$1,0))</f>
        <v>2.9976368215830602</v>
      </c>
      <c r="BX37" s="25">
        <f t="array" ref="BX37">INDEX(KOMBI!$A$1:$GI$145,ROW('KSH järjestus'!BX44),MATCH('KSH järjestus'!BX$3,KOMBI!$A$1:$GI$1,0))</f>
        <v>18.589578011574538</v>
      </c>
      <c r="BY37" s="25">
        <f t="array" ref="BY37">INDEX(KOMBI!$A$1:$GI$145,ROW('KSH järjestus'!BY44),MATCH('KSH järjestus'!BY$3,KOMBI!$A$1:$GI$1,0))</f>
        <v>11.2251245622786</v>
      </c>
      <c r="BZ37" s="25">
        <f t="array" ref="BZ37">INDEX(KOMBI!$A$1:$GI$145,ROW('KSH järjestus'!BZ44),MATCH('KSH järjestus'!BZ$3,KOMBI!$A$1:$GI$1,0))</f>
        <v>75</v>
      </c>
      <c r="CA37" s="25">
        <f t="array" ref="CA37">INDEX(KOMBI!$A$1:$GI$145,ROW('KSH järjestus'!CA44),MATCH('KSH järjestus'!CA$3,KOMBI!$A$1:$GI$1,0))</f>
        <v>14.284000000000001</v>
      </c>
      <c r="CB37" s="25">
        <f t="array" ref="CB37">INDEX(KOMBI!$A$1:$GI$145,ROW('KSH järjestus'!CB44),MATCH('KSH järjestus'!CB$3,KOMBI!$A$1:$GI$1,0))</f>
        <v>63.836388888888891</v>
      </c>
      <c r="CC37" s="25">
        <f t="array" ref="CC37">INDEX(KOMBI!$A$1:$GI$145,ROW('KSH järjestus'!CC44),MATCH('KSH järjestus'!CC$3,KOMBI!$A$1:$GI$1,0))</f>
        <v>5.1446639999999997</v>
      </c>
      <c r="CD37" s="25">
        <f t="array" ref="CD37">INDEX(KOMBI!$A$1:$GI$145,ROW('KSH järjestus'!CD44),MATCH('KSH järjestus'!CD$3,KOMBI!$A$1:$GI$1,0))</f>
        <v>309.09999999999997</v>
      </c>
      <c r="CE37" s="25">
        <f t="array" ref="CE37">INDEX(KOMBI!$A$1:$GI$145,ROW('KSH järjestus'!CE44),MATCH('KSH järjestus'!CE$3,KOMBI!$A$1:$GI$1,0))</f>
        <v>2.7559999999999998</v>
      </c>
      <c r="CF37" s="25">
        <f t="array" ref="CF37">INDEX(KOMBI!$A$1:$GI$145,ROW('KSH järjestus'!CF44),MATCH('KSH järjestus'!CF$3,KOMBI!$A$1:$GI$1,0))</f>
        <v>48.674567183462528</v>
      </c>
      <c r="CG37" s="25">
        <f t="array" ref="CG37">INDEX(KOMBI!$A$1:$GI$145,ROW('KSH järjestus'!CG44),MATCH('KSH järjestus'!CG$3,KOMBI!$A$1:$GI$1,0))</f>
        <v>2.201934621570804E-2</v>
      </c>
      <c r="CH37" s="25">
        <f t="array" ref="CH37">INDEX(KOMBI!$A$1:$GI$145,ROW('KSH järjestus'!CH44),MATCH('KSH järjestus'!CH$3,KOMBI!$A$1:$GI$1,0))</f>
        <v>0.35947746298057853</v>
      </c>
      <c r="CI37" s="25">
        <f t="array" ref="CI37">INDEX(KOMBI!$A$1:$GI$145,ROW('KSH järjestus'!CI44),MATCH('KSH järjestus'!CI$3,KOMBI!$A$1:$GI$1,0))</f>
        <v>6.08</v>
      </c>
      <c r="CJ37" s="25">
        <f t="array" ref="CJ37">INDEX(KOMBI!$A$1:$GI$145,ROW('KSH järjestus'!CJ44),MATCH('KSH järjestus'!CJ$3,KOMBI!$A$1:$GI$1,0))</f>
        <v>5.3996368215830604</v>
      </c>
      <c r="CK37" s="25">
        <f t="array" ref="CK37">INDEX(KOMBI!$A$1:$GI$145,ROW('KSH järjestus'!CK44),MATCH('KSH järjestus'!CK$3,KOMBI!$A$1:$GI$1,0))</f>
        <v>0.19900000000000001</v>
      </c>
      <c r="CL37" s="25">
        <f t="array" ref="CL37">INDEX(KOMBI!$A$1:$GI$145,ROW('KSH järjestus'!CL44),MATCH('KSH järjestus'!CL$3,KOMBI!$A$1:$GI$1,0))</f>
        <v>0.72299999999999998</v>
      </c>
    </row>
    <row r="38" spans="3:90" x14ac:dyDescent="0.2">
      <c r="C38" s="184">
        <v>35</v>
      </c>
      <c r="G38" s="25">
        <f>RANK(INDEX(KOMBI!$A$11:$GI$145,MATCH('KSH järjestus'!$C38,KOMBI!$A$11:$A$145,0),MATCH('KSH järjestus'!G$3,KOMBI!$A$1:$GI$1,0)),BD$4:BD$138,G$2)</f>
        <v>36</v>
      </c>
      <c r="H38" s="25">
        <f>RANK(INDEX(KOMBI!$A$11:$GI$145,MATCH('KSH järjestus'!$C38,KOMBI!$A$11:$A$145,0),MATCH('KSH järjestus'!H$3,KOMBI!$A$1:$GI$1,0)),BE$4:BE$138,H$2)</f>
        <v>107</v>
      </c>
      <c r="J38" s="25">
        <f>RANK(INDEX(KOMBI!$A$11:$GI$145,MATCH('KSH järjestus'!$C38,KOMBI!$A$11:$A$145,0),MATCH('KSH järjestus'!J$3,KOMBI!$A$1:$GI$1,0)),BG$4:BG$138,J$2)</f>
        <v>87</v>
      </c>
      <c r="M38" s="25">
        <f>RANK(INDEX(KOMBI!$A$11:$GI$145,MATCH('KSH järjestus'!$C38,KOMBI!$A$11:$A$145,0),MATCH('KSH järjestus'!M$3,KOMBI!$A$1:$GI$1,0)),BJ$4:BJ$138,M$2)</f>
        <v>55</v>
      </c>
      <c r="N38" s="25">
        <f>RANK(INDEX(KOMBI!$A$11:$GI$145,MATCH('KSH järjestus'!$C38,KOMBI!$A$11:$A$145,0),MATCH('KSH järjestus'!N$3,KOMBI!$A$1:$GI$1,0)),BK$4:BK$138,N$2)</f>
        <v>100</v>
      </c>
      <c r="O38" s="25">
        <f>RANK(INDEX(KOMBI!$A$11:$GI$145,MATCH('KSH järjestus'!$C38,KOMBI!$A$11:$A$145,0),MATCH('KSH järjestus'!O$3,KOMBI!$A$1:$GI$1,0)),BL$4:BL$138,O$2)</f>
        <v>104</v>
      </c>
      <c r="P38" s="25">
        <f>RANK(INDEX(KOMBI!$A$11:$GI$145,MATCH('KSH järjestus'!$C38,KOMBI!$A$11:$A$145,0),MATCH('KSH järjestus'!P$3,KOMBI!$A$1:$GI$1,0)),BM$4:BM$138,P$2)</f>
        <v>131</v>
      </c>
      <c r="Q38" s="25">
        <f>RANK(INDEX(KOMBI!$A$11:$GI$145,MATCH('KSH järjestus'!$C38,KOMBI!$A$11:$A$145,0),MATCH('KSH järjestus'!Q$3,KOMBI!$A$1:$GI$1,0)),BN$4:BN$138,Q$2)</f>
        <v>123</v>
      </c>
      <c r="R38" s="25">
        <f>RANK(INDEX(KOMBI!$A$11:$GI$145,MATCH('KSH järjestus'!$C38,KOMBI!$A$11:$A$145,0),MATCH('KSH järjestus'!R$3,KOMBI!$A$1:$GI$1,0)),BO$4:BO$138,R$2)</f>
        <v>72</v>
      </c>
      <c r="T38" s="25">
        <f>RANK(INDEX(KOMBI!$A$11:$GI$145,MATCH('KSH järjestus'!$C38,KOMBI!$A$11:$A$145,0),MATCH('KSH järjestus'!T$3,KOMBI!$A$1:$GI$1,0)),BQ$4:BQ$138,T$2)</f>
        <v>75</v>
      </c>
      <c r="U38" s="25">
        <f>RANK(INDEX(KOMBI!$A$11:$GI$145,MATCH('KSH järjestus'!$C38,KOMBI!$A$11:$A$145,0),MATCH('KSH järjestus'!U$3,KOMBI!$A$1:$GI$1,0)),BR$4:BR$138,U$2)</f>
        <v>86</v>
      </c>
      <c r="AA38" s="25">
        <f>RANK(INDEX(KOMBI!$A$11:$GI$145,MATCH('KSH järjestus'!$C38,KOMBI!$A$11:$A$145,0),MATCH('KSH järjestus'!AA$3,KOMBI!$A$1:$GI$1,0)),BX$4:BX$138,AA$2)</f>
        <v>67</v>
      </c>
      <c r="AB38" s="25">
        <f>RANK(INDEX(KOMBI!$A$11:$GI$145,MATCH('KSH järjestus'!$C38,KOMBI!$A$11:$A$145,0),MATCH('KSH järjestus'!AB$3,KOMBI!$A$1:$GI$1,0)),BY$4:BY$138,AB$2)</f>
        <v>46</v>
      </c>
      <c r="AC38" s="25">
        <f>RANK(INDEX(KOMBI!$A$11:$GI$145,MATCH('KSH järjestus'!$C38,KOMBI!$A$11:$A$145,0),MATCH('KSH järjestus'!AC$3,KOMBI!$A$1:$GI$1,0)),BZ$4:BZ$138,AC$2)</f>
        <v>64</v>
      </c>
      <c r="AD38" s="25">
        <f>RANK(INDEX(KOMBI!$A$11:$GI$145,MATCH('KSH järjestus'!$C38,KOMBI!$A$11:$A$145,0),MATCH('KSH järjestus'!AD$3,KOMBI!$A$1:$GI$1,0)),CA$4:CA$138,AD$2)</f>
        <v>76</v>
      </c>
      <c r="AE38" s="25">
        <f>RANK(INDEX(KOMBI!$A$11:$GI$145,MATCH('KSH järjestus'!$C38,KOMBI!$A$11:$A$145,0),MATCH('KSH järjestus'!AE$3,KOMBI!$A$1:$GI$1,0)),CB$4:CB$138,AE$2)</f>
        <v>77</v>
      </c>
      <c r="AG38" s="25">
        <f>RANK(INDEX(KOMBI!$A$11:$GI$145,MATCH('KSH järjestus'!$C38,KOMBI!$A$11:$A$145,0),MATCH('KSH järjestus'!AG$3,KOMBI!$A$1:$GI$1,0)),CD$4:CD$138,AG$2)</f>
        <v>64</v>
      </c>
      <c r="AH38" s="25">
        <f>RANK(INDEX(KOMBI!$A$11:$GI$145,MATCH('KSH järjestus'!$C38,KOMBI!$A$11:$A$145,0),MATCH('KSH järjestus'!AH$3,KOMBI!$A$1:$GI$1,0)),CE$4:CE$138,AH$2)</f>
        <v>1</v>
      </c>
      <c r="AI38" s="25">
        <f>RANK(INDEX(KOMBI!$A$11:$GI$145,MATCH('KSH järjestus'!$C38,KOMBI!$A$11:$A$145,0),MATCH('KSH järjestus'!AI$3,KOMBI!$A$1:$GI$1,0)),CF$4:CF$138,AI$2)</f>
        <v>79</v>
      </c>
      <c r="AJ38" s="25">
        <f>RANK(INDEX(KOMBI!$A$11:$GI$145,MATCH('KSH järjestus'!$C38,KOMBI!$A$11:$A$145,0),MATCH('KSH järjestus'!AJ$3,KOMBI!$A$1:$GI$1,0)),CG$4:CG$138,AJ$2)</f>
        <v>88</v>
      </c>
      <c r="AK38" s="25">
        <f>RANK(INDEX(KOMBI!$A$11:$GI$145,MATCH('KSH järjestus'!$C38,KOMBI!$A$11:$A$145,0),MATCH('KSH järjestus'!AK$3,KOMBI!$A$1:$GI$1,0)),CH$4:CH$138,AK$2)</f>
        <v>121</v>
      </c>
      <c r="AN38" s="25">
        <f>RANK(INDEX(KOMBI!$A$11:$GI$145,MATCH('KSH järjestus'!$C38,KOMBI!$A$11:$A$145,0),MATCH('KSH järjestus'!AN$3,KOMBI!$A$1:$GI$1,0)),CK$4:CK$138,AN$2)</f>
        <v>1</v>
      </c>
      <c r="AO38" s="25">
        <f>RANK(INDEX(KOMBI!$A$11:$GI$145,MATCH('KSH järjestus'!$C38,KOMBI!$A$11:$A$145,0),MATCH('KSH järjestus'!AO$3,KOMBI!$A$1:$GI$1,0)),CL$4:CL$138,AO$2)</f>
        <v>1</v>
      </c>
      <c r="AS38" s="297">
        <f t="shared" si="3"/>
        <v>1661</v>
      </c>
      <c r="AT38" s="25">
        <f t="shared" si="1"/>
        <v>1145</v>
      </c>
      <c r="AU38" s="25">
        <f t="shared" si="2"/>
        <v>81</v>
      </c>
      <c r="AV38" s="295" t="str">
        <f>VLOOKUP(VLOOKUP($AU38,KOMBI!$A:$H,3,FALSE),data!$I$27:$J$29,2,FALSE)</f>
        <v>Sekkuv/EÜ</v>
      </c>
      <c r="AW38" s="295" t="str">
        <f>VLOOKUP(VLOOKUP($AU38,KOMBI!$A:$H,2,FALSE),data!$I$21:$J$23,2,FALSE)</f>
        <v>Vähe-sekkuv</v>
      </c>
      <c r="AX38" s="295" t="str">
        <f>VLOOKUP(VLOOKUP($AU38,KOMBI!$A:$H,5,FALSE),data!$I$39:$J$41,2,FALSE)</f>
        <v>Sekkuv</v>
      </c>
      <c r="AY38" s="295" t="str">
        <f>VLOOKUP(VLOOKUP($AU38,KOMBI!$A:$H,4,FALSE),data!$I$32:$J$36,2,FALSE)</f>
        <v>LIB+</v>
      </c>
      <c r="BA38" s="25">
        <f t="array" ref="BA38">INDEX(KOMBI!$A$1:$GI$145,ROW('KSH järjestus'!BA45),MATCH('KSH järjestus'!BA$3,KOMBI!$A$1:$GI$1,0))</f>
        <v>2.1782789856764153</v>
      </c>
      <c r="BB38" s="25">
        <f t="array" ref="BB38">INDEX(KOMBI!$A$1:$GI$145,ROW('KSH järjestus'!BB45),MATCH('KSH järjestus'!BB$3,KOMBI!$A$1:$GI$1,0))</f>
        <v>276.38587599973636</v>
      </c>
      <c r="BC38" s="25">
        <f t="array" aca="1" ref="BC38" ca="1">INDEX(KOMBI!$A$1:$GI$145,ROW('KSH järjestus'!BC45),MATCH('KSH järjestus'!BC$3,KOMBI!$A$1:$GI$1,0))</f>
        <v>-32.598801218683832</v>
      </c>
      <c r="BD38" s="25">
        <f t="array" ref="BD38">INDEX(KOMBI!$A$1:$GI$145,ROW('KSH järjestus'!BD45),MATCH('KSH järjestus'!BD$3,KOMBI!$A$1:$GI$1,0))</f>
        <v>-137.65321988063209</v>
      </c>
      <c r="BE38" s="25">
        <f t="array" ref="BE38">INDEX(KOMBI!$A$1:$GI$145,ROW('KSH järjestus'!BE45),MATCH('KSH järjestus'!BE$3,KOMBI!$A$1:$GI$1,0))</f>
        <v>105.05441866194826</v>
      </c>
      <c r="BF38" s="25">
        <f t="array" aca="1" ref="BF38" ca="1">INDEX(KOMBI!$A$1:$GI$145,ROW('KSH järjestus'!BF45),MATCH('KSH järjestus'!BF$3,KOMBI!$A$1:$GI$1,0))</f>
        <v>0</v>
      </c>
      <c r="BG38" s="25">
        <f t="array" ref="BG38">INDEX(KOMBI!$A$1:$GI$145,ROW('KSH järjestus'!BG45),MATCH('KSH järjestus'!BG$3,KOMBI!$A$1:$GI$1,0))</f>
        <v>0.57802114842605268</v>
      </c>
      <c r="BH38" s="25">
        <f t="array" ref="BH38">INDEX(KOMBI!$A$1:$GI$145,ROW('KSH järjestus'!BH45),MATCH('KSH järjestus'!BH$3,KOMBI!$A$1:$GI$1,0))</f>
        <v>90</v>
      </c>
      <c r="BI38" s="25">
        <f t="array" ref="BI38">INDEX(KOMBI!$A$1:$GI$145,ROW('KSH järjestus'!BI45),MATCH('KSH järjestus'!BI$3,KOMBI!$A$1:$GI$1,0))</f>
        <v>0.91028830406496797</v>
      </c>
      <c r="BJ38" s="25">
        <f t="array" ref="BJ38">INDEX(KOMBI!$A$1:$GI$145,ROW('KSH järjestus'!BJ45),MATCH('KSH järjestus'!BJ$3,KOMBI!$A$1:$GI$1,0))</f>
        <v>0.27911646586345373</v>
      </c>
      <c r="BK38" s="25">
        <f t="array" ref="BK38">INDEX(KOMBI!$A$1:$GI$145,ROW('KSH järjestus'!BK45),MATCH('KSH järjestus'!BK$3,KOMBI!$A$1:$GI$1,0))</f>
        <v>0.30802785422263623</v>
      </c>
      <c r="BL38" s="25">
        <f t="array" ref="BL38">INDEX(KOMBI!$A$1:$GI$145,ROW('KSH järjestus'!BL45),MATCH('KSH järjestus'!BL$3,KOMBI!$A$1:$GI$1,0))</f>
        <v>1.0975642047489562E-2</v>
      </c>
      <c r="BM38" s="25">
        <f t="array" ref="BM38">INDEX(KOMBI!$A$1:$GI$145,ROW('KSH järjestus'!BM45),MATCH('KSH järjestus'!BM$3,KOMBI!$A$1:$GI$1,0))</f>
        <v>-6.8633680900493108E-3</v>
      </c>
      <c r="BN38" s="25">
        <f t="array" ref="BN38">INDEX(KOMBI!$A$1:$GI$145,ROW('KSH järjestus'!BN45),MATCH('KSH järjestus'!BN$3,KOMBI!$A$1:$GI$1,0))</f>
        <v>-6.6162806837130606E-4</v>
      </c>
      <c r="BO38" s="25">
        <f t="array" ref="BO38">INDEX(KOMBI!$A$1:$GI$145,ROW('KSH järjestus'!BO45),MATCH('KSH järjestus'!BO$3,KOMBI!$A$1:$GI$1,0))</f>
        <v>1.1707386191568987E-2</v>
      </c>
      <c r="BP38" s="25">
        <f t="array" ref="BP38">INDEX(KOMBI!$A$1:$GI$145,ROW('KSH järjestus'!BP45),MATCH('KSH järjestus'!BP$3,KOMBI!$A$1:$GI$1,0))</f>
        <v>7.6207605777489071</v>
      </c>
      <c r="BQ38" s="25">
        <f t="array" ref="BQ38">INDEX(KOMBI!$A$1:$GI$145,ROW('KSH järjestus'!BQ45),MATCH('KSH järjestus'!BQ$3,KOMBI!$A$1:$GI$1,0))</f>
        <v>10.813000000000001</v>
      </c>
      <c r="BR38" s="25">
        <f t="array" ref="BR38">INDEX(KOMBI!$A$1:$GI$145,ROW('KSH järjestus'!BR45),MATCH('KSH järjestus'!BR$3,KOMBI!$A$1:$GI$1,0))</f>
        <v>-1.7307827309906012E-2</v>
      </c>
      <c r="BS38" s="25">
        <f t="array" ref="BS38">INDEX(KOMBI!$A$1:$GI$145,ROW('KSH järjestus'!BS45),MATCH('KSH järjestus'!BS$3,KOMBI!$A$1:$GI$1,0))</f>
        <v>-1.7323769628932586E-2</v>
      </c>
      <c r="BT38" s="25">
        <f t="array" ref="BT38">INDEX(KOMBI!$A$1:$GI$145,ROW('KSH järjestus'!BT45),MATCH('KSH järjestus'!BT$3,KOMBI!$A$1:$GI$1,0))</f>
        <v>-3.2116656725882944E-2</v>
      </c>
      <c r="BU38" s="25">
        <f t="array" ref="BU38">INDEX(KOMBI!$A$1:$GI$145,ROW('KSH järjestus'!BU45),MATCH('KSH järjestus'!BU$3,KOMBI!$A$1:$GI$1,0))</f>
        <v>8.8367140697148798</v>
      </c>
      <c r="BV38" s="25">
        <f t="array" ref="BV38">INDEX(KOMBI!$A$1:$GI$145,ROW('KSH järjestus'!BV45),MATCH('KSH järjestus'!BV$3,KOMBI!$A$1:$GI$1,0))</f>
        <v>4.9379999999999997</v>
      </c>
      <c r="BW38" s="25">
        <f t="array" ref="BW38">INDEX(KOMBI!$A$1:$GI$145,ROW('KSH järjestus'!BW45),MATCH('KSH järjestus'!BW$3,KOMBI!$A$1:$GI$1,0))</f>
        <v>3.3751368215830602</v>
      </c>
      <c r="BX38" s="25">
        <f t="array" ref="BX38">INDEX(KOMBI!$A$1:$GI$145,ROW('KSH järjestus'!BX45),MATCH('KSH järjestus'!BX$3,KOMBI!$A$1:$GI$1,0))</f>
        <v>18.589578011574538</v>
      </c>
      <c r="BY38" s="25">
        <f t="array" ref="BY38">INDEX(KOMBI!$A$1:$GI$145,ROW('KSH järjestus'!BY45),MATCH('KSH järjestus'!BY$3,KOMBI!$A$1:$GI$1,0))</f>
        <v>11.2251245622786</v>
      </c>
      <c r="BZ38" s="25">
        <f t="array" ref="BZ38">INDEX(KOMBI!$A$1:$GI$145,ROW('KSH järjestus'!BZ45),MATCH('KSH järjestus'!BZ$3,KOMBI!$A$1:$GI$1,0))</f>
        <v>75.400000000000006</v>
      </c>
      <c r="CA38" s="25">
        <f t="array" ref="CA38">INDEX(KOMBI!$A$1:$GI$145,ROW('KSH järjestus'!CA45),MATCH('KSH järjestus'!CA$3,KOMBI!$A$1:$GI$1,0))</f>
        <v>14.372999999999999</v>
      </c>
      <c r="CB38" s="25">
        <f t="array" ref="CB38">INDEX(KOMBI!$A$1:$GI$145,ROW('KSH järjestus'!CB45),MATCH('KSH järjestus'!CB$3,KOMBI!$A$1:$GI$1,0))</f>
        <v>64.176666666666662</v>
      </c>
      <c r="CC38" s="25">
        <f t="array" ref="CC38">INDEX(KOMBI!$A$1:$GI$145,ROW('KSH järjestus'!CC45),MATCH('KSH järjestus'!CC$3,KOMBI!$A$1:$GI$1,0))</f>
        <v>5.177956</v>
      </c>
      <c r="CD38" s="25">
        <f t="array" ref="CD38">INDEX(KOMBI!$A$1:$GI$145,ROW('KSH järjestus'!CD45),MATCH('KSH järjestus'!CD$3,KOMBI!$A$1:$GI$1,0))</f>
        <v>309.09999999999997</v>
      </c>
      <c r="CE38" s="25">
        <f t="array" ref="CE38">INDEX(KOMBI!$A$1:$GI$145,ROW('KSH järjestus'!CE45),MATCH('KSH järjestus'!CE$3,KOMBI!$A$1:$GI$1,0))</f>
        <v>2.7559999999999998</v>
      </c>
      <c r="CF38" s="25">
        <f t="array" ref="CF38">INDEX(KOMBI!$A$1:$GI$145,ROW('KSH järjestus'!CF45),MATCH('KSH järjestus'!CF$3,KOMBI!$A$1:$GI$1,0))</f>
        <v>48.674567183462528</v>
      </c>
      <c r="CG38" s="25">
        <f t="array" ref="CG38">INDEX(KOMBI!$A$1:$GI$145,ROW('KSH järjestus'!CG45),MATCH('KSH järjestus'!CG$3,KOMBI!$A$1:$GI$1,0))</f>
        <v>2.201934621570804E-2</v>
      </c>
      <c r="CH38" s="25">
        <f t="array" ref="CH38">INDEX(KOMBI!$A$1:$GI$145,ROW('KSH järjestus'!CH45),MATCH('KSH järjestus'!CH$3,KOMBI!$A$1:$GI$1,0))</f>
        <v>0.35947746298057853</v>
      </c>
      <c r="CI38" s="25">
        <f t="array" ref="CI38">INDEX(KOMBI!$A$1:$GI$145,ROW('KSH järjestus'!CI45),MATCH('KSH järjestus'!CI$3,KOMBI!$A$1:$GI$1,0))</f>
        <v>6.08</v>
      </c>
      <c r="CJ38" s="25">
        <f t="array" ref="CJ38">INDEX(KOMBI!$A$1:$GI$145,ROW('KSH järjestus'!CJ45),MATCH('KSH järjestus'!CJ$3,KOMBI!$A$1:$GI$1,0))</f>
        <v>5.3996368215830604</v>
      </c>
      <c r="CK38" s="25">
        <f t="array" ref="CK38">INDEX(KOMBI!$A$1:$GI$145,ROW('KSH järjestus'!CK45),MATCH('KSH järjestus'!CK$3,KOMBI!$A$1:$GI$1,0))</f>
        <v>0.19900000000000001</v>
      </c>
      <c r="CL38" s="25">
        <f t="array" ref="CL38">INDEX(KOMBI!$A$1:$GI$145,ROW('KSH järjestus'!CL45),MATCH('KSH järjestus'!CL$3,KOMBI!$A$1:$GI$1,0))</f>
        <v>0.72299999999999998</v>
      </c>
    </row>
    <row r="39" spans="3:90" x14ac:dyDescent="0.2">
      <c r="C39" s="184">
        <v>36</v>
      </c>
      <c r="G39" s="25">
        <f>RANK(INDEX(KOMBI!$A$11:$GI$145,MATCH('KSH järjestus'!$C39,KOMBI!$A$11:$A$145,0),MATCH('KSH järjestus'!G$3,KOMBI!$A$1:$GI$1,0)),BD$4:BD$138,G$2)</f>
        <v>26</v>
      </c>
      <c r="H39" s="25">
        <f>RANK(INDEX(KOMBI!$A$11:$GI$145,MATCH('KSH järjestus'!$C39,KOMBI!$A$11:$A$145,0),MATCH('KSH järjestus'!H$3,KOMBI!$A$1:$GI$1,0)),BE$4:BE$138,H$2)</f>
        <v>82</v>
      </c>
      <c r="J39" s="25">
        <f>RANK(INDEX(KOMBI!$A$11:$GI$145,MATCH('KSH järjestus'!$C39,KOMBI!$A$11:$A$145,0),MATCH('KSH järjestus'!J$3,KOMBI!$A$1:$GI$1,0)),BG$4:BG$138,J$2)</f>
        <v>87</v>
      </c>
      <c r="M39" s="25">
        <f>RANK(INDEX(KOMBI!$A$11:$GI$145,MATCH('KSH järjestus'!$C39,KOMBI!$A$11:$A$145,0),MATCH('KSH järjestus'!M$3,KOMBI!$A$1:$GI$1,0)),BJ$4:BJ$138,M$2)</f>
        <v>55</v>
      </c>
      <c r="N39" s="25">
        <f>RANK(INDEX(KOMBI!$A$11:$GI$145,MATCH('KSH järjestus'!$C39,KOMBI!$A$11:$A$145,0),MATCH('KSH järjestus'!N$3,KOMBI!$A$1:$GI$1,0)),BK$4:BK$138,N$2)</f>
        <v>100</v>
      </c>
      <c r="O39" s="25">
        <f>RANK(INDEX(KOMBI!$A$11:$GI$145,MATCH('KSH järjestus'!$C39,KOMBI!$A$11:$A$145,0),MATCH('KSH järjestus'!O$3,KOMBI!$A$1:$GI$1,0)),BL$4:BL$138,O$2)</f>
        <v>70</v>
      </c>
      <c r="P39" s="25">
        <f>RANK(INDEX(KOMBI!$A$11:$GI$145,MATCH('KSH järjestus'!$C39,KOMBI!$A$11:$A$145,0),MATCH('KSH järjestus'!P$3,KOMBI!$A$1:$GI$1,0)),BM$4:BM$138,P$2)</f>
        <v>130</v>
      </c>
      <c r="Q39" s="25">
        <f>RANK(INDEX(KOMBI!$A$11:$GI$145,MATCH('KSH järjestus'!$C39,KOMBI!$A$11:$A$145,0),MATCH('KSH järjestus'!Q$3,KOMBI!$A$1:$GI$1,0)),BN$4:BN$138,Q$2)</f>
        <v>115</v>
      </c>
      <c r="R39" s="25">
        <f>RANK(INDEX(KOMBI!$A$11:$GI$145,MATCH('KSH järjestus'!$C39,KOMBI!$A$11:$A$145,0),MATCH('KSH järjestus'!R$3,KOMBI!$A$1:$GI$1,0)),BO$4:BO$138,R$2)</f>
        <v>37</v>
      </c>
      <c r="T39" s="25">
        <f>RANK(INDEX(KOMBI!$A$11:$GI$145,MATCH('KSH järjestus'!$C39,KOMBI!$A$11:$A$145,0),MATCH('KSH järjestus'!T$3,KOMBI!$A$1:$GI$1,0)),BQ$4:BQ$138,T$2)</f>
        <v>93</v>
      </c>
      <c r="U39" s="25">
        <f>RANK(INDEX(KOMBI!$A$11:$GI$145,MATCH('KSH järjestus'!$C39,KOMBI!$A$11:$A$145,0),MATCH('KSH järjestus'!U$3,KOMBI!$A$1:$GI$1,0)),BR$4:BR$138,U$2)</f>
        <v>95</v>
      </c>
      <c r="AA39" s="25">
        <f>RANK(INDEX(KOMBI!$A$11:$GI$145,MATCH('KSH järjestus'!$C39,KOMBI!$A$11:$A$145,0),MATCH('KSH järjestus'!AA$3,KOMBI!$A$1:$GI$1,0)),BX$4:BX$138,AA$2)</f>
        <v>67</v>
      </c>
      <c r="AB39" s="25">
        <f>RANK(INDEX(KOMBI!$A$11:$GI$145,MATCH('KSH järjestus'!$C39,KOMBI!$A$11:$A$145,0),MATCH('KSH järjestus'!AB$3,KOMBI!$A$1:$GI$1,0)),BY$4:BY$138,AB$2)</f>
        <v>46</v>
      </c>
      <c r="AC39" s="25">
        <f>RANK(INDEX(KOMBI!$A$11:$GI$145,MATCH('KSH järjestus'!$C39,KOMBI!$A$11:$A$145,0),MATCH('KSH järjestus'!AC$3,KOMBI!$A$1:$GI$1,0)),BZ$4:BZ$138,AC$2)</f>
        <v>76</v>
      </c>
      <c r="AD39" s="25">
        <f>RANK(INDEX(KOMBI!$A$11:$GI$145,MATCH('KSH järjestus'!$C39,KOMBI!$A$11:$A$145,0),MATCH('KSH järjestus'!AD$3,KOMBI!$A$1:$GI$1,0)),CA$4:CA$138,AD$2)</f>
        <v>85</v>
      </c>
      <c r="AE39" s="25">
        <f>RANK(INDEX(KOMBI!$A$11:$GI$145,MATCH('KSH järjestus'!$C39,KOMBI!$A$11:$A$145,0),MATCH('KSH järjestus'!AE$3,KOMBI!$A$1:$GI$1,0)),CB$4:CB$138,AE$2)</f>
        <v>83</v>
      </c>
      <c r="AG39" s="25">
        <f>RANK(INDEX(KOMBI!$A$11:$GI$145,MATCH('KSH järjestus'!$C39,KOMBI!$A$11:$A$145,0),MATCH('KSH järjestus'!AG$3,KOMBI!$A$1:$GI$1,0)),CD$4:CD$138,AG$2)</f>
        <v>64</v>
      </c>
      <c r="AH39" s="25">
        <f>RANK(INDEX(KOMBI!$A$11:$GI$145,MATCH('KSH järjestus'!$C39,KOMBI!$A$11:$A$145,0),MATCH('KSH järjestus'!AH$3,KOMBI!$A$1:$GI$1,0)),CE$4:CE$138,AH$2)</f>
        <v>1</v>
      </c>
      <c r="AI39" s="25">
        <f>RANK(INDEX(KOMBI!$A$11:$GI$145,MATCH('KSH järjestus'!$C39,KOMBI!$A$11:$A$145,0),MATCH('KSH järjestus'!AI$3,KOMBI!$A$1:$GI$1,0)),CF$4:CF$138,AI$2)</f>
        <v>79</v>
      </c>
      <c r="AJ39" s="25">
        <f>RANK(INDEX(KOMBI!$A$11:$GI$145,MATCH('KSH järjestus'!$C39,KOMBI!$A$11:$A$145,0),MATCH('KSH järjestus'!AJ$3,KOMBI!$A$1:$GI$1,0)),CG$4:CG$138,AJ$2)</f>
        <v>88</v>
      </c>
      <c r="AK39" s="25">
        <f>RANK(INDEX(KOMBI!$A$11:$GI$145,MATCH('KSH järjestus'!$C39,KOMBI!$A$11:$A$145,0),MATCH('KSH järjestus'!AK$3,KOMBI!$A$1:$GI$1,0)),CH$4:CH$138,AK$2)</f>
        <v>121</v>
      </c>
      <c r="AN39" s="25">
        <f>RANK(INDEX(KOMBI!$A$11:$GI$145,MATCH('KSH järjestus'!$C39,KOMBI!$A$11:$A$145,0),MATCH('KSH järjestus'!AN$3,KOMBI!$A$1:$GI$1,0)),CK$4:CK$138,AN$2)</f>
        <v>1</v>
      </c>
      <c r="AO39" s="25">
        <f>RANK(INDEX(KOMBI!$A$11:$GI$145,MATCH('KSH järjestus'!$C39,KOMBI!$A$11:$A$145,0),MATCH('KSH järjestus'!AO$3,KOMBI!$A$1:$GI$1,0)),CL$4:CL$138,AO$2)</f>
        <v>1</v>
      </c>
      <c r="AS39" s="297">
        <f t="shared" si="3"/>
        <v>1602</v>
      </c>
      <c r="AT39" s="25">
        <f t="shared" si="1"/>
        <v>1149</v>
      </c>
      <c r="AU39" s="25">
        <f t="shared" si="2"/>
        <v>72</v>
      </c>
      <c r="AV39" s="295" t="str">
        <f>VLOOKUP(VLOOKUP($AU39,KOMBI!$A:$H,3,FALSE),data!$I$27:$J$29,2,FALSE)</f>
        <v>Vähe-sekkuv</v>
      </c>
      <c r="AW39" s="295" t="str">
        <f>VLOOKUP(VLOOKUP($AU39,KOMBI!$A:$H,2,FALSE),data!$I$21:$J$23,2,FALSE)</f>
        <v>Vähe-sekkuv</v>
      </c>
      <c r="AX39" s="295" t="str">
        <f>VLOOKUP(VLOOKUP($AU39,KOMBI!$A:$H,5,FALSE),data!$I$39:$J$41,2,FALSE)</f>
        <v>Sekkuv</v>
      </c>
      <c r="AY39" s="295" t="str">
        <f>VLOOKUP(VLOOKUP($AU39,KOMBI!$A:$H,4,FALSE),data!$I$32:$J$36,2,FALSE)</f>
        <v>TE++</v>
      </c>
      <c r="BA39" s="25">
        <f t="array" ref="BA39">INDEX(KOMBI!$A$1:$GI$145,ROW('KSH järjestus'!BA46),MATCH('KSH järjestus'!BA$3,KOMBI!$A$1:$GI$1,0))</f>
        <v>3.0833787079179427</v>
      </c>
      <c r="BB39" s="25">
        <f t="array" ref="BB39">INDEX(KOMBI!$A$1:$GI$145,ROW('KSH järjestus'!BB46),MATCH('KSH järjestus'!BB$3,KOMBI!$A$1:$GI$1,0))</f>
        <v>392.99666701721566</v>
      </c>
      <c r="BC39" s="25">
        <f t="array" aca="1" ref="BC39" ca="1">INDEX(KOMBI!$A$1:$GI$145,ROW('KSH järjestus'!BC46),MATCH('KSH järjestus'!BC$3,KOMBI!$A$1:$GI$1,0))</f>
        <v>-16.044386859598916</v>
      </c>
      <c r="BD39" s="25">
        <f t="array" ref="BD39">INDEX(KOMBI!$A$1:$GI$145,ROW('KSH järjestus'!BD46),MATCH('KSH järjestus'!BD$3,KOMBI!$A$1:$GI$1,0))</f>
        <v>-156.76081369909105</v>
      </c>
      <c r="BE39" s="25">
        <f t="array" ref="BE39">INDEX(KOMBI!$A$1:$GI$145,ROW('KSH järjestus'!BE46),MATCH('KSH järjestus'!BE$3,KOMBI!$A$1:$GI$1,0))</f>
        <v>140.71642683949213</v>
      </c>
      <c r="BF39" s="25">
        <f t="array" aca="1" ref="BF39" ca="1">INDEX(KOMBI!$A$1:$GI$145,ROW('KSH järjestus'!BF46),MATCH('KSH järjestus'!BF$3,KOMBI!$A$1:$GI$1,0))</f>
        <v>0</v>
      </c>
      <c r="BG39" s="25">
        <f t="array" ref="BG39">INDEX(KOMBI!$A$1:$GI$145,ROW('KSH järjestus'!BG46),MATCH('KSH järjestus'!BG$3,KOMBI!$A$1:$GI$1,0))</f>
        <v>0.57802114842605268</v>
      </c>
      <c r="BH39" s="25">
        <f t="array" ref="BH39">INDEX(KOMBI!$A$1:$GI$145,ROW('KSH järjestus'!BH46),MATCH('KSH järjestus'!BH$3,KOMBI!$A$1:$GI$1,0))</f>
        <v>90</v>
      </c>
      <c r="BI39" s="25">
        <f t="array" ref="BI39">INDEX(KOMBI!$A$1:$GI$145,ROW('KSH järjestus'!BI46),MATCH('KSH järjestus'!BI$3,KOMBI!$A$1:$GI$1,0))</f>
        <v>0.91028830406496786</v>
      </c>
      <c r="BJ39" s="25">
        <f t="array" ref="BJ39">INDEX(KOMBI!$A$1:$GI$145,ROW('KSH järjestus'!BJ46),MATCH('KSH järjestus'!BJ$3,KOMBI!$A$1:$GI$1,0))</f>
        <v>0.27911646586345373</v>
      </c>
      <c r="BK39" s="25">
        <f t="array" ref="BK39">INDEX(KOMBI!$A$1:$GI$145,ROW('KSH järjestus'!BK46),MATCH('KSH järjestus'!BK$3,KOMBI!$A$1:$GI$1,0))</f>
        <v>0.30802785422263623</v>
      </c>
      <c r="BL39" s="25">
        <f t="array" ref="BL39">INDEX(KOMBI!$A$1:$GI$145,ROW('KSH järjestus'!BL46),MATCH('KSH järjestus'!BL$3,KOMBI!$A$1:$GI$1,0))</f>
        <v>1.562669742573608E-2</v>
      </c>
      <c r="BM39" s="25">
        <f t="array" ref="BM39">INDEX(KOMBI!$A$1:$GI$145,ROW('KSH järjestus'!BM46),MATCH('KSH järjestus'!BM$3,KOMBI!$A$1:$GI$1,0))</f>
        <v>-6.850602363007924E-3</v>
      </c>
      <c r="BN39" s="25">
        <f t="array" ref="BN39">INDEX(KOMBI!$A$1:$GI$145,ROW('KSH järjestus'!BN46),MATCH('KSH järjestus'!BN$3,KOMBI!$A$1:$GI$1,0))</f>
        <v>6.6916176767542468E-4</v>
      </c>
      <c r="BO39" s="25">
        <f t="array" ref="BO39">INDEX(KOMBI!$A$1:$GI$145,ROW('KSH järjestus'!BO46),MATCH('KSH järjestus'!BO$3,KOMBI!$A$1:$GI$1,0))</f>
        <v>1.5101249639733841E-2</v>
      </c>
      <c r="BP39" s="25">
        <f t="array" ref="BP39">INDEX(KOMBI!$A$1:$GI$145,ROW('KSH järjestus'!BP46),MATCH('KSH järjestus'!BP$3,KOMBI!$A$1:$GI$1,0))</f>
        <v>7.6207605777489071</v>
      </c>
      <c r="BQ39" s="25">
        <f t="array" ref="BQ39">INDEX(KOMBI!$A$1:$GI$145,ROW('KSH järjestus'!BQ46),MATCH('KSH järjestus'!BQ$3,KOMBI!$A$1:$GI$1,0))</f>
        <v>11.037000000000001</v>
      </c>
      <c r="BR39" s="25">
        <f t="array" ref="BR39">INDEX(KOMBI!$A$1:$GI$145,ROW('KSH järjestus'!BR46),MATCH('KSH järjestus'!BR$3,KOMBI!$A$1:$GI$1,0))</f>
        <v>-1.3328340179460113E-2</v>
      </c>
      <c r="BS39" s="25">
        <f t="array" ref="BS39">INDEX(KOMBI!$A$1:$GI$145,ROW('KSH järjestus'!BS46),MATCH('KSH järjestus'!BS$3,KOMBI!$A$1:$GI$1,0))</f>
        <v>-1.6064609712644139E-2</v>
      </c>
      <c r="BT39" s="25">
        <f t="array" ref="BT39">INDEX(KOMBI!$A$1:$GI$145,ROW('KSH järjestus'!BT46),MATCH('KSH järjestus'!BT$3,KOMBI!$A$1:$GI$1,0))</f>
        <v>-3.0655937752656688E-2</v>
      </c>
      <c r="BU39" s="25">
        <f t="array" ref="BU39">INDEX(KOMBI!$A$1:$GI$145,ROW('KSH järjestus'!BU46),MATCH('KSH järjestus'!BU$3,KOMBI!$A$1:$GI$1,0))</f>
        <v>8.8367140697148798</v>
      </c>
      <c r="BV39" s="25">
        <f t="array" ref="BV39">INDEX(KOMBI!$A$1:$GI$145,ROW('KSH järjestus'!BV46),MATCH('KSH järjestus'!BV$3,KOMBI!$A$1:$GI$1,0))</f>
        <v>4.9379999999999997</v>
      </c>
      <c r="BW39" s="25">
        <f t="array" ref="BW39">INDEX(KOMBI!$A$1:$GI$145,ROW('KSH järjestus'!BW46),MATCH('KSH järjestus'!BW$3,KOMBI!$A$1:$GI$1,0))</f>
        <v>3.5838368215830605</v>
      </c>
      <c r="BX39" s="25">
        <f t="array" ref="BX39">INDEX(KOMBI!$A$1:$GI$145,ROW('KSH järjestus'!BX46),MATCH('KSH järjestus'!BX$3,KOMBI!$A$1:$GI$1,0))</f>
        <v>18.589578011574538</v>
      </c>
      <c r="BY39" s="25">
        <f t="array" ref="BY39">INDEX(KOMBI!$A$1:$GI$145,ROW('KSH järjestus'!BY46),MATCH('KSH järjestus'!BY$3,KOMBI!$A$1:$GI$1,0))</f>
        <v>11.2251245622786</v>
      </c>
      <c r="BZ39" s="25">
        <f t="array" ref="BZ39">INDEX(KOMBI!$A$1:$GI$145,ROW('KSH järjestus'!BZ46),MATCH('KSH järjestus'!BZ$3,KOMBI!$A$1:$GI$1,0))</f>
        <v>77</v>
      </c>
      <c r="CA39" s="25">
        <f t="array" ref="CA39">INDEX(KOMBI!$A$1:$GI$145,ROW('KSH järjestus'!CA46),MATCH('KSH järjestus'!CA$3,KOMBI!$A$1:$GI$1,0))</f>
        <v>14.625</v>
      </c>
      <c r="CB39" s="25">
        <f t="array" ref="CB39">INDEX(KOMBI!$A$1:$GI$145,ROW('KSH järjestus'!CB46),MATCH('KSH järjestus'!CB$3,KOMBI!$A$1:$GI$1,0))</f>
        <v>65.084722222222226</v>
      </c>
      <c r="CC39" s="25">
        <f t="array" ref="CC39">INDEX(KOMBI!$A$1:$GI$145,ROW('KSH järjestus'!CC46),MATCH('KSH järjestus'!CC$3,KOMBI!$A$1:$GI$1,0))</f>
        <v>5.2713010000000002</v>
      </c>
      <c r="CD39" s="25">
        <f t="array" ref="CD39">INDEX(KOMBI!$A$1:$GI$145,ROW('KSH järjestus'!CD46),MATCH('KSH järjestus'!CD$3,KOMBI!$A$1:$GI$1,0))</f>
        <v>309.09999999999997</v>
      </c>
      <c r="CE39" s="25">
        <f t="array" ref="CE39">INDEX(KOMBI!$A$1:$GI$145,ROW('KSH järjestus'!CE46),MATCH('KSH järjestus'!CE$3,KOMBI!$A$1:$GI$1,0))</f>
        <v>2.7559999999999998</v>
      </c>
      <c r="CF39" s="25">
        <f t="array" ref="CF39">INDEX(KOMBI!$A$1:$GI$145,ROW('KSH järjestus'!CF46),MATCH('KSH järjestus'!CF$3,KOMBI!$A$1:$GI$1,0))</f>
        <v>48.674567183462528</v>
      </c>
      <c r="CG39" s="25">
        <f t="array" ref="CG39">INDEX(KOMBI!$A$1:$GI$145,ROW('KSH järjestus'!CG46),MATCH('KSH järjestus'!CG$3,KOMBI!$A$1:$GI$1,0))</f>
        <v>2.201934621570804E-2</v>
      </c>
      <c r="CH39" s="25">
        <f t="array" ref="CH39">INDEX(KOMBI!$A$1:$GI$145,ROW('KSH järjestus'!CH46),MATCH('KSH järjestus'!CH$3,KOMBI!$A$1:$GI$1,0))</f>
        <v>0.35947746298057853</v>
      </c>
      <c r="CI39" s="25">
        <f t="array" ref="CI39">INDEX(KOMBI!$A$1:$GI$145,ROW('KSH järjestus'!CI46),MATCH('KSH järjestus'!CI$3,KOMBI!$A$1:$GI$1,0))</f>
        <v>6.08</v>
      </c>
      <c r="CJ39" s="25">
        <f t="array" ref="CJ39">INDEX(KOMBI!$A$1:$GI$145,ROW('KSH järjestus'!CJ46),MATCH('KSH järjestus'!CJ$3,KOMBI!$A$1:$GI$1,0))</f>
        <v>5.3996368215830604</v>
      </c>
      <c r="CK39" s="25">
        <f t="array" ref="CK39">INDEX(KOMBI!$A$1:$GI$145,ROW('KSH järjestus'!CK46),MATCH('KSH järjestus'!CK$3,KOMBI!$A$1:$GI$1,0))</f>
        <v>0.19900000000000001</v>
      </c>
      <c r="CL39" s="25">
        <f t="array" ref="CL39">INDEX(KOMBI!$A$1:$GI$145,ROW('KSH järjestus'!CL46),MATCH('KSH järjestus'!CL$3,KOMBI!$A$1:$GI$1,0))</f>
        <v>0.72299999999999998</v>
      </c>
    </row>
    <row r="40" spans="3:90" x14ac:dyDescent="0.2">
      <c r="C40" s="184">
        <v>37</v>
      </c>
      <c r="G40" s="25">
        <f>RANK(INDEX(KOMBI!$A$11:$GI$145,MATCH('KSH järjestus'!$C40,KOMBI!$A$11:$A$145,0),MATCH('KSH järjestus'!G$3,KOMBI!$A$1:$GI$1,0)),BD$4:BD$138,G$2)</f>
        <v>41</v>
      </c>
      <c r="H40" s="25">
        <f>RANK(INDEX(KOMBI!$A$11:$GI$145,MATCH('KSH järjestus'!$C40,KOMBI!$A$11:$A$145,0),MATCH('KSH järjestus'!H$3,KOMBI!$A$1:$GI$1,0)),BE$4:BE$138,H$2)</f>
        <v>117</v>
      </c>
      <c r="J40" s="25">
        <f>RANK(INDEX(KOMBI!$A$11:$GI$145,MATCH('KSH järjestus'!$C40,KOMBI!$A$11:$A$145,0),MATCH('KSH järjestus'!J$3,KOMBI!$A$1:$GI$1,0)),BG$4:BG$138,J$2)</f>
        <v>76</v>
      </c>
      <c r="M40" s="25">
        <f>RANK(INDEX(KOMBI!$A$11:$GI$145,MATCH('KSH järjestus'!$C40,KOMBI!$A$11:$A$145,0),MATCH('KSH järjestus'!M$3,KOMBI!$A$1:$GI$1,0)),BJ$4:BJ$138,M$2)</f>
        <v>28</v>
      </c>
      <c r="N40" s="25">
        <f>RANK(INDEX(KOMBI!$A$11:$GI$145,MATCH('KSH järjestus'!$C40,KOMBI!$A$11:$A$145,0),MATCH('KSH järjestus'!N$3,KOMBI!$A$1:$GI$1,0)),BK$4:BK$138,N$2)</f>
        <v>64</v>
      </c>
      <c r="O40" s="25">
        <f>RANK(INDEX(KOMBI!$A$11:$GI$145,MATCH('KSH järjestus'!$C40,KOMBI!$A$11:$A$145,0),MATCH('KSH järjestus'!O$3,KOMBI!$A$1:$GI$1,0)),BL$4:BL$138,O$2)</f>
        <v>115</v>
      </c>
      <c r="P40" s="25">
        <f>RANK(INDEX(KOMBI!$A$11:$GI$145,MATCH('KSH järjestus'!$C40,KOMBI!$A$11:$A$145,0),MATCH('KSH järjestus'!P$3,KOMBI!$A$1:$GI$1,0)),BM$4:BM$138,P$2)</f>
        <v>111</v>
      </c>
      <c r="Q40" s="25">
        <f>RANK(INDEX(KOMBI!$A$11:$GI$145,MATCH('KSH järjestus'!$C40,KOMBI!$A$11:$A$145,0),MATCH('KSH järjestus'!Q$3,KOMBI!$A$1:$GI$1,0)),BN$4:BN$138,Q$2)</f>
        <v>131</v>
      </c>
      <c r="R40" s="25">
        <f>RANK(INDEX(KOMBI!$A$11:$GI$145,MATCH('KSH järjestus'!$C40,KOMBI!$A$11:$A$145,0),MATCH('KSH järjestus'!R$3,KOMBI!$A$1:$GI$1,0)),BO$4:BO$138,R$2)</f>
        <v>92</v>
      </c>
      <c r="T40" s="25">
        <f>RANK(INDEX(KOMBI!$A$11:$GI$145,MATCH('KSH järjestus'!$C40,KOMBI!$A$11:$A$145,0),MATCH('KSH järjestus'!T$3,KOMBI!$A$1:$GI$1,0)),BQ$4:BQ$138,T$2)</f>
        <v>73</v>
      </c>
      <c r="U40" s="25">
        <f>RANK(INDEX(KOMBI!$A$11:$GI$145,MATCH('KSH järjestus'!$C40,KOMBI!$A$11:$A$145,0),MATCH('KSH järjestus'!U$3,KOMBI!$A$1:$GI$1,0)),BR$4:BR$138,U$2)</f>
        <v>77</v>
      </c>
      <c r="AA40" s="25">
        <f>RANK(INDEX(KOMBI!$A$11:$GI$145,MATCH('KSH järjestus'!$C40,KOMBI!$A$11:$A$145,0),MATCH('KSH järjestus'!AA$3,KOMBI!$A$1:$GI$1,0)),BX$4:BX$138,AA$2)</f>
        <v>70</v>
      </c>
      <c r="AB40" s="25">
        <f>RANK(INDEX(KOMBI!$A$11:$GI$145,MATCH('KSH järjestus'!$C40,KOMBI!$A$11:$A$145,0),MATCH('KSH järjestus'!AB$3,KOMBI!$A$1:$GI$1,0)),BY$4:BY$138,AB$2)</f>
        <v>46</v>
      </c>
      <c r="AC40" s="25">
        <f>RANK(INDEX(KOMBI!$A$11:$GI$145,MATCH('KSH järjestus'!$C40,KOMBI!$A$11:$A$145,0),MATCH('KSH järjestus'!AC$3,KOMBI!$A$1:$GI$1,0)),BZ$4:BZ$138,AC$2)</f>
        <v>68</v>
      </c>
      <c r="AD40" s="25">
        <f>RANK(INDEX(KOMBI!$A$11:$GI$145,MATCH('KSH järjestus'!$C40,KOMBI!$A$11:$A$145,0),MATCH('KSH järjestus'!AD$3,KOMBI!$A$1:$GI$1,0)),CA$4:CA$138,AD$2)</f>
        <v>72</v>
      </c>
      <c r="AE40" s="25">
        <f>RANK(INDEX(KOMBI!$A$11:$GI$145,MATCH('KSH järjestus'!$C40,KOMBI!$A$11:$A$145,0),MATCH('KSH järjestus'!AE$3,KOMBI!$A$1:$GI$1,0)),CB$4:CB$138,AE$2)</f>
        <v>75</v>
      </c>
      <c r="AG40" s="25">
        <f>RANK(INDEX(KOMBI!$A$11:$GI$145,MATCH('KSH järjestus'!$C40,KOMBI!$A$11:$A$145,0),MATCH('KSH järjestus'!AG$3,KOMBI!$A$1:$GI$1,0)),CD$4:CD$138,AG$2)</f>
        <v>64</v>
      </c>
      <c r="AH40" s="25">
        <f>RANK(INDEX(KOMBI!$A$11:$GI$145,MATCH('KSH järjestus'!$C40,KOMBI!$A$11:$A$145,0),MATCH('KSH järjestus'!AH$3,KOMBI!$A$1:$GI$1,0)),CE$4:CE$138,AH$2)</f>
        <v>1</v>
      </c>
      <c r="AI40" s="25">
        <f>RANK(INDEX(KOMBI!$A$11:$GI$145,MATCH('KSH järjestus'!$C40,KOMBI!$A$11:$A$145,0),MATCH('KSH järjestus'!AI$3,KOMBI!$A$1:$GI$1,0)),CF$4:CF$138,AI$2)</f>
        <v>73</v>
      </c>
      <c r="AJ40" s="25">
        <f>RANK(INDEX(KOMBI!$A$11:$GI$145,MATCH('KSH järjestus'!$C40,KOMBI!$A$11:$A$145,0),MATCH('KSH järjestus'!AJ$3,KOMBI!$A$1:$GI$1,0)),CG$4:CG$138,AJ$2)</f>
        <v>16</v>
      </c>
      <c r="AK40" s="25">
        <f>RANK(INDEX(KOMBI!$A$11:$GI$145,MATCH('KSH järjestus'!$C40,KOMBI!$A$11:$A$145,0),MATCH('KSH järjestus'!AK$3,KOMBI!$A$1:$GI$1,0)),CH$4:CH$138,AK$2)</f>
        <v>73</v>
      </c>
      <c r="AN40" s="25">
        <f>RANK(INDEX(KOMBI!$A$11:$GI$145,MATCH('KSH järjestus'!$C40,KOMBI!$A$11:$A$145,0),MATCH('KSH järjestus'!AN$3,KOMBI!$A$1:$GI$1,0)),CK$4:CK$138,AN$2)</f>
        <v>1</v>
      </c>
      <c r="AO40" s="25">
        <f>RANK(INDEX(KOMBI!$A$11:$GI$145,MATCH('KSH järjestus'!$C40,KOMBI!$A$11:$A$145,0),MATCH('KSH järjestus'!AO$3,KOMBI!$A$1:$GI$1,0)),CL$4:CL$138,AO$2)</f>
        <v>1</v>
      </c>
      <c r="AS40" s="297">
        <f t="shared" si="3"/>
        <v>1485</v>
      </c>
      <c r="AT40" s="25">
        <f t="shared" si="1"/>
        <v>1173</v>
      </c>
      <c r="AU40" s="25">
        <f t="shared" si="2"/>
        <v>102</v>
      </c>
      <c r="AV40" s="295" t="str">
        <f>VLOOKUP(VLOOKUP($AU40,KOMBI!$A:$H,3,FALSE),data!$I$27:$J$29,2,FALSE)</f>
        <v>Mittesekkuv</v>
      </c>
      <c r="AW40" s="295" t="str">
        <f>VLOOKUP(VLOOKUP($AU40,KOMBI!$A:$H,2,FALSE),data!$I$21:$J$23,2,FALSE)</f>
        <v>Sekkuv</v>
      </c>
      <c r="AX40" s="295" t="str">
        <f>VLOOKUP(VLOOKUP($AU40,KOMBI!$A:$H,5,FALSE),data!$I$39:$J$41,2,FALSE)</f>
        <v>Sekkuv</v>
      </c>
      <c r="AY40" s="295" t="str">
        <f>VLOOKUP(VLOOKUP($AU40,KOMBI!$A:$H,4,FALSE),data!$I$32:$J$36,2,FALSE)</f>
        <v>TE++</v>
      </c>
      <c r="BA40" s="25">
        <f t="array" ref="BA40">INDEX(KOMBI!$A$1:$GI$145,ROW('KSH järjestus'!BA47),MATCH('KSH järjestus'!BA$3,KOMBI!$A$1:$GI$1,0))</f>
        <v>1.937346733579661</v>
      </c>
      <c r="BB40" s="25">
        <f t="array" ref="BB40">INDEX(KOMBI!$A$1:$GI$145,ROW('KSH järjestus'!BB47),MATCH('KSH järjestus'!BB$3,KOMBI!$A$1:$GI$1,0))</f>
        <v>201.9108993150052</v>
      </c>
      <c r="BC40" s="25">
        <f t="array" aca="1" ref="BC40" ca="1">INDEX(KOMBI!$A$1:$GI$145,ROW('KSH järjestus'!BC47),MATCH('KSH järjestus'!BC$3,KOMBI!$A$1:$GI$1,0))</f>
        <v>-38.942267263665869</v>
      </c>
      <c r="BD40" s="25">
        <f t="array" ref="BD40">INDEX(KOMBI!$A$1:$GI$145,ROW('KSH järjestus'!BD47),MATCH('KSH järjestus'!BD$3,KOMBI!$A$1:$GI$1,0))</f>
        <v>-122.42</v>
      </c>
      <c r="BE40" s="25">
        <f t="array" ref="BE40">INDEX(KOMBI!$A$1:$GI$145,ROW('KSH järjestus'!BE47),MATCH('KSH järjestus'!BE$3,KOMBI!$A$1:$GI$1,0))</f>
        <v>83.477732736334133</v>
      </c>
      <c r="BF40" s="25">
        <f t="array" aca="1" ref="BF40" ca="1">INDEX(KOMBI!$A$1:$GI$145,ROW('KSH järjestus'!BF47),MATCH('KSH järjestus'!BF$3,KOMBI!$A$1:$GI$1,0))</f>
        <v>0</v>
      </c>
      <c r="BG40" s="25">
        <f t="array" ref="BG40">INDEX(KOMBI!$A$1:$GI$145,ROW('KSH järjestus'!BG47),MATCH('KSH järjestus'!BG$3,KOMBI!$A$1:$GI$1,0))</f>
        <v>0.55799924372497489</v>
      </c>
      <c r="BH40" s="25">
        <f t="array" ref="BH40">INDEX(KOMBI!$A$1:$GI$145,ROW('KSH järjestus'!BH47),MATCH('KSH järjestus'!BH$3,KOMBI!$A$1:$GI$1,0))</f>
        <v>90</v>
      </c>
      <c r="BI40" s="25">
        <f t="array" ref="BI40">INDEX(KOMBI!$A$1:$GI$145,ROW('KSH järjestus'!BI47),MATCH('KSH järjestus'!BI$3,KOMBI!$A$1:$GI$1,0))</f>
        <v>1</v>
      </c>
      <c r="BJ40" s="25">
        <f t="array" ref="BJ40">INDEX(KOMBI!$A$1:$GI$145,ROW('KSH järjestus'!BJ47),MATCH('KSH järjestus'!BJ$3,KOMBI!$A$1:$GI$1,0))</f>
        <v>6.6265060240963902E-2</v>
      </c>
      <c r="BK40" s="25">
        <f t="array" ref="BK40">INDEX(KOMBI!$A$1:$GI$145,ROW('KSH järjestus'!BK47),MATCH('KSH järjestus'!BK$3,KOMBI!$A$1:$GI$1,0))</f>
        <v>0.35228282016177531</v>
      </c>
      <c r="BL40" s="25">
        <f t="array" ref="BL40">INDEX(KOMBI!$A$1:$GI$145,ROW('KSH järjestus'!BL47),MATCH('KSH järjestus'!BL$3,KOMBI!$A$1:$GI$1,0))</f>
        <v>8.3038951760639711E-3</v>
      </c>
      <c r="BM40" s="25">
        <f t="array" ref="BM40">INDEX(KOMBI!$A$1:$GI$145,ROW('KSH järjestus'!BM47),MATCH('KSH järjestus'!BM$3,KOMBI!$A$1:$GI$1,0))</f>
        <v>-4.9595271962261361E-3</v>
      </c>
      <c r="BN40" s="25">
        <f t="array" ref="BN40">INDEX(KOMBI!$A$1:$GI$145,ROW('KSH järjestus'!BN47),MATCH('KSH järjestus'!BN$3,KOMBI!$A$1:$GI$1,0))</f>
        <v>-1.5176135003429903E-3</v>
      </c>
      <c r="BO40" s="25">
        <f t="array" ref="BO40">INDEX(KOMBI!$A$1:$GI$145,ROW('KSH järjestus'!BO47),MATCH('KSH järjestus'!BO$3,KOMBI!$A$1:$GI$1,0))</f>
        <v>9.8836341699854342E-3</v>
      </c>
      <c r="BP40" s="25">
        <f t="array" ref="BP40">INDEX(KOMBI!$A$1:$GI$145,ROW('KSH järjestus'!BP47),MATCH('KSH järjestus'!BP$3,KOMBI!$A$1:$GI$1,0))</f>
        <v>7.623315679447102</v>
      </c>
      <c r="BQ40" s="25">
        <f t="array" ref="BQ40">INDEX(KOMBI!$A$1:$GI$145,ROW('KSH järjestus'!BQ47),MATCH('KSH järjestus'!BQ$3,KOMBI!$A$1:$GI$1,0))</f>
        <v>10.805</v>
      </c>
      <c r="BR40" s="25">
        <f t="array" ref="BR40">INDEX(KOMBI!$A$1:$GI$145,ROW('KSH järjestus'!BR47),MATCH('KSH järjestus'!BR$3,KOMBI!$A$1:$GI$1,0))</f>
        <v>-2.1524972444568764E-2</v>
      </c>
      <c r="BS40" s="25">
        <f t="array" ref="BS40">INDEX(KOMBI!$A$1:$GI$145,ROW('KSH järjestus'!BS47),MATCH('KSH järjestus'!BS$3,KOMBI!$A$1:$GI$1,0))</f>
        <v>-1.8989825203098915E-2</v>
      </c>
      <c r="BT40" s="25">
        <f t="array" ref="BT40">INDEX(KOMBI!$A$1:$GI$145,ROW('KSH järjestus'!BT47),MATCH('KSH järjestus'!BT$3,KOMBI!$A$1:$GI$1,0))</f>
        <v>-3.2943109159880295E-2</v>
      </c>
      <c r="BU40" s="25">
        <f t="array" ref="BU40">INDEX(KOMBI!$A$1:$GI$145,ROW('KSH järjestus'!BU47),MATCH('KSH järjestus'!BU$3,KOMBI!$A$1:$GI$1,0))</f>
        <v>8.8038856510938075</v>
      </c>
      <c r="BV40" s="25">
        <f t="array" ref="BV40">INDEX(KOMBI!$A$1:$GI$145,ROW('KSH järjestus'!BV47),MATCH('KSH järjestus'!BV$3,KOMBI!$A$1:$GI$1,0))</f>
        <v>4.9050000000000002</v>
      </c>
      <c r="BW40" s="25">
        <f t="array" ref="BW40">INDEX(KOMBI!$A$1:$GI$145,ROW('KSH järjestus'!BW47),MATCH('KSH järjestus'!BW$3,KOMBI!$A$1:$GI$1,0))</f>
        <v>2.9976368215830602</v>
      </c>
      <c r="BX40" s="25">
        <f t="array" ref="BX40">INDEX(KOMBI!$A$1:$GI$145,ROW('KSH järjestus'!BX47),MATCH('KSH järjestus'!BX$3,KOMBI!$A$1:$GI$1,0))</f>
        <v>18.592861099430586</v>
      </c>
      <c r="BY40" s="25">
        <f t="array" ref="BY40">INDEX(KOMBI!$A$1:$GI$145,ROW('KSH järjestus'!BY47),MATCH('KSH järjestus'!BY$3,KOMBI!$A$1:$GI$1,0))</f>
        <v>11.2251245622786</v>
      </c>
      <c r="BZ40" s="25">
        <f t="array" ref="BZ40">INDEX(KOMBI!$A$1:$GI$145,ROW('KSH järjestus'!BZ47),MATCH('KSH järjestus'!BZ$3,KOMBI!$A$1:$GI$1,0))</f>
        <v>76</v>
      </c>
      <c r="CA40" s="25">
        <f t="array" ref="CA40">INDEX(KOMBI!$A$1:$GI$145,ROW('KSH järjestus'!CA47),MATCH('KSH järjestus'!CA$3,KOMBI!$A$1:$GI$1,0))</f>
        <v>14.298999999999999</v>
      </c>
      <c r="CB40" s="25">
        <f t="array" ref="CB40">INDEX(KOMBI!$A$1:$GI$145,ROW('KSH järjestus'!CB47),MATCH('KSH järjestus'!CB$3,KOMBI!$A$1:$GI$1,0))</f>
        <v>63.842222222222219</v>
      </c>
      <c r="CC40" s="25">
        <f t="array" ref="CC40">INDEX(KOMBI!$A$1:$GI$145,ROW('KSH järjestus'!CC47),MATCH('KSH järjestus'!CC$3,KOMBI!$A$1:$GI$1,0))</f>
        <v>5.1656829999999996</v>
      </c>
      <c r="CD40" s="25">
        <f t="array" ref="CD40">INDEX(KOMBI!$A$1:$GI$145,ROW('KSH järjestus'!CD47),MATCH('KSH järjestus'!CD$3,KOMBI!$A$1:$GI$1,0))</f>
        <v>309.09999999999997</v>
      </c>
      <c r="CE40" s="25">
        <f t="array" ref="CE40">INDEX(KOMBI!$A$1:$GI$145,ROW('KSH järjestus'!CE47),MATCH('KSH järjestus'!CE$3,KOMBI!$A$1:$GI$1,0))</f>
        <v>2.7559999999999998</v>
      </c>
      <c r="CF40" s="25">
        <f t="array" ref="CF40">INDEX(KOMBI!$A$1:$GI$145,ROW('KSH järjestus'!CF47),MATCH('KSH järjestus'!CF$3,KOMBI!$A$1:$GI$1,0))</f>
        <v>48.634567183462529</v>
      </c>
      <c r="CG40" s="25">
        <f t="array" ref="CG40">INDEX(KOMBI!$A$1:$GI$145,ROW('KSH järjestus'!CG47),MATCH('KSH järjestus'!CG$3,KOMBI!$A$1:$GI$1,0))</f>
        <v>8.0193915230047791E-2</v>
      </c>
      <c r="CH40" s="25">
        <f t="array" ref="CH40">INDEX(KOMBI!$A$1:$GI$145,ROW('KSH järjestus'!CH47),MATCH('KSH järjestus'!CH$3,KOMBI!$A$1:$GI$1,0))</f>
        <v>0.41846756333624086</v>
      </c>
      <c r="CI40" s="25">
        <f t="array" ref="CI40">INDEX(KOMBI!$A$1:$GI$145,ROW('KSH järjestus'!CI47),MATCH('KSH järjestus'!CI$3,KOMBI!$A$1:$GI$1,0))</f>
        <v>6.08</v>
      </c>
      <c r="CJ40" s="25">
        <f t="array" ref="CJ40">INDEX(KOMBI!$A$1:$GI$145,ROW('KSH järjestus'!CJ47),MATCH('KSH järjestus'!CJ$3,KOMBI!$A$1:$GI$1,0))</f>
        <v>4.7076368215830611</v>
      </c>
      <c r="CK40" s="25">
        <f t="array" ref="CK40">INDEX(KOMBI!$A$1:$GI$145,ROW('KSH järjestus'!CK47),MATCH('KSH järjestus'!CK$3,KOMBI!$A$1:$GI$1,0))</f>
        <v>0.19900000000000001</v>
      </c>
      <c r="CL40" s="25">
        <f t="array" ref="CL40">INDEX(KOMBI!$A$1:$GI$145,ROW('KSH järjestus'!CL47),MATCH('KSH järjestus'!CL$3,KOMBI!$A$1:$GI$1,0))</f>
        <v>0.72299999999999998</v>
      </c>
    </row>
    <row r="41" spans="3:90" x14ac:dyDescent="0.2">
      <c r="C41" s="184">
        <v>38</v>
      </c>
      <c r="G41" s="25">
        <f>RANK(INDEX(KOMBI!$A$11:$GI$145,MATCH('KSH järjestus'!$C41,KOMBI!$A$11:$A$145,0),MATCH('KSH järjestus'!G$3,KOMBI!$A$1:$GI$1,0)),BD$4:BD$138,G$2)</f>
        <v>36</v>
      </c>
      <c r="H41" s="25">
        <f>RANK(INDEX(KOMBI!$A$11:$GI$145,MATCH('KSH järjestus'!$C41,KOMBI!$A$11:$A$145,0),MATCH('KSH järjestus'!H$3,KOMBI!$A$1:$GI$1,0)),BE$4:BE$138,H$2)</f>
        <v>90</v>
      </c>
      <c r="J41" s="25">
        <f>RANK(INDEX(KOMBI!$A$11:$GI$145,MATCH('KSH järjestus'!$C41,KOMBI!$A$11:$A$145,0),MATCH('KSH järjestus'!J$3,KOMBI!$A$1:$GI$1,0)),BG$4:BG$138,J$2)</f>
        <v>55</v>
      </c>
      <c r="M41" s="25">
        <f>RANK(INDEX(KOMBI!$A$11:$GI$145,MATCH('KSH järjestus'!$C41,KOMBI!$A$11:$A$145,0),MATCH('KSH järjestus'!M$3,KOMBI!$A$1:$GI$1,0)),BJ$4:BJ$138,M$2)</f>
        <v>28</v>
      </c>
      <c r="N41" s="25">
        <f>RANK(INDEX(KOMBI!$A$11:$GI$145,MATCH('KSH järjestus'!$C41,KOMBI!$A$11:$A$145,0),MATCH('KSH järjestus'!N$3,KOMBI!$A$1:$GI$1,0)),BK$4:BK$138,N$2)</f>
        <v>64</v>
      </c>
      <c r="O41" s="25">
        <f>RANK(INDEX(KOMBI!$A$11:$GI$145,MATCH('KSH järjestus'!$C41,KOMBI!$A$11:$A$145,0),MATCH('KSH järjestus'!O$3,KOMBI!$A$1:$GI$1,0)),BL$4:BL$138,O$2)</f>
        <v>80</v>
      </c>
      <c r="P41" s="25">
        <f>RANK(INDEX(KOMBI!$A$11:$GI$145,MATCH('KSH järjestus'!$C41,KOMBI!$A$11:$A$145,0),MATCH('KSH järjestus'!P$3,KOMBI!$A$1:$GI$1,0)),BM$4:BM$138,P$2)</f>
        <v>135</v>
      </c>
      <c r="Q41" s="25">
        <f>RANK(INDEX(KOMBI!$A$11:$GI$145,MATCH('KSH järjestus'!$C41,KOMBI!$A$11:$A$145,0),MATCH('KSH järjestus'!Q$3,KOMBI!$A$1:$GI$1,0)),BN$4:BN$138,Q$2)</f>
        <v>109</v>
      </c>
      <c r="R41" s="25">
        <f>RANK(INDEX(KOMBI!$A$11:$GI$145,MATCH('KSH järjestus'!$C41,KOMBI!$A$11:$A$145,0),MATCH('KSH järjestus'!R$3,KOMBI!$A$1:$GI$1,0)),BO$4:BO$138,R$2)</f>
        <v>49</v>
      </c>
      <c r="T41" s="25">
        <f>RANK(INDEX(KOMBI!$A$11:$GI$145,MATCH('KSH järjestus'!$C41,KOMBI!$A$11:$A$145,0),MATCH('KSH järjestus'!T$3,KOMBI!$A$1:$GI$1,0)),BQ$4:BQ$138,T$2)</f>
        <v>80</v>
      </c>
      <c r="U41" s="25">
        <f>RANK(INDEX(KOMBI!$A$11:$GI$145,MATCH('KSH järjestus'!$C41,KOMBI!$A$11:$A$145,0),MATCH('KSH järjestus'!U$3,KOMBI!$A$1:$GI$1,0)),BR$4:BR$138,U$2)</f>
        <v>87</v>
      </c>
      <c r="AA41" s="25">
        <f>RANK(INDEX(KOMBI!$A$11:$GI$145,MATCH('KSH järjestus'!$C41,KOMBI!$A$11:$A$145,0),MATCH('KSH järjestus'!AA$3,KOMBI!$A$1:$GI$1,0)),BX$4:BX$138,AA$2)</f>
        <v>70</v>
      </c>
      <c r="AB41" s="25">
        <f>RANK(INDEX(KOMBI!$A$11:$GI$145,MATCH('KSH järjestus'!$C41,KOMBI!$A$11:$A$145,0),MATCH('KSH järjestus'!AB$3,KOMBI!$A$1:$GI$1,0)),BY$4:BY$138,AB$2)</f>
        <v>46</v>
      </c>
      <c r="AC41" s="25">
        <f>RANK(INDEX(KOMBI!$A$11:$GI$145,MATCH('KSH järjestus'!$C41,KOMBI!$A$11:$A$145,0),MATCH('KSH järjestus'!AC$3,KOMBI!$A$1:$GI$1,0)),BZ$4:BZ$138,AC$2)</f>
        <v>74</v>
      </c>
      <c r="AD41" s="25">
        <f>RANK(INDEX(KOMBI!$A$11:$GI$145,MATCH('KSH järjestus'!$C41,KOMBI!$A$11:$A$145,0),MATCH('KSH järjestus'!AD$3,KOMBI!$A$1:$GI$1,0)),CA$4:CA$138,AD$2)</f>
        <v>78</v>
      </c>
      <c r="AE41" s="25">
        <f>RANK(INDEX(KOMBI!$A$11:$GI$145,MATCH('KSH järjestus'!$C41,KOMBI!$A$11:$A$145,0),MATCH('KSH järjestus'!AE$3,KOMBI!$A$1:$GI$1,0)),CB$4:CB$138,AE$2)</f>
        <v>78</v>
      </c>
      <c r="AG41" s="25">
        <f>RANK(INDEX(KOMBI!$A$11:$GI$145,MATCH('KSH järjestus'!$C41,KOMBI!$A$11:$A$145,0),MATCH('KSH järjestus'!AG$3,KOMBI!$A$1:$GI$1,0)),CD$4:CD$138,AG$2)</f>
        <v>64</v>
      </c>
      <c r="AH41" s="25">
        <f>RANK(INDEX(KOMBI!$A$11:$GI$145,MATCH('KSH järjestus'!$C41,KOMBI!$A$11:$A$145,0),MATCH('KSH järjestus'!AH$3,KOMBI!$A$1:$GI$1,0)),CE$4:CE$138,AH$2)</f>
        <v>1</v>
      </c>
      <c r="AI41" s="25">
        <f>RANK(INDEX(KOMBI!$A$11:$GI$145,MATCH('KSH järjestus'!$C41,KOMBI!$A$11:$A$145,0),MATCH('KSH järjestus'!AI$3,KOMBI!$A$1:$GI$1,0)),CF$4:CF$138,AI$2)</f>
        <v>73</v>
      </c>
      <c r="AJ41" s="25">
        <f>RANK(INDEX(KOMBI!$A$11:$GI$145,MATCH('KSH järjestus'!$C41,KOMBI!$A$11:$A$145,0),MATCH('KSH järjestus'!AJ$3,KOMBI!$A$1:$GI$1,0)),CG$4:CG$138,AJ$2)</f>
        <v>16</v>
      </c>
      <c r="AK41" s="25">
        <f>RANK(INDEX(KOMBI!$A$11:$GI$145,MATCH('KSH järjestus'!$C41,KOMBI!$A$11:$A$145,0),MATCH('KSH järjestus'!AK$3,KOMBI!$A$1:$GI$1,0)),CH$4:CH$138,AK$2)</f>
        <v>73</v>
      </c>
      <c r="AN41" s="25">
        <f>RANK(INDEX(KOMBI!$A$11:$GI$145,MATCH('KSH järjestus'!$C41,KOMBI!$A$11:$A$145,0),MATCH('KSH järjestus'!AN$3,KOMBI!$A$1:$GI$1,0)),CK$4:CK$138,AN$2)</f>
        <v>1</v>
      </c>
      <c r="AO41" s="25">
        <f>RANK(INDEX(KOMBI!$A$11:$GI$145,MATCH('KSH järjestus'!$C41,KOMBI!$A$11:$A$145,0),MATCH('KSH järjestus'!AO$3,KOMBI!$A$1:$GI$1,0)),CL$4:CL$138,AO$2)</f>
        <v>1</v>
      </c>
      <c r="AS41" s="297">
        <f t="shared" si="3"/>
        <v>1388</v>
      </c>
      <c r="AT41" s="25">
        <f t="shared" si="1"/>
        <v>1190</v>
      </c>
      <c r="AU41" s="25">
        <f t="shared" si="2"/>
        <v>69</v>
      </c>
      <c r="AV41" s="295" t="str">
        <f>VLOOKUP(VLOOKUP($AU41,KOMBI!$A:$H,3,FALSE),data!$I$27:$J$29,2,FALSE)</f>
        <v>Vähe-sekkuv</v>
      </c>
      <c r="AW41" s="295" t="str">
        <f>VLOOKUP(VLOOKUP($AU41,KOMBI!$A:$H,2,FALSE),data!$I$21:$J$23,2,FALSE)</f>
        <v>Vähe-sekkuv</v>
      </c>
      <c r="AX41" s="295" t="str">
        <f>VLOOKUP(VLOOKUP($AU41,KOMBI!$A:$H,5,FALSE),data!$I$39:$J$41,2,FALSE)</f>
        <v>Sekkuv</v>
      </c>
      <c r="AY41" s="295" t="str">
        <f>VLOOKUP(VLOOKUP($AU41,KOMBI!$A:$H,4,FALSE),data!$I$32:$J$36,2,FALSE)</f>
        <v>TE</v>
      </c>
      <c r="BA41" s="25">
        <f t="array" ref="BA41">INDEX(KOMBI!$A$1:$GI$145,ROW('KSH järjestus'!BA48),MATCH('KSH järjestus'!BA$3,KOMBI!$A$1:$GI$1,0))</f>
        <v>2.8532583822255022</v>
      </c>
      <c r="BB41" s="25">
        <f t="array" ref="BB41">INDEX(KOMBI!$A$1:$GI$145,ROW('KSH järjestus'!BB48),MATCH('KSH järjestus'!BB$3,KOMBI!$A$1:$GI$1,0))</f>
        <v>362.3909315842684</v>
      </c>
      <c r="BC41" s="25">
        <f t="array" aca="1" ref="BC41" ca="1">INDEX(KOMBI!$A$1:$GI$145,ROW('KSH järjestus'!BC48),MATCH('KSH järjestus'!BC$3,KOMBI!$A$1:$GI$1,0))</f>
        <v>-9.7769452351307677</v>
      </c>
      <c r="BD41" s="25">
        <f t="array" ref="BD41">INDEX(KOMBI!$A$1:$GI$145,ROW('KSH järjestus'!BD48),MATCH('KSH järjestus'!BD$3,KOMBI!$A$1:$GI$1,0))</f>
        <v>-137.65321988063209</v>
      </c>
      <c r="BE41" s="25">
        <f t="array" ref="BE41">INDEX(KOMBI!$A$1:$GI$145,ROW('KSH järjestus'!BE48),MATCH('KSH järjestus'!BE$3,KOMBI!$A$1:$GI$1,0))</f>
        <v>127.87627464550133</v>
      </c>
      <c r="BF41" s="25">
        <f t="array" aca="1" ref="BF41" ca="1">INDEX(KOMBI!$A$1:$GI$145,ROW('KSH järjestus'!BF48),MATCH('KSH järjestus'!BF$3,KOMBI!$A$1:$GI$1,0))</f>
        <v>0</v>
      </c>
      <c r="BG41" s="25">
        <f t="array" ref="BG41">INDEX(KOMBI!$A$1:$GI$145,ROW('KSH järjestus'!BG48),MATCH('KSH järjestus'!BG$3,KOMBI!$A$1:$GI$1,0))</f>
        <v>0.53367246231712451</v>
      </c>
      <c r="BH41" s="25">
        <f t="array" ref="BH41">INDEX(KOMBI!$A$1:$GI$145,ROW('KSH järjestus'!BH48),MATCH('KSH järjestus'!BH$3,KOMBI!$A$1:$GI$1,0))</f>
        <v>90</v>
      </c>
      <c r="BI41" s="25">
        <f t="array" ref="BI41">INDEX(KOMBI!$A$1:$GI$145,ROW('KSH järjestus'!BI48),MATCH('KSH järjestus'!BI$3,KOMBI!$A$1:$GI$1,0))</f>
        <v>0.91028830406496797</v>
      </c>
      <c r="BJ41" s="25">
        <f t="array" ref="BJ41">INDEX(KOMBI!$A$1:$GI$145,ROW('KSH järjestus'!BJ48),MATCH('KSH järjestus'!BJ$3,KOMBI!$A$1:$GI$1,0))</f>
        <v>6.6265060240963902E-2</v>
      </c>
      <c r="BK41" s="25">
        <f t="array" ref="BK41">INDEX(KOMBI!$A$1:$GI$145,ROW('KSH järjestus'!BK48),MATCH('KSH järjestus'!BK$3,KOMBI!$A$1:$GI$1,0))</f>
        <v>0.35228282016177531</v>
      </c>
      <c r="BL41" s="25">
        <f t="array" ref="BL41">INDEX(KOMBI!$A$1:$GI$145,ROW('KSH järjestus'!BL48),MATCH('KSH järjestus'!BL$3,KOMBI!$A$1:$GI$1,0))</f>
        <v>1.4586288262486299E-2</v>
      </c>
      <c r="BM41" s="25">
        <f t="array" ref="BM41">INDEX(KOMBI!$A$1:$GI$145,ROW('KSH järjestus'!BM48),MATCH('KSH järjestus'!BM$3,KOMBI!$A$1:$GI$1,0))</f>
        <v>-7.6525800456417499E-3</v>
      </c>
      <c r="BN41" s="25">
        <f t="array" ref="BN41">INDEX(KOMBI!$A$1:$GI$145,ROW('KSH järjestus'!BN48),MATCH('KSH järjestus'!BN$3,KOMBI!$A$1:$GI$1,0))</f>
        <v>9.7525636101483681E-4</v>
      </c>
      <c r="BO41" s="25">
        <f t="array" ref="BO41">INDEX(KOMBI!$A$1:$GI$145,ROW('KSH järjestus'!BO48),MATCH('KSH järjestus'!BO$3,KOMBI!$A$1:$GI$1,0))</f>
        <v>1.3708520713862263E-2</v>
      </c>
      <c r="BP41" s="25">
        <f t="array" ref="BP41">INDEX(KOMBI!$A$1:$GI$145,ROW('KSH järjestus'!BP48),MATCH('KSH järjestus'!BP$3,KOMBI!$A$1:$GI$1,0))</f>
        <v>7.623315679447102</v>
      </c>
      <c r="BQ41" s="25">
        <f t="array" ref="BQ41">INDEX(KOMBI!$A$1:$GI$145,ROW('KSH järjestus'!BQ48),MATCH('KSH järjestus'!BQ$3,KOMBI!$A$1:$GI$1,0))</f>
        <v>10.896000000000001</v>
      </c>
      <c r="BR41" s="25">
        <f t="array" ref="BR41">INDEX(KOMBI!$A$1:$GI$145,ROW('KSH järjestus'!BR48),MATCH('KSH järjestus'!BR$3,KOMBI!$A$1:$GI$1,0))</f>
        <v>-1.7291173433304042E-2</v>
      </c>
      <c r="BS41" s="25">
        <f t="array" ref="BS41">INDEX(KOMBI!$A$1:$GI$145,ROW('KSH järjestus'!BS48),MATCH('KSH järjestus'!BS$3,KOMBI!$A$1:$GI$1,0))</f>
        <v>-1.7656212983463353E-2</v>
      </c>
      <c r="BT41" s="25">
        <f t="array" ref="BT41">INDEX(KOMBI!$A$1:$GI$145,ROW('KSH järjestus'!BT48),MATCH('KSH järjestus'!BT$3,KOMBI!$A$1:$GI$1,0))</f>
        <v>-3.1844146360486339E-2</v>
      </c>
      <c r="BU41" s="25">
        <f t="array" ref="BU41">INDEX(KOMBI!$A$1:$GI$145,ROW('KSH järjestus'!BU48),MATCH('KSH järjestus'!BU$3,KOMBI!$A$1:$GI$1,0))</f>
        <v>8.8038856510938075</v>
      </c>
      <c r="BV41" s="25">
        <f t="array" ref="BV41">INDEX(KOMBI!$A$1:$GI$145,ROW('KSH järjestus'!BV48),MATCH('KSH järjestus'!BV$3,KOMBI!$A$1:$GI$1,0))</f>
        <v>4.9050000000000002</v>
      </c>
      <c r="BW41" s="25">
        <f t="array" ref="BW41">INDEX(KOMBI!$A$1:$GI$145,ROW('KSH järjestus'!BW48),MATCH('KSH järjestus'!BW$3,KOMBI!$A$1:$GI$1,0))</f>
        <v>3.3751368215830602</v>
      </c>
      <c r="BX41" s="25">
        <f t="array" ref="BX41">INDEX(KOMBI!$A$1:$GI$145,ROW('KSH järjestus'!BX48),MATCH('KSH järjestus'!BX$3,KOMBI!$A$1:$GI$1,0))</f>
        <v>18.592861099430586</v>
      </c>
      <c r="BY41" s="25">
        <f t="array" ref="BY41">INDEX(KOMBI!$A$1:$GI$145,ROW('KSH järjestus'!BY48),MATCH('KSH järjestus'!BY$3,KOMBI!$A$1:$GI$1,0))</f>
        <v>11.2251245622786</v>
      </c>
      <c r="BZ41" s="25">
        <f t="array" ref="BZ41">INDEX(KOMBI!$A$1:$GI$145,ROW('KSH järjestus'!BZ48),MATCH('KSH järjestus'!BZ$3,KOMBI!$A$1:$GI$1,0))</f>
        <v>76.400000000000006</v>
      </c>
      <c r="CA41" s="25">
        <f t="array" ref="CA41">INDEX(KOMBI!$A$1:$GI$145,ROW('KSH järjestus'!CA48),MATCH('KSH järjestus'!CA$3,KOMBI!$A$1:$GI$1,0))</f>
        <v>14.388</v>
      </c>
      <c r="CB41" s="25">
        <f t="array" ref="CB41">INDEX(KOMBI!$A$1:$GI$145,ROW('KSH järjestus'!CB48),MATCH('KSH järjestus'!CB$3,KOMBI!$A$1:$GI$1,0))</f>
        <v>64.18249999999999</v>
      </c>
      <c r="CC41" s="25">
        <f t="array" ref="CC41">INDEX(KOMBI!$A$1:$GI$145,ROW('KSH järjestus'!CC48),MATCH('KSH järjestus'!CC$3,KOMBI!$A$1:$GI$1,0))</f>
        <v>5.1989749999999999</v>
      </c>
      <c r="CD41" s="25">
        <f t="array" ref="CD41">INDEX(KOMBI!$A$1:$GI$145,ROW('KSH järjestus'!CD48),MATCH('KSH järjestus'!CD$3,KOMBI!$A$1:$GI$1,0))</f>
        <v>309.09999999999997</v>
      </c>
      <c r="CE41" s="25">
        <f t="array" ref="CE41">INDEX(KOMBI!$A$1:$GI$145,ROW('KSH järjestus'!CE48),MATCH('KSH järjestus'!CE$3,KOMBI!$A$1:$GI$1,0))</f>
        <v>2.7559999999999998</v>
      </c>
      <c r="CF41" s="25">
        <f t="array" ref="CF41">INDEX(KOMBI!$A$1:$GI$145,ROW('KSH järjestus'!CF48),MATCH('KSH järjestus'!CF$3,KOMBI!$A$1:$GI$1,0))</f>
        <v>48.634567183462529</v>
      </c>
      <c r="CG41" s="25">
        <f t="array" ref="CG41">INDEX(KOMBI!$A$1:$GI$145,ROW('KSH järjestus'!CG48),MATCH('KSH järjestus'!CG$3,KOMBI!$A$1:$GI$1,0))</f>
        <v>8.0193915230047791E-2</v>
      </c>
      <c r="CH41" s="25">
        <f t="array" ref="CH41">INDEX(KOMBI!$A$1:$GI$145,ROW('KSH järjestus'!CH48),MATCH('KSH järjestus'!CH$3,KOMBI!$A$1:$GI$1,0))</f>
        <v>0.41846756333624086</v>
      </c>
      <c r="CI41" s="25">
        <f t="array" ref="CI41">INDEX(KOMBI!$A$1:$GI$145,ROW('KSH järjestus'!CI48),MATCH('KSH järjestus'!CI$3,KOMBI!$A$1:$GI$1,0))</f>
        <v>6.08</v>
      </c>
      <c r="CJ41" s="25">
        <f t="array" ref="CJ41">INDEX(KOMBI!$A$1:$GI$145,ROW('KSH järjestus'!CJ48),MATCH('KSH järjestus'!CJ$3,KOMBI!$A$1:$GI$1,0))</f>
        <v>4.7076368215830611</v>
      </c>
      <c r="CK41" s="25">
        <f t="array" ref="CK41">INDEX(KOMBI!$A$1:$GI$145,ROW('KSH järjestus'!CK48),MATCH('KSH järjestus'!CK$3,KOMBI!$A$1:$GI$1,0))</f>
        <v>0.19900000000000001</v>
      </c>
      <c r="CL41" s="25">
        <f t="array" ref="CL41">INDEX(KOMBI!$A$1:$GI$145,ROW('KSH järjestus'!CL48),MATCH('KSH järjestus'!CL$3,KOMBI!$A$1:$GI$1,0))</f>
        <v>0.72299999999999998</v>
      </c>
    </row>
    <row r="42" spans="3:90" x14ac:dyDescent="0.2">
      <c r="C42" s="184">
        <v>39</v>
      </c>
      <c r="G42" s="25">
        <f>RANK(INDEX(KOMBI!$A$11:$GI$145,MATCH('KSH järjestus'!$C42,KOMBI!$A$11:$A$145,0),MATCH('KSH järjestus'!G$3,KOMBI!$A$1:$GI$1,0)),BD$4:BD$138,G$2)</f>
        <v>26</v>
      </c>
      <c r="H42" s="25">
        <f>RANK(INDEX(KOMBI!$A$11:$GI$145,MATCH('KSH järjestus'!$C42,KOMBI!$A$11:$A$145,0),MATCH('KSH järjestus'!H$3,KOMBI!$A$1:$GI$1,0)),BE$4:BE$138,H$2)</f>
        <v>67</v>
      </c>
      <c r="J42" s="25">
        <f>RANK(INDEX(KOMBI!$A$11:$GI$145,MATCH('KSH järjestus'!$C42,KOMBI!$A$11:$A$145,0),MATCH('KSH järjestus'!J$3,KOMBI!$A$1:$GI$1,0)),BG$4:BG$138,J$2)</f>
        <v>55</v>
      </c>
      <c r="M42" s="25">
        <f>RANK(INDEX(KOMBI!$A$11:$GI$145,MATCH('KSH järjestus'!$C42,KOMBI!$A$11:$A$145,0),MATCH('KSH järjestus'!M$3,KOMBI!$A$1:$GI$1,0)),BJ$4:BJ$138,M$2)</f>
        <v>28</v>
      </c>
      <c r="N42" s="25">
        <f>RANK(INDEX(KOMBI!$A$11:$GI$145,MATCH('KSH järjestus'!$C42,KOMBI!$A$11:$A$145,0),MATCH('KSH järjestus'!N$3,KOMBI!$A$1:$GI$1,0)),BK$4:BK$138,N$2)</f>
        <v>64</v>
      </c>
      <c r="O42" s="25">
        <f>RANK(INDEX(KOMBI!$A$11:$GI$145,MATCH('KSH järjestus'!$C42,KOMBI!$A$11:$A$145,0),MATCH('KSH järjestus'!O$3,KOMBI!$A$1:$GI$1,0)),BL$4:BL$138,O$2)</f>
        <v>47</v>
      </c>
      <c r="P42" s="25">
        <f>RANK(INDEX(KOMBI!$A$11:$GI$145,MATCH('KSH järjestus'!$C42,KOMBI!$A$11:$A$145,0),MATCH('KSH järjestus'!P$3,KOMBI!$A$1:$GI$1,0)),BM$4:BM$138,P$2)</f>
        <v>134</v>
      </c>
      <c r="Q42" s="25">
        <f>RANK(INDEX(KOMBI!$A$11:$GI$145,MATCH('KSH järjestus'!$C42,KOMBI!$A$11:$A$145,0),MATCH('KSH järjestus'!Q$3,KOMBI!$A$1:$GI$1,0)),BN$4:BN$138,Q$2)</f>
        <v>95</v>
      </c>
      <c r="R42" s="25">
        <f>RANK(INDEX(KOMBI!$A$11:$GI$145,MATCH('KSH järjestus'!$C42,KOMBI!$A$11:$A$145,0),MATCH('KSH järjestus'!R$3,KOMBI!$A$1:$GI$1,0)),BO$4:BO$138,R$2)</f>
        <v>22</v>
      </c>
      <c r="T42" s="25">
        <f>RANK(INDEX(KOMBI!$A$11:$GI$145,MATCH('KSH järjestus'!$C42,KOMBI!$A$11:$A$145,0),MATCH('KSH järjestus'!T$3,KOMBI!$A$1:$GI$1,0)),BQ$4:BQ$138,T$2)</f>
        <v>97</v>
      </c>
      <c r="U42" s="25">
        <f>RANK(INDEX(KOMBI!$A$11:$GI$145,MATCH('KSH järjestus'!$C42,KOMBI!$A$11:$A$145,0),MATCH('KSH järjestus'!U$3,KOMBI!$A$1:$GI$1,0)),BR$4:BR$138,U$2)</f>
        <v>96</v>
      </c>
      <c r="AA42" s="25">
        <f>RANK(INDEX(KOMBI!$A$11:$GI$145,MATCH('KSH järjestus'!$C42,KOMBI!$A$11:$A$145,0),MATCH('KSH järjestus'!AA$3,KOMBI!$A$1:$GI$1,0)),BX$4:BX$138,AA$2)</f>
        <v>70</v>
      </c>
      <c r="AB42" s="25">
        <f>RANK(INDEX(KOMBI!$A$11:$GI$145,MATCH('KSH järjestus'!$C42,KOMBI!$A$11:$A$145,0),MATCH('KSH järjestus'!AB$3,KOMBI!$A$1:$GI$1,0)),BY$4:BY$138,AB$2)</f>
        <v>46</v>
      </c>
      <c r="AC42" s="25">
        <f>RANK(INDEX(KOMBI!$A$11:$GI$145,MATCH('KSH järjestus'!$C42,KOMBI!$A$11:$A$145,0),MATCH('KSH järjestus'!AC$3,KOMBI!$A$1:$GI$1,0)),BZ$4:BZ$138,AC$2)</f>
        <v>82</v>
      </c>
      <c r="AD42" s="25">
        <f>RANK(INDEX(KOMBI!$A$11:$GI$145,MATCH('KSH järjestus'!$C42,KOMBI!$A$11:$A$145,0),MATCH('KSH järjestus'!AD$3,KOMBI!$A$1:$GI$1,0)),CA$4:CA$138,AD$2)</f>
        <v>87</v>
      </c>
      <c r="AE42" s="25">
        <f>RANK(INDEX(KOMBI!$A$11:$GI$145,MATCH('KSH järjestus'!$C42,KOMBI!$A$11:$A$145,0),MATCH('KSH järjestus'!AE$3,KOMBI!$A$1:$GI$1,0)),CB$4:CB$138,AE$2)</f>
        <v>84</v>
      </c>
      <c r="AG42" s="25">
        <f>RANK(INDEX(KOMBI!$A$11:$GI$145,MATCH('KSH järjestus'!$C42,KOMBI!$A$11:$A$145,0),MATCH('KSH järjestus'!AG$3,KOMBI!$A$1:$GI$1,0)),CD$4:CD$138,AG$2)</f>
        <v>64</v>
      </c>
      <c r="AH42" s="25">
        <f>RANK(INDEX(KOMBI!$A$11:$GI$145,MATCH('KSH järjestus'!$C42,KOMBI!$A$11:$A$145,0),MATCH('KSH järjestus'!AH$3,KOMBI!$A$1:$GI$1,0)),CE$4:CE$138,AH$2)</f>
        <v>1</v>
      </c>
      <c r="AI42" s="25">
        <f>RANK(INDEX(KOMBI!$A$11:$GI$145,MATCH('KSH järjestus'!$C42,KOMBI!$A$11:$A$145,0),MATCH('KSH järjestus'!AI$3,KOMBI!$A$1:$GI$1,0)),CF$4:CF$138,AI$2)</f>
        <v>73</v>
      </c>
      <c r="AJ42" s="25">
        <f>RANK(INDEX(KOMBI!$A$11:$GI$145,MATCH('KSH järjestus'!$C42,KOMBI!$A$11:$A$145,0),MATCH('KSH järjestus'!AJ$3,KOMBI!$A$1:$GI$1,0)),CG$4:CG$138,AJ$2)</f>
        <v>16</v>
      </c>
      <c r="AK42" s="25">
        <f>RANK(INDEX(KOMBI!$A$11:$GI$145,MATCH('KSH järjestus'!$C42,KOMBI!$A$11:$A$145,0),MATCH('KSH järjestus'!AK$3,KOMBI!$A$1:$GI$1,0)),CH$4:CH$138,AK$2)</f>
        <v>73</v>
      </c>
      <c r="AN42" s="25">
        <f>RANK(INDEX(KOMBI!$A$11:$GI$145,MATCH('KSH järjestus'!$C42,KOMBI!$A$11:$A$145,0),MATCH('KSH järjestus'!AN$3,KOMBI!$A$1:$GI$1,0)),CK$4:CK$138,AN$2)</f>
        <v>1</v>
      </c>
      <c r="AO42" s="25">
        <f>RANK(INDEX(KOMBI!$A$11:$GI$145,MATCH('KSH järjestus'!$C42,KOMBI!$A$11:$A$145,0),MATCH('KSH järjestus'!AO$3,KOMBI!$A$1:$GI$1,0)),CL$4:CL$138,AO$2)</f>
        <v>1</v>
      </c>
      <c r="AS42" s="297">
        <f t="shared" si="3"/>
        <v>1329</v>
      </c>
      <c r="AT42" s="25">
        <f t="shared" si="1"/>
        <v>1196</v>
      </c>
      <c r="AU42" s="25">
        <f t="shared" si="2"/>
        <v>77</v>
      </c>
      <c r="AV42" s="295" t="str">
        <f>VLOOKUP(VLOOKUP($AU42,KOMBI!$A:$H,3,FALSE),data!$I$27:$J$29,2,FALSE)</f>
        <v>Sekkuv/EÜ</v>
      </c>
      <c r="AW42" s="295" t="str">
        <f>VLOOKUP(VLOOKUP($AU42,KOMBI!$A:$H,2,FALSE),data!$I$21:$J$23,2,FALSE)</f>
        <v>Vähe-sekkuv</v>
      </c>
      <c r="AX42" s="295" t="str">
        <f>VLOOKUP(VLOOKUP($AU42,KOMBI!$A:$H,5,FALSE),data!$I$39:$J$41,2,FALSE)</f>
        <v>Vähe-sekkuv</v>
      </c>
      <c r="AY42" s="295" t="str">
        <f>VLOOKUP(VLOOKUP($AU42,KOMBI!$A:$H,4,FALSE),data!$I$32:$J$36,2,FALSE)</f>
        <v>LIB</v>
      </c>
      <c r="BA42" s="25">
        <f t="array" ref="BA42">INDEX(KOMBI!$A$1:$GI$145,ROW('KSH järjestus'!BA49),MATCH('KSH järjestus'!BA$3,KOMBI!$A$1:$GI$1,0))</f>
        <v>3.7583581044670291</v>
      </c>
      <c r="BB42" s="25">
        <f t="array" ref="BB42">INDEX(KOMBI!$A$1:$GI$145,ROW('KSH järjestus'!BB49),MATCH('KSH järjestus'!BB$3,KOMBI!$A$1:$GI$1,0))</f>
        <v>479.0017226017477</v>
      </c>
      <c r="BC42" s="25">
        <f t="array" aca="1" ref="BC42" ca="1">INDEX(KOMBI!$A$1:$GI$145,ROW('KSH järjestus'!BC49),MATCH('KSH järjestus'!BC$3,KOMBI!$A$1:$GI$1,0))</f>
        <v>6.7774691239541482</v>
      </c>
      <c r="BD42" s="25">
        <f t="array" ref="BD42">INDEX(KOMBI!$A$1:$GI$145,ROW('KSH järjestus'!BD49),MATCH('KSH järjestus'!BD$3,KOMBI!$A$1:$GI$1,0))</f>
        <v>-156.76081369909105</v>
      </c>
      <c r="BE42" s="25">
        <f t="array" ref="BE42">INDEX(KOMBI!$A$1:$GI$145,ROW('KSH järjestus'!BE49),MATCH('KSH järjestus'!BE$3,KOMBI!$A$1:$GI$1,0))</f>
        <v>163.53828282304519</v>
      </c>
      <c r="BF42" s="25">
        <f t="array" aca="1" ref="BF42" ca="1">INDEX(KOMBI!$A$1:$GI$145,ROW('KSH järjestus'!BF49),MATCH('KSH järjestus'!BF$3,KOMBI!$A$1:$GI$1,0))</f>
        <v>0</v>
      </c>
      <c r="BG42" s="25">
        <f t="array" ref="BG42">INDEX(KOMBI!$A$1:$GI$145,ROW('KSH järjestus'!BG49),MATCH('KSH järjestus'!BG$3,KOMBI!$A$1:$GI$1,0))</f>
        <v>0.53367246231712451</v>
      </c>
      <c r="BH42" s="25">
        <f t="array" ref="BH42">INDEX(KOMBI!$A$1:$GI$145,ROW('KSH järjestus'!BH49),MATCH('KSH järjestus'!BH$3,KOMBI!$A$1:$GI$1,0))</f>
        <v>90</v>
      </c>
      <c r="BI42" s="25">
        <f t="array" ref="BI42">INDEX(KOMBI!$A$1:$GI$145,ROW('KSH järjestus'!BI49),MATCH('KSH järjestus'!BI$3,KOMBI!$A$1:$GI$1,0))</f>
        <v>0.91028830406496786</v>
      </c>
      <c r="BJ42" s="25">
        <f t="array" ref="BJ42">INDEX(KOMBI!$A$1:$GI$145,ROW('KSH järjestus'!BJ49),MATCH('KSH järjestus'!BJ$3,KOMBI!$A$1:$GI$1,0))</f>
        <v>6.6265060240963902E-2</v>
      </c>
      <c r="BK42" s="25">
        <f t="array" ref="BK42">INDEX(KOMBI!$A$1:$GI$145,ROW('KSH järjestus'!BK49),MATCH('KSH järjestus'!BK$3,KOMBI!$A$1:$GI$1,0))</f>
        <v>0.35228282016177531</v>
      </c>
      <c r="BL42" s="25">
        <f t="array" ref="BL42">INDEX(KOMBI!$A$1:$GI$145,ROW('KSH järjestus'!BL49),MATCH('KSH järjestus'!BL$3,KOMBI!$A$1:$GI$1,0))</f>
        <v>1.9237343640732821E-2</v>
      </c>
      <c r="BM42" s="25">
        <f t="array" ref="BM42">INDEX(KOMBI!$A$1:$GI$145,ROW('KSH järjestus'!BM49),MATCH('KSH järjestus'!BM$3,KOMBI!$A$1:$GI$1,0))</f>
        <v>-7.6398143186003631E-3</v>
      </c>
      <c r="BN42" s="25">
        <f t="array" ref="BN42">INDEX(KOMBI!$A$1:$GI$145,ROW('KSH järjestus'!BN49),MATCH('KSH järjestus'!BN$3,KOMBI!$A$1:$GI$1,0))</f>
        <v>2.3060461970615675E-3</v>
      </c>
      <c r="BO42" s="25">
        <f t="array" ref="BO42">INDEX(KOMBI!$A$1:$GI$145,ROW('KSH järjestus'!BO49),MATCH('KSH järjestus'!BO$3,KOMBI!$A$1:$GI$1,0))</f>
        <v>1.7102384162027119E-2</v>
      </c>
      <c r="BP42" s="25">
        <f t="array" ref="BP42">INDEX(KOMBI!$A$1:$GI$145,ROW('KSH järjestus'!BP49),MATCH('KSH järjestus'!BP$3,KOMBI!$A$1:$GI$1,0))</f>
        <v>7.623315679447102</v>
      </c>
      <c r="BQ42" s="25">
        <f t="array" ref="BQ42">INDEX(KOMBI!$A$1:$GI$145,ROW('KSH järjestus'!BQ49),MATCH('KSH järjestus'!BQ$3,KOMBI!$A$1:$GI$1,0))</f>
        <v>11.12</v>
      </c>
      <c r="BR42" s="25">
        <f t="array" ref="BR42">INDEX(KOMBI!$A$1:$GI$145,ROW('KSH järjestus'!BR49),MATCH('KSH järjestus'!BR$3,KOMBI!$A$1:$GI$1,0))</f>
        <v>-1.3311686302858144E-2</v>
      </c>
      <c r="BS42" s="25">
        <f t="array" ref="BS42">INDEX(KOMBI!$A$1:$GI$145,ROW('KSH järjestus'!BS49),MATCH('KSH järjestus'!BS$3,KOMBI!$A$1:$GI$1,0))</f>
        <v>-1.6397053067174906E-2</v>
      </c>
      <c r="BT42" s="25">
        <f t="array" ref="BT42">INDEX(KOMBI!$A$1:$GI$145,ROW('KSH järjestus'!BT49),MATCH('KSH järjestus'!BT$3,KOMBI!$A$1:$GI$1,0))</f>
        <v>-3.0383427387260086E-2</v>
      </c>
      <c r="BU42" s="25">
        <f t="array" ref="BU42">INDEX(KOMBI!$A$1:$GI$145,ROW('KSH järjestus'!BU49),MATCH('KSH järjestus'!BU$3,KOMBI!$A$1:$GI$1,0))</f>
        <v>8.8038856510938075</v>
      </c>
      <c r="BV42" s="25">
        <f t="array" ref="BV42">INDEX(KOMBI!$A$1:$GI$145,ROW('KSH järjestus'!BV49),MATCH('KSH järjestus'!BV$3,KOMBI!$A$1:$GI$1,0))</f>
        <v>4.9050000000000002</v>
      </c>
      <c r="BW42" s="25">
        <f t="array" ref="BW42">INDEX(KOMBI!$A$1:$GI$145,ROW('KSH järjestus'!BW49),MATCH('KSH järjestus'!BW$3,KOMBI!$A$1:$GI$1,0))</f>
        <v>3.5838368215830605</v>
      </c>
      <c r="BX42" s="25">
        <f t="array" ref="BX42">INDEX(KOMBI!$A$1:$GI$145,ROW('KSH järjestus'!BX49),MATCH('KSH järjestus'!BX$3,KOMBI!$A$1:$GI$1,0))</f>
        <v>18.592861099430586</v>
      </c>
      <c r="BY42" s="25">
        <f t="array" ref="BY42">INDEX(KOMBI!$A$1:$GI$145,ROW('KSH järjestus'!BY49),MATCH('KSH järjestus'!BY$3,KOMBI!$A$1:$GI$1,0))</f>
        <v>11.2251245622786</v>
      </c>
      <c r="BZ42" s="25">
        <f t="array" ref="BZ42">INDEX(KOMBI!$A$1:$GI$145,ROW('KSH järjestus'!BZ49),MATCH('KSH järjestus'!BZ$3,KOMBI!$A$1:$GI$1,0))</f>
        <v>78</v>
      </c>
      <c r="CA42" s="25">
        <f t="array" ref="CA42">INDEX(KOMBI!$A$1:$GI$145,ROW('KSH järjestus'!CA49),MATCH('KSH järjestus'!CA$3,KOMBI!$A$1:$GI$1,0))</f>
        <v>14.64</v>
      </c>
      <c r="CB42" s="25">
        <f t="array" ref="CB42">INDEX(KOMBI!$A$1:$GI$145,ROW('KSH järjestus'!CB49),MATCH('KSH järjestus'!CB$3,KOMBI!$A$1:$GI$1,0))</f>
        <v>65.090555555555554</v>
      </c>
      <c r="CC42" s="25">
        <f t="array" ref="CC42">INDEX(KOMBI!$A$1:$GI$145,ROW('KSH järjestus'!CC49),MATCH('KSH järjestus'!CC$3,KOMBI!$A$1:$GI$1,0))</f>
        <v>5.2923200000000001</v>
      </c>
      <c r="CD42" s="25">
        <f t="array" ref="CD42">INDEX(KOMBI!$A$1:$GI$145,ROW('KSH järjestus'!CD49),MATCH('KSH järjestus'!CD$3,KOMBI!$A$1:$GI$1,0))</f>
        <v>309.09999999999997</v>
      </c>
      <c r="CE42" s="25">
        <f t="array" ref="CE42">INDEX(KOMBI!$A$1:$GI$145,ROW('KSH järjestus'!CE49),MATCH('KSH järjestus'!CE$3,KOMBI!$A$1:$GI$1,0))</f>
        <v>2.7559999999999998</v>
      </c>
      <c r="CF42" s="25">
        <f t="array" ref="CF42">INDEX(KOMBI!$A$1:$GI$145,ROW('KSH järjestus'!CF49),MATCH('KSH järjestus'!CF$3,KOMBI!$A$1:$GI$1,0))</f>
        <v>48.634567183462529</v>
      </c>
      <c r="CG42" s="25">
        <f t="array" ref="CG42">INDEX(KOMBI!$A$1:$GI$145,ROW('KSH järjestus'!CG49),MATCH('KSH järjestus'!CG$3,KOMBI!$A$1:$GI$1,0))</f>
        <v>8.0193915230047791E-2</v>
      </c>
      <c r="CH42" s="25">
        <f t="array" ref="CH42">INDEX(KOMBI!$A$1:$GI$145,ROW('KSH järjestus'!CH49),MATCH('KSH järjestus'!CH$3,KOMBI!$A$1:$GI$1,0))</f>
        <v>0.41846756333624086</v>
      </c>
      <c r="CI42" s="25">
        <f t="array" ref="CI42">INDEX(KOMBI!$A$1:$GI$145,ROW('KSH järjestus'!CI49),MATCH('KSH järjestus'!CI$3,KOMBI!$A$1:$GI$1,0))</f>
        <v>6.08</v>
      </c>
      <c r="CJ42" s="25">
        <f t="array" ref="CJ42">INDEX(KOMBI!$A$1:$GI$145,ROW('KSH järjestus'!CJ49),MATCH('KSH järjestus'!CJ$3,KOMBI!$A$1:$GI$1,0))</f>
        <v>4.7076368215830611</v>
      </c>
      <c r="CK42" s="25">
        <f t="array" ref="CK42">INDEX(KOMBI!$A$1:$GI$145,ROW('KSH järjestus'!CK49),MATCH('KSH järjestus'!CK$3,KOMBI!$A$1:$GI$1,0))</f>
        <v>0.19900000000000001</v>
      </c>
      <c r="CL42" s="25">
        <f t="array" ref="CL42">INDEX(KOMBI!$A$1:$GI$145,ROW('KSH järjestus'!CL49),MATCH('KSH järjestus'!CL$3,KOMBI!$A$1:$GI$1,0))</f>
        <v>0.72299999999999998</v>
      </c>
    </row>
    <row r="43" spans="3:90" x14ac:dyDescent="0.2">
      <c r="C43" s="184">
        <v>40</v>
      </c>
      <c r="G43" s="25">
        <f>RANK(INDEX(KOMBI!$A$11:$GI$145,MATCH('KSH järjestus'!$C43,KOMBI!$A$11:$A$145,0),MATCH('KSH järjestus'!G$3,KOMBI!$A$1:$GI$1,0)),BD$4:BD$138,G$2)</f>
        <v>41</v>
      </c>
      <c r="H43" s="25">
        <f>RANK(INDEX(KOMBI!$A$11:$GI$145,MATCH('KSH järjestus'!$C43,KOMBI!$A$11:$A$145,0),MATCH('KSH järjestus'!H$3,KOMBI!$A$1:$GI$1,0)),BE$4:BE$138,H$2)</f>
        <v>120</v>
      </c>
      <c r="J43" s="25">
        <f>RANK(INDEX(KOMBI!$A$11:$GI$145,MATCH('KSH järjestus'!$C43,KOMBI!$A$11:$A$145,0),MATCH('KSH järjestus'!J$3,KOMBI!$A$1:$GI$1,0)),BG$4:BG$138,J$2)</f>
        <v>132</v>
      </c>
      <c r="M43" s="25">
        <f>RANK(INDEX(KOMBI!$A$11:$GI$145,MATCH('KSH järjestus'!$C43,KOMBI!$A$11:$A$145,0),MATCH('KSH järjestus'!M$3,KOMBI!$A$1:$GI$1,0)),BJ$4:BJ$138,M$2)</f>
        <v>109</v>
      </c>
      <c r="N43" s="25">
        <f>RANK(INDEX(KOMBI!$A$11:$GI$145,MATCH('KSH järjestus'!$C43,KOMBI!$A$11:$A$145,0),MATCH('KSH järjestus'!N$3,KOMBI!$A$1:$GI$1,0)),BK$4:BK$138,N$2)</f>
        <v>19</v>
      </c>
      <c r="O43" s="25">
        <f>RANK(INDEX(KOMBI!$A$11:$GI$145,MATCH('KSH järjestus'!$C43,KOMBI!$A$11:$A$145,0),MATCH('KSH järjestus'!O$3,KOMBI!$A$1:$GI$1,0)),BL$4:BL$138,O$2)</f>
        <v>124</v>
      </c>
      <c r="P43" s="25">
        <f>RANK(INDEX(KOMBI!$A$11:$GI$145,MATCH('KSH järjestus'!$C43,KOMBI!$A$11:$A$145,0),MATCH('KSH järjestus'!P$3,KOMBI!$A$1:$GI$1,0)),BM$4:BM$138,P$2)</f>
        <v>110</v>
      </c>
      <c r="Q43" s="25">
        <f>RANK(INDEX(KOMBI!$A$11:$GI$145,MATCH('KSH järjestus'!$C43,KOMBI!$A$11:$A$145,0),MATCH('KSH järjestus'!Q$3,KOMBI!$A$1:$GI$1,0)),BN$4:BN$138,Q$2)</f>
        <v>135</v>
      </c>
      <c r="R43" s="25">
        <f>RANK(INDEX(KOMBI!$A$11:$GI$145,MATCH('KSH järjestus'!$C43,KOMBI!$A$11:$A$145,0),MATCH('KSH järjestus'!R$3,KOMBI!$A$1:$GI$1,0)),BO$4:BO$138,R$2)</f>
        <v>94</v>
      </c>
      <c r="T43" s="25">
        <f>RANK(INDEX(KOMBI!$A$11:$GI$145,MATCH('KSH järjestus'!$C43,KOMBI!$A$11:$A$145,0),MATCH('KSH järjestus'!T$3,KOMBI!$A$1:$GI$1,0)),BQ$4:BQ$138,T$2)</f>
        <v>36</v>
      </c>
      <c r="U43" s="25">
        <f>RANK(INDEX(KOMBI!$A$11:$GI$145,MATCH('KSH järjestus'!$C43,KOMBI!$A$11:$A$145,0),MATCH('KSH järjestus'!U$3,KOMBI!$A$1:$GI$1,0)),BR$4:BR$138,U$2)</f>
        <v>28</v>
      </c>
      <c r="AA43" s="25">
        <f>RANK(INDEX(KOMBI!$A$11:$GI$145,MATCH('KSH järjestus'!$C43,KOMBI!$A$11:$A$145,0),MATCH('KSH järjestus'!AA$3,KOMBI!$A$1:$GI$1,0)),BX$4:BX$138,AA$2)</f>
        <v>52</v>
      </c>
      <c r="AB43" s="25">
        <f>RANK(INDEX(KOMBI!$A$11:$GI$145,MATCH('KSH järjestus'!$C43,KOMBI!$A$11:$A$145,0),MATCH('KSH järjestus'!AB$3,KOMBI!$A$1:$GI$1,0)),BY$4:BY$138,AB$2)</f>
        <v>7</v>
      </c>
      <c r="AC43" s="25">
        <f>RANK(INDEX(KOMBI!$A$11:$GI$145,MATCH('KSH järjestus'!$C43,KOMBI!$A$11:$A$145,0),MATCH('KSH järjestus'!AC$3,KOMBI!$A$1:$GI$1,0)),BZ$4:BZ$138,AC$2)</f>
        <v>101</v>
      </c>
      <c r="AD43" s="25">
        <f>RANK(INDEX(KOMBI!$A$11:$GI$145,MATCH('KSH järjestus'!$C43,KOMBI!$A$11:$A$145,0),MATCH('KSH järjestus'!AD$3,KOMBI!$A$1:$GI$1,0)),CA$4:CA$138,AD$2)</f>
        <v>15</v>
      </c>
      <c r="AE43" s="25">
        <f>RANK(INDEX(KOMBI!$A$11:$GI$145,MATCH('KSH järjestus'!$C43,KOMBI!$A$11:$A$145,0),MATCH('KSH järjestus'!AE$3,KOMBI!$A$1:$GI$1,0)),CB$4:CB$138,AE$2)</f>
        <v>16</v>
      </c>
      <c r="AG43" s="25">
        <f>RANK(INDEX(KOMBI!$A$11:$GI$145,MATCH('KSH järjestus'!$C43,KOMBI!$A$11:$A$145,0),MATCH('KSH järjestus'!AG$3,KOMBI!$A$1:$GI$1,0)),CD$4:CD$138,AG$2)</f>
        <v>73</v>
      </c>
      <c r="AH43" s="25">
        <f>RANK(INDEX(KOMBI!$A$11:$GI$145,MATCH('KSH järjestus'!$C43,KOMBI!$A$11:$A$145,0),MATCH('KSH järjestus'!AH$3,KOMBI!$A$1:$GI$1,0)),CE$4:CE$138,AH$2)</f>
        <v>1</v>
      </c>
      <c r="AI43" s="25">
        <f>RANK(INDEX(KOMBI!$A$11:$GI$145,MATCH('KSH järjestus'!$C43,KOMBI!$A$11:$A$145,0),MATCH('KSH järjestus'!AI$3,KOMBI!$A$1:$GI$1,0)),CF$4:CF$138,AI$2)</f>
        <v>25</v>
      </c>
      <c r="AJ43" s="25">
        <f>RANK(INDEX(KOMBI!$A$11:$GI$145,MATCH('KSH järjestus'!$C43,KOMBI!$A$11:$A$145,0),MATCH('KSH järjestus'!AJ$3,KOMBI!$A$1:$GI$1,0)),CG$4:CG$138,AJ$2)</f>
        <v>88</v>
      </c>
      <c r="AK43" s="25">
        <f>RANK(INDEX(KOMBI!$A$11:$GI$145,MATCH('KSH järjestus'!$C43,KOMBI!$A$11:$A$145,0),MATCH('KSH järjestus'!AK$3,KOMBI!$A$1:$GI$1,0)),CH$4:CH$138,AK$2)</f>
        <v>37</v>
      </c>
      <c r="AN43" s="25">
        <f>RANK(INDEX(KOMBI!$A$11:$GI$145,MATCH('KSH järjestus'!$C43,KOMBI!$A$11:$A$145,0),MATCH('KSH järjestus'!AN$3,KOMBI!$A$1:$GI$1,0)),CK$4:CK$138,AN$2)</f>
        <v>1</v>
      </c>
      <c r="AO43" s="25">
        <f>RANK(INDEX(KOMBI!$A$11:$GI$145,MATCH('KSH järjestus'!$C43,KOMBI!$A$11:$A$145,0),MATCH('KSH järjestus'!AO$3,KOMBI!$A$1:$GI$1,0)),CL$4:CL$138,AO$2)</f>
        <v>1</v>
      </c>
      <c r="AS43" s="297">
        <f t="shared" si="3"/>
        <v>1365</v>
      </c>
      <c r="AT43" s="25">
        <f t="shared" si="1"/>
        <v>1201</v>
      </c>
      <c r="AU43" s="25">
        <f t="shared" si="2"/>
        <v>80</v>
      </c>
      <c r="AV43" s="295" t="str">
        <f>VLOOKUP(VLOOKUP($AU43,KOMBI!$A:$H,3,FALSE),data!$I$27:$J$29,2,FALSE)</f>
        <v>Sekkuv/EÜ</v>
      </c>
      <c r="AW43" s="295" t="str">
        <f>VLOOKUP(VLOOKUP($AU43,KOMBI!$A:$H,2,FALSE),data!$I$21:$J$23,2,FALSE)</f>
        <v>Vähe-sekkuv</v>
      </c>
      <c r="AX43" s="295" t="str">
        <f>VLOOKUP(VLOOKUP($AU43,KOMBI!$A:$H,5,FALSE),data!$I$39:$J$41,2,FALSE)</f>
        <v>Vähe-sekkuv</v>
      </c>
      <c r="AY43" s="295" t="str">
        <f>VLOOKUP(VLOOKUP($AU43,KOMBI!$A:$H,4,FALSE),data!$I$32:$J$36,2,FALSE)</f>
        <v>LIB+</v>
      </c>
      <c r="BA43" s="25">
        <f t="array" ref="BA43">INDEX(KOMBI!$A$1:$GI$145,ROW('KSH järjestus'!BA50),MATCH('KSH järjestus'!BA$3,KOMBI!$A$1:$GI$1,0))</f>
        <v>5.8320479825161096</v>
      </c>
      <c r="BB43" s="25">
        <f t="array" ref="BB43">INDEX(KOMBI!$A$1:$GI$145,ROW('KSH järjestus'!BB50),MATCH('KSH järjestus'!BB$3,KOMBI!$A$1:$GI$1,0))</f>
        <v>144.50053647366767</v>
      </c>
      <c r="BC43" s="25">
        <f t="array" aca="1" ref="BC43" ca="1">INDEX(KOMBI!$A$1:$GI$145,ROW('KSH järjestus'!BC50),MATCH('KSH järjestus'!BC$3,KOMBI!$A$1:$GI$1,0))</f>
        <v>-48.569067100965199</v>
      </c>
      <c r="BD43" s="25">
        <f t="array" ref="BD43">INDEX(KOMBI!$A$1:$GI$145,ROW('KSH järjestus'!BD50),MATCH('KSH järjestus'!BD$3,KOMBI!$A$1:$GI$1,0))</f>
        <v>-122.42</v>
      </c>
      <c r="BE43" s="25">
        <f t="array" ref="BE43">INDEX(KOMBI!$A$1:$GI$145,ROW('KSH järjestus'!BE50),MATCH('KSH järjestus'!BE$3,KOMBI!$A$1:$GI$1,0))</f>
        <v>73.850932899034802</v>
      </c>
      <c r="BF43" s="25">
        <f t="array" aca="1" ref="BF43" ca="1">INDEX(KOMBI!$A$1:$GI$145,ROW('KSH järjestus'!BF50),MATCH('KSH järjestus'!BF$3,KOMBI!$A$1:$GI$1,0))</f>
        <v>0</v>
      </c>
      <c r="BG43" s="25">
        <f t="array" ref="BG43">INDEX(KOMBI!$A$1:$GI$145,ROW('KSH järjestus'!BG50),MATCH('KSH järjestus'!BG$3,KOMBI!$A$1:$GI$1,0))</f>
        <v>0.67780623250795347</v>
      </c>
      <c r="BH43" s="25">
        <f t="array" ref="BH43">INDEX(KOMBI!$A$1:$GI$145,ROW('KSH järjestus'!BH50),MATCH('KSH järjestus'!BH$3,KOMBI!$A$1:$GI$1,0))</f>
        <v>90</v>
      </c>
      <c r="BI43" s="25">
        <f t="array" ref="BI43">INDEX(KOMBI!$A$1:$GI$145,ROW('KSH järjestus'!BI50),MATCH('KSH järjestus'!BI$3,KOMBI!$A$1:$GI$1,0))</f>
        <v>1</v>
      </c>
      <c r="BJ43" s="25">
        <f t="array" ref="BJ43">INDEX(KOMBI!$A$1:$GI$145,ROW('KSH järjestus'!BJ50),MATCH('KSH järjestus'!BJ$3,KOMBI!$A$1:$GI$1,0))</f>
        <v>0.36609829488465395</v>
      </c>
      <c r="BK43" s="25">
        <f t="array" ref="BK43">INDEX(KOMBI!$A$1:$GI$145,ROW('KSH järjestus'!BK50),MATCH('KSH järjestus'!BK$3,KOMBI!$A$1:$GI$1,0))</f>
        <v>0.54655630190147675</v>
      </c>
      <c r="BL43" s="25">
        <f t="array" ref="BL43">INDEX(KOMBI!$A$1:$GI$145,ROW('KSH järjestus'!BL50),MATCH('KSH järjestus'!BL$3,KOMBI!$A$1:$GI$1,0))</f>
        <v>5.8403587193474977E-3</v>
      </c>
      <c r="BM43" s="25">
        <f t="array" ref="BM43">INDEX(KOMBI!$A$1:$GI$145,ROW('KSH järjestus'!BM50),MATCH('KSH järjestus'!BM$3,KOMBI!$A$1:$GI$1,0))</f>
        <v>-4.8557601403633414E-3</v>
      </c>
      <c r="BN43" s="25">
        <f t="array" ref="BN43">INDEX(KOMBI!$A$1:$GI$145,ROW('KSH järjestus'!BN50),MATCH('KSH järjestus'!BN$3,KOMBI!$A$1:$GI$1,0))</f>
        <v>-3.457358250132242E-3</v>
      </c>
      <c r="BO43" s="25">
        <f t="array" ref="BO43">INDEX(KOMBI!$A$1:$GI$145,ROW('KSH järjestus'!BO50),MATCH('KSH järjestus'!BO$3,KOMBI!$A$1:$GI$1,0))</f>
        <v>9.3357691004967696E-3</v>
      </c>
      <c r="BP43" s="25">
        <f t="array" ref="BP43">INDEX(KOMBI!$A$1:$GI$145,ROW('KSH järjestus'!BP50),MATCH('KSH järjestus'!BP$3,KOMBI!$A$1:$GI$1,0))</f>
        <v>7.6528313570900952</v>
      </c>
      <c r="BQ43" s="25">
        <f t="array" ref="BQ43">INDEX(KOMBI!$A$1:$GI$145,ROW('KSH järjestus'!BQ50),MATCH('KSH järjestus'!BQ$3,KOMBI!$A$1:$GI$1,0))</f>
        <v>10.259</v>
      </c>
      <c r="BR43" s="25">
        <f t="array" ref="BR43">INDEX(KOMBI!$A$1:$GI$145,ROW('KSH järjestus'!BR50),MATCH('KSH järjestus'!BR$3,KOMBI!$A$1:$GI$1,0))</f>
        <v>-4.200484341486195E-2</v>
      </c>
      <c r="BS43" s="25">
        <f t="array" ref="BS43">INDEX(KOMBI!$A$1:$GI$145,ROW('KSH järjestus'!BS50),MATCH('KSH järjestus'!BS$3,KOMBI!$A$1:$GI$1,0))</f>
        <v>-0.15886441020956982</v>
      </c>
      <c r="BT43" s="25">
        <f t="array" ref="BT43">INDEX(KOMBI!$A$1:$GI$145,ROW('KSH järjestus'!BT50),MATCH('KSH järjestus'!BT$3,KOMBI!$A$1:$GI$1,0))</f>
        <v>-8.2237933343617745E-2</v>
      </c>
      <c r="BU43" s="25">
        <f t="array" ref="BU43">INDEX(KOMBI!$A$1:$GI$145,ROW('KSH järjestus'!BU50),MATCH('KSH järjestus'!BU$3,KOMBI!$A$1:$GI$1,0))</f>
        <v>5.1330005094011817</v>
      </c>
      <c r="BV43" s="25">
        <f t="array" ref="BV43">INDEX(KOMBI!$A$1:$GI$145,ROW('KSH järjestus'!BV50),MATCH('KSH järjestus'!BV$3,KOMBI!$A$1:$GI$1,0))</f>
        <v>1.177</v>
      </c>
      <c r="BW43" s="25">
        <f t="array" ref="BW43">INDEX(KOMBI!$A$1:$GI$145,ROW('KSH järjestus'!BW50),MATCH('KSH järjestus'!BW$3,KOMBI!$A$1:$GI$1,0))</f>
        <v>2.9976368215830602</v>
      </c>
      <c r="BX43" s="25">
        <f t="array" ref="BX43">INDEX(KOMBI!$A$1:$GI$145,ROW('KSH järjestus'!BX50),MATCH('KSH järjestus'!BX$3,KOMBI!$A$1:$GI$1,0))</f>
        <v>18.156721793242816</v>
      </c>
      <c r="BY43" s="25">
        <f t="array" ref="BY43">INDEX(KOMBI!$A$1:$GI$145,ROW('KSH järjestus'!BY50),MATCH('KSH järjestus'!BY$3,KOMBI!$A$1:$GI$1,0))</f>
        <v>6.0117453871512243</v>
      </c>
      <c r="BZ43" s="25">
        <f t="array" ref="BZ43">INDEX(KOMBI!$A$1:$GI$145,ROW('KSH järjestus'!BZ50),MATCH('KSH järjestus'!BZ$3,KOMBI!$A$1:$GI$1,0))</f>
        <v>83</v>
      </c>
      <c r="CA43" s="25">
        <f t="array" ref="CA43">INDEX(KOMBI!$A$1:$GI$145,ROW('KSH järjestus'!CA50),MATCH('KSH järjestus'!CA$3,KOMBI!$A$1:$GI$1,0))</f>
        <v>10.179</v>
      </c>
      <c r="CB43" s="25">
        <f t="array" ref="CB43">INDEX(KOMBI!$A$1:$GI$145,ROW('KSH järjestus'!CB50),MATCH('KSH järjestus'!CB$3,KOMBI!$A$1:$GI$1,0))</f>
        <v>40.80361111111111</v>
      </c>
      <c r="CC43" s="25">
        <f t="array" ref="CC43">INDEX(KOMBI!$A$1:$GI$145,ROW('KSH järjestus'!CC50),MATCH('KSH järjestus'!CC$3,KOMBI!$A$1:$GI$1,0))</f>
        <v>4.1956569999999997</v>
      </c>
      <c r="CD43" s="25">
        <f t="array" ref="CD43">INDEX(KOMBI!$A$1:$GI$145,ROW('KSH järjestus'!CD50),MATCH('KSH järjestus'!CD$3,KOMBI!$A$1:$GI$1,0))</f>
        <v>309.2</v>
      </c>
      <c r="CE43" s="25">
        <f t="array" ref="CE43">INDEX(KOMBI!$A$1:$GI$145,ROW('KSH järjestus'!CE50),MATCH('KSH järjestus'!CE$3,KOMBI!$A$1:$GI$1,0))</f>
        <v>2.7559999999999998</v>
      </c>
      <c r="CF43" s="25">
        <f t="array" ref="CF43">INDEX(KOMBI!$A$1:$GI$145,ROW('KSH järjestus'!CF50),MATCH('KSH järjestus'!CF$3,KOMBI!$A$1:$GI$1,0))</f>
        <v>44.228055555555557</v>
      </c>
      <c r="CG43" s="25">
        <f t="array" ref="CG43">INDEX(KOMBI!$A$1:$GI$145,ROW('KSH järjestus'!CG50),MATCH('KSH järjestus'!CG$3,KOMBI!$A$1:$GI$1,0))</f>
        <v>2.201934621570804E-2</v>
      </c>
      <c r="CH43" s="25">
        <f t="array" ref="CH43">INDEX(KOMBI!$A$1:$GI$145,ROW('KSH järjestus'!CH50),MATCH('KSH järjestus'!CH$3,KOMBI!$A$1:$GI$1,0))</f>
        <v>0.45163250455002329</v>
      </c>
      <c r="CI43" s="25">
        <f t="array" ref="CI43">INDEX(KOMBI!$A$1:$GI$145,ROW('KSH järjestus'!CI50),MATCH('KSH järjestus'!CI$3,KOMBI!$A$1:$GI$1,0))</f>
        <v>10.67</v>
      </c>
      <c r="CJ43" s="25">
        <f t="array" ref="CJ43">INDEX(KOMBI!$A$1:$GI$145,ROW('KSH järjestus'!CJ50),MATCH('KSH järjestus'!CJ$3,KOMBI!$A$1:$GI$1,0))</f>
        <v>3.6796368215830602</v>
      </c>
      <c r="CK43" s="25">
        <f t="array" ref="CK43">INDEX(KOMBI!$A$1:$GI$145,ROW('KSH järjestus'!CK50),MATCH('KSH järjestus'!CK$3,KOMBI!$A$1:$GI$1,0))</f>
        <v>0.19900000000000001</v>
      </c>
      <c r="CL43" s="25">
        <f t="array" ref="CL43">INDEX(KOMBI!$A$1:$GI$145,ROW('KSH järjestus'!CL50),MATCH('KSH järjestus'!CL$3,KOMBI!$A$1:$GI$1,0))</f>
        <v>0.72299999999999998</v>
      </c>
    </row>
    <row r="44" spans="3:90" x14ac:dyDescent="0.2">
      <c r="C44" s="184">
        <v>41</v>
      </c>
      <c r="G44" s="25">
        <f>RANK(INDEX(KOMBI!$A$11:$GI$145,MATCH('KSH järjestus'!$C44,KOMBI!$A$11:$A$145,0),MATCH('KSH järjestus'!G$3,KOMBI!$A$1:$GI$1,0)),BD$4:BD$138,G$2)</f>
        <v>36</v>
      </c>
      <c r="H44" s="25">
        <f>RANK(INDEX(KOMBI!$A$11:$GI$145,MATCH('KSH järjestus'!$C44,KOMBI!$A$11:$A$145,0),MATCH('KSH järjestus'!H$3,KOMBI!$A$1:$GI$1,0)),BE$4:BE$138,H$2)</f>
        <v>98</v>
      </c>
      <c r="J44" s="25">
        <f>RANK(INDEX(KOMBI!$A$11:$GI$145,MATCH('KSH järjestus'!$C44,KOMBI!$A$11:$A$145,0),MATCH('KSH järjestus'!J$3,KOMBI!$A$1:$GI$1,0)),BG$4:BG$138,J$2)</f>
        <v>123</v>
      </c>
      <c r="M44" s="25">
        <f>RANK(INDEX(KOMBI!$A$11:$GI$145,MATCH('KSH järjestus'!$C44,KOMBI!$A$11:$A$145,0),MATCH('KSH järjestus'!M$3,KOMBI!$A$1:$GI$1,0)),BJ$4:BJ$138,M$2)</f>
        <v>109</v>
      </c>
      <c r="N44" s="25">
        <f>RANK(INDEX(KOMBI!$A$11:$GI$145,MATCH('KSH järjestus'!$C44,KOMBI!$A$11:$A$145,0),MATCH('KSH järjestus'!N$3,KOMBI!$A$1:$GI$1,0)),BK$4:BK$138,N$2)</f>
        <v>19</v>
      </c>
      <c r="O44" s="25">
        <f>RANK(INDEX(KOMBI!$A$11:$GI$145,MATCH('KSH järjestus'!$C44,KOMBI!$A$11:$A$145,0),MATCH('KSH järjestus'!O$3,KOMBI!$A$1:$GI$1,0)),BL$4:BL$138,O$2)</f>
        <v>93</v>
      </c>
      <c r="P44" s="25">
        <f>RANK(INDEX(KOMBI!$A$11:$GI$145,MATCH('KSH järjestus'!$C44,KOMBI!$A$11:$A$145,0),MATCH('KSH järjestus'!P$3,KOMBI!$A$1:$GI$1,0)),BM$4:BM$138,P$2)</f>
        <v>133</v>
      </c>
      <c r="Q44" s="25">
        <f>RANK(INDEX(KOMBI!$A$11:$GI$145,MATCH('KSH järjestus'!$C44,KOMBI!$A$11:$A$145,0),MATCH('KSH järjestus'!Q$3,KOMBI!$A$1:$GI$1,0)),BN$4:BN$138,Q$2)</f>
        <v>127</v>
      </c>
      <c r="R44" s="25">
        <f>RANK(INDEX(KOMBI!$A$11:$GI$145,MATCH('KSH järjestus'!$C44,KOMBI!$A$11:$A$145,0),MATCH('KSH järjestus'!R$3,KOMBI!$A$1:$GI$1,0)),BO$4:BO$138,R$2)</f>
        <v>57</v>
      </c>
      <c r="T44" s="25">
        <f>RANK(INDEX(KOMBI!$A$11:$GI$145,MATCH('KSH järjestus'!$C44,KOMBI!$A$11:$A$145,0),MATCH('KSH järjestus'!T$3,KOMBI!$A$1:$GI$1,0)),BQ$4:BQ$138,T$2)</f>
        <v>42</v>
      </c>
      <c r="U44" s="25">
        <f>RANK(INDEX(KOMBI!$A$11:$GI$145,MATCH('KSH järjestus'!$C44,KOMBI!$A$11:$A$145,0),MATCH('KSH järjestus'!U$3,KOMBI!$A$1:$GI$1,0)),BR$4:BR$138,U$2)</f>
        <v>34</v>
      </c>
      <c r="AA44" s="25">
        <f>RANK(INDEX(KOMBI!$A$11:$GI$145,MATCH('KSH järjestus'!$C44,KOMBI!$A$11:$A$145,0),MATCH('KSH järjestus'!AA$3,KOMBI!$A$1:$GI$1,0)),BX$4:BX$138,AA$2)</f>
        <v>52</v>
      </c>
      <c r="AB44" s="25">
        <f>RANK(INDEX(KOMBI!$A$11:$GI$145,MATCH('KSH järjestus'!$C44,KOMBI!$A$11:$A$145,0),MATCH('KSH järjestus'!AB$3,KOMBI!$A$1:$GI$1,0)),BY$4:BY$138,AB$2)</f>
        <v>7</v>
      </c>
      <c r="AC44" s="25">
        <f>RANK(INDEX(KOMBI!$A$11:$GI$145,MATCH('KSH järjestus'!$C44,KOMBI!$A$11:$A$145,0),MATCH('KSH järjestus'!AC$3,KOMBI!$A$1:$GI$1,0)),BZ$4:BZ$138,AC$2)</f>
        <v>103</v>
      </c>
      <c r="AD44" s="25">
        <f>RANK(INDEX(KOMBI!$A$11:$GI$145,MATCH('KSH järjestus'!$C44,KOMBI!$A$11:$A$145,0),MATCH('KSH järjestus'!AD$3,KOMBI!$A$1:$GI$1,0)),CA$4:CA$138,AD$2)</f>
        <v>17</v>
      </c>
      <c r="AE44" s="25">
        <f>RANK(INDEX(KOMBI!$A$11:$GI$145,MATCH('KSH järjestus'!$C44,KOMBI!$A$11:$A$145,0),MATCH('KSH järjestus'!AE$3,KOMBI!$A$1:$GI$1,0)),CB$4:CB$138,AE$2)</f>
        <v>17</v>
      </c>
      <c r="AG44" s="25">
        <f>RANK(INDEX(KOMBI!$A$11:$GI$145,MATCH('KSH järjestus'!$C44,KOMBI!$A$11:$A$145,0),MATCH('KSH järjestus'!AG$3,KOMBI!$A$1:$GI$1,0)),CD$4:CD$138,AG$2)</f>
        <v>73</v>
      </c>
      <c r="AH44" s="25">
        <f>RANK(INDEX(KOMBI!$A$11:$GI$145,MATCH('KSH järjestus'!$C44,KOMBI!$A$11:$A$145,0),MATCH('KSH järjestus'!AH$3,KOMBI!$A$1:$GI$1,0)),CE$4:CE$138,AH$2)</f>
        <v>1</v>
      </c>
      <c r="AI44" s="25">
        <f>RANK(INDEX(KOMBI!$A$11:$GI$145,MATCH('KSH järjestus'!$C44,KOMBI!$A$11:$A$145,0),MATCH('KSH järjestus'!AI$3,KOMBI!$A$1:$GI$1,0)),CF$4:CF$138,AI$2)</f>
        <v>25</v>
      </c>
      <c r="AJ44" s="25">
        <f>RANK(INDEX(KOMBI!$A$11:$GI$145,MATCH('KSH järjestus'!$C44,KOMBI!$A$11:$A$145,0),MATCH('KSH järjestus'!AJ$3,KOMBI!$A$1:$GI$1,0)),CG$4:CG$138,AJ$2)</f>
        <v>88</v>
      </c>
      <c r="AK44" s="25">
        <f>RANK(INDEX(KOMBI!$A$11:$GI$145,MATCH('KSH järjestus'!$C44,KOMBI!$A$11:$A$145,0),MATCH('KSH järjestus'!AK$3,KOMBI!$A$1:$GI$1,0)),CH$4:CH$138,AK$2)</f>
        <v>37</v>
      </c>
      <c r="AN44" s="25">
        <f>RANK(INDEX(KOMBI!$A$11:$GI$145,MATCH('KSH järjestus'!$C44,KOMBI!$A$11:$A$145,0),MATCH('KSH järjestus'!AN$3,KOMBI!$A$1:$GI$1,0)),CK$4:CK$138,AN$2)</f>
        <v>1</v>
      </c>
      <c r="AO44" s="25">
        <f>RANK(INDEX(KOMBI!$A$11:$GI$145,MATCH('KSH järjestus'!$C44,KOMBI!$A$11:$A$145,0),MATCH('KSH järjestus'!AO$3,KOMBI!$A$1:$GI$1,0)),CL$4:CL$138,AO$2)</f>
        <v>1</v>
      </c>
      <c r="AS44" s="297">
        <f t="shared" si="3"/>
        <v>1293</v>
      </c>
      <c r="AT44" s="25">
        <f t="shared" si="1"/>
        <v>1222</v>
      </c>
      <c r="AU44" s="25">
        <f t="shared" si="2"/>
        <v>42</v>
      </c>
      <c r="AV44" s="295" t="str">
        <f>VLOOKUP(VLOOKUP($AU44,KOMBI!$A:$H,3,FALSE),data!$I$27:$J$29,2,FALSE)</f>
        <v>Sekkuv/EÜ</v>
      </c>
      <c r="AW44" s="295" t="str">
        <f>VLOOKUP(VLOOKUP($AU44,KOMBI!$A:$H,2,FALSE),data!$I$21:$J$23,2,FALSE)</f>
        <v>Mittesekkuv</v>
      </c>
      <c r="AX44" s="295" t="str">
        <f>VLOOKUP(VLOOKUP($AU44,KOMBI!$A:$H,5,FALSE),data!$I$39:$J$41,2,FALSE)</f>
        <v>Sekkuv</v>
      </c>
      <c r="AY44" s="295" t="str">
        <f>VLOOKUP(VLOOKUP($AU44,KOMBI!$A:$H,4,FALSE),data!$I$32:$J$36,2,FALSE)</f>
        <v>TE++</v>
      </c>
      <c r="BA44" s="25">
        <f t="array" ref="BA44">INDEX(KOMBI!$A$1:$GI$145,ROW('KSH järjestus'!BA51),MATCH('KSH järjestus'!BA$3,KOMBI!$A$1:$GI$1,0))</f>
        <v>6.7479596311619492</v>
      </c>
      <c r="BB44" s="25">
        <f t="array" ref="BB44">INDEX(KOMBI!$A$1:$GI$145,ROW('KSH järjestus'!BB51),MATCH('KSH järjestus'!BB$3,KOMBI!$A$1:$GI$1,0))</f>
        <v>304.98056874293093</v>
      </c>
      <c r="BC44" s="25">
        <f t="array" aca="1" ref="BC44" ca="1">INDEX(KOMBI!$A$1:$GI$145,ROW('KSH järjestus'!BC51),MATCH('KSH järjestus'!BC$3,KOMBI!$A$1:$GI$1,0))</f>
        <v>-19.403745072430098</v>
      </c>
      <c r="BD44" s="25">
        <f t="array" ref="BD44">INDEX(KOMBI!$A$1:$GI$145,ROW('KSH järjestus'!BD51),MATCH('KSH järjestus'!BD$3,KOMBI!$A$1:$GI$1,0))</f>
        <v>-137.65321988063209</v>
      </c>
      <c r="BE44" s="25">
        <f t="array" ref="BE44">INDEX(KOMBI!$A$1:$GI$145,ROW('KSH järjestus'!BE51),MATCH('KSH järjestus'!BE$3,KOMBI!$A$1:$GI$1,0))</f>
        <v>118.249474808202</v>
      </c>
      <c r="BF44" s="25">
        <f t="array" aca="1" ref="BF44" ca="1">INDEX(KOMBI!$A$1:$GI$145,ROW('KSH järjestus'!BF51),MATCH('KSH järjestus'!BF$3,KOMBI!$A$1:$GI$1,0))</f>
        <v>0</v>
      </c>
      <c r="BG44" s="25">
        <f t="array" ref="BG44">INDEX(KOMBI!$A$1:$GI$145,ROW('KSH järjestus'!BG51),MATCH('KSH järjestus'!BG$3,KOMBI!$A$1:$GI$1,0))</f>
        <v>0.65105573511718828</v>
      </c>
      <c r="BH44" s="25">
        <f t="array" ref="BH44">INDEX(KOMBI!$A$1:$GI$145,ROW('KSH järjestus'!BH51),MATCH('KSH järjestus'!BH$3,KOMBI!$A$1:$GI$1,0))</f>
        <v>90</v>
      </c>
      <c r="BI44" s="25">
        <f t="array" ref="BI44">INDEX(KOMBI!$A$1:$GI$145,ROW('KSH järjestus'!BI51),MATCH('KSH järjestus'!BI$3,KOMBI!$A$1:$GI$1,0))</f>
        <v>0.91028830406496797</v>
      </c>
      <c r="BJ44" s="25">
        <f t="array" ref="BJ44">INDEX(KOMBI!$A$1:$GI$145,ROW('KSH järjestus'!BJ51),MATCH('KSH järjestus'!BJ$3,KOMBI!$A$1:$GI$1,0))</f>
        <v>0.36609829488465395</v>
      </c>
      <c r="BK44" s="25">
        <f t="array" ref="BK44">INDEX(KOMBI!$A$1:$GI$145,ROW('KSH järjestus'!BK51),MATCH('KSH järjestus'!BK$3,KOMBI!$A$1:$GI$1,0))</f>
        <v>0.54655630190147675</v>
      </c>
      <c r="BL44" s="25">
        <f t="array" ref="BL44">INDEX(KOMBI!$A$1:$GI$145,ROW('KSH järjestus'!BL51),MATCH('KSH järjestus'!BL$3,KOMBI!$A$1:$GI$1,0))</f>
        <v>1.2122751805769823E-2</v>
      </c>
      <c r="BM44" s="25">
        <f t="array" ref="BM44">INDEX(KOMBI!$A$1:$GI$145,ROW('KSH järjestus'!BM51),MATCH('KSH järjestus'!BM$3,KOMBI!$A$1:$GI$1,0))</f>
        <v>-7.5488129897789552E-3</v>
      </c>
      <c r="BN44" s="25">
        <f t="array" ref="BN44">INDEX(KOMBI!$A$1:$GI$145,ROW('KSH järjestus'!BN51),MATCH('KSH järjestus'!BN$3,KOMBI!$A$1:$GI$1,0))</f>
        <v>-9.644883887744149E-4</v>
      </c>
      <c r="BO44" s="25">
        <f t="array" ref="BO44">INDEX(KOMBI!$A$1:$GI$145,ROW('KSH järjestus'!BO51),MATCH('KSH järjestus'!BO$3,KOMBI!$A$1:$GI$1,0))</f>
        <v>1.3160655644373598E-2</v>
      </c>
      <c r="BP44" s="25">
        <f t="array" ref="BP44">INDEX(KOMBI!$A$1:$GI$145,ROW('KSH järjestus'!BP51),MATCH('KSH järjestus'!BP$3,KOMBI!$A$1:$GI$1,0))</f>
        <v>7.6528313570900952</v>
      </c>
      <c r="BQ44" s="25">
        <f t="array" ref="BQ44">INDEX(KOMBI!$A$1:$GI$145,ROW('KSH järjestus'!BQ51),MATCH('KSH järjestus'!BQ$3,KOMBI!$A$1:$GI$1,0))</f>
        <v>10.35</v>
      </c>
      <c r="BR44" s="25">
        <f t="array" ref="BR44">INDEX(KOMBI!$A$1:$GI$145,ROW('KSH järjestus'!BR51),MATCH('KSH järjestus'!BR$3,KOMBI!$A$1:$GI$1,0))</f>
        <v>-3.7771044403597229E-2</v>
      </c>
      <c r="BS44" s="25">
        <f t="array" ref="BS44">INDEX(KOMBI!$A$1:$GI$145,ROW('KSH järjestus'!BS51),MATCH('KSH järjestus'!BS$3,KOMBI!$A$1:$GI$1,0))</f>
        <v>-0.15753079798993427</v>
      </c>
      <c r="BT44" s="25">
        <f t="array" ref="BT44">INDEX(KOMBI!$A$1:$GI$145,ROW('KSH järjestus'!BT51),MATCH('KSH järjestus'!BT$3,KOMBI!$A$1:$GI$1,0))</f>
        <v>-8.1138970544223782E-2</v>
      </c>
      <c r="BU44" s="25">
        <f t="array" ref="BU44">INDEX(KOMBI!$A$1:$GI$145,ROW('KSH järjestus'!BU51),MATCH('KSH järjestus'!BU$3,KOMBI!$A$1:$GI$1,0))</f>
        <v>5.1330005094011817</v>
      </c>
      <c r="BV44" s="25">
        <f t="array" ref="BV44">INDEX(KOMBI!$A$1:$GI$145,ROW('KSH järjestus'!BV51),MATCH('KSH järjestus'!BV$3,KOMBI!$A$1:$GI$1,0))</f>
        <v>1.177</v>
      </c>
      <c r="BW44" s="25">
        <f t="array" ref="BW44">INDEX(KOMBI!$A$1:$GI$145,ROW('KSH järjestus'!BW51),MATCH('KSH järjestus'!BW$3,KOMBI!$A$1:$GI$1,0))</f>
        <v>3.3751368215830602</v>
      </c>
      <c r="BX44" s="25">
        <f t="array" ref="BX44">INDEX(KOMBI!$A$1:$GI$145,ROW('KSH järjestus'!BX51),MATCH('KSH järjestus'!BX$3,KOMBI!$A$1:$GI$1,0))</f>
        <v>18.156721793242816</v>
      </c>
      <c r="BY44" s="25">
        <f t="array" ref="BY44">INDEX(KOMBI!$A$1:$GI$145,ROW('KSH järjestus'!BY51),MATCH('KSH järjestus'!BY$3,KOMBI!$A$1:$GI$1,0))</f>
        <v>6.0117453871512243</v>
      </c>
      <c r="BZ44" s="25">
        <f t="array" ref="BZ44">INDEX(KOMBI!$A$1:$GI$145,ROW('KSH järjestus'!BZ51),MATCH('KSH järjestus'!BZ$3,KOMBI!$A$1:$GI$1,0))</f>
        <v>83.4</v>
      </c>
      <c r="CA44" s="25">
        <f t="array" ref="CA44">INDEX(KOMBI!$A$1:$GI$145,ROW('KSH järjestus'!CA51),MATCH('KSH järjestus'!CA$3,KOMBI!$A$1:$GI$1,0))</f>
        <v>10.268000000000001</v>
      </c>
      <c r="CB44" s="25">
        <f t="array" ref="CB44">INDEX(KOMBI!$A$1:$GI$145,ROW('KSH järjestus'!CB51),MATCH('KSH järjestus'!CB$3,KOMBI!$A$1:$GI$1,0))</f>
        <v>41.143888888888888</v>
      </c>
      <c r="CC44" s="25">
        <f t="array" ref="CC44">INDEX(KOMBI!$A$1:$GI$145,ROW('KSH järjestus'!CC51),MATCH('KSH järjestus'!CC$3,KOMBI!$A$1:$GI$1,0))</f>
        <v>4.2289490000000001</v>
      </c>
      <c r="CD44" s="25">
        <f t="array" ref="CD44">INDEX(KOMBI!$A$1:$GI$145,ROW('KSH järjestus'!CD51),MATCH('KSH järjestus'!CD$3,KOMBI!$A$1:$GI$1,0))</f>
        <v>309.2</v>
      </c>
      <c r="CE44" s="25">
        <f t="array" ref="CE44">INDEX(KOMBI!$A$1:$GI$145,ROW('KSH järjestus'!CE51),MATCH('KSH järjestus'!CE$3,KOMBI!$A$1:$GI$1,0))</f>
        <v>2.7559999999999998</v>
      </c>
      <c r="CF44" s="25">
        <f t="array" ref="CF44">INDEX(KOMBI!$A$1:$GI$145,ROW('KSH järjestus'!CF51),MATCH('KSH järjestus'!CF$3,KOMBI!$A$1:$GI$1,0))</f>
        <v>44.228055555555557</v>
      </c>
      <c r="CG44" s="25">
        <f t="array" ref="CG44">INDEX(KOMBI!$A$1:$GI$145,ROW('KSH järjestus'!CG51),MATCH('KSH järjestus'!CG$3,KOMBI!$A$1:$GI$1,0))</f>
        <v>2.201934621570804E-2</v>
      </c>
      <c r="CH44" s="25">
        <f t="array" ref="CH44">INDEX(KOMBI!$A$1:$GI$145,ROW('KSH järjestus'!CH51),MATCH('KSH järjestus'!CH$3,KOMBI!$A$1:$GI$1,0))</f>
        <v>0.45163250455002329</v>
      </c>
      <c r="CI44" s="25">
        <f t="array" ref="CI44">INDEX(KOMBI!$A$1:$GI$145,ROW('KSH järjestus'!CI51),MATCH('KSH järjestus'!CI$3,KOMBI!$A$1:$GI$1,0))</f>
        <v>10.67</v>
      </c>
      <c r="CJ44" s="25">
        <f t="array" ref="CJ44">INDEX(KOMBI!$A$1:$GI$145,ROW('KSH järjestus'!CJ51),MATCH('KSH järjestus'!CJ$3,KOMBI!$A$1:$GI$1,0))</f>
        <v>3.6796368215830602</v>
      </c>
      <c r="CK44" s="25">
        <f t="array" ref="CK44">INDEX(KOMBI!$A$1:$GI$145,ROW('KSH järjestus'!CK51),MATCH('KSH järjestus'!CK$3,KOMBI!$A$1:$GI$1,0))</f>
        <v>0.19900000000000001</v>
      </c>
      <c r="CL44" s="25">
        <f t="array" ref="CL44">INDEX(KOMBI!$A$1:$GI$145,ROW('KSH järjestus'!CL51),MATCH('KSH järjestus'!CL$3,KOMBI!$A$1:$GI$1,0))</f>
        <v>0.72299999999999998</v>
      </c>
    </row>
    <row r="45" spans="3:90" x14ac:dyDescent="0.2">
      <c r="C45" s="184">
        <v>42</v>
      </c>
      <c r="G45" s="25">
        <f>RANK(INDEX(KOMBI!$A$11:$GI$145,MATCH('KSH järjestus'!$C45,KOMBI!$A$11:$A$145,0),MATCH('KSH järjestus'!G$3,KOMBI!$A$1:$GI$1,0)),BD$4:BD$138,G$2)</f>
        <v>26</v>
      </c>
      <c r="H45" s="25">
        <f>RANK(INDEX(KOMBI!$A$11:$GI$145,MATCH('KSH järjestus'!$C45,KOMBI!$A$11:$A$145,0),MATCH('KSH järjestus'!H$3,KOMBI!$A$1:$GI$1,0)),BE$4:BE$138,H$2)</f>
        <v>74</v>
      </c>
      <c r="J45" s="25">
        <f>RANK(INDEX(KOMBI!$A$11:$GI$145,MATCH('KSH järjestus'!$C45,KOMBI!$A$11:$A$145,0),MATCH('KSH järjestus'!J$3,KOMBI!$A$1:$GI$1,0)),BG$4:BG$138,J$2)</f>
        <v>123</v>
      </c>
      <c r="M45" s="25">
        <f>RANK(INDEX(KOMBI!$A$11:$GI$145,MATCH('KSH järjestus'!$C45,KOMBI!$A$11:$A$145,0),MATCH('KSH järjestus'!M$3,KOMBI!$A$1:$GI$1,0)),BJ$4:BJ$138,M$2)</f>
        <v>109</v>
      </c>
      <c r="N45" s="25">
        <f>RANK(INDEX(KOMBI!$A$11:$GI$145,MATCH('KSH järjestus'!$C45,KOMBI!$A$11:$A$145,0),MATCH('KSH järjestus'!N$3,KOMBI!$A$1:$GI$1,0)),BK$4:BK$138,N$2)</f>
        <v>19</v>
      </c>
      <c r="O45" s="25">
        <f>RANK(INDEX(KOMBI!$A$11:$GI$145,MATCH('KSH järjestus'!$C45,KOMBI!$A$11:$A$145,0),MATCH('KSH järjestus'!O$3,KOMBI!$A$1:$GI$1,0)),BL$4:BL$138,O$2)</f>
        <v>63</v>
      </c>
      <c r="P45" s="25">
        <f>RANK(INDEX(KOMBI!$A$11:$GI$145,MATCH('KSH järjestus'!$C45,KOMBI!$A$11:$A$145,0),MATCH('KSH järjestus'!P$3,KOMBI!$A$1:$GI$1,0)),BM$4:BM$138,P$2)</f>
        <v>132</v>
      </c>
      <c r="Q45" s="25">
        <f>RANK(INDEX(KOMBI!$A$11:$GI$145,MATCH('KSH järjestus'!$C45,KOMBI!$A$11:$A$145,0),MATCH('KSH järjestus'!Q$3,KOMBI!$A$1:$GI$1,0)),BN$4:BN$138,Q$2)</f>
        <v>118</v>
      </c>
      <c r="R45" s="25">
        <f>RANK(INDEX(KOMBI!$A$11:$GI$145,MATCH('KSH järjestus'!$C45,KOMBI!$A$11:$A$145,0),MATCH('KSH järjestus'!R$3,KOMBI!$A$1:$GI$1,0)),BO$4:BO$138,R$2)</f>
        <v>25</v>
      </c>
      <c r="T45" s="25">
        <f>RANK(INDEX(KOMBI!$A$11:$GI$145,MATCH('KSH järjestus'!$C45,KOMBI!$A$11:$A$145,0),MATCH('KSH järjestus'!T$3,KOMBI!$A$1:$GI$1,0)),BQ$4:BQ$138,T$2)</f>
        <v>60</v>
      </c>
      <c r="U45" s="25">
        <f>RANK(INDEX(KOMBI!$A$11:$GI$145,MATCH('KSH järjestus'!$C45,KOMBI!$A$11:$A$145,0),MATCH('KSH järjestus'!U$3,KOMBI!$A$1:$GI$1,0)),BR$4:BR$138,U$2)</f>
        <v>44</v>
      </c>
      <c r="AA45" s="25">
        <f>RANK(INDEX(KOMBI!$A$11:$GI$145,MATCH('KSH järjestus'!$C45,KOMBI!$A$11:$A$145,0),MATCH('KSH järjestus'!AA$3,KOMBI!$A$1:$GI$1,0)),BX$4:BX$138,AA$2)</f>
        <v>52</v>
      </c>
      <c r="AB45" s="25">
        <f>RANK(INDEX(KOMBI!$A$11:$GI$145,MATCH('KSH järjestus'!$C45,KOMBI!$A$11:$A$145,0),MATCH('KSH järjestus'!AB$3,KOMBI!$A$1:$GI$1,0)),BY$4:BY$138,AB$2)</f>
        <v>7</v>
      </c>
      <c r="AC45" s="25">
        <f>RANK(INDEX(KOMBI!$A$11:$GI$145,MATCH('KSH järjestus'!$C45,KOMBI!$A$11:$A$145,0),MATCH('KSH järjestus'!AC$3,KOMBI!$A$1:$GI$1,0)),BZ$4:BZ$138,AC$2)</f>
        <v>105</v>
      </c>
      <c r="AD45" s="25">
        <f>RANK(INDEX(KOMBI!$A$11:$GI$145,MATCH('KSH järjestus'!$C45,KOMBI!$A$11:$A$145,0),MATCH('KSH järjestus'!AD$3,KOMBI!$A$1:$GI$1,0)),CA$4:CA$138,AD$2)</f>
        <v>20</v>
      </c>
      <c r="AE45" s="25">
        <f>RANK(INDEX(KOMBI!$A$11:$GI$145,MATCH('KSH järjestus'!$C45,KOMBI!$A$11:$A$145,0),MATCH('KSH järjestus'!AE$3,KOMBI!$A$1:$GI$1,0)),CB$4:CB$138,AE$2)</f>
        <v>19</v>
      </c>
      <c r="AG45" s="25">
        <f>RANK(INDEX(KOMBI!$A$11:$GI$145,MATCH('KSH järjestus'!$C45,KOMBI!$A$11:$A$145,0),MATCH('KSH järjestus'!AG$3,KOMBI!$A$1:$GI$1,0)),CD$4:CD$138,AG$2)</f>
        <v>73</v>
      </c>
      <c r="AH45" s="25">
        <f>RANK(INDEX(KOMBI!$A$11:$GI$145,MATCH('KSH järjestus'!$C45,KOMBI!$A$11:$A$145,0),MATCH('KSH järjestus'!AH$3,KOMBI!$A$1:$GI$1,0)),CE$4:CE$138,AH$2)</f>
        <v>1</v>
      </c>
      <c r="AI45" s="25">
        <f>RANK(INDEX(KOMBI!$A$11:$GI$145,MATCH('KSH järjestus'!$C45,KOMBI!$A$11:$A$145,0),MATCH('KSH järjestus'!AI$3,KOMBI!$A$1:$GI$1,0)),CF$4:CF$138,AI$2)</f>
        <v>25</v>
      </c>
      <c r="AJ45" s="25">
        <f>RANK(INDEX(KOMBI!$A$11:$GI$145,MATCH('KSH järjestus'!$C45,KOMBI!$A$11:$A$145,0),MATCH('KSH järjestus'!AJ$3,KOMBI!$A$1:$GI$1,0)),CG$4:CG$138,AJ$2)</f>
        <v>88</v>
      </c>
      <c r="AK45" s="25">
        <f>RANK(INDEX(KOMBI!$A$11:$GI$145,MATCH('KSH järjestus'!$C45,KOMBI!$A$11:$A$145,0),MATCH('KSH järjestus'!AK$3,KOMBI!$A$1:$GI$1,0)),CH$4:CH$138,AK$2)</f>
        <v>37</v>
      </c>
      <c r="AN45" s="25">
        <f>RANK(INDEX(KOMBI!$A$11:$GI$145,MATCH('KSH järjestus'!$C45,KOMBI!$A$11:$A$145,0),MATCH('KSH järjestus'!AN$3,KOMBI!$A$1:$GI$1,0)),CK$4:CK$138,AN$2)</f>
        <v>1</v>
      </c>
      <c r="AO45" s="25">
        <f>RANK(INDEX(KOMBI!$A$11:$GI$145,MATCH('KSH järjestus'!$C45,KOMBI!$A$11:$A$145,0),MATCH('KSH järjestus'!AO$3,KOMBI!$A$1:$GI$1,0)),CL$4:CL$138,AO$2)</f>
        <v>1</v>
      </c>
      <c r="AS45" s="297">
        <f t="shared" si="3"/>
        <v>1222</v>
      </c>
      <c r="AT45" s="25">
        <f t="shared" si="1"/>
        <v>1228</v>
      </c>
      <c r="AU45" s="25">
        <f t="shared" si="2"/>
        <v>99</v>
      </c>
      <c r="AV45" s="295" t="str">
        <f>VLOOKUP(VLOOKUP($AU45,KOMBI!$A:$H,3,FALSE),data!$I$27:$J$29,2,FALSE)</f>
        <v>Mittesekkuv</v>
      </c>
      <c r="AW45" s="295" t="str">
        <f>VLOOKUP(VLOOKUP($AU45,KOMBI!$A:$H,2,FALSE),data!$I$21:$J$23,2,FALSE)</f>
        <v>Sekkuv</v>
      </c>
      <c r="AX45" s="295" t="str">
        <f>VLOOKUP(VLOOKUP($AU45,KOMBI!$A:$H,5,FALSE),data!$I$39:$J$41,2,FALSE)</f>
        <v>Sekkuv</v>
      </c>
      <c r="AY45" s="295" t="str">
        <f>VLOOKUP(VLOOKUP($AU45,KOMBI!$A:$H,4,FALSE),data!$I$32:$J$36,2,FALSE)</f>
        <v>TE</v>
      </c>
      <c r="BA45" s="25">
        <f t="array" ref="BA45">INDEX(KOMBI!$A$1:$GI$145,ROW('KSH järjestus'!BA52),MATCH('KSH järjestus'!BA$3,KOMBI!$A$1:$GI$1,0))</f>
        <v>7.6530593534034779</v>
      </c>
      <c r="BB45" s="25">
        <f t="array" ref="BB45">INDEX(KOMBI!$A$1:$GI$145,ROW('KSH järjestus'!BB52),MATCH('KSH järjestus'!BB$3,KOMBI!$A$1:$GI$1,0))</f>
        <v>421.59135976041023</v>
      </c>
      <c r="BC45" s="25">
        <f t="array" aca="1" ref="BC45" ca="1">INDEX(KOMBI!$A$1:$GI$145,ROW('KSH järjestus'!BC52),MATCH('KSH järjestus'!BC$3,KOMBI!$A$1:$GI$1,0))</f>
        <v>-2.8493307133451822</v>
      </c>
      <c r="BD45" s="25">
        <f t="array" ref="BD45">INDEX(KOMBI!$A$1:$GI$145,ROW('KSH järjestus'!BD52),MATCH('KSH järjestus'!BD$3,KOMBI!$A$1:$GI$1,0))</f>
        <v>-156.76081369909105</v>
      </c>
      <c r="BE45" s="25">
        <f t="array" ref="BE45">INDEX(KOMBI!$A$1:$GI$145,ROW('KSH järjestus'!BE52),MATCH('KSH järjestus'!BE$3,KOMBI!$A$1:$GI$1,0))</f>
        <v>153.91148298574586</v>
      </c>
      <c r="BF45" s="25">
        <f t="array" aca="1" ref="BF45" ca="1">INDEX(KOMBI!$A$1:$GI$145,ROW('KSH järjestus'!BF52),MATCH('KSH järjestus'!BF$3,KOMBI!$A$1:$GI$1,0))</f>
        <v>0</v>
      </c>
      <c r="BG45" s="25">
        <f t="array" ref="BG45">INDEX(KOMBI!$A$1:$GI$145,ROW('KSH järjestus'!BG52),MATCH('KSH järjestus'!BG$3,KOMBI!$A$1:$GI$1,0))</f>
        <v>0.65105573511718828</v>
      </c>
      <c r="BH45" s="25">
        <f t="array" ref="BH45">INDEX(KOMBI!$A$1:$GI$145,ROW('KSH järjestus'!BH52),MATCH('KSH järjestus'!BH$3,KOMBI!$A$1:$GI$1,0))</f>
        <v>90</v>
      </c>
      <c r="BI45" s="25">
        <f t="array" ref="BI45">INDEX(KOMBI!$A$1:$GI$145,ROW('KSH järjestus'!BI52),MATCH('KSH järjestus'!BI$3,KOMBI!$A$1:$GI$1,0))</f>
        <v>0.91028830406496786</v>
      </c>
      <c r="BJ45" s="25">
        <f t="array" ref="BJ45">INDEX(KOMBI!$A$1:$GI$145,ROW('KSH järjestus'!BJ52),MATCH('KSH järjestus'!BJ$3,KOMBI!$A$1:$GI$1,0))</f>
        <v>0.36609829488465395</v>
      </c>
      <c r="BK45" s="25">
        <f t="array" ref="BK45">INDEX(KOMBI!$A$1:$GI$145,ROW('KSH järjestus'!BK52),MATCH('KSH järjestus'!BK$3,KOMBI!$A$1:$GI$1,0))</f>
        <v>0.54655630190147675</v>
      </c>
      <c r="BL45" s="25">
        <f t="array" ref="BL45">INDEX(KOMBI!$A$1:$GI$145,ROW('KSH järjestus'!BL52),MATCH('KSH järjestus'!BL$3,KOMBI!$A$1:$GI$1,0))</f>
        <v>1.6773807184016346E-2</v>
      </c>
      <c r="BM45" s="25">
        <f t="array" ref="BM45">INDEX(KOMBI!$A$1:$GI$145,ROW('KSH järjestus'!BM52),MATCH('KSH järjestus'!BM$3,KOMBI!$A$1:$GI$1,0))</f>
        <v>-7.5360472627375684E-3</v>
      </c>
      <c r="BN45" s="25">
        <f t="array" ref="BN45">INDEX(KOMBI!$A$1:$GI$145,ROW('KSH järjestus'!BN52),MATCH('KSH järjestus'!BN$3,KOMBI!$A$1:$GI$1,0))</f>
        <v>3.6630144727231584E-4</v>
      </c>
      <c r="BO45" s="25">
        <f t="array" ref="BO45">INDEX(KOMBI!$A$1:$GI$145,ROW('KSH järjestus'!BO52),MATCH('KSH järjestus'!BO$3,KOMBI!$A$1:$GI$1,0))</f>
        <v>1.6554519092538453E-2</v>
      </c>
      <c r="BP45" s="25">
        <f t="array" ref="BP45">INDEX(KOMBI!$A$1:$GI$145,ROW('KSH järjestus'!BP52),MATCH('KSH järjestus'!BP$3,KOMBI!$A$1:$GI$1,0))</f>
        <v>7.6528313570900952</v>
      </c>
      <c r="BQ45" s="25">
        <f t="array" ref="BQ45">INDEX(KOMBI!$A$1:$GI$145,ROW('KSH järjestus'!BQ52),MATCH('KSH järjestus'!BQ$3,KOMBI!$A$1:$GI$1,0))</f>
        <v>10.574</v>
      </c>
      <c r="BR45" s="25">
        <f t="array" ref="BR45">INDEX(KOMBI!$A$1:$GI$145,ROW('KSH järjestus'!BR52),MATCH('KSH järjestus'!BR$3,KOMBI!$A$1:$GI$1,0))</f>
        <v>-3.3791557273151335E-2</v>
      </c>
      <c r="BS45" s="25">
        <f t="array" ref="BS45">INDEX(KOMBI!$A$1:$GI$145,ROW('KSH järjestus'!BS52),MATCH('KSH järjestus'!BS$3,KOMBI!$A$1:$GI$1,0))</f>
        <v>-0.1562716380736458</v>
      </c>
      <c r="BT45" s="25">
        <f t="array" ref="BT45">INDEX(KOMBI!$A$1:$GI$145,ROW('KSH järjestus'!BT52),MATCH('KSH järjestus'!BT$3,KOMBI!$A$1:$GI$1,0))</f>
        <v>-7.9678251570997533E-2</v>
      </c>
      <c r="BU45" s="25">
        <f t="array" ref="BU45">INDEX(KOMBI!$A$1:$GI$145,ROW('KSH järjestus'!BU52),MATCH('KSH järjestus'!BU$3,KOMBI!$A$1:$GI$1,0))</f>
        <v>5.1330005094011817</v>
      </c>
      <c r="BV45" s="25">
        <f t="array" ref="BV45">INDEX(KOMBI!$A$1:$GI$145,ROW('KSH järjestus'!BV52),MATCH('KSH järjestus'!BV$3,KOMBI!$A$1:$GI$1,0))</f>
        <v>1.177</v>
      </c>
      <c r="BW45" s="25">
        <f t="array" ref="BW45">INDEX(KOMBI!$A$1:$GI$145,ROW('KSH järjestus'!BW52),MATCH('KSH järjestus'!BW$3,KOMBI!$A$1:$GI$1,0))</f>
        <v>3.5838368215830605</v>
      </c>
      <c r="BX45" s="25">
        <f t="array" ref="BX45">INDEX(KOMBI!$A$1:$GI$145,ROW('KSH järjestus'!BX52),MATCH('KSH järjestus'!BX$3,KOMBI!$A$1:$GI$1,0))</f>
        <v>18.156721793242816</v>
      </c>
      <c r="BY45" s="25">
        <f t="array" ref="BY45">INDEX(KOMBI!$A$1:$GI$145,ROW('KSH järjestus'!BY52),MATCH('KSH järjestus'!BY$3,KOMBI!$A$1:$GI$1,0))</f>
        <v>6.0117453871512243</v>
      </c>
      <c r="BZ45" s="25">
        <f t="array" ref="BZ45">INDEX(KOMBI!$A$1:$GI$145,ROW('KSH järjestus'!BZ52),MATCH('KSH järjestus'!BZ$3,KOMBI!$A$1:$GI$1,0))</f>
        <v>85</v>
      </c>
      <c r="CA45" s="25">
        <f t="array" ref="CA45">INDEX(KOMBI!$A$1:$GI$145,ROW('KSH järjestus'!CA52),MATCH('KSH järjestus'!CA$3,KOMBI!$A$1:$GI$1,0))</f>
        <v>10.52</v>
      </c>
      <c r="CB45" s="25">
        <f t="array" ref="CB45">INDEX(KOMBI!$A$1:$GI$145,ROW('KSH järjestus'!CB52),MATCH('KSH järjestus'!CB$3,KOMBI!$A$1:$GI$1,0))</f>
        <v>42.051944444444445</v>
      </c>
      <c r="CC45" s="25">
        <f t="array" ref="CC45">INDEX(KOMBI!$A$1:$GI$145,ROW('KSH järjestus'!CC52),MATCH('KSH järjestus'!CC$3,KOMBI!$A$1:$GI$1,0))</f>
        <v>4.3222940000000003</v>
      </c>
      <c r="CD45" s="25">
        <f t="array" ref="CD45">INDEX(KOMBI!$A$1:$GI$145,ROW('KSH järjestus'!CD52),MATCH('KSH järjestus'!CD$3,KOMBI!$A$1:$GI$1,0))</f>
        <v>309.2</v>
      </c>
      <c r="CE45" s="25">
        <f t="array" ref="CE45">INDEX(KOMBI!$A$1:$GI$145,ROW('KSH järjestus'!CE52),MATCH('KSH järjestus'!CE$3,KOMBI!$A$1:$GI$1,0))</f>
        <v>2.7559999999999998</v>
      </c>
      <c r="CF45" s="25">
        <f t="array" ref="CF45">INDEX(KOMBI!$A$1:$GI$145,ROW('KSH järjestus'!CF52),MATCH('KSH järjestus'!CF$3,KOMBI!$A$1:$GI$1,0))</f>
        <v>44.228055555555557</v>
      </c>
      <c r="CG45" s="25">
        <f t="array" ref="CG45">INDEX(KOMBI!$A$1:$GI$145,ROW('KSH järjestus'!CG52),MATCH('KSH järjestus'!CG$3,KOMBI!$A$1:$GI$1,0))</f>
        <v>2.201934621570804E-2</v>
      </c>
      <c r="CH45" s="25">
        <f t="array" ref="CH45">INDEX(KOMBI!$A$1:$GI$145,ROW('KSH järjestus'!CH52),MATCH('KSH järjestus'!CH$3,KOMBI!$A$1:$GI$1,0))</f>
        <v>0.45163250455002329</v>
      </c>
      <c r="CI45" s="25">
        <f t="array" ref="CI45">INDEX(KOMBI!$A$1:$GI$145,ROW('KSH järjestus'!CI52),MATCH('KSH järjestus'!CI$3,KOMBI!$A$1:$GI$1,0))</f>
        <v>10.67</v>
      </c>
      <c r="CJ45" s="25">
        <f t="array" ref="CJ45">INDEX(KOMBI!$A$1:$GI$145,ROW('KSH järjestus'!CJ52),MATCH('KSH järjestus'!CJ$3,KOMBI!$A$1:$GI$1,0))</f>
        <v>3.6796368215830602</v>
      </c>
      <c r="CK45" s="25">
        <f t="array" ref="CK45">INDEX(KOMBI!$A$1:$GI$145,ROW('KSH järjestus'!CK52),MATCH('KSH järjestus'!CK$3,KOMBI!$A$1:$GI$1,0))</f>
        <v>0.19900000000000001</v>
      </c>
      <c r="CL45" s="25">
        <f t="array" ref="CL45">INDEX(KOMBI!$A$1:$GI$145,ROW('KSH järjestus'!CL52),MATCH('KSH järjestus'!CL$3,KOMBI!$A$1:$GI$1,0))</f>
        <v>0.72299999999999998</v>
      </c>
    </row>
    <row r="46" spans="3:90" x14ac:dyDescent="0.2">
      <c r="C46" s="184">
        <v>43</v>
      </c>
      <c r="G46" s="25">
        <f>RANK(INDEX(KOMBI!$A$11:$GI$145,MATCH('KSH järjestus'!$C46,KOMBI!$A$11:$A$145,0),MATCH('KSH järjestus'!G$3,KOMBI!$A$1:$GI$1,0)),BD$4:BD$138,G$2)</f>
        <v>41</v>
      </c>
      <c r="H46" s="25">
        <f>RANK(INDEX(KOMBI!$A$11:$GI$145,MATCH('KSH järjestus'!$C46,KOMBI!$A$11:$A$145,0),MATCH('KSH järjestus'!H$3,KOMBI!$A$1:$GI$1,0)),BE$4:BE$138,H$2)</f>
        <v>65</v>
      </c>
      <c r="J46" s="25">
        <f>RANK(INDEX(KOMBI!$A$11:$GI$145,MATCH('KSH järjestus'!$C46,KOMBI!$A$11:$A$145,0),MATCH('KSH järjestus'!J$3,KOMBI!$A$1:$GI$1,0)),BG$4:BG$138,J$2)</f>
        <v>22</v>
      </c>
      <c r="M46" s="25">
        <f>RANK(INDEX(KOMBI!$A$11:$GI$145,MATCH('KSH järjestus'!$C46,KOMBI!$A$11:$A$145,0),MATCH('KSH järjestus'!M$3,KOMBI!$A$1:$GI$1,0)),BJ$4:BJ$138,M$2)</f>
        <v>1</v>
      </c>
      <c r="N46" s="25">
        <f>RANK(INDEX(KOMBI!$A$11:$GI$145,MATCH('KSH järjestus'!$C46,KOMBI!$A$11:$A$145,0),MATCH('KSH järjestus'!N$3,KOMBI!$A$1:$GI$1,0)),BK$4:BK$138,N$2)</f>
        <v>130</v>
      </c>
      <c r="O46" s="25">
        <f>RANK(INDEX(KOMBI!$A$11:$GI$145,MATCH('KSH järjestus'!$C46,KOMBI!$A$11:$A$145,0),MATCH('KSH järjestus'!O$3,KOMBI!$A$1:$GI$1,0)),BL$4:BL$138,O$2)</f>
        <v>39</v>
      </c>
      <c r="P46" s="25">
        <f>RANK(INDEX(KOMBI!$A$11:$GI$145,MATCH('KSH järjestus'!$C46,KOMBI!$A$11:$A$145,0),MATCH('KSH järjestus'!P$3,KOMBI!$A$1:$GI$1,0)),BM$4:BM$138,P$2)</f>
        <v>53</v>
      </c>
      <c r="Q46" s="25">
        <f>RANK(INDEX(KOMBI!$A$11:$GI$145,MATCH('KSH järjestus'!$C46,KOMBI!$A$11:$A$145,0),MATCH('KSH järjestus'!Q$3,KOMBI!$A$1:$GI$1,0)),BN$4:BN$138,Q$2)</f>
        <v>43</v>
      </c>
      <c r="R46" s="25">
        <f>RANK(INDEX(KOMBI!$A$11:$GI$145,MATCH('KSH järjestus'!$C46,KOMBI!$A$11:$A$145,0),MATCH('KSH järjestus'!R$3,KOMBI!$A$1:$GI$1,0)),BO$4:BO$138,R$2)</f>
        <v>43</v>
      </c>
      <c r="T46" s="25">
        <f>RANK(INDEX(KOMBI!$A$11:$GI$145,MATCH('KSH järjestus'!$C46,KOMBI!$A$11:$A$145,0),MATCH('KSH järjestus'!T$3,KOMBI!$A$1:$GI$1,0)),BQ$4:BQ$138,T$2)</f>
        <v>123</v>
      </c>
      <c r="U46" s="25">
        <f>RANK(INDEX(KOMBI!$A$11:$GI$145,MATCH('KSH järjestus'!$C46,KOMBI!$A$11:$A$145,0),MATCH('KSH järjestus'!U$3,KOMBI!$A$1:$GI$1,0)),BR$4:BR$138,U$2)</f>
        <v>102</v>
      </c>
      <c r="AA46" s="25">
        <f>RANK(INDEX(KOMBI!$A$11:$GI$145,MATCH('KSH järjestus'!$C46,KOMBI!$A$11:$A$145,0),MATCH('KSH järjestus'!AA$3,KOMBI!$A$1:$GI$1,0)),BX$4:BX$138,AA$2)</f>
        <v>124</v>
      </c>
      <c r="AB46" s="25">
        <f>RANK(INDEX(KOMBI!$A$11:$GI$145,MATCH('KSH järjestus'!$C46,KOMBI!$A$11:$A$145,0),MATCH('KSH järjestus'!AB$3,KOMBI!$A$1:$GI$1,0)),BY$4:BY$138,AB$2)</f>
        <v>115</v>
      </c>
      <c r="AC46" s="25">
        <f>RANK(INDEX(KOMBI!$A$11:$GI$145,MATCH('KSH järjestus'!$C46,KOMBI!$A$11:$A$145,0),MATCH('KSH järjestus'!AC$3,KOMBI!$A$1:$GI$1,0)),BZ$4:BZ$138,AC$2)</f>
        <v>128</v>
      </c>
      <c r="AD46" s="25">
        <f>RANK(INDEX(KOMBI!$A$11:$GI$145,MATCH('KSH järjestus'!$C46,KOMBI!$A$11:$A$145,0),MATCH('KSH järjestus'!AD$3,KOMBI!$A$1:$GI$1,0)),CA$4:CA$138,AD$2)</f>
        <v>123</v>
      </c>
      <c r="AE46" s="25">
        <f>RANK(INDEX(KOMBI!$A$11:$GI$145,MATCH('KSH järjestus'!$C46,KOMBI!$A$11:$A$145,0),MATCH('KSH järjestus'!AE$3,KOMBI!$A$1:$GI$1,0)),CB$4:CB$138,AE$2)</f>
        <v>124</v>
      </c>
      <c r="AG46" s="25">
        <f>RANK(INDEX(KOMBI!$A$11:$GI$145,MATCH('KSH järjestus'!$C46,KOMBI!$A$11:$A$145,0),MATCH('KSH järjestus'!AG$3,KOMBI!$A$1:$GI$1,0)),CD$4:CD$138,AG$2)</f>
        <v>61</v>
      </c>
      <c r="AH46" s="25">
        <f>RANK(INDEX(KOMBI!$A$11:$GI$145,MATCH('KSH järjestus'!$C46,KOMBI!$A$11:$A$145,0),MATCH('KSH järjestus'!AH$3,KOMBI!$A$1:$GI$1,0)),CE$4:CE$138,AH$2)</f>
        <v>1</v>
      </c>
      <c r="AI46" s="25">
        <f>RANK(INDEX(KOMBI!$A$11:$GI$145,MATCH('KSH järjestus'!$C46,KOMBI!$A$11:$A$145,0),MATCH('KSH järjestus'!AI$3,KOMBI!$A$1:$GI$1,0)),CF$4:CF$138,AI$2)</f>
        <v>124</v>
      </c>
      <c r="AJ46" s="25">
        <f>RANK(INDEX(KOMBI!$A$11:$GI$145,MATCH('KSH järjestus'!$C46,KOMBI!$A$11:$A$145,0),MATCH('KSH järjestus'!AJ$3,KOMBI!$A$1:$GI$1,0)),CG$4:CG$138,AJ$2)</f>
        <v>88</v>
      </c>
      <c r="AK46" s="25">
        <f>RANK(INDEX(KOMBI!$A$11:$GI$145,MATCH('KSH järjestus'!$C46,KOMBI!$A$11:$A$145,0),MATCH('KSH järjestus'!AK$3,KOMBI!$A$1:$GI$1,0)),CH$4:CH$138,AK$2)</f>
        <v>118</v>
      </c>
      <c r="AN46" s="25">
        <f>RANK(INDEX(KOMBI!$A$11:$GI$145,MATCH('KSH järjestus'!$C46,KOMBI!$A$11:$A$145,0),MATCH('KSH järjestus'!AN$3,KOMBI!$A$1:$GI$1,0)),CK$4:CK$138,AN$2)</f>
        <v>1</v>
      </c>
      <c r="AO46" s="25">
        <f>RANK(INDEX(KOMBI!$A$11:$GI$145,MATCH('KSH järjestus'!$C46,KOMBI!$A$11:$A$145,0),MATCH('KSH järjestus'!AO$3,KOMBI!$A$1:$GI$1,0)),CL$4:CL$138,AO$2)</f>
        <v>1</v>
      </c>
      <c r="AS46" s="297">
        <f t="shared" si="3"/>
        <v>1670</v>
      </c>
      <c r="AT46" s="25">
        <f t="shared" si="1"/>
        <v>1245</v>
      </c>
      <c r="AU46" s="25">
        <f t="shared" si="2"/>
        <v>71</v>
      </c>
      <c r="AV46" s="295" t="str">
        <f>VLOOKUP(VLOOKUP($AU46,KOMBI!$A:$H,3,FALSE),data!$I$27:$J$29,2,FALSE)</f>
        <v>Vähe-sekkuv</v>
      </c>
      <c r="AW46" s="295" t="str">
        <f>VLOOKUP(VLOOKUP($AU46,KOMBI!$A:$H,2,FALSE),data!$I$21:$J$23,2,FALSE)</f>
        <v>Vähe-sekkuv</v>
      </c>
      <c r="AX46" s="295" t="str">
        <f>VLOOKUP(VLOOKUP($AU46,KOMBI!$A:$H,5,FALSE),data!$I$39:$J$41,2,FALSE)</f>
        <v>Vähe-sekkuv</v>
      </c>
      <c r="AY46" s="295" t="str">
        <f>VLOOKUP(VLOOKUP($AU46,KOMBI!$A:$H,4,FALSE),data!$I$32:$J$36,2,FALSE)</f>
        <v>TE++</v>
      </c>
      <c r="BA46" s="25">
        <f t="array" ref="BA46">INDEX(KOMBI!$A$1:$GI$145,ROW('KSH järjestus'!BA53),MATCH('KSH järjestus'!BA$3,KOMBI!$A$1:$GI$1,0))</f>
        <v>2.8407297028045986</v>
      </c>
      <c r="BB46" s="25">
        <f t="array" ref="BB46">INDEX(KOMBI!$A$1:$GI$145,ROW('KSH järjestus'!BB53),MATCH('KSH järjestus'!BB$3,KOMBI!$A$1:$GI$1,0))</f>
        <v>564.71401116746983</v>
      </c>
      <c r="BC46" s="25">
        <f t="array" aca="1" ref="BC46" ca="1">INDEX(KOMBI!$A$1:$GI$145,ROW('KSH järjestus'!BC53),MATCH('KSH järjestus'!BC$3,KOMBI!$A$1:$GI$1,0))</f>
        <v>44.268753694756285</v>
      </c>
      <c r="BD46" s="25">
        <f t="array" ref="BD46">INDEX(KOMBI!$A$1:$GI$145,ROW('KSH järjestus'!BD53),MATCH('KSH järjestus'!BD$3,KOMBI!$A$1:$GI$1,0))</f>
        <v>-122.42</v>
      </c>
      <c r="BE46" s="25">
        <f t="array" ref="BE46">INDEX(KOMBI!$A$1:$GI$145,ROW('KSH järjestus'!BE53),MATCH('KSH järjestus'!BE$3,KOMBI!$A$1:$GI$1,0))</f>
        <v>166.68875369475629</v>
      </c>
      <c r="BF46" s="25">
        <f t="array" aca="1" ref="BF46" ca="1">INDEX(KOMBI!$A$1:$GI$145,ROW('KSH järjestus'!BF53),MATCH('KSH järjestus'!BF$3,KOMBI!$A$1:$GI$1,0))</f>
        <v>0</v>
      </c>
      <c r="BG46" s="25">
        <f t="array" ref="BG46">INDEX(KOMBI!$A$1:$GI$145,ROW('KSH järjestus'!BG53),MATCH('KSH järjestus'!BG$3,KOMBI!$A$1:$GI$1,0))</f>
        <v>0.3467385639430251</v>
      </c>
      <c r="BH46" s="25">
        <f t="array" ref="BH46">INDEX(KOMBI!$A$1:$GI$145,ROW('KSH järjestus'!BH53),MATCH('KSH järjestus'!BH$3,KOMBI!$A$1:$GI$1,0))</f>
        <v>90</v>
      </c>
      <c r="BI46" s="25">
        <f t="array" ref="BI46">INDEX(KOMBI!$A$1:$GI$145,ROW('KSH järjestus'!BI53),MATCH('KSH järjestus'!BI$3,KOMBI!$A$1:$GI$1,0))</f>
        <v>1</v>
      </c>
      <c r="BJ46" s="25">
        <f t="array" ref="BJ46">INDEX(KOMBI!$A$1:$GI$145,ROW('KSH järjestus'!BJ53),MATCH('KSH järjestus'!BJ$3,KOMBI!$A$1:$GI$1,0))</f>
        <v>0</v>
      </c>
      <c r="BK46" s="25">
        <f t="array" ref="BK46">INDEX(KOMBI!$A$1:$GI$145,ROW('KSH järjestus'!BK53),MATCH('KSH järjestus'!BK$3,KOMBI!$A$1:$GI$1,0))</f>
        <v>0.2376214220964559</v>
      </c>
      <c r="BL46" s="25">
        <f t="array" ref="BL46">INDEX(KOMBI!$A$1:$GI$145,ROW('KSH järjestus'!BL53),MATCH('KSH järjestus'!BL$3,KOMBI!$A$1:$GI$1,0))</f>
        <v>2.0825038977317873E-2</v>
      </c>
      <c r="BM46" s="25">
        <f t="array" ref="BM46">INDEX(KOMBI!$A$1:$GI$145,ROW('KSH järjestus'!BM53),MATCH('KSH järjestus'!BM$3,KOMBI!$A$1:$GI$1,0))</f>
        <v>3.4735933360016073E-3</v>
      </c>
      <c r="BN46" s="25">
        <f t="array" ref="BN46">INDEX(KOMBI!$A$1:$GI$145,ROW('KSH järjestus'!BN53),MATCH('KSH järjestus'!BN$3,KOMBI!$A$1:$GI$1,0))</f>
        <v>6.2812956822676791E-3</v>
      </c>
      <c r="BO46" s="25">
        <f t="array" ref="BO46">INDEX(KOMBI!$A$1:$GI$145,ROW('KSH järjestus'!BO53),MATCH('KSH järjestus'!BO$3,KOMBI!$A$1:$GI$1,0))</f>
        <v>1.4858780472795987E-2</v>
      </c>
      <c r="BP46" s="25">
        <f t="array" ref="BP46">INDEX(KOMBI!$A$1:$GI$145,ROW('KSH järjestus'!BP53),MATCH('KSH järjestus'!BP$3,KOMBI!$A$1:$GI$1,0))</f>
        <v>7.5689896156049166</v>
      </c>
      <c r="BQ46" s="25">
        <f t="array" ref="BQ46">INDEX(KOMBI!$A$1:$GI$145,ROW('KSH järjestus'!BQ53),MATCH('KSH järjestus'!BQ$3,KOMBI!$A$1:$GI$1,0))</f>
        <v>11.757</v>
      </c>
      <c r="BR46" s="25">
        <f t="array" ref="BR46">INDEX(KOMBI!$A$1:$GI$145,ROW('KSH järjestus'!BR53),MATCH('KSH järjestus'!BR$3,KOMBI!$A$1:$GI$1,0))</f>
        <v>-1.1750027993583189E-2</v>
      </c>
      <c r="BS46" s="25">
        <f t="array" ref="BS46">INDEX(KOMBI!$A$1:$GI$145,ROW('KSH järjestus'!BS53),MATCH('KSH järjestus'!BS$3,KOMBI!$A$1:$GI$1,0))</f>
        <v>6.9525406445097554E-2</v>
      </c>
      <c r="BT46" s="25">
        <f t="array" ref="BT46">INDEX(KOMBI!$A$1:$GI$145,ROW('KSH järjestus'!BT53),MATCH('KSH järjestus'!BT$3,KOMBI!$A$1:$GI$1,0))</f>
        <v>6.1657269177901562E-2</v>
      </c>
      <c r="BU46" s="25">
        <f t="array" ref="BU46">INDEX(KOMBI!$A$1:$GI$145,ROW('KSH järjestus'!BU53),MATCH('KSH järjestus'!BU$3,KOMBI!$A$1:$GI$1,0))</f>
        <v>12.14223327039346</v>
      </c>
      <c r="BV46" s="25">
        <f t="array" ref="BV46">INDEX(KOMBI!$A$1:$GI$145,ROW('KSH järjestus'!BV53),MATCH('KSH järjestus'!BV$3,KOMBI!$A$1:$GI$1,0))</f>
        <v>5.9039999999999999</v>
      </c>
      <c r="BW46" s="25">
        <f t="array" ref="BW46">INDEX(KOMBI!$A$1:$GI$145,ROW('KSH järjestus'!BW53),MATCH('KSH järjestus'!BW$3,KOMBI!$A$1:$GI$1,0))</f>
        <v>2.9976368215830602</v>
      </c>
      <c r="BX46" s="25">
        <f t="array" ref="BX46">INDEX(KOMBI!$A$1:$GI$145,ROW('KSH järjestus'!BX53),MATCH('KSH järjestus'!BX$3,KOMBI!$A$1:$GI$1,0))</f>
        <v>23.055</v>
      </c>
      <c r="BY46" s="25">
        <f t="array" ref="BY46">INDEX(KOMBI!$A$1:$GI$145,ROW('KSH järjestus'!BY53),MATCH('KSH järjestus'!BY$3,KOMBI!$A$1:$GI$1,0))</f>
        <v>37.843716140171821</v>
      </c>
      <c r="BZ46" s="25">
        <f t="array" ref="BZ46">INDEX(KOMBI!$A$1:$GI$145,ROW('KSH järjestus'!BZ53),MATCH('KSH järjestus'!BZ$3,KOMBI!$A$1:$GI$1,0))</f>
        <v>99</v>
      </c>
      <c r="CA46" s="25">
        <f t="array" ref="CA46">INDEX(KOMBI!$A$1:$GI$145,ROW('KSH järjestus'!CA53),MATCH('KSH järjestus'!CA$3,KOMBI!$A$1:$GI$1,0))</f>
        <v>16.84</v>
      </c>
      <c r="CB46" s="25">
        <f t="array" ref="CB46">INDEX(KOMBI!$A$1:$GI$145,ROW('KSH järjestus'!CB53),MATCH('KSH järjestus'!CB$3,KOMBI!$A$1:$GI$1,0))</f>
        <v>137.56333333333333</v>
      </c>
      <c r="CC46" s="25">
        <f t="array" ref="CC46">INDEX(KOMBI!$A$1:$GI$145,ROW('KSH järjestus'!CC53),MATCH('KSH järjestus'!CC$3,KOMBI!$A$1:$GI$1,0))</f>
        <v>7.508489</v>
      </c>
      <c r="CD46" s="25">
        <f t="array" ref="CD46">INDEX(KOMBI!$A$1:$GI$145,ROW('KSH järjestus'!CD53),MATCH('KSH järjestus'!CD$3,KOMBI!$A$1:$GI$1,0))</f>
        <v>309</v>
      </c>
      <c r="CE46" s="25">
        <f t="array" ref="CE46">INDEX(KOMBI!$A$1:$GI$145,ROW('KSH järjestus'!CE53),MATCH('KSH järjestus'!CE$3,KOMBI!$A$1:$GI$1,0))</f>
        <v>2.7559999999999998</v>
      </c>
      <c r="CF46" s="25">
        <f t="array" ref="CF46">INDEX(KOMBI!$A$1:$GI$145,ROW('KSH järjestus'!CF53),MATCH('KSH järjestus'!CF$3,KOMBI!$A$1:$GI$1,0))</f>
        <v>63.096678542103263</v>
      </c>
      <c r="CG46" s="25">
        <f t="array" ref="CG46">INDEX(KOMBI!$A$1:$GI$145,ROW('KSH järjestus'!CG53),MATCH('KSH järjestus'!CG$3,KOMBI!$A$1:$GI$1,0))</f>
        <v>2.201934621570804E-2</v>
      </c>
      <c r="CH46" s="25">
        <f t="array" ref="CH46">INDEX(KOMBI!$A$1:$GI$145,ROW('KSH järjestus'!CH53),MATCH('KSH järjestus'!CH$3,KOMBI!$A$1:$GI$1,0))</f>
        <v>0.36029299432190109</v>
      </c>
      <c r="CI46" s="25">
        <f t="array" ref="CI46">INDEX(KOMBI!$A$1:$GI$145,ROW('KSH järjestus'!CI53),MATCH('KSH järjestus'!CI$3,KOMBI!$A$1:$GI$1,0))</f>
        <v>6.08</v>
      </c>
      <c r="CJ46" s="25">
        <f t="array" ref="CJ46">INDEX(KOMBI!$A$1:$GI$145,ROW('KSH järjestus'!CJ53),MATCH('KSH järjestus'!CJ$3,KOMBI!$A$1:$GI$1,0))</f>
        <v>9.183636821583061</v>
      </c>
      <c r="CK46" s="25">
        <f t="array" ref="CK46">INDEX(KOMBI!$A$1:$GI$145,ROW('KSH järjestus'!CK53),MATCH('KSH järjestus'!CK$3,KOMBI!$A$1:$GI$1,0))</f>
        <v>0.19900000000000001</v>
      </c>
      <c r="CL46" s="25">
        <f t="array" ref="CL46">INDEX(KOMBI!$A$1:$GI$145,ROW('KSH järjestus'!CL53),MATCH('KSH järjestus'!CL$3,KOMBI!$A$1:$GI$1,0))</f>
        <v>0.72299999999999998</v>
      </c>
    </row>
    <row r="47" spans="3:90" x14ac:dyDescent="0.2">
      <c r="C47" s="184">
        <v>44</v>
      </c>
      <c r="G47" s="25">
        <f>RANK(INDEX(KOMBI!$A$11:$GI$145,MATCH('KSH järjestus'!$C47,KOMBI!$A$11:$A$145,0),MATCH('KSH järjestus'!G$3,KOMBI!$A$1:$GI$1,0)),BD$4:BD$138,G$2)</f>
        <v>36</v>
      </c>
      <c r="H47" s="25">
        <f>RANK(INDEX(KOMBI!$A$11:$GI$145,MATCH('KSH järjestus'!$C47,KOMBI!$A$11:$A$145,0),MATCH('KSH järjestus'!H$3,KOMBI!$A$1:$GI$1,0)),BE$4:BE$138,H$2)</f>
        <v>36</v>
      </c>
      <c r="J47" s="25">
        <f>RANK(INDEX(KOMBI!$A$11:$GI$145,MATCH('KSH järjestus'!$C47,KOMBI!$A$11:$A$145,0),MATCH('KSH järjestus'!J$3,KOMBI!$A$1:$GI$1,0)),BG$4:BG$138,J$2)</f>
        <v>17</v>
      </c>
      <c r="M47" s="25">
        <f>RANK(INDEX(KOMBI!$A$11:$GI$145,MATCH('KSH järjestus'!$C47,KOMBI!$A$11:$A$145,0),MATCH('KSH järjestus'!M$3,KOMBI!$A$1:$GI$1,0)),BJ$4:BJ$138,M$2)</f>
        <v>1</v>
      </c>
      <c r="N47" s="25">
        <f>RANK(INDEX(KOMBI!$A$11:$GI$145,MATCH('KSH järjestus'!$C47,KOMBI!$A$11:$A$145,0),MATCH('KSH järjestus'!N$3,KOMBI!$A$1:$GI$1,0)),BK$4:BK$138,N$2)</f>
        <v>132</v>
      </c>
      <c r="O47" s="25">
        <f>RANK(INDEX(KOMBI!$A$11:$GI$145,MATCH('KSH järjestus'!$C47,KOMBI!$A$11:$A$145,0),MATCH('KSH järjestus'!O$3,KOMBI!$A$1:$GI$1,0)),BL$4:BL$138,O$2)</f>
        <v>18</v>
      </c>
      <c r="P47" s="25">
        <f>RANK(INDEX(KOMBI!$A$11:$GI$145,MATCH('KSH järjestus'!$C47,KOMBI!$A$11:$A$145,0),MATCH('KSH järjestus'!P$3,KOMBI!$A$1:$GI$1,0)),BM$4:BM$138,P$2)</f>
        <v>73</v>
      </c>
      <c r="Q47" s="25">
        <f>RANK(INDEX(KOMBI!$A$11:$GI$145,MATCH('KSH järjestus'!$C47,KOMBI!$A$11:$A$145,0),MATCH('KSH järjestus'!Q$3,KOMBI!$A$1:$GI$1,0)),BN$4:BN$138,Q$2)</f>
        <v>26</v>
      </c>
      <c r="R47" s="25">
        <f>RANK(INDEX(KOMBI!$A$11:$GI$145,MATCH('KSH järjestus'!$C47,KOMBI!$A$11:$A$145,0),MATCH('KSH järjestus'!R$3,KOMBI!$A$1:$GI$1,0)),BO$4:BO$138,R$2)</f>
        <v>13</v>
      </c>
      <c r="T47" s="25">
        <f>RANK(INDEX(KOMBI!$A$11:$GI$145,MATCH('KSH järjestus'!$C47,KOMBI!$A$11:$A$145,0),MATCH('KSH järjestus'!T$3,KOMBI!$A$1:$GI$1,0)),BQ$4:BQ$138,T$2)</f>
        <v>125</v>
      </c>
      <c r="U47" s="25">
        <f>RANK(INDEX(KOMBI!$A$11:$GI$145,MATCH('KSH järjestus'!$C47,KOMBI!$A$11:$A$145,0),MATCH('KSH järjestus'!U$3,KOMBI!$A$1:$GI$1,0)),BR$4:BR$138,U$2)</f>
        <v>113</v>
      </c>
      <c r="AA47" s="25">
        <f>RANK(INDEX(KOMBI!$A$11:$GI$145,MATCH('KSH järjestus'!$C47,KOMBI!$A$11:$A$145,0),MATCH('KSH järjestus'!AA$3,KOMBI!$A$1:$GI$1,0)),BX$4:BX$138,AA$2)</f>
        <v>124</v>
      </c>
      <c r="AB47" s="25">
        <f>RANK(INDEX(KOMBI!$A$11:$GI$145,MATCH('KSH järjestus'!$C47,KOMBI!$A$11:$A$145,0),MATCH('KSH järjestus'!AB$3,KOMBI!$A$1:$GI$1,0)),BY$4:BY$138,AB$2)</f>
        <v>115</v>
      </c>
      <c r="AC47" s="25">
        <f>RANK(INDEX(KOMBI!$A$11:$GI$145,MATCH('KSH järjestus'!$C47,KOMBI!$A$11:$A$145,0),MATCH('KSH järjestus'!AC$3,KOMBI!$A$1:$GI$1,0)),BZ$4:BZ$138,AC$2)</f>
        <v>130</v>
      </c>
      <c r="AD47" s="25">
        <f>RANK(INDEX(KOMBI!$A$11:$GI$145,MATCH('KSH järjestus'!$C47,KOMBI!$A$11:$A$145,0),MATCH('KSH järjestus'!AD$3,KOMBI!$A$1:$GI$1,0)),CA$4:CA$138,AD$2)</f>
        <v>125</v>
      </c>
      <c r="AE47" s="25">
        <f>RANK(INDEX(KOMBI!$A$11:$GI$145,MATCH('KSH järjestus'!$C47,KOMBI!$A$11:$A$145,0),MATCH('KSH järjestus'!AE$3,KOMBI!$A$1:$GI$1,0)),CB$4:CB$138,AE$2)</f>
        <v>125</v>
      </c>
      <c r="AG47" s="25">
        <f>RANK(INDEX(KOMBI!$A$11:$GI$145,MATCH('KSH järjestus'!$C47,KOMBI!$A$11:$A$145,0),MATCH('KSH järjestus'!AG$3,KOMBI!$A$1:$GI$1,0)),CD$4:CD$138,AG$2)</f>
        <v>61</v>
      </c>
      <c r="AH47" s="25">
        <f>RANK(INDEX(KOMBI!$A$11:$GI$145,MATCH('KSH järjestus'!$C47,KOMBI!$A$11:$A$145,0),MATCH('KSH järjestus'!AH$3,KOMBI!$A$1:$GI$1,0)),CE$4:CE$138,AH$2)</f>
        <v>1</v>
      </c>
      <c r="AI47" s="25">
        <f>RANK(INDEX(KOMBI!$A$11:$GI$145,MATCH('KSH järjestus'!$C47,KOMBI!$A$11:$A$145,0),MATCH('KSH järjestus'!AI$3,KOMBI!$A$1:$GI$1,0)),CF$4:CF$138,AI$2)</f>
        <v>126</v>
      </c>
      <c r="AJ47" s="25">
        <f>RANK(INDEX(KOMBI!$A$11:$GI$145,MATCH('KSH järjestus'!$C47,KOMBI!$A$11:$A$145,0),MATCH('KSH järjestus'!AJ$3,KOMBI!$A$1:$GI$1,0)),CG$4:CG$138,AJ$2)</f>
        <v>88</v>
      </c>
      <c r="AK47" s="25">
        <f>RANK(INDEX(KOMBI!$A$11:$GI$145,MATCH('KSH järjestus'!$C47,KOMBI!$A$11:$A$145,0),MATCH('KSH järjestus'!AK$3,KOMBI!$A$1:$GI$1,0)),CH$4:CH$138,AK$2)</f>
        <v>118</v>
      </c>
      <c r="AN47" s="25">
        <f>RANK(INDEX(KOMBI!$A$11:$GI$145,MATCH('KSH järjestus'!$C47,KOMBI!$A$11:$A$145,0),MATCH('KSH järjestus'!AN$3,KOMBI!$A$1:$GI$1,0)),CK$4:CK$138,AN$2)</f>
        <v>1</v>
      </c>
      <c r="AO47" s="25">
        <f>RANK(INDEX(KOMBI!$A$11:$GI$145,MATCH('KSH järjestus'!$C47,KOMBI!$A$11:$A$145,0),MATCH('KSH järjestus'!AO$3,KOMBI!$A$1:$GI$1,0)),CL$4:CL$138,AO$2)</f>
        <v>1</v>
      </c>
      <c r="AS47" s="297">
        <f t="shared" si="3"/>
        <v>1605</v>
      </c>
      <c r="AT47" s="25">
        <f t="shared" si="1"/>
        <v>1253</v>
      </c>
      <c r="AU47" s="25">
        <f t="shared" si="2"/>
        <v>68</v>
      </c>
      <c r="AV47" s="295" t="str">
        <f>VLOOKUP(VLOOKUP($AU47,KOMBI!$A:$H,3,FALSE),data!$I$27:$J$29,2,FALSE)</f>
        <v>Vähe-sekkuv</v>
      </c>
      <c r="AW47" s="295" t="str">
        <f>VLOOKUP(VLOOKUP($AU47,KOMBI!$A:$H,2,FALSE),data!$I$21:$J$23,2,FALSE)</f>
        <v>Vähe-sekkuv</v>
      </c>
      <c r="AX47" s="295" t="str">
        <f>VLOOKUP(VLOOKUP($AU47,KOMBI!$A:$H,5,FALSE),data!$I$39:$J$41,2,FALSE)</f>
        <v>Vähe-sekkuv</v>
      </c>
      <c r="AY47" s="295" t="str">
        <f>VLOOKUP(VLOOKUP($AU47,KOMBI!$A:$H,4,FALSE),data!$I$32:$J$36,2,FALSE)</f>
        <v>TE</v>
      </c>
      <c r="BA47" s="25">
        <f t="array" ref="BA47">INDEX(KOMBI!$A$1:$GI$145,ROW('KSH järjestus'!BA54),MATCH('KSH järjestus'!BA$3,KOMBI!$A$1:$GI$1,0))</f>
        <v>3.7566413514504391</v>
      </c>
      <c r="BB47" s="25">
        <f t="array" ref="BB47">INDEX(KOMBI!$A$1:$GI$145,ROW('KSH järjestus'!BB54),MATCH('KSH järjestus'!BB$3,KOMBI!$A$1:$GI$1,0))</f>
        <v>725.19404343673307</v>
      </c>
      <c r="BC47" s="25">
        <f t="array" aca="1" ref="BC47" ca="1">INDEX(KOMBI!$A$1:$GI$145,ROW('KSH järjestus'!BC54),MATCH('KSH järjestus'!BC$3,KOMBI!$A$1:$GI$1,0))</f>
        <v>73.434075723291386</v>
      </c>
      <c r="BD47" s="25">
        <f t="array" ref="BD47">INDEX(KOMBI!$A$1:$GI$145,ROW('KSH järjestus'!BD54),MATCH('KSH järjestus'!BD$3,KOMBI!$A$1:$GI$1,0))</f>
        <v>-137.65321988063209</v>
      </c>
      <c r="BE47" s="25">
        <f t="array" ref="BE47">INDEX(KOMBI!$A$1:$GI$145,ROW('KSH järjestus'!BE54),MATCH('KSH järjestus'!BE$3,KOMBI!$A$1:$GI$1,0))</f>
        <v>211.08729560392348</v>
      </c>
      <c r="BF47" s="25">
        <f t="array" aca="1" ref="BF47" ca="1">INDEX(KOMBI!$A$1:$GI$145,ROW('KSH järjestus'!BF54),MATCH('KSH järjestus'!BF$3,KOMBI!$A$1:$GI$1,0))</f>
        <v>0</v>
      </c>
      <c r="BG47" s="25">
        <f t="array" ref="BG47">INDEX(KOMBI!$A$1:$GI$145,ROW('KSH järjestus'!BG54),MATCH('KSH järjestus'!BG$3,KOMBI!$A$1:$GI$1,0))</f>
        <v>0.32798761679216937</v>
      </c>
      <c r="BH47" s="25">
        <f t="array" ref="BH47">INDEX(KOMBI!$A$1:$GI$145,ROW('KSH järjestus'!BH54),MATCH('KSH järjestus'!BH$3,KOMBI!$A$1:$GI$1,0))</f>
        <v>90</v>
      </c>
      <c r="BI47" s="25">
        <f t="array" ref="BI47">INDEX(KOMBI!$A$1:$GI$145,ROW('KSH järjestus'!BI54),MATCH('KSH järjestus'!BI$3,KOMBI!$A$1:$GI$1,0))</f>
        <v>0.91028830406496797</v>
      </c>
      <c r="BJ47" s="25">
        <f t="array" ref="BJ47">INDEX(KOMBI!$A$1:$GI$145,ROW('KSH järjestus'!BJ54),MATCH('KSH järjestus'!BJ$3,KOMBI!$A$1:$GI$1,0))</f>
        <v>0</v>
      </c>
      <c r="BK47" s="25">
        <f t="array" ref="BK47">INDEX(KOMBI!$A$1:$GI$145,ROW('KSH järjestus'!BK54),MATCH('KSH järjestus'!BK$3,KOMBI!$A$1:$GI$1,0))</f>
        <v>0.23762142209645587</v>
      </c>
      <c r="BL47" s="25">
        <f t="array" ref="BL47">INDEX(KOMBI!$A$1:$GI$145,ROW('KSH järjestus'!BL54),MATCH('KSH järjestus'!BL$3,KOMBI!$A$1:$GI$1,0))</f>
        <v>2.7107432063740201E-2</v>
      </c>
      <c r="BM47" s="25">
        <f t="array" ref="BM47">INDEX(KOMBI!$A$1:$GI$145,ROW('KSH järjestus'!BM54),MATCH('KSH järjestus'!BM$3,KOMBI!$A$1:$GI$1,0))</f>
        <v>7.8054048658599343E-4</v>
      </c>
      <c r="BN47" s="25">
        <f t="array" ref="BN47">INDEX(KOMBI!$A$1:$GI$145,ROW('KSH järjestus'!BN54),MATCH('KSH järjestus'!BN$3,KOMBI!$A$1:$GI$1,0))</f>
        <v>8.7741655436255062E-3</v>
      </c>
      <c r="BO47" s="25">
        <f t="array" ref="BO47">INDEX(KOMBI!$A$1:$GI$145,ROW('KSH järjestus'!BO54),MATCH('KSH järjestus'!BO$3,KOMBI!$A$1:$GI$1,0))</f>
        <v>1.8683667016672817E-2</v>
      </c>
      <c r="BP47" s="25">
        <f t="array" ref="BP47">INDEX(KOMBI!$A$1:$GI$145,ROW('KSH järjestus'!BP54),MATCH('KSH järjestus'!BP$3,KOMBI!$A$1:$GI$1,0))</f>
        <v>7.5689896156049166</v>
      </c>
      <c r="BQ47" s="25">
        <f t="array" ref="BQ47">INDEX(KOMBI!$A$1:$GI$145,ROW('KSH järjestus'!BQ54),MATCH('KSH järjestus'!BQ$3,KOMBI!$A$1:$GI$1,0))</f>
        <v>11.848000000000001</v>
      </c>
      <c r="BR47" s="25">
        <f t="array" ref="BR47">INDEX(KOMBI!$A$1:$GI$145,ROW('KSH järjestus'!BR54),MATCH('KSH järjestus'!BR$3,KOMBI!$A$1:$GI$1,0))</f>
        <v>-7.5162289823184677E-3</v>
      </c>
      <c r="BS47" s="25">
        <f t="array" ref="BS47">INDEX(KOMBI!$A$1:$GI$145,ROW('KSH järjestus'!BS54),MATCH('KSH järjestus'!BS$3,KOMBI!$A$1:$GI$1,0))</f>
        <v>7.0859018664733125E-2</v>
      </c>
      <c r="BT47" s="25">
        <f t="array" ref="BT47">INDEX(KOMBI!$A$1:$GI$145,ROW('KSH järjestus'!BT54),MATCH('KSH järjestus'!BT$3,KOMBI!$A$1:$GI$1,0))</f>
        <v>6.2756231977295518E-2</v>
      </c>
      <c r="BU47" s="25">
        <f t="array" ref="BU47">INDEX(KOMBI!$A$1:$GI$145,ROW('KSH järjestus'!BU54),MATCH('KSH järjestus'!BU$3,KOMBI!$A$1:$GI$1,0))</f>
        <v>12.14223327039346</v>
      </c>
      <c r="BV47" s="25">
        <f t="array" ref="BV47">INDEX(KOMBI!$A$1:$GI$145,ROW('KSH järjestus'!BV54),MATCH('KSH järjestus'!BV$3,KOMBI!$A$1:$GI$1,0))</f>
        <v>5.9039999999999999</v>
      </c>
      <c r="BW47" s="25">
        <f t="array" ref="BW47">INDEX(KOMBI!$A$1:$GI$145,ROW('KSH järjestus'!BW54),MATCH('KSH järjestus'!BW$3,KOMBI!$A$1:$GI$1,0))</f>
        <v>3.3751368215830602</v>
      </c>
      <c r="BX47" s="25">
        <f t="array" ref="BX47">INDEX(KOMBI!$A$1:$GI$145,ROW('KSH järjestus'!BX54),MATCH('KSH järjestus'!BX$3,KOMBI!$A$1:$GI$1,0))</f>
        <v>23.055</v>
      </c>
      <c r="BY47" s="25">
        <f t="array" ref="BY47">INDEX(KOMBI!$A$1:$GI$145,ROW('KSH järjestus'!BY54),MATCH('KSH järjestus'!BY$3,KOMBI!$A$1:$GI$1,0))</f>
        <v>37.843716140171821</v>
      </c>
      <c r="BZ47" s="25">
        <f t="array" ref="BZ47">INDEX(KOMBI!$A$1:$GI$145,ROW('KSH järjestus'!BZ54),MATCH('KSH järjestus'!BZ$3,KOMBI!$A$1:$GI$1,0))</f>
        <v>99.4</v>
      </c>
      <c r="CA47" s="25">
        <f t="array" ref="CA47">INDEX(KOMBI!$A$1:$GI$145,ROW('KSH järjestus'!CA54),MATCH('KSH järjestus'!CA$3,KOMBI!$A$1:$GI$1,0))</f>
        <v>16.928999999999998</v>
      </c>
      <c r="CB47" s="25">
        <f t="array" ref="CB47">INDEX(KOMBI!$A$1:$GI$145,ROW('KSH järjestus'!CB54),MATCH('KSH järjestus'!CB$3,KOMBI!$A$1:$GI$1,0))</f>
        <v>137.9036111111111</v>
      </c>
      <c r="CC47" s="25">
        <f t="array" ref="CC47">INDEX(KOMBI!$A$1:$GI$145,ROW('KSH järjestus'!CC54),MATCH('KSH järjestus'!CC$3,KOMBI!$A$1:$GI$1,0))</f>
        <v>7.5417810000000003</v>
      </c>
      <c r="CD47" s="25">
        <f t="array" ref="CD47">INDEX(KOMBI!$A$1:$GI$145,ROW('KSH järjestus'!CD54),MATCH('KSH järjestus'!CD$3,KOMBI!$A$1:$GI$1,0))</f>
        <v>309</v>
      </c>
      <c r="CE47" s="25">
        <f t="array" ref="CE47">INDEX(KOMBI!$A$1:$GI$145,ROW('KSH järjestus'!CE54),MATCH('KSH järjestus'!CE$3,KOMBI!$A$1:$GI$1,0))</f>
        <v>2.7559999999999998</v>
      </c>
      <c r="CF47" s="25">
        <f t="array" ref="CF47">INDEX(KOMBI!$A$1:$GI$145,ROW('KSH järjestus'!CF54),MATCH('KSH järjestus'!CF$3,KOMBI!$A$1:$GI$1,0))</f>
        <v>63.09667854210327</v>
      </c>
      <c r="CG47" s="25">
        <f t="array" ref="CG47">INDEX(KOMBI!$A$1:$GI$145,ROW('KSH järjestus'!CG54),MATCH('KSH järjestus'!CG$3,KOMBI!$A$1:$GI$1,0))</f>
        <v>2.201934621570804E-2</v>
      </c>
      <c r="CH47" s="25">
        <f t="array" ref="CH47">INDEX(KOMBI!$A$1:$GI$145,ROW('KSH järjestus'!CH54),MATCH('KSH järjestus'!CH$3,KOMBI!$A$1:$GI$1,0))</f>
        <v>0.36029299432190109</v>
      </c>
      <c r="CI47" s="25">
        <f t="array" ref="CI47">INDEX(KOMBI!$A$1:$GI$145,ROW('KSH järjestus'!CI54),MATCH('KSH järjestus'!CI$3,KOMBI!$A$1:$GI$1,0))</f>
        <v>6.08</v>
      </c>
      <c r="CJ47" s="25">
        <f t="array" ref="CJ47">INDEX(KOMBI!$A$1:$GI$145,ROW('KSH järjestus'!CJ54),MATCH('KSH järjestus'!CJ$3,KOMBI!$A$1:$GI$1,0))</f>
        <v>9.183636821583061</v>
      </c>
      <c r="CK47" s="25">
        <f t="array" ref="CK47">INDEX(KOMBI!$A$1:$GI$145,ROW('KSH järjestus'!CK54),MATCH('KSH järjestus'!CK$3,KOMBI!$A$1:$GI$1,0))</f>
        <v>0.19900000000000001</v>
      </c>
      <c r="CL47" s="25">
        <f t="array" ref="CL47">INDEX(KOMBI!$A$1:$GI$145,ROW('KSH järjestus'!CL54),MATCH('KSH järjestus'!CL$3,KOMBI!$A$1:$GI$1,0))</f>
        <v>0.72299999999999998</v>
      </c>
    </row>
    <row r="48" spans="3:90" x14ac:dyDescent="0.2">
      <c r="C48" s="184">
        <v>45</v>
      </c>
      <c r="G48" s="25">
        <f>RANK(INDEX(KOMBI!$A$11:$GI$145,MATCH('KSH järjestus'!$C48,KOMBI!$A$11:$A$145,0),MATCH('KSH järjestus'!G$3,KOMBI!$A$1:$GI$1,0)),BD$4:BD$138,G$2)</f>
        <v>26</v>
      </c>
      <c r="H48" s="25">
        <f>RANK(INDEX(KOMBI!$A$11:$GI$145,MATCH('KSH järjestus'!$C48,KOMBI!$A$11:$A$145,0),MATCH('KSH järjestus'!H$3,KOMBI!$A$1:$GI$1,0)),BE$4:BE$138,H$2)</f>
        <v>19</v>
      </c>
      <c r="J48" s="25">
        <f>RANK(INDEX(KOMBI!$A$11:$GI$145,MATCH('KSH järjestus'!$C48,KOMBI!$A$11:$A$145,0),MATCH('KSH järjestus'!J$3,KOMBI!$A$1:$GI$1,0)),BG$4:BG$138,J$2)</f>
        <v>18</v>
      </c>
      <c r="M48" s="25">
        <f>RANK(INDEX(KOMBI!$A$11:$GI$145,MATCH('KSH järjestus'!$C48,KOMBI!$A$11:$A$145,0),MATCH('KSH järjestus'!M$3,KOMBI!$A$1:$GI$1,0)),BJ$4:BJ$138,M$2)</f>
        <v>1</v>
      </c>
      <c r="N48" s="25">
        <f>RANK(INDEX(KOMBI!$A$11:$GI$145,MATCH('KSH järjestus'!$C48,KOMBI!$A$11:$A$145,0),MATCH('KSH järjestus'!N$3,KOMBI!$A$1:$GI$1,0)),BK$4:BK$138,N$2)</f>
        <v>130</v>
      </c>
      <c r="O48" s="25">
        <f>RANK(INDEX(KOMBI!$A$11:$GI$145,MATCH('KSH järjestus'!$C48,KOMBI!$A$11:$A$145,0),MATCH('KSH järjestus'!O$3,KOMBI!$A$1:$GI$1,0)),BL$4:BL$138,O$2)</f>
        <v>9</v>
      </c>
      <c r="P48" s="25">
        <f>RANK(INDEX(KOMBI!$A$11:$GI$145,MATCH('KSH järjestus'!$C48,KOMBI!$A$11:$A$145,0),MATCH('KSH järjestus'!P$3,KOMBI!$A$1:$GI$1,0)),BM$4:BM$138,P$2)</f>
        <v>72</v>
      </c>
      <c r="Q48" s="25">
        <f>RANK(INDEX(KOMBI!$A$11:$GI$145,MATCH('KSH järjestus'!$C48,KOMBI!$A$11:$A$145,0),MATCH('KSH järjestus'!Q$3,KOMBI!$A$1:$GI$1,0)),BN$4:BN$138,Q$2)</f>
        <v>22</v>
      </c>
      <c r="R48" s="25">
        <f>RANK(INDEX(KOMBI!$A$11:$GI$145,MATCH('KSH järjestus'!$C48,KOMBI!$A$11:$A$145,0),MATCH('KSH järjestus'!R$3,KOMBI!$A$1:$GI$1,0)),BO$4:BO$138,R$2)</f>
        <v>4</v>
      </c>
      <c r="T48" s="25">
        <f>RANK(INDEX(KOMBI!$A$11:$GI$145,MATCH('KSH järjestus'!$C48,KOMBI!$A$11:$A$145,0),MATCH('KSH järjestus'!T$3,KOMBI!$A$1:$GI$1,0)),BQ$4:BQ$138,T$2)</f>
        <v>130</v>
      </c>
      <c r="U48" s="25">
        <f>RANK(INDEX(KOMBI!$A$11:$GI$145,MATCH('KSH järjestus'!$C48,KOMBI!$A$11:$A$145,0),MATCH('KSH järjestus'!U$3,KOMBI!$A$1:$GI$1,0)),BR$4:BR$138,U$2)</f>
        <v>118</v>
      </c>
      <c r="AA48" s="25">
        <f>RANK(INDEX(KOMBI!$A$11:$GI$145,MATCH('KSH järjestus'!$C48,KOMBI!$A$11:$A$145,0),MATCH('KSH järjestus'!AA$3,KOMBI!$A$1:$GI$1,0)),BX$4:BX$138,AA$2)</f>
        <v>124</v>
      </c>
      <c r="AB48" s="25">
        <f>RANK(INDEX(KOMBI!$A$11:$GI$145,MATCH('KSH järjestus'!$C48,KOMBI!$A$11:$A$145,0),MATCH('KSH järjestus'!AB$3,KOMBI!$A$1:$GI$1,0)),BY$4:BY$138,AB$2)</f>
        <v>115</v>
      </c>
      <c r="AC48" s="25">
        <f>RANK(INDEX(KOMBI!$A$11:$GI$145,MATCH('KSH järjestus'!$C48,KOMBI!$A$11:$A$145,0),MATCH('KSH järjestus'!AC$3,KOMBI!$A$1:$GI$1,0)),BZ$4:BZ$138,AC$2)</f>
        <v>132</v>
      </c>
      <c r="AD48" s="25">
        <f>RANK(INDEX(KOMBI!$A$11:$GI$145,MATCH('KSH järjestus'!$C48,KOMBI!$A$11:$A$145,0),MATCH('KSH järjestus'!AD$3,KOMBI!$A$1:$GI$1,0)),CA$4:CA$138,AD$2)</f>
        <v>128</v>
      </c>
      <c r="AE48" s="25">
        <f>RANK(INDEX(KOMBI!$A$11:$GI$145,MATCH('KSH järjestus'!$C48,KOMBI!$A$11:$A$145,0),MATCH('KSH järjestus'!AE$3,KOMBI!$A$1:$GI$1,0)),CB$4:CB$138,AE$2)</f>
        <v>127</v>
      </c>
      <c r="AG48" s="25">
        <f>RANK(INDEX(KOMBI!$A$11:$GI$145,MATCH('KSH järjestus'!$C48,KOMBI!$A$11:$A$145,0),MATCH('KSH järjestus'!AG$3,KOMBI!$A$1:$GI$1,0)),CD$4:CD$138,AG$2)</f>
        <v>61</v>
      </c>
      <c r="AH48" s="25">
        <f>RANK(INDEX(KOMBI!$A$11:$GI$145,MATCH('KSH järjestus'!$C48,KOMBI!$A$11:$A$145,0),MATCH('KSH järjestus'!AH$3,KOMBI!$A$1:$GI$1,0)),CE$4:CE$138,AH$2)</f>
        <v>1</v>
      </c>
      <c r="AI48" s="25">
        <f>RANK(INDEX(KOMBI!$A$11:$GI$145,MATCH('KSH järjestus'!$C48,KOMBI!$A$11:$A$145,0),MATCH('KSH järjestus'!AI$3,KOMBI!$A$1:$GI$1,0)),CF$4:CF$138,AI$2)</f>
        <v>124</v>
      </c>
      <c r="AJ48" s="25">
        <f>RANK(INDEX(KOMBI!$A$11:$GI$145,MATCH('KSH järjestus'!$C48,KOMBI!$A$11:$A$145,0),MATCH('KSH järjestus'!AJ$3,KOMBI!$A$1:$GI$1,0)),CG$4:CG$138,AJ$2)</f>
        <v>88</v>
      </c>
      <c r="AK48" s="25">
        <f>RANK(INDEX(KOMBI!$A$11:$GI$145,MATCH('KSH järjestus'!$C48,KOMBI!$A$11:$A$145,0),MATCH('KSH järjestus'!AK$3,KOMBI!$A$1:$GI$1,0)),CH$4:CH$138,AK$2)</f>
        <v>118</v>
      </c>
      <c r="AN48" s="25">
        <f>RANK(INDEX(KOMBI!$A$11:$GI$145,MATCH('KSH järjestus'!$C48,KOMBI!$A$11:$A$145,0),MATCH('KSH järjestus'!AN$3,KOMBI!$A$1:$GI$1,0)),CK$4:CK$138,AN$2)</f>
        <v>1</v>
      </c>
      <c r="AO48" s="25">
        <f>RANK(INDEX(KOMBI!$A$11:$GI$145,MATCH('KSH järjestus'!$C48,KOMBI!$A$11:$A$145,0),MATCH('KSH järjestus'!AO$3,KOMBI!$A$1:$GI$1,0)),CL$4:CL$138,AO$2)</f>
        <v>1</v>
      </c>
      <c r="AS48" s="297">
        <f t="shared" si="3"/>
        <v>1569</v>
      </c>
      <c r="AT48" s="25">
        <f t="shared" si="1"/>
        <v>1260</v>
      </c>
      <c r="AU48" s="25">
        <f t="shared" si="2"/>
        <v>101</v>
      </c>
      <c r="AV48" s="295" t="str">
        <f>VLOOKUP(VLOOKUP($AU48,KOMBI!$A:$H,3,FALSE),data!$I$27:$J$29,2,FALSE)</f>
        <v>Mittesekkuv</v>
      </c>
      <c r="AW48" s="295" t="str">
        <f>VLOOKUP(VLOOKUP($AU48,KOMBI!$A:$H,2,FALSE),data!$I$21:$J$23,2,FALSE)</f>
        <v>Sekkuv</v>
      </c>
      <c r="AX48" s="295" t="str">
        <f>VLOOKUP(VLOOKUP($AU48,KOMBI!$A:$H,5,FALSE),data!$I$39:$J$41,2,FALSE)</f>
        <v>Vähe-sekkuv</v>
      </c>
      <c r="AY48" s="295" t="str">
        <f>VLOOKUP(VLOOKUP($AU48,KOMBI!$A:$H,4,FALSE),data!$I$32:$J$36,2,FALSE)</f>
        <v>TE++</v>
      </c>
      <c r="BA48" s="25">
        <f t="array" ref="BA48">INDEX(KOMBI!$A$1:$GI$145,ROW('KSH järjestus'!BA55),MATCH('KSH järjestus'!BA$3,KOMBI!$A$1:$GI$1,0))</f>
        <v>4.6617410736919673</v>
      </c>
      <c r="BB48" s="25">
        <f t="array" ref="BB48">INDEX(KOMBI!$A$1:$GI$145,ROW('KSH järjestus'!BB55),MATCH('KSH järjestus'!BB$3,KOMBI!$A$1:$GI$1,0))</f>
        <v>841.80483445421237</v>
      </c>
      <c r="BC48" s="25">
        <f t="array" aca="1" ref="BC48" ca="1">INDEX(KOMBI!$A$1:$GI$145,ROW('KSH järjestus'!BC55),MATCH('KSH järjestus'!BC$3,KOMBI!$A$1:$GI$1,0))</f>
        <v>89.988490082376302</v>
      </c>
      <c r="BD48" s="25">
        <f t="array" ref="BD48">INDEX(KOMBI!$A$1:$GI$145,ROW('KSH järjestus'!BD55),MATCH('KSH järjestus'!BD$3,KOMBI!$A$1:$GI$1,0))</f>
        <v>-156.76081369909105</v>
      </c>
      <c r="BE48" s="25">
        <f t="array" ref="BE48">INDEX(KOMBI!$A$1:$GI$145,ROW('KSH järjestus'!BE55),MATCH('KSH järjestus'!BE$3,KOMBI!$A$1:$GI$1,0))</f>
        <v>246.74930378146735</v>
      </c>
      <c r="BF48" s="25">
        <f t="array" aca="1" ref="BF48" ca="1">INDEX(KOMBI!$A$1:$GI$145,ROW('KSH järjestus'!BF55),MATCH('KSH järjestus'!BF$3,KOMBI!$A$1:$GI$1,0))</f>
        <v>0</v>
      </c>
      <c r="BG48" s="25">
        <f t="array" ref="BG48">INDEX(KOMBI!$A$1:$GI$145,ROW('KSH järjestus'!BG55),MATCH('KSH järjestus'!BG$3,KOMBI!$A$1:$GI$1,0))</f>
        <v>0.32798761679216942</v>
      </c>
      <c r="BH48" s="25">
        <f t="array" ref="BH48">INDEX(KOMBI!$A$1:$GI$145,ROW('KSH järjestus'!BH55),MATCH('KSH järjestus'!BH$3,KOMBI!$A$1:$GI$1,0))</f>
        <v>90</v>
      </c>
      <c r="BI48" s="25">
        <f t="array" ref="BI48">INDEX(KOMBI!$A$1:$GI$145,ROW('KSH järjestus'!BI55),MATCH('KSH järjestus'!BI$3,KOMBI!$A$1:$GI$1,0))</f>
        <v>0.91028830406496786</v>
      </c>
      <c r="BJ48" s="25">
        <f t="array" ref="BJ48">INDEX(KOMBI!$A$1:$GI$145,ROW('KSH järjestus'!BJ55),MATCH('KSH järjestus'!BJ$3,KOMBI!$A$1:$GI$1,0))</f>
        <v>0</v>
      </c>
      <c r="BK48" s="25">
        <f t="array" ref="BK48">INDEX(KOMBI!$A$1:$GI$145,ROW('KSH järjestus'!BK55),MATCH('KSH järjestus'!BK$3,KOMBI!$A$1:$GI$1,0))</f>
        <v>0.2376214220964559</v>
      </c>
      <c r="BL48" s="25">
        <f t="array" ref="BL48">INDEX(KOMBI!$A$1:$GI$145,ROW('KSH järjestus'!BL55),MATCH('KSH järjestus'!BL$3,KOMBI!$A$1:$GI$1,0))</f>
        <v>3.175848744198672E-2</v>
      </c>
      <c r="BM48" s="25">
        <f t="array" ref="BM48">INDEX(KOMBI!$A$1:$GI$145,ROW('KSH järjestus'!BM55),MATCH('KSH järjestus'!BM$3,KOMBI!$A$1:$GI$1,0))</f>
        <v>7.9330621362738024E-4</v>
      </c>
      <c r="BN48" s="25">
        <f t="array" ref="BN48">INDEX(KOMBI!$A$1:$GI$145,ROW('KSH järjestus'!BN55),MATCH('KSH järjestus'!BN$3,KOMBI!$A$1:$GI$1,0))</f>
        <v>1.0104955379672237E-2</v>
      </c>
      <c r="BO48" s="25">
        <f t="array" ref="BO48">INDEX(KOMBI!$A$1:$GI$145,ROW('KSH järjestus'!BO55),MATCH('KSH järjestus'!BO$3,KOMBI!$A$1:$GI$1,0))</f>
        <v>2.2077530464837673E-2</v>
      </c>
      <c r="BP48" s="25">
        <f t="array" ref="BP48">INDEX(KOMBI!$A$1:$GI$145,ROW('KSH järjestus'!BP55),MATCH('KSH järjestus'!BP$3,KOMBI!$A$1:$GI$1,0))</f>
        <v>7.5689896156049166</v>
      </c>
      <c r="BQ48" s="25">
        <f t="array" ref="BQ48">INDEX(KOMBI!$A$1:$GI$145,ROW('KSH järjestus'!BQ55),MATCH('KSH järjestus'!BQ$3,KOMBI!$A$1:$GI$1,0))</f>
        <v>12.071999999999999</v>
      </c>
      <c r="BR48" s="25">
        <f t="array" ref="BR48">INDEX(KOMBI!$A$1:$GI$145,ROW('KSH järjestus'!BR55),MATCH('KSH järjestus'!BR$3,KOMBI!$A$1:$GI$1,0))</f>
        <v>-3.5367418518725702E-3</v>
      </c>
      <c r="BS48" s="25">
        <f t="array" ref="BS48">INDEX(KOMBI!$A$1:$GI$145,ROW('KSH järjestus'!BS55),MATCH('KSH järjestus'!BS$3,KOMBI!$A$1:$GI$1,0))</f>
        <v>7.2118178581021569E-2</v>
      </c>
      <c r="BT48" s="25">
        <f t="array" ref="BT48">INDEX(KOMBI!$A$1:$GI$145,ROW('KSH järjestus'!BT55),MATCH('KSH järjestus'!BT$3,KOMBI!$A$1:$GI$1,0))</f>
        <v>6.4216950950521767E-2</v>
      </c>
      <c r="BU48" s="25">
        <f t="array" ref="BU48">INDEX(KOMBI!$A$1:$GI$145,ROW('KSH järjestus'!BU55),MATCH('KSH järjestus'!BU$3,KOMBI!$A$1:$GI$1,0))</f>
        <v>12.14223327039346</v>
      </c>
      <c r="BV48" s="25">
        <f t="array" ref="BV48">INDEX(KOMBI!$A$1:$GI$145,ROW('KSH järjestus'!BV55),MATCH('KSH järjestus'!BV$3,KOMBI!$A$1:$GI$1,0))</f>
        <v>5.9039999999999999</v>
      </c>
      <c r="BW48" s="25">
        <f t="array" ref="BW48">INDEX(KOMBI!$A$1:$GI$145,ROW('KSH järjestus'!BW55),MATCH('KSH järjestus'!BW$3,KOMBI!$A$1:$GI$1,0))</f>
        <v>3.5838368215830605</v>
      </c>
      <c r="BX48" s="25">
        <f t="array" ref="BX48">INDEX(KOMBI!$A$1:$GI$145,ROW('KSH järjestus'!BX55),MATCH('KSH järjestus'!BX$3,KOMBI!$A$1:$GI$1,0))</f>
        <v>23.055</v>
      </c>
      <c r="BY48" s="25">
        <f t="array" ref="BY48">INDEX(KOMBI!$A$1:$GI$145,ROW('KSH järjestus'!BY55),MATCH('KSH järjestus'!BY$3,KOMBI!$A$1:$GI$1,0))</f>
        <v>37.843716140171821</v>
      </c>
      <c r="BZ48" s="25">
        <f t="array" ref="BZ48">INDEX(KOMBI!$A$1:$GI$145,ROW('KSH järjestus'!BZ55),MATCH('KSH järjestus'!BZ$3,KOMBI!$A$1:$GI$1,0))</f>
        <v>101</v>
      </c>
      <c r="CA48" s="25">
        <f t="array" ref="CA48">INDEX(KOMBI!$A$1:$GI$145,ROW('KSH järjestus'!CA55),MATCH('KSH järjestus'!CA$3,KOMBI!$A$1:$GI$1,0))</f>
        <v>17.181000000000001</v>
      </c>
      <c r="CB48" s="25">
        <f t="array" ref="CB48">INDEX(KOMBI!$A$1:$GI$145,ROW('KSH järjestus'!CB55),MATCH('KSH järjestus'!CB$3,KOMBI!$A$1:$GI$1,0))</f>
        <v>138.81166666666667</v>
      </c>
      <c r="CC48" s="25">
        <f t="array" ref="CC48">INDEX(KOMBI!$A$1:$GI$145,ROW('KSH järjestus'!CC55),MATCH('KSH järjestus'!CC$3,KOMBI!$A$1:$GI$1,0))</f>
        <v>7.6351259999999996</v>
      </c>
      <c r="CD48" s="25">
        <f t="array" ref="CD48">INDEX(KOMBI!$A$1:$GI$145,ROW('KSH järjestus'!CD55),MATCH('KSH järjestus'!CD$3,KOMBI!$A$1:$GI$1,0))</f>
        <v>309</v>
      </c>
      <c r="CE48" s="25">
        <f t="array" ref="CE48">INDEX(KOMBI!$A$1:$GI$145,ROW('KSH järjestus'!CE55),MATCH('KSH järjestus'!CE$3,KOMBI!$A$1:$GI$1,0))</f>
        <v>2.7559999999999998</v>
      </c>
      <c r="CF48" s="25">
        <f t="array" ref="CF48">INDEX(KOMBI!$A$1:$GI$145,ROW('KSH järjestus'!CF55),MATCH('KSH järjestus'!CF$3,KOMBI!$A$1:$GI$1,0))</f>
        <v>63.096678542103263</v>
      </c>
      <c r="CG48" s="25">
        <f t="array" ref="CG48">INDEX(KOMBI!$A$1:$GI$145,ROW('KSH järjestus'!CG55),MATCH('KSH järjestus'!CG$3,KOMBI!$A$1:$GI$1,0))</f>
        <v>2.201934621570804E-2</v>
      </c>
      <c r="CH48" s="25">
        <f t="array" ref="CH48">INDEX(KOMBI!$A$1:$GI$145,ROW('KSH järjestus'!CH55),MATCH('KSH järjestus'!CH$3,KOMBI!$A$1:$GI$1,0))</f>
        <v>0.36029299432190109</v>
      </c>
      <c r="CI48" s="25">
        <f t="array" ref="CI48">INDEX(KOMBI!$A$1:$GI$145,ROW('KSH järjestus'!CI55),MATCH('KSH järjestus'!CI$3,KOMBI!$A$1:$GI$1,0))</f>
        <v>6.08</v>
      </c>
      <c r="CJ48" s="25">
        <f t="array" ref="CJ48">INDEX(KOMBI!$A$1:$GI$145,ROW('KSH järjestus'!CJ55),MATCH('KSH järjestus'!CJ$3,KOMBI!$A$1:$GI$1,0))</f>
        <v>9.183636821583061</v>
      </c>
      <c r="CK48" s="25">
        <f t="array" ref="CK48">INDEX(KOMBI!$A$1:$GI$145,ROW('KSH järjestus'!CK55),MATCH('KSH järjestus'!CK$3,KOMBI!$A$1:$GI$1,0))</f>
        <v>0.19900000000000001</v>
      </c>
      <c r="CL48" s="25">
        <f t="array" ref="CL48">INDEX(KOMBI!$A$1:$GI$145,ROW('KSH järjestus'!CL55),MATCH('KSH järjestus'!CL$3,KOMBI!$A$1:$GI$1,0))</f>
        <v>0.72299999999999998</v>
      </c>
    </row>
    <row r="49" spans="3:90" x14ac:dyDescent="0.2">
      <c r="C49" s="184">
        <v>46</v>
      </c>
      <c r="G49" s="25">
        <f>RANK(INDEX(KOMBI!$A$11:$GI$145,MATCH('KSH järjestus'!$C49,KOMBI!$A$11:$A$145,0),MATCH('KSH järjestus'!G$3,KOMBI!$A$1:$GI$1,0)),BD$4:BD$138,G$2)</f>
        <v>121</v>
      </c>
      <c r="H49" s="25">
        <f>RANK(INDEX(KOMBI!$A$11:$GI$145,MATCH('KSH järjestus'!$C49,KOMBI!$A$11:$A$145,0),MATCH('KSH järjestus'!H$3,KOMBI!$A$1:$GI$1,0)),BE$4:BE$138,H$2)</f>
        <v>123</v>
      </c>
      <c r="J49" s="25">
        <f>RANK(INDEX(KOMBI!$A$11:$GI$145,MATCH('KSH järjestus'!$C49,KOMBI!$A$11:$A$145,0),MATCH('KSH järjestus'!J$3,KOMBI!$A$1:$GI$1,0)),BG$4:BG$138,J$2)</f>
        <v>105</v>
      </c>
      <c r="M49" s="25">
        <f>RANK(INDEX(KOMBI!$A$11:$GI$145,MATCH('KSH järjestus'!$C49,KOMBI!$A$11:$A$145,0),MATCH('KSH järjestus'!M$3,KOMBI!$A$1:$GI$1,0)),BJ$4:BJ$138,M$2)</f>
        <v>55</v>
      </c>
      <c r="N49" s="25">
        <f>RANK(INDEX(KOMBI!$A$11:$GI$145,MATCH('KSH järjestus'!$C49,KOMBI!$A$11:$A$145,0),MATCH('KSH järjestus'!N$3,KOMBI!$A$1:$GI$1,0)),BK$4:BK$138,N$2)</f>
        <v>73</v>
      </c>
      <c r="O49" s="25">
        <f>RANK(INDEX(KOMBI!$A$11:$GI$145,MATCH('KSH järjestus'!$C49,KOMBI!$A$11:$A$145,0),MATCH('KSH järjestus'!O$3,KOMBI!$A$1:$GI$1,0)),BL$4:BL$138,O$2)</f>
        <v>128</v>
      </c>
      <c r="P49" s="25">
        <f>RANK(INDEX(KOMBI!$A$11:$GI$145,MATCH('KSH järjestus'!$C49,KOMBI!$A$11:$A$145,0),MATCH('KSH järjestus'!P$3,KOMBI!$A$1:$GI$1,0)),BM$4:BM$138,P$2)</f>
        <v>58</v>
      </c>
      <c r="Q49" s="25">
        <f>RANK(INDEX(KOMBI!$A$11:$GI$145,MATCH('KSH järjestus'!$C49,KOMBI!$A$11:$A$145,0),MATCH('KSH järjestus'!Q$3,KOMBI!$A$1:$GI$1,0)),BN$4:BN$138,Q$2)</f>
        <v>99</v>
      </c>
      <c r="R49" s="25">
        <f>RANK(INDEX(KOMBI!$A$11:$GI$145,MATCH('KSH järjestus'!$C49,KOMBI!$A$11:$A$145,0),MATCH('KSH järjestus'!R$3,KOMBI!$A$1:$GI$1,0)),BO$4:BO$138,R$2)</f>
        <v>133</v>
      </c>
      <c r="T49" s="25">
        <f>RANK(INDEX(KOMBI!$A$11:$GI$145,MATCH('KSH järjestus'!$C49,KOMBI!$A$11:$A$145,0),MATCH('KSH järjestus'!T$3,KOMBI!$A$1:$GI$1,0)),BQ$4:BQ$138,T$2)</f>
        <v>81</v>
      </c>
      <c r="U49" s="25">
        <f>RANK(INDEX(KOMBI!$A$11:$GI$145,MATCH('KSH järjestus'!$C49,KOMBI!$A$11:$A$145,0),MATCH('KSH järjestus'!U$3,KOMBI!$A$1:$GI$1,0)),BR$4:BR$138,U$2)</f>
        <v>90</v>
      </c>
      <c r="AA49" s="25">
        <f>RANK(INDEX(KOMBI!$A$11:$GI$145,MATCH('KSH järjestus'!$C49,KOMBI!$A$11:$A$145,0),MATCH('KSH järjestus'!AA$3,KOMBI!$A$1:$GI$1,0)),BX$4:BX$138,AA$2)</f>
        <v>79</v>
      </c>
      <c r="AB49" s="25">
        <f>RANK(INDEX(KOMBI!$A$11:$GI$145,MATCH('KSH järjestus'!$C49,KOMBI!$A$11:$A$145,0),MATCH('KSH järjestus'!AB$3,KOMBI!$A$1:$GI$1,0)),BY$4:BY$138,AB$2)</f>
        <v>97</v>
      </c>
      <c r="AC49" s="25">
        <f>RANK(INDEX(KOMBI!$A$11:$GI$145,MATCH('KSH järjestus'!$C49,KOMBI!$A$11:$A$145,0),MATCH('KSH järjestus'!AC$3,KOMBI!$A$1:$GI$1,0)),BZ$4:BZ$138,AC$2)</f>
        <v>43</v>
      </c>
      <c r="AD49" s="25">
        <f>RANK(INDEX(KOMBI!$A$11:$GI$145,MATCH('KSH järjestus'!$C49,KOMBI!$A$11:$A$145,0),MATCH('KSH järjestus'!AD$3,KOMBI!$A$1:$GI$1,0)),CA$4:CA$138,AD$2)</f>
        <v>90</v>
      </c>
      <c r="AE49" s="25">
        <f>RANK(INDEX(KOMBI!$A$11:$GI$145,MATCH('KSH järjestus'!$C49,KOMBI!$A$11:$A$145,0),MATCH('KSH järjestus'!AE$3,KOMBI!$A$1:$GI$1,0)),CB$4:CB$138,AE$2)</f>
        <v>88</v>
      </c>
      <c r="AG49" s="25">
        <f>RANK(INDEX(KOMBI!$A$11:$GI$145,MATCH('KSH järjestus'!$C49,KOMBI!$A$11:$A$145,0),MATCH('KSH järjestus'!AG$3,KOMBI!$A$1:$GI$1,0)),CD$4:CD$138,AG$2)</f>
        <v>109</v>
      </c>
      <c r="AH49" s="25">
        <f>RANK(INDEX(KOMBI!$A$11:$GI$145,MATCH('KSH järjestus'!$C49,KOMBI!$A$11:$A$145,0),MATCH('KSH järjestus'!AH$3,KOMBI!$A$1:$GI$1,0)),CE$4:CE$138,AH$2)</f>
        <v>121</v>
      </c>
      <c r="AI49" s="25">
        <f>RANK(INDEX(KOMBI!$A$11:$GI$145,MATCH('KSH järjestus'!$C49,KOMBI!$A$11:$A$145,0),MATCH('KSH järjestus'!AI$3,KOMBI!$A$1:$GI$1,0)),CF$4:CF$138,AI$2)</f>
        <v>94</v>
      </c>
      <c r="AJ49" s="25">
        <f>RANK(INDEX(KOMBI!$A$11:$GI$145,MATCH('KSH järjestus'!$C49,KOMBI!$A$11:$A$145,0),MATCH('KSH järjestus'!AJ$3,KOMBI!$A$1:$GI$1,0)),CG$4:CG$138,AJ$2)</f>
        <v>100</v>
      </c>
      <c r="AK49" s="25">
        <f>RANK(INDEX(KOMBI!$A$11:$GI$145,MATCH('KSH järjestus'!$C49,KOMBI!$A$11:$A$145,0),MATCH('KSH järjestus'!AK$3,KOMBI!$A$1:$GI$1,0)),CH$4:CH$138,AK$2)</f>
        <v>94</v>
      </c>
      <c r="AN49" s="25">
        <f>RANK(INDEX(KOMBI!$A$11:$GI$145,MATCH('KSH järjestus'!$C49,KOMBI!$A$11:$A$145,0),MATCH('KSH järjestus'!AN$3,KOMBI!$A$1:$GI$1,0)),CK$4:CK$138,AN$2)</f>
        <v>91</v>
      </c>
      <c r="AO49" s="25">
        <f>RANK(INDEX(KOMBI!$A$11:$GI$145,MATCH('KSH järjestus'!$C49,KOMBI!$A$11:$A$145,0),MATCH('KSH järjestus'!AO$3,KOMBI!$A$1:$GI$1,0)),CL$4:CL$138,AO$2)</f>
        <v>91</v>
      </c>
      <c r="AS49" s="297">
        <f t="shared" si="3"/>
        <v>2163</v>
      </c>
      <c r="AT49" s="25">
        <f t="shared" si="1"/>
        <v>1281</v>
      </c>
      <c r="AU49" s="25">
        <f t="shared" si="2"/>
        <v>98</v>
      </c>
      <c r="AV49" s="295" t="str">
        <f>VLOOKUP(VLOOKUP($AU49,KOMBI!$A:$H,3,FALSE),data!$I$27:$J$29,2,FALSE)</f>
        <v>Mittesekkuv</v>
      </c>
      <c r="AW49" s="295" t="str">
        <f>VLOOKUP(VLOOKUP($AU49,KOMBI!$A:$H,2,FALSE),data!$I$21:$J$23,2,FALSE)</f>
        <v>Sekkuv</v>
      </c>
      <c r="AX49" s="295" t="str">
        <f>VLOOKUP(VLOOKUP($AU49,KOMBI!$A:$H,5,FALSE),data!$I$39:$J$41,2,FALSE)</f>
        <v>Vähe-sekkuv</v>
      </c>
      <c r="AY49" s="295" t="str">
        <f>VLOOKUP(VLOOKUP($AU49,KOMBI!$A:$H,4,FALSE),data!$I$32:$J$36,2,FALSE)</f>
        <v>TE</v>
      </c>
      <c r="BA49" s="25">
        <f t="array" ref="BA49">INDEX(KOMBI!$A$1:$GI$145,ROW('KSH järjestus'!BA56),MATCH('KSH järjestus'!BA$3,KOMBI!$A$1:$GI$1,0))</f>
        <v>2.1402335167962878</v>
      </c>
      <c r="BB49" s="25">
        <f t="array" ref="BB49">INDEX(KOMBI!$A$1:$GI$145,ROW('KSH järjestus'!BB56),MATCH('KSH järjestus'!BB$3,KOMBI!$A$1:$GI$1,0))</f>
        <v>122.94332330461268</v>
      </c>
      <c r="BC49" s="25">
        <f t="array" aca="1" ref="BC49" ca="1">INDEX(KOMBI!$A$1:$GI$145,ROW('KSH järjestus'!BC56),MATCH('KSH järjestus'!BC$3,KOMBI!$A$1:$GI$1,0))</f>
        <v>41.919098165864582</v>
      </c>
      <c r="BD49" s="25">
        <f t="array" ref="BD49">INDEX(KOMBI!$A$1:$GI$145,ROW('KSH järjestus'!BD56),MATCH('KSH järjestus'!BD$3,KOMBI!$A$1:$GI$1,0))</f>
        <v>-25.081250000000001</v>
      </c>
      <c r="BE49" s="25">
        <f t="array" ref="BE49">INDEX(KOMBI!$A$1:$GI$145,ROW('KSH järjestus'!BE56),MATCH('KSH järjestus'!BE$3,KOMBI!$A$1:$GI$1,0))</f>
        <v>67.00034816586458</v>
      </c>
      <c r="BF49" s="25">
        <f t="array" aca="1" ref="BF49" ca="1">INDEX(KOMBI!$A$1:$GI$145,ROW('KSH järjestus'!BF56),MATCH('KSH järjestus'!BF$3,KOMBI!$A$1:$GI$1,0))</f>
        <v>0</v>
      </c>
      <c r="BG49" s="25">
        <f t="array" ref="BG49">INDEX(KOMBI!$A$1:$GI$145,ROW('KSH järjestus'!BG56),MATCH('KSH järjestus'!BG$3,KOMBI!$A$1:$GI$1,0))</f>
        <v>0.59279905017022183</v>
      </c>
      <c r="BH49" s="25">
        <f t="array" ref="BH49">INDEX(KOMBI!$A$1:$GI$145,ROW('KSH järjestus'!BH56),MATCH('KSH järjestus'!BH$3,KOMBI!$A$1:$GI$1,0))</f>
        <v>90</v>
      </c>
      <c r="BI49" s="25">
        <f t="array" ref="BI49">INDEX(KOMBI!$A$1:$GI$145,ROW('KSH järjestus'!BI56),MATCH('KSH järjestus'!BI$3,KOMBI!$A$1:$GI$1,0))</f>
        <v>1</v>
      </c>
      <c r="BJ49" s="25">
        <f t="array" ref="BJ49">INDEX(KOMBI!$A$1:$GI$145,ROW('KSH järjestus'!BJ56),MATCH('KSH järjestus'!BJ$3,KOMBI!$A$1:$GI$1,0))</f>
        <v>0.27911646586345373</v>
      </c>
      <c r="BK49" s="25">
        <f t="array" ref="BK49">INDEX(KOMBI!$A$1:$GI$145,ROW('KSH järjestus'!BK56),MATCH('KSH järjestus'!BK$3,KOMBI!$A$1:$GI$1,0))</f>
        <v>0.3348261179971409</v>
      </c>
      <c r="BL49" s="25">
        <f t="array" ref="BL49">INDEX(KOMBI!$A$1:$GI$145,ROW('KSH järjestus'!BL56),MATCH('KSH järjestus'!BL$3,KOMBI!$A$1:$GI$1,0))</f>
        <v>4.7917448731006019E-3</v>
      </c>
      <c r="BM49" s="25">
        <f t="array" ref="BM49">INDEX(KOMBI!$A$1:$GI$145,ROW('KSH järjestus'!BM56),MATCH('KSH järjestus'!BM$3,KOMBI!$A$1:$GI$1,0))</f>
        <v>2.9285228715681937E-3</v>
      </c>
      <c r="BN49" s="25">
        <f t="array" ref="BN49">INDEX(KOMBI!$A$1:$GI$145,ROW('KSH järjestus'!BN56),MATCH('KSH järjestus'!BN$3,KOMBI!$A$1:$GI$1,0))</f>
        <v>1.8305353612646513E-3</v>
      </c>
      <c r="BO49" s="25">
        <f t="array" ref="BO49">INDEX(KOMBI!$A$1:$GI$145,ROW('KSH järjestus'!BO56),MATCH('KSH järjestus'!BO$3,KOMBI!$A$1:$GI$1,0))</f>
        <v>2.9754243991861676E-3</v>
      </c>
      <c r="BP49" s="25">
        <f t="array" ref="BP49">INDEX(KOMBI!$A$1:$GI$145,ROW('KSH järjestus'!BP56),MATCH('KSH järjestus'!BP$3,KOMBI!$A$1:$GI$1,0))</f>
        <v>8.532</v>
      </c>
      <c r="BQ49" s="25">
        <f t="array" ref="BQ49">INDEX(KOMBI!$A$1:$GI$145,ROW('KSH järjestus'!BQ56),MATCH('KSH järjestus'!BQ$3,KOMBI!$A$1:$GI$1,0))</f>
        <v>10.901999999999999</v>
      </c>
      <c r="BR49" s="25">
        <f t="array" ref="BR49">INDEX(KOMBI!$A$1:$GI$145,ROW('KSH järjestus'!BR56),MATCH('KSH järjestus'!BR$3,KOMBI!$A$1:$GI$1,0))</f>
        <v>-1.5799259147920276E-2</v>
      </c>
      <c r="BS49" s="25">
        <f t="array" ref="BS49">INDEX(KOMBI!$A$1:$GI$145,ROW('KSH järjestus'!BS56),MATCH('KSH järjestus'!BS$3,KOMBI!$A$1:$GI$1,0))</f>
        <v>-2.0789962137892092E-2</v>
      </c>
      <c r="BT49" s="25">
        <f t="array" ref="BT49">INDEX(KOMBI!$A$1:$GI$145,ROW('KSH järjestus'!BT56),MATCH('KSH järjestus'!BT$3,KOMBI!$A$1:$GI$1,0))</f>
        <v>-2.4056044240144722E-2</v>
      </c>
      <c r="BU49" s="25">
        <f t="array" ref="BU49">INDEX(KOMBI!$A$1:$GI$145,ROW('KSH järjestus'!BU56),MATCH('KSH järjestus'!BU$3,KOMBI!$A$1:$GI$1,0))</f>
        <v>8.8322895597237885</v>
      </c>
      <c r="BV49" s="25">
        <f t="array" ref="BV49">INDEX(KOMBI!$A$1:$GI$145,ROW('KSH järjestus'!BV56),MATCH('KSH järjestus'!BV$3,KOMBI!$A$1:$GI$1,0))</f>
        <v>5.3310000000000004</v>
      </c>
      <c r="BW49" s="25">
        <f t="array" ref="BW49">INDEX(KOMBI!$A$1:$GI$145,ROW('KSH järjestus'!BW56),MATCH('KSH järjestus'!BW$3,KOMBI!$A$1:$GI$1,0))</f>
        <v>2.7043823271229703</v>
      </c>
      <c r="BX49" s="25">
        <f t="array" ref="BX49">INDEX(KOMBI!$A$1:$GI$145,ROW('KSH järjestus'!BX56),MATCH('KSH järjestus'!BX$3,KOMBI!$A$1:$GI$1,0))</f>
        <v>19.097999999999999</v>
      </c>
      <c r="BY49" s="25">
        <f t="array" ref="BY49">INDEX(KOMBI!$A$1:$GI$145,ROW('KSH järjestus'!BY56),MATCH('KSH järjestus'!BY$3,KOMBI!$A$1:$GI$1,0))</f>
        <v>12.80574320999272</v>
      </c>
      <c r="BZ49" s="25">
        <f t="array" ref="BZ49">INDEX(KOMBI!$A$1:$GI$145,ROW('KSH järjestus'!BZ56),MATCH('KSH järjestus'!BZ$3,KOMBI!$A$1:$GI$1,0))</f>
        <v>73</v>
      </c>
      <c r="CA49" s="25">
        <f t="array" ref="CA49">INDEX(KOMBI!$A$1:$GI$145,ROW('KSH järjestus'!CA56),MATCH('KSH järjestus'!CA$3,KOMBI!$A$1:$GI$1,0))</f>
        <v>14.871</v>
      </c>
      <c r="CB49" s="25">
        <f t="array" ref="CB49">INDEX(KOMBI!$A$1:$GI$145,ROW('KSH järjestus'!CB56),MATCH('KSH järjestus'!CB$3,KOMBI!$A$1:$GI$1,0))</f>
        <v>66.106111111111105</v>
      </c>
      <c r="CC49" s="25">
        <f t="array" ref="CC49">INDEX(KOMBI!$A$1:$GI$145,ROW('KSH järjestus'!CC56),MATCH('KSH järjestus'!CC$3,KOMBI!$A$1:$GI$1,0))</f>
        <v>5.261984</v>
      </c>
      <c r="CD49" s="25">
        <f t="array" ref="CD49">INDEX(KOMBI!$A$1:$GI$145,ROW('KSH järjestus'!CD56),MATCH('KSH järjestus'!CD$3,KOMBI!$A$1:$GI$1,0))</f>
        <v>327.54999999999995</v>
      </c>
      <c r="CE49" s="25">
        <f t="array" ref="CE49">INDEX(KOMBI!$A$1:$GI$145,ROW('KSH järjestus'!CE56),MATCH('KSH järjestus'!CE$3,KOMBI!$A$1:$GI$1,0))</f>
        <v>3.1680000000000001</v>
      </c>
      <c r="CF49" s="25">
        <f t="array" ref="CF49">INDEX(KOMBI!$A$1:$GI$145,ROW('KSH järjestus'!CF56),MATCH('KSH järjestus'!CF$3,KOMBI!$A$1:$GI$1,0))</f>
        <v>50.580678294573637</v>
      </c>
      <c r="CG49" s="25">
        <f t="array" ref="CG49">INDEX(KOMBI!$A$1:$GI$145,ROW('KSH järjestus'!CG56),MATCH('KSH järjestus'!CG$3,KOMBI!$A$1:$GI$1,0))</f>
        <v>2.1300063549572323E-2</v>
      </c>
      <c r="CH49" s="25">
        <f t="array" ref="CH49">INDEX(KOMBI!$A$1:$GI$145,ROW('KSH järjestus'!CH56),MATCH('KSH järjestus'!CH$3,KOMBI!$A$1:$GI$1,0))</f>
        <v>0.39647362526587548</v>
      </c>
      <c r="CI49" s="25">
        <f t="array" ref="CI49">INDEX(KOMBI!$A$1:$GI$145,ROW('KSH järjestus'!CI56),MATCH('KSH järjestus'!CI$3,KOMBI!$A$1:$GI$1,0))</f>
        <v>6.78</v>
      </c>
      <c r="CJ49" s="25">
        <f t="array" ref="CJ49">INDEX(KOMBI!$A$1:$GI$145,ROW('KSH järjestus'!CJ56),MATCH('KSH järjestus'!CJ$3,KOMBI!$A$1:$GI$1,0))</f>
        <v>5.3593823271229706</v>
      </c>
      <c r="CK49" s="25">
        <f t="array" ref="CK49">INDEX(KOMBI!$A$1:$GI$145,ROW('KSH järjestus'!CK56),MATCH('KSH järjestus'!CK$3,KOMBI!$A$1:$GI$1,0))</f>
        <v>0.22900000000000001</v>
      </c>
      <c r="CL49" s="25">
        <f t="array" ref="CL49">INDEX(KOMBI!$A$1:$GI$145,ROW('KSH järjestus'!CL56),MATCH('KSH järjestus'!CL$3,KOMBI!$A$1:$GI$1,0))</f>
        <v>0.82899999999999996</v>
      </c>
    </row>
    <row r="50" spans="3:90" x14ac:dyDescent="0.2">
      <c r="C50" s="184">
        <v>47</v>
      </c>
      <c r="G50" s="25">
        <f>RANK(INDEX(KOMBI!$A$11:$GI$145,MATCH('KSH järjestus'!$C50,KOMBI!$A$11:$A$145,0),MATCH('KSH järjestus'!G$3,KOMBI!$A$1:$GI$1,0)),BD$4:BD$138,G$2)</f>
        <v>106</v>
      </c>
      <c r="H50" s="25">
        <f>RANK(INDEX(KOMBI!$A$11:$GI$145,MATCH('KSH järjestus'!$C50,KOMBI!$A$11:$A$145,0),MATCH('KSH järjestus'!H$3,KOMBI!$A$1:$GI$1,0)),BE$4:BE$138,H$2)</f>
        <v>103</v>
      </c>
      <c r="J50" s="25">
        <f>RANK(INDEX(KOMBI!$A$11:$GI$145,MATCH('KSH järjestus'!$C50,KOMBI!$A$11:$A$145,0),MATCH('KSH järjestus'!J$3,KOMBI!$A$1:$GI$1,0)),BG$4:BG$138,J$2)</f>
        <v>77</v>
      </c>
      <c r="M50" s="25">
        <f>RANK(INDEX(KOMBI!$A$11:$GI$145,MATCH('KSH järjestus'!$C50,KOMBI!$A$11:$A$145,0),MATCH('KSH järjestus'!M$3,KOMBI!$A$1:$GI$1,0)),BJ$4:BJ$138,M$2)</f>
        <v>55</v>
      </c>
      <c r="N50" s="25">
        <f>RANK(INDEX(KOMBI!$A$11:$GI$145,MATCH('KSH järjestus'!$C50,KOMBI!$A$11:$A$145,0),MATCH('KSH järjestus'!N$3,KOMBI!$A$1:$GI$1,0)),BK$4:BK$138,N$2)</f>
        <v>73</v>
      </c>
      <c r="O50" s="25">
        <f>RANK(INDEX(KOMBI!$A$11:$GI$145,MATCH('KSH järjestus'!$C50,KOMBI!$A$11:$A$145,0),MATCH('KSH järjestus'!O$3,KOMBI!$A$1:$GI$1,0)),BL$4:BL$138,O$2)</f>
        <v>102</v>
      </c>
      <c r="P50" s="25">
        <f>RANK(INDEX(KOMBI!$A$11:$GI$145,MATCH('KSH järjestus'!$C50,KOMBI!$A$11:$A$145,0),MATCH('KSH järjestus'!P$3,KOMBI!$A$1:$GI$1,0)),BM$4:BM$138,P$2)</f>
        <v>77</v>
      </c>
      <c r="Q50" s="25">
        <f>RANK(INDEX(KOMBI!$A$11:$GI$145,MATCH('KSH järjestus'!$C50,KOMBI!$A$11:$A$145,0),MATCH('KSH järjestus'!Q$3,KOMBI!$A$1:$GI$1,0)),BN$4:BN$138,Q$2)</f>
        <v>64</v>
      </c>
      <c r="R50" s="25">
        <f>RANK(INDEX(KOMBI!$A$11:$GI$145,MATCH('KSH järjestus'!$C50,KOMBI!$A$11:$A$145,0),MATCH('KSH järjestus'!R$3,KOMBI!$A$1:$GI$1,0)),BO$4:BO$138,R$2)</f>
        <v>117</v>
      </c>
      <c r="T50" s="25">
        <f>RANK(INDEX(KOMBI!$A$11:$GI$145,MATCH('KSH järjestus'!$C50,KOMBI!$A$11:$A$145,0),MATCH('KSH järjestus'!T$3,KOMBI!$A$1:$GI$1,0)),BQ$4:BQ$138,T$2)</f>
        <v>89</v>
      </c>
      <c r="U50" s="25">
        <f>RANK(INDEX(KOMBI!$A$11:$GI$145,MATCH('KSH järjestus'!$C50,KOMBI!$A$11:$A$145,0),MATCH('KSH järjestus'!U$3,KOMBI!$A$1:$GI$1,0)),BR$4:BR$138,U$2)</f>
        <v>103</v>
      </c>
      <c r="AA50" s="25">
        <f>RANK(INDEX(KOMBI!$A$11:$GI$145,MATCH('KSH järjestus'!$C50,KOMBI!$A$11:$A$145,0),MATCH('KSH järjestus'!AA$3,KOMBI!$A$1:$GI$1,0)),BX$4:BX$138,AA$2)</f>
        <v>79</v>
      </c>
      <c r="AB50" s="25">
        <f>RANK(INDEX(KOMBI!$A$11:$GI$145,MATCH('KSH järjestus'!$C50,KOMBI!$A$11:$A$145,0),MATCH('KSH järjestus'!AB$3,KOMBI!$A$1:$GI$1,0)),BY$4:BY$138,AB$2)</f>
        <v>97</v>
      </c>
      <c r="AC50" s="25">
        <f>RANK(INDEX(KOMBI!$A$11:$GI$145,MATCH('KSH järjestus'!$C50,KOMBI!$A$11:$A$145,0),MATCH('KSH järjestus'!AC$3,KOMBI!$A$1:$GI$1,0)),BZ$4:BZ$138,AC$2)</f>
        <v>47</v>
      </c>
      <c r="AD50" s="25">
        <f>RANK(INDEX(KOMBI!$A$11:$GI$145,MATCH('KSH järjestus'!$C50,KOMBI!$A$11:$A$145,0),MATCH('KSH järjestus'!AD$3,KOMBI!$A$1:$GI$1,0)),CA$4:CA$138,AD$2)</f>
        <v>94</v>
      </c>
      <c r="AE50" s="25">
        <f>RANK(INDEX(KOMBI!$A$11:$GI$145,MATCH('KSH järjestus'!$C50,KOMBI!$A$11:$A$145,0),MATCH('KSH järjestus'!AE$3,KOMBI!$A$1:$GI$1,0)),CB$4:CB$138,AE$2)</f>
        <v>94</v>
      </c>
      <c r="AG50" s="25">
        <f>RANK(INDEX(KOMBI!$A$11:$GI$145,MATCH('KSH järjestus'!$C50,KOMBI!$A$11:$A$145,0),MATCH('KSH järjestus'!AG$3,KOMBI!$A$1:$GI$1,0)),CD$4:CD$138,AG$2)</f>
        <v>109</v>
      </c>
      <c r="AH50" s="25">
        <f>RANK(INDEX(KOMBI!$A$11:$GI$145,MATCH('KSH järjestus'!$C50,KOMBI!$A$11:$A$145,0),MATCH('KSH järjestus'!AH$3,KOMBI!$A$1:$GI$1,0)),CE$4:CE$138,AH$2)</f>
        <v>121</v>
      </c>
      <c r="AI50" s="25">
        <f>RANK(INDEX(KOMBI!$A$11:$GI$145,MATCH('KSH järjestus'!$C50,KOMBI!$A$11:$A$145,0),MATCH('KSH järjestus'!AI$3,KOMBI!$A$1:$GI$1,0)),CF$4:CF$138,AI$2)</f>
        <v>94</v>
      </c>
      <c r="AJ50" s="25">
        <f>RANK(INDEX(KOMBI!$A$11:$GI$145,MATCH('KSH järjestus'!$C50,KOMBI!$A$11:$A$145,0),MATCH('KSH järjestus'!AJ$3,KOMBI!$A$1:$GI$1,0)),CG$4:CG$138,AJ$2)</f>
        <v>100</v>
      </c>
      <c r="AK50" s="25">
        <f>RANK(INDEX(KOMBI!$A$11:$GI$145,MATCH('KSH järjestus'!$C50,KOMBI!$A$11:$A$145,0),MATCH('KSH järjestus'!AK$3,KOMBI!$A$1:$GI$1,0)),CH$4:CH$138,AK$2)</f>
        <v>94</v>
      </c>
      <c r="AN50" s="25">
        <f>RANK(INDEX(KOMBI!$A$11:$GI$145,MATCH('KSH järjestus'!$C50,KOMBI!$A$11:$A$145,0),MATCH('KSH järjestus'!AN$3,KOMBI!$A$1:$GI$1,0)),CK$4:CK$138,AN$2)</f>
        <v>91</v>
      </c>
      <c r="AO50" s="25">
        <f>RANK(INDEX(KOMBI!$A$11:$GI$145,MATCH('KSH järjestus'!$C50,KOMBI!$A$11:$A$145,0),MATCH('KSH järjestus'!AO$3,KOMBI!$A$1:$GI$1,0)),CL$4:CL$138,AO$2)</f>
        <v>91</v>
      </c>
      <c r="AS50" s="297">
        <f t="shared" si="3"/>
        <v>2077</v>
      </c>
      <c r="AT50" s="25">
        <f t="shared" si="1"/>
        <v>1283</v>
      </c>
      <c r="AU50" s="25">
        <f t="shared" si="2"/>
        <v>119</v>
      </c>
      <c r="AV50" s="295" t="str">
        <f>VLOOKUP(VLOOKUP($AU50,KOMBI!$A:$H,3,FALSE),data!$I$27:$J$29,2,FALSE)</f>
        <v>Vähe-sekkuv</v>
      </c>
      <c r="AW50" s="295" t="str">
        <f>VLOOKUP(VLOOKUP($AU50,KOMBI!$A:$H,2,FALSE),data!$I$21:$J$23,2,FALSE)</f>
        <v>Sekkuv</v>
      </c>
      <c r="AX50" s="295" t="str">
        <f>VLOOKUP(VLOOKUP($AU50,KOMBI!$A:$H,5,FALSE),data!$I$39:$J$41,2,FALSE)</f>
        <v>Vähe-sekkuv</v>
      </c>
      <c r="AY50" s="295" t="str">
        <f>VLOOKUP(VLOOKUP($AU50,KOMBI!$A:$H,4,FALSE),data!$I$32:$J$36,2,FALSE)</f>
        <v>PK &amp; UG</v>
      </c>
      <c r="BA50" s="25">
        <f t="array" ref="BA50">INDEX(KOMBI!$A$1:$GI$145,ROW('KSH järjestus'!BA57),MATCH('KSH järjestus'!BA$3,KOMBI!$A$1:$GI$1,0))</f>
        <v>3.0561451654421288</v>
      </c>
      <c r="BB50" s="25">
        <f t="array" ref="BB50">INDEX(KOMBI!$A$1:$GI$145,ROW('KSH järjestus'!BB57),MATCH('KSH järjestus'!BB$3,KOMBI!$A$1:$GI$1,0))</f>
        <v>283.42335557387588</v>
      </c>
      <c r="BC50" s="25">
        <f t="array" aca="1" ref="BC50" ca="1">INDEX(KOMBI!$A$1:$GI$145,ROW('KSH järjestus'!BC57),MATCH('KSH järjestus'!BC$3,KOMBI!$A$1:$GI$1,0))</f>
        <v>71.084420194399669</v>
      </c>
      <c r="BD50" s="25">
        <f t="array" ref="BD50">INDEX(KOMBI!$A$1:$GI$145,ROW('KSH järjestus'!BD57),MATCH('KSH järjestus'!BD$3,KOMBI!$A$1:$GI$1,0))</f>
        <v>-40.314469880632103</v>
      </c>
      <c r="BE50" s="25">
        <f t="array" ref="BE50">INDEX(KOMBI!$A$1:$GI$145,ROW('KSH järjestus'!BE57),MATCH('KSH järjestus'!BE$3,KOMBI!$A$1:$GI$1,0))</f>
        <v>111.39889007503177</v>
      </c>
      <c r="BF50" s="25">
        <f t="array" aca="1" ref="BF50" ca="1">INDEX(KOMBI!$A$1:$GI$145,ROW('KSH järjestus'!BF57),MATCH('KSH järjestus'!BF$3,KOMBI!$A$1:$GI$1,0))</f>
        <v>0</v>
      </c>
      <c r="BG50" s="25">
        <f t="array" ref="BG50">INDEX(KOMBI!$A$1:$GI$145,ROW('KSH järjestus'!BG57),MATCH('KSH järjestus'!BG$3,KOMBI!$A$1:$GI$1,0))</f>
        <v>0.55868064335519341</v>
      </c>
      <c r="BH50" s="25">
        <f t="array" ref="BH50">INDEX(KOMBI!$A$1:$GI$145,ROW('KSH järjestus'!BH57),MATCH('KSH järjestus'!BH$3,KOMBI!$A$1:$GI$1,0))</f>
        <v>90</v>
      </c>
      <c r="BI50" s="25">
        <f t="array" ref="BI50">INDEX(KOMBI!$A$1:$GI$145,ROW('KSH järjestus'!BI57),MATCH('KSH järjestus'!BI$3,KOMBI!$A$1:$GI$1,0))</f>
        <v>0.84317482403548605</v>
      </c>
      <c r="BJ50" s="25">
        <f t="array" ref="BJ50">INDEX(KOMBI!$A$1:$GI$145,ROW('KSH järjestus'!BJ57),MATCH('KSH järjestus'!BJ$3,KOMBI!$A$1:$GI$1,0))</f>
        <v>0.27911646586345373</v>
      </c>
      <c r="BK50" s="25">
        <f t="array" ref="BK50">INDEX(KOMBI!$A$1:$GI$145,ROW('KSH järjestus'!BK57),MATCH('KSH järjestus'!BK$3,KOMBI!$A$1:$GI$1,0))</f>
        <v>0.3348261179971409</v>
      </c>
      <c r="BL50" s="25">
        <f t="array" ref="BL50">INDEX(KOMBI!$A$1:$GI$145,ROW('KSH järjestus'!BL57),MATCH('KSH järjestus'!BL$3,KOMBI!$A$1:$GI$1,0))</f>
        <v>1.1074137959522928E-2</v>
      </c>
      <c r="BM50" s="25">
        <f t="array" ref="BM50">INDEX(KOMBI!$A$1:$GI$145,ROW('KSH järjestus'!BM57),MATCH('KSH järjestus'!BM$3,KOMBI!$A$1:$GI$1,0))</f>
        <v>2.3547002215258033E-4</v>
      </c>
      <c r="BN50" s="25">
        <f t="array" ref="BN50">INDEX(KOMBI!$A$1:$GI$145,ROW('KSH järjestus'!BN57),MATCH('KSH järjestus'!BN$3,KOMBI!$A$1:$GI$1,0))</f>
        <v>4.3234052226224784E-3</v>
      </c>
      <c r="BO50" s="25">
        <f t="array" ref="BO50">INDEX(KOMBI!$A$1:$GI$145,ROW('KSH järjestus'!BO57),MATCH('KSH järjestus'!BO$3,KOMBI!$A$1:$GI$1,0))</f>
        <v>6.8003109430629961E-3</v>
      </c>
      <c r="BP50" s="25">
        <f t="array" ref="BP50">INDEX(KOMBI!$A$1:$GI$145,ROW('KSH järjestus'!BP57),MATCH('KSH järjestus'!BP$3,KOMBI!$A$1:$GI$1,0))</f>
        <v>8.532</v>
      </c>
      <c r="BQ50" s="25">
        <f t="array" ref="BQ50">INDEX(KOMBI!$A$1:$GI$145,ROW('KSH järjestus'!BQ57),MATCH('KSH järjestus'!BQ$3,KOMBI!$A$1:$GI$1,0))</f>
        <v>10.993</v>
      </c>
      <c r="BR50" s="25">
        <f t="array" ref="BR50">INDEX(KOMBI!$A$1:$GI$145,ROW('KSH järjestus'!BR57),MATCH('KSH järjestus'!BR$3,KOMBI!$A$1:$GI$1,0))</f>
        <v>-1.1565460136655555E-2</v>
      </c>
      <c r="BS50" s="25">
        <f t="array" ref="BS50">INDEX(KOMBI!$A$1:$GI$145,ROW('KSH järjestus'!BS57),MATCH('KSH järjestus'!BS$3,KOMBI!$A$1:$GI$1,0))</f>
        <v>-1.9456349918256531E-2</v>
      </c>
      <c r="BT50" s="25">
        <f t="array" ref="BT50">INDEX(KOMBI!$A$1:$GI$145,ROW('KSH järjestus'!BT57),MATCH('KSH järjestus'!BT$3,KOMBI!$A$1:$GI$1,0))</f>
        <v>-2.2957081440750763E-2</v>
      </c>
      <c r="BU50" s="25">
        <f t="array" ref="BU50">INDEX(KOMBI!$A$1:$GI$145,ROW('KSH järjestus'!BU57),MATCH('KSH järjestus'!BU$3,KOMBI!$A$1:$GI$1,0))</f>
        <v>8.8322895597237885</v>
      </c>
      <c r="BV50" s="25">
        <f t="array" ref="BV50">INDEX(KOMBI!$A$1:$GI$145,ROW('KSH järjestus'!BV57),MATCH('KSH järjestus'!BV$3,KOMBI!$A$1:$GI$1,0))</f>
        <v>5.3310000000000004</v>
      </c>
      <c r="BW50" s="25">
        <f t="array" ref="BW50">INDEX(KOMBI!$A$1:$GI$145,ROW('KSH järjestus'!BW57),MATCH('KSH järjestus'!BW$3,KOMBI!$A$1:$GI$1,0))</f>
        <v>3.0818823271229703</v>
      </c>
      <c r="BX50" s="25">
        <f t="array" ref="BX50">INDEX(KOMBI!$A$1:$GI$145,ROW('KSH järjestus'!BX57),MATCH('KSH järjestus'!BX$3,KOMBI!$A$1:$GI$1,0))</f>
        <v>19.097999999999999</v>
      </c>
      <c r="BY50" s="25">
        <f t="array" ref="BY50">INDEX(KOMBI!$A$1:$GI$145,ROW('KSH järjestus'!BY57),MATCH('KSH järjestus'!BY$3,KOMBI!$A$1:$GI$1,0))</f>
        <v>12.80574320999272</v>
      </c>
      <c r="BZ50" s="25">
        <f t="array" ref="BZ50">INDEX(KOMBI!$A$1:$GI$145,ROW('KSH järjestus'!BZ57),MATCH('KSH järjestus'!BZ$3,KOMBI!$A$1:$GI$1,0))</f>
        <v>73.400000000000006</v>
      </c>
      <c r="CA50" s="25">
        <f t="array" ref="CA50">INDEX(KOMBI!$A$1:$GI$145,ROW('KSH järjestus'!CA57),MATCH('KSH järjestus'!CA$3,KOMBI!$A$1:$GI$1,0))</f>
        <v>14.96</v>
      </c>
      <c r="CB50" s="25">
        <f t="array" ref="CB50">INDEX(KOMBI!$A$1:$GI$145,ROW('KSH järjestus'!CB57),MATCH('KSH järjestus'!CB$3,KOMBI!$A$1:$GI$1,0))</f>
        <v>66.44638888888889</v>
      </c>
      <c r="CC50" s="25">
        <f t="array" ref="CC50">INDEX(KOMBI!$A$1:$GI$145,ROW('KSH järjestus'!CC57),MATCH('KSH järjestus'!CC$3,KOMBI!$A$1:$GI$1,0))</f>
        <v>5.2952760000000003</v>
      </c>
      <c r="CD50" s="25">
        <f t="array" ref="CD50">INDEX(KOMBI!$A$1:$GI$145,ROW('KSH järjestus'!CD57),MATCH('KSH järjestus'!CD$3,KOMBI!$A$1:$GI$1,0))</f>
        <v>327.54999999999995</v>
      </c>
      <c r="CE50" s="25">
        <f t="array" ref="CE50">INDEX(KOMBI!$A$1:$GI$145,ROW('KSH järjestus'!CE57),MATCH('KSH järjestus'!CE$3,KOMBI!$A$1:$GI$1,0))</f>
        <v>3.1680000000000001</v>
      </c>
      <c r="CF50" s="25">
        <f t="array" ref="CF50">INDEX(KOMBI!$A$1:$GI$145,ROW('KSH järjestus'!CF57),MATCH('KSH järjestus'!CF$3,KOMBI!$A$1:$GI$1,0))</f>
        <v>50.580678294573637</v>
      </c>
      <c r="CG50" s="25">
        <f t="array" ref="CG50">INDEX(KOMBI!$A$1:$GI$145,ROW('KSH järjestus'!CG57),MATCH('KSH järjestus'!CG$3,KOMBI!$A$1:$GI$1,0))</f>
        <v>2.1300063549572323E-2</v>
      </c>
      <c r="CH50" s="25">
        <f t="array" ref="CH50">INDEX(KOMBI!$A$1:$GI$145,ROW('KSH järjestus'!CH57),MATCH('KSH järjestus'!CH$3,KOMBI!$A$1:$GI$1,0))</f>
        <v>0.39647362526587548</v>
      </c>
      <c r="CI50" s="25">
        <f t="array" ref="CI50">INDEX(KOMBI!$A$1:$GI$145,ROW('KSH järjestus'!CI57),MATCH('KSH järjestus'!CI$3,KOMBI!$A$1:$GI$1,0))</f>
        <v>6.78</v>
      </c>
      <c r="CJ50" s="25">
        <f t="array" ref="CJ50">INDEX(KOMBI!$A$1:$GI$145,ROW('KSH järjestus'!CJ57),MATCH('KSH järjestus'!CJ$3,KOMBI!$A$1:$GI$1,0))</f>
        <v>5.3593823271229706</v>
      </c>
      <c r="CK50" s="25">
        <f t="array" ref="CK50">INDEX(KOMBI!$A$1:$GI$145,ROW('KSH järjestus'!CK57),MATCH('KSH järjestus'!CK$3,KOMBI!$A$1:$GI$1,0))</f>
        <v>0.22900000000000001</v>
      </c>
      <c r="CL50" s="25">
        <f t="array" ref="CL50">INDEX(KOMBI!$A$1:$GI$145,ROW('KSH järjestus'!CL57),MATCH('KSH järjestus'!CL$3,KOMBI!$A$1:$GI$1,0))</f>
        <v>0.82899999999999996</v>
      </c>
    </row>
    <row r="51" spans="3:90" x14ac:dyDescent="0.2">
      <c r="C51" s="184">
        <v>48</v>
      </c>
      <c r="G51" s="25">
        <f>RANK(INDEX(KOMBI!$A$11:$GI$145,MATCH('KSH järjestus'!$C51,KOMBI!$A$11:$A$145,0),MATCH('KSH järjestus'!G$3,KOMBI!$A$1:$GI$1,0)),BD$4:BD$138,G$2)</f>
        <v>86</v>
      </c>
      <c r="H51" s="25">
        <f>RANK(INDEX(KOMBI!$A$11:$GI$145,MATCH('KSH järjestus'!$C51,KOMBI!$A$11:$A$145,0),MATCH('KSH järjestus'!H$3,KOMBI!$A$1:$GI$1,0)),BE$4:BE$138,H$2)</f>
        <v>79</v>
      </c>
      <c r="J51" s="25">
        <f>RANK(INDEX(KOMBI!$A$11:$GI$145,MATCH('KSH järjestus'!$C51,KOMBI!$A$11:$A$145,0),MATCH('KSH järjestus'!J$3,KOMBI!$A$1:$GI$1,0)),BG$4:BG$138,J$2)</f>
        <v>77</v>
      </c>
      <c r="M51" s="25">
        <f>RANK(INDEX(KOMBI!$A$11:$GI$145,MATCH('KSH järjestus'!$C51,KOMBI!$A$11:$A$145,0),MATCH('KSH järjestus'!M$3,KOMBI!$A$1:$GI$1,0)),BJ$4:BJ$138,M$2)</f>
        <v>55</v>
      </c>
      <c r="N51" s="25">
        <f>RANK(INDEX(KOMBI!$A$11:$GI$145,MATCH('KSH järjestus'!$C51,KOMBI!$A$11:$A$145,0),MATCH('KSH järjestus'!N$3,KOMBI!$A$1:$GI$1,0)),BK$4:BK$138,N$2)</f>
        <v>73</v>
      </c>
      <c r="O51" s="25">
        <f>RANK(INDEX(KOMBI!$A$11:$GI$145,MATCH('KSH järjestus'!$C51,KOMBI!$A$11:$A$145,0),MATCH('KSH järjestus'!O$3,KOMBI!$A$1:$GI$1,0)),BL$4:BL$138,O$2)</f>
        <v>68</v>
      </c>
      <c r="P51" s="25">
        <f>RANK(INDEX(KOMBI!$A$11:$GI$145,MATCH('KSH järjestus'!$C51,KOMBI!$A$11:$A$145,0),MATCH('KSH järjestus'!P$3,KOMBI!$A$1:$GI$1,0)),BM$4:BM$138,P$2)</f>
        <v>76</v>
      </c>
      <c r="Q51" s="25">
        <f>RANK(INDEX(KOMBI!$A$11:$GI$145,MATCH('KSH järjestus'!$C51,KOMBI!$A$11:$A$145,0),MATCH('KSH järjestus'!Q$3,KOMBI!$A$1:$GI$1,0)),BN$4:BN$138,Q$2)</f>
        <v>49</v>
      </c>
      <c r="R51" s="25">
        <f>RANK(INDEX(KOMBI!$A$11:$GI$145,MATCH('KSH järjestus'!$C51,KOMBI!$A$11:$A$145,0),MATCH('KSH järjestus'!R$3,KOMBI!$A$1:$GI$1,0)),BO$4:BO$138,R$2)</f>
        <v>88</v>
      </c>
      <c r="T51" s="25">
        <f>RANK(INDEX(KOMBI!$A$11:$GI$145,MATCH('KSH järjestus'!$C51,KOMBI!$A$11:$A$145,0),MATCH('KSH järjestus'!T$3,KOMBI!$A$1:$GI$1,0)),BQ$4:BQ$138,T$2)</f>
        <v>101</v>
      </c>
      <c r="U51" s="25">
        <f>RANK(INDEX(KOMBI!$A$11:$GI$145,MATCH('KSH järjestus'!$C51,KOMBI!$A$11:$A$145,0),MATCH('KSH järjestus'!U$3,KOMBI!$A$1:$GI$1,0)),BR$4:BR$138,U$2)</f>
        <v>110</v>
      </c>
      <c r="AA51" s="25">
        <f>RANK(INDEX(KOMBI!$A$11:$GI$145,MATCH('KSH järjestus'!$C51,KOMBI!$A$11:$A$145,0),MATCH('KSH järjestus'!AA$3,KOMBI!$A$1:$GI$1,0)),BX$4:BX$138,AA$2)</f>
        <v>79</v>
      </c>
      <c r="AB51" s="25">
        <f>RANK(INDEX(KOMBI!$A$11:$GI$145,MATCH('KSH järjestus'!$C51,KOMBI!$A$11:$A$145,0),MATCH('KSH järjestus'!AB$3,KOMBI!$A$1:$GI$1,0)),BY$4:BY$138,AB$2)</f>
        <v>97</v>
      </c>
      <c r="AC51" s="25">
        <f>RANK(INDEX(KOMBI!$A$11:$GI$145,MATCH('KSH järjestus'!$C51,KOMBI!$A$11:$A$145,0),MATCH('KSH järjestus'!AC$3,KOMBI!$A$1:$GI$1,0)),BZ$4:BZ$138,AC$2)</f>
        <v>58</v>
      </c>
      <c r="AD51" s="25">
        <f>RANK(INDEX(KOMBI!$A$11:$GI$145,MATCH('KSH järjestus'!$C51,KOMBI!$A$11:$A$145,0),MATCH('KSH järjestus'!AD$3,KOMBI!$A$1:$GI$1,0)),CA$4:CA$138,AD$2)</f>
        <v>98</v>
      </c>
      <c r="AE51" s="25">
        <f>RANK(INDEX(KOMBI!$A$11:$GI$145,MATCH('KSH järjestus'!$C51,KOMBI!$A$11:$A$145,0),MATCH('KSH järjestus'!AE$3,KOMBI!$A$1:$GI$1,0)),CB$4:CB$138,AE$2)</f>
        <v>97</v>
      </c>
      <c r="AG51" s="25">
        <f>RANK(INDEX(KOMBI!$A$11:$GI$145,MATCH('KSH järjestus'!$C51,KOMBI!$A$11:$A$145,0),MATCH('KSH järjestus'!AG$3,KOMBI!$A$1:$GI$1,0)),CD$4:CD$138,AG$2)</f>
        <v>109</v>
      </c>
      <c r="AH51" s="25">
        <f>RANK(INDEX(KOMBI!$A$11:$GI$145,MATCH('KSH järjestus'!$C51,KOMBI!$A$11:$A$145,0),MATCH('KSH järjestus'!AH$3,KOMBI!$A$1:$GI$1,0)),CE$4:CE$138,AH$2)</f>
        <v>121</v>
      </c>
      <c r="AI51" s="25">
        <f>RANK(INDEX(KOMBI!$A$11:$GI$145,MATCH('KSH järjestus'!$C51,KOMBI!$A$11:$A$145,0),MATCH('KSH järjestus'!AI$3,KOMBI!$A$1:$GI$1,0)),CF$4:CF$138,AI$2)</f>
        <v>94</v>
      </c>
      <c r="AJ51" s="25">
        <f>RANK(INDEX(KOMBI!$A$11:$GI$145,MATCH('KSH järjestus'!$C51,KOMBI!$A$11:$A$145,0),MATCH('KSH järjestus'!AJ$3,KOMBI!$A$1:$GI$1,0)),CG$4:CG$138,AJ$2)</f>
        <v>100</v>
      </c>
      <c r="AK51" s="25">
        <f>RANK(INDEX(KOMBI!$A$11:$GI$145,MATCH('KSH järjestus'!$C51,KOMBI!$A$11:$A$145,0),MATCH('KSH järjestus'!AK$3,KOMBI!$A$1:$GI$1,0)),CH$4:CH$138,AK$2)</f>
        <v>94</v>
      </c>
      <c r="AN51" s="25">
        <f>RANK(INDEX(KOMBI!$A$11:$GI$145,MATCH('KSH järjestus'!$C51,KOMBI!$A$11:$A$145,0),MATCH('KSH järjestus'!AN$3,KOMBI!$A$1:$GI$1,0)),CK$4:CK$138,AN$2)</f>
        <v>91</v>
      </c>
      <c r="AO51" s="25">
        <f>RANK(INDEX(KOMBI!$A$11:$GI$145,MATCH('KSH järjestus'!$C51,KOMBI!$A$11:$A$145,0),MATCH('KSH järjestus'!AO$3,KOMBI!$A$1:$GI$1,0)),CL$4:CL$138,AO$2)</f>
        <v>91</v>
      </c>
      <c r="AS51" s="297">
        <f t="shared" si="3"/>
        <v>1991</v>
      </c>
      <c r="AT51" s="25">
        <f t="shared" si="1"/>
        <v>1286</v>
      </c>
      <c r="AU51" s="25">
        <f t="shared" si="2"/>
        <v>120</v>
      </c>
      <c r="AV51" s="295" t="str">
        <f>VLOOKUP(VLOOKUP($AU51,KOMBI!$A:$H,3,FALSE),data!$I$27:$J$29,2,FALSE)</f>
        <v>Vähe-sekkuv</v>
      </c>
      <c r="AW51" s="295" t="str">
        <f>VLOOKUP(VLOOKUP($AU51,KOMBI!$A:$H,2,FALSE),data!$I$21:$J$23,2,FALSE)</f>
        <v>Sekkuv</v>
      </c>
      <c r="AX51" s="295" t="str">
        <f>VLOOKUP(VLOOKUP($AU51,KOMBI!$A:$H,5,FALSE),data!$I$39:$J$41,2,FALSE)</f>
        <v>Sekkuv</v>
      </c>
      <c r="AY51" s="295" t="str">
        <f>VLOOKUP(VLOOKUP($AU51,KOMBI!$A:$H,4,FALSE),data!$I$32:$J$36,2,FALSE)</f>
        <v>PK &amp; UG</v>
      </c>
      <c r="BA51" s="25">
        <f t="array" ref="BA51">INDEX(KOMBI!$A$1:$GI$145,ROW('KSH järjestus'!BA58),MATCH('KSH järjestus'!BA$3,KOMBI!$A$1:$GI$1,0))</f>
        <v>3.9612448876836566</v>
      </c>
      <c r="BB51" s="25">
        <f t="array" ref="BB51">INDEX(KOMBI!$A$1:$GI$145,ROW('KSH järjestus'!BB58),MATCH('KSH järjestus'!BB$3,KOMBI!$A$1:$GI$1,0))</f>
        <v>400.03414659135524</v>
      </c>
      <c r="BC51" s="25">
        <f t="array" aca="1" ref="BC51" ca="1">INDEX(KOMBI!$A$1:$GI$145,ROW('KSH järjestus'!BC58),MATCH('KSH järjestus'!BC$3,KOMBI!$A$1:$GI$1,0))</f>
        <v>87.6388345534846</v>
      </c>
      <c r="BD51" s="25">
        <f t="array" ref="BD51">INDEX(KOMBI!$A$1:$GI$145,ROW('KSH järjestus'!BD58),MATCH('KSH järjestus'!BD$3,KOMBI!$A$1:$GI$1,0))</f>
        <v>-59.422063699091041</v>
      </c>
      <c r="BE51" s="25">
        <f t="array" ref="BE51">INDEX(KOMBI!$A$1:$GI$145,ROW('KSH järjestus'!BE58),MATCH('KSH järjestus'!BE$3,KOMBI!$A$1:$GI$1,0))</f>
        <v>147.06089825257564</v>
      </c>
      <c r="BF51" s="25">
        <f t="array" aca="1" ref="BF51" ca="1">INDEX(KOMBI!$A$1:$GI$145,ROW('KSH järjestus'!BF58),MATCH('KSH järjestus'!BF$3,KOMBI!$A$1:$GI$1,0))</f>
        <v>0</v>
      </c>
      <c r="BG51" s="25">
        <f t="array" ref="BG51">INDEX(KOMBI!$A$1:$GI$145,ROW('KSH järjestus'!BG58),MATCH('KSH järjestus'!BG$3,KOMBI!$A$1:$GI$1,0))</f>
        <v>0.55868064335519341</v>
      </c>
      <c r="BH51" s="25">
        <f t="array" ref="BH51">INDEX(KOMBI!$A$1:$GI$145,ROW('KSH järjestus'!BH58),MATCH('KSH järjestus'!BH$3,KOMBI!$A$1:$GI$1,0))</f>
        <v>90</v>
      </c>
      <c r="BI51" s="25">
        <f t="array" ref="BI51">INDEX(KOMBI!$A$1:$GI$145,ROW('KSH järjestus'!BI58),MATCH('KSH järjestus'!BI$3,KOMBI!$A$1:$GI$1,0))</f>
        <v>0.84317482403548605</v>
      </c>
      <c r="BJ51" s="25">
        <f t="array" ref="BJ51">INDEX(KOMBI!$A$1:$GI$145,ROW('KSH järjestus'!BJ58),MATCH('KSH järjestus'!BJ$3,KOMBI!$A$1:$GI$1,0))</f>
        <v>0.27911646586345373</v>
      </c>
      <c r="BK51" s="25">
        <f t="array" ref="BK51">INDEX(KOMBI!$A$1:$GI$145,ROW('KSH järjestus'!BK58),MATCH('KSH järjestus'!BK$3,KOMBI!$A$1:$GI$1,0))</f>
        <v>0.3348261179971409</v>
      </c>
      <c r="BL51" s="25">
        <f t="array" ref="BL51">INDEX(KOMBI!$A$1:$GI$145,ROW('KSH järjestus'!BL58),MATCH('KSH järjestus'!BL$3,KOMBI!$A$1:$GI$1,0))</f>
        <v>1.572519333776945E-2</v>
      </c>
      <c r="BM51" s="25">
        <f t="array" ref="BM51">INDEX(KOMBI!$A$1:$GI$145,ROW('KSH järjestus'!BM58),MATCH('KSH järjestus'!BM$3,KOMBI!$A$1:$GI$1,0))</f>
        <v>2.4823574919396671E-4</v>
      </c>
      <c r="BN51" s="25">
        <f t="array" ref="BN51">INDEX(KOMBI!$A$1:$GI$145,ROW('KSH järjestus'!BN58),MATCH('KSH järjestus'!BN$3,KOMBI!$A$1:$GI$1,0))</f>
        <v>5.6541950586692091E-3</v>
      </c>
      <c r="BO51" s="25">
        <f t="array" ref="BO51">INDEX(KOMBI!$A$1:$GI$145,ROW('KSH järjestus'!BO58),MATCH('KSH järjestus'!BO$3,KOMBI!$A$1:$GI$1,0))</f>
        <v>1.0194174391227851E-2</v>
      </c>
      <c r="BP51" s="25">
        <f t="array" ref="BP51">INDEX(KOMBI!$A$1:$GI$145,ROW('KSH järjestus'!BP58),MATCH('KSH järjestus'!BP$3,KOMBI!$A$1:$GI$1,0))</f>
        <v>8.532</v>
      </c>
      <c r="BQ51" s="25">
        <f t="array" ref="BQ51">INDEX(KOMBI!$A$1:$GI$145,ROW('KSH järjestus'!BQ58),MATCH('KSH järjestus'!BQ$3,KOMBI!$A$1:$GI$1,0))</f>
        <v>11.217000000000001</v>
      </c>
      <c r="BR51" s="25">
        <f t="array" ref="BR51">INDEX(KOMBI!$A$1:$GI$145,ROW('KSH järjestus'!BR58),MATCH('KSH järjestus'!BR$3,KOMBI!$A$1:$GI$1,0))</f>
        <v>-7.5859730062096571E-3</v>
      </c>
      <c r="BS51" s="25">
        <f t="array" ref="BS51">INDEX(KOMBI!$A$1:$GI$145,ROW('KSH järjestus'!BS58),MATCH('KSH järjestus'!BS$3,KOMBI!$A$1:$GI$1,0))</f>
        <v>-1.8197190001968084E-2</v>
      </c>
      <c r="BT51" s="25">
        <f t="array" ref="BT51">INDEX(KOMBI!$A$1:$GI$145,ROW('KSH järjestus'!BT58),MATCH('KSH järjestus'!BT$3,KOMBI!$A$1:$GI$1,0))</f>
        <v>-2.149636246752451E-2</v>
      </c>
      <c r="BU51" s="25">
        <f t="array" ref="BU51">INDEX(KOMBI!$A$1:$GI$145,ROW('KSH järjestus'!BU58),MATCH('KSH järjestus'!BU$3,KOMBI!$A$1:$GI$1,0))</f>
        <v>8.8322895597237885</v>
      </c>
      <c r="BV51" s="25">
        <f t="array" ref="BV51">INDEX(KOMBI!$A$1:$GI$145,ROW('KSH järjestus'!BV58),MATCH('KSH järjestus'!BV$3,KOMBI!$A$1:$GI$1,0))</f>
        <v>5.3310000000000004</v>
      </c>
      <c r="BW51" s="25">
        <f t="array" ref="BW51">INDEX(KOMBI!$A$1:$GI$145,ROW('KSH järjestus'!BW58),MATCH('KSH järjestus'!BW$3,KOMBI!$A$1:$GI$1,0))</f>
        <v>3.2905823271229702</v>
      </c>
      <c r="BX51" s="25">
        <f t="array" ref="BX51">INDEX(KOMBI!$A$1:$GI$145,ROW('KSH järjestus'!BX58),MATCH('KSH järjestus'!BX$3,KOMBI!$A$1:$GI$1,0))</f>
        <v>19.097999999999999</v>
      </c>
      <c r="BY51" s="25">
        <f t="array" ref="BY51">INDEX(KOMBI!$A$1:$GI$145,ROW('KSH järjestus'!BY58),MATCH('KSH järjestus'!BY$3,KOMBI!$A$1:$GI$1,0))</f>
        <v>12.80574320999272</v>
      </c>
      <c r="BZ51" s="25">
        <f t="array" ref="BZ51">INDEX(KOMBI!$A$1:$GI$145,ROW('KSH järjestus'!BZ58),MATCH('KSH järjestus'!BZ$3,KOMBI!$A$1:$GI$1,0))</f>
        <v>75</v>
      </c>
      <c r="CA51" s="25">
        <f t="array" ref="CA51">INDEX(KOMBI!$A$1:$GI$145,ROW('KSH järjestus'!CA58),MATCH('KSH järjestus'!CA$3,KOMBI!$A$1:$GI$1,0))</f>
        <v>15.212</v>
      </c>
      <c r="CB51" s="25">
        <f t="array" ref="CB51">INDEX(KOMBI!$A$1:$GI$145,ROW('KSH järjestus'!CB58),MATCH('KSH järjestus'!CB$3,KOMBI!$A$1:$GI$1,0))</f>
        <v>67.354444444444439</v>
      </c>
      <c r="CC51" s="25">
        <f t="array" ref="CC51">INDEX(KOMBI!$A$1:$GI$145,ROW('KSH järjestus'!CC58),MATCH('KSH järjestus'!CC$3,KOMBI!$A$1:$GI$1,0))</f>
        <v>5.3886209999999997</v>
      </c>
      <c r="CD51" s="25">
        <f t="array" ref="CD51">INDEX(KOMBI!$A$1:$GI$145,ROW('KSH järjestus'!CD58),MATCH('KSH järjestus'!CD$3,KOMBI!$A$1:$GI$1,0))</f>
        <v>327.54999999999995</v>
      </c>
      <c r="CE51" s="25">
        <f t="array" ref="CE51">INDEX(KOMBI!$A$1:$GI$145,ROW('KSH järjestus'!CE58),MATCH('KSH järjestus'!CE$3,KOMBI!$A$1:$GI$1,0))</f>
        <v>3.1680000000000001</v>
      </c>
      <c r="CF51" s="25">
        <f t="array" ref="CF51">INDEX(KOMBI!$A$1:$GI$145,ROW('KSH järjestus'!CF58),MATCH('KSH järjestus'!CF$3,KOMBI!$A$1:$GI$1,0))</f>
        <v>50.580678294573637</v>
      </c>
      <c r="CG51" s="25">
        <f t="array" ref="CG51">INDEX(KOMBI!$A$1:$GI$145,ROW('KSH järjestus'!CG58),MATCH('KSH järjestus'!CG$3,KOMBI!$A$1:$GI$1,0))</f>
        <v>2.1300063549572323E-2</v>
      </c>
      <c r="CH51" s="25">
        <f t="array" ref="CH51">INDEX(KOMBI!$A$1:$GI$145,ROW('KSH järjestus'!CH58),MATCH('KSH järjestus'!CH$3,KOMBI!$A$1:$GI$1,0))</f>
        <v>0.39647362526587548</v>
      </c>
      <c r="CI51" s="25">
        <f t="array" ref="CI51">INDEX(KOMBI!$A$1:$GI$145,ROW('KSH järjestus'!CI58),MATCH('KSH järjestus'!CI$3,KOMBI!$A$1:$GI$1,0))</f>
        <v>6.78</v>
      </c>
      <c r="CJ51" s="25">
        <f t="array" ref="CJ51">INDEX(KOMBI!$A$1:$GI$145,ROW('KSH järjestus'!CJ58),MATCH('KSH järjestus'!CJ$3,KOMBI!$A$1:$GI$1,0))</f>
        <v>5.3593823271229706</v>
      </c>
      <c r="CK51" s="25">
        <f t="array" ref="CK51">INDEX(KOMBI!$A$1:$GI$145,ROW('KSH järjestus'!CK58),MATCH('KSH järjestus'!CK$3,KOMBI!$A$1:$GI$1,0))</f>
        <v>0.22900000000000001</v>
      </c>
      <c r="CL51" s="25">
        <f t="array" ref="CL51">INDEX(KOMBI!$A$1:$GI$145,ROW('KSH järjestus'!CL58),MATCH('KSH järjestus'!CL$3,KOMBI!$A$1:$GI$1,0))</f>
        <v>0.82899999999999996</v>
      </c>
    </row>
    <row r="52" spans="3:90" x14ac:dyDescent="0.2">
      <c r="C52" s="184">
        <v>49</v>
      </c>
      <c r="G52" s="25">
        <f>RANK(INDEX(KOMBI!$A$11:$GI$145,MATCH('KSH järjestus'!$C52,KOMBI!$A$11:$A$145,0),MATCH('KSH järjestus'!G$3,KOMBI!$A$1:$GI$1,0)),BD$4:BD$138,G$2)</f>
        <v>121</v>
      </c>
      <c r="H52" s="25">
        <f>RANK(INDEX(KOMBI!$A$11:$GI$145,MATCH('KSH järjestus'!$C52,KOMBI!$A$11:$A$145,0),MATCH('KSH järjestus'!H$3,KOMBI!$A$1:$GI$1,0)),BE$4:BE$138,H$2)</f>
        <v>122</v>
      </c>
      <c r="J52" s="25">
        <f>RANK(INDEX(KOMBI!$A$11:$GI$145,MATCH('KSH järjestus'!$C52,KOMBI!$A$11:$A$145,0),MATCH('KSH järjestus'!J$3,KOMBI!$A$1:$GI$1,0)),BG$4:BG$138,J$2)</f>
        <v>106</v>
      </c>
      <c r="M52" s="25">
        <f>RANK(INDEX(KOMBI!$A$11:$GI$145,MATCH('KSH järjestus'!$C52,KOMBI!$A$11:$A$145,0),MATCH('KSH järjestus'!M$3,KOMBI!$A$1:$GI$1,0)),BJ$4:BJ$138,M$2)</f>
        <v>55</v>
      </c>
      <c r="N52" s="25">
        <f>RANK(INDEX(KOMBI!$A$11:$GI$145,MATCH('KSH järjestus'!$C52,KOMBI!$A$11:$A$145,0),MATCH('KSH järjestus'!N$3,KOMBI!$A$1:$GI$1,0)),BK$4:BK$138,N$2)</f>
        <v>76</v>
      </c>
      <c r="O52" s="25">
        <f>RANK(INDEX(KOMBI!$A$11:$GI$145,MATCH('KSH järjestus'!$C52,KOMBI!$A$11:$A$145,0),MATCH('KSH järjestus'!O$3,KOMBI!$A$1:$GI$1,0)),BL$4:BL$138,O$2)</f>
        <v>127</v>
      </c>
      <c r="P52" s="25">
        <f>RANK(INDEX(KOMBI!$A$11:$GI$145,MATCH('KSH järjestus'!$C52,KOMBI!$A$11:$A$145,0),MATCH('KSH järjestus'!P$3,KOMBI!$A$1:$GI$1,0)),BM$4:BM$138,P$2)</f>
        <v>59</v>
      </c>
      <c r="Q52" s="25">
        <f>RANK(INDEX(KOMBI!$A$11:$GI$145,MATCH('KSH järjestus'!$C52,KOMBI!$A$11:$A$145,0),MATCH('KSH järjestus'!Q$3,KOMBI!$A$1:$GI$1,0)),BN$4:BN$138,Q$2)</f>
        <v>98</v>
      </c>
      <c r="R52" s="25">
        <f>RANK(INDEX(KOMBI!$A$11:$GI$145,MATCH('KSH järjestus'!$C52,KOMBI!$A$11:$A$145,0),MATCH('KSH järjestus'!R$3,KOMBI!$A$1:$GI$1,0)),BO$4:BO$138,R$2)</f>
        <v>132</v>
      </c>
      <c r="T52" s="25">
        <f>RANK(INDEX(KOMBI!$A$11:$GI$145,MATCH('KSH järjestus'!$C52,KOMBI!$A$11:$A$145,0),MATCH('KSH järjestus'!T$3,KOMBI!$A$1:$GI$1,0)),BQ$4:BQ$138,T$2)</f>
        <v>81</v>
      </c>
      <c r="U52" s="25">
        <f>RANK(INDEX(KOMBI!$A$11:$GI$145,MATCH('KSH järjestus'!$C52,KOMBI!$A$11:$A$145,0),MATCH('KSH järjestus'!U$3,KOMBI!$A$1:$GI$1,0)),BR$4:BR$138,U$2)</f>
        <v>91</v>
      </c>
      <c r="AA52" s="25">
        <f>RANK(INDEX(KOMBI!$A$11:$GI$145,MATCH('KSH järjestus'!$C52,KOMBI!$A$11:$A$145,0),MATCH('KSH järjestus'!AA$3,KOMBI!$A$1:$GI$1,0)),BX$4:BX$138,AA$2)</f>
        <v>82</v>
      </c>
      <c r="AB52" s="25">
        <f>RANK(INDEX(KOMBI!$A$11:$GI$145,MATCH('KSH järjestus'!$C52,KOMBI!$A$11:$A$145,0),MATCH('KSH järjestus'!AB$3,KOMBI!$A$1:$GI$1,0)),BY$4:BY$138,AB$2)</f>
        <v>91</v>
      </c>
      <c r="AC52" s="25">
        <f>RANK(INDEX(KOMBI!$A$11:$GI$145,MATCH('KSH järjestus'!$C52,KOMBI!$A$11:$A$145,0),MATCH('KSH järjestus'!AC$3,KOMBI!$A$1:$GI$1,0)),BZ$4:BZ$138,AC$2)</f>
        <v>43</v>
      </c>
      <c r="AD52" s="25">
        <f>RANK(INDEX(KOMBI!$A$11:$GI$145,MATCH('KSH järjestus'!$C52,KOMBI!$A$11:$A$145,0),MATCH('KSH järjestus'!AD$3,KOMBI!$A$1:$GI$1,0)),CA$4:CA$138,AD$2)</f>
        <v>91</v>
      </c>
      <c r="AE52" s="25">
        <f>RANK(INDEX(KOMBI!$A$11:$GI$145,MATCH('KSH järjestus'!$C52,KOMBI!$A$11:$A$145,0),MATCH('KSH järjestus'!AE$3,KOMBI!$A$1:$GI$1,0)),CB$4:CB$138,AE$2)</f>
        <v>89</v>
      </c>
      <c r="AG52" s="25">
        <f>RANK(INDEX(KOMBI!$A$11:$GI$145,MATCH('KSH järjestus'!$C52,KOMBI!$A$11:$A$145,0),MATCH('KSH järjestus'!AG$3,KOMBI!$A$1:$GI$1,0)),CD$4:CD$138,AG$2)</f>
        <v>109</v>
      </c>
      <c r="AH52" s="25">
        <f>RANK(INDEX(KOMBI!$A$11:$GI$145,MATCH('KSH järjestus'!$C52,KOMBI!$A$11:$A$145,0),MATCH('KSH järjestus'!AH$3,KOMBI!$A$1:$GI$1,0)),CE$4:CE$138,AH$2)</f>
        <v>121</v>
      </c>
      <c r="AI52" s="25">
        <f>RANK(INDEX(KOMBI!$A$11:$GI$145,MATCH('KSH järjestus'!$C52,KOMBI!$A$11:$A$145,0),MATCH('KSH järjestus'!AI$3,KOMBI!$A$1:$GI$1,0)),CF$4:CF$138,AI$2)</f>
        <v>97</v>
      </c>
      <c r="AJ52" s="25">
        <f>RANK(INDEX(KOMBI!$A$11:$GI$145,MATCH('KSH järjestus'!$C52,KOMBI!$A$11:$A$145,0),MATCH('KSH järjestus'!AJ$3,KOMBI!$A$1:$GI$1,0)),CG$4:CG$138,AJ$2)</f>
        <v>100</v>
      </c>
      <c r="AK52" s="25">
        <f>RANK(INDEX(KOMBI!$A$11:$GI$145,MATCH('KSH järjestus'!$C52,KOMBI!$A$11:$A$145,0),MATCH('KSH järjestus'!AK$3,KOMBI!$A$1:$GI$1,0)),CH$4:CH$138,AK$2)</f>
        <v>94</v>
      </c>
      <c r="AN52" s="25">
        <f>RANK(INDEX(KOMBI!$A$11:$GI$145,MATCH('KSH järjestus'!$C52,KOMBI!$A$11:$A$145,0),MATCH('KSH järjestus'!AN$3,KOMBI!$A$1:$GI$1,0)),CK$4:CK$138,AN$2)</f>
        <v>91</v>
      </c>
      <c r="AO52" s="25">
        <f>RANK(INDEX(KOMBI!$A$11:$GI$145,MATCH('KSH järjestus'!$C52,KOMBI!$A$11:$A$145,0),MATCH('KSH järjestus'!AO$3,KOMBI!$A$1:$GI$1,0)),CL$4:CL$138,AO$2)</f>
        <v>91</v>
      </c>
      <c r="AS52" s="297">
        <f t="shared" si="3"/>
        <v>2167</v>
      </c>
      <c r="AT52" s="25">
        <f t="shared" si="1"/>
        <v>1293</v>
      </c>
      <c r="AU52" s="25">
        <f t="shared" si="2"/>
        <v>41</v>
      </c>
      <c r="AV52" s="295" t="str">
        <f>VLOOKUP(VLOOKUP($AU52,KOMBI!$A:$H,3,FALSE),data!$I$27:$J$29,2,FALSE)</f>
        <v>Sekkuv/EÜ</v>
      </c>
      <c r="AW52" s="295" t="str">
        <f>VLOOKUP(VLOOKUP($AU52,KOMBI!$A:$H,2,FALSE),data!$I$21:$J$23,2,FALSE)</f>
        <v>Mittesekkuv</v>
      </c>
      <c r="AX52" s="295" t="str">
        <f>VLOOKUP(VLOOKUP($AU52,KOMBI!$A:$H,5,FALSE),data!$I$39:$J$41,2,FALSE)</f>
        <v>Vähe-sekkuv</v>
      </c>
      <c r="AY52" s="295" t="str">
        <f>VLOOKUP(VLOOKUP($AU52,KOMBI!$A:$H,4,FALSE),data!$I$32:$J$36,2,FALSE)</f>
        <v>TE++</v>
      </c>
      <c r="BA52" s="25">
        <f t="array" ref="BA52">INDEX(KOMBI!$A$1:$GI$145,ROW('KSH järjestus'!BA59),MATCH('KSH järjestus'!BA$3,KOMBI!$A$1:$GI$1,0))</f>
        <v>2.1436533494157466</v>
      </c>
      <c r="BB52" s="25">
        <f t="array" ref="BB52">INDEX(KOMBI!$A$1:$GI$145,ROW('KSH järjestus'!BB59),MATCH('KSH järjestus'!BB$3,KOMBI!$A$1:$GI$1,0))</f>
        <v>123.52694262109659</v>
      </c>
      <c r="BC52" s="25">
        <f t="array" aca="1" ref="BC52" ca="1">INDEX(KOMBI!$A$1:$GI$145,ROW('KSH järjestus'!BC59),MATCH('KSH järjestus'!BC$3,KOMBI!$A$1:$GI$1,0))</f>
        <v>42.116502920538167</v>
      </c>
      <c r="BD52" s="25">
        <f t="array" ref="BD52">INDEX(KOMBI!$A$1:$GI$145,ROW('KSH järjestus'!BD59),MATCH('KSH järjestus'!BD$3,KOMBI!$A$1:$GI$1,0))</f>
        <v>-25.081250000000001</v>
      </c>
      <c r="BE52" s="25">
        <f t="array" ref="BE52">INDEX(KOMBI!$A$1:$GI$145,ROW('KSH järjestus'!BE59),MATCH('KSH järjestus'!BE$3,KOMBI!$A$1:$GI$1,0))</f>
        <v>67.197752920538164</v>
      </c>
      <c r="BF52" s="25">
        <f t="array" aca="1" ref="BF52" ca="1">INDEX(KOMBI!$A$1:$GI$145,ROW('KSH järjestus'!BF59),MATCH('KSH järjestus'!BF$3,KOMBI!$A$1:$GI$1,0))</f>
        <v>0</v>
      </c>
      <c r="BG52" s="25">
        <f t="array" ref="BG52">INDEX(KOMBI!$A$1:$GI$145,ROW('KSH järjestus'!BG59),MATCH('KSH järjestus'!BG$3,KOMBI!$A$1:$GI$1,0))</f>
        <v>0.59287953949425476</v>
      </c>
      <c r="BH52" s="25">
        <f t="array" ref="BH52">INDEX(KOMBI!$A$1:$GI$145,ROW('KSH järjestus'!BH59),MATCH('KSH järjestus'!BH$3,KOMBI!$A$1:$GI$1,0))</f>
        <v>90</v>
      </c>
      <c r="BI52" s="25">
        <f t="array" ref="BI52">INDEX(KOMBI!$A$1:$GI$145,ROW('KSH järjestus'!BI59),MATCH('KSH järjestus'!BI$3,KOMBI!$A$1:$GI$1,0))</f>
        <v>1</v>
      </c>
      <c r="BJ52" s="25">
        <f t="array" ref="BJ52">INDEX(KOMBI!$A$1:$GI$145,ROW('KSH järjestus'!BJ59),MATCH('KSH järjestus'!BJ$3,KOMBI!$A$1:$GI$1,0))</f>
        <v>0.27911646586345373</v>
      </c>
      <c r="BK52" s="25">
        <f t="array" ref="BK52">INDEX(KOMBI!$A$1:$GI$145,ROW('KSH järjestus'!BK59),MATCH('KSH järjestus'!BK$3,KOMBI!$A$1:$GI$1,0))</f>
        <v>0.33475993463505049</v>
      </c>
      <c r="BL52" s="25">
        <f t="array" ref="BL52">INDEX(KOMBI!$A$1:$GI$145,ROW('KSH järjestus'!BL59),MATCH('KSH järjestus'!BL$3,KOMBI!$A$1:$GI$1,0))</f>
        <v>4.8306056490324432E-3</v>
      </c>
      <c r="BM52" s="25">
        <f t="array" ref="BM52">INDEX(KOMBI!$A$1:$GI$145,ROW('KSH järjestus'!BM59),MATCH('KSH järjestus'!BM$3,KOMBI!$A$1:$GI$1,0))</f>
        <v>2.8957703396023824E-3</v>
      </c>
      <c r="BN52" s="25">
        <f t="array" ref="BN52">INDEX(KOMBI!$A$1:$GI$145,ROW('KSH järjestus'!BN59),MATCH('KSH järjestus'!BN$3,KOMBI!$A$1:$GI$1,0))</f>
        <v>1.8475328584021122E-3</v>
      </c>
      <c r="BO52" s="25">
        <f t="array" ref="BO52">INDEX(KOMBI!$A$1:$GI$145,ROW('KSH järjestus'!BO59),MATCH('KSH järjestus'!BO$3,KOMBI!$A$1:$GI$1,0))</f>
        <v>2.9972901874896788E-3</v>
      </c>
      <c r="BP52" s="25">
        <f t="array" ref="BP52">INDEX(KOMBI!$A$1:$GI$145,ROW('KSH järjestus'!BP59),MATCH('KSH järjestus'!BP$3,KOMBI!$A$1:$GI$1,0))</f>
        <v>8.5427605777489077</v>
      </c>
      <c r="BQ52" s="25">
        <f t="array" ref="BQ52">INDEX(KOMBI!$A$1:$GI$145,ROW('KSH järjestus'!BQ59),MATCH('KSH järjestus'!BQ$3,KOMBI!$A$1:$GI$1,0))</f>
        <v>10.901999999999999</v>
      </c>
      <c r="BR52" s="25">
        <f t="array" ref="BR52">INDEX(KOMBI!$A$1:$GI$145,ROW('KSH järjestus'!BR59),MATCH('KSH järjestus'!BR$3,KOMBI!$A$1:$GI$1,0))</f>
        <v>-1.578076229718325E-2</v>
      </c>
      <c r="BS52" s="25">
        <f t="array" ref="BS52">INDEX(KOMBI!$A$1:$GI$145,ROW('KSH järjestus'!BS59),MATCH('KSH järjestus'!BS$3,KOMBI!$A$1:$GI$1,0))</f>
        <v>-2.076910185277513E-2</v>
      </c>
      <c r="BT52" s="25">
        <f t="array" ref="BT52">INDEX(KOMBI!$A$1:$GI$145,ROW('KSH järjestus'!BT59),MATCH('KSH järjestus'!BT$3,KOMBI!$A$1:$GI$1,0))</f>
        <v>-2.4017982045407421E-2</v>
      </c>
      <c r="BU52" s="25">
        <f t="array" ref="BU52">INDEX(KOMBI!$A$1:$GI$145,ROW('KSH järjestus'!BU59),MATCH('KSH järjestus'!BU$3,KOMBI!$A$1:$GI$1,0))</f>
        <v>8.8647703590452114</v>
      </c>
      <c r="BV52" s="25">
        <f t="array" ref="BV52">INDEX(KOMBI!$A$1:$GI$145,ROW('KSH järjestus'!BV59),MATCH('KSH järjestus'!BV$3,KOMBI!$A$1:$GI$1,0))</f>
        <v>5.3630000000000004</v>
      </c>
      <c r="BW52" s="25">
        <f t="array" ref="BW52">INDEX(KOMBI!$A$1:$GI$145,ROW('KSH järjestus'!BW59),MATCH('KSH järjestus'!BW$3,KOMBI!$A$1:$GI$1,0))</f>
        <v>2.7043823271229703</v>
      </c>
      <c r="BX52" s="25">
        <f t="array" ref="BX52">INDEX(KOMBI!$A$1:$GI$145,ROW('KSH järjestus'!BX59),MATCH('KSH järjestus'!BX$3,KOMBI!$A$1:$GI$1,0))</f>
        <v>19.100578011574537</v>
      </c>
      <c r="BY52" s="25">
        <f t="array" ref="BY52">INDEX(KOMBI!$A$1:$GI$145,ROW('KSH järjestus'!BY59),MATCH('KSH järjestus'!BY$3,KOMBI!$A$1:$GI$1,0))</f>
        <v>12.804324637900008</v>
      </c>
      <c r="BZ52" s="25">
        <f t="array" ref="BZ52">INDEX(KOMBI!$A$1:$GI$145,ROW('KSH järjestus'!BZ59),MATCH('KSH järjestus'!BZ$3,KOMBI!$A$1:$GI$1,0))</f>
        <v>73</v>
      </c>
      <c r="CA52" s="25">
        <f t="array" ref="CA52">INDEX(KOMBI!$A$1:$GI$145,ROW('KSH järjestus'!CA59),MATCH('KSH järjestus'!CA$3,KOMBI!$A$1:$GI$1,0))</f>
        <v>14.872999999999999</v>
      </c>
      <c r="CB52" s="25">
        <f t="array" ref="CB52">INDEX(KOMBI!$A$1:$GI$145,ROW('KSH järjestus'!CB59),MATCH('KSH järjestus'!CB$3,KOMBI!$A$1:$GI$1,0))</f>
        <v>66.113611111111112</v>
      </c>
      <c r="CC52" s="25">
        <f t="array" ref="CC52">INDEX(KOMBI!$A$1:$GI$145,ROW('KSH järjestus'!CC59),MATCH('KSH järjestus'!CC$3,KOMBI!$A$1:$GI$1,0))</f>
        <v>5.2625529999999996</v>
      </c>
      <c r="CD52" s="25">
        <f t="array" ref="CD52">INDEX(KOMBI!$A$1:$GI$145,ROW('KSH järjestus'!CD59),MATCH('KSH järjestus'!CD$3,KOMBI!$A$1:$GI$1,0))</f>
        <v>327.54999999999995</v>
      </c>
      <c r="CE52" s="25">
        <f t="array" ref="CE52">INDEX(KOMBI!$A$1:$GI$145,ROW('KSH järjestus'!CE59),MATCH('KSH järjestus'!CE$3,KOMBI!$A$1:$GI$1,0))</f>
        <v>3.1680000000000001</v>
      </c>
      <c r="CF52" s="25">
        <f t="array" ref="CF52">INDEX(KOMBI!$A$1:$GI$145,ROW('KSH järjestus'!CF59),MATCH('KSH järjestus'!CF$3,KOMBI!$A$1:$GI$1,0))</f>
        <v>50.590678294573635</v>
      </c>
      <c r="CG52" s="25">
        <f t="array" ref="CG52">INDEX(KOMBI!$A$1:$GI$145,ROW('KSH järjestus'!CG59),MATCH('KSH järjestus'!CG$3,KOMBI!$A$1:$GI$1,0))</f>
        <v>2.1300063549572323E-2</v>
      </c>
      <c r="CH52" s="25">
        <f t="array" ref="CH52">INDEX(KOMBI!$A$1:$GI$145,ROW('KSH järjestus'!CH59),MATCH('KSH järjestus'!CH$3,KOMBI!$A$1:$GI$1,0))</f>
        <v>0.39647362526587548</v>
      </c>
      <c r="CI52" s="25">
        <f t="array" ref="CI52">INDEX(KOMBI!$A$1:$GI$145,ROW('KSH järjestus'!CI59),MATCH('KSH järjestus'!CI$3,KOMBI!$A$1:$GI$1,0))</f>
        <v>6.78</v>
      </c>
      <c r="CJ52" s="25">
        <f t="array" ref="CJ52">INDEX(KOMBI!$A$1:$GI$145,ROW('KSH järjestus'!CJ59),MATCH('KSH järjestus'!CJ$3,KOMBI!$A$1:$GI$1,0))</f>
        <v>6.0743823271229704</v>
      </c>
      <c r="CK52" s="25">
        <f t="array" ref="CK52">INDEX(KOMBI!$A$1:$GI$145,ROW('KSH järjestus'!CK59),MATCH('KSH järjestus'!CK$3,KOMBI!$A$1:$GI$1,0))</f>
        <v>0.22900000000000001</v>
      </c>
      <c r="CL52" s="25">
        <f t="array" ref="CL52">INDEX(KOMBI!$A$1:$GI$145,ROW('KSH järjestus'!CL59),MATCH('KSH järjestus'!CL$3,KOMBI!$A$1:$GI$1,0))</f>
        <v>0.82899999999999996</v>
      </c>
    </row>
    <row r="53" spans="3:90" x14ac:dyDescent="0.2">
      <c r="C53" s="184">
        <v>50</v>
      </c>
      <c r="G53" s="25">
        <f>RANK(INDEX(KOMBI!$A$11:$GI$145,MATCH('KSH järjestus'!$C53,KOMBI!$A$11:$A$145,0),MATCH('KSH järjestus'!G$3,KOMBI!$A$1:$GI$1,0)),BD$4:BD$138,G$2)</f>
        <v>106</v>
      </c>
      <c r="H53" s="25">
        <f>RANK(INDEX(KOMBI!$A$11:$GI$145,MATCH('KSH järjestus'!$C53,KOMBI!$A$11:$A$145,0),MATCH('KSH järjestus'!H$3,KOMBI!$A$1:$GI$1,0)),BE$4:BE$138,H$2)</f>
        <v>102</v>
      </c>
      <c r="J53" s="25">
        <f>RANK(INDEX(KOMBI!$A$11:$GI$145,MATCH('KSH järjestus'!$C53,KOMBI!$A$11:$A$145,0),MATCH('KSH järjestus'!J$3,KOMBI!$A$1:$GI$1,0)),BG$4:BG$138,J$2)</f>
        <v>79</v>
      </c>
      <c r="M53" s="25">
        <f>RANK(INDEX(KOMBI!$A$11:$GI$145,MATCH('KSH järjestus'!$C53,KOMBI!$A$11:$A$145,0),MATCH('KSH järjestus'!M$3,KOMBI!$A$1:$GI$1,0)),BJ$4:BJ$138,M$2)</f>
        <v>55</v>
      </c>
      <c r="N53" s="25">
        <f>RANK(INDEX(KOMBI!$A$11:$GI$145,MATCH('KSH järjestus'!$C53,KOMBI!$A$11:$A$145,0),MATCH('KSH järjestus'!N$3,KOMBI!$A$1:$GI$1,0)),BK$4:BK$138,N$2)</f>
        <v>76</v>
      </c>
      <c r="O53" s="25">
        <f>RANK(INDEX(KOMBI!$A$11:$GI$145,MATCH('KSH järjestus'!$C53,KOMBI!$A$11:$A$145,0),MATCH('KSH järjestus'!O$3,KOMBI!$A$1:$GI$1,0)),BL$4:BL$138,O$2)</f>
        <v>101</v>
      </c>
      <c r="P53" s="25">
        <f>RANK(INDEX(KOMBI!$A$11:$GI$145,MATCH('KSH järjestus'!$C53,KOMBI!$A$11:$A$145,0),MATCH('KSH järjestus'!P$3,KOMBI!$A$1:$GI$1,0)),BM$4:BM$138,P$2)</f>
        <v>79</v>
      </c>
      <c r="Q53" s="25">
        <f>RANK(INDEX(KOMBI!$A$11:$GI$145,MATCH('KSH järjestus'!$C53,KOMBI!$A$11:$A$145,0),MATCH('KSH järjestus'!Q$3,KOMBI!$A$1:$GI$1,0)),BN$4:BN$138,Q$2)</f>
        <v>63</v>
      </c>
      <c r="R53" s="25">
        <f>RANK(INDEX(KOMBI!$A$11:$GI$145,MATCH('KSH järjestus'!$C53,KOMBI!$A$11:$A$145,0),MATCH('KSH järjestus'!R$3,KOMBI!$A$1:$GI$1,0)),BO$4:BO$138,R$2)</f>
        <v>116</v>
      </c>
      <c r="T53" s="25">
        <f>RANK(INDEX(KOMBI!$A$11:$GI$145,MATCH('KSH järjestus'!$C53,KOMBI!$A$11:$A$145,0),MATCH('KSH järjestus'!T$3,KOMBI!$A$1:$GI$1,0)),BQ$4:BQ$138,T$2)</f>
        <v>89</v>
      </c>
      <c r="U53" s="25">
        <f>RANK(INDEX(KOMBI!$A$11:$GI$145,MATCH('KSH järjestus'!$C53,KOMBI!$A$11:$A$145,0),MATCH('KSH järjestus'!U$3,KOMBI!$A$1:$GI$1,0)),BR$4:BR$138,U$2)</f>
        <v>104</v>
      </c>
      <c r="AA53" s="25">
        <f>RANK(INDEX(KOMBI!$A$11:$GI$145,MATCH('KSH järjestus'!$C53,KOMBI!$A$11:$A$145,0),MATCH('KSH järjestus'!AA$3,KOMBI!$A$1:$GI$1,0)),BX$4:BX$138,AA$2)</f>
        <v>82</v>
      </c>
      <c r="AB53" s="25">
        <f>RANK(INDEX(KOMBI!$A$11:$GI$145,MATCH('KSH järjestus'!$C53,KOMBI!$A$11:$A$145,0),MATCH('KSH järjestus'!AB$3,KOMBI!$A$1:$GI$1,0)),BY$4:BY$138,AB$2)</f>
        <v>91</v>
      </c>
      <c r="AC53" s="25">
        <f>RANK(INDEX(KOMBI!$A$11:$GI$145,MATCH('KSH järjestus'!$C53,KOMBI!$A$11:$A$145,0),MATCH('KSH järjestus'!AC$3,KOMBI!$A$1:$GI$1,0)),BZ$4:BZ$138,AC$2)</f>
        <v>47</v>
      </c>
      <c r="AD53" s="25">
        <f>RANK(INDEX(KOMBI!$A$11:$GI$145,MATCH('KSH järjestus'!$C53,KOMBI!$A$11:$A$145,0),MATCH('KSH järjestus'!AD$3,KOMBI!$A$1:$GI$1,0)),CA$4:CA$138,AD$2)</f>
        <v>95</v>
      </c>
      <c r="AE53" s="25">
        <f>RANK(INDEX(KOMBI!$A$11:$GI$145,MATCH('KSH järjestus'!$C53,KOMBI!$A$11:$A$145,0),MATCH('KSH järjestus'!AE$3,KOMBI!$A$1:$GI$1,0)),CB$4:CB$138,AE$2)</f>
        <v>95</v>
      </c>
      <c r="AG53" s="25">
        <f>RANK(INDEX(KOMBI!$A$11:$GI$145,MATCH('KSH järjestus'!$C53,KOMBI!$A$11:$A$145,0),MATCH('KSH järjestus'!AG$3,KOMBI!$A$1:$GI$1,0)),CD$4:CD$138,AG$2)</f>
        <v>109</v>
      </c>
      <c r="AH53" s="25">
        <f>RANK(INDEX(KOMBI!$A$11:$GI$145,MATCH('KSH järjestus'!$C53,KOMBI!$A$11:$A$145,0),MATCH('KSH järjestus'!AH$3,KOMBI!$A$1:$GI$1,0)),CE$4:CE$138,AH$2)</f>
        <v>121</v>
      </c>
      <c r="AI53" s="25">
        <f>RANK(INDEX(KOMBI!$A$11:$GI$145,MATCH('KSH järjestus'!$C53,KOMBI!$A$11:$A$145,0),MATCH('KSH järjestus'!AI$3,KOMBI!$A$1:$GI$1,0)),CF$4:CF$138,AI$2)</f>
        <v>97</v>
      </c>
      <c r="AJ53" s="25">
        <f>RANK(INDEX(KOMBI!$A$11:$GI$145,MATCH('KSH järjestus'!$C53,KOMBI!$A$11:$A$145,0),MATCH('KSH järjestus'!AJ$3,KOMBI!$A$1:$GI$1,0)),CG$4:CG$138,AJ$2)</f>
        <v>100</v>
      </c>
      <c r="AK53" s="25">
        <f>RANK(INDEX(KOMBI!$A$11:$GI$145,MATCH('KSH järjestus'!$C53,KOMBI!$A$11:$A$145,0),MATCH('KSH järjestus'!AK$3,KOMBI!$A$1:$GI$1,0)),CH$4:CH$138,AK$2)</f>
        <v>94</v>
      </c>
      <c r="AN53" s="25">
        <f>RANK(INDEX(KOMBI!$A$11:$GI$145,MATCH('KSH järjestus'!$C53,KOMBI!$A$11:$A$145,0),MATCH('KSH järjestus'!AN$3,KOMBI!$A$1:$GI$1,0)),CK$4:CK$138,AN$2)</f>
        <v>91</v>
      </c>
      <c r="AO53" s="25">
        <f>RANK(INDEX(KOMBI!$A$11:$GI$145,MATCH('KSH järjestus'!$C53,KOMBI!$A$11:$A$145,0),MATCH('KSH järjestus'!AO$3,KOMBI!$A$1:$GI$1,0)),CL$4:CL$138,AO$2)</f>
        <v>91</v>
      </c>
      <c r="AS53" s="297">
        <f t="shared" si="3"/>
        <v>2083</v>
      </c>
      <c r="AT53" s="25">
        <f t="shared" si="1"/>
        <v>1310</v>
      </c>
      <c r="AU53" s="25">
        <f t="shared" si="2"/>
        <v>76</v>
      </c>
      <c r="AV53" s="295" t="str">
        <f>VLOOKUP(VLOOKUP($AU53,KOMBI!$A:$H,3,FALSE),data!$I$27:$J$29,2,FALSE)</f>
        <v>Sekkuv/EÜ</v>
      </c>
      <c r="AW53" s="295" t="str">
        <f>VLOOKUP(VLOOKUP($AU53,KOMBI!$A:$H,2,FALSE),data!$I$21:$J$23,2,FALSE)</f>
        <v>Vähe-sekkuv</v>
      </c>
      <c r="AX53" s="295" t="str">
        <f>VLOOKUP(VLOOKUP($AU53,KOMBI!$A:$H,5,FALSE),data!$I$39:$J$41,2,FALSE)</f>
        <v>Mittesekkuv</v>
      </c>
      <c r="AY53" s="295" t="str">
        <f>VLOOKUP(VLOOKUP($AU53,KOMBI!$A:$H,4,FALSE),data!$I$32:$J$36,2,FALSE)</f>
        <v>LIB</v>
      </c>
      <c r="BA53" s="25">
        <f t="array" ref="BA53">INDEX(KOMBI!$A$1:$GI$145,ROW('KSH järjestus'!BA60),MATCH('KSH järjestus'!BA$3,KOMBI!$A$1:$GI$1,0))</f>
        <v>3.0595649980615867</v>
      </c>
      <c r="BB53" s="25">
        <f t="array" ref="BB53">INDEX(KOMBI!$A$1:$GI$145,ROW('KSH järjestus'!BB60),MATCH('KSH järjestus'!BB$3,KOMBI!$A$1:$GI$1,0))</f>
        <v>284.00697489035986</v>
      </c>
      <c r="BC53" s="25">
        <f t="array" aca="1" ref="BC53" ca="1">INDEX(KOMBI!$A$1:$GI$145,ROW('KSH järjestus'!BC60),MATCH('KSH järjestus'!BC$3,KOMBI!$A$1:$GI$1,0))</f>
        <v>71.281824949073254</v>
      </c>
      <c r="BD53" s="25">
        <f t="array" ref="BD53">INDEX(KOMBI!$A$1:$GI$145,ROW('KSH järjestus'!BD60),MATCH('KSH järjestus'!BD$3,KOMBI!$A$1:$GI$1,0))</f>
        <v>-40.314469880632103</v>
      </c>
      <c r="BE53" s="25">
        <f t="array" ref="BE53">INDEX(KOMBI!$A$1:$GI$145,ROW('KSH järjestus'!BE60),MATCH('KSH järjestus'!BE$3,KOMBI!$A$1:$GI$1,0))</f>
        <v>111.59629482970536</v>
      </c>
      <c r="BF53" s="25">
        <f t="array" aca="1" ref="BF53" ca="1">INDEX(KOMBI!$A$1:$GI$145,ROW('KSH järjestus'!BF60),MATCH('KSH järjestus'!BF$3,KOMBI!$A$1:$GI$1,0))</f>
        <v>0</v>
      </c>
      <c r="BG53" s="25">
        <f t="array" ref="BG53">INDEX(KOMBI!$A$1:$GI$145,ROW('KSH järjestus'!BG60),MATCH('KSH järjestus'!BG$3,KOMBI!$A$1:$GI$1,0))</f>
        <v>0.55876787668977634</v>
      </c>
      <c r="BH53" s="25">
        <f t="array" ref="BH53">INDEX(KOMBI!$A$1:$GI$145,ROW('KSH järjestus'!BH60),MATCH('KSH järjestus'!BH$3,KOMBI!$A$1:$GI$1,0))</f>
        <v>90</v>
      </c>
      <c r="BI53" s="25">
        <f t="array" ref="BI53">INDEX(KOMBI!$A$1:$GI$145,ROW('KSH järjestus'!BI60),MATCH('KSH järjestus'!BI$3,KOMBI!$A$1:$GI$1,0))</f>
        <v>0.84317482403548605</v>
      </c>
      <c r="BJ53" s="25">
        <f t="array" ref="BJ53">INDEX(KOMBI!$A$1:$GI$145,ROW('KSH järjestus'!BJ60),MATCH('KSH järjestus'!BJ$3,KOMBI!$A$1:$GI$1,0))</f>
        <v>0.27911646586345373</v>
      </c>
      <c r="BK53" s="25">
        <f t="array" ref="BK53">INDEX(KOMBI!$A$1:$GI$145,ROW('KSH järjestus'!BK60),MATCH('KSH järjestus'!BK$3,KOMBI!$A$1:$GI$1,0))</f>
        <v>0.33475993463505049</v>
      </c>
      <c r="BL53" s="25">
        <f t="array" ref="BL53">INDEX(KOMBI!$A$1:$GI$145,ROW('KSH järjestus'!BL60),MATCH('KSH järjestus'!BL$3,KOMBI!$A$1:$GI$1,0))</f>
        <v>1.1112998735454769E-2</v>
      </c>
      <c r="BM53" s="25">
        <f t="array" ref="BM53">INDEX(KOMBI!$A$1:$GI$145,ROW('KSH järjestus'!BM60),MATCH('KSH järjestus'!BM$3,KOMBI!$A$1:$GI$1,0))</f>
        <v>2.0271749018676948E-4</v>
      </c>
      <c r="BN53" s="25">
        <f t="array" ref="BN53">INDEX(KOMBI!$A$1:$GI$145,ROW('KSH järjestus'!BN60),MATCH('KSH järjestus'!BN$3,KOMBI!$A$1:$GI$1,0))</f>
        <v>4.3404027197599393E-3</v>
      </c>
      <c r="BO53" s="25">
        <f t="array" ref="BO53">INDEX(KOMBI!$A$1:$GI$145,ROW('KSH järjestus'!BO60),MATCH('KSH järjestus'!BO$3,KOMBI!$A$1:$GI$1,0))</f>
        <v>6.8221767313665065E-3</v>
      </c>
      <c r="BP53" s="25">
        <f t="array" ref="BP53">INDEX(KOMBI!$A$1:$GI$145,ROW('KSH järjestus'!BP60),MATCH('KSH järjestus'!BP$3,KOMBI!$A$1:$GI$1,0))</f>
        <v>8.5427605777489077</v>
      </c>
      <c r="BQ53" s="25">
        <f t="array" ref="BQ53">INDEX(KOMBI!$A$1:$GI$145,ROW('KSH järjestus'!BQ60),MATCH('KSH järjestus'!BQ$3,KOMBI!$A$1:$GI$1,0))</f>
        <v>10.993</v>
      </c>
      <c r="BR53" s="25">
        <f t="array" ref="BR53">INDEX(KOMBI!$A$1:$GI$145,ROW('KSH järjestus'!BR60),MATCH('KSH järjestus'!BR$3,KOMBI!$A$1:$GI$1,0))</f>
        <v>-1.1546963285918527E-2</v>
      </c>
      <c r="BS53" s="25">
        <f t="array" ref="BS53">INDEX(KOMBI!$A$1:$GI$145,ROW('KSH järjestus'!BS60),MATCH('KSH järjestus'!BS$3,KOMBI!$A$1:$GI$1,0))</f>
        <v>-1.9435489633139569E-2</v>
      </c>
      <c r="BT53" s="25">
        <f t="array" ref="BT53">INDEX(KOMBI!$A$1:$GI$145,ROW('KSH järjestus'!BT60),MATCH('KSH järjestus'!BT$3,KOMBI!$A$1:$GI$1,0))</f>
        <v>-2.2919019246013462E-2</v>
      </c>
      <c r="BU53" s="25">
        <f t="array" ref="BU53">INDEX(KOMBI!$A$1:$GI$145,ROW('KSH järjestus'!BU60),MATCH('KSH järjestus'!BU$3,KOMBI!$A$1:$GI$1,0))</f>
        <v>8.8647703590452114</v>
      </c>
      <c r="BV53" s="25">
        <f t="array" ref="BV53">INDEX(KOMBI!$A$1:$GI$145,ROW('KSH järjestus'!BV60),MATCH('KSH järjestus'!BV$3,KOMBI!$A$1:$GI$1,0))</f>
        <v>5.3630000000000004</v>
      </c>
      <c r="BW53" s="25">
        <f t="array" ref="BW53">INDEX(KOMBI!$A$1:$GI$145,ROW('KSH järjestus'!BW60),MATCH('KSH järjestus'!BW$3,KOMBI!$A$1:$GI$1,0))</f>
        <v>3.0818823271229703</v>
      </c>
      <c r="BX53" s="25">
        <f t="array" ref="BX53">INDEX(KOMBI!$A$1:$GI$145,ROW('KSH järjestus'!BX60),MATCH('KSH järjestus'!BX$3,KOMBI!$A$1:$GI$1,0))</f>
        <v>19.100578011574537</v>
      </c>
      <c r="BY53" s="25">
        <f t="array" ref="BY53">INDEX(KOMBI!$A$1:$GI$145,ROW('KSH järjestus'!BY60),MATCH('KSH järjestus'!BY$3,KOMBI!$A$1:$GI$1,0))</f>
        <v>12.804324637900008</v>
      </c>
      <c r="BZ53" s="25">
        <f t="array" ref="BZ53">INDEX(KOMBI!$A$1:$GI$145,ROW('KSH järjestus'!BZ60),MATCH('KSH järjestus'!BZ$3,KOMBI!$A$1:$GI$1,0))</f>
        <v>73.400000000000006</v>
      </c>
      <c r="CA53" s="25">
        <f t="array" ref="CA53">INDEX(KOMBI!$A$1:$GI$145,ROW('KSH järjestus'!CA60),MATCH('KSH järjestus'!CA$3,KOMBI!$A$1:$GI$1,0))</f>
        <v>14.962</v>
      </c>
      <c r="CB53" s="25">
        <f t="array" ref="CB53">INDEX(KOMBI!$A$1:$GI$145,ROW('KSH järjestus'!CB60),MATCH('KSH järjestus'!CB$3,KOMBI!$A$1:$GI$1,0))</f>
        <v>66.453888888888883</v>
      </c>
      <c r="CC53" s="25">
        <f t="array" ref="CC53">INDEX(KOMBI!$A$1:$GI$145,ROW('KSH järjestus'!CC60),MATCH('KSH järjestus'!CC$3,KOMBI!$A$1:$GI$1,0))</f>
        <v>5.2958449999999999</v>
      </c>
      <c r="CD53" s="25">
        <f t="array" ref="CD53">INDEX(KOMBI!$A$1:$GI$145,ROW('KSH järjestus'!CD60),MATCH('KSH järjestus'!CD$3,KOMBI!$A$1:$GI$1,0))</f>
        <v>327.54999999999995</v>
      </c>
      <c r="CE53" s="25">
        <f t="array" ref="CE53">INDEX(KOMBI!$A$1:$GI$145,ROW('KSH järjestus'!CE60),MATCH('KSH järjestus'!CE$3,KOMBI!$A$1:$GI$1,0))</f>
        <v>3.1680000000000001</v>
      </c>
      <c r="CF53" s="25">
        <f t="array" ref="CF53">INDEX(KOMBI!$A$1:$GI$145,ROW('KSH järjestus'!CF60),MATCH('KSH järjestus'!CF$3,KOMBI!$A$1:$GI$1,0))</f>
        <v>50.590678294573635</v>
      </c>
      <c r="CG53" s="25">
        <f t="array" ref="CG53">INDEX(KOMBI!$A$1:$GI$145,ROW('KSH järjestus'!CG60),MATCH('KSH järjestus'!CG$3,KOMBI!$A$1:$GI$1,0))</f>
        <v>2.1300063549572323E-2</v>
      </c>
      <c r="CH53" s="25">
        <f t="array" ref="CH53">INDEX(KOMBI!$A$1:$GI$145,ROW('KSH järjestus'!CH60),MATCH('KSH järjestus'!CH$3,KOMBI!$A$1:$GI$1,0))</f>
        <v>0.39647362526587548</v>
      </c>
      <c r="CI53" s="25">
        <f t="array" ref="CI53">INDEX(KOMBI!$A$1:$GI$145,ROW('KSH järjestus'!CI60),MATCH('KSH järjestus'!CI$3,KOMBI!$A$1:$GI$1,0))</f>
        <v>6.78</v>
      </c>
      <c r="CJ53" s="25">
        <f t="array" ref="CJ53">INDEX(KOMBI!$A$1:$GI$145,ROW('KSH järjestus'!CJ60),MATCH('KSH järjestus'!CJ$3,KOMBI!$A$1:$GI$1,0))</f>
        <v>6.0743823271229704</v>
      </c>
      <c r="CK53" s="25">
        <f t="array" ref="CK53">INDEX(KOMBI!$A$1:$GI$145,ROW('KSH järjestus'!CK60),MATCH('KSH järjestus'!CK$3,KOMBI!$A$1:$GI$1,0))</f>
        <v>0.22900000000000001</v>
      </c>
      <c r="CL53" s="25">
        <f t="array" ref="CL53">INDEX(KOMBI!$A$1:$GI$145,ROW('KSH järjestus'!CL60),MATCH('KSH järjestus'!CL$3,KOMBI!$A$1:$GI$1,0))</f>
        <v>0.82899999999999996</v>
      </c>
    </row>
    <row r="54" spans="3:90" x14ac:dyDescent="0.2">
      <c r="C54" s="184">
        <v>51</v>
      </c>
      <c r="G54" s="25">
        <f>RANK(INDEX(KOMBI!$A$11:$GI$145,MATCH('KSH järjestus'!$C54,KOMBI!$A$11:$A$145,0),MATCH('KSH järjestus'!G$3,KOMBI!$A$1:$GI$1,0)),BD$4:BD$138,G$2)</f>
        <v>86</v>
      </c>
      <c r="H54" s="25">
        <f>RANK(INDEX(KOMBI!$A$11:$GI$145,MATCH('KSH järjestus'!$C54,KOMBI!$A$11:$A$145,0),MATCH('KSH järjestus'!H$3,KOMBI!$A$1:$GI$1,0)),BE$4:BE$138,H$2)</f>
        <v>78</v>
      </c>
      <c r="J54" s="25">
        <f>RANK(INDEX(KOMBI!$A$11:$GI$145,MATCH('KSH järjestus'!$C54,KOMBI!$A$11:$A$145,0),MATCH('KSH järjestus'!J$3,KOMBI!$A$1:$GI$1,0)),BG$4:BG$138,J$2)</f>
        <v>79</v>
      </c>
      <c r="M54" s="25">
        <f>RANK(INDEX(KOMBI!$A$11:$GI$145,MATCH('KSH järjestus'!$C54,KOMBI!$A$11:$A$145,0),MATCH('KSH järjestus'!M$3,KOMBI!$A$1:$GI$1,0)),BJ$4:BJ$138,M$2)</f>
        <v>55</v>
      </c>
      <c r="N54" s="25">
        <f>RANK(INDEX(KOMBI!$A$11:$GI$145,MATCH('KSH järjestus'!$C54,KOMBI!$A$11:$A$145,0),MATCH('KSH järjestus'!N$3,KOMBI!$A$1:$GI$1,0)),BK$4:BK$138,N$2)</f>
        <v>76</v>
      </c>
      <c r="O54" s="25">
        <f>RANK(INDEX(KOMBI!$A$11:$GI$145,MATCH('KSH järjestus'!$C54,KOMBI!$A$11:$A$145,0),MATCH('KSH järjestus'!O$3,KOMBI!$A$1:$GI$1,0)),BL$4:BL$138,O$2)</f>
        <v>67</v>
      </c>
      <c r="P54" s="25">
        <f>RANK(INDEX(KOMBI!$A$11:$GI$145,MATCH('KSH järjestus'!$C54,KOMBI!$A$11:$A$145,0),MATCH('KSH järjestus'!P$3,KOMBI!$A$1:$GI$1,0)),BM$4:BM$138,P$2)</f>
        <v>78</v>
      </c>
      <c r="Q54" s="25">
        <f>RANK(INDEX(KOMBI!$A$11:$GI$145,MATCH('KSH järjestus'!$C54,KOMBI!$A$11:$A$145,0),MATCH('KSH järjestus'!Q$3,KOMBI!$A$1:$GI$1,0)),BN$4:BN$138,Q$2)</f>
        <v>48</v>
      </c>
      <c r="R54" s="25">
        <f>RANK(INDEX(KOMBI!$A$11:$GI$145,MATCH('KSH järjestus'!$C54,KOMBI!$A$11:$A$145,0),MATCH('KSH järjestus'!R$3,KOMBI!$A$1:$GI$1,0)),BO$4:BO$138,R$2)</f>
        <v>87</v>
      </c>
      <c r="T54" s="25">
        <f>RANK(INDEX(KOMBI!$A$11:$GI$145,MATCH('KSH järjestus'!$C54,KOMBI!$A$11:$A$145,0),MATCH('KSH järjestus'!T$3,KOMBI!$A$1:$GI$1,0)),BQ$4:BQ$138,T$2)</f>
        <v>101</v>
      </c>
      <c r="U54" s="25">
        <f>RANK(INDEX(KOMBI!$A$11:$GI$145,MATCH('KSH järjestus'!$C54,KOMBI!$A$11:$A$145,0),MATCH('KSH järjestus'!U$3,KOMBI!$A$1:$GI$1,0)),BR$4:BR$138,U$2)</f>
        <v>111</v>
      </c>
      <c r="AA54" s="25">
        <f>RANK(INDEX(KOMBI!$A$11:$GI$145,MATCH('KSH järjestus'!$C54,KOMBI!$A$11:$A$145,0),MATCH('KSH järjestus'!AA$3,KOMBI!$A$1:$GI$1,0)),BX$4:BX$138,AA$2)</f>
        <v>82</v>
      </c>
      <c r="AB54" s="25">
        <f>RANK(INDEX(KOMBI!$A$11:$GI$145,MATCH('KSH järjestus'!$C54,KOMBI!$A$11:$A$145,0),MATCH('KSH järjestus'!AB$3,KOMBI!$A$1:$GI$1,0)),BY$4:BY$138,AB$2)</f>
        <v>91</v>
      </c>
      <c r="AC54" s="25">
        <f>RANK(INDEX(KOMBI!$A$11:$GI$145,MATCH('KSH järjestus'!$C54,KOMBI!$A$11:$A$145,0),MATCH('KSH järjestus'!AC$3,KOMBI!$A$1:$GI$1,0)),BZ$4:BZ$138,AC$2)</f>
        <v>58</v>
      </c>
      <c r="AD54" s="25">
        <f>RANK(INDEX(KOMBI!$A$11:$GI$145,MATCH('KSH järjestus'!$C54,KOMBI!$A$11:$A$145,0),MATCH('KSH järjestus'!AD$3,KOMBI!$A$1:$GI$1,0)),CA$4:CA$138,AD$2)</f>
        <v>99</v>
      </c>
      <c r="AE54" s="25">
        <f>RANK(INDEX(KOMBI!$A$11:$GI$145,MATCH('KSH järjestus'!$C54,KOMBI!$A$11:$A$145,0),MATCH('KSH järjestus'!AE$3,KOMBI!$A$1:$GI$1,0)),CB$4:CB$138,AE$2)</f>
        <v>98</v>
      </c>
      <c r="AG54" s="25">
        <f>RANK(INDEX(KOMBI!$A$11:$GI$145,MATCH('KSH järjestus'!$C54,KOMBI!$A$11:$A$145,0),MATCH('KSH järjestus'!AG$3,KOMBI!$A$1:$GI$1,0)),CD$4:CD$138,AG$2)</f>
        <v>109</v>
      </c>
      <c r="AH54" s="25">
        <f>RANK(INDEX(KOMBI!$A$11:$GI$145,MATCH('KSH järjestus'!$C54,KOMBI!$A$11:$A$145,0),MATCH('KSH järjestus'!AH$3,KOMBI!$A$1:$GI$1,0)),CE$4:CE$138,AH$2)</f>
        <v>121</v>
      </c>
      <c r="AI54" s="25">
        <f>RANK(INDEX(KOMBI!$A$11:$GI$145,MATCH('KSH järjestus'!$C54,KOMBI!$A$11:$A$145,0),MATCH('KSH järjestus'!AI$3,KOMBI!$A$1:$GI$1,0)),CF$4:CF$138,AI$2)</f>
        <v>97</v>
      </c>
      <c r="AJ54" s="25">
        <f>RANK(INDEX(KOMBI!$A$11:$GI$145,MATCH('KSH järjestus'!$C54,KOMBI!$A$11:$A$145,0),MATCH('KSH järjestus'!AJ$3,KOMBI!$A$1:$GI$1,0)),CG$4:CG$138,AJ$2)</f>
        <v>100</v>
      </c>
      <c r="AK54" s="25">
        <f>RANK(INDEX(KOMBI!$A$11:$GI$145,MATCH('KSH järjestus'!$C54,KOMBI!$A$11:$A$145,0),MATCH('KSH järjestus'!AK$3,KOMBI!$A$1:$GI$1,0)),CH$4:CH$138,AK$2)</f>
        <v>94</v>
      </c>
      <c r="AN54" s="25">
        <f>RANK(INDEX(KOMBI!$A$11:$GI$145,MATCH('KSH järjestus'!$C54,KOMBI!$A$11:$A$145,0),MATCH('KSH järjestus'!AN$3,KOMBI!$A$1:$GI$1,0)),CK$4:CK$138,AN$2)</f>
        <v>91</v>
      </c>
      <c r="AO54" s="25">
        <f>RANK(INDEX(KOMBI!$A$11:$GI$145,MATCH('KSH järjestus'!$C54,KOMBI!$A$11:$A$145,0),MATCH('KSH järjestus'!AO$3,KOMBI!$A$1:$GI$1,0)),CL$4:CL$138,AO$2)</f>
        <v>91</v>
      </c>
      <c r="AS54" s="297">
        <f t="shared" si="3"/>
        <v>1997</v>
      </c>
      <c r="AT54" s="25">
        <f t="shared" si="1"/>
        <v>1312</v>
      </c>
      <c r="AU54" s="25">
        <f t="shared" si="2"/>
        <v>118</v>
      </c>
      <c r="AV54" s="295" t="str">
        <f>VLOOKUP(VLOOKUP($AU54,KOMBI!$A:$H,3,FALSE),data!$I$27:$J$29,2,FALSE)</f>
        <v>Vähe-sekkuv</v>
      </c>
      <c r="AW54" s="295" t="str">
        <f>VLOOKUP(VLOOKUP($AU54,KOMBI!$A:$H,2,FALSE),data!$I$21:$J$23,2,FALSE)</f>
        <v>Sekkuv</v>
      </c>
      <c r="AX54" s="295" t="str">
        <f>VLOOKUP(VLOOKUP($AU54,KOMBI!$A:$H,5,FALSE),data!$I$39:$J$41,2,FALSE)</f>
        <v>Mittesekkuv</v>
      </c>
      <c r="AY54" s="295" t="str">
        <f>VLOOKUP(VLOOKUP($AU54,KOMBI!$A:$H,4,FALSE),data!$I$32:$J$36,2,FALSE)</f>
        <v>PK &amp; UG</v>
      </c>
      <c r="BA54" s="25">
        <f t="array" ref="BA54">INDEX(KOMBI!$A$1:$GI$145,ROW('KSH järjestus'!BA61),MATCH('KSH järjestus'!BA$3,KOMBI!$A$1:$GI$1,0))</f>
        <v>3.964664720303114</v>
      </c>
      <c r="BB54" s="25">
        <f t="array" ref="BB54">INDEX(KOMBI!$A$1:$GI$145,ROW('KSH järjestus'!BB61),MATCH('KSH järjestus'!BB$3,KOMBI!$A$1:$GI$1,0))</f>
        <v>400.61776590783916</v>
      </c>
      <c r="BC54" s="25">
        <f t="array" aca="1" ref="BC54" ca="1">INDEX(KOMBI!$A$1:$GI$145,ROW('KSH järjestus'!BC61),MATCH('KSH järjestus'!BC$3,KOMBI!$A$1:$GI$1,0))</f>
        <v>87.836239308158184</v>
      </c>
      <c r="BD54" s="25">
        <f t="array" ref="BD54">INDEX(KOMBI!$A$1:$GI$145,ROW('KSH järjestus'!BD61),MATCH('KSH järjestus'!BD$3,KOMBI!$A$1:$GI$1,0))</f>
        <v>-59.422063699091041</v>
      </c>
      <c r="BE54" s="25">
        <f t="array" ref="BE54">INDEX(KOMBI!$A$1:$GI$145,ROW('KSH järjestus'!BE61),MATCH('KSH järjestus'!BE$3,KOMBI!$A$1:$GI$1,0))</f>
        <v>147.25830300724922</v>
      </c>
      <c r="BF54" s="25">
        <f t="array" aca="1" ref="BF54" ca="1">INDEX(KOMBI!$A$1:$GI$145,ROW('KSH järjestus'!BF61),MATCH('KSH järjestus'!BF$3,KOMBI!$A$1:$GI$1,0))</f>
        <v>0</v>
      </c>
      <c r="BG54" s="25">
        <f t="array" ref="BG54">INDEX(KOMBI!$A$1:$GI$145,ROW('KSH järjestus'!BG61),MATCH('KSH järjestus'!BG$3,KOMBI!$A$1:$GI$1,0))</f>
        <v>0.55876787668977634</v>
      </c>
      <c r="BH54" s="25">
        <f t="array" ref="BH54">INDEX(KOMBI!$A$1:$GI$145,ROW('KSH järjestus'!BH61),MATCH('KSH järjestus'!BH$3,KOMBI!$A$1:$GI$1,0))</f>
        <v>90</v>
      </c>
      <c r="BI54" s="25">
        <f t="array" ref="BI54">INDEX(KOMBI!$A$1:$GI$145,ROW('KSH järjestus'!BI61),MATCH('KSH järjestus'!BI$3,KOMBI!$A$1:$GI$1,0))</f>
        <v>0.84317482403548605</v>
      </c>
      <c r="BJ54" s="25">
        <f t="array" ref="BJ54">INDEX(KOMBI!$A$1:$GI$145,ROW('KSH järjestus'!BJ61),MATCH('KSH järjestus'!BJ$3,KOMBI!$A$1:$GI$1,0))</f>
        <v>0.27911646586345373</v>
      </c>
      <c r="BK54" s="25">
        <f t="array" ref="BK54">INDEX(KOMBI!$A$1:$GI$145,ROW('KSH järjestus'!BK61),MATCH('KSH järjestus'!BK$3,KOMBI!$A$1:$GI$1,0))</f>
        <v>0.33475993463505049</v>
      </c>
      <c r="BL54" s="25">
        <f t="array" ref="BL54">INDEX(KOMBI!$A$1:$GI$145,ROW('KSH järjestus'!BL61),MATCH('KSH järjestus'!BL$3,KOMBI!$A$1:$GI$1,0))</f>
        <v>1.5764054113701291E-2</v>
      </c>
      <c r="BM54" s="25">
        <f t="array" ref="BM54">INDEX(KOMBI!$A$1:$GI$145,ROW('KSH järjestus'!BM61),MATCH('KSH järjestus'!BM$3,KOMBI!$A$1:$GI$1,0))</f>
        <v>2.1548321722815586E-4</v>
      </c>
      <c r="BN54" s="25">
        <f t="array" ref="BN54">INDEX(KOMBI!$A$1:$GI$145,ROW('KSH järjestus'!BN61),MATCH('KSH järjestus'!BN$3,KOMBI!$A$1:$GI$1,0))</f>
        <v>5.67119255580667E-3</v>
      </c>
      <c r="BO54" s="25">
        <f t="array" ref="BO54">INDEX(KOMBI!$A$1:$GI$145,ROW('KSH järjestus'!BO61),MATCH('KSH järjestus'!BO$3,KOMBI!$A$1:$GI$1,0))</f>
        <v>1.0216040179531361E-2</v>
      </c>
      <c r="BP54" s="25">
        <f t="array" ref="BP54">INDEX(KOMBI!$A$1:$GI$145,ROW('KSH järjestus'!BP61),MATCH('KSH järjestus'!BP$3,KOMBI!$A$1:$GI$1,0))</f>
        <v>8.5427605777489077</v>
      </c>
      <c r="BQ54" s="25">
        <f t="array" ref="BQ54">INDEX(KOMBI!$A$1:$GI$145,ROW('KSH järjestus'!BQ61),MATCH('KSH järjestus'!BQ$3,KOMBI!$A$1:$GI$1,0))</f>
        <v>11.217000000000001</v>
      </c>
      <c r="BR54" s="25">
        <f t="array" ref="BR54">INDEX(KOMBI!$A$1:$GI$145,ROW('KSH järjestus'!BR61),MATCH('KSH järjestus'!BR$3,KOMBI!$A$1:$GI$1,0))</f>
        <v>-7.5674761554726305E-3</v>
      </c>
      <c r="BS54" s="25">
        <f t="array" ref="BS54">INDEX(KOMBI!$A$1:$GI$145,ROW('KSH järjestus'!BS61),MATCH('KSH järjestus'!BS$3,KOMBI!$A$1:$GI$1,0))</f>
        <v>-1.8176329716851122E-2</v>
      </c>
      <c r="BT54" s="25">
        <f t="array" ref="BT54">INDEX(KOMBI!$A$1:$GI$145,ROW('KSH järjestus'!BT61),MATCH('KSH järjestus'!BT$3,KOMBI!$A$1:$GI$1,0))</f>
        <v>-2.1458300272787209E-2</v>
      </c>
      <c r="BU54" s="25">
        <f t="array" ref="BU54">INDEX(KOMBI!$A$1:$GI$145,ROW('KSH järjestus'!BU61),MATCH('KSH järjestus'!BU$3,KOMBI!$A$1:$GI$1,0))</f>
        <v>8.8647703590452114</v>
      </c>
      <c r="BV54" s="25">
        <f t="array" ref="BV54">INDEX(KOMBI!$A$1:$GI$145,ROW('KSH järjestus'!BV61),MATCH('KSH järjestus'!BV$3,KOMBI!$A$1:$GI$1,0))</f>
        <v>5.3630000000000004</v>
      </c>
      <c r="BW54" s="25">
        <f t="array" ref="BW54">INDEX(KOMBI!$A$1:$GI$145,ROW('KSH järjestus'!BW61),MATCH('KSH järjestus'!BW$3,KOMBI!$A$1:$GI$1,0))</f>
        <v>3.2905823271229702</v>
      </c>
      <c r="BX54" s="25">
        <f t="array" ref="BX54">INDEX(KOMBI!$A$1:$GI$145,ROW('KSH järjestus'!BX61),MATCH('KSH järjestus'!BX$3,KOMBI!$A$1:$GI$1,0))</f>
        <v>19.100578011574537</v>
      </c>
      <c r="BY54" s="25">
        <f t="array" ref="BY54">INDEX(KOMBI!$A$1:$GI$145,ROW('KSH järjestus'!BY61),MATCH('KSH järjestus'!BY$3,KOMBI!$A$1:$GI$1,0))</f>
        <v>12.804324637900008</v>
      </c>
      <c r="BZ54" s="25">
        <f t="array" ref="BZ54">INDEX(KOMBI!$A$1:$GI$145,ROW('KSH järjestus'!BZ61),MATCH('KSH järjestus'!BZ$3,KOMBI!$A$1:$GI$1,0))</f>
        <v>75</v>
      </c>
      <c r="CA54" s="25">
        <f t="array" ref="CA54">INDEX(KOMBI!$A$1:$GI$145,ROW('KSH järjestus'!CA61),MATCH('KSH järjestus'!CA$3,KOMBI!$A$1:$GI$1,0))</f>
        <v>15.214</v>
      </c>
      <c r="CB54" s="25">
        <f t="array" ref="CB54">INDEX(KOMBI!$A$1:$GI$145,ROW('KSH järjestus'!CB61),MATCH('KSH järjestus'!CB$3,KOMBI!$A$1:$GI$1,0))</f>
        <v>67.361944444444433</v>
      </c>
      <c r="CC54" s="25">
        <f t="array" ref="CC54">INDEX(KOMBI!$A$1:$GI$145,ROW('KSH järjestus'!CC61),MATCH('KSH järjestus'!CC$3,KOMBI!$A$1:$GI$1,0))</f>
        <v>5.3891900000000001</v>
      </c>
      <c r="CD54" s="25">
        <f t="array" ref="CD54">INDEX(KOMBI!$A$1:$GI$145,ROW('KSH järjestus'!CD61),MATCH('KSH järjestus'!CD$3,KOMBI!$A$1:$GI$1,0))</f>
        <v>327.54999999999995</v>
      </c>
      <c r="CE54" s="25">
        <f t="array" ref="CE54">INDEX(KOMBI!$A$1:$GI$145,ROW('KSH järjestus'!CE61),MATCH('KSH järjestus'!CE$3,KOMBI!$A$1:$GI$1,0))</f>
        <v>3.1680000000000001</v>
      </c>
      <c r="CF54" s="25">
        <f t="array" ref="CF54">INDEX(KOMBI!$A$1:$GI$145,ROW('KSH järjestus'!CF61),MATCH('KSH järjestus'!CF$3,KOMBI!$A$1:$GI$1,0))</f>
        <v>50.590678294573635</v>
      </c>
      <c r="CG54" s="25">
        <f t="array" ref="CG54">INDEX(KOMBI!$A$1:$GI$145,ROW('KSH järjestus'!CG61),MATCH('KSH järjestus'!CG$3,KOMBI!$A$1:$GI$1,0))</f>
        <v>2.1300063549572323E-2</v>
      </c>
      <c r="CH54" s="25">
        <f t="array" ref="CH54">INDEX(KOMBI!$A$1:$GI$145,ROW('KSH järjestus'!CH61),MATCH('KSH järjestus'!CH$3,KOMBI!$A$1:$GI$1,0))</f>
        <v>0.39647362526587548</v>
      </c>
      <c r="CI54" s="25">
        <f t="array" ref="CI54">INDEX(KOMBI!$A$1:$GI$145,ROW('KSH järjestus'!CI61),MATCH('KSH järjestus'!CI$3,KOMBI!$A$1:$GI$1,0))</f>
        <v>6.78</v>
      </c>
      <c r="CJ54" s="25">
        <f t="array" ref="CJ54">INDEX(KOMBI!$A$1:$GI$145,ROW('KSH järjestus'!CJ61),MATCH('KSH järjestus'!CJ$3,KOMBI!$A$1:$GI$1,0))</f>
        <v>6.0743823271229704</v>
      </c>
      <c r="CK54" s="25">
        <f t="array" ref="CK54">INDEX(KOMBI!$A$1:$GI$145,ROW('KSH järjestus'!CK61),MATCH('KSH järjestus'!CK$3,KOMBI!$A$1:$GI$1,0))</f>
        <v>0.22900000000000001</v>
      </c>
      <c r="CL54" s="25">
        <f t="array" ref="CL54">INDEX(KOMBI!$A$1:$GI$145,ROW('KSH järjestus'!CL61),MATCH('KSH järjestus'!CL$3,KOMBI!$A$1:$GI$1,0))</f>
        <v>0.82899999999999996</v>
      </c>
    </row>
    <row r="55" spans="3:90" x14ac:dyDescent="0.2">
      <c r="C55" s="184">
        <v>52</v>
      </c>
      <c r="G55" s="25">
        <f>RANK(INDEX(KOMBI!$A$11:$GI$145,MATCH('KSH järjestus'!$C55,KOMBI!$A$11:$A$145,0),MATCH('KSH järjestus'!G$3,KOMBI!$A$1:$GI$1,0)),BD$4:BD$138,G$2)</f>
        <v>121</v>
      </c>
      <c r="H55" s="25">
        <f>RANK(INDEX(KOMBI!$A$11:$GI$145,MATCH('KSH järjestus'!$C55,KOMBI!$A$11:$A$145,0),MATCH('KSH järjestus'!H$3,KOMBI!$A$1:$GI$1,0)),BE$4:BE$138,H$2)</f>
        <v>114</v>
      </c>
      <c r="J55" s="25">
        <f>RANK(INDEX(KOMBI!$A$11:$GI$145,MATCH('KSH järjestus'!$C55,KOMBI!$A$11:$A$145,0),MATCH('KSH järjestus'!J$3,KOMBI!$A$1:$GI$1,0)),BG$4:BG$138,J$2)</f>
        <v>71</v>
      </c>
      <c r="M55" s="25">
        <f>RANK(INDEX(KOMBI!$A$11:$GI$145,MATCH('KSH järjestus'!$C55,KOMBI!$A$11:$A$145,0),MATCH('KSH järjestus'!M$3,KOMBI!$A$1:$GI$1,0)),BJ$4:BJ$138,M$2)</f>
        <v>28</v>
      </c>
      <c r="N55" s="25">
        <f>RANK(INDEX(KOMBI!$A$11:$GI$145,MATCH('KSH järjestus'!$C55,KOMBI!$A$11:$A$145,0),MATCH('KSH järjestus'!N$3,KOMBI!$A$1:$GI$1,0)),BK$4:BK$138,N$2)</f>
        <v>40</v>
      </c>
      <c r="O55" s="25">
        <f>RANK(INDEX(KOMBI!$A$11:$GI$145,MATCH('KSH järjestus'!$C55,KOMBI!$A$11:$A$145,0),MATCH('KSH järjestus'!O$3,KOMBI!$A$1:$GI$1,0)),BL$4:BL$138,O$2)</f>
        <v>114</v>
      </c>
      <c r="P55" s="25">
        <f>RANK(INDEX(KOMBI!$A$11:$GI$145,MATCH('KSH järjestus'!$C55,KOMBI!$A$11:$A$145,0),MATCH('KSH järjestus'!P$3,KOMBI!$A$1:$GI$1,0)),BM$4:BM$138,P$2)</f>
        <v>63</v>
      </c>
      <c r="Q55" s="25">
        <f>RANK(INDEX(KOMBI!$A$11:$GI$145,MATCH('KSH järjestus'!$C55,KOMBI!$A$11:$A$145,0),MATCH('KSH järjestus'!Q$3,KOMBI!$A$1:$GI$1,0)),BN$4:BN$138,Q$2)</f>
        <v>76</v>
      </c>
      <c r="R55" s="25">
        <f>RANK(INDEX(KOMBI!$A$11:$GI$145,MATCH('KSH järjestus'!$C55,KOMBI!$A$11:$A$145,0),MATCH('KSH järjestus'!R$3,KOMBI!$A$1:$GI$1,0)),BO$4:BO$138,R$2)</f>
        <v>126</v>
      </c>
      <c r="T55" s="25">
        <f>RANK(INDEX(KOMBI!$A$11:$GI$145,MATCH('KSH järjestus'!$C55,KOMBI!$A$11:$A$145,0),MATCH('KSH järjestus'!T$3,KOMBI!$A$1:$GI$1,0)),BQ$4:BQ$138,T$2)</f>
        <v>88</v>
      </c>
      <c r="U55" s="25">
        <f>RANK(INDEX(KOMBI!$A$11:$GI$145,MATCH('KSH järjestus'!$C55,KOMBI!$A$11:$A$145,0),MATCH('KSH järjestus'!U$3,KOMBI!$A$1:$GI$1,0)),BR$4:BR$138,U$2)</f>
        <v>92</v>
      </c>
      <c r="AA55" s="25">
        <f>RANK(INDEX(KOMBI!$A$11:$GI$145,MATCH('KSH järjestus'!$C55,KOMBI!$A$11:$A$145,0),MATCH('KSH järjestus'!AA$3,KOMBI!$A$1:$GI$1,0)),BX$4:BX$138,AA$2)</f>
        <v>85</v>
      </c>
      <c r="AB55" s="25">
        <f>RANK(INDEX(KOMBI!$A$11:$GI$145,MATCH('KSH järjestus'!$C55,KOMBI!$A$11:$A$145,0),MATCH('KSH järjestus'!AB$3,KOMBI!$A$1:$GI$1,0)),BY$4:BY$138,AB$2)</f>
        <v>91</v>
      </c>
      <c r="AC55" s="25">
        <f>RANK(INDEX(KOMBI!$A$11:$GI$145,MATCH('KSH järjestus'!$C55,KOMBI!$A$11:$A$145,0),MATCH('KSH järjestus'!AC$3,KOMBI!$A$1:$GI$1,0)),BZ$4:BZ$138,AC$2)</f>
        <v>49</v>
      </c>
      <c r="AD55" s="25">
        <f>RANK(INDEX(KOMBI!$A$11:$GI$145,MATCH('KSH järjestus'!$C55,KOMBI!$A$11:$A$145,0),MATCH('KSH järjestus'!AD$3,KOMBI!$A$1:$GI$1,0)),CA$4:CA$138,AD$2)</f>
        <v>93</v>
      </c>
      <c r="AE55" s="25">
        <f>RANK(INDEX(KOMBI!$A$11:$GI$145,MATCH('KSH järjestus'!$C55,KOMBI!$A$11:$A$145,0),MATCH('KSH järjestus'!AE$3,KOMBI!$A$1:$GI$1,0)),CB$4:CB$138,AE$2)</f>
        <v>90</v>
      </c>
      <c r="AG55" s="25">
        <f>RANK(INDEX(KOMBI!$A$11:$GI$145,MATCH('KSH järjestus'!$C55,KOMBI!$A$11:$A$145,0),MATCH('KSH järjestus'!AG$3,KOMBI!$A$1:$GI$1,0)),CD$4:CD$138,AG$2)</f>
        <v>109</v>
      </c>
      <c r="AH55" s="25">
        <f>RANK(INDEX(KOMBI!$A$11:$GI$145,MATCH('KSH järjestus'!$C55,KOMBI!$A$11:$A$145,0),MATCH('KSH järjestus'!AH$3,KOMBI!$A$1:$GI$1,0)),CE$4:CE$138,AH$2)</f>
        <v>121</v>
      </c>
      <c r="AI55" s="25">
        <f>RANK(INDEX(KOMBI!$A$11:$GI$145,MATCH('KSH järjestus'!$C55,KOMBI!$A$11:$A$145,0),MATCH('KSH järjestus'!AI$3,KOMBI!$A$1:$GI$1,0)),CF$4:CF$138,AI$2)</f>
        <v>91</v>
      </c>
      <c r="AJ55" s="25">
        <f>RANK(INDEX(KOMBI!$A$11:$GI$145,MATCH('KSH järjestus'!$C55,KOMBI!$A$11:$A$145,0),MATCH('KSH järjestus'!AJ$3,KOMBI!$A$1:$GI$1,0)),CG$4:CG$138,AJ$2)</f>
        <v>19</v>
      </c>
      <c r="AK55" s="25">
        <f>RANK(INDEX(KOMBI!$A$11:$GI$145,MATCH('KSH järjestus'!$C55,KOMBI!$A$11:$A$145,0),MATCH('KSH järjestus'!AK$3,KOMBI!$A$1:$GI$1,0)),CH$4:CH$138,AK$2)</f>
        <v>31</v>
      </c>
      <c r="AN55" s="25">
        <f>RANK(INDEX(KOMBI!$A$11:$GI$145,MATCH('KSH järjestus'!$C55,KOMBI!$A$11:$A$145,0),MATCH('KSH järjestus'!AN$3,KOMBI!$A$1:$GI$1,0)),CK$4:CK$138,AN$2)</f>
        <v>91</v>
      </c>
      <c r="AO55" s="25">
        <f>RANK(INDEX(KOMBI!$A$11:$GI$145,MATCH('KSH järjestus'!$C55,KOMBI!$A$11:$A$145,0),MATCH('KSH järjestus'!AO$3,KOMBI!$A$1:$GI$1,0)),CL$4:CL$138,AO$2)</f>
        <v>91</v>
      </c>
      <c r="AS55" s="297">
        <f t="shared" si="3"/>
        <v>1894</v>
      </c>
      <c r="AT55" s="25">
        <f t="shared" si="1"/>
        <v>1314</v>
      </c>
      <c r="AU55" s="25">
        <f t="shared" si="2"/>
        <v>79</v>
      </c>
      <c r="AV55" s="295" t="str">
        <f>VLOOKUP(VLOOKUP($AU55,KOMBI!$A:$H,3,FALSE),data!$I$27:$J$29,2,FALSE)</f>
        <v>Sekkuv/EÜ</v>
      </c>
      <c r="AW55" s="295" t="str">
        <f>VLOOKUP(VLOOKUP($AU55,KOMBI!$A:$H,2,FALSE),data!$I$21:$J$23,2,FALSE)</f>
        <v>Vähe-sekkuv</v>
      </c>
      <c r="AX55" s="295" t="str">
        <f>VLOOKUP(VLOOKUP($AU55,KOMBI!$A:$H,5,FALSE),data!$I$39:$J$41,2,FALSE)</f>
        <v>Mittesekkuv</v>
      </c>
      <c r="AY55" s="295" t="str">
        <f>VLOOKUP(VLOOKUP($AU55,KOMBI!$A:$H,4,FALSE),data!$I$32:$J$36,2,FALSE)</f>
        <v>LIB+</v>
      </c>
      <c r="BA55" s="25">
        <f t="array" ref="BA55">INDEX(KOMBI!$A$1:$GI$145,ROW('KSH järjestus'!BA62),MATCH('KSH järjestus'!BA$3,KOMBI!$A$1:$GI$1,0))</f>
        <v>2.818632745964833</v>
      </c>
      <c r="BB55" s="25">
        <f t="array" ref="BB55">INDEX(KOMBI!$A$1:$GI$145,ROW('KSH järjestus'!BB62),MATCH('KSH järjestus'!BB$3,KOMBI!$A$1:$GI$1,0))</f>
        <v>209.53199820562867</v>
      </c>
      <c r="BC55" s="25">
        <f t="array" aca="1" ref="BC55" ca="1">INDEX(KOMBI!$A$1:$GI$145,ROW('KSH järjestus'!BC62),MATCH('KSH järjestus'!BC$3,KOMBI!$A$1:$GI$1,0))</f>
        <v>64.938358904091231</v>
      </c>
      <c r="BD55" s="25">
        <f t="array" ref="BD55">INDEX(KOMBI!$A$1:$GI$145,ROW('KSH järjestus'!BD62),MATCH('KSH järjestus'!BD$3,KOMBI!$A$1:$GI$1,0))</f>
        <v>-25.081250000000001</v>
      </c>
      <c r="BE55" s="25">
        <f t="array" ref="BE55">INDEX(KOMBI!$A$1:$GI$145,ROW('KSH järjestus'!BE62),MATCH('KSH järjestus'!BE$3,KOMBI!$A$1:$GI$1,0))</f>
        <v>90.019608904091228</v>
      </c>
      <c r="BF55" s="25">
        <f t="array" aca="1" ref="BF55" ca="1">INDEX(KOMBI!$A$1:$GI$145,ROW('KSH järjestus'!BF62),MATCH('KSH järjestus'!BF$3,KOMBI!$A$1:$GI$1,0))</f>
        <v>0</v>
      </c>
      <c r="BG55" s="25">
        <f t="array" ref="BG55">INDEX(KOMBI!$A$1:$GI$145,ROW('KSH järjestus'!BG62),MATCH('KSH järjestus'!BG$3,KOMBI!$A$1:$GI$1,0))</f>
        <v>0.55022363672169594</v>
      </c>
      <c r="BH55" s="25">
        <f t="array" ref="BH55">INDEX(KOMBI!$A$1:$GI$145,ROW('KSH järjestus'!BH62),MATCH('KSH järjestus'!BH$3,KOMBI!$A$1:$GI$1,0))</f>
        <v>90</v>
      </c>
      <c r="BI55" s="25">
        <f t="array" ref="BI55">INDEX(KOMBI!$A$1:$GI$145,ROW('KSH järjestus'!BI62),MATCH('KSH järjestus'!BI$3,KOMBI!$A$1:$GI$1,0))</f>
        <v>1</v>
      </c>
      <c r="BJ55" s="25">
        <f t="array" ref="BJ55">INDEX(KOMBI!$A$1:$GI$145,ROW('KSH järjestus'!BJ62),MATCH('KSH järjestus'!BJ$3,KOMBI!$A$1:$GI$1,0))</f>
        <v>6.6265060240963902E-2</v>
      </c>
      <c r="BK55" s="25">
        <f t="array" ref="BK55">INDEX(KOMBI!$A$1:$GI$145,ROW('KSH järjestus'!BK62),MATCH('KSH järjestus'!BK$3,KOMBI!$A$1:$GI$1,0))</f>
        <v>0.37735857959955449</v>
      </c>
      <c r="BL55" s="25">
        <f t="array" ref="BL55">INDEX(KOMBI!$A$1:$GI$145,ROW('KSH järjestus'!BL62),MATCH('KSH järjestus'!BL$3,KOMBI!$A$1:$GI$1,0))</f>
        <v>8.4412518640291818E-3</v>
      </c>
      <c r="BM55" s="25">
        <f t="array" ref="BM55">INDEX(KOMBI!$A$1:$GI$145,ROW('KSH järjestus'!BM62),MATCH('KSH järjestus'!BM$3,KOMBI!$A$1:$GI$1,0))</f>
        <v>2.1065583840099433E-3</v>
      </c>
      <c r="BN55" s="25">
        <f t="array" ref="BN55">INDEX(KOMBI!$A$1:$GI$145,ROW('KSH järjestus'!BN62),MATCH('KSH järjestus'!BN$3,KOMBI!$A$1:$GI$1,0))</f>
        <v>3.4844172877882551E-3</v>
      </c>
      <c r="BO55" s="25">
        <f t="array" ref="BO55">INDEX(KOMBI!$A$1:$GI$145,ROW('KSH järjestus'!BO62),MATCH('KSH järjestus'!BO$3,KOMBI!$A$1:$GI$1,0))</f>
        <v>4.9984247097829542E-3</v>
      </c>
      <c r="BP55" s="25">
        <f t="array" ref="BP55">INDEX(KOMBI!$A$1:$GI$145,ROW('KSH järjestus'!BP62),MATCH('KSH järjestus'!BP$3,KOMBI!$A$1:$GI$1,0))</f>
        <v>8.5453156794471035</v>
      </c>
      <c r="BQ55" s="25">
        <f t="array" ref="BQ55">INDEX(KOMBI!$A$1:$GI$145,ROW('KSH järjestus'!BQ62),MATCH('KSH järjestus'!BQ$3,KOMBI!$A$1:$GI$1,0))</f>
        <v>10.984999999999999</v>
      </c>
      <c r="BR55" s="25">
        <f t="array" ref="BR55">INDEX(KOMBI!$A$1:$GI$145,ROW('KSH järjestus'!BR62),MATCH('KSH järjestus'!BR$3,KOMBI!$A$1:$GI$1,0))</f>
        <v>-1.5764108420581281E-2</v>
      </c>
      <c r="BS55" s="25">
        <f t="array" ref="BS55">INDEX(KOMBI!$A$1:$GI$145,ROW('KSH järjestus'!BS62),MATCH('KSH järjestus'!BS$3,KOMBI!$A$1:$GI$1,0))</f>
        <v>-2.1101545207305897E-2</v>
      </c>
      <c r="BT55" s="25">
        <f t="array" ref="BT55">INDEX(KOMBI!$A$1:$GI$145,ROW('KSH järjestus'!BT62),MATCH('KSH järjestus'!BT$3,KOMBI!$A$1:$GI$1,0))</f>
        <v>-2.3745471680010819E-2</v>
      </c>
      <c r="BU55" s="25">
        <f t="array" ref="BU55">INDEX(KOMBI!$A$1:$GI$145,ROW('KSH järjestus'!BU62),MATCH('KSH järjestus'!BU$3,KOMBI!$A$1:$GI$1,0))</f>
        <v>8.8319419404241373</v>
      </c>
      <c r="BV55" s="25">
        <f t="array" ref="BV55">INDEX(KOMBI!$A$1:$GI$145,ROW('KSH järjestus'!BV62),MATCH('KSH järjestus'!BV$3,KOMBI!$A$1:$GI$1,0))</f>
        <v>5.33</v>
      </c>
      <c r="BW55" s="25">
        <f t="array" ref="BW55">INDEX(KOMBI!$A$1:$GI$145,ROW('KSH järjestus'!BW62),MATCH('KSH järjestus'!BW$3,KOMBI!$A$1:$GI$1,0))</f>
        <v>2.7043823271229703</v>
      </c>
      <c r="BX55" s="25">
        <f t="array" ref="BX55">INDEX(KOMBI!$A$1:$GI$145,ROW('KSH järjestus'!BX62),MATCH('KSH järjestus'!BX$3,KOMBI!$A$1:$GI$1,0))</f>
        <v>19.103861099430585</v>
      </c>
      <c r="BY55" s="25">
        <f t="array" ref="BY55">INDEX(KOMBI!$A$1:$GI$145,ROW('KSH järjestus'!BY62),MATCH('KSH järjestus'!BY$3,KOMBI!$A$1:$GI$1,0))</f>
        <v>12.804324637900008</v>
      </c>
      <c r="BZ55" s="25">
        <f t="array" ref="BZ55">INDEX(KOMBI!$A$1:$GI$145,ROW('KSH järjestus'!BZ62),MATCH('KSH järjestus'!BZ$3,KOMBI!$A$1:$GI$1,0))</f>
        <v>74</v>
      </c>
      <c r="CA55" s="25">
        <f t="array" ref="CA55">INDEX(KOMBI!$A$1:$GI$145,ROW('KSH järjestus'!CA62),MATCH('KSH järjestus'!CA$3,KOMBI!$A$1:$GI$1,0))</f>
        <v>14.888</v>
      </c>
      <c r="CB55" s="25">
        <f t="array" ref="CB55">INDEX(KOMBI!$A$1:$GI$145,ROW('KSH järjestus'!CB62),MATCH('KSH järjestus'!CB$3,KOMBI!$A$1:$GI$1,0))</f>
        <v>66.11944444444444</v>
      </c>
      <c r="CC55" s="25">
        <f t="array" ref="CC55">INDEX(KOMBI!$A$1:$GI$145,ROW('KSH järjestus'!CC62),MATCH('KSH järjestus'!CC$3,KOMBI!$A$1:$GI$1,0))</f>
        <v>5.2835720000000004</v>
      </c>
      <c r="CD55" s="25">
        <f t="array" ref="CD55">INDEX(KOMBI!$A$1:$GI$145,ROW('KSH järjestus'!CD62),MATCH('KSH järjestus'!CD$3,KOMBI!$A$1:$GI$1,0))</f>
        <v>327.54999999999995</v>
      </c>
      <c r="CE55" s="25">
        <f t="array" ref="CE55">INDEX(KOMBI!$A$1:$GI$145,ROW('KSH järjestus'!CE62),MATCH('KSH järjestus'!CE$3,KOMBI!$A$1:$GI$1,0))</f>
        <v>3.1680000000000001</v>
      </c>
      <c r="CF55" s="25">
        <f t="array" ref="CF55">INDEX(KOMBI!$A$1:$GI$145,ROW('KSH järjestus'!CF62),MATCH('KSH järjestus'!CF$3,KOMBI!$A$1:$GI$1,0))</f>
        <v>50.550678294573636</v>
      </c>
      <c r="CG55" s="25">
        <f t="array" ref="CG55">INDEX(KOMBI!$A$1:$GI$145,ROW('KSH järjestus'!CG62),MATCH('KSH järjestus'!CG$3,KOMBI!$A$1:$GI$1,0))</f>
        <v>7.7574305520047349E-2</v>
      </c>
      <c r="CH55" s="25">
        <f t="array" ref="CH55">INDEX(KOMBI!$A$1:$GI$145,ROW('KSH järjestus'!CH62),MATCH('KSH järjestus'!CH$3,KOMBI!$A$1:$GI$1,0))</f>
        <v>0.45353675847892722</v>
      </c>
      <c r="CI55" s="25">
        <f t="array" ref="CI55">INDEX(KOMBI!$A$1:$GI$145,ROW('KSH järjestus'!CI62),MATCH('KSH järjestus'!CI$3,KOMBI!$A$1:$GI$1,0))</f>
        <v>6.78</v>
      </c>
      <c r="CJ55" s="25">
        <f t="array" ref="CJ55">INDEX(KOMBI!$A$1:$GI$145,ROW('KSH järjestus'!CJ62),MATCH('KSH järjestus'!CJ$3,KOMBI!$A$1:$GI$1,0))</f>
        <v>5.3823823271229703</v>
      </c>
      <c r="CK55" s="25">
        <f t="array" ref="CK55">INDEX(KOMBI!$A$1:$GI$145,ROW('KSH järjestus'!CK62),MATCH('KSH järjestus'!CK$3,KOMBI!$A$1:$GI$1,0))</f>
        <v>0.22900000000000001</v>
      </c>
      <c r="CL55" s="25">
        <f t="array" ref="CL55">INDEX(KOMBI!$A$1:$GI$145,ROW('KSH järjestus'!CL62),MATCH('KSH järjestus'!CL$3,KOMBI!$A$1:$GI$1,0))</f>
        <v>0.82899999999999996</v>
      </c>
    </row>
    <row r="56" spans="3:90" x14ac:dyDescent="0.2">
      <c r="C56" s="184">
        <v>53</v>
      </c>
      <c r="G56" s="25">
        <f>RANK(INDEX(KOMBI!$A$11:$GI$145,MATCH('KSH järjestus'!$C56,KOMBI!$A$11:$A$145,0),MATCH('KSH järjestus'!G$3,KOMBI!$A$1:$GI$1,0)),BD$4:BD$138,G$2)</f>
        <v>106</v>
      </c>
      <c r="H56" s="25">
        <f>RANK(INDEX(KOMBI!$A$11:$GI$145,MATCH('KSH järjestus'!$C56,KOMBI!$A$11:$A$145,0),MATCH('KSH järjestus'!H$3,KOMBI!$A$1:$GI$1,0)),BE$4:BE$138,H$2)</f>
        <v>88</v>
      </c>
      <c r="J56" s="25">
        <f>RANK(INDEX(KOMBI!$A$11:$GI$145,MATCH('KSH järjestus'!$C56,KOMBI!$A$11:$A$145,0),MATCH('KSH järjestus'!J$3,KOMBI!$A$1:$GI$1,0)),BG$4:BG$138,J$2)</f>
        <v>48</v>
      </c>
      <c r="M56" s="25">
        <f>RANK(INDEX(KOMBI!$A$11:$GI$145,MATCH('KSH järjestus'!$C56,KOMBI!$A$11:$A$145,0),MATCH('KSH järjestus'!M$3,KOMBI!$A$1:$GI$1,0)),BJ$4:BJ$138,M$2)</f>
        <v>28</v>
      </c>
      <c r="N56" s="25">
        <f>RANK(INDEX(KOMBI!$A$11:$GI$145,MATCH('KSH järjestus'!$C56,KOMBI!$A$11:$A$145,0),MATCH('KSH järjestus'!N$3,KOMBI!$A$1:$GI$1,0)),BK$4:BK$138,N$2)</f>
        <v>40</v>
      </c>
      <c r="O56" s="25">
        <f>RANK(INDEX(KOMBI!$A$11:$GI$145,MATCH('KSH järjestus'!$C56,KOMBI!$A$11:$A$145,0),MATCH('KSH järjestus'!O$3,KOMBI!$A$1:$GI$1,0)),BL$4:BL$138,O$2)</f>
        <v>79</v>
      </c>
      <c r="P56" s="25">
        <f>RANK(INDEX(KOMBI!$A$11:$GI$145,MATCH('KSH järjestus'!$C56,KOMBI!$A$11:$A$145,0),MATCH('KSH järjestus'!P$3,KOMBI!$A$1:$GI$1,0)),BM$4:BM$138,P$2)</f>
        <v>84</v>
      </c>
      <c r="Q56" s="25">
        <f>RANK(INDEX(KOMBI!$A$11:$GI$145,MATCH('KSH järjestus'!$C56,KOMBI!$A$11:$A$145,0),MATCH('KSH järjestus'!Q$3,KOMBI!$A$1:$GI$1,0)),BN$4:BN$138,Q$2)</f>
        <v>44</v>
      </c>
      <c r="R56" s="25">
        <f>RANK(INDEX(KOMBI!$A$11:$GI$145,MATCH('KSH järjestus'!$C56,KOMBI!$A$11:$A$145,0),MATCH('KSH järjestus'!R$3,KOMBI!$A$1:$GI$1,0)),BO$4:BO$138,R$2)</f>
        <v>101</v>
      </c>
      <c r="T56" s="25">
        <f>RANK(INDEX(KOMBI!$A$11:$GI$145,MATCH('KSH järjestus'!$C56,KOMBI!$A$11:$A$145,0),MATCH('KSH järjestus'!T$3,KOMBI!$A$1:$GI$1,0)),BQ$4:BQ$138,T$2)</f>
        <v>96</v>
      </c>
      <c r="U56" s="25">
        <f>RANK(INDEX(KOMBI!$A$11:$GI$145,MATCH('KSH järjestus'!$C56,KOMBI!$A$11:$A$145,0),MATCH('KSH järjestus'!U$3,KOMBI!$A$1:$GI$1,0)),BR$4:BR$138,U$2)</f>
        <v>105</v>
      </c>
      <c r="AA56" s="25">
        <f>RANK(INDEX(KOMBI!$A$11:$GI$145,MATCH('KSH järjestus'!$C56,KOMBI!$A$11:$A$145,0),MATCH('KSH järjestus'!AA$3,KOMBI!$A$1:$GI$1,0)),BX$4:BX$138,AA$2)</f>
        <v>85</v>
      </c>
      <c r="AB56" s="25">
        <f>RANK(INDEX(KOMBI!$A$11:$GI$145,MATCH('KSH järjestus'!$C56,KOMBI!$A$11:$A$145,0),MATCH('KSH järjestus'!AB$3,KOMBI!$A$1:$GI$1,0)),BY$4:BY$138,AB$2)</f>
        <v>91</v>
      </c>
      <c r="AC56" s="25">
        <f>RANK(INDEX(KOMBI!$A$11:$GI$145,MATCH('KSH järjestus'!$C56,KOMBI!$A$11:$A$145,0),MATCH('KSH järjestus'!AC$3,KOMBI!$A$1:$GI$1,0)),BZ$4:BZ$138,AC$2)</f>
        <v>54</v>
      </c>
      <c r="AD56" s="25">
        <f>RANK(INDEX(KOMBI!$A$11:$GI$145,MATCH('KSH järjestus'!$C56,KOMBI!$A$11:$A$145,0),MATCH('KSH järjestus'!AD$3,KOMBI!$A$1:$GI$1,0)),CA$4:CA$138,AD$2)</f>
        <v>96</v>
      </c>
      <c r="AE56" s="25">
        <f>RANK(INDEX(KOMBI!$A$11:$GI$145,MATCH('KSH järjestus'!$C56,KOMBI!$A$11:$A$145,0),MATCH('KSH järjestus'!AE$3,KOMBI!$A$1:$GI$1,0)),CB$4:CB$138,AE$2)</f>
        <v>96</v>
      </c>
      <c r="AG56" s="25">
        <f>RANK(INDEX(KOMBI!$A$11:$GI$145,MATCH('KSH järjestus'!$C56,KOMBI!$A$11:$A$145,0),MATCH('KSH järjestus'!AG$3,KOMBI!$A$1:$GI$1,0)),CD$4:CD$138,AG$2)</f>
        <v>109</v>
      </c>
      <c r="AH56" s="25">
        <f>RANK(INDEX(KOMBI!$A$11:$GI$145,MATCH('KSH järjestus'!$C56,KOMBI!$A$11:$A$145,0),MATCH('KSH järjestus'!AH$3,KOMBI!$A$1:$GI$1,0)),CE$4:CE$138,AH$2)</f>
        <v>121</v>
      </c>
      <c r="AI56" s="25">
        <f>RANK(INDEX(KOMBI!$A$11:$GI$145,MATCH('KSH järjestus'!$C56,KOMBI!$A$11:$A$145,0),MATCH('KSH järjestus'!AI$3,KOMBI!$A$1:$GI$1,0)),CF$4:CF$138,AI$2)</f>
        <v>91</v>
      </c>
      <c r="AJ56" s="25">
        <f>RANK(INDEX(KOMBI!$A$11:$GI$145,MATCH('KSH järjestus'!$C56,KOMBI!$A$11:$A$145,0),MATCH('KSH järjestus'!AJ$3,KOMBI!$A$1:$GI$1,0)),CG$4:CG$138,AJ$2)</f>
        <v>19</v>
      </c>
      <c r="AK56" s="25">
        <f>RANK(INDEX(KOMBI!$A$11:$GI$145,MATCH('KSH järjestus'!$C56,KOMBI!$A$11:$A$145,0),MATCH('KSH järjestus'!AK$3,KOMBI!$A$1:$GI$1,0)),CH$4:CH$138,AK$2)</f>
        <v>31</v>
      </c>
      <c r="AN56" s="25">
        <f>RANK(INDEX(KOMBI!$A$11:$GI$145,MATCH('KSH järjestus'!$C56,KOMBI!$A$11:$A$145,0),MATCH('KSH järjestus'!AN$3,KOMBI!$A$1:$GI$1,0)),CK$4:CK$138,AN$2)</f>
        <v>91</v>
      </c>
      <c r="AO56" s="25">
        <f>RANK(INDEX(KOMBI!$A$11:$GI$145,MATCH('KSH järjestus'!$C56,KOMBI!$A$11:$A$145,0),MATCH('KSH järjestus'!AO$3,KOMBI!$A$1:$GI$1,0)),CL$4:CL$138,AO$2)</f>
        <v>91</v>
      </c>
      <c r="AS56" s="297">
        <f t="shared" si="3"/>
        <v>1794</v>
      </c>
      <c r="AT56" s="25">
        <f t="shared" si="1"/>
        <v>1324</v>
      </c>
      <c r="AU56" s="25">
        <f t="shared" si="2"/>
        <v>90</v>
      </c>
      <c r="AV56" s="295" t="str">
        <f>VLOOKUP(VLOOKUP($AU56,KOMBI!$A:$H,3,FALSE),data!$I$27:$J$29,2,FALSE)</f>
        <v>Sekkuv/EÜ</v>
      </c>
      <c r="AW56" s="295" t="str">
        <f>VLOOKUP(VLOOKUP($AU56,KOMBI!$A:$H,2,FALSE),data!$I$21:$J$23,2,FALSE)</f>
        <v>Vähe-sekkuv</v>
      </c>
      <c r="AX56" s="295" t="str">
        <f>VLOOKUP(VLOOKUP($AU56,KOMBI!$A:$H,5,FALSE),data!$I$39:$J$41,2,FALSE)</f>
        <v>Sekkuv</v>
      </c>
      <c r="AY56" s="295" t="str">
        <f>VLOOKUP(VLOOKUP($AU56,KOMBI!$A:$H,4,FALSE),data!$I$32:$J$36,2,FALSE)</f>
        <v>PK &amp; UG</v>
      </c>
      <c r="BA56" s="25">
        <f t="array" ref="BA56">INDEX(KOMBI!$A$1:$GI$145,ROW('KSH järjestus'!BA63),MATCH('KSH järjestus'!BA$3,KOMBI!$A$1:$GI$1,0))</f>
        <v>3.7345443946106731</v>
      </c>
      <c r="BB56" s="25">
        <f t="array" ref="BB56">INDEX(KOMBI!$A$1:$GI$145,ROW('KSH järjestus'!BB63),MATCH('KSH järjestus'!BB$3,KOMBI!$A$1:$GI$1,0))</f>
        <v>370.0120304748919</v>
      </c>
      <c r="BC56" s="25">
        <f t="array" aca="1" ref="BC56" ca="1">INDEX(KOMBI!$A$1:$GI$145,ROW('KSH järjestus'!BC63),MATCH('KSH järjestus'!BC$3,KOMBI!$A$1:$GI$1,0))</f>
        <v>94.103680932626318</v>
      </c>
      <c r="BD56" s="25">
        <f t="array" ref="BD56">INDEX(KOMBI!$A$1:$GI$145,ROW('KSH järjestus'!BD63),MATCH('KSH järjestus'!BD$3,KOMBI!$A$1:$GI$1,0))</f>
        <v>-40.314469880632103</v>
      </c>
      <c r="BE56" s="25">
        <f t="array" ref="BE56">INDEX(KOMBI!$A$1:$GI$145,ROW('KSH järjestus'!BE63),MATCH('KSH järjestus'!BE$3,KOMBI!$A$1:$GI$1,0))</f>
        <v>134.41815081325842</v>
      </c>
      <c r="BF56" s="25">
        <f t="array" aca="1" ref="BF56" ca="1">INDEX(KOMBI!$A$1:$GI$145,ROW('KSH järjestus'!BF63),MATCH('KSH järjestus'!BF$3,KOMBI!$A$1:$GI$1,0))</f>
        <v>0</v>
      </c>
      <c r="BG56" s="25">
        <f t="array" ref="BG56">INDEX(KOMBI!$A$1:$GI$145,ROW('KSH järjestus'!BG63),MATCH('KSH järjestus'!BG$3,KOMBI!$A$1:$GI$1,0))</f>
        <v>0.51608498186571183</v>
      </c>
      <c r="BH56" s="25">
        <f t="array" ref="BH56">INDEX(KOMBI!$A$1:$GI$145,ROW('KSH järjestus'!BH63),MATCH('KSH järjestus'!BH$3,KOMBI!$A$1:$GI$1,0))</f>
        <v>90</v>
      </c>
      <c r="BI56" s="25">
        <f t="array" ref="BI56">INDEX(KOMBI!$A$1:$GI$145,ROW('KSH järjestus'!BI63),MATCH('KSH järjestus'!BI$3,KOMBI!$A$1:$GI$1,0))</f>
        <v>0.84317482403548605</v>
      </c>
      <c r="BJ56" s="25">
        <f t="array" ref="BJ56">INDEX(KOMBI!$A$1:$GI$145,ROW('KSH järjestus'!BJ63),MATCH('KSH järjestus'!BJ$3,KOMBI!$A$1:$GI$1,0))</f>
        <v>6.6265060240963902E-2</v>
      </c>
      <c r="BK56" s="25">
        <f t="array" ref="BK56">INDEX(KOMBI!$A$1:$GI$145,ROW('KSH järjestus'!BK63),MATCH('KSH järjestus'!BK$3,KOMBI!$A$1:$GI$1,0))</f>
        <v>0.37735857959955449</v>
      </c>
      <c r="BL56" s="25">
        <f t="array" ref="BL56">INDEX(KOMBI!$A$1:$GI$145,ROW('KSH järjestus'!BL63),MATCH('KSH järjestus'!BL$3,KOMBI!$A$1:$GI$1,0))</f>
        <v>1.472364495045151E-2</v>
      </c>
      <c r="BM56" s="25">
        <f t="array" ref="BM56">INDEX(KOMBI!$A$1:$GI$145,ROW('KSH järjestus'!BM63),MATCH('KSH järjestus'!BM$3,KOMBI!$A$1:$GI$1,0))</f>
        <v>-5.8649446540566964E-4</v>
      </c>
      <c r="BN56" s="25">
        <f t="array" ref="BN56">INDEX(KOMBI!$A$1:$GI$145,ROW('KSH järjestus'!BN63),MATCH('KSH järjestus'!BN$3,KOMBI!$A$1:$GI$1,0))</f>
        <v>5.9772871491460822E-3</v>
      </c>
      <c r="BO56" s="25">
        <f t="array" ref="BO56">INDEX(KOMBI!$A$1:$GI$145,ROW('KSH järjestus'!BO63),MATCH('KSH järjestus'!BO$3,KOMBI!$A$1:$GI$1,0))</f>
        <v>8.8233112536597828E-3</v>
      </c>
      <c r="BP56" s="25">
        <f t="array" ref="BP56">INDEX(KOMBI!$A$1:$GI$145,ROW('KSH järjestus'!BP63),MATCH('KSH järjestus'!BP$3,KOMBI!$A$1:$GI$1,0))</f>
        <v>8.5453156794471035</v>
      </c>
      <c r="BQ56" s="25">
        <f t="array" ref="BQ56">INDEX(KOMBI!$A$1:$GI$145,ROW('KSH järjestus'!BQ63),MATCH('KSH järjestus'!BQ$3,KOMBI!$A$1:$GI$1,0))</f>
        <v>11.076000000000001</v>
      </c>
      <c r="BR56" s="25">
        <f t="array" ref="BR56">INDEX(KOMBI!$A$1:$GI$145,ROW('KSH järjestus'!BR63),MATCH('KSH järjestus'!BR$3,KOMBI!$A$1:$GI$1,0))</f>
        <v>-1.1530309409316559E-2</v>
      </c>
      <c r="BS56" s="25">
        <f t="array" ref="BS56">INDEX(KOMBI!$A$1:$GI$145,ROW('KSH järjestus'!BS63),MATCH('KSH järjestus'!BS$3,KOMBI!$A$1:$GI$1,0))</f>
        <v>-1.9767932987670336E-2</v>
      </c>
      <c r="BT56" s="25">
        <f t="array" ref="BT56">INDEX(KOMBI!$A$1:$GI$145,ROW('KSH järjestus'!BT63),MATCH('KSH järjestus'!BT$3,KOMBI!$A$1:$GI$1,0))</f>
        <v>-2.264650888061686E-2</v>
      </c>
      <c r="BU56" s="25">
        <f t="array" ref="BU56">INDEX(KOMBI!$A$1:$GI$145,ROW('KSH järjestus'!BU63),MATCH('KSH järjestus'!BU$3,KOMBI!$A$1:$GI$1,0))</f>
        <v>8.8319419404241373</v>
      </c>
      <c r="BV56" s="25">
        <f t="array" ref="BV56">INDEX(KOMBI!$A$1:$GI$145,ROW('KSH järjestus'!BV63),MATCH('KSH järjestus'!BV$3,KOMBI!$A$1:$GI$1,0))</f>
        <v>5.33</v>
      </c>
      <c r="BW56" s="25">
        <f t="array" ref="BW56">INDEX(KOMBI!$A$1:$GI$145,ROW('KSH järjestus'!BW63),MATCH('KSH järjestus'!BW$3,KOMBI!$A$1:$GI$1,0))</f>
        <v>3.0818823271229703</v>
      </c>
      <c r="BX56" s="25">
        <f t="array" ref="BX56">INDEX(KOMBI!$A$1:$GI$145,ROW('KSH järjestus'!BX63),MATCH('KSH järjestus'!BX$3,KOMBI!$A$1:$GI$1,0))</f>
        <v>19.103861099430585</v>
      </c>
      <c r="BY56" s="25">
        <f t="array" ref="BY56">INDEX(KOMBI!$A$1:$GI$145,ROW('KSH järjestus'!BY63),MATCH('KSH järjestus'!BY$3,KOMBI!$A$1:$GI$1,0))</f>
        <v>12.804324637900008</v>
      </c>
      <c r="BZ56" s="25">
        <f t="array" ref="BZ56">INDEX(KOMBI!$A$1:$GI$145,ROW('KSH järjestus'!BZ63),MATCH('KSH järjestus'!BZ$3,KOMBI!$A$1:$GI$1,0))</f>
        <v>74.400000000000006</v>
      </c>
      <c r="CA56" s="25">
        <f t="array" ref="CA56">INDEX(KOMBI!$A$1:$GI$145,ROW('KSH järjestus'!CA63),MATCH('KSH järjestus'!CA$3,KOMBI!$A$1:$GI$1,0))</f>
        <v>14.977</v>
      </c>
      <c r="CB56" s="25">
        <f t="array" ref="CB56">INDEX(KOMBI!$A$1:$GI$145,ROW('KSH järjestus'!CB63),MATCH('KSH järjestus'!CB$3,KOMBI!$A$1:$GI$1,0))</f>
        <v>66.459722222222226</v>
      </c>
      <c r="CC56" s="25">
        <f t="array" ref="CC56">INDEX(KOMBI!$A$1:$GI$145,ROW('KSH järjestus'!CC63),MATCH('KSH järjestus'!CC$3,KOMBI!$A$1:$GI$1,0))</f>
        <v>5.3168639999999998</v>
      </c>
      <c r="CD56" s="25">
        <f t="array" ref="CD56">INDEX(KOMBI!$A$1:$GI$145,ROW('KSH järjestus'!CD63),MATCH('KSH järjestus'!CD$3,KOMBI!$A$1:$GI$1,0))</f>
        <v>327.54999999999995</v>
      </c>
      <c r="CE56" s="25">
        <f t="array" ref="CE56">INDEX(KOMBI!$A$1:$GI$145,ROW('KSH järjestus'!CE63),MATCH('KSH järjestus'!CE$3,KOMBI!$A$1:$GI$1,0))</f>
        <v>3.1680000000000001</v>
      </c>
      <c r="CF56" s="25">
        <f t="array" ref="CF56">INDEX(KOMBI!$A$1:$GI$145,ROW('KSH järjestus'!CF63),MATCH('KSH järjestus'!CF$3,KOMBI!$A$1:$GI$1,0))</f>
        <v>50.550678294573636</v>
      </c>
      <c r="CG56" s="25">
        <f t="array" ref="CG56">INDEX(KOMBI!$A$1:$GI$145,ROW('KSH järjestus'!CG63),MATCH('KSH järjestus'!CG$3,KOMBI!$A$1:$GI$1,0))</f>
        <v>7.7574305520047349E-2</v>
      </c>
      <c r="CH56" s="25">
        <f t="array" ref="CH56">INDEX(KOMBI!$A$1:$GI$145,ROW('KSH järjestus'!CH63),MATCH('KSH järjestus'!CH$3,KOMBI!$A$1:$GI$1,0))</f>
        <v>0.45353675847892722</v>
      </c>
      <c r="CI56" s="25">
        <f t="array" ref="CI56">INDEX(KOMBI!$A$1:$GI$145,ROW('KSH järjestus'!CI63),MATCH('KSH järjestus'!CI$3,KOMBI!$A$1:$GI$1,0))</f>
        <v>6.78</v>
      </c>
      <c r="CJ56" s="25">
        <f t="array" ref="CJ56">INDEX(KOMBI!$A$1:$GI$145,ROW('KSH järjestus'!CJ63),MATCH('KSH järjestus'!CJ$3,KOMBI!$A$1:$GI$1,0))</f>
        <v>5.3823823271229703</v>
      </c>
      <c r="CK56" s="25">
        <f t="array" ref="CK56">INDEX(KOMBI!$A$1:$GI$145,ROW('KSH järjestus'!CK63),MATCH('KSH järjestus'!CK$3,KOMBI!$A$1:$GI$1,0))</f>
        <v>0.22900000000000001</v>
      </c>
      <c r="CL56" s="25">
        <f t="array" ref="CL56">INDEX(KOMBI!$A$1:$GI$145,ROW('KSH järjestus'!CL63),MATCH('KSH järjestus'!CL$3,KOMBI!$A$1:$GI$1,0))</f>
        <v>0.82899999999999996</v>
      </c>
    </row>
    <row r="57" spans="3:90" x14ac:dyDescent="0.2">
      <c r="C57" s="184">
        <v>54</v>
      </c>
      <c r="G57" s="25">
        <f>RANK(INDEX(KOMBI!$A$11:$GI$145,MATCH('KSH järjestus'!$C57,KOMBI!$A$11:$A$145,0),MATCH('KSH järjestus'!G$3,KOMBI!$A$1:$GI$1,0)),BD$4:BD$138,G$2)</f>
        <v>86</v>
      </c>
      <c r="H57" s="25">
        <f>RANK(INDEX(KOMBI!$A$11:$GI$145,MATCH('KSH järjestus'!$C57,KOMBI!$A$11:$A$145,0),MATCH('KSH järjestus'!H$3,KOMBI!$A$1:$GI$1,0)),BE$4:BE$138,H$2)</f>
        <v>63</v>
      </c>
      <c r="J57" s="25">
        <f>RANK(INDEX(KOMBI!$A$11:$GI$145,MATCH('KSH järjestus'!$C57,KOMBI!$A$11:$A$145,0),MATCH('KSH järjestus'!J$3,KOMBI!$A$1:$GI$1,0)),BG$4:BG$138,J$2)</f>
        <v>48</v>
      </c>
      <c r="M57" s="25">
        <f>RANK(INDEX(KOMBI!$A$11:$GI$145,MATCH('KSH järjestus'!$C57,KOMBI!$A$11:$A$145,0),MATCH('KSH järjestus'!M$3,KOMBI!$A$1:$GI$1,0)),BJ$4:BJ$138,M$2)</f>
        <v>28</v>
      </c>
      <c r="N57" s="25">
        <f>RANK(INDEX(KOMBI!$A$11:$GI$145,MATCH('KSH järjestus'!$C57,KOMBI!$A$11:$A$145,0),MATCH('KSH järjestus'!N$3,KOMBI!$A$1:$GI$1,0)),BK$4:BK$138,N$2)</f>
        <v>40</v>
      </c>
      <c r="O57" s="25">
        <f>RANK(INDEX(KOMBI!$A$11:$GI$145,MATCH('KSH järjestus'!$C57,KOMBI!$A$11:$A$145,0),MATCH('KSH järjestus'!O$3,KOMBI!$A$1:$GI$1,0)),BL$4:BL$138,O$2)</f>
        <v>46</v>
      </c>
      <c r="P57" s="25">
        <f>RANK(INDEX(KOMBI!$A$11:$GI$145,MATCH('KSH järjestus'!$C57,KOMBI!$A$11:$A$145,0),MATCH('KSH järjestus'!P$3,KOMBI!$A$1:$GI$1,0)),BM$4:BM$138,P$2)</f>
        <v>83</v>
      </c>
      <c r="Q57" s="25">
        <f>RANK(INDEX(KOMBI!$A$11:$GI$145,MATCH('KSH järjestus'!$C57,KOMBI!$A$11:$A$145,0),MATCH('KSH järjestus'!Q$3,KOMBI!$A$1:$GI$1,0)),BN$4:BN$138,Q$2)</f>
        <v>34</v>
      </c>
      <c r="R57" s="25">
        <f>RANK(INDEX(KOMBI!$A$11:$GI$145,MATCH('KSH järjestus'!$C57,KOMBI!$A$11:$A$145,0),MATCH('KSH järjestus'!R$3,KOMBI!$A$1:$GI$1,0)),BO$4:BO$138,R$2)</f>
        <v>64</v>
      </c>
      <c r="T57" s="25">
        <f>RANK(INDEX(KOMBI!$A$11:$GI$145,MATCH('KSH järjestus'!$C57,KOMBI!$A$11:$A$145,0),MATCH('KSH järjestus'!T$3,KOMBI!$A$1:$GI$1,0)),BQ$4:BQ$138,T$2)</f>
        <v>106</v>
      </c>
      <c r="U57" s="25">
        <f>RANK(INDEX(KOMBI!$A$11:$GI$145,MATCH('KSH järjestus'!$C57,KOMBI!$A$11:$A$145,0),MATCH('KSH järjestus'!U$3,KOMBI!$A$1:$GI$1,0)),BR$4:BR$138,U$2)</f>
        <v>112</v>
      </c>
      <c r="AA57" s="25">
        <f>RANK(INDEX(KOMBI!$A$11:$GI$145,MATCH('KSH järjestus'!$C57,KOMBI!$A$11:$A$145,0),MATCH('KSH järjestus'!AA$3,KOMBI!$A$1:$GI$1,0)),BX$4:BX$138,AA$2)</f>
        <v>85</v>
      </c>
      <c r="AB57" s="25">
        <f>RANK(INDEX(KOMBI!$A$11:$GI$145,MATCH('KSH järjestus'!$C57,KOMBI!$A$11:$A$145,0),MATCH('KSH järjestus'!AB$3,KOMBI!$A$1:$GI$1,0)),BY$4:BY$138,AB$2)</f>
        <v>91</v>
      </c>
      <c r="AC57" s="25">
        <f>RANK(INDEX(KOMBI!$A$11:$GI$145,MATCH('KSH järjestus'!$C57,KOMBI!$A$11:$A$145,0),MATCH('KSH järjestus'!AC$3,KOMBI!$A$1:$GI$1,0)),BZ$4:BZ$138,AC$2)</f>
        <v>68</v>
      </c>
      <c r="AD57" s="25">
        <f>RANK(INDEX(KOMBI!$A$11:$GI$145,MATCH('KSH järjestus'!$C57,KOMBI!$A$11:$A$145,0),MATCH('KSH järjestus'!AD$3,KOMBI!$A$1:$GI$1,0)),CA$4:CA$138,AD$2)</f>
        <v>100</v>
      </c>
      <c r="AE57" s="25">
        <f>RANK(INDEX(KOMBI!$A$11:$GI$145,MATCH('KSH järjestus'!$C57,KOMBI!$A$11:$A$145,0),MATCH('KSH järjestus'!AE$3,KOMBI!$A$1:$GI$1,0)),CB$4:CB$138,AE$2)</f>
        <v>99</v>
      </c>
      <c r="AG57" s="25">
        <f>RANK(INDEX(KOMBI!$A$11:$GI$145,MATCH('KSH järjestus'!$C57,KOMBI!$A$11:$A$145,0),MATCH('KSH järjestus'!AG$3,KOMBI!$A$1:$GI$1,0)),CD$4:CD$138,AG$2)</f>
        <v>109</v>
      </c>
      <c r="AH57" s="25">
        <f>RANK(INDEX(KOMBI!$A$11:$GI$145,MATCH('KSH järjestus'!$C57,KOMBI!$A$11:$A$145,0),MATCH('KSH järjestus'!AH$3,KOMBI!$A$1:$GI$1,0)),CE$4:CE$138,AH$2)</f>
        <v>121</v>
      </c>
      <c r="AI57" s="25">
        <f>RANK(INDEX(KOMBI!$A$11:$GI$145,MATCH('KSH järjestus'!$C57,KOMBI!$A$11:$A$145,0),MATCH('KSH järjestus'!AI$3,KOMBI!$A$1:$GI$1,0)),CF$4:CF$138,AI$2)</f>
        <v>91</v>
      </c>
      <c r="AJ57" s="25">
        <f>RANK(INDEX(KOMBI!$A$11:$GI$145,MATCH('KSH järjestus'!$C57,KOMBI!$A$11:$A$145,0),MATCH('KSH järjestus'!AJ$3,KOMBI!$A$1:$GI$1,0)),CG$4:CG$138,AJ$2)</f>
        <v>19</v>
      </c>
      <c r="AK57" s="25">
        <f>RANK(INDEX(KOMBI!$A$11:$GI$145,MATCH('KSH järjestus'!$C57,KOMBI!$A$11:$A$145,0),MATCH('KSH järjestus'!AK$3,KOMBI!$A$1:$GI$1,0)),CH$4:CH$138,AK$2)</f>
        <v>31</v>
      </c>
      <c r="AN57" s="25">
        <f>RANK(INDEX(KOMBI!$A$11:$GI$145,MATCH('KSH järjestus'!$C57,KOMBI!$A$11:$A$145,0),MATCH('KSH järjestus'!AN$3,KOMBI!$A$1:$GI$1,0)),CK$4:CK$138,AN$2)</f>
        <v>91</v>
      </c>
      <c r="AO57" s="25">
        <f>RANK(INDEX(KOMBI!$A$11:$GI$145,MATCH('KSH järjestus'!$C57,KOMBI!$A$11:$A$145,0),MATCH('KSH järjestus'!AO$3,KOMBI!$A$1:$GI$1,0)),CL$4:CL$138,AO$2)</f>
        <v>91</v>
      </c>
      <c r="AS57" s="297">
        <f t="shared" si="3"/>
        <v>1706</v>
      </c>
      <c r="AT57" s="25">
        <f t="shared" si="1"/>
        <v>1329</v>
      </c>
      <c r="AU57" s="25">
        <f t="shared" si="2"/>
        <v>39</v>
      </c>
      <c r="AV57" s="295" t="str">
        <f>VLOOKUP(VLOOKUP($AU57,KOMBI!$A:$H,3,FALSE),data!$I$27:$J$29,2,FALSE)</f>
        <v>Sekkuv/EÜ</v>
      </c>
      <c r="AW57" s="295" t="str">
        <f>VLOOKUP(VLOOKUP($AU57,KOMBI!$A:$H,2,FALSE),data!$I$21:$J$23,2,FALSE)</f>
        <v>Mittesekkuv</v>
      </c>
      <c r="AX57" s="295" t="str">
        <f>VLOOKUP(VLOOKUP($AU57,KOMBI!$A:$H,5,FALSE),data!$I$39:$J$41,2,FALSE)</f>
        <v>Sekkuv</v>
      </c>
      <c r="AY57" s="295" t="str">
        <f>VLOOKUP(VLOOKUP($AU57,KOMBI!$A:$H,4,FALSE),data!$I$32:$J$36,2,FALSE)</f>
        <v>TE</v>
      </c>
      <c r="BA57" s="25">
        <f t="array" ref="BA57">INDEX(KOMBI!$A$1:$GI$145,ROW('KSH järjestus'!BA64),MATCH('KSH järjestus'!BA$3,KOMBI!$A$1:$GI$1,0))</f>
        <v>4.6396441168522013</v>
      </c>
      <c r="BB57" s="25">
        <f t="array" ref="BB57">INDEX(KOMBI!$A$1:$GI$145,ROW('KSH järjestus'!BB64),MATCH('KSH järjestus'!BB$3,KOMBI!$A$1:$GI$1,0))</f>
        <v>486.6228214923712</v>
      </c>
      <c r="BC57" s="25">
        <f t="array" aca="1" ref="BC57" ca="1">INDEX(KOMBI!$A$1:$GI$145,ROW('KSH järjestus'!BC64),MATCH('KSH järjestus'!BC$3,KOMBI!$A$1:$GI$1,0))</f>
        <v>110.65809529171125</v>
      </c>
      <c r="BD57" s="25">
        <f t="array" ref="BD57">INDEX(KOMBI!$A$1:$GI$145,ROW('KSH järjestus'!BD64),MATCH('KSH järjestus'!BD$3,KOMBI!$A$1:$GI$1,0))</f>
        <v>-59.422063699091041</v>
      </c>
      <c r="BE57" s="25">
        <f t="array" ref="BE57">INDEX(KOMBI!$A$1:$GI$145,ROW('KSH järjestus'!BE64),MATCH('KSH järjestus'!BE$3,KOMBI!$A$1:$GI$1,0))</f>
        <v>170.08015899080229</v>
      </c>
      <c r="BF57" s="25">
        <f t="array" aca="1" ref="BF57" ca="1">INDEX(KOMBI!$A$1:$GI$145,ROW('KSH järjestus'!BF64),MATCH('KSH järjestus'!BF$3,KOMBI!$A$1:$GI$1,0))</f>
        <v>0</v>
      </c>
      <c r="BG57" s="25">
        <f t="array" ref="BG57">INDEX(KOMBI!$A$1:$GI$145,ROW('KSH järjestus'!BG64),MATCH('KSH järjestus'!BG$3,KOMBI!$A$1:$GI$1,0))</f>
        <v>0.51608498186571183</v>
      </c>
      <c r="BH57" s="25">
        <f t="array" ref="BH57">INDEX(KOMBI!$A$1:$GI$145,ROW('KSH järjestus'!BH64),MATCH('KSH järjestus'!BH$3,KOMBI!$A$1:$GI$1,0))</f>
        <v>90</v>
      </c>
      <c r="BI57" s="25">
        <f t="array" ref="BI57">INDEX(KOMBI!$A$1:$GI$145,ROW('KSH järjestus'!BI64),MATCH('KSH järjestus'!BI$3,KOMBI!$A$1:$GI$1,0))</f>
        <v>0.84317482403548605</v>
      </c>
      <c r="BJ57" s="25">
        <f t="array" ref="BJ57">INDEX(KOMBI!$A$1:$GI$145,ROW('KSH järjestus'!BJ64),MATCH('KSH järjestus'!BJ$3,KOMBI!$A$1:$GI$1,0))</f>
        <v>6.6265060240963902E-2</v>
      </c>
      <c r="BK57" s="25">
        <f t="array" ref="BK57">INDEX(KOMBI!$A$1:$GI$145,ROW('KSH järjestus'!BK64),MATCH('KSH järjestus'!BK$3,KOMBI!$A$1:$GI$1,0))</f>
        <v>0.37735857959955449</v>
      </c>
      <c r="BL57" s="25">
        <f t="array" ref="BL57">INDEX(KOMBI!$A$1:$GI$145,ROW('KSH järjestus'!BL64),MATCH('KSH järjestus'!BL$3,KOMBI!$A$1:$GI$1,0))</f>
        <v>1.9374700328698029E-2</v>
      </c>
      <c r="BM57" s="25">
        <f t="array" ref="BM57">INDEX(KOMBI!$A$1:$GI$145,ROW('KSH järjestus'!BM64),MATCH('KSH järjestus'!BM$3,KOMBI!$A$1:$GI$1,0))</f>
        <v>-5.7372873836428325E-4</v>
      </c>
      <c r="BN57" s="25">
        <f t="array" ref="BN57">INDEX(KOMBI!$A$1:$GI$145,ROW('KSH järjestus'!BN64),MATCH('KSH järjestus'!BN$3,KOMBI!$A$1:$GI$1,0))</f>
        <v>7.3080769851928129E-3</v>
      </c>
      <c r="BO57" s="25">
        <f t="array" ref="BO57">INDEX(KOMBI!$A$1:$GI$145,ROW('KSH järjestus'!BO64),MATCH('KSH järjestus'!BO$3,KOMBI!$A$1:$GI$1,0))</f>
        <v>1.2217174701824637E-2</v>
      </c>
      <c r="BP57" s="25">
        <f t="array" ref="BP57">INDEX(KOMBI!$A$1:$GI$145,ROW('KSH järjestus'!BP64),MATCH('KSH järjestus'!BP$3,KOMBI!$A$1:$GI$1,0))</f>
        <v>8.5453156794471035</v>
      </c>
      <c r="BQ57" s="25">
        <f t="array" ref="BQ57">INDEX(KOMBI!$A$1:$GI$145,ROW('KSH järjestus'!BQ64),MATCH('KSH järjestus'!BQ$3,KOMBI!$A$1:$GI$1,0))</f>
        <v>11.3</v>
      </c>
      <c r="BR57" s="25">
        <f t="array" ref="BR57">INDEX(KOMBI!$A$1:$GI$145,ROW('KSH järjestus'!BR64),MATCH('KSH järjestus'!BR$3,KOMBI!$A$1:$GI$1,0))</f>
        <v>-7.5508222788706622E-3</v>
      </c>
      <c r="BS57" s="25">
        <f t="array" ref="BS57">INDEX(KOMBI!$A$1:$GI$145,ROW('KSH järjestus'!BS64),MATCH('KSH järjestus'!BS$3,KOMBI!$A$1:$GI$1,0))</f>
        <v>-1.8508773071381889E-2</v>
      </c>
      <c r="BT57" s="25">
        <f t="array" ref="BT57">INDEX(KOMBI!$A$1:$GI$145,ROW('KSH järjestus'!BT64),MATCH('KSH järjestus'!BT$3,KOMBI!$A$1:$GI$1,0))</f>
        <v>-2.1185789907390607E-2</v>
      </c>
      <c r="BU57" s="25">
        <f t="array" ref="BU57">INDEX(KOMBI!$A$1:$GI$145,ROW('KSH järjestus'!BU64),MATCH('KSH järjestus'!BU$3,KOMBI!$A$1:$GI$1,0))</f>
        <v>8.8319419404241373</v>
      </c>
      <c r="BV57" s="25">
        <f t="array" ref="BV57">INDEX(KOMBI!$A$1:$GI$145,ROW('KSH järjestus'!BV64),MATCH('KSH järjestus'!BV$3,KOMBI!$A$1:$GI$1,0))</f>
        <v>5.33</v>
      </c>
      <c r="BW57" s="25">
        <f t="array" ref="BW57">INDEX(KOMBI!$A$1:$GI$145,ROW('KSH järjestus'!BW64),MATCH('KSH järjestus'!BW$3,KOMBI!$A$1:$GI$1,0))</f>
        <v>3.2905823271229702</v>
      </c>
      <c r="BX57" s="25">
        <f t="array" ref="BX57">INDEX(KOMBI!$A$1:$GI$145,ROW('KSH järjestus'!BX64),MATCH('KSH järjestus'!BX$3,KOMBI!$A$1:$GI$1,0))</f>
        <v>19.103861099430585</v>
      </c>
      <c r="BY57" s="25">
        <f t="array" ref="BY57">INDEX(KOMBI!$A$1:$GI$145,ROW('KSH järjestus'!BY64),MATCH('KSH järjestus'!BY$3,KOMBI!$A$1:$GI$1,0))</f>
        <v>12.804324637900008</v>
      </c>
      <c r="BZ57" s="25">
        <f t="array" ref="BZ57">INDEX(KOMBI!$A$1:$GI$145,ROW('KSH järjestus'!BZ64),MATCH('KSH järjestus'!BZ$3,KOMBI!$A$1:$GI$1,0))</f>
        <v>76</v>
      </c>
      <c r="CA57" s="25">
        <f t="array" ref="CA57">INDEX(KOMBI!$A$1:$GI$145,ROW('KSH järjestus'!CA64),MATCH('KSH järjestus'!CA$3,KOMBI!$A$1:$GI$1,0))</f>
        <v>15.228999999999999</v>
      </c>
      <c r="CB57" s="25">
        <f t="array" ref="CB57">INDEX(KOMBI!$A$1:$GI$145,ROW('KSH järjestus'!CB64),MATCH('KSH järjestus'!CB$3,KOMBI!$A$1:$GI$1,0))</f>
        <v>67.367777777777775</v>
      </c>
      <c r="CC57" s="25">
        <f t="array" ref="CC57">INDEX(KOMBI!$A$1:$GI$145,ROW('KSH järjestus'!CC64),MATCH('KSH järjestus'!CC$3,KOMBI!$A$1:$GI$1,0))</f>
        <v>5.410209</v>
      </c>
      <c r="CD57" s="25">
        <f t="array" ref="CD57">INDEX(KOMBI!$A$1:$GI$145,ROW('KSH järjestus'!CD64),MATCH('KSH järjestus'!CD$3,KOMBI!$A$1:$GI$1,0))</f>
        <v>327.54999999999995</v>
      </c>
      <c r="CE57" s="25">
        <f t="array" ref="CE57">INDEX(KOMBI!$A$1:$GI$145,ROW('KSH järjestus'!CE64),MATCH('KSH järjestus'!CE$3,KOMBI!$A$1:$GI$1,0))</f>
        <v>3.1680000000000001</v>
      </c>
      <c r="CF57" s="25">
        <f t="array" ref="CF57">INDEX(KOMBI!$A$1:$GI$145,ROW('KSH järjestus'!CF64),MATCH('KSH järjestus'!CF$3,KOMBI!$A$1:$GI$1,0))</f>
        <v>50.550678294573636</v>
      </c>
      <c r="CG57" s="25">
        <f t="array" ref="CG57">INDEX(KOMBI!$A$1:$GI$145,ROW('KSH järjestus'!CG64),MATCH('KSH järjestus'!CG$3,KOMBI!$A$1:$GI$1,0))</f>
        <v>7.7574305520047349E-2</v>
      </c>
      <c r="CH57" s="25">
        <f t="array" ref="CH57">INDEX(KOMBI!$A$1:$GI$145,ROW('KSH järjestus'!CH64),MATCH('KSH järjestus'!CH$3,KOMBI!$A$1:$GI$1,0))</f>
        <v>0.45353675847892722</v>
      </c>
      <c r="CI57" s="25">
        <f t="array" ref="CI57">INDEX(KOMBI!$A$1:$GI$145,ROW('KSH järjestus'!CI64),MATCH('KSH järjestus'!CI$3,KOMBI!$A$1:$GI$1,0))</f>
        <v>6.78</v>
      </c>
      <c r="CJ57" s="25">
        <f t="array" ref="CJ57">INDEX(KOMBI!$A$1:$GI$145,ROW('KSH järjestus'!CJ64),MATCH('KSH järjestus'!CJ$3,KOMBI!$A$1:$GI$1,0))</f>
        <v>5.3823823271229703</v>
      </c>
      <c r="CK57" s="25">
        <f t="array" ref="CK57">INDEX(KOMBI!$A$1:$GI$145,ROW('KSH järjestus'!CK64),MATCH('KSH järjestus'!CK$3,KOMBI!$A$1:$GI$1,0))</f>
        <v>0.22900000000000001</v>
      </c>
      <c r="CL57" s="25">
        <f t="array" ref="CL57">INDEX(KOMBI!$A$1:$GI$145,ROW('KSH järjestus'!CL64),MATCH('KSH järjestus'!CL$3,KOMBI!$A$1:$GI$1,0))</f>
        <v>0.82899999999999996</v>
      </c>
    </row>
    <row r="58" spans="3:90" x14ac:dyDescent="0.2">
      <c r="C58" s="184">
        <v>55</v>
      </c>
      <c r="G58" s="25">
        <f>RANK(INDEX(KOMBI!$A$11:$GI$145,MATCH('KSH järjestus'!$C58,KOMBI!$A$11:$A$145,0),MATCH('KSH järjestus'!G$3,KOMBI!$A$1:$GI$1,0)),BD$4:BD$138,G$2)</f>
        <v>121</v>
      </c>
      <c r="H58" s="25">
        <f>RANK(INDEX(KOMBI!$A$11:$GI$145,MATCH('KSH järjestus'!$C58,KOMBI!$A$11:$A$145,0),MATCH('KSH järjestus'!H$3,KOMBI!$A$1:$GI$1,0)),BE$4:BE$138,H$2)</f>
        <v>119</v>
      </c>
      <c r="J58" s="25">
        <f>RANK(INDEX(KOMBI!$A$11:$GI$145,MATCH('KSH järjestus'!$C58,KOMBI!$A$11:$A$145,0),MATCH('KSH järjestus'!J$3,KOMBI!$A$1:$GI$1,0)),BG$4:BG$138,J$2)</f>
        <v>133</v>
      </c>
      <c r="M58" s="25">
        <f>RANK(INDEX(KOMBI!$A$11:$GI$145,MATCH('KSH järjestus'!$C58,KOMBI!$A$11:$A$145,0),MATCH('KSH järjestus'!M$3,KOMBI!$A$1:$GI$1,0)),BJ$4:BJ$138,M$2)</f>
        <v>109</v>
      </c>
      <c r="N58" s="25">
        <f>RANK(INDEX(KOMBI!$A$11:$GI$145,MATCH('KSH järjestus'!$C58,KOMBI!$A$11:$A$145,0),MATCH('KSH järjestus'!N$3,KOMBI!$A$1:$GI$1,0)),BK$4:BK$138,N$2)</f>
        <v>16</v>
      </c>
      <c r="O58" s="25">
        <f>RANK(INDEX(KOMBI!$A$11:$GI$145,MATCH('KSH järjestus'!$C58,KOMBI!$A$11:$A$145,0),MATCH('KSH järjestus'!O$3,KOMBI!$A$1:$GI$1,0)),BL$4:BL$138,O$2)</f>
        <v>123</v>
      </c>
      <c r="P58" s="25">
        <f>RANK(INDEX(KOMBI!$A$11:$GI$145,MATCH('KSH järjestus'!$C58,KOMBI!$A$11:$A$145,0),MATCH('KSH järjestus'!P$3,KOMBI!$A$1:$GI$1,0)),BM$4:BM$138,P$2)</f>
        <v>62</v>
      </c>
      <c r="Q58" s="25">
        <f>RANK(INDEX(KOMBI!$A$11:$GI$145,MATCH('KSH järjestus'!$C58,KOMBI!$A$11:$A$145,0),MATCH('KSH järjestus'!Q$3,KOMBI!$A$1:$GI$1,0)),BN$4:BN$138,Q$2)</f>
        <v>103</v>
      </c>
      <c r="R58" s="25">
        <f>RANK(INDEX(KOMBI!$A$11:$GI$145,MATCH('KSH järjestus'!$C58,KOMBI!$A$11:$A$145,0),MATCH('KSH järjestus'!R$3,KOMBI!$A$1:$GI$1,0)),BO$4:BO$138,R$2)</f>
        <v>129</v>
      </c>
      <c r="T58" s="25">
        <f>RANK(INDEX(KOMBI!$A$11:$GI$145,MATCH('KSH järjestus'!$C58,KOMBI!$A$11:$A$145,0),MATCH('KSH järjestus'!T$3,KOMBI!$A$1:$GI$1,0)),BQ$4:BQ$138,T$2)</f>
        <v>50</v>
      </c>
      <c r="U58" s="25">
        <f>RANK(INDEX(KOMBI!$A$11:$GI$145,MATCH('KSH järjestus'!$C58,KOMBI!$A$11:$A$145,0),MATCH('KSH järjestus'!U$3,KOMBI!$A$1:$GI$1,0)),BR$4:BR$138,U$2)</f>
        <v>38</v>
      </c>
      <c r="AA58" s="25">
        <f>RANK(INDEX(KOMBI!$A$11:$GI$145,MATCH('KSH järjestus'!$C58,KOMBI!$A$11:$A$145,0),MATCH('KSH järjestus'!AA$3,KOMBI!$A$1:$GI$1,0)),BX$4:BX$138,AA$2)</f>
        <v>73</v>
      </c>
      <c r="AB58" s="25">
        <f>RANK(INDEX(KOMBI!$A$11:$GI$145,MATCH('KSH järjestus'!$C58,KOMBI!$A$11:$A$145,0),MATCH('KSH järjestus'!AB$3,KOMBI!$A$1:$GI$1,0)),BY$4:BY$138,AB$2)</f>
        <v>22</v>
      </c>
      <c r="AC58" s="25">
        <f>RANK(INDEX(KOMBI!$A$11:$GI$145,MATCH('KSH järjestus'!$C58,KOMBI!$A$11:$A$145,0),MATCH('KSH järjestus'!AC$3,KOMBI!$A$1:$GI$1,0)),BZ$4:BZ$138,AC$2)</f>
        <v>93</v>
      </c>
      <c r="AD58" s="25">
        <f>RANK(INDEX(KOMBI!$A$11:$GI$145,MATCH('KSH järjestus'!$C58,KOMBI!$A$11:$A$145,0),MATCH('KSH järjestus'!AD$3,KOMBI!$A$1:$GI$1,0)),CA$4:CA$138,AD$2)</f>
        <v>22</v>
      </c>
      <c r="AE58" s="25">
        <f>RANK(INDEX(KOMBI!$A$11:$GI$145,MATCH('KSH järjestus'!$C58,KOMBI!$A$11:$A$145,0),MATCH('KSH järjestus'!AE$3,KOMBI!$A$1:$GI$1,0)),CB$4:CB$138,AE$2)</f>
        <v>21</v>
      </c>
      <c r="AG58" s="25">
        <f>RANK(INDEX(KOMBI!$A$11:$GI$145,MATCH('KSH järjestus'!$C58,KOMBI!$A$11:$A$145,0),MATCH('KSH järjestus'!AG$3,KOMBI!$A$1:$GI$1,0)),CD$4:CD$138,AG$2)</f>
        <v>118</v>
      </c>
      <c r="AH58" s="25">
        <f>RANK(INDEX(KOMBI!$A$11:$GI$145,MATCH('KSH järjestus'!$C58,KOMBI!$A$11:$A$145,0),MATCH('KSH järjestus'!AH$3,KOMBI!$A$1:$GI$1,0)),CE$4:CE$138,AH$2)</f>
        <v>121</v>
      </c>
      <c r="AI58" s="25">
        <f>RANK(INDEX(KOMBI!$A$11:$GI$145,MATCH('KSH järjestus'!$C58,KOMBI!$A$11:$A$145,0),MATCH('KSH järjestus'!AI$3,KOMBI!$A$1:$GI$1,0)),CF$4:CF$138,AI$2)</f>
        <v>37</v>
      </c>
      <c r="AJ58" s="25">
        <f>RANK(INDEX(KOMBI!$A$11:$GI$145,MATCH('KSH järjestus'!$C58,KOMBI!$A$11:$A$145,0),MATCH('KSH järjestus'!AJ$3,KOMBI!$A$1:$GI$1,0)),CG$4:CG$138,AJ$2)</f>
        <v>100</v>
      </c>
      <c r="AK58" s="25">
        <f>RANK(INDEX(KOMBI!$A$11:$GI$145,MATCH('KSH järjestus'!$C58,KOMBI!$A$11:$A$145,0),MATCH('KSH järjestus'!AK$3,KOMBI!$A$1:$GI$1,0)),CH$4:CH$138,AK$2)</f>
        <v>25</v>
      </c>
      <c r="AN58" s="25">
        <f>RANK(INDEX(KOMBI!$A$11:$GI$145,MATCH('KSH järjestus'!$C58,KOMBI!$A$11:$A$145,0),MATCH('KSH järjestus'!AN$3,KOMBI!$A$1:$GI$1,0)),CK$4:CK$138,AN$2)</f>
        <v>91</v>
      </c>
      <c r="AO58" s="25">
        <f>RANK(INDEX(KOMBI!$A$11:$GI$145,MATCH('KSH järjestus'!$C58,KOMBI!$A$11:$A$145,0),MATCH('KSH järjestus'!AO$3,KOMBI!$A$1:$GI$1,0)),CL$4:CL$138,AO$2)</f>
        <v>91</v>
      </c>
      <c r="AS58" s="297">
        <f t="shared" si="3"/>
        <v>1817</v>
      </c>
      <c r="AT58" s="25">
        <f t="shared" si="1"/>
        <v>1332</v>
      </c>
      <c r="AU58" s="25">
        <f t="shared" si="2"/>
        <v>89</v>
      </c>
      <c r="AV58" s="295" t="str">
        <f>VLOOKUP(VLOOKUP($AU58,KOMBI!$A:$H,3,FALSE),data!$I$27:$J$29,2,FALSE)</f>
        <v>Sekkuv/EÜ</v>
      </c>
      <c r="AW58" s="295" t="str">
        <f>VLOOKUP(VLOOKUP($AU58,KOMBI!$A:$H,2,FALSE),data!$I$21:$J$23,2,FALSE)</f>
        <v>Vähe-sekkuv</v>
      </c>
      <c r="AX58" s="295" t="str">
        <f>VLOOKUP(VLOOKUP($AU58,KOMBI!$A:$H,5,FALSE),data!$I$39:$J$41,2,FALSE)</f>
        <v>Vähe-sekkuv</v>
      </c>
      <c r="AY58" s="295" t="str">
        <f>VLOOKUP(VLOOKUP($AU58,KOMBI!$A:$H,4,FALSE),data!$I$32:$J$36,2,FALSE)</f>
        <v>PK &amp; UG</v>
      </c>
      <c r="BA58" s="25">
        <f t="array" ref="BA58">INDEX(KOMBI!$A$1:$GI$145,ROW('KSH järjestus'!BA65),MATCH('KSH järjestus'!BA$3,KOMBI!$A$1:$GI$1,0))</f>
        <v>6.7133339949012809</v>
      </c>
      <c r="BB58" s="25">
        <f t="array" ref="BB58">INDEX(KOMBI!$A$1:$GI$145,ROW('KSH järjestus'!BB65),MATCH('KSH järjestus'!BB$3,KOMBI!$A$1:$GI$1,0))</f>
        <v>152.12163536429114</v>
      </c>
      <c r="BC58" s="25">
        <f t="array" aca="1" ref="BC58" ca="1">INDEX(KOMBI!$A$1:$GI$145,ROW('KSH järjestus'!BC65),MATCH('KSH järjestus'!BC$3,KOMBI!$A$1:$GI$1,0))</f>
        <v>55.311559066791901</v>
      </c>
      <c r="BD58" s="25">
        <f t="array" ref="BD58">INDEX(KOMBI!$A$1:$GI$145,ROW('KSH järjestus'!BD65),MATCH('KSH järjestus'!BD$3,KOMBI!$A$1:$GI$1,0))</f>
        <v>-25.081250000000001</v>
      </c>
      <c r="BE58" s="25">
        <f t="array" ref="BE58">INDEX(KOMBI!$A$1:$GI$145,ROW('KSH järjestus'!BE65),MATCH('KSH järjestus'!BE$3,KOMBI!$A$1:$GI$1,0))</f>
        <v>80.392809066791898</v>
      </c>
      <c r="BF58" s="25">
        <f t="array" aca="1" ref="BF58" ca="1">INDEX(KOMBI!$A$1:$GI$145,ROW('KSH järjestus'!BF65),MATCH('KSH järjestus'!BF$3,KOMBI!$A$1:$GI$1,0))</f>
        <v>0</v>
      </c>
      <c r="BG58" s="25">
        <f t="array" ref="BG58">INDEX(KOMBI!$A$1:$GI$145,ROW('KSH järjestus'!BG65),MATCH('KSH järjestus'!BG$3,KOMBI!$A$1:$GI$1,0))</f>
        <v>0.68212972624714474</v>
      </c>
      <c r="BH58" s="25">
        <f t="array" ref="BH58">INDEX(KOMBI!$A$1:$GI$145,ROW('KSH järjestus'!BH65),MATCH('KSH järjestus'!BH$3,KOMBI!$A$1:$GI$1,0))</f>
        <v>90</v>
      </c>
      <c r="BI58" s="25">
        <f t="array" ref="BI58">INDEX(KOMBI!$A$1:$GI$145,ROW('KSH järjestus'!BI65),MATCH('KSH järjestus'!BI$3,KOMBI!$A$1:$GI$1,0))</f>
        <v>1</v>
      </c>
      <c r="BJ58" s="25">
        <f t="array" ref="BJ58">INDEX(KOMBI!$A$1:$GI$145,ROW('KSH järjestus'!BJ65),MATCH('KSH järjestus'!BJ$3,KOMBI!$A$1:$GI$1,0))</f>
        <v>0.36609829488465395</v>
      </c>
      <c r="BK58" s="25">
        <f t="array" ref="BK58">INDEX(KOMBI!$A$1:$GI$145,ROW('KSH järjestus'!BK65),MATCH('KSH järjestus'!BK$3,KOMBI!$A$1:$GI$1,0))</f>
        <v>0.57849627288208527</v>
      </c>
      <c r="BL58" s="25">
        <f t="array" ref="BL58">INDEX(KOMBI!$A$1:$GI$145,ROW('KSH järjestus'!BL65),MATCH('KSH järjestus'!BL$3,KOMBI!$A$1:$GI$1,0))</f>
        <v>5.9777154073127068E-3</v>
      </c>
      <c r="BM58" s="25">
        <f t="array" ref="BM58">INDEX(KOMBI!$A$1:$GI$145,ROW('KSH järjestus'!BM65),MATCH('KSH järjestus'!BM$3,KOMBI!$A$1:$GI$1,0))</f>
        <v>2.210325439872738E-3</v>
      </c>
      <c r="BN58" s="25">
        <f t="array" ref="BN58">INDEX(KOMBI!$A$1:$GI$145,ROW('KSH järjestus'!BN65),MATCH('KSH järjestus'!BN$3,KOMBI!$A$1:$GI$1,0))</f>
        <v>1.5446725379990034E-3</v>
      </c>
      <c r="BO58" s="25">
        <f t="array" ref="BO58">INDEX(KOMBI!$A$1:$GI$145,ROW('KSH järjestus'!BO65),MATCH('KSH järjestus'!BO$3,KOMBI!$A$1:$GI$1,0))</f>
        <v>4.4505596402942896E-3</v>
      </c>
      <c r="BP58" s="25">
        <f t="array" ref="BP58">INDEX(KOMBI!$A$1:$GI$145,ROW('KSH järjestus'!BP65),MATCH('KSH järjestus'!BP$3,KOMBI!$A$1:$GI$1,0))</f>
        <v>8.5748313570900958</v>
      </c>
      <c r="BQ58" s="25">
        <f t="array" ref="BQ58">INDEX(KOMBI!$A$1:$GI$145,ROW('KSH järjestus'!BQ65),MATCH('KSH järjestus'!BQ$3,KOMBI!$A$1:$GI$1,0))</f>
        <v>10.439</v>
      </c>
      <c r="BR58" s="25">
        <f t="array" ref="BR58">INDEX(KOMBI!$A$1:$GI$145,ROW('KSH järjestus'!BR65),MATCH('KSH järjestus'!BR$3,KOMBI!$A$1:$GI$1,0))</f>
        <v>-3.6243979390874467E-2</v>
      </c>
      <c r="BS58" s="25">
        <f t="array" ref="BS58">INDEX(KOMBI!$A$1:$GI$145,ROW('KSH järjestus'!BS65),MATCH('KSH järjestus'!BS$3,KOMBI!$A$1:$GI$1,0))</f>
        <v>-0.1609761302137768</v>
      </c>
      <c r="BT58" s="25">
        <f t="array" ref="BT58">INDEX(KOMBI!$A$1:$GI$145,ROW('KSH järjestus'!BT65),MATCH('KSH järjestus'!BT$3,KOMBI!$A$1:$GI$1,0))</f>
        <v>-7.3040295863748272E-2</v>
      </c>
      <c r="BU58" s="25">
        <f t="array" ref="BU58">INDEX(KOMBI!$A$1:$GI$145,ROW('KSH järjestus'!BU65),MATCH('KSH järjestus'!BU$3,KOMBI!$A$1:$GI$1,0))</f>
        <v>5.1610567987315106</v>
      </c>
      <c r="BV58" s="25">
        <f t="array" ref="BV58">INDEX(KOMBI!$A$1:$GI$145,ROW('KSH järjestus'!BV65),MATCH('KSH järjestus'!BV$3,KOMBI!$A$1:$GI$1,0))</f>
        <v>1.6020000000000001</v>
      </c>
      <c r="BW58" s="25">
        <f t="array" ref="BW58">INDEX(KOMBI!$A$1:$GI$145,ROW('KSH järjestus'!BW65),MATCH('KSH järjestus'!BW$3,KOMBI!$A$1:$GI$1,0))</f>
        <v>2.7043823271229703</v>
      </c>
      <c r="BX58" s="25">
        <f t="array" ref="BX58">INDEX(KOMBI!$A$1:$GI$145,ROW('KSH järjestus'!BX65),MATCH('KSH järjestus'!BX$3,KOMBI!$A$1:$GI$1,0))</f>
        <v>18.667721793242819</v>
      </c>
      <c r="BY58" s="25">
        <f t="array" ref="BY58">INDEX(KOMBI!$A$1:$GI$145,ROW('KSH järjestus'!BY65),MATCH('KSH järjestus'!BY$3,KOMBI!$A$1:$GI$1,0))</f>
        <v>7.590945462772634</v>
      </c>
      <c r="BZ58" s="25">
        <f t="array" ref="BZ58">INDEX(KOMBI!$A$1:$GI$145,ROW('KSH järjestus'!BZ65),MATCH('KSH järjestus'!BZ$3,KOMBI!$A$1:$GI$1,0))</f>
        <v>81</v>
      </c>
      <c r="CA58" s="25">
        <f t="array" ref="CA58">INDEX(KOMBI!$A$1:$GI$145,ROW('KSH järjestus'!CA65),MATCH('KSH järjestus'!CA$3,KOMBI!$A$1:$GI$1,0))</f>
        <v>10.768000000000001</v>
      </c>
      <c r="CB58" s="25">
        <f t="array" ref="CB58">INDEX(KOMBI!$A$1:$GI$145,ROW('KSH järjestus'!CB65),MATCH('KSH järjestus'!CB$3,KOMBI!$A$1:$GI$1,0))</f>
        <v>43.080833333333338</v>
      </c>
      <c r="CC58" s="25">
        <f t="array" ref="CC58">INDEX(KOMBI!$A$1:$GI$145,ROW('KSH järjestus'!CC65),MATCH('KSH järjestus'!CC$3,KOMBI!$A$1:$GI$1,0))</f>
        <v>4.3135459999999997</v>
      </c>
      <c r="CD58" s="25">
        <f t="array" ref="CD58">INDEX(KOMBI!$A$1:$GI$145,ROW('KSH järjestus'!CD65),MATCH('KSH järjestus'!CD$3,KOMBI!$A$1:$GI$1,0))</f>
        <v>327.64999999999998</v>
      </c>
      <c r="CE58" s="25">
        <f t="array" ref="CE58">INDEX(KOMBI!$A$1:$GI$145,ROW('KSH järjestus'!CE65),MATCH('KSH järjestus'!CE$3,KOMBI!$A$1:$GI$1,0))</f>
        <v>3.1680000000000001</v>
      </c>
      <c r="CF58" s="25">
        <f t="array" ref="CF58">INDEX(KOMBI!$A$1:$GI$145,ROW('KSH järjestus'!CF65),MATCH('KSH järjestus'!CF$3,KOMBI!$A$1:$GI$1,0))</f>
        <v>45.144166666666663</v>
      </c>
      <c r="CG58" s="25">
        <f t="array" ref="CG58">INDEX(KOMBI!$A$1:$GI$145,ROW('KSH järjestus'!CG65),MATCH('KSH järjestus'!CG$3,KOMBI!$A$1:$GI$1,0))</f>
        <v>2.1300063549572323E-2</v>
      </c>
      <c r="CH58" s="25">
        <f t="array" ref="CH58">INDEX(KOMBI!$A$1:$GI$145,ROW('KSH järjestus'!CH65),MATCH('KSH järjestus'!CH$3,KOMBI!$A$1:$GI$1,0))</f>
        <v>0.4856183356770486</v>
      </c>
      <c r="CI58" s="25">
        <f t="array" ref="CI58">INDEX(KOMBI!$A$1:$GI$145,ROW('KSH järjestus'!CI65),MATCH('KSH järjestus'!CI$3,KOMBI!$A$1:$GI$1,0))</f>
        <v>11.370000000000001</v>
      </c>
      <c r="CJ58" s="25">
        <f t="array" ref="CJ58">INDEX(KOMBI!$A$1:$GI$145,ROW('KSH järjestus'!CJ65),MATCH('KSH järjestus'!CJ$3,KOMBI!$A$1:$GI$1,0))</f>
        <v>4.3543823271229707</v>
      </c>
      <c r="CK58" s="25">
        <f t="array" ref="CK58">INDEX(KOMBI!$A$1:$GI$145,ROW('KSH järjestus'!CK65),MATCH('KSH järjestus'!CK$3,KOMBI!$A$1:$GI$1,0))</f>
        <v>0.22900000000000001</v>
      </c>
      <c r="CL58" s="25">
        <f t="array" ref="CL58">INDEX(KOMBI!$A$1:$GI$145,ROW('KSH järjestus'!CL65),MATCH('KSH järjestus'!CL$3,KOMBI!$A$1:$GI$1,0))</f>
        <v>0.82899999999999996</v>
      </c>
    </row>
    <row r="59" spans="3:90" x14ac:dyDescent="0.2">
      <c r="C59" s="184">
        <v>56</v>
      </c>
      <c r="G59" s="25">
        <f>RANK(INDEX(KOMBI!$A$11:$GI$145,MATCH('KSH järjestus'!$C59,KOMBI!$A$11:$A$145,0),MATCH('KSH järjestus'!G$3,KOMBI!$A$1:$GI$1,0)),BD$4:BD$138,G$2)</f>
        <v>106</v>
      </c>
      <c r="H59" s="25">
        <f>RANK(INDEX(KOMBI!$A$11:$GI$145,MATCH('KSH järjestus'!$C59,KOMBI!$A$11:$A$145,0),MATCH('KSH järjestus'!H$3,KOMBI!$A$1:$GI$1,0)),BE$4:BE$138,H$2)</f>
        <v>93</v>
      </c>
      <c r="J59" s="25">
        <f>RANK(INDEX(KOMBI!$A$11:$GI$145,MATCH('KSH järjestus'!$C59,KOMBI!$A$11:$A$145,0),MATCH('KSH järjestus'!J$3,KOMBI!$A$1:$GI$1,0)),BG$4:BG$138,J$2)</f>
        <v>121</v>
      </c>
      <c r="M59" s="25">
        <f>RANK(INDEX(KOMBI!$A$11:$GI$145,MATCH('KSH järjestus'!$C59,KOMBI!$A$11:$A$145,0),MATCH('KSH järjestus'!M$3,KOMBI!$A$1:$GI$1,0)),BJ$4:BJ$138,M$2)</f>
        <v>109</v>
      </c>
      <c r="N59" s="25">
        <f>RANK(INDEX(KOMBI!$A$11:$GI$145,MATCH('KSH järjestus'!$C59,KOMBI!$A$11:$A$145,0),MATCH('KSH järjestus'!N$3,KOMBI!$A$1:$GI$1,0)),BK$4:BK$138,N$2)</f>
        <v>16</v>
      </c>
      <c r="O59" s="25">
        <f>RANK(INDEX(KOMBI!$A$11:$GI$145,MATCH('KSH järjestus'!$C59,KOMBI!$A$11:$A$145,0),MATCH('KSH järjestus'!O$3,KOMBI!$A$1:$GI$1,0)),BL$4:BL$138,O$2)</f>
        <v>92</v>
      </c>
      <c r="P59" s="25">
        <f>RANK(INDEX(KOMBI!$A$11:$GI$145,MATCH('KSH järjestus'!$C59,KOMBI!$A$11:$A$145,0),MATCH('KSH järjestus'!P$3,KOMBI!$A$1:$GI$1,0)),BM$4:BM$138,P$2)</f>
        <v>82</v>
      </c>
      <c r="Q59" s="25">
        <f>RANK(INDEX(KOMBI!$A$11:$GI$145,MATCH('KSH järjestus'!$C59,KOMBI!$A$11:$A$145,0),MATCH('KSH järjestus'!Q$3,KOMBI!$A$1:$GI$1,0)),BN$4:BN$138,Q$2)</f>
        <v>69</v>
      </c>
      <c r="R59" s="25">
        <f>RANK(INDEX(KOMBI!$A$11:$GI$145,MATCH('KSH järjestus'!$C59,KOMBI!$A$11:$A$145,0),MATCH('KSH järjestus'!R$3,KOMBI!$A$1:$GI$1,0)),BO$4:BO$138,R$2)</f>
        <v>108</v>
      </c>
      <c r="T59" s="25">
        <f>RANK(INDEX(KOMBI!$A$11:$GI$145,MATCH('KSH järjestus'!$C59,KOMBI!$A$11:$A$145,0),MATCH('KSH järjestus'!T$3,KOMBI!$A$1:$GI$1,0)),BQ$4:BQ$138,T$2)</f>
        <v>58</v>
      </c>
      <c r="U59" s="25">
        <f>RANK(INDEX(KOMBI!$A$11:$GI$145,MATCH('KSH järjestus'!$C59,KOMBI!$A$11:$A$145,0),MATCH('KSH järjestus'!U$3,KOMBI!$A$1:$GI$1,0)),BR$4:BR$138,U$2)</f>
        <v>49</v>
      </c>
      <c r="AA59" s="25">
        <f>RANK(INDEX(KOMBI!$A$11:$GI$145,MATCH('KSH järjestus'!$C59,KOMBI!$A$11:$A$145,0),MATCH('KSH järjestus'!AA$3,KOMBI!$A$1:$GI$1,0)),BX$4:BX$138,AA$2)</f>
        <v>73</v>
      </c>
      <c r="AB59" s="25">
        <f>RANK(INDEX(KOMBI!$A$11:$GI$145,MATCH('KSH järjestus'!$C59,KOMBI!$A$11:$A$145,0),MATCH('KSH järjestus'!AB$3,KOMBI!$A$1:$GI$1,0)),BY$4:BY$138,AB$2)</f>
        <v>22</v>
      </c>
      <c r="AC59" s="25">
        <f>RANK(INDEX(KOMBI!$A$11:$GI$145,MATCH('KSH järjestus'!$C59,KOMBI!$A$11:$A$145,0),MATCH('KSH järjestus'!AC$3,KOMBI!$A$1:$GI$1,0)),BZ$4:BZ$138,AC$2)</f>
        <v>97</v>
      </c>
      <c r="AD59" s="25">
        <f>RANK(INDEX(KOMBI!$A$11:$GI$145,MATCH('KSH järjestus'!$C59,KOMBI!$A$11:$A$145,0),MATCH('KSH järjestus'!AD$3,KOMBI!$A$1:$GI$1,0)),CA$4:CA$138,AD$2)</f>
        <v>23</v>
      </c>
      <c r="AE59" s="25">
        <f>RANK(INDEX(KOMBI!$A$11:$GI$145,MATCH('KSH järjestus'!$C59,KOMBI!$A$11:$A$145,0),MATCH('KSH järjestus'!AE$3,KOMBI!$A$1:$GI$1,0)),CB$4:CB$138,AE$2)</f>
        <v>23</v>
      </c>
      <c r="AG59" s="25">
        <f>RANK(INDEX(KOMBI!$A$11:$GI$145,MATCH('KSH järjestus'!$C59,KOMBI!$A$11:$A$145,0),MATCH('KSH järjestus'!AG$3,KOMBI!$A$1:$GI$1,0)),CD$4:CD$138,AG$2)</f>
        <v>118</v>
      </c>
      <c r="AH59" s="25">
        <f>RANK(INDEX(KOMBI!$A$11:$GI$145,MATCH('KSH järjestus'!$C59,KOMBI!$A$11:$A$145,0),MATCH('KSH järjestus'!AH$3,KOMBI!$A$1:$GI$1,0)),CE$4:CE$138,AH$2)</f>
        <v>121</v>
      </c>
      <c r="AI59" s="25">
        <f>RANK(INDEX(KOMBI!$A$11:$GI$145,MATCH('KSH järjestus'!$C59,KOMBI!$A$11:$A$145,0),MATCH('KSH järjestus'!AI$3,KOMBI!$A$1:$GI$1,0)),CF$4:CF$138,AI$2)</f>
        <v>37</v>
      </c>
      <c r="AJ59" s="25">
        <f>RANK(INDEX(KOMBI!$A$11:$GI$145,MATCH('KSH järjestus'!$C59,KOMBI!$A$11:$A$145,0),MATCH('KSH järjestus'!AJ$3,KOMBI!$A$1:$GI$1,0)),CG$4:CG$138,AJ$2)</f>
        <v>100</v>
      </c>
      <c r="AK59" s="25">
        <f>RANK(INDEX(KOMBI!$A$11:$GI$145,MATCH('KSH järjestus'!$C59,KOMBI!$A$11:$A$145,0),MATCH('KSH järjestus'!AK$3,KOMBI!$A$1:$GI$1,0)),CH$4:CH$138,AK$2)</f>
        <v>25</v>
      </c>
      <c r="AN59" s="25">
        <f>RANK(INDEX(KOMBI!$A$11:$GI$145,MATCH('KSH järjestus'!$C59,KOMBI!$A$11:$A$145,0),MATCH('KSH järjestus'!AN$3,KOMBI!$A$1:$GI$1,0)),CK$4:CK$138,AN$2)</f>
        <v>91</v>
      </c>
      <c r="AO59" s="25">
        <f>RANK(INDEX(KOMBI!$A$11:$GI$145,MATCH('KSH järjestus'!$C59,KOMBI!$A$11:$A$145,0),MATCH('KSH järjestus'!AO$3,KOMBI!$A$1:$GI$1,0)),CL$4:CL$138,AO$2)</f>
        <v>91</v>
      </c>
      <c r="AS59" s="297">
        <f t="shared" si="3"/>
        <v>1724</v>
      </c>
      <c r="AT59" s="25">
        <f t="shared" si="1"/>
        <v>1363</v>
      </c>
      <c r="AU59" s="25">
        <f t="shared" si="2"/>
        <v>70</v>
      </c>
      <c r="AV59" s="295" t="str">
        <f>VLOOKUP(VLOOKUP($AU59,KOMBI!$A:$H,3,FALSE),data!$I$27:$J$29,2,FALSE)</f>
        <v>Vähe-sekkuv</v>
      </c>
      <c r="AW59" s="295" t="str">
        <f>VLOOKUP(VLOOKUP($AU59,KOMBI!$A:$H,2,FALSE),data!$I$21:$J$23,2,FALSE)</f>
        <v>Vähe-sekkuv</v>
      </c>
      <c r="AX59" s="295" t="str">
        <f>VLOOKUP(VLOOKUP($AU59,KOMBI!$A:$H,5,FALSE),data!$I$39:$J$41,2,FALSE)</f>
        <v>Mittesekkuv</v>
      </c>
      <c r="AY59" s="295" t="str">
        <f>VLOOKUP(VLOOKUP($AU59,KOMBI!$A:$H,4,FALSE),data!$I$32:$J$36,2,FALSE)</f>
        <v>TE++</v>
      </c>
      <c r="BA59" s="25">
        <f t="array" ref="BA59">INDEX(KOMBI!$A$1:$GI$145,ROW('KSH järjestus'!BA66),MATCH('KSH järjestus'!BA$3,KOMBI!$A$1:$GI$1,0))</f>
        <v>7.6292456435471214</v>
      </c>
      <c r="BB59" s="25">
        <f t="array" ref="BB59">INDEX(KOMBI!$A$1:$GI$145,ROW('KSH järjestus'!BB66),MATCH('KSH järjestus'!BB$3,KOMBI!$A$1:$GI$1,0))</f>
        <v>312.60166763355437</v>
      </c>
      <c r="BC59" s="25">
        <f t="array" aca="1" ref="BC59" ca="1">INDEX(KOMBI!$A$1:$GI$145,ROW('KSH järjestus'!BC66),MATCH('KSH järjestus'!BC$3,KOMBI!$A$1:$GI$1,0))</f>
        <v>84.476881095326988</v>
      </c>
      <c r="BD59" s="25">
        <f t="array" ref="BD59">INDEX(KOMBI!$A$1:$GI$145,ROW('KSH järjestus'!BD66),MATCH('KSH järjestus'!BD$3,KOMBI!$A$1:$GI$1,0))</f>
        <v>-40.314469880632103</v>
      </c>
      <c r="BE59" s="25">
        <f t="array" ref="BE59">INDEX(KOMBI!$A$1:$GI$145,ROW('KSH järjestus'!BE66),MATCH('KSH järjestus'!BE$3,KOMBI!$A$1:$GI$1,0))</f>
        <v>124.79135097595909</v>
      </c>
      <c r="BF59" s="25">
        <f t="array" aca="1" ref="BF59" ca="1">INDEX(KOMBI!$A$1:$GI$145,ROW('KSH järjestus'!BF66),MATCH('KSH järjestus'!BF$3,KOMBI!$A$1:$GI$1,0))</f>
        <v>0</v>
      </c>
      <c r="BG59" s="25">
        <f t="array" ref="BG59">INDEX(KOMBI!$A$1:$GI$145,ROW('KSH järjestus'!BG66),MATCH('KSH järjestus'!BG$3,KOMBI!$A$1:$GI$1,0))</f>
        <v>0.64390259112741344</v>
      </c>
      <c r="BH59" s="25">
        <f t="array" ref="BH59">INDEX(KOMBI!$A$1:$GI$145,ROW('KSH järjestus'!BH66),MATCH('KSH järjestus'!BH$3,KOMBI!$A$1:$GI$1,0))</f>
        <v>90</v>
      </c>
      <c r="BI59" s="25">
        <f t="array" ref="BI59">INDEX(KOMBI!$A$1:$GI$145,ROW('KSH järjestus'!BI66),MATCH('KSH järjestus'!BI$3,KOMBI!$A$1:$GI$1,0))</f>
        <v>0.84317482403548605</v>
      </c>
      <c r="BJ59" s="25">
        <f t="array" ref="BJ59">INDEX(KOMBI!$A$1:$GI$145,ROW('KSH järjestus'!BJ66),MATCH('KSH järjestus'!BJ$3,KOMBI!$A$1:$GI$1,0))</f>
        <v>0.36609829488465395</v>
      </c>
      <c r="BK59" s="25">
        <f t="array" ref="BK59">INDEX(KOMBI!$A$1:$GI$145,ROW('KSH järjestus'!BK66),MATCH('KSH järjestus'!BK$3,KOMBI!$A$1:$GI$1,0))</f>
        <v>0.57849627288208527</v>
      </c>
      <c r="BL59" s="25">
        <f t="array" ref="BL59">INDEX(KOMBI!$A$1:$GI$145,ROW('KSH järjestus'!BL66),MATCH('KSH järjestus'!BL$3,KOMBI!$A$1:$GI$1,0))</f>
        <v>1.2260108493735034E-2</v>
      </c>
      <c r="BM59" s="25">
        <f t="array" ref="BM59">INDEX(KOMBI!$A$1:$GI$145,ROW('KSH järjestus'!BM66),MATCH('KSH järjestus'!BM$3,KOMBI!$A$1:$GI$1,0))</f>
        <v>-4.8272740954287581E-4</v>
      </c>
      <c r="BN59" s="25">
        <f t="array" ref="BN59">INDEX(KOMBI!$A$1:$GI$145,ROW('KSH järjestus'!BN66),MATCH('KSH järjestus'!BN$3,KOMBI!$A$1:$GI$1,0))</f>
        <v>4.0375423993568305E-3</v>
      </c>
      <c r="BO59" s="25">
        <f t="array" ref="BO59">INDEX(KOMBI!$A$1:$GI$145,ROW('KSH järjestus'!BO66),MATCH('KSH järjestus'!BO$3,KOMBI!$A$1:$GI$1,0))</f>
        <v>8.2754461841711181E-3</v>
      </c>
      <c r="BP59" s="25">
        <f t="array" ref="BP59">INDEX(KOMBI!$A$1:$GI$145,ROW('KSH järjestus'!BP66),MATCH('KSH järjestus'!BP$3,KOMBI!$A$1:$GI$1,0))</f>
        <v>8.5748313570900958</v>
      </c>
      <c r="BQ59" s="25">
        <f t="array" ref="BQ59">INDEX(KOMBI!$A$1:$GI$145,ROW('KSH järjestus'!BQ66),MATCH('KSH järjestus'!BQ$3,KOMBI!$A$1:$GI$1,0))</f>
        <v>10.53</v>
      </c>
      <c r="BR59" s="25">
        <f t="array" ref="BR59">INDEX(KOMBI!$A$1:$GI$145,ROW('KSH järjestus'!BR66),MATCH('KSH järjestus'!BR$3,KOMBI!$A$1:$GI$1,0))</f>
        <v>-3.2010180379609746E-2</v>
      </c>
      <c r="BS59" s="25">
        <f t="array" ref="BS59">INDEX(KOMBI!$A$1:$GI$145,ROW('KSH järjestus'!BS66),MATCH('KSH järjestus'!BS$3,KOMBI!$A$1:$GI$1,0))</f>
        <v>-0.15964251799414125</v>
      </c>
      <c r="BT59" s="25">
        <f t="array" ref="BT59">INDEX(KOMBI!$A$1:$GI$145,ROW('KSH järjestus'!BT66),MATCH('KSH järjestus'!BT$3,KOMBI!$A$1:$GI$1,0))</f>
        <v>-7.194133306435431E-2</v>
      </c>
      <c r="BU59" s="25">
        <f t="array" ref="BU59">INDEX(KOMBI!$A$1:$GI$145,ROW('KSH järjestus'!BU66),MATCH('KSH järjestus'!BU$3,KOMBI!$A$1:$GI$1,0))</f>
        <v>5.1610567987315106</v>
      </c>
      <c r="BV59" s="25">
        <f t="array" ref="BV59">INDEX(KOMBI!$A$1:$GI$145,ROW('KSH järjestus'!BV66),MATCH('KSH järjestus'!BV$3,KOMBI!$A$1:$GI$1,0))</f>
        <v>1.6020000000000001</v>
      </c>
      <c r="BW59" s="25">
        <f t="array" ref="BW59">INDEX(KOMBI!$A$1:$GI$145,ROW('KSH järjestus'!BW66),MATCH('KSH järjestus'!BW$3,KOMBI!$A$1:$GI$1,0))</f>
        <v>3.0818823271229703</v>
      </c>
      <c r="BX59" s="25">
        <f t="array" ref="BX59">INDEX(KOMBI!$A$1:$GI$145,ROW('KSH järjestus'!BX66),MATCH('KSH järjestus'!BX$3,KOMBI!$A$1:$GI$1,0))</f>
        <v>18.667721793242819</v>
      </c>
      <c r="BY59" s="25">
        <f t="array" ref="BY59">INDEX(KOMBI!$A$1:$GI$145,ROW('KSH järjestus'!BY66),MATCH('KSH järjestus'!BY$3,KOMBI!$A$1:$GI$1,0))</f>
        <v>7.590945462772634</v>
      </c>
      <c r="BZ59" s="25">
        <f t="array" ref="BZ59">INDEX(KOMBI!$A$1:$GI$145,ROW('KSH järjestus'!BZ66),MATCH('KSH järjestus'!BZ$3,KOMBI!$A$1:$GI$1,0))</f>
        <v>81.400000000000006</v>
      </c>
      <c r="CA59" s="25">
        <f t="array" ref="CA59">INDEX(KOMBI!$A$1:$GI$145,ROW('KSH järjestus'!CA66),MATCH('KSH järjestus'!CA$3,KOMBI!$A$1:$GI$1,0))</f>
        <v>10.856999999999999</v>
      </c>
      <c r="CB59" s="25">
        <f t="array" ref="CB59">INDEX(KOMBI!$A$1:$GI$145,ROW('KSH järjestus'!CB66),MATCH('KSH järjestus'!CB$3,KOMBI!$A$1:$GI$1,0))</f>
        <v>43.421111111111109</v>
      </c>
      <c r="CC59" s="25">
        <f t="array" ref="CC59">INDEX(KOMBI!$A$1:$GI$145,ROW('KSH järjestus'!CC66),MATCH('KSH järjestus'!CC$3,KOMBI!$A$1:$GI$1,0))</f>
        <v>4.346838</v>
      </c>
      <c r="CD59" s="25">
        <f t="array" ref="CD59">INDEX(KOMBI!$A$1:$GI$145,ROW('KSH järjestus'!CD66),MATCH('KSH järjestus'!CD$3,KOMBI!$A$1:$GI$1,0))</f>
        <v>327.64999999999998</v>
      </c>
      <c r="CE59" s="25">
        <f t="array" ref="CE59">INDEX(KOMBI!$A$1:$GI$145,ROW('KSH järjestus'!CE66),MATCH('KSH järjestus'!CE$3,KOMBI!$A$1:$GI$1,0))</f>
        <v>3.1680000000000001</v>
      </c>
      <c r="CF59" s="25">
        <f t="array" ref="CF59">INDEX(KOMBI!$A$1:$GI$145,ROW('KSH järjestus'!CF66),MATCH('KSH järjestus'!CF$3,KOMBI!$A$1:$GI$1,0))</f>
        <v>45.144166666666663</v>
      </c>
      <c r="CG59" s="25">
        <f t="array" ref="CG59">INDEX(KOMBI!$A$1:$GI$145,ROW('KSH järjestus'!CG66),MATCH('KSH järjestus'!CG$3,KOMBI!$A$1:$GI$1,0))</f>
        <v>2.1300063549572323E-2</v>
      </c>
      <c r="CH59" s="25">
        <f t="array" ref="CH59">INDEX(KOMBI!$A$1:$GI$145,ROW('KSH järjestus'!CH66),MATCH('KSH järjestus'!CH$3,KOMBI!$A$1:$GI$1,0))</f>
        <v>0.4856183356770486</v>
      </c>
      <c r="CI59" s="25">
        <f t="array" ref="CI59">INDEX(KOMBI!$A$1:$GI$145,ROW('KSH järjestus'!CI66),MATCH('KSH järjestus'!CI$3,KOMBI!$A$1:$GI$1,0))</f>
        <v>11.370000000000001</v>
      </c>
      <c r="CJ59" s="25">
        <f t="array" ref="CJ59">INDEX(KOMBI!$A$1:$GI$145,ROW('KSH järjestus'!CJ66),MATCH('KSH järjestus'!CJ$3,KOMBI!$A$1:$GI$1,0))</f>
        <v>4.3543823271229707</v>
      </c>
      <c r="CK59" s="25">
        <f t="array" ref="CK59">INDEX(KOMBI!$A$1:$GI$145,ROW('KSH järjestus'!CK66),MATCH('KSH järjestus'!CK$3,KOMBI!$A$1:$GI$1,0))</f>
        <v>0.22900000000000001</v>
      </c>
      <c r="CL59" s="25">
        <f t="array" ref="CL59">INDEX(KOMBI!$A$1:$GI$145,ROW('KSH järjestus'!CL66),MATCH('KSH järjestus'!CL$3,KOMBI!$A$1:$GI$1,0))</f>
        <v>0.82899999999999996</v>
      </c>
    </row>
    <row r="60" spans="3:90" x14ac:dyDescent="0.2">
      <c r="C60" s="184">
        <v>57</v>
      </c>
      <c r="G60" s="25">
        <f>RANK(INDEX(KOMBI!$A$11:$GI$145,MATCH('KSH järjestus'!$C60,KOMBI!$A$11:$A$145,0),MATCH('KSH järjestus'!G$3,KOMBI!$A$1:$GI$1,0)),BD$4:BD$138,G$2)</f>
        <v>86</v>
      </c>
      <c r="H60" s="25">
        <f>RANK(INDEX(KOMBI!$A$11:$GI$145,MATCH('KSH järjestus'!$C60,KOMBI!$A$11:$A$145,0),MATCH('KSH järjestus'!H$3,KOMBI!$A$1:$GI$1,0)),BE$4:BE$138,H$2)</f>
        <v>69</v>
      </c>
      <c r="J60" s="25">
        <f>RANK(INDEX(KOMBI!$A$11:$GI$145,MATCH('KSH järjestus'!$C60,KOMBI!$A$11:$A$145,0),MATCH('KSH järjestus'!J$3,KOMBI!$A$1:$GI$1,0)),BG$4:BG$138,J$2)</f>
        <v>121</v>
      </c>
      <c r="M60" s="25">
        <f>RANK(INDEX(KOMBI!$A$11:$GI$145,MATCH('KSH järjestus'!$C60,KOMBI!$A$11:$A$145,0),MATCH('KSH järjestus'!M$3,KOMBI!$A$1:$GI$1,0)),BJ$4:BJ$138,M$2)</f>
        <v>109</v>
      </c>
      <c r="N60" s="25">
        <f>RANK(INDEX(KOMBI!$A$11:$GI$145,MATCH('KSH järjestus'!$C60,KOMBI!$A$11:$A$145,0),MATCH('KSH järjestus'!N$3,KOMBI!$A$1:$GI$1,0)),BK$4:BK$138,N$2)</f>
        <v>16</v>
      </c>
      <c r="O60" s="25">
        <f>RANK(INDEX(KOMBI!$A$11:$GI$145,MATCH('KSH järjestus'!$C60,KOMBI!$A$11:$A$145,0),MATCH('KSH järjestus'!O$3,KOMBI!$A$1:$GI$1,0)),BL$4:BL$138,O$2)</f>
        <v>62</v>
      </c>
      <c r="P60" s="25">
        <f>RANK(INDEX(KOMBI!$A$11:$GI$145,MATCH('KSH järjestus'!$C60,KOMBI!$A$11:$A$145,0),MATCH('KSH järjestus'!P$3,KOMBI!$A$1:$GI$1,0)),BM$4:BM$138,P$2)</f>
        <v>81</v>
      </c>
      <c r="Q60" s="25">
        <f>RANK(INDEX(KOMBI!$A$11:$GI$145,MATCH('KSH järjestus'!$C60,KOMBI!$A$11:$A$145,0),MATCH('KSH järjestus'!Q$3,KOMBI!$A$1:$GI$1,0)),BN$4:BN$138,Q$2)</f>
        <v>52</v>
      </c>
      <c r="R60" s="25">
        <f>RANK(INDEX(KOMBI!$A$11:$GI$145,MATCH('KSH järjestus'!$C60,KOMBI!$A$11:$A$145,0),MATCH('KSH järjestus'!R$3,KOMBI!$A$1:$GI$1,0)),BO$4:BO$138,R$2)</f>
        <v>74</v>
      </c>
      <c r="T60" s="25">
        <f>RANK(INDEX(KOMBI!$A$11:$GI$145,MATCH('KSH järjestus'!$C60,KOMBI!$A$11:$A$145,0),MATCH('KSH järjestus'!T$3,KOMBI!$A$1:$GI$1,0)),BQ$4:BQ$138,T$2)</f>
        <v>71</v>
      </c>
      <c r="U60" s="25">
        <f>RANK(INDEX(KOMBI!$A$11:$GI$145,MATCH('KSH järjestus'!$C60,KOMBI!$A$11:$A$145,0),MATCH('KSH järjestus'!U$3,KOMBI!$A$1:$GI$1,0)),BR$4:BR$138,U$2)</f>
        <v>61</v>
      </c>
      <c r="AA60" s="25">
        <f>RANK(INDEX(KOMBI!$A$11:$GI$145,MATCH('KSH järjestus'!$C60,KOMBI!$A$11:$A$145,0),MATCH('KSH järjestus'!AA$3,KOMBI!$A$1:$GI$1,0)),BX$4:BX$138,AA$2)</f>
        <v>73</v>
      </c>
      <c r="AB60" s="25">
        <f>RANK(INDEX(KOMBI!$A$11:$GI$145,MATCH('KSH järjestus'!$C60,KOMBI!$A$11:$A$145,0),MATCH('KSH järjestus'!AB$3,KOMBI!$A$1:$GI$1,0)),BY$4:BY$138,AB$2)</f>
        <v>22</v>
      </c>
      <c r="AC60" s="25">
        <f>RANK(INDEX(KOMBI!$A$11:$GI$145,MATCH('KSH järjestus'!$C60,KOMBI!$A$11:$A$145,0),MATCH('KSH järjestus'!AC$3,KOMBI!$A$1:$GI$1,0)),BZ$4:BZ$138,AC$2)</f>
        <v>101</v>
      </c>
      <c r="AD60" s="25">
        <f>RANK(INDEX(KOMBI!$A$11:$GI$145,MATCH('KSH järjestus'!$C60,KOMBI!$A$11:$A$145,0),MATCH('KSH järjestus'!AD$3,KOMBI!$A$1:$GI$1,0)),CA$4:CA$138,AD$2)</f>
        <v>24</v>
      </c>
      <c r="AE60" s="25">
        <f>RANK(INDEX(KOMBI!$A$11:$GI$145,MATCH('KSH järjestus'!$C60,KOMBI!$A$11:$A$145,0),MATCH('KSH järjestus'!AE$3,KOMBI!$A$1:$GI$1,0)),CB$4:CB$138,AE$2)</f>
        <v>24</v>
      </c>
      <c r="AG60" s="25">
        <f>RANK(INDEX(KOMBI!$A$11:$GI$145,MATCH('KSH järjestus'!$C60,KOMBI!$A$11:$A$145,0),MATCH('KSH järjestus'!AG$3,KOMBI!$A$1:$GI$1,0)),CD$4:CD$138,AG$2)</f>
        <v>118</v>
      </c>
      <c r="AH60" s="25">
        <f>RANK(INDEX(KOMBI!$A$11:$GI$145,MATCH('KSH järjestus'!$C60,KOMBI!$A$11:$A$145,0),MATCH('KSH järjestus'!AH$3,KOMBI!$A$1:$GI$1,0)),CE$4:CE$138,AH$2)</f>
        <v>121</v>
      </c>
      <c r="AI60" s="25">
        <f>RANK(INDEX(KOMBI!$A$11:$GI$145,MATCH('KSH järjestus'!$C60,KOMBI!$A$11:$A$145,0),MATCH('KSH järjestus'!AI$3,KOMBI!$A$1:$GI$1,0)),CF$4:CF$138,AI$2)</f>
        <v>37</v>
      </c>
      <c r="AJ60" s="25">
        <f>RANK(INDEX(KOMBI!$A$11:$GI$145,MATCH('KSH järjestus'!$C60,KOMBI!$A$11:$A$145,0),MATCH('KSH järjestus'!AJ$3,KOMBI!$A$1:$GI$1,0)),CG$4:CG$138,AJ$2)</f>
        <v>100</v>
      </c>
      <c r="AK60" s="25">
        <f>RANK(INDEX(KOMBI!$A$11:$GI$145,MATCH('KSH järjestus'!$C60,KOMBI!$A$11:$A$145,0),MATCH('KSH järjestus'!AK$3,KOMBI!$A$1:$GI$1,0)),CH$4:CH$138,AK$2)</f>
        <v>25</v>
      </c>
      <c r="AN60" s="25">
        <f>RANK(INDEX(KOMBI!$A$11:$GI$145,MATCH('KSH järjestus'!$C60,KOMBI!$A$11:$A$145,0),MATCH('KSH järjestus'!AN$3,KOMBI!$A$1:$GI$1,0)),CK$4:CK$138,AN$2)</f>
        <v>91</v>
      </c>
      <c r="AO60" s="25">
        <f>RANK(INDEX(KOMBI!$A$11:$GI$145,MATCH('KSH järjestus'!$C60,KOMBI!$A$11:$A$145,0),MATCH('KSH järjestus'!AO$3,KOMBI!$A$1:$GI$1,0)),CL$4:CL$138,AO$2)</f>
        <v>91</v>
      </c>
      <c r="AS60" s="297">
        <f t="shared" si="3"/>
        <v>1629</v>
      </c>
      <c r="AT60" s="25">
        <f t="shared" si="1"/>
        <v>1365</v>
      </c>
      <c r="AU60" s="25">
        <f t="shared" si="2"/>
        <v>40</v>
      </c>
      <c r="AV60" s="295" t="str">
        <f>VLOOKUP(VLOOKUP($AU60,KOMBI!$A:$H,3,FALSE),data!$I$27:$J$29,2,FALSE)</f>
        <v>Sekkuv/EÜ</v>
      </c>
      <c r="AW60" s="295" t="str">
        <f>VLOOKUP(VLOOKUP($AU60,KOMBI!$A:$H,2,FALSE),data!$I$21:$J$23,2,FALSE)</f>
        <v>Mittesekkuv</v>
      </c>
      <c r="AX60" s="295" t="str">
        <f>VLOOKUP(VLOOKUP($AU60,KOMBI!$A:$H,5,FALSE),data!$I$39:$J$41,2,FALSE)</f>
        <v>Mittesekkuv</v>
      </c>
      <c r="AY60" s="295" t="str">
        <f>VLOOKUP(VLOOKUP($AU60,KOMBI!$A:$H,4,FALSE),data!$I$32:$J$36,2,FALSE)</f>
        <v>TE++</v>
      </c>
      <c r="BA60" s="25">
        <f t="array" ref="BA60">INDEX(KOMBI!$A$1:$GI$145,ROW('KSH järjestus'!BA67),MATCH('KSH järjestus'!BA$3,KOMBI!$A$1:$GI$1,0))</f>
        <v>8.5343453657886492</v>
      </c>
      <c r="BB60" s="25">
        <f t="array" ref="BB60">INDEX(KOMBI!$A$1:$GI$145,ROW('KSH järjestus'!BB67),MATCH('KSH järjestus'!BB$3,KOMBI!$A$1:$GI$1,0))</f>
        <v>429.21245865103367</v>
      </c>
      <c r="BC60" s="25">
        <f t="array" aca="1" ref="BC60" ca="1">INDEX(KOMBI!$A$1:$GI$145,ROW('KSH järjestus'!BC67),MATCH('KSH järjestus'!BC$3,KOMBI!$A$1:$GI$1,0))</f>
        <v>101.03129545441192</v>
      </c>
      <c r="BD60" s="25">
        <f t="array" ref="BD60">INDEX(KOMBI!$A$1:$GI$145,ROW('KSH järjestus'!BD67),MATCH('KSH järjestus'!BD$3,KOMBI!$A$1:$GI$1,0))</f>
        <v>-59.422063699091041</v>
      </c>
      <c r="BE60" s="25">
        <f t="array" ref="BE60">INDEX(KOMBI!$A$1:$GI$145,ROW('KSH järjestus'!BE67),MATCH('KSH järjestus'!BE$3,KOMBI!$A$1:$GI$1,0))</f>
        <v>160.45335915350296</v>
      </c>
      <c r="BF60" s="25">
        <f t="array" aca="1" ref="BF60" ca="1">INDEX(KOMBI!$A$1:$GI$145,ROW('KSH järjestus'!BF67),MATCH('KSH järjestus'!BF$3,KOMBI!$A$1:$GI$1,0))</f>
        <v>0</v>
      </c>
      <c r="BG60" s="25">
        <f t="array" ref="BG60">INDEX(KOMBI!$A$1:$GI$145,ROW('KSH järjestus'!BG67),MATCH('KSH järjestus'!BG$3,KOMBI!$A$1:$GI$1,0))</f>
        <v>0.64390259112741344</v>
      </c>
      <c r="BH60" s="25">
        <f t="array" ref="BH60">INDEX(KOMBI!$A$1:$GI$145,ROW('KSH järjestus'!BH67),MATCH('KSH järjestus'!BH$3,KOMBI!$A$1:$GI$1,0))</f>
        <v>90</v>
      </c>
      <c r="BI60" s="25">
        <f t="array" ref="BI60">INDEX(KOMBI!$A$1:$GI$145,ROW('KSH järjestus'!BI67),MATCH('KSH järjestus'!BI$3,KOMBI!$A$1:$GI$1,0))</f>
        <v>0.84317482403548605</v>
      </c>
      <c r="BJ60" s="25">
        <f t="array" ref="BJ60">INDEX(KOMBI!$A$1:$GI$145,ROW('KSH järjestus'!BJ67),MATCH('KSH järjestus'!BJ$3,KOMBI!$A$1:$GI$1,0))</f>
        <v>0.36609829488465395</v>
      </c>
      <c r="BK60" s="25">
        <f t="array" ref="BK60">INDEX(KOMBI!$A$1:$GI$145,ROW('KSH järjestus'!BK67),MATCH('KSH järjestus'!BK$3,KOMBI!$A$1:$GI$1,0))</f>
        <v>0.57849627288208527</v>
      </c>
      <c r="BL60" s="25">
        <f t="array" ref="BL60">INDEX(KOMBI!$A$1:$GI$145,ROW('KSH järjestus'!BL67),MATCH('KSH järjestus'!BL$3,KOMBI!$A$1:$GI$1,0))</f>
        <v>1.6911163871981553E-2</v>
      </c>
      <c r="BM60" s="25">
        <f t="array" ref="BM60">INDEX(KOMBI!$A$1:$GI$145,ROW('KSH järjestus'!BM67),MATCH('KSH järjestus'!BM$3,KOMBI!$A$1:$GI$1,0))</f>
        <v>-4.6996168250148943E-4</v>
      </c>
      <c r="BN60" s="25">
        <f t="array" ref="BN60">INDEX(KOMBI!$A$1:$GI$145,ROW('KSH järjestus'!BN67),MATCH('KSH järjestus'!BN$3,KOMBI!$A$1:$GI$1,0))</f>
        <v>5.3683322354035612E-3</v>
      </c>
      <c r="BO60" s="25">
        <f t="array" ref="BO60">INDEX(KOMBI!$A$1:$GI$145,ROW('KSH järjestus'!BO67),MATCH('KSH järjestus'!BO$3,KOMBI!$A$1:$GI$1,0))</f>
        <v>1.1669309632335973E-2</v>
      </c>
      <c r="BP60" s="25">
        <f t="array" ref="BP60">INDEX(KOMBI!$A$1:$GI$145,ROW('KSH järjestus'!BP67),MATCH('KSH järjestus'!BP$3,KOMBI!$A$1:$GI$1,0))</f>
        <v>8.5748313570900958</v>
      </c>
      <c r="BQ60" s="25">
        <f t="array" ref="BQ60">INDEX(KOMBI!$A$1:$GI$145,ROW('KSH järjestus'!BQ67),MATCH('KSH järjestus'!BQ$3,KOMBI!$A$1:$GI$1,0))</f>
        <v>10.754</v>
      </c>
      <c r="BR60" s="25">
        <f t="array" ref="BR60">INDEX(KOMBI!$A$1:$GI$145,ROW('KSH järjestus'!BR67),MATCH('KSH järjestus'!BR$3,KOMBI!$A$1:$GI$1,0))</f>
        <v>-2.8030693249163848E-2</v>
      </c>
      <c r="BS60" s="25">
        <f t="array" ref="BS60">INDEX(KOMBI!$A$1:$GI$145,ROW('KSH järjestus'!BS67),MATCH('KSH järjestus'!BS$3,KOMBI!$A$1:$GI$1,0))</f>
        <v>-0.15838335807785281</v>
      </c>
      <c r="BT60" s="25">
        <f t="array" ref="BT60">INDEX(KOMBI!$A$1:$GI$145,ROW('KSH järjestus'!BT67),MATCH('KSH järjestus'!BT$3,KOMBI!$A$1:$GI$1,0))</f>
        <v>-7.0480614091128047E-2</v>
      </c>
      <c r="BU60" s="25">
        <f t="array" ref="BU60">INDEX(KOMBI!$A$1:$GI$145,ROW('KSH järjestus'!BU67),MATCH('KSH järjestus'!BU$3,KOMBI!$A$1:$GI$1,0))</f>
        <v>5.1610567987315106</v>
      </c>
      <c r="BV60" s="25">
        <f t="array" ref="BV60">INDEX(KOMBI!$A$1:$GI$145,ROW('KSH järjestus'!BV67),MATCH('KSH järjestus'!BV$3,KOMBI!$A$1:$GI$1,0))</f>
        <v>1.6020000000000001</v>
      </c>
      <c r="BW60" s="25">
        <f t="array" ref="BW60">INDEX(KOMBI!$A$1:$GI$145,ROW('KSH järjestus'!BW67),MATCH('KSH järjestus'!BW$3,KOMBI!$A$1:$GI$1,0))</f>
        <v>3.2905823271229702</v>
      </c>
      <c r="BX60" s="25">
        <f t="array" ref="BX60">INDEX(KOMBI!$A$1:$GI$145,ROW('KSH järjestus'!BX67),MATCH('KSH järjestus'!BX$3,KOMBI!$A$1:$GI$1,0))</f>
        <v>18.667721793242819</v>
      </c>
      <c r="BY60" s="25">
        <f t="array" ref="BY60">INDEX(KOMBI!$A$1:$GI$145,ROW('KSH järjestus'!BY67),MATCH('KSH järjestus'!BY$3,KOMBI!$A$1:$GI$1,0))</f>
        <v>7.590945462772634</v>
      </c>
      <c r="BZ60" s="25">
        <f t="array" ref="BZ60">INDEX(KOMBI!$A$1:$GI$145,ROW('KSH järjestus'!BZ67),MATCH('KSH järjestus'!BZ$3,KOMBI!$A$1:$GI$1,0))</f>
        <v>83</v>
      </c>
      <c r="CA60" s="25">
        <f t="array" ref="CA60">INDEX(KOMBI!$A$1:$GI$145,ROW('KSH järjestus'!CA67),MATCH('KSH järjestus'!CA$3,KOMBI!$A$1:$GI$1,0))</f>
        <v>11.109</v>
      </c>
      <c r="CB60" s="25">
        <f t="array" ref="CB60">INDEX(KOMBI!$A$1:$GI$145,ROW('KSH järjestus'!CB67),MATCH('KSH järjestus'!CB$3,KOMBI!$A$1:$GI$1,0))</f>
        <v>44.329166666666666</v>
      </c>
      <c r="CC60" s="25">
        <f t="array" ref="CC60">INDEX(KOMBI!$A$1:$GI$145,ROW('KSH järjestus'!CC67),MATCH('KSH järjestus'!CC$3,KOMBI!$A$1:$GI$1,0))</f>
        <v>4.4401830000000002</v>
      </c>
      <c r="CD60" s="25">
        <f t="array" ref="CD60">INDEX(KOMBI!$A$1:$GI$145,ROW('KSH järjestus'!CD67),MATCH('KSH järjestus'!CD$3,KOMBI!$A$1:$GI$1,0))</f>
        <v>327.64999999999998</v>
      </c>
      <c r="CE60" s="25">
        <f t="array" ref="CE60">INDEX(KOMBI!$A$1:$GI$145,ROW('KSH järjestus'!CE67),MATCH('KSH järjestus'!CE$3,KOMBI!$A$1:$GI$1,0))</f>
        <v>3.1680000000000001</v>
      </c>
      <c r="CF60" s="25">
        <f t="array" ref="CF60">INDEX(KOMBI!$A$1:$GI$145,ROW('KSH järjestus'!CF67),MATCH('KSH järjestus'!CF$3,KOMBI!$A$1:$GI$1,0))</f>
        <v>45.144166666666663</v>
      </c>
      <c r="CG60" s="25">
        <f t="array" ref="CG60">INDEX(KOMBI!$A$1:$GI$145,ROW('KSH järjestus'!CG67),MATCH('KSH järjestus'!CG$3,KOMBI!$A$1:$GI$1,0))</f>
        <v>2.1300063549572323E-2</v>
      </c>
      <c r="CH60" s="25">
        <f t="array" ref="CH60">INDEX(KOMBI!$A$1:$GI$145,ROW('KSH järjestus'!CH67),MATCH('KSH järjestus'!CH$3,KOMBI!$A$1:$GI$1,0))</f>
        <v>0.4856183356770486</v>
      </c>
      <c r="CI60" s="25">
        <f t="array" ref="CI60">INDEX(KOMBI!$A$1:$GI$145,ROW('KSH järjestus'!CI67),MATCH('KSH järjestus'!CI$3,KOMBI!$A$1:$GI$1,0))</f>
        <v>11.370000000000001</v>
      </c>
      <c r="CJ60" s="25">
        <f t="array" ref="CJ60">INDEX(KOMBI!$A$1:$GI$145,ROW('KSH järjestus'!CJ67),MATCH('KSH järjestus'!CJ$3,KOMBI!$A$1:$GI$1,0))</f>
        <v>4.3543823271229707</v>
      </c>
      <c r="CK60" s="25">
        <f t="array" ref="CK60">INDEX(KOMBI!$A$1:$GI$145,ROW('KSH järjestus'!CK67),MATCH('KSH järjestus'!CK$3,KOMBI!$A$1:$GI$1,0))</f>
        <v>0.22900000000000001</v>
      </c>
      <c r="CL60" s="25">
        <f t="array" ref="CL60">INDEX(KOMBI!$A$1:$GI$145,ROW('KSH järjestus'!CL67),MATCH('KSH järjestus'!CL$3,KOMBI!$A$1:$GI$1,0))</f>
        <v>0.82899999999999996</v>
      </c>
    </row>
    <row r="61" spans="3:90" x14ac:dyDescent="0.2">
      <c r="C61" s="184">
        <v>58</v>
      </c>
      <c r="G61" s="25">
        <f>RANK(INDEX(KOMBI!$A$11:$GI$145,MATCH('KSH järjestus'!$C61,KOMBI!$A$11:$A$145,0),MATCH('KSH järjestus'!G$3,KOMBI!$A$1:$GI$1,0)),BD$4:BD$138,G$2)</f>
        <v>121</v>
      </c>
      <c r="H61" s="25">
        <f>RANK(INDEX(KOMBI!$A$11:$GI$145,MATCH('KSH järjestus'!$C61,KOMBI!$A$11:$A$145,0),MATCH('KSH järjestus'!H$3,KOMBI!$A$1:$GI$1,0)),BE$4:BE$138,H$2)</f>
        <v>59</v>
      </c>
      <c r="J61" s="25">
        <f>RANK(INDEX(KOMBI!$A$11:$GI$145,MATCH('KSH järjestus'!$C61,KOMBI!$A$11:$A$145,0),MATCH('KSH järjestus'!J$3,KOMBI!$A$1:$GI$1,0)),BG$4:BG$138,J$2)</f>
        <v>23</v>
      </c>
      <c r="M61" s="25">
        <f>RANK(INDEX(KOMBI!$A$11:$GI$145,MATCH('KSH järjestus'!$C61,KOMBI!$A$11:$A$145,0),MATCH('KSH järjestus'!M$3,KOMBI!$A$1:$GI$1,0)),BJ$4:BJ$138,M$2)</f>
        <v>1</v>
      </c>
      <c r="N61" s="25">
        <f>RANK(INDEX(KOMBI!$A$11:$GI$145,MATCH('KSH järjestus'!$C61,KOMBI!$A$11:$A$145,0),MATCH('KSH järjestus'!N$3,KOMBI!$A$1:$GI$1,0)),BK$4:BK$138,N$2)</f>
        <v>118</v>
      </c>
      <c r="O61" s="25">
        <f>RANK(INDEX(KOMBI!$A$11:$GI$145,MATCH('KSH järjestus'!$C61,KOMBI!$A$11:$A$145,0),MATCH('KSH järjestus'!O$3,KOMBI!$A$1:$GI$1,0)),BL$4:BL$138,O$2)</f>
        <v>38</v>
      </c>
      <c r="P61" s="25">
        <f>RANK(INDEX(KOMBI!$A$11:$GI$145,MATCH('KSH järjestus'!$C61,KOMBI!$A$11:$A$145,0),MATCH('KSH järjestus'!P$3,KOMBI!$A$1:$GI$1,0)),BM$4:BM$138,P$2)</f>
        <v>10</v>
      </c>
      <c r="Q61" s="25">
        <f>RANK(INDEX(KOMBI!$A$11:$GI$145,MATCH('KSH järjestus'!$C61,KOMBI!$A$11:$A$145,0),MATCH('KSH järjestus'!Q$3,KOMBI!$A$1:$GI$1,0)),BN$4:BN$138,Q$2)</f>
        <v>17</v>
      </c>
      <c r="R61" s="25">
        <f>RANK(INDEX(KOMBI!$A$11:$GI$145,MATCH('KSH järjestus'!$C61,KOMBI!$A$11:$A$145,0),MATCH('KSH järjestus'!R$3,KOMBI!$A$1:$GI$1,0)),BO$4:BO$138,R$2)</f>
        <v>91</v>
      </c>
      <c r="T61" s="25">
        <f>RANK(INDEX(KOMBI!$A$11:$GI$145,MATCH('KSH järjestus'!$C61,KOMBI!$A$11:$A$145,0),MATCH('KSH järjestus'!T$3,KOMBI!$A$1:$GI$1,0)),BQ$4:BQ$138,T$2)</f>
        <v>127</v>
      </c>
      <c r="U61" s="25">
        <f>RANK(INDEX(KOMBI!$A$11:$GI$145,MATCH('KSH järjestus'!$C61,KOMBI!$A$11:$A$145,0),MATCH('KSH järjestus'!U$3,KOMBI!$A$1:$GI$1,0)),BR$4:BR$138,U$2)</f>
        <v>114</v>
      </c>
      <c r="AA61" s="25">
        <f>RANK(INDEX(KOMBI!$A$11:$GI$145,MATCH('KSH järjestus'!$C61,KOMBI!$A$11:$A$145,0),MATCH('KSH järjestus'!AA$3,KOMBI!$A$1:$GI$1,0)),BX$4:BX$138,AA$2)</f>
        <v>127</v>
      </c>
      <c r="AB61" s="25">
        <f>RANK(INDEX(KOMBI!$A$11:$GI$145,MATCH('KSH järjestus'!$C61,KOMBI!$A$11:$A$145,0),MATCH('KSH järjestus'!AB$3,KOMBI!$A$1:$GI$1,0)),BY$4:BY$138,AB$2)</f>
        <v>130</v>
      </c>
      <c r="AC61" s="25">
        <f>RANK(INDEX(KOMBI!$A$11:$GI$145,MATCH('KSH järjestus'!$C61,KOMBI!$A$11:$A$145,0),MATCH('KSH järjestus'!AC$3,KOMBI!$A$1:$GI$1,0)),BZ$4:BZ$138,AC$2)</f>
        <v>123</v>
      </c>
      <c r="AD61" s="25">
        <f>RANK(INDEX(KOMBI!$A$11:$GI$145,MATCH('KSH järjestus'!$C61,KOMBI!$A$11:$A$145,0),MATCH('KSH järjestus'!AD$3,KOMBI!$A$1:$GI$1,0)),CA$4:CA$138,AD$2)</f>
        <v>130</v>
      </c>
      <c r="AE61" s="25">
        <f>RANK(INDEX(KOMBI!$A$11:$GI$145,MATCH('KSH järjestus'!$C61,KOMBI!$A$11:$A$145,0),MATCH('KSH järjestus'!AE$3,KOMBI!$A$1:$GI$1,0)),CB$4:CB$138,AE$2)</f>
        <v>129</v>
      </c>
      <c r="AG61" s="25">
        <f>RANK(INDEX(KOMBI!$A$11:$GI$145,MATCH('KSH järjestus'!$C61,KOMBI!$A$11:$A$145,0),MATCH('KSH järjestus'!AG$3,KOMBI!$A$1:$GI$1,0)),CD$4:CD$138,AG$2)</f>
        <v>106</v>
      </c>
      <c r="AH61" s="25">
        <f>RANK(INDEX(KOMBI!$A$11:$GI$145,MATCH('KSH järjestus'!$C61,KOMBI!$A$11:$A$145,0),MATCH('KSH järjestus'!AH$3,KOMBI!$A$1:$GI$1,0)),CE$4:CE$138,AH$2)</f>
        <v>121</v>
      </c>
      <c r="AI61" s="25">
        <f>RANK(INDEX(KOMBI!$A$11:$GI$145,MATCH('KSH järjestus'!$C61,KOMBI!$A$11:$A$145,0),MATCH('KSH järjestus'!AI$3,KOMBI!$A$1:$GI$1,0)),CF$4:CF$138,AI$2)</f>
        <v>130</v>
      </c>
      <c r="AJ61" s="25">
        <f>RANK(INDEX(KOMBI!$A$11:$GI$145,MATCH('KSH järjestus'!$C61,KOMBI!$A$11:$A$145,0),MATCH('KSH järjestus'!AJ$3,KOMBI!$A$1:$GI$1,0)),CG$4:CG$138,AJ$2)</f>
        <v>100</v>
      </c>
      <c r="AK61" s="25">
        <f>RANK(INDEX(KOMBI!$A$11:$GI$145,MATCH('KSH järjestus'!$C61,KOMBI!$A$11:$A$145,0),MATCH('KSH järjestus'!AK$3,KOMBI!$A$1:$GI$1,0)),CH$4:CH$138,AK$2)</f>
        <v>91</v>
      </c>
      <c r="AN61" s="25">
        <f>RANK(INDEX(KOMBI!$A$11:$GI$145,MATCH('KSH järjestus'!$C61,KOMBI!$A$11:$A$145,0),MATCH('KSH järjestus'!AN$3,KOMBI!$A$1:$GI$1,0)),CK$4:CK$138,AN$2)</f>
        <v>91</v>
      </c>
      <c r="AO61" s="25">
        <f>RANK(INDEX(KOMBI!$A$11:$GI$145,MATCH('KSH järjestus'!$C61,KOMBI!$A$11:$A$145,0),MATCH('KSH järjestus'!AO$3,KOMBI!$A$1:$GI$1,0)),CL$4:CL$138,AO$2)</f>
        <v>91</v>
      </c>
      <c r="AS61" s="297">
        <f t="shared" si="3"/>
        <v>2088</v>
      </c>
      <c r="AT61" s="25">
        <f t="shared" si="1"/>
        <v>1375</v>
      </c>
      <c r="AU61" s="25">
        <f t="shared" si="2"/>
        <v>67</v>
      </c>
      <c r="AV61" s="295" t="str">
        <f>VLOOKUP(VLOOKUP($AU61,KOMBI!$A:$H,3,FALSE),data!$I$27:$J$29,2,FALSE)</f>
        <v>Vähe-sekkuv</v>
      </c>
      <c r="AW61" s="295" t="str">
        <f>VLOOKUP(VLOOKUP($AU61,KOMBI!$A:$H,2,FALSE),data!$I$21:$J$23,2,FALSE)</f>
        <v>Vähe-sekkuv</v>
      </c>
      <c r="AX61" s="295" t="str">
        <f>VLOOKUP(VLOOKUP($AU61,KOMBI!$A:$H,5,FALSE),data!$I$39:$J$41,2,FALSE)</f>
        <v>Mittesekkuv</v>
      </c>
      <c r="AY61" s="295" t="str">
        <f>VLOOKUP(VLOOKUP($AU61,KOMBI!$A:$H,4,FALSE),data!$I$32:$J$36,2,FALSE)</f>
        <v>TE</v>
      </c>
      <c r="BA61" s="25">
        <f t="array" ref="BA61">INDEX(KOMBI!$A$1:$GI$145,ROW('KSH järjestus'!BA68),MATCH('KSH järjestus'!BA$3,KOMBI!$A$1:$GI$1,0))</f>
        <v>3.7220157151897704</v>
      </c>
      <c r="BB61" s="25">
        <f t="array" ref="BB61">INDEX(KOMBI!$A$1:$GI$145,ROW('KSH järjestus'!BB68),MATCH('KSH järjestus'!BB$3,KOMBI!$A$1:$GI$1,0))</f>
        <v>572.33511005809328</v>
      </c>
      <c r="BC61" s="25">
        <f t="array" aca="1" ref="BC61" ca="1">INDEX(KOMBI!$A$1:$GI$145,ROW('KSH järjestus'!BC68),MATCH('KSH järjestus'!BC$3,KOMBI!$A$1:$GI$1,0))</f>
        <v>148.14937986251337</v>
      </c>
      <c r="BD61" s="25">
        <f t="array" ref="BD61">INDEX(KOMBI!$A$1:$GI$145,ROW('KSH järjestus'!BD68),MATCH('KSH järjestus'!BD$3,KOMBI!$A$1:$GI$1,0))</f>
        <v>-25.081250000000001</v>
      </c>
      <c r="BE61" s="25">
        <f t="array" ref="BE61">INDEX(KOMBI!$A$1:$GI$145,ROW('KSH järjestus'!BE68),MATCH('KSH järjestus'!BE$3,KOMBI!$A$1:$GI$1,0))</f>
        <v>173.23062986251338</v>
      </c>
      <c r="BF61" s="25">
        <f t="array" aca="1" ref="BF61" ca="1">INDEX(KOMBI!$A$1:$GI$145,ROW('KSH järjestus'!BF68),MATCH('KSH järjestus'!BF$3,KOMBI!$A$1:$GI$1,0))</f>
        <v>0</v>
      </c>
      <c r="BG61" s="25">
        <f t="array" ref="BG61">INDEX(KOMBI!$A$1:$GI$145,ROW('KSH järjestus'!BG68),MATCH('KSH järjestus'!BG$3,KOMBI!$A$1:$GI$1,0))</f>
        <v>0.34691909346292266</v>
      </c>
      <c r="BH61" s="25">
        <f t="array" ref="BH61">INDEX(KOMBI!$A$1:$GI$145,ROW('KSH järjestus'!BH68),MATCH('KSH järjestus'!BH$3,KOMBI!$A$1:$GI$1,0))</f>
        <v>90</v>
      </c>
      <c r="BI61" s="25">
        <f t="array" ref="BI61">INDEX(KOMBI!$A$1:$GI$145,ROW('KSH järjestus'!BI68),MATCH('KSH järjestus'!BI$3,KOMBI!$A$1:$GI$1,0))</f>
        <v>1</v>
      </c>
      <c r="BJ61" s="25">
        <f t="array" ref="BJ61">INDEX(KOMBI!$A$1:$GI$145,ROW('KSH järjestus'!BJ68),MATCH('KSH järjestus'!BJ$3,KOMBI!$A$1:$GI$1,0))</f>
        <v>0</v>
      </c>
      <c r="BK61" s="25">
        <f t="array" ref="BK61">INDEX(KOMBI!$A$1:$GI$145,ROW('KSH järjestus'!BK68),MATCH('KSH järjestus'!BK$3,KOMBI!$A$1:$GI$1,0))</f>
        <v>0.26049846883007888</v>
      </c>
      <c r="BL61" s="25">
        <f t="array" ref="BL61">INDEX(KOMBI!$A$1:$GI$145,ROW('KSH järjestus'!BL68),MATCH('KSH järjestus'!BL$3,KOMBI!$A$1:$GI$1,0))</f>
        <v>2.0962395665283084E-2</v>
      </c>
      <c r="BM61" s="25">
        <f t="array" ref="BM61">INDEX(KOMBI!$A$1:$GI$145,ROW('KSH järjestus'!BM68),MATCH('KSH järjestus'!BM$3,KOMBI!$A$1:$GI$1,0))</f>
        <v>1.0539678916237687E-2</v>
      </c>
      <c r="BN61" s="25">
        <f t="array" ref="BN61">INDEX(KOMBI!$A$1:$GI$145,ROW('KSH järjestus'!BN68),MATCH('KSH järjestus'!BN$3,KOMBI!$A$1:$GI$1,0))</f>
        <v>1.1283326470398924E-2</v>
      </c>
      <c r="BO61" s="25">
        <f t="array" ref="BO61">INDEX(KOMBI!$A$1:$GI$145,ROW('KSH järjestus'!BO68),MATCH('KSH järjestus'!BO$3,KOMBI!$A$1:$GI$1,0))</f>
        <v>9.9735710125935084E-3</v>
      </c>
      <c r="BP61" s="25">
        <f t="array" ref="BP61">INDEX(KOMBI!$A$1:$GI$145,ROW('KSH järjestus'!BP68),MATCH('KSH järjestus'!BP$3,KOMBI!$A$1:$GI$1,0))</f>
        <v>8.4909896156049154</v>
      </c>
      <c r="BQ61" s="25">
        <f t="array" ref="BQ61">INDEX(KOMBI!$A$1:$GI$145,ROW('KSH järjestus'!BQ68),MATCH('KSH järjestus'!BQ$3,KOMBI!$A$1:$GI$1,0))</f>
        <v>11.936999999999999</v>
      </c>
      <c r="BR61" s="25">
        <f t="array" ref="BR61">INDEX(KOMBI!$A$1:$GI$145,ROW('KSH järjestus'!BR68),MATCH('KSH järjestus'!BR$3,KOMBI!$A$1:$GI$1,0))</f>
        <v>-5.9891639695957063E-3</v>
      </c>
      <c r="BS61" s="25">
        <f t="array" ref="BS61">INDEX(KOMBI!$A$1:$GI$145,ROW('KSH järjestus'!BS68),MATCH('KSH järjestus'!BS$3,KOMBI!$A$1:$GI$1,0))</f>
        <v>6.7413686440890574E-2</v>
      </c>
      <c r="BT61" s="25">
        <f t="array" ref="BT61">INDEX(KOMBI!$A$1:$GI$145,ROW('KSH järjestus'!BT68),MATCH('KSH järjestus'!BT$3,KOMBI!$A$1:$GI$1,0))</f>
        <v>7.0854906657771041E-2</v>
      </c>
      <c r="BU61" s="25">
        <f t="array" ref="BU61">INDEX(KOMBI!$A$1:$GI$145,ROW('KSH järjestus'!BU68),MATCH('KSH järjestus'!BU$3,KOMBI!$A$1:$GI$1,0))</f>
        <v>12.170289559723789</v>
      </c>
      <c r="BV61" s="25">
        <f t="array" ref="BV61">INDEX(KOMBI!$A$1:$GI$145,ROW('KSH järjestus'!BV68),MATCH('KSH järjestus'!BV$3,KOMBI!$A$1:$GI$1,0))</f>
        <v>6.3289999999999997</v>
      </c>
      <c r="BW61" s="25">
        <f t="array" ref="BW61">INDEX(KOMBI!$A$1:$GI$145,ROW('KSH järjestus'!BW68),MATCH('KSH järjestus'!BW$3,KOMBI!$A$1:$GI$1,0))</f>
        <v>2.7043823271229703</v>
      </c>
      <c r="BX61" s="25">
        <f t="array" ref="BX61">INDEX(KOMBI!$A$1:$GI$145,ROW('KSH järjestus'!BX68),MATCH('KSH järjestus'!BX$3,KOMBI!$A$1:$GI$1,0))</f>
        <v>23.565999999999999</v>
      </c>
      <c r="BY61" s="25">
        <f t="array" ref="BY61">INDEX(KOMBI!$A$1:$GI$145,ROW('KSH järjestus'!BY68),MATCH('KSH järjestus'!BY$3,KOMBI!$A$1:$GI$1,0))</f>
        <v>39.422916215793229</v>
      </c>
      <c r="BZ61" s="25">
        <f t="array" ref="BZ61">INDEX(KOMBI!$A$1:$GI$145,ROW('KSH järjestus'!BZ68),MATCH('KSH järjestus'!BZ$3,KOMBI!$A$1:$GI$1,0))</f>
        <v>97</v>
      </c>
      <c r="CA61" s="25">
        <f t="array" ref="CA61">INDEX(KOMBI!$A$1:$GI$145,ROW('KSH järjestus'!CA68),MATCH('KSH järjestus'!CA$3,KOMBI!$A$1:$GI$1,0))</f>
        <v>17.428999999999998</v>
      </c>
      <c r="CB61" s="25">
        <f t="array" ref="CB61">INDEX(KOMBI!$A$1:$GI$145,ROW('KSH järjestus'!CB68),MATCH('KSH järjestus'!CB$3,KOMBI!$A$1:$GI$1,0))</f>
        <v>139.84055555555554</v>
      </c>
      <c r="CC61" s="25">
        <f t="array" ref="CC61">INDEX(KOMBI!$A$1:$GI$145,ROW('KSH järjestus'!CC68),MATCH('KSH järjestus'!CC$3,KOMBI!$A$1:$GI$1,0))</f>
        <v>7.6263779999999999</v>
      </c>
      <c r="CD61" s="25">
        <f t="array" ref="CD61">INDEX(KOMBI!$A$1:$GI$145,ROW('KSH järjestus'!CD68),MATCH('KSH järjestus'!CD$3,KOMBI!$A$1:$GI$1,0))</f>
        <v>327.45</v>
      </c>
      <c r="CE61" s="25">
        <f t="array" ref="CE61">INDEX(KOMBI!$A$1:$GI$145,ROW('KSH järjestus'!CE68),MATCH('KSH järjestus'!CE$3,KOMBI!$A$1:$GI$1,0))</f>
        <v>3.1680000000000001</v>
      </c>
      <c r="CF61" s="25">
        <f t="array" ref="CF61">INDEX(KOMBI!$A$1:$GI$145,ROW('KSH järjestus'!CF68),MATCH('KSH järjestus'!CF$3,KOMBI!$A$1:$GI$1,0))</f>
        <v>65.012789653214369</v>
      </c>
      <c r="CG61" s="25">
        <f t="array" ref="CG61">INDEX(KOMBI!$A$1:$GI$145,ROW('KSH järjestus'!CG68),MATCH('KSH järjestus'!CG$3,KOMBI!$A$1:$GI$1,0))</f>
        <v>2.1300063549572323E-2</v>
      </c>
      <c r="CH61" s="25">
        <f t="array" ref="CH61">INDEX(KOMBI!$A$1:$GI$145,ROW('KSH järjestus'!CH68),MATCH('KSH järjestus'!CH$3,KOMBI!$A$1:$GI$1,0))</f>
        <v>0.39726251650845218</v>
      </c>
      <c r="CI61" s="25">
        <f t="array" ref="CI61">INDEX(KOMBI!$A$1:$GI$145,ROW('KSH järjestus'!CI68),MATCH('KSH järjestus'!CI$3,KOMBI!$A$1:$GI$1,0))</f>
        <v>6.78</v>
      </c>
      <c r="CJ61" s="25">
        <f t="array" ref="CJ61">INDEX(KOMBI!$A$1:$GI$145,ROW('KSH järjestus'!CJ68),MATCH('KSH järjestus'!CJ$3,KOMBI!$A$1:$GI$1,0))</f>
        <v>9.8583823271229711</v>
      </c>
      <c r="CK61" s="25">
        <f t="array" ref="CK61">INDEX(KOMBI!$A$1:$GI$145,ROW('KSH järjestus'!CK68),MATCH('KSH järjestus'!CK$3,KOMBI!$A$1:$GI$1,0))</f>
        <v>0.22900000000000001</v>
      </c>
      <c r="CL61" s="25">
        <f t="array" ref="CL61">INDEX(KOMBI!$A$1:$GI$145,ROW('KSH järjestus'!CL68),MATCH('KSH järjestus'!CL$3,KOMBI!$A$1:$GI$1,0))</f>
        <v>0.82899999999999996</v>
      </c>
    </row>
    <row r="62" spans="3:90" x14ac:dyDescent="0.2">
      <c r="C62" s="184">
        <v>59</v>
      </c>
      <c r="G62" s="25">
        <f>RANK(INDEX(KOMBI!$A$11:$GI$145,MATCH('KSH järjestus'!$C62,KOMBI!$A$11:$A$145,0),MATCH('KSH järjestus'!G$3,KOMBI!$A$1:$GI$1,0)),BD$4:BD$138,G$2)</f>
        <v>106</v>
      </c>
      <c r="H62" s="25">
        <f>RANK(INDEX(KOMBI!$A$11:$GI$145,MATCH('KSH järjestus'!$C62,KOMBI!$A$11:$A$145,0),MATCH('KSH järjestus'!H$3,KOMBI!$A$1:$GI$1,0)),BE$4:BE$138,H$2)</f>
        <v>33</v>
      </c>
      <c r="J62" s="25">
        <f>RANK(INDEX(KOMBI!$A$11:$GI$145,MATCH('KSH järjestus'!$C62,KOMBI!$A$11:$A$145,0),MATCH('KSH järjestus'!J$3,KOMBI!$A$1:$GI$1,0)),BG$4:BG$138,J$2)</f>
        <v>14</v>
      </c>
      <c r="M62" s="25">
        <f>RANK(INDEX(KOMBI!$A$11:$GI$145,MATCH('KSH järjestus'!$C62,KOMBI!$A$11:$A$145,0),MATCH('KSH järjestus'!M$3,KOMBI!$A$1:$GI$1,0)),BJ$4:BJ$138,M$2)</f>
        <v>1</v>
      </c>
      <c r="N62" s="25">
        <f>RANK(INDEX(KOMBI!$A$11:$GI$145,MATCH('KSH järjestus'!$C62,KOMBI!$A$11:$A$145,0),MATCH('KSH järjestus'!N$3,KOMBI!$A$1:$GI$1,0)),BK$4:BK$138,N$2)</f>
        <v>118</v>
      </c>
      <c r="O62" s="25">
        <f>RANK(INDEX(KOMBI!$A$11:$GI$145,MATCH('KSH järjestus'!$C62,KOMBI!$A$11:$A$145,0),MATCH('KSH järjestus'!O$3,KOMBI!$A$1:$GI$1,0)),BL$4:BL$138,O$2)</f>
        <v>17</v>
      </c>
      <c r="P62" s="25">
        <f>RANK(INDEX(KOMBI!$A$11:$GI$145,MATCH('KSH järjestus'!$C62,KOMBI!$A$11:$A$145,0),MATCH('KSH järjestus'!P$3,KOMBI!$A$1:$GI$1,0)),BM$4:BM$138,P$2)</f>
        <v>16</v>
      </c>
      <c r="Q62" s="25">
        <f>RANK(INDEX(KOMBI!$A$11:$GI$145,MATCH('KSH järjestus'!$C62,KOMBI!$A$11:$A$145,0),MATCH('KSH järjestus'!Q$3,KOMBI!$A$1:$GI$1,0)),BN$4:BN$138,Q$2)</f>
        <v>8</v>
      </c>
      <c r="R62" s="25">
        <f>RANK(INDEX(KOMBI!$A$11:$GI$145,MATCH('KSH järjestus'!$C62,KOMBI!$A$11:$A$145,0),MATCH('KSH järjestus'!R$3,KOMBI!$A$1:$GI$1,0)),BO$4:BO$138,R$2)</f>
        <v>48</v>
      </c>
      <c r="T62" s="25">
        <f>RANK(INDEX(KOMBI!$A$11:$GI$145,MATCH('KSH järjestus'!$C62,KOMBI!$A$11:$A$145,0),MATCH('KSH järjestus'!T$3,KOMBI!$A$1:$GI$1,0)),BQ$4:BQ$138,T$2)</f>
        <v>129</v>
      </c>
      <c r="U62" s="25">
        <f>RANK(INDEX(KOMBI!$A$11:$GI$145,MATCH('KSH järjestus'!$C62,KOMBI!$A$11:$A$145,0),MATCH('KSH järjestus'!U$3,KOMBI!$A$1:$GI$1,0)),BR$4:BR$138,U$2)</f>
        <v>120</v>
      </c>
      <c r="AA62" s="25">
        <f>RANK(INDEX(KOMBI!$A$11:$GI$145,MATCH('KSH järjestus'!$C62,KOMBI!$A$11:$A$145,0),MATCH('KSH järjestus'!AA$3,KOMBI!$A$1:$GI$1,0)),BX$4:BX$138,AA$2)</f>
        <v>127</v>
      </c>
      <c r="AB62" s="25">
        <f>RANK(INDEX(KOMBI!$A$11:$GI$145,MATCH('KSH järjestus'!$C62,KOMBI!$A$11:$A$145,0),MATCH('KSH järjestus'!AB$3,KOMBI!$A$1:$GI$1,0)),BY$4:BY$138,AB$2)</f>
        <v>130</v>
      </c>
      <c r="AC62" s="25">
        <f>RANK(INDEX(KOMBI!$A$11:$GI$145,MATCH('KSH järjestus'!$C62,KOMBI!$A$11:$A$145,0),MATCH('KSH järjestus'!AC$3,KOMBI!$A$1:$GI$1,0)),BZ$4:BZ$138,AC$2)</f>
        <v>125</v>
      </c>
      <c r="AD62" s="25">
        <f>RANK(INDEX(KOMBI!$A$11:$GI$145,MATCH('KSH järjestus'!$C62,KOMBI!$A$11:$A$145,0),MATCH('KSH järjestus'!AD$3,KOMBI!$A$1:$GI$1,0)),CA$4:CA$138,AD$2)</f>
        <v>131</v>
      </c>
      <c r="AE62" s="25">
        <f>RANK(INDEX(KOMBI!$A$11:$GI$145,MATCH('KSH järjestus'!$C62,KOMBI!$A$11:$A$145,0),MATCH('KSH järjestus'!AE$3,KOMBI!$A$1:$GI$1,0)),CB$4:CB$138,AE$2)</f>
        <v>131</v>
      </c>
      <c r="AG62" s="25">
        <f>RANK(INDEX(KOMBI!$A$11:$GI$145,MATCH('KSH järjestus'!$C62,KOMBI!$A$11:$A$145,0),MATCH('KSH järjestus'!AG$3,KOMBI!$A$1:$GI$1,0)),CD$4:CD$138,AG$2)</f>
        <v>106</v>
      </c>
      <c r="AH62" s="25">
        <f>RANK(INDEX(KOMBI!$A$11:$GI$145,MATCH('KSH järjestus'!$C62,KOMBI!$A$11:$A$145,0),MATCH('KSH järjestus'!AH$3,KOMBI!$A$1:$GI$1,0)),CE$4:CE$138,AH$2)</f>
        <v>121</v>
      </c>
      <c r="AI62" s="25">
        <f>RANK(INDEX(KOMBI!$A$11:$GI$145,MATCH('KSH järjestus'!$C62,KOMBI!$A$11:$A$145,0),MATCH('KSH järjestus'!AI$3,KOMBI!$A$1:$GI$1,0)),CF$4:CF$138,AI$2)</f>
        <v>130</v>
      </c>
      <c r="AJ62" s="25">
        <f>RANK(INDEX(KOMBI!$A$11:$GI$145,MATCH('KSH järjestus'!$C62,KOMBI!$A$11:$A$145,0),MATCH('KSH järjestus'!AJ$3,KOMBI!$A$1:$GI$1,0)),CG$4:CG$138,AJ$2)</f>
        <v>100</v>
      </c>
      <c r="AK62" s="25">
        <f>RANK(INDEX(KOMBI!$A$11:$GI$145,MATCH('KSH järjestus'!$C62,KOMBI!$A$11:$A$145,0),MATCH('KSH järjestus'!AK$3,KOMBI!$A$1:$GI$1,0)),CH$4:CH$138,AK$2)</f>
        <v>91</v>
      </c>
      <c r="AN62" s="25">
        <f>RANK(INDEX(KOMBI!$A$11:$GI$145,MATCH('KSH järjestus'!$C62,KOMBI!$A$11:$A$145,0),MATCH('KSH järjestus'!AN$3,KOMBI!$A$1:$GI$1,0)),CK$4:CK$138,AN$2)</f>
        <v>91</v>
      </c>
      <c r="AO62" s="25">
        <f>RANK(INDEX(KOMBI!$A$11:$GI$145,MATCH('KSH järjestus'!$C62,KOMBI!$A$11:$A$145,0),MATCH('KSH järjestus'!AO$3,KOMBI!$A$1:$GI$1,0)),CL$4:CL$138,AO$2)</f>
        <v>91</v>
      </c>
      <c r="AS62" s="297">
        <f t="shared" si="3"/>
        <v>1984</v>
      </c>
      <c r="AT62" s="25">
        <f t="shared" si="1"/>
        <v>1376</v>
      </c>
      <c r="AU62" s="25">
        <f t="shared" si="2"/>
        <v>88</v>
      </c>
      <c r="AV62" s="295" t="str">
        <f>VLOOKUP(VLOOKUP($AU62,KOMBI!$A:$H,3,FALSE),data!$I$27:$J$29,2,FALSE)</f>
        <v>Sekkuv/EÜ</v>
      </c>
      <c r="AW62" s="295" t="str">
        <f>VLOOKUP(VLOOKUP($AU62,KOMBI!$A:$H,2,FALSE),data!$I$21:$J$23,2,FALSE)</f>
        <v>Vähe-sekkuv</v>
      </c>
      <c r="AX62" s="295" t="str">
        <f>VLOOKUP(VLOOKUP($AU62,KOMBI!$A:$H,5,FALSE),data!$I$39:$J$41,2,FALSE)</f>
        <v>Mittesekkuv</v>
      </c>
      <c r="AY62" s="295" t="str">
        <f>VLOOKUP(VLOOKUP($AU62,KOMBI!$A:$H,4,FALSE),data!$I$32:$J$36,2,FALSE)</f>
        <v>PK &amp; UG</v>
      </c>
      <c r="BA62" s="25">
        <f t="array" ref="BA62">INDEX(KOMBI!$A$1:$GI$145,ROW('KSH järjestus'!BA69),MATCH('KSH järjestus'!BA$3,KOMBI!$A$1:$GI$1,0))</f>
        <v>4.63792736383561</v>
      </c>
      <c r="BB62" s="25">
        <f t="array" ref="BB62">INDEX(KOMBI!$A$1:$GI$145,ROW('KSH järjestus'!BB69),MATCH('KSH järjestus'!BB$3,KOMBI!$A$1:$GI$1,0))</f>
        <v>732.81514232735651</v>
      </c>
      <c r="BC62" s="25">
        <f t="array" aca="1" ref="BC62" ca="1">INDEX(KOMBI!$A$1:$GI$145,ROW('KSH järjestus'!BC69),MATCH('KSH järjestus'!BC$3,KOMBI!$A$1:$GI$1,0))</f>
        <v>177.31470189104846</v>
      </c>
      <c r="BD62" s="25">
        <f t="array" ref="BD62">INDEX(KOMBI!$A$1:$GI$145,ROW('KSH järjestus'!BD69),MATCH('KSH järjestus'!BD$3,KOMBI!$A$1:$GI$1,0))</f>
        <v>-40.314469880632103</v>
      </c>
      <c r="BE62" s="25">
        <f t="array" ref="BE62">INDEX(KOMBI!$A$1:$GI$145,ROW('KSH järjestus'!BE69),MATCH('KSH järjestus'!BE$3,KOMBI!$A$1:$GI$1,0))</f>
        <v>217.62917177168057</v>
      </c>
      <c r="BF62" s="25">
        <f t="array" aca="1" ref="BF62" ca="1">INDEX(KOMBI!$A$1:$GI$145,ROW('KSH järjestus'!BF69),MATCH('KSH järjestus'!BF$3,KOMBI!$A$1:$GI$1,0))</f>
        <v>0</v>
      </c>
      <c r="BG62" s="25">
        <f t="array" ref="BG62">INDEX(KOMBI!$A$1:$GI$145,ROW('KSH järjestus'!BG69),MATCH('KSH järjestus'!BG$3,KOMBI!$A$1:$GI$1,0))</f>
        <v>0.32037459093904097</v>
      </c>
      <c r="BH62" s="25">
        <f t="array" ref="BH62">INDEX(KOMBI!$A$1:$GI$145,ROW('KSH järjestus'!BH69),MATCH('KSH järjestus'!BH$3,KOMBI!$A$1:$GI$1,0))</f>
        <v>90</v>
      </c>
      <c r="BI62" s="25">
        <f t="array" ref="BI62">INDEX(KOMBI!$A$1:$GI$145,ROW('KSH järjestus'!BI69),MATCH('KSH järjestus'!BI$3,KOMBI!$A$1:$GI$1,0))</f>
        <v>0.84317482403548605</v>
      </c>
      <c r="BJ62" s="25">
        <f t="array" ref="BJ62">INDEX(KOMBI!$A$1:$GI$145,ROW('KSH järjestus'!BJ69),MATCH('KSH järjestus'!BJ$3,KOMBI!$A$1:$GI$1,0))</f>
        <v>0</v>
      </c>
      <c r="BK62" s="25">
        <f t="array" ref="BK62">INDEX(KOMBI!$A$1:$GI$145,ROW('KSH järjestus'!BK69),MATCH('KSH järjestus'!BK$3,KOMBI!$A$1:$GI$1,0))</f>
        <v>0.26049846883007888</v>
      </c>
      <c r="BL62" s="25">
        <f t="array" ref="BL62">INDEX(KOMBI!$A$1:$GI$145,ROW('KSH järjestus'!BL69),MATCH('KSH järjestus'!BL$3,KOMBI!$A$1:$GI$1,0))</f>
        <v>2.7244788751705409E-2</v>
      </c>
      <c r="BM62" s="25">
        <f t="array" ref="BM62">INDEX(KOMBI!$A$1:$GI$145,ROW('KSH järjestus'!BM69),MATCH('KSH järjestus'!BM$3,KOMBI!$A$1:$GI$1,0))</f>
        <v>7.8466260668220728E-3</v>
      </c>
      <c r="BN62" s="25">
        <f t="array" ref="BN62">INDEX(KOMBI!$A$1:$GI$145,ROW('KSH järjestus'!BN69),MATCH('KSH järjestus'!BN$3,KOMBI!$A$1:$GI$1,0))</f>
        <v>1.3776196331756752E-2</v>
      </c>
      <c r="BO62" s="25">
        <f t="array" ref="BO62">INDEX(KOMBI!$A$1:$GI$145,ROW('KSH järjestus'!BO69),MATCH('KSH järjestus'!BO$3,KOMBI!$A$1:$GI$1,0))</f>
        <v>1.3798457556470337E-2</v>
      </c>
      <c r="BP62" s="25">
        <f t="array" ref="BP62">INDEX(KOMBI!$A$1:$GI$145,ROW('KSH järjestus'!BP69),MATCH('KSH järjestus'!BP$3,KOMBI!$A$1:$GI$1,0))</f>
        <v>8.4909896156049154</v>
      </c>
      <c r="BQ62" s="25">
        <f t="array" ref="BQ62">INDEX(KOMBI!$A$1:$GI$145,ROW('KSH järjestus'!BQ69),MATCH('KSH järjestus'!BQ$3,KOMBI!$A$1:$GI$1,0))</f>
        <v>12.028</v>
      </c>
      <c r="BR62" s="25">
        <f t="array" ref="BR62">INDEX(KOMBI!$A$1:$GI$145,ROW('KSH järjestus'!BR69),MATCH('KSH järjestus'!BR$3,KOMBI!$A$1:$GI$1,0))</f>
        <v>-1.7553649583309846E-3</v>
      </c>
      <c r="BS62" s="25">
        <f t="array" ref="BS62">INDEX(KOMBI!$A$1:$GI$145,ROW('KSH järjestus'!BS69),MATCH('KSH järjestus'!BS$3,KOMBI!$A$1:$GI$1,0))</f>
        <v>6.8747298660526146E-2</v>
      </c>
      <c r="BT62" s="25">
        <f t="array" ref="BT62">INDEX(KOMBI!$A$1:$GI$145,ROW('KSH järjestus'!BT69),MATCH('KSH järjestus'!BT$3,KOMBI!$A$1:$GI$1,0))</f>
        <v>7.1953869457165004E-2</v>
      </c>
      <c r="BU62" s="25">
        <f t="array" ref="BU62">INDEX(KOMBI!$A$1:$GI$145,ROW('KSH järjestus'!BU69),MATCH('KSH järjestus'!BU$3,KOMBI!$A$1:$GI$1,0))</f>
        <v>12.170289559723789</v>
      </c>
      <c r="BV62" s="25">
        <f t="array" ref="BV62">INDEX(KOMBI!$A$1:$GI$145,ROW('KSH järjestus'!BV69),MATCH('KSH järjestus'!BV$3,KOMBI!$A$1:$GI$1,0))</f>
        <v>6.3289999999999997</v>
      </c>
      <c r="BW62" s="25">
        <f t="array" ref="BW62">INDEX(KOMBI!$A$1:$GI$145,ROW('KSH järjestus'!BW69),MATCH('KSH järjestus'!BW$3,KOMBI!$A$1:$GI$1,0))</f>
        <v>3.0818823271229703</v>
      </c>
      <c r="BX62" s="25">
        <f t="array" ref="BX62">INDEX(KOMBI!$A$1:$GI$145,ROW('KSH järjestus'!BX69),MATCH('KSH järjestus'!BX$3,KOMBI!$A$1:$GI$1,0))</f>
        <v>23.565999999999999</v>
      </c>
      <c r="BY62" s="25">
        <f t="array" ref="BY62">INDEX(KOMBI!$A$1:$GI$145,ROW('KSH järjestus'!BY69),MATCH('KSH järjestus'!BY$3,KOMBI!$A$1:$GI$1,0))</f>
        <v>39.422916215793229</v>
      </c>
      <c r="BZ62" s="25">
        <f t="array" ref="BZ62">INDEX(KOMBI!$A$1:$GI$145,ROW('KSH järjestus'!BZ69),MATCH('KSH järjestus'!BZ$3,KOMBI!$A$1:$GI$1,0))</f>
        <v>97.4</v>
      </c>
      <c r="CA62" s="25">
        <f t="array" ref="CA62">INDEX(KOMBI!$A$1:$GI$145,ROW('KSH järjestus'!CA69),MATCH('KSH järjestus'!CA$3,KOMBI!$A$1:$GI$1,0))</f>
        <v>17.518000000000001</v>
      </c>
      <c r="CB62" s="25">
        <f t="array" ref="CB62">INDEX(KOMBI!$A$1:$GI$145,ROW('KSH järjestus'!CB69),MATCH('KSH järjestus'!CB$3,KOMBI!$A$1:$GI$1,0))</f>
        <v>140.18083333333334</v>
      </c>
      <c r="CC62" s="25">
        <f t="array" ref="CC62">INDEX(KOMBI!$A$1:$GI$145,ROW('KSH järjestus'!CC69),MATCH('KSH järjestus'!CC$3,KOMBI!$A$1:$GI$1,0))</f>
        <v>7.6596700000000002</v>
      </c>
      <c r="CD62" s="25">
        <f t="array" ref="CD62">INDEX(KOMBI!$A$1:$GI$145,ROW('KSH järjestus'!CD69),MATCH('KSH järjestus'!CD$3,KOMBI!$A$1:$GI$1,0))</f>
        <v>327.45</v>
      </c>
      <c r="CE62" s="25">
        <f t="array" ref="CE62">INDEX(KOMBI!$A$1:$GI$145,ROW('KSH järjestus'!CE69),MATCH('KSH järjestus'!CE$3,KOMBI!$A$1:$GI$1,0))</f>
        <v>3.1680000000000001</v>
      </c>
      <c r="CF62" s="25">
        <f t="array" ref="CF62">INDEX(KOMBI!$A$1:$GI$145,ROW('KSH järjestus'!CF69),MATCH('KSH järjestus'!CF$3,KOMBI!$A$1:$GI$1,0))</f>
        <v>65.012789653214369</v>
      </c>
      <c r="CG62" s="25">
        <f t="array" ref="CG62">INDEX(KOMBI!$A$1:$GI$145,ROW('KSH järjestus'!CG69),MATCH('KSH järjestus'!CG$3,KOMBI!$A$1:$GI$1,0))</f>
        <v>2.1300063549572323E-2</v>
      </c>
      <c r="CH62" s="25">
        <f t="array" ref="CH62">INDEX(KOMBI!$A$1:$GI$145,ROW('KSH järjestus'!CH69),MATCH('KSH järjestus'!CH$3,KOMBI!$A$1:$GI$1,0))</f>
        <v>0.39726251650845218</v>
      </c>
      <c r="CI62" s="25">
        <f t="array" ref="CI62">INDEX(KOMBI!$A$1:$GI$145,ROW('KSH järjestus'!CI69),MATCH('KSH järjestus'!CI$3,KOMBI!$A$1:$GI$1,0))</f>
        <v>6.78</v>
      </c>
      <c r="CJ62" s="25">
        <f t="array" ref="CJ62">INDEX(KOMBI!$A$1:$GI$145,ROW('KSH järjestus'!CJ69),MATCH('KSH järjestus'!CJ$3,KOMBI!$A$1:$GI$1,0))</f>
        <v>9.8583823271229711</v>
      </c>
      <c r="CK62" s="25">
        <f t="array" ref="CK62">INDEX(KOMBI!$A$1:$GI$145,ROW('KSH järjestus'!CK69),MATCH('KSH järjestus'!CK$3,KOMBI!$A$1:$GI$1,0))</f>
        <v>0.22900000000000001</v>
      </c>
      <c r="CL62" s="25">
        <f t="array" ref="CL62">INDEX(KOMBI!$A$1:$GI$145,ROW('KSH järjestus'!CL69),MATCH('KSH järjestus'!CL$3,KOMBI!$A$1:$GI$1,0))</f>
        <v>0.82899999999999996</v>
      </c>
    </row>
    <row r="63" spans="3:90" x14ac:dyDescent="0.2">
      <c r="C63" s="184">
        <v>60</v>
      </c>
      <c r="G63" s="25">
        <f>RANK(INDEX(KOMBI!$A$11:$GI$145,MATCH('KSH järjestus'!$C63,KOMBI!$A$11:$A$145,0),MATCH('KSH järjestus'!G$3,KOMBI!$A$1:$GI$1,0)),BD$4:BD$138,G$2)</f>
        <v>86</v>
      </c>
      <c r="H63" s="25">
        <f>RANK(INDEX(KOMBI!$A$11:$GI$145,MATCH('KSH järjestus'!$C63,KOMBI!$A$11:$A$145,0),MATCH('KSH järjestus'!H$3,KOMBI!$A$1:$GI$1,0)),BE$4:BE$138,H$2)</f>
        <v>17</v>
      </c>
      <c r="J63" s="25">
        <f>RANK(INDEX(KOMBI!$A$11:$GI$145,MATCH('KSH järjestus'!$C63,KOMBI!$A$11:$A$145,0),MATCH('KSH järjestus'!J$3,KOMBI!$A$1:$GI$1,0)),BG$4:BG$138,J$2)</f>
        <v>14</v>
      </c>
      <c r="M63" s="25">
        <f>RANK(INDEX(KOMBI!$A$11:$GI$145,MATCH('KSH järjestus'!$C63,KOMBI!$A$11:$A$145,0),MATCH('KSH järjestus'!M$3,KOMBI!$A$1:$GI$1,0)),BJ$4:BJ$138,M$2)</f>
        <v>1</v>
      </c>
      <c r="N63" s="25">
        <f>RANK(INDEX(KOMBI!$A$11:$GI$145,MATCH('KSH järjestus'!$C63,KOMBI!$A$11:$A$145,0),MATCH('KSH järjestus'!N$3,KOMBI!$A$1:$GI$1,0)),BK$4:BK$138,N$2)</f>
        <v>118</v>
      </c>
      <c r="O63" s="25">
        <f>RANK(INDEX(KOMBI!$A$11:$GI$145,MATCH('KSH järjestus'!$C63,KOMBI!$A$11:$A$145,0),MATCH('KSH järjestus'!O$3,KOMBI!$A$1:$GI$1,0)),BL$4:BL$138,O$2)</f>
        <v>8</v>
      </c>
      <c r="P63" s="25">
        <f>RANK(INDEX(KOMBI!$A$11:$GI$145,MATCH('KSH järjestus'!$C63,KOMBI!$A$11:$A$145,0),MATCH('KSH järjestus'!P$3,KOMBI!$A$1:$GI$1,0)),BM$4:BM$138,P$2)</f>
        <v>15</v>
      </c>
      <c r="Q63" s="25">
        <f>RANK(INDEX(KOMBI!$A$11:$GI$145,MATCH('KSH järjestus'!$C63,KOMBI!$A$11:$A$145,0),MATCH('KSH järjestus'!Q$3,KOMBI!$A$1:$GI$1,0)),BN$4:BN$138,Q$2)</f>
        <v>5</v>
      </c>
      <c r="R63" s="25">
        <f>RANK(INDEX(KOMBI!$A$11:$GI$145,MATCH('KSH järjestus'!$C63,KOMBI!$A$11:$A$145,0),MATCH('KSH järjestus'!R$3,KOMBI!$A$1:$GI$1,0)),BO$4:BO$138,R$2)</f>
        <v>20</v>
      </c>
      <c r="T63" s="25">
        <f>RANK(INDEX(KOMBI!$A$11:$GI$145,MATCH('KSH järjestus'!$C63,KOMBI!$A$11:$A$145,0),MATCH('KSH järjestus'!T$3,KOMBI!$A$1:$GI$1,0)),BQ$4:BQ$138,T$2)</f>
        <v>132</v>
      </c>
      <c r="U63" s="25">
        <f>RANK(INDEX(KOMBI!$A$11:$GI$145,MATCH('KSH järjestus'!$C63,KOMBI!$A$11:$A$145,0),MATCH('KSH järjestus'!U$3,KOMBI!$A$1:$GI$1,0)),BR$4:BR$138,U$2)</f>
        <v>125</v>
      </c>
      <c r="AA63" s="25">
        <f>RANK(INDEX(KOMBI!$A$11:$GI$145,MATCH('KSH järjestus'!$C63,KOMBI!$A$11:$A$145,0),MATCH('KSH järjestus'!AA$3,KOMBI!$A$1:$GI$1,0)),BX$4:BX$138,AA$2)</f>
        <v>127</v>
      </c>
      <c r="AB63" s="25">
        <f>RANK(INDEX(KOMBI!$A$11:$GI$145,MATCH('KSH järjestus'!$C63,KOMBI!$A$11:$A$145,0),MATCH('KSH järjestus'!AB$3,KOMBI!$A$1:$GI$1,0)),BY$4:BY$138,AB$2)</f>
        <v>130</v>
      </c>
      <c r="AC63" s="25">
        <f>RANK(INDEX(KOMBI!$A$11:$GI$145,MATCH('KSH järjestus'!$C63,KOMBI!$A$11:$A$145,0),MATCH('KSH järjestus'!AC$3,KOMBI!$A$1:$GI$1,0)),BZ$4:BZ$138,AC$2)</f>
        <v>128</v>
      </c>
      <c r="AD63" s="25">
        <f>RANK(INDEX(KOMBI!$A$11:$GI$145,MATCH('KSH järjestus'!$C63,KOMBI!$A$11:$A$145,0),MATCH('KSH järjestus'!AD$3,KOMBI!$A$1:$GI$1,0)),CA$4:CA$138,AD$2)</f>
        <v>132</v>
      </c>
      <c r="AE63" s="25">
        <f>RANK(INDEX(KOMBI!$A$11:$GI$145,MATCH('KSH järjestus'!$C63,KOMBI!$A$11:$A$145,0),MATCH('KSH järjestus'!AE$3,KOMBI!$A$1:$GI$1,0)),CB$4:CB$138,AE$2)</f>
        <v>132</v>
      </c>
      <c r="AG63" s="25">
        <f>RANK(INDEX(KOMBI!$A$11:$GI$145,MATCH('KSH järjestus'!$C63,KOMBI!$A$11:$A$145,0),MATCH('KSH järjestus'!AG$3,KOMBI!$A$1:$GI$1,0)),CD$4:CD$138,AG$2)</f>
        <v>106</v>
      </c>
      <c r="AH63" s="25">
        <f>RANK(INDEX(KOMBI!$A$11:$GI$145,MATCH('KSH järjestus'!$C63,KOMBI!$A$11:$A$145,0),MATCH('KSH järjestus'!AH$3,KOMBI!$A$1:$GI$1,0)),CE$4:CE$138,AH$2)</f>
        <v>121</v>
      </c>
      <c r="AI63" s="25">
        <f>RANK(INDEX(KOMBI!$A$11:$GI$145,MATCH('KSH järjestus'!$C63,KOMBI!$A$11:$A$145,0),MATCH('KSH järjestus'!AI$3,KOMBI!$A$1:$GI$1,0)),CF$4:CF$138,AI$2)</f>
        <v>130</v>
      </c>
      <c r="AJ63" s="25">
        <f>RANK(INDEX(KOMBI!$A$11:$GI$145,MATCH('KSH järjestus'!$C63,KOMBI!$A$11:$A$145,0),MATCH('KSH järjestus'!AJ$3,KOMBI!$A$1:$GI$1,0)),CG$4:CG$138,AJ$2)</f>
        <v>100</v>
      </c>
      <c r="AK63" s="25">
        <f>RANK(INDEX(KOMBI!$A$11:$GI$145,MATCH('KSH järjestus'!$C63,KOMBI!$A$11:$A$145,0),MATCH('KSH järjestus'!AK$3,KOMBI!$A$1:$GI$1,0)),CH$4:CH$138,AK$2)</f>
        <v>91</v>
      </c>
      <c r="AN63" s="25">
        <f>RANK(INDEX(KOMBI!$A$11:$GI$145,MATCH('KSH järjestus'!$C63,KOMBI!$A$11:$A$145,0),MATCH('KSH järjestus'!AN$3,KOMBI!$A$1:$GI$1,0)),CK$4:CK$138,AN$2)</f>
        <v>91</v>
      </c>
      <c r="AO63" s="25">
        <f>RANK(INDEX(KOMBI!$A$11:$GI$145,MATCH('KSH järjestus'!$C63,KOMBI!$A$11:$A$145,0),MATCH('KSH järjestus'!AO$3,KOMBI!$A$1:$GI$1,0)),CL$4:CL$138,AO$2)</f>
        <v>91</v>
      </c>
      <c r="AS63" s="297">
        <f t="shared" si="3"/>
        <v>1920</v>
      </c>
      <c r="AT63" s="25">
        <f t="shared" si="1"/>
        <v>1378</v>
      </c>
      <c r="AU63" s="25">
        <f t="shared" si="2"/>
        <v>97</v>
      </c>
      <c r="AV63" s="295" t="str">
        <f>VLOOKUP(VLOOKUP($AU63,KOMBI!$A:$H,3,FALSE),data!$I$27:$J$29,2,FALSE)</f>
        <v>Mittesekkuv</v>
      </c>
      <c r="AW63" s="295" t="str">
        <f>VLOOKUP(VLOOKUP($AU63,KOMBI!$A:$H,2,FALSE),data!$I$21:$J$23,2,FALSE)</f>
        <v>Sekkuv</v>
      </c>
      <c r="AX63" s="295" t="str">
        <f>VLOOKUP(VLOOKUP($AU63,KOMBI!$A:$H,5,FALSE),data!$I$39:$J$41,2,FALSE)</f>
        <v>Mittesekkuv</v>
      </c>
      <c r="AY63" s="295" t="str">
        <f>VLOOKUP(VLOOKUP($AU63,KOMBI!$A:$H,4,FALSE),data!$I$32:$J$36,2,FALSE)</f>
        <v>TE</v>
      </c>
      <c r="BA63" s="25">
        <f t="array" ref="BA63">INDEX(KOMBI!$A$1:$GI$145,ROW('KSH järjestus'!BA70),MATCH('KSH järjestus'!BA$3,KOMBI!$A$1:$GI$1,0))</f>
        <v>5.5430270860771387</v>
      </c>
      <c r="BB63" s="25">
        <f t="array" ref="BB63">INDEX(KOMBI!$A$1:$GI$145,ROW('KSH järjestus'!BB70),MATCH('KSH järjestus'!BB$3,KOMBI!$A$1:$GI$1,0))</f>
        <v>849.42593334483581</v>
      </c>
      <c r="BC63" s="25">
        <f t="array" aca="1" ref="BC63" ca="1">INDEX(KOMBI!$A$1:$GI$145,ROW('KSH järjestus'!BC70),MATCH('KSH järjestus'!BC$3,KOMBI!$A$1:$GI$1,0))</f>
        <v>193.8691162501334</v>
      </c>
      <c r="BD63" s="25">
        <f t="array" ref="BD63">INDEX(KOMBI!$A$1:$GI$145,ROW('KSH järjestus'!BD70),MATCH('KSH järjestus'!BD$3,KOMBI!$A$1:$GI$1,0))</f>
        <v>-59.422063699091041</v>
      </c>
      <c r="BE63" s="25">
        <f t="array" ref="BE63">INDEX(KOMBI!$A$1:$GI$145,ROW('KSH järjestus'!BE70),MATCH('KSH järjestus'!BE$3,KOMBI!$A$1:$GI$1,0))</f>
        <v>253.29117994922444</v>
      </c>
      <c r="BF63" s="25">
        <f t="array" aca="1" ref="BF63" ca="1">INDEX(KOMBI!$A$1:$GI$145,ROW('KSH järjestus'!BF70),MATCH('KSH järjestus'!BF$3,KOMBI!$A$1:$GI$1,0))</f>
        <v>0</v>
      </c>
      <c r="BG63" s="25">
        <f t="array" ref="BG63">INDEX(KOMBI!$A$1:$GI$145,ROW('KSH järjestus'!BG70),MATCH('KSH järjestus'!BG$3,KOMBI!$A$1:$GI$1,0))</f>
        <v>0.32037459093904097</v>
      </c>
      <c r="BH63" s="25">
        <f t="array" ref="BH63">INDEX(KOMBI!$A$1:$GI$145,ROW('KSH järjestus'!BH70),MATCH('KSH järjestus'!BH$3,KOMBI!$A$1:$GI$1,0))</f>
        <v>90</v>
      </c>
      <c r="BI63" s="25">
        <f t="array" ref="BI63">INDEX(KOMBI!$A$1:$GI$145,ROW('KSH järjestus'!BI70),MATCH('KSH järjestus'!BI$3,KOMBI!$A$1:$GI$1,0))</f>
        <v>0.84317482403548605</v>
      </c>
      <c r="BJ63" s="25">
        <f t="array" ref="BJ63">INDEX(KOMBI!$A$1:$GI$145,ROW('KSH järjestus'!BJ70),MATCH('KSH järjestus'!BJ$3,KOMBI!$A$1:$GI$1,0))</f>
        <v>0</v>
      </c>
      <c r="BK63" s="25">
        <f t="array" ref="BK63">INDEX(KOMBI!$A$1:$GI$145,ROW('KSH järjestus'!BK70),MATCH('KSH järjestus'!BK$3,KOMBI!$A$1:$GI$1,0))</f>
        <v>0.26049846883007888</v>
      </c>
      <c r="BL63" s="25">
        <f t="array" ref="BL63">INDEX(KOMBI!$A$1:$GI$145,ROW('KSH järjestus'!BL70),MATCH('KSH järjestus'!BL$3,KOMBI!$A$1:$GI$1,0))</f>
        <v>3.1895844129951931E-2</v>
      </c>
      <c r="BM63" s="25">
        <f t="array" ref="BM63">INDEX(KOMBI!$A$1:$GI$145,ROW('KSH järjestus'!BM70),MATCH('KSH järjestus'!BM$3,KOMBI!$A$1:$GI$1,0))</f>
        <v>7.8593917938634596E-3</v>
      </c>
      <c r="BN63" s="25">
        <f t="array" ref="BN63">INDEX(KOMBI!$A$1:$GI$145,ROW('KSH järjestus'!BN70),MATCH('KSH järjestus'!BN$3,KOMBI!$A$1:$GI$1,0))</f>
        <v>1.5106986167803482E-2</v>
      </c>
      <c r="BO63" s="25">
        <f t="array" ref="BO63">INDEX(KOMBI!$A$1:$GI$145,ROW('KSH järjestus'!BO70),MATCH('KSH järjestus'!BO$3,KOMBI!$A$1:$GI$1,0))</f>
        <v>1.7192321004635192E-2</v>
      </c>
      <c r="BP63" s="25">
        <f t="array" ref="BP63">INDEX(KOMBI!$A$1:$GI$145,ROW('KSH järjestus'!BP70),MATCH('KSH järjestus'!BP$3,KOMBI!$A$1:$GI$1,0))</f>
        <v>8.4909896156049154</v>
      </c>
      <c r="BQ63" s="25">
        <f t="array" ref="BQ63">INDEX(KOMBI!$A$1:$GI$145,ROW('KSH järjestus'!BQ70),MATCH('KSH järjestus'!BQ$3,KOMBI!$A$1:$GI$1,0))</f>
        <v>12.252000000000001</v>
      </c>
      <c r="BR63" s="25">
        <f t="array" ref="BR63">INDEX(KOMBI!$A$1:$GI$145,ROW('KSH järjestus'!BR70),MATCH('KSH järjestus'!BR$3,KOMBI!$A$1:$GI$1,0))</f>
        <v>2.2241221721149129E-3</v>
      </c>
      <c r="BS63" s="25">
        <f t="array" ref="BS63">INDEX(KOMBI!$A$1:$GI$145,ROW('KSH järjestus'!BS70),MATCH('KSH järjestus'!BS$3,KOMBI!$A$1:$GI$1,0))</f>
        <v>7.000645857681459E-2</v>
      </c>
      <c r="BT63" s="25">
        <f t="array" ref="BT63">INDEX(KOMBI!$A$1:$GI$145,ROW('KSH järjestus'!BT70),MATCH('KSH järjestus'!BT$3,KOMBI!$A$1:$GI$1,0))</f>
        <v>7.3414588430391253E-2</v>
      </c>
      <c r="BU63" s="25">
        <f t="array" ref="BU63">INDEX(KOMBI!$A$1:$GI$145,ROW('KSH järjestus'!BU70),MATCH('KSH järjestus'!BU$3,KOMBI!$A$1:$GI$1,0))</f>
        <v>12.170289559723789</v>
      </c>
      <c r="BV63" s="25">
        <f t="array" ref="BV63">INDEX(KOMBI!$A$1:$GI$145,ROW('KSH järjestus'!BV70),MATCH('KSH järjestus'!BV$3,KOMBI!$A$1:$GI$1,0))</f>
        <v>6.3289999999999997</v>
      </c>
      <c r="BW63" s="25">
        <f t="array" ref="BW63">INDEX(KOMBI!$A$1:$GI$145,ROW('KSH järjestus'!BW70),MATCH('KSH järjestus'!BW$3,KOMBI!$A$1:$GI$1,0))</f>
        <v>3.2905823271229702</v>
      </c>
      <c r="BX63" s="25">
        <f t="array" ref="BX63">INDEX(KOMBI!$A$1:$GI$145,ROW('KSH järjestus'!BX70),MATCH('KSH järjestus'!BX$3,KOMBI!$A$1:$GI$1,0))</f>
        <v>23.565999999999999</v>
      </c>
      <c r="BY63" s="25">
        <f t="array" ref="BY63">INDEX(KOMBI!$A$1:$GI$145,ROW('KSH järjestus'!BY70),MATCH('KSH järjestus'!BY$3,KOMBI!$A$1:$GI$1,0))</f>
        <v>39.422916215793229</v>
      </c>
      <c r="BZ63" s="25">
        <f t="array" ref="BZ63">INDEX(KOMBI!$A$1:$GI$145,ROW('KSH järjestus'!BZ70),MATCH('KSH järjestus'!BZ$3,KOMBI!$A$1:$GI$1,0))</f>
        <v>99</v>
      </c>
      <c r="CA63" s="25">
        <f t="array" ref="CA63">INDEX(KOMBI!$A$1:$GI$145,ROW('KSH järjestus'!CA70),MATCH('KSH järjestus'!CA$3,KOMBI!$A$1:$GI$1,0))</f>
        <v>17.77</v>
      </c>
      <c r="CB63" s="25">
        <f t="array" ref="CB63">INDEX(KOMBI!$A$1:$GI$145,ROW('KSH järjestus'!CB70),MATCH('KSH järjestus'!CB$3,KOMBI!$A$1:$GI$1,0))</f>
        <v>141.0888888888889</v>
      </c>
      <c r="CC63" s="25">
        <f t="array" ref="CC63">INDEX(KOMBI!$A$1:$GI$145,ROW('KSH järjestus'!CC70),MATCH('KSH järjestus'!CC$3,KOMBI!$A$1:$GI$1,0))</f>
        <v>7.7530150000000004</v>
      </c>
      <c r="CD63" s="25">
        <f t="array" ref="CD63">INDEX(KOMBI!$A$1:$GI$145,ROW('KSH järjestus'!CD70),MATCH('KSH järjestus'!CD$3,KOMBI!$A$1:$GI$1,0))</f>
        <v>327.45</v>
      </c>
      <c r="CE63" s="25">
        <f t="array" ref="CE63">INDEX(KOMBI!$A$1:$GI$145,ROW('KSH järjestus'!CE70),MATCH('KSH järjestus'!CE$3,KOMBI!$A$1:$GI$1,0))</f>
        <v>3.1680000000000001</v>
      </c>
      <c r="CF63" s="25">
        <f t="array" ref="CF63">INDEX(KOMBI!$A$1:$GI$145,ROW('KSH järjestus'!CF70),MATCH('KSH järjestus'!CF$3,KOMBI!$A$1:$GI$1,0))</f>
        <v>65.012789653214369</v>
      </c>
      <c r="CG63" s="25">
        <f t="array" ref="CG63">INDEX(KOMBI!$A$1:$GI$145,ROW('KSH järjestus'!CG70),MATCH('KSH järjestus'!CG$3,KOMBI!$A$1:$GI$1,0))</f>
        <v>2.1300063549572323E-2</v>
      </c>
      <c r="CH63" s="25">
        <f t="array" ref="CH63">INDEX(KOMBI!$A$1:$GI$145,ROW('KSH järjestus'!CH70),MATCH('KSH järjestus'!CH$3,KOMBI!$A$1:$GI$1,0))</f>
        <v>0.39726251650845218</v>
      </c>
      <c r="CI63" s="25">
        <f t="array" ref="CI63">INDEX(KOMBI!$A$1:$GI$145,ROW('KSH järjestus'!CI70),MATCH('KSH järjestus'!CI$3,KOMBI!$A$1:$GI$1,0))</f>
        <v>6.78</v>
      </c>
      <c r="CJ63" s="25">
        <f t="array" ref="CJ63">INDEX(KOMBI!$A$1:$GI$145,ROW('KSH järjestus'!CJ70),MATCH('KSH järjestus'!CJ$3,KOMBI!$A$1:$GI$1,0))</f>
        <v>9.8583823271229711</v>
      </c>
      <c r="CK63" s="25">
        <f t="array" ref="CK63">INDEX(KOMBI!$A$1:$GI$145,ROW('KSH järjestus'!CK70),MATCH('KSH järjestus'!CK$3,KOMBI!$A$1:$GI$1,0))</f>
        <v>0.22900000000000001</v>
      </c>
      <c r="CL63" s="25">
        <f t="array" ref="CL63">INDEX(KOMBI!$A$1:$GI$145,ROW('KSH järjestus'!CL70),MATCH('KSH järjestus'!CL$3,KOMBI!$A$1:$GI$1,0))</f>
        <v>0.82899999999999996</v>
      </c>
    </row>
    <row r="64" spans="3:90" x14ac:dyDescent="0.2">
      <c r="C64" s="184">
        <v>61</v>
      </c>
      <c r="G64" s="25">
        <f>RANK(INDEX(KOMBI!$A$11:$GI$145,MATCH('KSH järjestus'!$C64,KOMBI!$A$11:$A$145,0),MATCH('KSH järjestus'!G$3,KOMBI!$A$1:$GI$1,0)),BD$4:BD$138,G$2)</f>
        <v>81</v>
      </c>
      <c r="H64" s="25">
        <f>RANK(INDEX(KOMBI!$A$11:$GI$145,MATCH('KSH järjestus'!$C64,KOMBI!$A$11:$A$145,0),MATCH('KSH järjestus'!H$3,KOMBI!$A$1:$GI$1,0)),BE$4:BE$138,H$2)</f>
        <v>111</v>
      </c>
      <c r="J64" s="25">
        <f>RANK(INDEX(KOMBI!$A$11:$GI$145,MATCH('KSH järjestus'!$C64,KOMBI!$A$11:$A$145,0),MATCH('KSH järjestus'!J$3,KOMBI!$A$1:$GI$1,0)),BG$4:BG$138,J$2)</f>
        <v>97</v>
      </c>
      <c r="M64" s="25">
        <f>RANK(INDEX(KOMBI!$A$11:$GI$145,MATCH('KSH järjestus'!$C64,KOMBI!$A$11:$A$145,0),MATCH('KSH järjestus'!M$3,KOMBI!$A$1:$GI$1,0)),BJ$4:BJ$138,M$2)</f>
        <v>55</v>
      </c>
      <c r="N64" s="25">
        <f>RANK(INDEX(KOMBI!$A$11:$GI$145,MATCH('KSH järjestus'!$C64,KOMBI!$A$11:$A$145,0),MATCH('KSH järjestus'!N$3,KOMBI!$A$1:$GI$1,0)),BK$4:BK$138,N$2)</f>
        <v>85</v>
      </c>
      <c r="O64" s="25">
        <f>RANK(INDEX(KOMBI!$A$11:$GI$145,MATCH('KSH järjestus'!$C64,KOMBI!$A$11:$A$145,0),MATCH('KSH järjestus'!O$3,KOMBI!$A$1:$GI$1,0)),BL$4:BL$138,O$2)</f>
        <v>122</v>
      </c>
      <c r="P64" s="25">
        <f>RANK(INDEX(KOMBI!$A$11:$GI$145,MATCH('KSH järjestus'!$C64,KOMBI!$A$11:$A$145,0),MATCH('KSH järjestus'!P$3,KOMBI!$A$1:$GI$1,0)),BM$4:BM$138,P$2)</f>
        <v>64</v>
      </c>
      <c r="Q64" s="25">
        <f>RANK(INDEX(KOMBI!$A$11:$GI$145,MATCH('KSH järjestus'!$C64,KOMBI!$A$11:$A$145,0),MATCH('KSH järjestus'!Q$3,KOMBI!$A$1:$GI$1,0)),BN$4:BN$138,Q$2)</f>
        <v>108</v>
      </c>
      <c r="R64" s="25">
        <f>RANK(INDEX(KOMBI!$A$11:$GI$145,MATCH('KSH järjestus'!$C64,KOMBI!$A$11:$A$145,0),MATCH('KSH järjestus'!R$3,KOMBI!$A$1:$GI$1,0)),BO$4:BO$138,R$2)</f>
        <v>121</v>
      </c>
      <c r="T64" s="25">
        <f>RANK(INDEX(KOMBI!$A$11:$GI$145,MATCH('KSH järjestus'!$C64,KOMBI!$A$11:$A$145,0),MATCH('KSH järjestus'!T$3,KOMBI!$A$1:$GI$1,0)),BQ$4:BQ$138,T$2)</f>
        <v>40</v>
      </c>
      <c r="U64" s="25">
        <f>RANK(INDEX(KOMBI!$A$11:$GI$145,MATCH('KSH järjestus'!$C64,KOMBI!$A$11:$A$145,0),MATCH('KSH järjestus'!U$3,KOMBI!$A$1:$GI$1,0)),BR$4:BR$138,U$2)</f>
        <v>58</v>
      </c>
      <c r="AA64" s="25">
        <f>RANK(INDEX(KOMBI!$A$11:$GI$145,MATCH('KSH järjestus'!$C64,KOMBI!$A$11:$A$145,0),MATCH('KSH järjestus'!AA$3,KOMBI!$A$1:$GI$1,0)),BX$4:BX$138,AA$2)</f>
        <v>55</v>
      </c>
      <c r="AB64" s="25">
        <f>RANK(INDEX(KOMBI!$A$11:$GI$145,MATCH('KSH järjestus'!$C64,KOMBI!$A$11:$A$145,0),MATCH('KSH järjestus'!AB$3,KOMBI!$A$1:$GI$1,0)),BY$4:BY$138,AB$2)</f>
        <v>70</v>
      </c>
      <c r="AC64" s="25">
        <f>RANK(INDEX(KOMBI!$A$11:$GI$145,MATCH('KSH järjestus'!$C64,KOMBI!$A$11:$A$145,0),MATCH('KSH järjestus'!AC$3,KOMBI!$A$1:$GI$1,0)),BZ$4:BZ$138,AC$2)</f>
        <v>11</v>
      </c>
      <c r="AD64" s="25">
        <f>RANK(INDEX(KOMBI!$A$11:$GI$145,MATCH('KSH järjestus'!$C64,KOMBI!$A$11:$A$145,0),MATCH('KSH järjestus'!AD$3,KOMBI!$A$1:$GI$1,0)),CA$4:CA$138,AD$2)</f>
        <v>58</v>
      </c>
      <c r="AE64" s="25">
        <f>RANK(INDEX(KOMBI!$A$11:$GI$145,MATCH('KSH järjestus'!$C64,KOMBI!$A$11:$A$145,0),MATCH('KSH järjestus'!AE$3,KOMBI!$A$1:$GI$1,0)),CB$4:CB$138,AE$2)</f>
        <v>58</v>
      </c>
      <c r="AG64" s="25">
        <f>RANK(INDEX(KOMBI!$A$11:$GI$145,MATCH('KSH järjestus'!$C64,KOMBI!$A$11:$A$145,0),MATCH('KSH järjestus'!AG$3,KOMBI!$A$1:$GI$1,0)),CD$4:CD$138,AG$2)</f>
        <v>49</v>
      </c>
      <c r="AH64" s="25">
        <f>RANK(INDEX(KOMBI!$A$11:$GI$145,MATCH('KSH järjestus'!$C64,KOMBI!$A$11:$A$145,0),MATCH('KSH järjestus'!AH$3,KOMBI!$A$1:$GI$1,0)),CE$4:CE$138,AH$2)</f>
        <v>76</v>
      </c>
      <c r="AI64" s="25">
        <f>RANK(INDEX(KOMBI!$A$11:$GI$145,MATCH('KSH järjestus'!$C64,KOMBI!$A$11:$A$145,0),MATCH('KSH järjestus'!AI$3,KOMBI!$A$1:$GI$1,0)),CF$4:CF$138,AI$2)</f>
        <v>67</v>
      </c>
      <c r="AJ64" s="25">
        <f>RANK(INDEX(KOMBI!$A$11:$GI$145,MATCH('KSH järjestus'!$C64,KOMBI!$A$11:$A$145,0),MATCH('KSH järjestus'!AJ$3,KOMBI!$A$1:$GI$1,0)),CG$4:CG$138,AJ$2)</f>
        <v>76</v>
      </c>
      <c r="AK64" s="25">
        <f>RANK(INDEX(KOMBI!$A$11:$GI$145,MATCH('KSH järjestus'!$C64,KOMBI!$A$11:$A$145,0),MATCH('KSH järjestus'!AK$3,KOMBI!$A$1:$GI$1,0)),CH$4:CH$138,AK$2)</f>
        <v>103</v>
      </c>
      <c r="AN64" s="25">
        <f>RANK(INDEX(KOMBI!$A$11:$GI$145,MATCH('KSH järjestus'!$C64,KOMBI!$A$11:$A$145,0),MATCH('KSH järjestus'!AN$3,KOMBI!$A$1:$GI$1,0)),CK$4:CK$138,AN$2)</f>
        <v>46</v>
      </c>
      <c r="AO64" s="25">
        <f>RANK(INDEX(KOMBI!$A$11:$GI$145,MATCH('KSH järjestus'!$C64,KOMBI!$A$11:$A$145,0),MATCH('KSH järjestus'!AO$3,KOMBI!$A$1:$GI$1,0)),CL$4:CL$138,AO$2)</f>
        <v>46</v>
      </c>
      <c r="AS64" s="297">
        <f t="shared" si="3"/>
        <v>1657</v>
      </c>
      <c r="AT64" s="25">
        <f t="shared" si="1"/>
        <v>1382</v>
      </c>
      <c r="AU64" s="25">
        <f t="shared" si="2"/>
        <v>100</v>
      </c>
      <c r="AV64" s="295" t="str">
        <f>VLOOKUP(VLOOKUP($AU64,KOMBI!$A:$H,3,FALSE),data!$I$27:$J$29,2,FALSE)</f>
        <v>Mittesekkuv</v>
      </c>
      <c r="AW64" s="295" t="str">
        <f>VLOOKUP(VLOOKUP($AU64,KOMBI!$A:$H,2,FALSE),data!$I$21:$J$23,2,FALSE)</f>
        <v>Sekkuv</v>
      </c>
      <c r="AX64" s="295" t="str">
        <f>VLOOKUP(VLOOKUP($AU64,KOMBI!$A:$H,5,FALSE),data!$I$39:$J$41,2,FALSE)</f>
        <v>Mittesekkuv</v>
      </c>
      <c r="AY64" s="295" t="str">
        <f>VLOOKUP(VLOOKUP($AU64,KOMBI!$A:$H,4,FALSE),data!$I$32:$J$36,2,FALSE)</f>
        <v>TE++</v>
      </c>
      <c r="BA64" s="25">
        <f t="array" ref="BA64">INDEX(KOMBI!$A$1:$GI$145,ROW('KSH järjestus'!BA71),MATCH('KSH järjestus'!BA$3,KOMBI!$A$1:$GI$1,0))</f>
        <v>3.0461281371813644</v>
      </c>
      <c r="BB64" s="25">
        <f t="array" ref="BB64">INDEX(KOMBI!$A$1:$GI$145,ROW('KSH järjestus'!BB71),MATCH('KSH järjestus'!BB$3,KOMBI!$A$1:$GI$1,0))</f>
        <v>188.2820125469479</v>
      </c>
      <c r="BC64" s="25">
        <f t="array" aca="1" ref="BC64" ca="1">INDEX(KOMBI!$A$1:$GI$145,ROW('KSH järjestus'!BC71),MATCH('KSH järjestus'!BC$3,KOMBI!$A$1:$GI$1,0))</f>
        <v>33.585031143389784</v>
      </c>
      <c r="BD64" s="25">
        <f t="array" ref="BD64">INDEX(KOMBI!$A$1:$GI$145,ROW('KSH järjestus'!BD71),MATCH('KSH järjestus'!BD$3,KOMBI!$A$1:$GI$1,0))</f>
        <v>-61.841250000000002</v>
      </c>
      <c r="BE64" s="25">
        <f t="array" ref="BE64">INDEX(KOMBI!$A$1:$GI$145,ROW('KSH järjestus'!BE71),MATCH('KSH järjestus'!BE$3,KOMBI!$A$1:$GI$1,0))</f>
        <v>95.426281143389787</v>
      </c>
      <c r="BF64" s="25">
        <f t="array" aca="1" ref="BF64" ca="1">INDEX(KOMBI!$A$1:$GI$145,ROW('KSH järjestus'!BF71),MATCH('KSH järjestus'!BF$3,KOMBI!$A$1:$GI$1,0))</f>
        <v>0</v>
      </c>
      <c r="BG64" s="25">
        <f t="array" ref="BG64">INDEX(KOMBI!$A$1:$GI$145,ROW('KSH järjestus'!BG71),MATCH('KSH järjestus'!BG$3,KOMBI!$A$1:$GI$1,0))</f>
        <v>0.58375687843549795</v>
      </c>
      <c r="BH64" s="25">
        <f t="array" ref="BH64">INDEX(KOMBI!$A$1:$GI$145,ROW('KSH järjestus'!BH71),MATCH('KSH järjestus'!BH$3,KOMBI!$A$1:$GI$1,0))</f>
        <v>90</v>
      </c>
      <c r="BI64" s="25">
        <f t="array" ref="BI64">INDEX(KOMBI!$A$1:$GI$145,ROW('KSH järjestus'!BI71),MATCH('KSH järjestus'!BI$3,KOMBI!$A$1:$GI$1,0))</f>
        <v>1</v>
      </c>
      <c r="BJ64" s="25">
        <f t="array" ref="BJ64">INDEX(KOMBI!$A$1:$GI$145,ROW('KSH järjestus'!BJ71),MATCH('KSH järjestus'!BJ$3,KOMBI!$A$1:$GI$1,0))</f>
        <v>0.27911646586345373</v>
      </c>
      <c r="BK64" s="25">
        <f t="array" ref="BK64">INDEX(KOMBI!$A$1:$GI$145,ROW('KSH järjestus'!BK71),MATCH('KSH järjestus'!BK$3,KOMBI!$A$1:$GI$1,0))</f>
        <v>0.33006438024350176</v>
      </c>
      <c r="BL64" s="25">
        <f t="array" ref="BL64">INDEX(KOMBI!$A$1:$GI$145,ROW('KSH järjestus'!BL71),MATCH('KSH järjestus'!BL$3,KOMBI!$A$1:$GI$1,0))</f>
        <v>7.4025035345110408E-3</v>
      </c>
      <c r="BM64" s="25">
        <f t="array" ref="BM64">INDEX(KOMBI!$A$1:$GI$145,ROW('KSH järjestus'!BM71),MATCH('KSH järjestus'!BM$3,KOMBI!$A$1:$GI$1,0))</f>
        <v>2.0917024687926123E-3</v>
      </c>
      <c r="BN64" s="25">
        <f t="array" ref="BN64">INDEX(KOMBI!$A$1:$GI$145,ROW('KSH järjestus'!BN71),MATCH('KSH järjestus'!BN$3,KOMBI!$A$1:$GI$1,0))</f>
        <v>1.0832856247567912E-3</v>
      </c>
      <c r="BO64" s="25">
        <f t="array" ref="BO64">INDEX(KOMBI!$A$1:$GI$145,ROW('KSH järjestus'!BO71),MATCH('KSH järjestus'!BO$3,KOMBI!$A$1:$GI$1,0))</f>
        <v>6.3440152924583099E-3</v>
      </c>
      <c r="BP64" s="25">
        <f t="array" ref="BP64">INDEX(KOMBI!$A$1:$GI$145,ROW('KSH järjestus'!BP71),MATCH('KSH järjestus'!BP$3,KOMBI!$A$1:$GI$1,0))</f>
        <v>7.7729999999999997</v>
      </c>
      <c r="BQ64" s="25">
        <f t="array" ref="BQ64">INDEX(KOMBI!$A$1:$GI$145,ROW('KSH järjestus'!BQ71),MATCH('KSH järjestus'!BQ$3,KOMBI!$A$1:$GI$1,0))</f>
        <v>10.342000000000001</v>
      </c>
      <c r="BR64" s="25">
        <f t="array" ref="BR64">INDEX(KOMBI!$A$1:$GI$145,ROW('KSH järjestus'!BR71),MATCH('KSH järjestus'!BR$3,KOMBI!$A$1:$GI$1,0))</f>
        <v>-2.8605111101707277E-2</v>
      </c>
      <c r="BS64" s="25">
        <f t="array" ref="BS64">INDEX(KOMBI!$A$1:$GI$145,ROW('KSH järjestus'!BS71),MATCH('KSH järjestus'!BS$3,KOMBI!$A$1:$GI$1,0))</f>
        <v>-3.1768638156653872E-2</v>
      </c>
      <c r="BT64" s="25">
        <f t="array" ref="BT64">INDEX(KOMBI!$A$1:$GI$145,ROW('KSH järjestus'!BT71),MATCH('KSH järjestus'!BT$3,KOMBI!$A$1:$GI$1,0))</f>
        <v>-4.3573509794883857E-2</v>
      </c>
      <c r="BU64" s="25">
        <f t="array" ref="BU64">INDEX(KOMBI!$A$1:$GI$145,ROW('KSH järjestus'!BU71),MATCH('KSH järjestus'!BU$3,KOMBI!$A$1:$GI$1,0))</f>
        <v>8.4202895597237895</v>
      </c>
      <c r="BV64" s="25">
        <f t="array" ref="BV64">INDEX(KOMBI!$A$1:$GI$145,ROW('KSH järjestus'!BV71),MATCH('KSH järjestus'!BV$3,KOMBI!$A$1:$GI$1,0))</f>
        <v>5.0659999999999998</v>
      </c>
      <c r="BW64" s="25">
        <f t="array" ref="BW64">INDEX(KOMBI!$A$1:$GI$145,ROW('KSH järjestus'!BW71),MATCH('KSH järjestus'!BW$3,KOMBI!$A$1:$GI$1,0))</f>
        <v>2.5583823271229704</v>
      </c>
      <c r="BX64" s="25">
        <f t="array" ref="BX64">INDEX(KOMBI!$A$1:$GI$145,ROW('KSH järjestus'!BX71),MATCH('KSH järjestus'!BX$3,KOMBI!$A$1:$GI$1,0))</f>
        <v>18.178999999999998</v>
      </c>
      <c r="BY64" s="25">
        <f t="array" ref="BY64">INDEX(KOMBI!$A$1:$GI$145,ROW('KSH järjestus'!BY71),MATCH('KSH järjestus'!BY$3,KOMBI!$A$1:$GI$1,0))</f>
        <v>11.873743209992719</v>
      </c>
      <c r="BZ64" s="25">
        <f t="array" ref="BZ64">INDEX(KOMBI!$A$1:$GI$145,ROW('KSH järjestus'!BZ71),MATCH('KSH järjestus'!BZ$3,KOMBI!$A$1:$GI$1,0))</f>
        <v>68</v>
      </c>
      <c r="CA64" s="25">
        <f t="array" ref="CA64">INDEX(KOMBI!$A$1:$GI$145,ROW('KSH järjestus'!CA71),MATCH('KSH järjestus'!CA$3,KOMBI!$A$1:$GI$1,0))</f>
        <v>14.02</v>
      </c>
      <c r="CB64" s="25">
        <f t="array" ref="CB64">INDEX(KOMBI!$A$1:$GI$145,ROW('KSH järjestus'!CB71),MATCH('KSH järjestus'!CB$3,KOMBI!$A$1:$GI$1,0))</f>
        <v>62.466944444444444</v>
      </c>
      <c r="CC64" s="25">
        <f t="array" ref="CC64">INDEX(KOMBI!$A$1:$GI$145,ROW('KSH järjestus'!CC71),MATCH('KSH järjestus'!CC$3,KOMBI!$A$1:$GI$1,0))</f>
        <v>4.9721599999999997</v>
      </c>
      <c r="CD64" s="25">
        <f t="array" ref="CD64">INDEX(KOMBI!$A$1:$GI$145,ROW('KSH järjestus'!CD71),MATCH('KSH järjestus'!CD$3,KOMBI!$A$1:$GI$1,0))</f>
        <v>306.45</v>
      </c>
      <c r="CE64" s="25">
        <f t="array" ref="CE64">INDEX(KOMBI!$A$1:$GI$145,ROW('KSH järjestus'!CE71),MATCH('KSH järjestus'!CE$3,KOMBI!$A$1:$GI$1,0))</f>
        <v>2.9929999999999999</v>
      </c>
      <c r="CF64" s="25">
        <f t="array" ref="CF64">INDEX(KOMBI!$A$1:$GI$145,ROW('KSH järjestus'!CF71),MATCH('KSH järjestus'!CF$3,KOMBI!$A$1:$GI$1,0))</f>
        <v>48.28067829457364</v>
      </c>
      <c r="CG64" s="25">
        <f t="array" ref="CG64">INDEX(KOMBI!$A$1:$GI$145,ROW('KSH järjestus'!CG71),MATCH('KSH järjestus'!CG$3,KOMBI!$A$1:$GI$1,0))</f>
        <v>2.2545055318885739E-2</v>
      </c>
      <c r="CH64" s="25">
        <f t="array" ref="CH64">INDEX(KOMBI!$A$1:$GI$145,ROW('KSH järjestus'!CH71),MATCH('KSH järjestus'!CH$3,KOMBI!$A$1:$GI$1,0))</f>
        <v>0.39192627065295316</v>
      </c>
      <c r="CI64" s="25">
        <f t="array" ref="CI64">INDEX(KOMBI!$A$1:$GI$145,ROW('KSH järjestus'!CI71),MATCH('KSH järjestus'!CI$3,KOMBI!$A$1:$GI$1,0))</f>
        <v>6.28</v>
      </c>
      <c r="CJ64" s="25">
        <f t="array" ref="CJ64">INDEX(KOMBI!$A$1:$GI$145,ROW('KSH järjestus'!CJ71),MATCH('KSH järjestus'!CJ$3,KOMBI!$A$1:$GI$1,0))</f>
        <v>4.3433823271229706</v>
      </c>
      <c r="CK64" s="25">
        <f t="array" ref="CK64">INDEX(KOMBI!$A$1:$GI$145,ROW('KSH järjestus'!CK71),MATCH('KSH järjestus'!CK$3,KOMBI!$A$1:$GI$1,0))</f>
        <v>0.21099999999999999</v>
      </c>
      <c r="CL64" s="25">
        <f t="array" ref="CL64">INDEX(KOMBI!$A$1:$GI$145,ROW('KSH järjestus'!CL71),MATCH('KSH järjestus'!CL$3,KOMBI!$A$1:$GI$1,0))</f>
        <v>0.76300000000000001</v>
      </c>
    </row>
    <row r="65" spans="3:90" x14ac:dyDescent="0.2">
      <c r="C65" s="184">
        <v>62</v>
      </c>
      <c r="G65" s="25">
        <f>RANK(INDEX(KOMBI!$A$11:$GI$145,MATCH('KSH järjestus'!$C65,KOMBI!$A$11:$A$145,0),MATCH('KSH järjestus'!G$3,KOMBI!$A$1:$GI$1,0)),BD$4:BD$138,G$2)</f>
        <v>66</v>
      </c>
      <c r="H65" s="25">
        <f>RANK(INDEX(KOMBI!$A$11:$GI$145,MATCH('KSH järjestus'!$C65,KOMBI!$A$11:$A$145,0),MATCH('KSH järjestus'!H$3,KOMBI!$A$1:$GI$1,0)),BE$4:BE$138,H$2)</f>
        <v>85</v>
      </c>
      <c r="J65" s="25">
        <f>RANK(INDEX(KOMBI!$A$11:$GI$145,MATCH('KSH järjestus'!$C65,KOMBI!$A$11:$A$145,0),MATCH('KSH järjestus'!J$3,KOMBI!$A$1:$GI$1,0)),BG$4:BG$138,J$2)</f>
        <v>67</v>
      </c>
      <c r="M65" s="25">
        <f>RANK(INDEX(KOMBI!$A$11:$GI$145,MATCH('KSH järjestus'!$C65,KOMBI!$A$11:$A$145,0),MATCH('KSH järjestus'!M$3,KOMBI!$A$1:$GI$1,0)),BJ$4:BJ$138,M$2)</f>
        <v>55</v>
      </c>
      <c r="N65" s="25">
        <f>RANK(INDEX(KOMBI!$A$11:$GI$145,MATCH('KSH järjestus'!$C65,KOMBI!$A$11:$A$145,0),MATCH('KSH järjestus'!N$3,KOMBI!$A$1:$GI$1,0)),BK$4:BK$138,N$2)</f>
        <v>85</v>
      </c>
      <c r="O65" s="25">
        <f>RANK(INDEX(KOMBI!$A$11:$GI$145,MATCH('KSH järjestus'!$C65,KOMBI!$A$11:$A$145,0),MATCH('KSH järjestus'!O$3,KOMBI!$A$1:$GI$1,0)),BL$4:BL$138,O$2)</f>
        <v>86</v>
      </c>
      <c r="P65" s="25">
        <f>RANK(INDEX(KOMBI!$A$11:$GI$145,MATCH('KSH järjestus'!$C65,KOMBI!$A$11:$A$145,0),MATCH('KSH järjestus'!P$3,KOMBI!$A$1:$GI$1,0)),BM$4:BM$138,P$2)</f>
        <v>86</v>
      </c>
      <c r="Q65" s="25">
        <f>RANK(INDEX(KOMBI!$A$11:$GI$145,MATCH('KSH järjestus'!$C65,KOMBI!$A$11:$A$145,0),MATCH('KSH järjestus'!Q$3,KOMBI!$A$1:$GI$1,0)),BN$4:BN$138,Q$2)</f>
        <v>75</v>
      </c>
      <c r="R65" s="25">
        <f>RANK(INDEX(KOMBI!$A$11:$GI$145,MATCH('KSH järjestus'!$C65,KOMBI!$A$11:$A$145,0),MATCH('KSH järjestus'!R$3,KOMBI!$A$1:$GI$1,0)),BO$4:BO$138,R$2)</f>
        <v>90</v>
      </c>
      <c r="T65" s="25">
        <f>RANK(INDEX(KOMBI!$A$11:$GI$145,MATCH('KSH järjestus'!$C65,KOMBI!$A$11:$A$145,0),MATCH('KSH järjestus'!T$3,KOMBI!$A$1:$GI$1,0)),BQ$4:BQ$138,T$2)</f>
        <v>48</v>
      </c>
      <c r="U65" s="25">
        <f>RANK(INDEX(KOMBI!$A$11:$GI$145,MATCH('KSH järjestus'!$C65,KOMBI!$A$11:$A$145,0),MATCH('KSH järjestus'!U$3,KOMBI!$A$1:$GI$1,0)),BR$4:BR$138,U$2)</f>
        <v>68</v>
      </c>
      <c r="AA65" s="25">
        <f>RANK(INDEX(KOMBI!$A$11:$GI$145,MATCH('KSH järjestus'!$C65,KOMBI!$A$11:$A$145,0),MATCH('KSH järjestus'!AA$3,KOMBI!$A$1:$GI$1,0)),BX$4:BX$138,AA$2)</f>
        <v>55</v>
      </c>
      <c r="AB65" s="25">
        <f>RANK(INDEX(KOMBI!$A$11:$GI$145,MATCH('KSH järjestus'!$C65,KOMBI!$A$11:$A$145,0),MATCH('KSH järjestus'!AB$3,KOMBI!$A$1:$GI$1,0)),BY$4:BY$138,AB$2)</f>
        <v>70</v>
      </c>
      <c r="AC65" s="25">
        <f>RANK(INDEX(KOMBI!$A$11:$GI$145,MATCH('KSH järjestus'!$C65,KOMBI!$A$11:$A$145,0),MATCH('KSH järjestus'!AC$3,KOMBI!$A$1:$GI$1,0)),BZ$4:BZ$138,AC$2)</f>
        <v>16</v>
      </c>
      <c r="AD65" s="25">
        <f>RANK(INDEX(KOMBI!$A$11:$GI$145,MATCH('KSH järjestus'!$C65,KOMBI!$A$11:$A$145,0),MATCH('KSH järjestus'!AD$3,KOMBI!$A$1:$GI$1,0)),CA$4:CA$138,AD$2)</f>
        <v>64</v>
      </c>
      <c r="AE65" s="25">
        <f>RANK(INDEX(KOMBI!$A$11:$GI$145,MATCH('KSH järjestus'!$C65,KOMBI!$A$11:$A$145,0),MATCH('KSH järjestus'!AE$3,KOMBI!$A$1:$GI$1,0)),CB$4:CB$138,AE$2)</f>
        <v>64</v>
      </c>
      <c r="AG65" s="25">
        <f>RANK(INDEX(KOMBI!$A$11:$GI$145,MATCH('KSH järjestus'!$C65,KOMBI!$A$11:$A$145,0),MATCH('KSH järjestus'!AG$3,KOMBI!$A$1:$GI$1,0)),CD$4:CD$138,AG$2)</f>
        <v>49</v>
      </c>
      <c r="AH65" s="25">
        <f>RANK(INDEX(KOMBI!$A$11:$GI$145,MATCH('KSH järjestus'!$C65,KOMBI!$A$11:$A$145,0),MATCH('KSH järjestus'!AH$3,KOMBI!$A$1:$GI$1,0)),CE$4:CE$138,AH$2)</f>
        <v>76</v>
      </c>
      <c r="AI65" s="25">
        <f>RANK(INDEX(KOMBI!$A$11:$GI$145,MATCH('KSH järjestus'!$C65,KOMBI!$A$11:$A$145,0),MATCH('KSH järjestus'!AI$3,KOMBI!$A$1:$GI$1,0)),CF$4:CF$138,AI$2)</f>
        <v>67</v>
      </c>
      <c r="AJ65" s="25">
        <f>RANK(INDEX(KOMBI!$A$11:$GI$145,MATCH('KSH järjestus'!$C65,KOMBI!$A$11:$A$145,0),MATCH('KSH järjestus'!AJ$3,KOMBI!$A$1:$GI$1,0)),CG$4:CG$138,AJ$2)</f>
        <v>76</v>
      </c>
      <c r="AK65" s="25">
        <f>RANK(INDEX(KOMBI!$A$11:$GI$145,MATCH('KSH järjestus'!$C65,KOMBI!$A$11:$A$145,0),MATCH('KSH järjestus'!AK$3,KOMBI!$A$1:$GI$1,0)),CH$4:CH$138,AK$2)</f>
        <v>103</v>
      </c>
      <c r="AN65" s="25">
        <f>RANK(INDEX(KOMBI!$A$11:$GI$145,MATCH('KSH järjestus'!$C65,KOMBI!$A$11:$A$145,0),MATCH('KSH järjestus'!AN$3,KOMBI!$A$1:$GI$1,0)),CK$4:CK$138,AN$2)</f>
        <v>46</v>
      </c>
      <c r="AO65" s="25">
        <f>RANK(INDEX(KOMBI!$A$11:$GI$145,MATCH('KSH järjestus'!$C65,KOMBI!$A$11:$A$145,0),MATCH('KSH järjestus'!AO$3,KOMBI!$A$1:$GI$1,0)),CL$4:CL$138,AO$2)</f>
        <v>46</v>
      </c>
      <c r="AS65" s="297">
        <f t="shared" si="3"/>
        <v>1543</v>
      </c>
      <c r="AT65" s="25">
        <f t="shared" si="1"/>
        <v>1388</v>
      </c>
      <c r="AU65" s="25">
        <f t="shared" si="2"/>
        <v>38</v>
      </c>
      <c r="AV65" s="295" t="str">
        <f>VLOOKUP(VLOOKUP($AU65,KOMBI!$A:$H,3,FALSE),data!$I$27:$J$29,2,FALSE)</f>
        <v>Sekkuv/EÜ</v>
      </c>
      <c r="AW65" s="295" t="str">
        <f>VLOOKUP(VLOOKUP($AU65,KOMBI!$A:$H,2,FALSE),data!$I$21:$J$23,2,FALSE)</f>
        <v>Mittesekkuv</v>
      </c>
      <c r="AX65" s="295" t="str">
        <f>VLOOKUP(VLOOKUP($AU65,KOMBI!$A:$H,5,FALSE),data!$I$39:$J$41,2,FALSE)</f>
        <v>Vähe-sekkuv</v>
      </c>
      <c r="AY65" s="295" t="str">
        <f>VLOOKUP(VLOOKUP($AU65,KOMBI!$A:$H,4,FALSE),data!$I$32:$J$36,2,FALSE)</f>
        <v>TE</v>
      </c>
      <c r="BA65" s="25">
        <f t="array" ref="BA65">INDEX(KOMBI!$A$1:$GI$145,ROW('KSH järjestus'!BA72),MATCH('KSH järjestus'!BA$3,KOMBI!$A$1:$GI$1,0))</f>
        <v>3.9620397858272054</v>
      </c>
      <c r="BB65" s="25">
        <f t="array" ref="BB65">INDEX(KOMBI!$A$1:$GI$145,ROW('KSH järjestus'!BB72),MATCH('KSH järjestus'!BB$3,KOMBI!$A$1:$GI$1,0))</f>
        <v>348.76204481621113</v>
      </c>
      <c r="BC65" s="25">
        <f t="array" aca="1" ref="BC65" ca="1">INDEX(KOMBI!$A$1:$GI$145,ROW('KSH järjestus'!BC72),MATCH('KSH järjestus'!BC$3,KOMBI!$A$1:$GI$1,0))</f>
        <v>62.750353171924871</v>
      </c>
      <c r="BD65" s="25">
        <f t="array" ref="BD65">INDEX(KOMBI!$A$1:$GI$145,ROW('KSH järjestus'!BD72),MATCH('KSH järjestus'!BD$3,KOMBI!$A$1:$GI$1,0))</f>
        <v>-77.074469880632108</v>
      </c>
      <c r="BE65" s="25">
        <f t="array" ref="BE65">INDEX(KOMBI!$A$1:$GI$145,ROW('KSH järjestus'!BE72),MATCH('KSH järjestus'!BE$3,KOMBI!$A$1:$GI$1,0))</f>
        <v>139.82482305255698</v>
      </c>
      <c r="BF65" s="25">
        <f t="array" aca="1" ref="BF65" ca="1">INDEX(KOMBI!$A$1:$GI$145,ROW('KSH järjestus'!BF72),MATCH('KSH järjestus'!BF$3,KOMBI!$A$1:$GI$1,0))</f>
        <v>0</v>
      </c>
      <c r="BG65" s="25">
        <f t="array" ref="BG65">INDEX(KOMBI!$A$1:$GI$145,ROW('KSH järjestus'!BG72),MATCH('KSH järjestus'!BG$3,KOMBI!$A$1:$GI$1,0))</f>
        <v>0.54801313538977747</v>
      </c>
      <c r="BH65" s="25">
        <f t="array" ref="BH65">INDEX(KOMBI!$A$1:$GI$145,ROW('KSH järjestus'!BH72),MATCH('KSH järjestus'!BH$3,KOMBI!$A$1:$GI$1,0))</f>
        <v>90</v>
      </c>
      <c r="BI65" s="25">
        <f t="array" ref="BI65">INDEX(KOMBI!$A$1:$GI$145,ROW('KSH järjestus'!BI72),MATCH('KSH järjestus'!BI$3,KOMBI!$A$1:$GI$1,0))</f>
        <v>0.84317482403548605</v>
      </c>
      <c r="BJ65" s="25">
        <f t="array" ref="BJ65">INDEX(KOMBI!$A$1:$GI$145,ROW('KSH järjestus'!BJ72),MATCH('KSH järjestus'!BJ$3,KOMBI!$A$1:$GI$1,0))</f>
        <v>0.27911646586345373</v>
      </c>
      <c r="BK65" s="25">
        <f t="array" ref="BK65">INDEX(KOMBI!$A$1:$GI$145,ROW('KSH järjestus'!BK72),MATCH('KSH järjestus'!BK$3,KOMBI!$A$1:$GI$1,0))</f>
        <v>0.33006438024350176</v>
      </c>
      <c r="BL65" s="25">
        <f t="array" ref="BL65">INDEX(KOMBI!$A$1:$GI$145,ROW('KSH järjestus'!BL72),MATCH('KSH järjestus'!BL$3,KOMBI!$A$1:$GI$1,0))</f>
        <v>1.3684896620933369E-2</v>
      </c>
      <c r="BM65" s="25">
        <f t="array" ref="BM65">INDEX(KOMBI!$A$1:$GI$145,ROW('KSH järjestus'!BM72),MATCH('KSH järjestus'!BM$3,KOMBI!$A$1:$GI$1,0))</f>
        <v>-6.0135038062300106E-4</v>
      </c>
      <c r="BN65" s="25">
        <f t="array" ref="BN65">INDEX(KOMBI!$A$1:$GI$145,ROW('KSH järjestus'!BN72),MATCH('KSH järjestus'!BN$3,KOMBI!$A$1:$GI$1,0))</f>
        <v>3.5761554861146183E-3</v>
      </c>
      <c r="BO65" s="25">
        <f t="array" ref="BO65">INDEX(KOMBI!$A$1:$GI$145,ROW('KSH järjestus'!BO72),MATCH('KSH järjestus'!BO$3,KOMBI!$A$1:$GI$1,0))</f>
        <v>1.0168901836335138E-2</v>
      </c>
      <c r="BP65" s="25">
        <f t="array" ref="BP65">INDEX(KOMBI!$A$1:$GI$145,ROW('KSH järjestus'!BP72),MATCH('KSH järjestus'!BP$3,KOMBI!$A$1:$GI$1,0))</f>
        <v>7.7729999999999997</v>
      </c>
      <c r="BQ65" s="25">
        <f t="array" ref="BQ65">INDEX(KOMBI!$A$1:$GI$145,ROW('KSH järjestus'!BQ72),MATCH('KSH järjestus'!BQ$3,KOMBI!$A$1:$GI$1,0))</f>
        <v>10.433</v>
      </c>
      <c r="BR65" s="25">
        <f t="array" ref="BR65">INDEX(KOMBI!$A$1:$GI$145,ROW('KSH järjestus'!BR72),MATCH('KSH järjestus'!BR$3,KOMBI!$A$1:$GI$1,0))</f>
        <v>-2.4371312090442555E-2</v>
      </c>
      <c r="BS65" s="25">
        <f t="array" ref="BS65">INDEX(KOMBI!$A$1:$GI$145,ROW('KSH järjestus'!BS72),MATCH('KSH järjestus'!BS$3,KOMBI!$A$1:$GI$1,0))</f>
        <v>-3.0435025937018311E-2</v>
      </c>
      <c r="BT65" s="25">
        <f t="array" ref="BT65">INDEX(KOMBI!$A$1:$GI$145,ROW('KSH järjestus'!BT72),MATCH('KSH järjestus'!BT$3,KOMBI!$A$1:$GI$1,0))</f>
        <v>-4.2474546995489901E-2</v>
      </c>
      <c r="BU65" s="25">
        <f t="array" ref="BU65">INDEX(KOMBI!$A$1:$GI$145,ROW('KSH järjestus'!BU72),MATCH('KSH järjestus'!BU$3,KOMBI!$A$1:$GI$1,0))</f>
        <v>8.4202895597237895</v>
      </c>
      <c r="BV65" s="25">
        <f t="array" ref="BV65">INDEX(KOMBI!$A$1:$GI$145,ROW('KSH järjestus'!BV72),MATCH('KSH järjestus'!BV$3,KOMBI!$A$1:$GI$1,0))</f>
        <v>5.0659999999999998</v>
      </c>
      <c r="BW65" s="25">
        <f t="array" ref="BW65">INDEX(KOMBI!$A$1:$GI$145,ROW('KSH järjestus'!BW72),MATCH('KSH järjestus'!BW$3,KOMBI!$A$1:$GI$1,0))</f>
        <v>2.9358823271229704</v>
      </c>
      <c r="BX65" s="25">
        <f t="array" ref="BX65">INDEX(KOMBI!$A$1:$GI$145,ROW('KSH järjestus'!BX72),MATCH('KSH järjestus'!BX$3,KOMBI!$A$1:$GI$1,0))</f>
        <v>18.178999999999998</v>
      </c>
      <c r="BY65" s="25">
        <f t="array" ref="BY65">INDEX(KOMBI!$A$1:$GI$145,ROW('KSH järjestus'!BY72),MATCH('KSH järjestus'!BY$3,KOMBI!$A$1:$GI$1,0))</f>
        <v>11.873743209992719</v>
      </c>
      <c r="BZ65" s="25">
        <f t="array" ref="BZ65">INDEX(KOMBI!$A$1:$GI$145,ROW('KSH järjestus'!BZ72),MATCH('KSH järjestus'!BZ$3,KOMBI!$A$1:$GI$1,0))</f>
        <v>68.400000000000006</v>
      </c>
      <c r="CA65" s="25">
        <f t="array" ref="CA65">INDEX(KOMBI!$A$1:$GI$145,ROW('KSH järjestus'!CA72),MATCH('KSH järjestus'!CA$3,KOMBI!$A$1:$GI$1,0))</f>
        <v>14.109</v>
      </c>
      <c r="CB65" s="25">
        <f t="array" ref="CB65">INDEX(KOMBI!$A$1:$GI$145,ROW('KSH järjestus'!CB72),MATCH('KSH järjestus'!CB$3,KOMBI!$A$1:$GI$1,0))</f>
        <v>62.807222222222222</v>
      </c>
      <c r="CC65" s="25">
        <f t="array" ref="CC65">INDEX(KOMBI!$A$1:$GI$145,ROW('KSH järjestus'!CC72),MATCH('KSH järjestus'!CC$3,KOMBI!$A$1:$GI$1,0))</f>
        <v>5.005452</v>
      </c>
      <c r="CD65" s="25">
        <f t="array" ref="CD65">INDEX(KOMBI!$A$1:$GI$145,ROW('KSH järjestus'!CD72),MATCH('KSH järjestus'!CD$3,KOMBI!$A$1:$GI$1,0))</f>
        <v>306.45</v>
      </c>
      <c r="CE65" s="25">
        <f t="array" ref="CE65">INDEX(KOMBI!$A$1:$GI$145,ROW('KSH järjestus'!CE72),MATCH('KSH järjestus'!CE$3,KOMBI!$A$1:$GI$1,0))</f>
        <v>2.9929999999999999</v>
      </c>
      <c r="CF65" s="25">
        <f t="array" ref="CF65">INDEX(KOMBI!$A$1:$GI$145,ROW('KSH järjestus'!CF72),MATCH('KSH järjestus'!CF$3,KOMBI!$A$1:$GI$1,0))</f>
        <v>48.28067829457364</v>
      </c>
      <c r="CG65" s="25">
        <f t="array" ref="CG65">INDEX(KOMBI!$A$1:$GI$145,ROW('KSH järjestus'!CG72),MATCH('KSH järjestus'!CG$3,KOMBI!$A$1:$GI$1,0))</f>
        <v>2.2545055318885739E-2</v>
      </c>
      <c r="CH65" s="25">
        <f t="array" ref="CH65">INDEX(KOMBI!$A$1:$GI$145,ROW('KSH järjestus'!CH72),MATCH('KSH järjestus'!CH$3,KOMBI!$A$1:$GI$1,0))</f>
        <v>0.39192627065295316</v>
      </c>
      <c r="CI65" s="25">
        <f t="array" ref="CI65">INDEX(KOMBI!$A$1:$GI$145,ROW('KSH järjestus'!CI72),MATCH('KSH järjestus'!CI$3,KOMBI!$A$1:$GI$1,0))</f>
        <v>6.28</v>
      </c>
      <c r="CJ65" s="25">
        <f t="array" ref="CJ65">INDEX(KOMBI!$A$1:$GI$145,ROW('KSH järjestus'!CJ72),MATCH('KSH järjestus'!CJ$3,KOMBI!$A$1:$GI$1,0))</f>
        <v>4.3433823271229706</v>
      </c>
      <c r="CK65" s="25">
        <f t="array" ref="CK65">INDEX(KOMBI!$A$1:$GI$145,ROW('KSH järjestus'!CK72),MATCH('KSH järjestus'!CK$3,KOMBI!$A$1:$GI$1,0))</f>
        <v>0.21099999999999999</v>
      </c>
      <c r="CL65" s="25">
        <f t="array" ref="CL65">INDEX(KOMBI!$A$1:$GI$145,ROW('KSH järjestus'!CL72),MATCH('KSH järjestus'!CL$3,KOMBI!$A$1:$GI$1,0))</f>
        <v>0.76300000000000001</v>
      </c>
    </row>
    <row r="66" spans="3:90" x14ac:dyDescent="0.2">
      <c r="C66" s="184">
        <v>63</v>
      </c>
      <c r="G66" s="25">
        <f>RANK(INDEX(KOMBI!$A$11:$GI$145,MATCH('KSH järjestus'!$C66,KOMBI!$A$11:$A$145,0),MATCH('KSH järjestus'!G$3,KOMBI!$A$1:$GI$1,0)),BD$4:BD$138,G$2)</f>
        <v>51</v>
      </c>
      <c r="H66" s="25">
        <f>RANK(INDEX(KOMBI!$A$11:$GI$145,MATCH('KSH järjestus'!$C66,KOMBI!$A$11:$A$145,0),MATCH('KSH järjestus'!H$3,KOMBI!$A$1:$GI$1,0)),BE$4:BE$138,H$2)</f>
        <v>56</v>
      </c>
      <c r="J66" s="25">
        <f>RANK(INDEX(KOMBI!$A$11:$GI$145,MATCH('KSH järjestus'!$C66,KOMBI!$A$11:$A$145,0),MATCH('KSH järjestus'!J$3,KOMBI!$A$1:$GI$1,0)),BG$4:BG$138,J$2)</f>
        <v>67</v>
      </c>
      <c r="M66" s="25">
        <f>RANK(INDEX(KOMBI!$A$11:$GI$145,MATCH('KSH järjestus'!$C66,KOMBI!$A$11:$A$145,0),MATCH('KSH järjestus'!M$3,KOMBI!$A$1:$GI$1,0)),BJ$4:BJ$138,M$2)</f>
        <v>55</v>
      </c>
      <c r="N66" s="25">
        <f>RANK(INDEX(KOMBI!$A$11:$GI$145,MATCH('KSH järjestus'!$C66,KOMBI!$A$11:$A$145,0),MATCH('KSH järjestus'!N$3,KOMBI!$A$1:$GI$1,0)),BK$4:BK$138,N$2)</f>
        <v>85</v>
      </c>
      <c r="O66" s="25">
        <f>RANK(INDEX(KOMBI!$A$11:$GI$145,MATCH('KSH järjestus'!$C66,KOMBI!$A$11:$A$145,0),MATCH('KSH järjestus'!O$3,KOMBI!$A$1:$GI$1,0)),BL$4:BL$138,O$2)</f>
        <v>56</v>
      </c>
      <c r="P66" s="25">
        <f>RANK(INDEX(KOMBI!$A$11:$GI$145,MATCH('KSH järjestus'!$C66,KOMBI!$A$11:$A$145,0),MATCH('KSH järjestus'!P$3,KOMBI!$A$1:$GI$1,0)),BM$4:BM$138,P$2)</f>
        <v>85</v>
      </c>
      <c r="Q66" s="25">
        <f>RANK(INDEX(KOMBI!$A$11:$GI$145,MATCH('KSH järjestus'!$C66,KOMBI!$A$11:$A$145,0),MATCH('KSH järjestus'!Q$3,KOMBI!$A$1:$GI$1,0)),BN$4:BN$138,Q$2)</f>
        <v>57</v>
      </c>
      <c r="R66" s="25">
        <f>RANK(INDEX(KOMBI!$A$11:$GI$145,MATCH('KSH järjestus'!$C66,KOMBI!$A$11:$A$145,0),MATCH('KSH järjestus'!R$3,KOMBI!$A$1:$GI$1,0)),BO$4:BO$138,R$2)</f>
        <v>54</v>
      </c>
      <c r="T66" s="25">
        <f>RANK(INDEX(KOMBI!$A$11:$GI$145,MATCH('KSH järjestus'!$C66,KOMBI!$A$11:$A$145,0),MATCH('KSH järjestus'!T$3,KOMBI!$A$1:$GI$1,0)),BQ$4:BQ$138,T$2)</f>
        <v>62</v>
      </c>
      <c r="U66" s="25">
        <f>RANK(INDEX(KOMBI!$A$11:$GI$145,MATCH('KSH järjestus'!$C66,KOMBI!$A$11:$A$145,0),MATCH('KSH järjestus'!U$3,KOMBI!$A$1:$GI$1,0)),BR$4:BR$138,U$2)</f>
        <v>80</v>
      </c>
      <c r="AA66" s="25">
        <f>RANK(INDEX(KOMBI!$A$11:$GI$145,MATCH('KSH järjestus'!$C66,KOMBI!$A$11:$A$145,0),MATCH('KSH järjestus'!AA$3,KOMBI!$A$1:$GI$1,0)),BX$4:BX$138,AA$2)</f>
        <v>55</v>
      </c>
      <c r="AB66" s="25">
        <f>RANK(INDEX(KOMBI!$A$11:$GI$145,MATCH('KSH järjestus'!$C66,KOMBI!$A$11:$A$145,0),MATCH('KSH järjestus'!AB$3,KOMBI!$A$1:$GI$1,0)),BY$4:BY$138,AB$2)</f>
        <v>70</v>
      </c>
      <c r="AC66" s="25">
        <f>RANK(INDEX(KOMBI!$A$11:$GI$145,MATCH('KSH järjestus'!$C66,KOMBI!$A$11:$A$145,0),MATCH('KSH järjestus'!AC$3,KOMBI!$A$1:$GI$1,0)),BZ$4:BZ$138,AC$2)</f>
        <v>28</v>
      </c>
      <c r="AD66" s="25">
        <f>RANK(INDEX(KOMBI!$A$11:$GI$145,MATCH('KSH järjestus'!$C66,KOMBI!$A$11:$A$145,0),MATCH('KSH järjestus'!AD$3,KOMBI!$A$1:$GI$1,0)),CA$4:CA$138,AD$2)</f>
        <v>73</v>
      </c>
      <c r="AE66" s="25">
        <f>RANK(INDEX(KOMBI!$A$11:$GI$145,MATCH('KSH järjestus'!$C66,KOMBI!$A$11:$A$145,0),MATCH('KSH järjestus'!AE$3,KOMBI!$A$1:$GI$1,0)),CB$4:CB$138,AE$2)</f>
        <v>70</v>
      </c>
      <c r="AG66" s="25">
        <f>RANK(INDEX(KOMBI!$A$11:$GI$145,MATCH('KSH järjestus'!$C66,KOMBI!$A$11:$A$145,0),MATCH('KSH järjestus'!AG$3,KOMBI!$A$1:$GI$1,0)),CD$4:CD$138,AG$2)</f>
        <v>49</v>
      </c>
      <c r="AH66" s="25">
        <f>RANK(INDEX(KOMBI!$A$11:$GI$145,MATCH('KSH järjestus'!$C66,KOMBI!$A$11:$A$145,0),MATCH('KSH järjestus'!AH$3,KOMBI!$A$1:$GI$1,0)),CE$4:CE$138,AH$2)</f>
        <v>76</v>
      </c>
      <c r="AI66" s="25">
        <f>RANK(INDEX(KOMBI!$A$11:$GI$145,MATCH('KSH järjestus'!$C66,KOMBI!$A$11:$A$145,0),MATCH('KSH järjestus'!AI$3,KOMBI!$A$1:$GI$1,0)),CF$4:CF$138,AI$2)</f>
        <v>67</v>
      </c>
      <c r="AJ66" s="25">
        <f>RANK(INDEX(KOMBI!$A$11:$GI$145,MATCH('KSH järjestus'!$C66,KOMBI!$A$11:$A$145,0),MATCH('KSH järjestus'!AJ$3,KOMBI!$A$1:$GI$1,0)),CG$4:CG$138,AJ$2)</f>
        <v>76</v>
      </c>
      <c r="AK66" s="25">
        <f>RANK(INDEX(KOMBI!$A$11:$GI$145,MATCH('KSH järjestus'!$C66,KOMBI!$A$11:$A$145,0),MATCH('KSH järjestus'!AK$3,KOMBI!$A$1:$GI$1,0)),CH$4:CH$138,AK$2)</f>
        <v>103</v>
      </c>
      <c r="AN66" s="25">
        <f>RANK(INDEX(KOMBI!$A$11:$GI$145,MATCH('KSH järjestus'!$C66,KOMBI!$A$11:$A$145,0),MATCH('KSH järjestus'!AN$3,KOMBI!$A$1:$GI$1,0)),CK$4:CK$138,AN$2)</f>
        <v>46</v>
      </c>
      <c r="AO66" s="25">
        <f>RANK(INDEX(KOMBI!$A$11:$GI$145,MATCH('KSH järjestus'!$C66,KOMBI!$A$11:$A$145,0),MATCH('KSH järjestus'!AO$3,KOMBI!$A$1:$GI$1,0)),CL$4:CL$138,AO$2)</f>
        <v>46</v>
      </c>
      <c r="AS66" s="297">
        <f t="shared" si="3"/>
        <v>1467</v>
      </c>
      <c r="AT66" s="25">
        <f t="shared" si="1"/>
        <v>1422</v>
      </c>
      <c r="AU66" s="25">
        <f t="shared" si="2"/>
        <v>93</v>
      </c>
      <c r="AV66" s="295" t="str">
        <f>VLOOKUP(VLOOKUP($AU66,KOMBI!$A:$H,3,FALSE),data!$I$27:$J$29,2,FALSE)</f>
        <v>Mittesekkuv</v>
      </c>
      <c r="AW66" s="295" t="str">
        <f>VLOOKUP(VLOOKUP($AU66,KOMBI!$A:$H,2,FALSE),data!$I$21:$J$23,2,FALSE)</f>
        <v>Sekkuv</v>
      </c>
      <c r="AX66" s="295" t="str">
        <f>VLOOKUP(VLOOKUP($AU66,KOMBI!$A:$H,5,FALSE),data!$I$39:$J$41,2,FALSE)</f>
        <v>Sekkuv</v>
      </c>
      <c r="AY66" s="295" t="str">
        <f>VLOOKUP(VLOOKUP($AU66,KOMBI!$A:$H,4,FALSE),data!$I$32:$J$36,2,FALSE)</f>
        <v>LIB</v>
      </c>
      <c r="BA66" s="25">
        <f t="array" ref="BA66">INDEX(KOMBI!$A$1:$GI$145,ROW('KSH järjestus'!BA73),MATCH('KSH järjestus'!BA$3,KOMBI!$A$1:$GI$1,0))</f>
        <v>4.8671395080687327</v>
      </c>
      <c r="BB66" s="25">
        <f t="array" ref="BB66">INDEX(KOMBI!$A$1:$GI$145,ROW('KSH järjestus'!BB73),MATCH('KSH järjestus'!BB$3,KOMBI!$A$1:$GI$1,0))</f>
        <v>465.37283583369043</v>
      </c>
      <c r="BC66" s="25">
        <f t="array" aca="1" ref="BC66" ca="1">INDEX(KOMBI!$A$1:$GI$145,ROW('KSH järjestus'!BC73),MATCH('KSH järjestus'!BC$3,KOMBI!$A$1:$GI$1,0))</f>
        <v>79.304767531009844</v>
      </c>
      <c r="BD66" s="25">
        <f t="array" ref="BD66">INDEX(KOMBI!$A$1:$GI$145,ROW('KSH järjestus'!BD73),MATCH('KSH järjestus'!BD$3,KOMBI!$A$1:$GI$1,0))</f>
        <v>-96.182063699091032</v>
      </c>
      <c r="BE66" s="25">
        <f t="array" ref="BE66">INDEX(KOMBI!$A$1:$GI$145,ROW('KSH järjestus'!BE73),MATCH('KSH järjestus'!BE$3,KOMBI!$A$1:$GI$1,0))</f>
        <v>175.48683123010088</v>
      </c>
      <c r="BF66" s="25">
        <f t="array" aca="1" ref="BF66" ca="1">INDEX(KOMBI!$A$1:$GI$145,ROW('KSH järjestus'!BF73),MATCH('KSH järjestus'!BF$3,KOMBI!$A$1:$GI$1,0))</f>
        <v>0</v>
      </c>
      <c r="BG66" s="25">
        <f t="array" ref="BG66">INDEX(KOMBI!$A$1:$GI$145,ROW('KSH järjestus'!BG73),MATCH('KSH järjestus'!BG$3,KOMBI!$A$1:$GI$1,0))</f>
        <v>0.54801313538977747</v>
      </c>
      <c r="BH66" s="25">
        <f t="array" ref="BH66">INDEX(KOMBI!$A$1:$GI$145,ROW('KSH järjestus'!BH73),MATCH('KSH järjestus'!BH$3,KOMBI!$A$1:$GI$1,0))</f>
        <v>90</v>
      </c>
      <c r="BI66" s="25">
        <f t="array" ref="BI66">INDEX(KOMBI!$A$1:$GI$145,ROW('KSH järjestus'!BI73),MATCH('KSH järjestus'!BI$3,KOMBI!$A$1:$GI$1,0))</f>
        <v>0.84317482403548605</v>
      </c>
      <c r="BJ66" s="25">
        <f t="array" ref="BJ66">INDEX(KOMBI!$A$1:$GI$145,ROW('KSH järjestus'!BJ73),MATCH('KSH järjestus'!BJ$3,KOMBI!$A$1:$GI$1,0))</f>
        <v>0.27911646586345373</v>
      </c>
      <c r="BK66" s="25">
        <f t="array" ref="BK66">INDEX(KOMBI!$A$1:$GI$145,ROW('KSH järjestus'!BK73),MATCH('KSH järjestus'!BK$3,KOMBI!$A$1:$GI$1,0))</f>
        <v>0.33006438024350176</v>
      </c>
      <c r="BL66" s="25">
        <f t="array" ref="BL66">INDEX(KOMBI!$A$1:$GI$145,ROW('KSH järjestus'!BL73),MATCH('KSH järjestus'!BL$3,KOMBI!$A$1:$GI$1,0))</f>
        <v>1.8335951999179888E-2</v>
      </c>
      <c r="BM66" s="25">
        <f t="array" ref="BM66">INDEX(KOMBI!$A$1:$GI$145,ROW('KSH järjestus'!BM73),MATCH('KSH järjestus'!BM$3,KOMBI!$A$1:$GI$1,0))</f>
        <v>-5.8858465358161468E-4</v>
      </c>
      <c r="BN66" s="25">
        <f t="array" ref="BN66">INDEX(KOMBI!$A$1:$GI$145,ROW('KSH järjestus'!BN73),MATCH('KSH järjestus'!BN$3,KOMBI!$A$1:$GI$1,0))</f>
        <v>4.906945322161349E-3</v>
      </c>
      <c r="BO66" s="25">
        <f t="array" ref="BO66">INDEX(KOMBI!$A$1:$GI$145,ROW('KSH järjestus'!BO73),MATCH('KSH järjestus'!BO$3,KOMBI!$A$1:$GI$1,0))</f>
        <v>1.3562765284499992E-2</v>
      </c>
      <c r="BP66" s="25">
        <f t="array" ref="BP66">INDEX(KOMBI!$A$1:$GI$145,ROW('KSH järjestus'!BP73),MATCH('KSH järjestus'!BP$3,KOMBI!$A$1:$GI$1,0))</f>
        <v>7.7729999999999997</v>
      </c>
      <c r="BQ66" s="25">
        <f t="array" ref="BQ66">INDEX(KOMBI!$A$1:$GI$145,ROW('KSH järjestus'!BQ73),MATCH('KSH järjestus'!BQ$3,KOMBI!$A$1:$GI$1,0))</f>
        <v>10.657</v>
      </c>
      <c r="BR66" s="25">
        <f t="array" ref="BR66">INDEX(KOMBI!$A$1:$GI$145,ROW('KSH järjestus'!BR73),MATCH('KSH järjestus'!BR$3,KOMBI!$A$1:$GI$1,0))</f>
        <v>-2.0391824959996658E-2</v>
      </c>
      <c r="BS66" s="25">
        <f t="array" ref="BS66">INDEX(KOMBI!$A$1:$GI$145,ROW('KSH järjestus'!BS73),MATCH('KSH järjestus'!BS$3,KOMBI!$A$1:$GI$1,0))</f>
        <v>-2.9175866020729864E-2</v>
      </c>
      <c r="BT66" s="25">
        <f t="array" ref="BT66">INDEX(KOMBI!$A$1:$GI$145,ROW('KSH järjestus'!BT73),MATCH('KSH järjestus'!BT$3,KOMBI!$A$1:$GI$1,0))</f>
        <v>-4.1013828022263644E-2</v>
      </c>
      <c r="BU66" s="25">
        <f t="array" ref="BU66">INDEX(KOMBI!$A$1:$GI$145,ROW('KSH järjestus'!BU73),MATCH('KSH järjestus'!BU$3,KOMBI!$A$1:$GI$1,0))</f>
        <v>8.4202895597237895</v>
      </c>
      <c r="BV66" s="25">
        <f t="array" ref="BV66">INDEX(KOMBI!$A$1:$GI$145,ROW('KSH järjestus'!BV73),MATCH('KSH järjestus'!BV$3,KOMBI!$A$1:$GI$1,0))</f>
        <v>5.0659999999999998</v>
      </c>
      <c r="BW66" s="25">
        <f t="array" ref="BW66">INDEX(KOMBI!$A$1:$GI$145,ROW('KSH järjestus'!BW73),MATCH('KSH järjestus'!BW$3,KOMBI!$A$1:$GI$1,0))</f>
        <v>3.1445823271229703</v>
      </c>
      <c r="BX66" s="25">
        <f t="array" ref="BX66">INDEX(KOMBI!$A$1:$GI$145,ROW('KSH järjestus'!BX73),MATCH('KSH järjestus'!BX$3,KOMBI!$A$1:$GI$1,0))</f>
        <v>18.178999999999998</v>
      </c>
      <c r="BY66" s="25">
        <f t="array" ref="BY66">INDEX(KOMBI!$A$1:$GI$145,ROW('KSH järjestus'!BY73),MATCH('KSH järjestus'!BY$3,KOMBI!$A$1:$GI$1,0))</f>
        <v>11.873743209992719</v>
      </c>
      <c r="BZ66" s="25">
        <f t="array" ref="BZ66">INDEX(KOMBI!$A$1:$GI$145,ROW('KSH järjestus'!BZ73),MATCH('KSH järjestus'!BZ$3,KOMBI!$A$1:$GI$1,0))</f>
        <v>70</v>
      </c>
      <c r="CA66" s="25">
        <f t="array" ref="CA66">INDEX(KOMBI!$A$1:$GI$145,ROW('KSH järjestus'!CA73),MATCH('KSH järjestus'!CA$3,KOMBI!$A$1:$GI$1,0))</f>
        <v>14.361000000000001</v>
      </c>
      <c r="CB66" s="25">
        <f t="array" ref="CB66">INDEX(KOMBI!$A$1:$GI$145,ROW('KSH järjestus'!CB73),MATCH('KSH järjestus'!CB$3,KOMBI!$A$1:$GI$1,0))</f>
        <v>63.715277777777779</v>
      </c>
      <c r="CC66" s="25">
        <f t="array" ref="CC66">INDEX(KOMBI!$A$1:$GI$145,ROW('KSH järjestus'!CC73),MATCH('KSH järjestus'!CC$3,KOMBI!$A$1:$GI$1,0))</f>
        <v>5.0987970000000002</v>
      </c>
      <c r="CD66" s="25">
        <f t="array" ref="CD66">INDEX(KOMBI!$A$1:$GI$145,ROW('KSH järjestus'!CD73),MATCH('KSH järjestus'!CD$3,KOMBI!$A$1:$GI$1,0))</f>
        <v>306.45</v>
      </c>
      <c r="CE66" s="25">
        <f t="array" ref="CE66">INDEX(KOMBI!$A$1:$GI$145,ROW('KSH järjestus'!CE73),MATCH('KSH järjestus'!CE$3,KOMBI!$A$1:$GI$1,0))</f>
        <v>2.9929999999999999</v>
      </c>
      <c r="CF66" s="25">
        <f t="array" ref="CF66">INDEX(KOMBI!$A$1:$GI$145,ROW('KSH järjestus'!CF73),MATCH('KSH järjestus'!CF$3,KOMBI!$A$1:$GI$1,0))</f>
        <v>48.28067829457364</v>
      </c>
      <c r="CG66" s="25">
        <f t="array" ref="CG66">INDEX(KOMBI!$A$1:$GI$145,ROW('KSH järjestus'!CG73),MATCH('KSH järjestus'!CG$3,KOMBI!$A$1:$GI$1,0))</f>
        <v>2.2545055318885739E-2</v>
      </c>
      <c r="CH66" s="25">
        <f t="array" ref="CH66">INDEX(KOMBI!$A$1:$GI$145,ROW('KSH järjestus'!CH73),MATCH('KSH järjestus'!CH$3,KOMBI!$A$1:$GI$1,0))</f>
        <v>0.39192627065295316</v>
      </c>
      <c r="CI66" s="25">
        <f t="array" ref="CI66">INDEX(KOMBI!$A$1:$GI$145,ROW('KSH järjestus'!CI73),MATCH('KSH järjestus'!CI$3,KOMBI!$A$1:$GI$1,0))</f>
        <v>6.28</v>
      </c>
      <c r="CJ66" s="25">
        <f t="array" ref="CJ66">INDEX(KOMBI!$A$1:$GI$145,ROW('KSH järjestus'!CJ73),MATCH('KSH järjestus'!CJ$3,KOMBI!$A$1:$GI$1,0))</f>
        <v>4.3433823271229706</v>
      </c>
      <c r="CK66" s="25">
        <f t="array" ref="CK66">INDEX(KOMBI!$A$1:$GI$145,ROW('KSH järjestus'!CK73),MATCH('KSH järjestus'!CK$3,KOMBI!$A$1:$GI$1,0))</f>
        <v>0.21099999999999999</v>
      </c>
      <c r="CL66" s="25">
        <f t="array" ref="CL66">INDEX(KOMBI!$A$1:$GI$145,ROW('KSH järjestus'!CL73),MATCH('KSH järjestus'!CL$3,KOMBI!$A$1:$GI$1,0))</f>
        <v>0.76300000000000001</v>
      </c>
    </row>
    <row r="67" spans="3:90" x14ac:dyDescent="0.2">
      <c r="C67" s="184">
        <v>64</v>
      </c>
      <c r="G67" s="25">
        <f>RANK(INDEX(KOMBI!$A$11:$GI$145,MATCH('KSH järjestus'!$C67,KOMBI!$A$11:$A$145,0),MATCH('KSH järjestus'!G$3,KOMBI!$A$1:$GI$1,0)),BD$4:BD$138,G$2)</f>
        <v>81</v>
      </c>
      <c r="H67" s="25">
        <f>RANK(INDEX(KOMBI!$A$11:$GI$145,MATCH('KSH järjestus'!$C67,KOMBI!$A$11:$A$145,0),MATCH('KSH järjestus'!H$3,KOMBI!$A$1:$GI$1,0)),BE$4:BE$138,H$2)</f>
        <v>110</v>
      </c>
      <c r="J67" s="25">
        <f>RANK(INDEX(KOMBI!$A$11:$GI$145,MATCH('KSH järjestus'!$C67,KOMBI!$A$11:$A$145,0),MATCH('KSH järjestus'!J$3,KOMBI!$A$1:$GI$1,0)),BG$4:BG$138,J$2)</f>
        <v>98</v>
      </c>
      <c r="M67" s="25">
        <f>RANK(INDEX(KOMBI!$A$11:$GI$145,MATCH('KSH järjestus'!$C67,KOMBI!$A$11:$A$145,0),MATCH('KSH järjestus'!M$3,KOMBI!$A$1:$GI$1,0)),BJ$4:BJ$138,M$2)</f>
        <v>55</v>
      </c>
      <c r="N67" s="25">
        <f>RANK(INDEX(KOMBI!$A$11:$GI$145,MATCH('KSH järjestus'!$C67,KOMBI!$A$11:$A$145,0),MATCH('KSH järjestus'!N$3,KOMBI!$A$1:$GI$1,0)),BK$4:BK$138,N$2)</f>
        <v>88</v>
      </c>
      <c r="O67" s="25">
        <f>RANK(INDEX(KOMBI!$A$11:$GI$145,MATCH('KSH järjestus'!$C67,KOMBI!$A$11:$A$145,0),MATCH('KSH järjestus'!O$3,KOMBI!$A$1:$GI$1,0)),BL$4:BL$138,O$2)</f>
        <v>121</v>
      </c>
      <c r="P67" s="25">
        <f>RANK(INDEX(KOMBI!$A$11:$GI$145,MATCH('KSH järjestus'!$C67,KOMBI!$A$11:$A$145,0),MATCH('KSH järjestus'!P$3,KOMBI!$A$1:$GI$1,0)),BM$4:BM$138,P$2)</f>
        <v>65</v>
      </c>
      <c r="Q67" s="25">
        <f>RANK(INDEX(KOMBI!$A$11:$GI$145,MATCH('KSH järjestus'!$C67,KOMBI!$A$11:$A$145,0),MATCH('KSH järjestus'!Q$3,KOMBI!$A$1:$GI$1,0)),BN$4:BN$138,Q$2)</f>
        <v>106</v>
      </c>
      <c r="R67" s="25">
        <f>RANK(INDEX(KOMBI!$A$11:$GI$145,MATCH('KSH järjestus'!$C67,KOMBI!$A$11:$A$145,0),MATCH('KSH järjestus'!R$3,KOMBI!$A$1:$GI$1,0)),BO$4:BO$138,R$2)</f>
        <v>120</v>
      </c>
      <c r="T67" s="25">
        <f>RANK(INDEX(KOMBI!$A$11:$GI$145,MATCH('KSH järjestus'!$C67,KOMBI!$A$11:$A$145,0),MATCH('KSH järjestus'!T$3,KOMBI!$A$1:$GI$1,0)),BQ$4:BQ$138,T$2)</f>
        <v>40</v>
      </c>
      <c r="U67" s="25">
        <f>RANK(INDEX(KOMBI!$A$11:$GI$145,MATCH('KSH järjestus'!$C67,KOMBI!$A$11:$A$145,0),MATCH('KSH järjestus'!U$3,KOMBI!$A$1:$GI$1,0)),BR$4:BR$138,U$2)</f>
        <v>59</v>
      </c>
      <c r="AA67" s="25">
        <f>RANK(INDEX(KOMBI!$A$11:$GI$145,MATCH('KSH järjestus'!$C67,KOMBI!$A$11:$A$145,0),MATCH('KSH järjestus'!AA$3,KOMBI!$A$1:$GI$1,0)),BX$4:BX$138,AA$2)</f>
        <v>58</v>
      </c>
      <c r="AB67" s="25">
        <f>RANK(INDEX(KOMBI!$A$11:$GI$145,MATCH('KSH järjestus'!$C67,KOMBI!$A$11:$A$145,0),MATCH('KSH järjestus'!AB$3,KOMBI!$A$1:$GI$1,0)),BY$4:BY$138,AB$2)</f>
        <v>64</v>
      </c>
      <c r="AC67" s="25">
        <f>RANK(INDEX(KOMBI!$A$11:$GI$145,MATCH('KSH järjestus'!$C67,KOMBI!$A$11:$A$145,0),MATCH('KSH järjestus'!AC$3,KOMBI!$A$1:$GI$1,0)),BZ$4:BZ$138,AC$2)</f>
        <v>11</v>
      </c>
      <c r="AD67" s="25">
        <f>RANK(INDEX(KOMBI!$A$11:$GI$145,MATCH('KSH järjestus'!$C67,KOMBI!$A$11:$A$145,0),MATCH('KSH järjestus'!AD$3,KOMBI!$A$1:$GI$1,0)),CA$4:CA$138,AD$2)</f>
        <v>59</v>
      </c>
      <c r="AE67" s="25">
        <f>RANK(INDEX(KOMBI!$A$11:$GI$145,MATCH('KSH järjestus'!$C67,KOMBI!$A$11:$A$145,0),MATCH('KSH järjestus'!AE$3,KOMBI!$A$1:$GI$1,0)),CB$4:CB$138,AE$2)</f>
        <v>59</v>
      </c>
      <c r="AG67" s="25">
        <f>RANK(INDEX(KOMBI!$A$11:$GI$145,MATCH('KSH järjestus'!$C67,KOMBI!$A$11:$A$145,0),MATCH('KSH järjestus'!AG$3,KOMBI!$A$1:$GI$1,0)),CD$4:CD$138,AG$2)</f>
        <v>49</v>
      </c>
      <c r="AH67" s="25">
        <f>RANK(INDEX(KOMBI!$A$11:$GI$145,MATCH('KSH järjestus'!$C67,KOMBI!$A$11:$A$145,0),MATCH('KSH järjestus'!AH$3,KOMBI!$A$1:$GI$1,0)),CE$4:CE$138,AH$2)</f>
        <v>76</v>
      </c>
      <c r="AI67" s="25">
        <f>RANK(INDEX(KOMBI!$A$11:$GI$145,MATCH('KSH järjestus'!$C67,KOMBI!$A$11:$A$145,0),MATCH('KSH järjestus'!AI$3,KOMBI!$A$1:$GI$1,0)),CF$4:CF$138,AI$2)</f>
        <v>70</v>
      </c>
      <c r="AJ67" s="25">
        <f>RANK(INDEX(KOMBI!$A$11:$GI$145,MATCH('KSH järjestus'!$C67,KOMBI!$A$11:$A$145,0),MATCH('KSH järjestus'!AJ$3,KOMBI!$A$1:$GI$1,0)),CG$4:CG$138,AJ$2)</f>
        <v>76</v>
      </c>
      <c r="AK67" s="25">
        <f>RANK(INDEX(KOMBI!$A$11:$GI$145,MATCH('KSH järjestus'!$C67,KOMBI!$A$11:$A$145,0),MATCH('KSH järjestus'!AK$3,KOMBI!$A$1:$GI$1,0)),CH$4:CH$138,AK$2)</f>
        <v>103</v>
      </c>
      <c r="AN67" s="25">
        <f>RANK(INDEX(KOMBI!$A$11:$GI$145,MATCH('KSH järjestus'!$C67,KOMBI!$A$11:$A$145,0),MATCH('KSH järjestus'!AN$3,KOMBI!$A$1:$GI$1,0)),CK$4:CK$138,AN$2)</f>
        <v>46</v>
      </c>
      <c r="AO67" s="25">
        <f>RANK(INDEX(KOMBI!$A$11:$GI$145,MATCH('KSH järjestus'!$C67,KOMBI!$A$11:$A$145,0),MATCH('KSH järjestus'!AO$3,KOMBI!$A$1:$GI$1,0)),CL$4:CL$138,AO$2)</f>
        <v>46</v>
      </c>
      <c r="AS67" s="297">
        <f t="shared" si="3"/>
        <v>1660</v>
      </c>
      <c r="AT67" s="25">
        <f t="shared" si="1"/>
        <v>1426</v>
      </c>
      <c r="AU67" s="25">
        <f t="shared" si="2"/>
        <v>96</v>
      </c>
      <c r="AV67" s="295" t="str">
        <f>VLOOKUP(VLOOKUP($AU67,KOMBI!$A:$H,3,FALSE),data!$I$27:$J$29,2,FALSE)</f>
        <v>Mittesekkuv</v>
      </c>
      <c r="AW67" s="295" t="str">
        <f>VLOOKUP(VLOOKUP($AU67,KOMBI!$A:$H,2,FALSE),data!$I$21:$J$23,2,FALSE)</f>
        <v>Sekkuv</v>
      </c>
      <c r="AX67" s="295" t="str">
        <f>VLOOKUP(VLOOKUP($AU67,KOMBI!$A:$H,5,FALSE),data!$I$39:$J$41,2,FALSE)</f>
        <v>Sekkuv</v>
      </c>
      <c r="AY67" s="295" t="str">
        <f>VLOOKUP(VLOOKUP($AU67,KOMBI!$A:$H,4,FALSE),data!$I$32:$J$36,2,FALSE)</f>
        <v>LIB+</v>
      </c>
      <c r="BA67" s="25">
        <f t="array" ref="BA67">INDEX(KOMBI!$A$1:$GI$145,ROW('KSH järjestus'!BA74),MATCH('KSH järjestus'!BA$3,KOMBI!$A$1:$GI$1,0))</f>
        <v>3.0495479698008232</v>
      </c>
      <c r="BB67" s="25">
        <f t="array" ref="BB67">INDEX(KOMBI!$A$1:$GI$145,ROW('KSH järjestus'!BB74),MATCH('KSH järjestus'!BB$3,KOMBI!$A$1:$GI$1,0))</f>
        <v>188.86563186343184</v>
      </c>
      <c r="BC67" s="25">
        <f t="array" aca="1" ref="BC67" ca="1">INDEX(KOMBI!$A$1:$GI$145,ROW('KSH järjestus'!BC74),MATCH('KSH järjestus'!BC$3,KOMBI!$A$1:$GI$1,0))</f>
        <v>33.782435898063369</v>
      </c>
      <c r="BD67" s="25">
        <f t="array" ref="BD67">INDEX(KOMBI!$A$1:$GI$145,ROW('KSH järjestus'!BD74),MATCH('KSH järjestus'!BD$3,KOMBI!$A$1:$GI$1,0))</f>
        <v>-61.841250000000002</v>
      </c>
      <c r="BE67" s="25">
        <f t="array" ref="BE67">INDEX(KOMBI!$A$1:$GI$145,ROW('KSH järjestus'!BE74),MATCH('KSH järjestus'!BE$3,KOMBI!$A$1:$GI$1,0))</f>
        <v>95.623685898063371</v>
      </c>
      <c r="BF67" s="25">
        <f t="array" aca="1" ref="BF67" ca="1">INDEX(KOMBI!$A$1:$GI$145,ROW('KSH järjestus'!BF74),MATCH('KSH järjestus'!BF$3,KOMBI!$A$1:$GI$1,0))</f>
        <v>0</v>
      </c>
      <c r="BG67" s="25">
        <f t="array" ref="BG67">INDEX(KOMBI!$A$1:$GI$145,ROW('KSH järjestus'!BG74),MATCH('KSH järjestus'!BG$3,KOMBI!$A$1:$GI$1,0))</f>
        <v>0.58384307377096734</v>
      </c>
      <c r="BH67" s="25">
        <f t="array" ref="BH67">INDEX(KOMBI!$A$1:$GI$145,ROW('KSH järjestus'!BH74),MATCH('KSH järjestus'!BH$3,KOMBI!$A$1:$GI$1,0))</f>
        <v>90</v>
      </c>
      <c r="BI67" s="25">
        <f t="array" ref="BI67">INDEX(KOMBI!$A$1:$GI$145,ROW('KSH järjestus'!BI74),MATCH('KSH järjestus'!BI$3,KOMBI!$A$1:$GI$1,0))</f>
        <v>1</v>
      </c>
      <c r="BJ67" s="25">
        <f t="array" ref="BJ67">INDEX(KOMBI!$A$1:$GI$145,ROW('KSH järjestus'!BJ74),MATCH('KSH järjestus'!BJ$3,KOMBI!$A$1:$GI$1,0))</f>
        <v>0.27911646586345373</v>
      </c>
      <c r="BK67" s="25">
        <f t="array" ref="BK67">INDEX(KOMBI!$A$1:$GI$145,ROW('KSH järjestus'!BK74),MATCH('KSH järjestus'!BK$3,KOMBI!$A$1:$GI$1,0))</f>
        <v>0.32999603074171385</v>
      </c>
      <c r="BL67" s="25">
        <f t="array" ref="BL67">INDEX(KOMBI!$A$1:$GI$145,ROW('KSH järjestus'!BL74),MATCH('KSH järjestus'!BL$3,KOMBI!$A$1:$GI$1,0))</f>
        <v>7.4413643104428821E-3</v>
      </c>
      <c r="BM67" s="25">
        <f t="array" ref="BM67">INDEX(KOMBI!$A$1:$GI$145,ROW('KSH järjestus'!BM74),MATCH('KSH järjestus'!BM$3,KOMBI!$A$1:$GI$1,0))</f>
        <v>2.0589499368268011E-3</v>
      </c>
      <c r="BN67" s="25">
        <f t="array" ref="BN67">INDEX(KOMBI!$A$1:$GI$145,ROW('KSH järjestus'!BN74),MATCH('KSH järjestus'!BN$3,KOMBI!$A$1:$GI$1,0))</f>
        <v>1.1002831218942521E-3</v>
      </c>
      <c r="BO67" s="25">
        <f t="array" ref="BO67">INDEX(KOMBI!$A$1:$GI$145,ROW('KSH järjestus'!BO74),MATCH('KSH järjestus'!BO$3,KOMBI!$A$1:$GI$1,0))</f>
        <v>6.3658810807618203E-3</v>
      </c>
      <c r="BP67" s="25">
        <f t="array" ref="BP67">INDEX(KOMBI!$A$1:$GI$145,ROW('KSH järjestus'!BP74),MATCH('KSH järjestus'!BP$3,KOMBI!$A$1:$GI$1,0))</f>
        <v>7.7837605777489074</v>
      </c>
      <c r="BQ67" s="25">
        <f t="array" ref="BQ67">INDEX(KOMBI!$A$1:$GI$145,ROW('KSH järjestus'!BQ74),MATCH('KSH järjestus'!BQ$3,KOMBI!$A$1:$GI$1,0))</f>
        <v>10.342000000000001</v>
      </c>
      <c r="BR67" s="25">
        <f t="array" ref="BR67">INDEX(KOMBI!$A$1:$GI$145,ROW('KSH järjestus'!BR74),MATCH('KSH järjestus'!BR$3,KOMBI!$A$1:$GI$1,0))</f>
        <v>-2.8586614250970251E-2</v>
      </c>
      <c r="BS67" s="25">
        <f t="array" ref="BS67">INDEX(KOMBI!$A$1:$GI$145,ROW('KSH järjestus'!BS74),MATCH('KSH järjestus'!BS$3,KOMBI!$A$1:$GI$1,0))</f>
        <v>-3.174777787153691E-2</v>
      </c>
      <c r="BT67" s="25">
        <f t="array" ref="BT67">INDEX(KOMBI!$A$1:$GI$145,ROW('KSH järjestus'!BT74),MATCH('KSH järjestus'!BT$3,KOMBI!$A$1:$GI$1,0))</f>
        <v>-4.3535447600146555E-2</v>
      </c>
      <c r="BU67" s="25">
        <f t="array" ref="BU67">INDEX(KOMBI!$A$1:$GI$145,ROW('KSH järjestus'!BU74),MATCH('KSH järjestus'!BU$3,KOMBI!$A$1:$GI$1,0))</f>
        <v>8.4527703590452106</v>
      </c>
      <c r="BV67" s="25">
        <f t="array" ref="BV67">INDEX(KOMBI!$A$1:$GI$145,ROW('KSH järjestus'!BV74),MATCH('KSH järjestus'!BV$3,KOMBI!$A$1:$GI$1,0))</f>
        <v>5.0979999999999999</v>
      </c>
      <c r="BW67" s="25">
        <f t="array" ref="BW67">INDEX(KOMBI!$A$1:$GI$145,ROW('KSH järjestus'!BW74),MATCH('KSH järjestus'!BW$3,KOMBI!$A$1:$GI$1,0))</f>
        <v>2.5583823271229704</v>
      </c>
      <c r="BX67" s="25">
        <f t="array" ref="BX67">INDEX(KOMBI!$A$1:$GI$145,ROW('KSH järjestus'!BX74),MATCH('KSH järjestus'!BX$3,KOMBI!$A$1:$GI$1,0))</f>
        <v>18.181578011574537</v>
      </c>
      <c r="BY67" s="25">
        <f t="array" ref="BY67">INDEX(KOMBI!$A$1:$GI$145,ROW('KSH järjestus'!BY74),MATCH('KSH järjestus'!BY$3,KOMBI!$A$1:$GI$1,0))</f>
        <v>11.872324637900011</v>
      </c>
      <c r="BZ67" s="25">
        <f t="array" ref="BZ67">INDEX(KOMBI!$A$1:$GI$145,ROW('KSH järjestus'!BZ74),MATCH('KSH järjestus'!BZ$3,KOMBI!$A$1:$GI$1,0))</f>
        <v>68</v>
      </c>
      <c r="CA67" s="25">
        <f t="array" ref="CA67">INDEX(KOMBI!$A$1:$GI$145,ROW('KSH järjestus'!CA74),MATCH('KSH järjestus'!CA$3,KOMBI!$A$1:$GI$1,0))</f>
        <v>14.022</v>
      </c>
      <c r="CB67" s="25">
        <f t="array" ref="CB67">INDEX(KOMBI!$A$1:$GI$145,ROW('KSH järjestus'!CB74),MATCH('KSH järjestus'!CB$3,KOMBI!$A$1:$GI$1,0))</f>
        <v>62.474444444444437</v>
      </c>
      <c r="CC67" s="25">
        <f t="array" ref="CC67">INDEX(KOMBI!$A$1:$GI$145,ROW('KSH järjestus'!CC74),MATCH('KSH järjestus'!CC$3,KOMBI!$A$1:$GI$1,0))</f>
        <v>4.9727290000000002</v>
      </c>
      <c r="CD67" s="25">
        <f t="array" ref="CD67">INDEX(KOMBI!$A$1:$GI$145,ROW('KSH järjestus'!CD74),MATCH('KSH järjestus'!CD$3,KOMBI!$A$1:$GI$1,0))</f>
        <v>306.45</v>
      </c>
      <c r="CE67" s="25">
        <f t="array" ref="CE67">INDEX(KOMBI!$A$1:$GI$145,ROW('KSH järjestus'!CE74),MATCH('KSH järjestus'!CE$3,KOMBI!$A$1:$GI$1,0))</f>
        <v>2.9929999999999999</v>
      </c>
      <c r="CF67" s="25">
        <f t="array" ref="CF67">INDEX(KOMBI!$A$1:$GI$145,ROW('KSH järjestus'!CF74),MATCH('KSH järjestus'!CF$3,KOMBI!$A$1:$GI$1,0))</f>
        <v>48.290678294573638</v>
      </c>
      <c r="CG67" s="25">
        <f t="array" ref="CG67">INDEX(KOMBI!$A$1:$GI$145,ROW('KSH järjestus'!CG74),MATCH('KSH järjestus'!CG$3,KOMBI!$A$1:$GI$1,0))</f>
        <v>2.2545055318885739E-2</v>
      </c>
      <c r="CH67" s="25">
        <f t="array" ref="CH67">INDEX(KOMBI!$A$1:$GI$145,ROW('KSH järjestus'!CH74),MATCH('KSH järjestus'!CH$3,KOMBI!$A$1:$GI$1,0))</f>
        <v>0.39192627065295316</v>
      </c>
      <c r="CI67" s="25">
        <f t="array" ref="CI67">INDEX(KOMBI!$A$1:$GI$145,ROW('KSH järjestus'!CI74),MATCH('KSH järjestus'!CI$3,KOMBI!$A$1:$GI$1,0))</f>
        <v>6.28</v>
      </c>
      <c r="CJ67" s="25">
        <f t="array" ref="CJ67">INDEX(KOMBI!$A$1:$GI$145,ROW('KSH järjestus'!CJ74),MATCH('KSH järjestus'!CJ$3,KOMBI!$A$1:$GI$1,0))</f>
        <v>5.0583823271229704</v>
      </c>
      <c r="CK67" s="25">
        <f t="array" ref="CK67">INDEX(KOMBI!$A$1:$GI$145,ROW('KSH järjestus'!CK74),MATCH('KSH järjestus'!CK$3,KOMBI!$A$1:$GI$1,0))</f>
        <v>0.21099999999999999</v>
      </c>
      <c r="CL67" s="25">
        <f t="array" ref="CL67">INDEX(KOMBI!$A$1:$GI$145,ROW('KSH järjestus'!CL74),MATCH('KSH järjestus'!CL$3,KOMBI!$A$1:$GI$1,0))</f>
        <v>0.76300000000000001</v>
      </c>
    </row>
    <row r="68" spans="3:90" x14ac:dyDescent="0.2">
      <c r="C68" s="184">
        <v>65</v>
      </c>
      <c r="G68" s="25">
        <f>RANK(INDEX(KOMBI!$A$11:$GI$145,MATCH('KSH järjestus'!$C68,KOMBI!$A$11:$A$145,0),MATCH('KSH järjestus'!G$3,KOMBI!$A$1:$GI$1,0)),BD$4:BD$138,G$2)</f>
        <v>66</v>
      </c>
      <c r="H68" s="25">
        <f>RANK(INDEX(KOMBI!$A$11:$GI$145,MATCH('KSH järjestus'!$C68,KOMBI!$A$11:$A$145,0),MATCH('KSH järjestus'!H$3,KOMBI!$A$1:$GI$1,0)),BE$4:BE$138,H$2)</f>
        <v>84</v>
      </c>
      <c r="J68" s="25">
        <f>RANK(INDEX(KOMBI!$A$11:$GI$145,MATCH('KSH järjestus'!$C68,KOMBI!$A$11:$A$145,0),MATCH('KSH järjestus'!J$3,KOMBI!$A$1:$GI$1,0)),BG$4:BG$138,J$2)</f>
        <v>69</v>
      </c>
      <c r="M68" s="25">
        <f>RANK(INDEX(KOMBI!$A$11:$GI$145,MATCH('KSH järjestus'!$C68,KOMBI!$A$11:$A$145,0),MATCH('KSH järjestus'!M$3,KOMBI!$A$1:$GI$1,0)),BJ$4:BJ$138,M$2)</f>
        <v>55</v>
      </c>
      <c r="N68" s="25">
        <f>RANK(INDEX(KOMBI!$A$11:$GI$145,MATCH('KSH järjestus'!$C68,KOMBI!$A$11:$A$145,0),MATCH('KSH järjestus'!N$3,KOMBI!$A$1:$GI$1,0)),BK$4:BK$138,N$2)</f>
        <v>88</v>
      </c>
      <c r="O68" s="25">
        <f>RANK(INDEX(KOMBI!$A$11:$GI$145,MATCH('KSH järjestus'!$C68,KOMBI!$A$11:$A$145,0),MATCH('KSH järjestus'!O$3,KOMBI!$A$1:$GI$1,0)),BL$4:BL$138,O$2)</f>
        <v>85</v>
      </c>
      <c r="P68" s="25">
        <f>RANK(INDEX(KOMBI!$A$11:$GI$145,MATCH('KSH järjestus'!$C68,KOMBI!$A$11:$A$145,0),MATCH('KSH järjestus'!P$3,KOMBI!$A$1:$GI$1,0)),BM$4:BM$138,P$2)</f>
        <v>88</v>
      </c>
      <c r="Q68" s="25">
        <f>RANK(INDEX(KOMBI!$A$11:$GI$145,MATCH('KSH järjestus'!$C68,KOMBI!$A$11:$A$145,0),MATCH('KSH järjestus'!Q$3,KOMBI!$A$1:$GI$1,0)),BN$4:BN$138,Q$2)</f>
        <v>74</v>
      </c>
      <c r="R68" s="25">
        <f>RANK(INDEX(KOMBI!$A$11:$GI$145,MATCH('KSH järjestus'!$C68,KOMBI!$A$11:$A$145,0),MATCH('KSH järjestus'!R$3,KOMBI!$A$1:$GI$1,0)),BO$4:BO$138,R$2)</f>
        <v>89</v>
      </c>
      <c r="T68" s="25">
        <f>RANK(INDEX(KOMBI!$A$11:$GI$145,MATCH('KSH järjestus'!$C68,KOMBI!$A$11:$A$145,0),MATCH('KSH järjestus'!T$3,KOMBI!$A$1:$GI$1,0)),BQ$4:BQ$138,T$2)</f>
        <v>48</v>
      </c>
      <c r="U68" s="25">
        <f>RANK(INDEX(KOMBI!$A$11:$GI$145,MATCH('KSH järjestus'!$C68,KOMBI!$A$11:$A$145,0),MATCH('KSH järjestus'!U$3,KOMBI!$A$1:$GI$1,0)),BR$4:BR$138,U$2)</f>
        <v>69</v>
      </c>
      <c r="AA68" s="25">
        <f>RANK(INDEX(KOMBI!$A$11:$GI$145,MATCH('KSH järjestus'!$C68,KOMBI!$A$11:$A$145,0),MATCH('KSH järjestus'!AA$3,KOMBI!$A$1:$GI$1,0)),BX$4:BX$138,AA$2)</f>
        <v>58</v>
      </c>
      <c r="AB68" s="25">
        <f>RANK(INDEX(KOMBI!$A$11:$GI$145,MATCH('KSH järjestus'!$C68,KOMBI!$A$11:$A$145,0),MATCH('KSH järjestus'!AB$3,KOMBI!$A$1:$GI$1,0)),BY$4:BY$138,AB$2)</f>
        <v>64</v>
      </c>
      <c r="AC68" s="25">
        <f>RANK(INDEX(KOMBI!$A$11:$GI$145,MATCH('KSH järjestus'!$C68,KOMBI!$A$11:$A$145,0),MATCH('KSH järjestus'!AC$3,KOMBI!$A$1:$GI$1,0)),BZ$4:BZ$138,AC$2)</f>
        <v>16</v>
      </c>
      <c r="AD68" s="25">
        <f>RANK(INDEX(KOMBI!$A$11:$GI$145,MATCH('KSH järjestus'!$C68,KOMBI!$A$11:$A$145,0),MATCH('KSH järjestus'!AD$3,KOMBI!$A$1:$GI$1,0)),CA$4:CA$138,AD$2)</f>
        <v>65</v>
      </c>
      <c r="AE68" s="25">
        <f>RANK(INDEX(KOMBI!$A$11:$GI$145,MATCH('KSH järjestus'!$C68,KOMBI!$A$11:$A$145,0),MATCH('KSH järjestus'!AE$3,KOMBI!$A$1:$GI$1,0)),CB$4:CB$138,AE$2)</f>
        <v>65</v>
      </c>
      <c r="AG68" s="25">
        <f>RANK(INDEX(KOMBI!$A$11:$GI$145,MATCH('KSH järjestus'!$C68,KOMBI!$A$11:$A$145,0),MATCH('KSH järjestus'!AG$3,KOMBI!$A$1:$GI$1,0)),CD$4:CD$138,AG$2)</f>
        <v>49</v>
      </c>
      <c r="AH68" s="25">
        <f>RANK(INDEX(KOMBI!$A$11:$GI$145,MATCH('KSH järjestus'!$C68,KOMBI!$A$11:$A$145,0),MATCH('KSH järjestus'!AH$3,KOMBI!$A$1:$GI$1,0)),CE$4:CE$138,AH$2)</f>
        <v>76</v>
      </c>
      <c r="AI68" s="25">
        <f>RANK(INDEX(KOMBI!$A$11:$GI$145,MATCH('KSH järjestus'!$C68,KOMBI!$A$11:$A$145,0),MATCH('KSH järjestus'!AI$3,KOMBI!$A$1:$GI$1,0)),CF$4:CF$138,AI$2)</f>
        <v>70</v>
      </c>
      <c r="AJ68" s="25">
        <f>RANK(INDEX(KOMBI!$A$11:$GI$145,MATCH('KSH järjestus'!$C68,KOMBI!$A$11:$A$145,0),MATCH('KSH järjestus'!AJ$3,KOMBI!$A$1:$GI$1,0)),CG$4:CG$138,AJ$2)</f>
        <v>76</v>
      </c>
      <c r="AK68" s="25">
        <f>RANK(INDEX(KOMBI!$A$11:$GI$145,MATCH('KSH järjestus'!$C68,KOMBI!$A$11:$A$145,0),MATCH('KSH järjestus'!AK$3,KOMBI!$A$1:$GI$1,0)),CH$4:CH$138,AK$2)</f>
        <v>103</v>
      </c>
      <c r="AN68" s="25">
        <f>RANK(INDEX(KOMBI!$A$11:$GI$145,MATCH('KSH järjestus'!$C68,KOMBI!$A$11:$A$145,0),MATCH('KSH järjestus'!AN$3,KOMBI!$A$1:$GI$1,0)),CK$4:CK$138,AN$2)</f>
        <v>46</v>
      </c>
      <c r="AO68" s="25">
        <f>RANK(INDEX(KOMBI!$A$11:$GI$145,MATCH('KSH järjestus'!$C68,KOMBI!$A$11:$A$145,0),MATCH('KSH järjestus'!AO$3,KOMBI!$A$1:$GI$1,0)),CL$4:CL$138,AO$2)</f>
        <v>46</v>
      </c>
      <c r="AS68" s="297">
        <f t="shared" ref="AS68:AS99" si="4">SUM(D68:AO68)</f>
        <v>1549</v>
      </c>
      <c r="AT68" s="25">
        <f t="shared" ref="AT68:AT131" si="5">SMALL($AS$4:$AS$138,ROW(65:65))</f>
        <v>1467</v>
      </c>
      <c r="AU68" s="25">
        <f t="shared" ref="AU68:AU131" si="6">INDEX($C$2:$AS$138,MATCH($AT68,$AS$2:$AS$138,0),1)</f>
        <v>63</v>
      </c>
      <c r="AV68" s="295" t="str">
        <f>VLOOKUP(VLOOKUP($AU68,KOMBI!$A:$H,3,FALSE),data!$I$27:$J$29,2,FALSE)</f>
        <v>Vähe-sekkuv</v>
      </c>
      <c r="AW68" s="295" t="str">
        <f>VLOOKUP(VLOOKUP($AU68,KOMBI!$A:$H,2,FALSE),data!$I$21:$J$23,2,FALSE)</f>
        <v>Vähe-sekkuv</v>
      </c>
      <c r="AX68" s="295" t="str">
        <f>VLOOKUP(VLOOKUP($AU68,KOMBI!$A:$H,5,FALSE),data!$I$39:$J$41,2,FALSE)</f>
        <v>Sekkuv</v>
      </c>
      <c r="AY68" s="295" t="str">
        <f>VLOOKUP(VLOOKUP($AU68,KOMBI!$A:$H,4,FALSE),data!$I$32:$J$36,2,FALSE)</f>
        <v>LIB</v>
      </c>
      <c r="BA68" s="25">
        <f t="array" ref="BA68">INDEX(KOMBI!$A$1:$GI$145,ROW('KSH järjestus'!BA75),MATCH('KSH järjestus'!BA$3,KOMBI!$A$1:$GI$1,0))</f>
        <v>3.9654596184466637</v>
      </c>
      <c r="BB68" s="25">
        <f t="array" ref="BB68">INDEX(KOMBI!$A$1:$GI$145,ROW('KSH järjestus'!BB75),MATCH('KSH järjestus'!BB$3,KOMBI!$A$1:$GI$1,0))</f>
        <v>349.34566413269511</v>
      </c>
      <c r="BC68" s="25">
        <f t="array" aca="1" ref="BC68" ca="1">INDEX(KOMBI!$A$1:$GI$145,ROW('KSH järjestus'!BC75),MATCH('KSH järjestus'!BC$3,KOMBI!$A$1:$GI$1,0))</f>
        <v>62.947757926598456</v>
      </c>
      <c r="BD68" s="25">
        <f t="array" ref="BD68">INDEX(KOMBI!$A$1:$GI$145,ROW('KSH järjestus'!BD75),MATCH('KSH järjestus'!BD$3,KOMBI!$A$1:$GI$1,0))</f>
        <v>-77.074469880632108</v>
      </c>
      <c r="BE68" s="25">
        <f t="array" ref="BE68">INDEX(KOMBI!$A$1:$GI$145,ROW('KSH järjestus'!BE75),MATCH('KSH järjestus'!BE$3,KOMBI!$A$1:$GI$1,0))</f>
        <v>140.02222780723056</v>
      </c>
      <c r="BF68" s="25">
        <f t="array" aca="1" ref="BF68" ca="1">INDEX(KOMBI!$A$1:$GI$145,ROW('KSH järjestus'!BF75),MATCH('KSH järjestus'!BF$3,KOMBI!$A$1:$GI$1,0))</f>
        <v>0</v>
      </c>
      <c r="BG68" s="25">
        <f t="array" ref="BG68">INDEX(KOMBI!$A$1:$GI$145,ROW('KSH järjestus'!BG75),MATCH('KSH järjestus'!BG$3,KOMBI!$A$1:$GI$1,0))</f>
        <v>0.54810673251464137</v>
      </c>
      <c r="BH68" s="25">
        <f t="array" ref="BH68">INDEX(KOMBI!$A$1:$GI$145,ROW('KSH järjestus'!BH75),MATCH('KSH järjestus'!BH$3,KOMBI!$A$1:$GI$1,0))</f>
        <v>90</v>
      </c>
      <c r="BI68" s="25">
        <f t="array" ref="BI68">INDEX(KOMBI!$A$1:$GI$145,ROW('KSH järjestus'!BI75),MATCH('KSH järjestus'!BI$3,KOMBI!$A$1:$GI$1,0))</f>
        <v>0.84317482403548605</v>
      </c>
      <c r="BJ68" s="25">
        <f t="array" ref="BJ68">INDEX(KOMBI!$A$1:$GI$145,ROW('KSH järjestus'!BJ75),MATCH('KSH järjestus'!BJ$3,KOMBI!$A$1:$GI$1,0))</f>
        <v>0.27911646586345373</v>
      </c>
      <c r="BK68" s="25">
        <f t="array" ref="BK68">INDEX(KOMBI!$A$1:$GI$145,ROW('KSH järjestus'!BK75),MATCH('KSH järjestus'!BK$3,KOMBI!$A$1:$GI$1,0))</f>
        <v>0.32999603074171385</v>
      </c>
      <c r="BL68" s="25">
        <f t="array" ref="BL68">INDEX(KOMBI!$A$1:$GI$145,ROW('KSH järjestus'!BL75),MATCH('KSH järjestus'!BL$3,KOMBI!$A$1:$GI$1,0))</f>
        <v>1.372375739686521E-2</v>
      </c>
      <c r="BM68" s="25">
        <f t="array" ref="BM68">INDEX(KOMBI!$A$1:$GI$145,ROW('KSH järjestus'!BM75),MATCH('KSH järjestus'!BM$3,KOMBI!$A$1:$GI$1,0))</f>
        <v>-6.3410291258881213E-4</v>
      </c>
      <c r="BN68" s="25">
        <f t="array" ref="BN68">INDEX(KOMBI!$A$1:$GI$145,ROW('KSH järjestus'!BN75),MATCH('KSH järjestus'!BN$3,KOMBI!$A$1:$GI$1,0))</f>
        <v>3.5931529832520792E-3</v>
      </c>
      <c r="BO68" s="25">
        <f t="array" ref="BO68">INDEX(KOMBI!$A$1:$GI$145,ROW('KSH järjestus'!BO75),MATCH('KSH järjestus'!BO$3,KOMBI!$A$1:$GI$1,0))</f>
        <v>1.0190767624638648E-2</v>
      </c>
      <c r="BP68" s="25">
        <f t="array" ref="BP68">INDEX(KOMBI!$A$1:$GI$145,ROW('KSH järjestus'!BP75),MATCH('KSH järjestus'!BP$3,KOMBI!$A$1:$GI$1,0))</f>
        <v>7.7837605777489074</v>
      </c>
      <c r="BQ68" s="25">
        <f t="array" ref="BQ68">INDEX(KOMBI!$A$1:$GI$145,ROW('KSH järjestus'!BQ75),MATCH('KSH järjestus'!BQ$3,KOMBI!$A$1:$GI$1,0))</f>
        <v>10.433</v>
      </c>
      <c r="BR68" s="25">
        <f t="array" ref="BR68">INDEX(KOMBI!$A$1:$GI$145,ROW('KSH järjestus'!BR75),MATCH('KSH järjestus'!BR$3,KOMBI!$A$1:$GI$1,0))</f>
        <v>-2.435281523970553E-2</v>
      </c>
      <c r="BS68" s="25">
        <f t="array" ref="BS68">INDEX(KOMBI!$A$1:$GI$145,ROW('KSH järjestus'!BS75),MATCH('KSH järjestus'!BS$3,KOMBI!$A$1:$GI$1,0))</f>
        <v>-3.0414165651901349E-2</v>
      </c>
      <c r="BT68" s="25">
        <f t="array" ref="BT68">INDEX(KOMBI!$A$1:$GI$145,ROW('KSH järjestus'!BT75),MATCH('KSH järjestus'!BT$3,KOMBI!$A$1:$GI$1,0))</f>
        <v>-4.24364848007526E-2</v>
      </c>
      <c r="BU68" s="25">
        <f t="array" ref="BU68">INDEX(KOMBI!$A$1:$GI$145,ROW('KSH järjestus'!BU75),MATCH('KSH järjestus'!BU$3,KOMBI!$A$1:$GI$1,0))</f>
        <v>8.4527703590452106</v>
      </c>
      <c r="BV68" s="25">
        <f t="array" ref="BV68">INDEX(KOMBI!$A$1:$GI$145,ROW('KSH järjestus'!BV75),MATCH('KSH järjestus'!BV$3,KOMBI!$A$1:$GI$1,0))</f>
        <v>5.0979999999999999</v>
      </c>
      <c r="BW68" s="25">
        <f t="array" ref="BW68">INDEX(KOMBI!$A$1:$GI$145,ROW('KSH järjestus'!BW75),MATCH('KSH järjestus'!BW$3,KOMBI!$A$1:$GI$1,0))</f>
        <v>2.9358823271229704</v>
      </c>
      <c r="BX68" s="25">
        <f t="array" ref="BX68">INDEX(KOMBI!$A$1:$GI$145,ROW('KSH järjestus'!BX75),MATCH('KSH järjestus'!BX$3,KOMBI!$A$1:$GI$1,0))</f>
        <v>18.181578011574537</v>
      </c>
      <c r="BY68" s="25">
        <f t="array" ref="BY68">INDEX(KOMBI!$A$1:$GI$145,ROW('KSH järjestus'!BY75),MATCH('KSH järjestus'!BY$3,KOMBI!$A$1:$GI$1,0))</f>
        <v>11.872324637900011</v>
      </c>
      <c r="BZ68" s="25">
        <f t="array" ref="BZ68">INDEX(KOMBI!$A$1:$GI$145,ROW('KSH järjestus'!BZ75),MATCH('KSH järjestus'!BZ$3,KOMBI!$A$1:$GI$1,0))</f>
        <v>68.400000000000006</v>
      </c>
      <c r="CA68" s="25">
        <f t="array" ref="CA68">INDEX(KOMBI!$A$1:$GI$145,ROW('KSH järjestus'!CA75),MATCH('KSH järjestus'!CA$3,KOMBI!$A$1:$GI$1,0))</f>
        <v>14.111000000000001</v>
      </c>
      <c r="CB68" s="25">
        <f t="array" ref="CB68">INDEX(KOMBI!$A$1:$GI$145,ROW('KSH järjestus'!CB75),MATCH('KSH järjestus'!CB$3,KOMBI!$A$1:$GI$1,0))</f>
        <v>62.814722222222223</v>
      </c>
      <c r="CC68" s="25">
        <f t="array" ref="CC68">INDEX(KOMBI!$A$1:$GI$145,ROW('KSH järjestus'!CC75),MATCH('KSH järjestus'!CC$3,KOMBI!$A$1:$GI$1,0))</f>
        <v>5.0060209999999996</v>
      </c>
      <c r="CD68" s="25">
        <f t="array" ref="CD68">INDEX(KOMBI!$A$1:$GI$145,ROW('KSH järjestus'!CD75),MATCH('KSH järjestus'!CD$3,KOMBI!$A$1:$GI$1,0))</f>
        <v>306.45</v>
      </c>
      <c r="CE68" s="25">
        <f t="array" ref="CE68">INDEX(KOMBI!$A$1:$GI$145,ROW('KSH järjestus'!CE75),MATCH('KSH järjestus'!CE$3,KOMBI!$A$1:$GI$1,0))</f>
        <v>2.9929999999999999</v>
      </c>
      <c r="CF68" s="25">
        <f t="array" ref="CF68">INDEX(KOMBI!$A$1:$GI$145,ROW('KSH järjestus'!CF75),MATCH('KSH järjestus'!CF$3,KOMBI!$A$1:$GI$1,0))</f>
        <v>48.290678294573638</v>
      </c>
      <c r="CG68" s="25">
        <f t="array" ref="CG68">INDEX(KOMBI!$A$1:$GI$145,ROW('KSH järjestus'!CG75),MATCH('KSH järjestus'!CG$3,KOMBI!$A$1:$GI$1,0))</f>
        <v>2.2545055318885739E-2</v>
      </c>
      <c r="CH68" s="25">
        <f t="array" ref="CH68">INDEX(KOMBI!$A$1:$GI$145,ROW('KSH järjestus'!CH75),MATCH('KSH järjestus'!CH$3,KOMBI!$A$1:$GI$1,0))</f>
        <v>0.39192627065295316</v>
      </c>
      <c r="CI68" s="25">
        <f t="array" ref="CI68">INDEX(KOMBI!$A$1:$GI$145,ROW('KSH järjestus'!CI75),MATCH('KSH järjestus'!CI$3,KOMBI!$A$1:$GI$1,0))</f>
        <v>6.28</v>
      </c>
      <c r="CJ68" s="25">
        <f t="array" ref="CJ68">INDEX(KOMBI!$A$1:$GI$145,ROW('KSH järjestus'!CJ75),MATCH('KSH järjestus'!CJ$3,KOMBI!$A$1:$GI$1,0))</f>
        <v>5.0583823271229704</v>
      </c>
      <c r="CK68" s="25">
        <f t="array" ref="CK68">INDEX(KOMBI!$A$1:$GI$145,ROW('KSH järjestus'!CK75),MATCH('KSH järjestus'!CK$3,KOMBI!$A$1:$GI$1,0))</f>
        <v>0.21099999999999999</v>
      </c>
      <c r="CL68" s="25">
        <f t="array" ref="CL68">INDEX(KOMBI!$A$1:$GI$145,ROW('KSH järjestus'!CL75),MATCH('KSH järjestus'!CL$3,KOMBI!$A$1:$GI$1,0))</f>
        <v>0.76300000000000001</v>
      </c>
    </row>
    <row r="69" spans="3:90" x14ac:dyDescent="0.2">
      <c r="C69" s="184">
        <v>66</v>
      </c>
      <c r="G69" s="25">
        <f>RANK(INDEX(KOMBI!$A$11:$GI$145,MATCH('KSH järjestus'!$C69,KOMBI!$A$11:$A$145,0),MATCH('KSH järjestus'!G$3,KOMBI!$A$1:$GI$1,0)),BD$4:BD$138,G$2)</f>
        <v>51</v>
      </c>
      <c r="H69" s="25">
        <f>RANK(INDEX(KOMBI!$A$11:$GI$145,MATCH('KSH järjestus'!$C69,KOMBI!$A$11:$A$145,0),MATCH('KSH järjestus'!H$3,KOMBI!$A$1:$GI$1,0)),BE$4:BE$138,H$2)</f>
        <v>55</v>
      </c>
      <c r="J69" s="25">
        <f>RANK(INDEX(KOMBI!$A$11:$GI$145,MATCH('KSH järjestus'!$C69,KOMBI!$A$11:$A$145,0),MATCH('KSH järjestus'!J$3,KOMBI!$A$1:$GI$1,0)),BG$4:BG$138,J$2)</f>
        <v>69</v>
      </c>
      <c r="M69" s="25">
        <f>RANK(INDEX(KOMBI!$A$11:$GI$145,MATCH('KSH järjestus'!$C69,KOMBI!$A$11:$A$145,0),MATCH('KSH järjestus'!M$3,KOMBI!$A$1:$GI$1,0)),BJ$4:BJ$138,M$2)</f>
        <v>55</v>
      </c>
      <c r="N69" s="25">
        <f>RANK(INDEX(KOMBI!$A$11:$GI$145,MATCH('KSH järjestus'!$C69,KOMBI!$A$11:$A$145,0),MATCH('KSH järjestus'!N$3,KOMBI!$A$1:$GI$1,0)),BK$4:BK$138,N$2)</f>
        <v>88</v>
      </c>
      <c r="O69" s="25">
        <f>RANK(INDEX(KOMBI!$A$11:$GI$145,MATCH('KSH järjestus'!$C69,KOMBI!$A$11:$A$145,0),MATCH('KSH järjestus'!O$3,KOMBI!$A$1:$GI$1,0)),BL$4:BL$138,O$2)</f>
        <v>54</v>
      </c>
      <c r="P69" s="25">
        <f>RANK(INDEX(KOMBI!$A$11:$GI$145,MATCH('KSH järjestus'!$C69,KOMBI!$A$11:$A$145,0),MATCH('KSH järjestus'!P$3,KOMBI!$A$1:$GI$1,0)),BM$4:BM$138,P$2)</f>
        <v>87</v>
      </c>
      <c r="Q69" s="25">
        <f>RANK(INDEX(KOMBI!$A$11:$GI$145,MATCH('KSH järjestus'!$C69,KOMBI!$A$11:$A$145,0),MATCH('KSH järjestus'!Q$3,KOMBI!$A$1:$GI$1,0)),BN$4:BN$138,Q$2)</f>
        <v>56</v>
      </c>
      <c r="R69" s="25">
        <f>RANK(INDEX(KOMBI!$A$11:$GI$145,MATCH('KSH järjestus'!$C69,KOMBI!$A$11:$A$145,0),MATCH('KSH järjestus'!R$3,KOMBI!$A$1:$GI$1,0)),BO$4:BO$138,R$2)</f>
        <v>53</v>
      </c>
      <c r="T69" s="25">
        <f>RANK(INDEX(KOMBI!$A$11:$GI$145,MATCH('KSH järjestus'!$C69,KOMBI!$A$11:$A$145,0),MATCH('KSH järjestus'!T$3,KOMBI!$A$1:$GI$1,0)),BQ$4:BQ$138,T$2)</f>
        <v>62</v>
      </c>
      <c r="U69" s="25">
        <f>RANK(INDEX(KOMBI!$A$11:$GI$145,MATCH('KSH järjestus'!$C69,KOMBI!$A$11:$A$145,0),MATCH('KSH järjestus'!U$3,KOMBI!$A$1:$GI$1,0)),BR$4:BR$138,U$2)</f>
        <v>81</v>
      </c>
      <c r="AA69" s="25">
        <f>RANK(INDEX(KOMBI!$A$11:$GI$145,MATCH('KSH järjestus'!$C69,KOMBI!$A$11:$A$145,0),MATCH('KSH järjestus'!AA$3,KOMBI!$A$1:$GI$1,0)),BX$4:BX$138,AA$2)</f>
        <v>58</v>
      </c>
      <c r="AB69" s="25">
        <f>RANK(INDEX(KOMBI!$A$11:$GI$145,MATCH('KSH järjestus'!$C69,KOMBI!$A$11:$A$145,0),MATCH('KSH järjestus'!AB$3,KOMBI!$A$1:$GI$1,0)),BY$4:BY$138,AB$2)</f>
        <v>64</v>
      </c>
      <c r="AC69" s="25">
        <f>RANK(INDEX(KOMBI!$A$11:$GI$145,MATCH('KSH järjestus'!$C69,KOMBI!$A$11:$A$145,0),MATCH('KSH järjestus'!AC$3,KOMBI!$A$1:$GI$1,0)),BZ$4:BZ$138,AC$2)</f>
        <v>28</v>
      </c>
      <c r="AD69" s="25">
        <f>RANK(INDEX(KOMBI!$A$11:$GI$145,MATCH('KSH järjestus'!$C69,KOMBI!$A$11:$A$145,0),MATCH('KSH järjestus'!AD$3,KOMBI!$A$1:$GI$1,0)),CA$4:CA$138,AD$2)</f>
        <v>74</v>
      </c>
      <c r="AE69" s="25">
        <f>RANK(INDEX(KOMBI!$A$11:$GI$145,MATCH('KSH järjestus'!$C69,KOMBI!$A$11:$A$145,0),MATCH('KSH järjestus'!AE$3,KOMBI!$A$1:$GI$1,0)),CB$4:CB$138,AE$2)</f>
        <v>71</v>
      </c>
      <c r="AG69" s="25">
        <f>RANK(INDEX(KOMBI!$A$11:$GI$145,MATCH('KSH järjestus'!$C69,KOMBI!$A$11:$A$145,0),MATCH('KSH järjestus'!AG$3,KOMBI!$A$1:$GI$1,0)),CD$4:CD$138,AG$2)</f>
        <v>49</v>
      </c>
      <c r="AH69" s="25">
        <f>RANK(INDEX(KOMBI!$A$11:$GI$145,MATCH('KSH järjestus'!$C69,KOMBI!$A$11:$A$145,0),MATCH('KSH järjestus'!AH$3,KOMBI!$A$1:$GI$1,0)),CE$4:CE$138,AH$2)</f>
        <v>76</v>
      </c>
      <c r="AI69" s="25">
        <f>RANK(INDEX(KOMBI!$A$11:$GI$145,MATCH('KSH järjestus'!$C69,KOMBI!$A$11:$A$145,0),MATCH('KSH järjestus'!AI$3,KOMBI!$A$1:$GI$1,0)),CF$4:CF$138,AI$2)</f>
        <v>70</v>
      </c>
      <c r="AJ69" s="25">
        <f>RANK(INDEX(KOMBI!$A$11:$GI$145,MATCH('KSH järjestus'!$C69,KOMBI!$A$11:$A$145,0),MATCH('KSH järjestus'!AJ$3,KOMBI!$A$1:$GI$1,0)),CG$4:CG$138,AJ$2)</f>
        <v>76</v>
      </c>
      <c r="AK69" s="25">
        <f>RANK(INDEX(KOMBI!$A$11:$GI$145,MATCH('KSH järjestus'!$C69,KOMBI!$A$11:$A$145,0),MATCH('KSH järjestus'!AK$3,KOMBI!$A$1:$GI$1,0)),CH$4:CH$138,AK$2)</f>
        <v>103</v>
      </c>
      <c r="AN69" s="25">
        <f>RANK(INDEX(KOMBI!$A$11:$GI$145,MATCH('KSH järjestus'!$C69,KOMBI!$A$11:$A$145,0),MATCH('KSH järjestus'!AN$3,KOMBI!$A$1:$GI$1,0)),CK$4:CK$138,AN$2)</f>
        <v>46</v>
      </c>
      <c r="AO69" s="25">
        <f>RANK(INDEX(KOMBI!$A$11:$GI$145,MATCH('KSH järjestus'!$C69,KOMBI!$A$11:$A$145,0),MATCH('KSH järjestus'!AO$3,KOMBI!$A$1:$GI$1,0)),CL$4:CL$138,AO$2)</f>
        <v>46</v>
      </c>
      <c r="AS69" s="297">
        <f t="shared" si="4"/>
        <v>1472</v>
      </c>
      <c r="AT69" s="25">
        <f t="shared" si="5"/>
        <v>1472</v>
      </c>
      <c r="AU69" s="25">
        <f t="shared" si="6"/>
        <v>66</v>
      </c>
      <c r="AV69" s="295" t="str">
        <f>VLOOKUP(VLOOKUP($AU69,KOMBI!$A:$H,3,FALSE),data!$I$27:$J$29,2,FALSE)</f>
        <v>Vähe-sekkuv</v>
      </c>
      <c r="AW69" s="295" t="str">
        <f>VLOOKUP(VLOOKUP($AU69,KOMBI!$A:$H,2,FALSE),data!$I$21:$J$23,2,FALSE)</f>
        <v>Vähe-sekkuv</v>
      </c>
      <c r="AX69" s="295" t="str">
        <f>VLOOKUP(VLOOKUP($AU69,KOMBI!$A:$H,5,FALSE),data!$I$39:$J$41,2,FALSE)</f>
        <v>Sekkuv</v>
      </c>
      <c r="AY69" s="295" t="str">
        <f>VLOOKUP(VLOOKUP($AU69,KOMBI!$A:$H,4,FALSE),data!$I$32:$J$36,2,FALSE)</f>
        <v>LIB+</v>
      </c>
      <c r="BA69" s="25">
        <f t="array" ref="BA69">INDEX(KOMBI!$A$1:$GI$145,ROW('KSH järjestus'!BA76),MATCH('KSH järjestus'!BA$3,KOMBI!$A$1:$GI$1,0))</f>
        <v>4.8705593406881897</v>
      </c>
      <c r="BB69" s="25">
        <f t="array" ref="BB69">INDEX(KOMBI!$A$1:$GI$145,ROW('KSH järjestus'!BB76),MATCH('KSH järjestus'!BB$3,KOMBI!$A$1:$GI$1,0))</f>
        <v>465.95645515017441</v>
      </c>
      <c r="BC69" s="25">
        <f t="array" aca="1" ref="BC69" ca="1">INDEX(KOMBI!$A$1:$GI$145,ROW('KSH järjestus'!BC76),MATCH('KSH järjestus'!BC$3,KOMBI!$A$1:$GI$1,0))</f>
        <v>79.502172285683429</v>
      </c>
      <c r="BD69" s="25">
        <f t="array" ref="BD69">INDEX(KOMBI!$A$1:$GI$145,ROW('KSH järjestus'!BD76),MATCH('KSH järjestus'!BD$3,KOMBI!$A$1:$GI$1,0))</f>
        <v>-96.182063699091032</v>
      </c>
      <c r="BE69" s="25">
        <f t="array" ref="BE69">INDEX(KOMBI!$A$1:$GI$145,ROW('KSH järjestus'!BE76),MATCH('KSH järjestus'!BE$3,KOMBI!$A$1:$GI$1,0))</f>
        <v>175.68423598477446</v>
      </c>
      <c r="BF69" s="25">
        <f t="array" aca="1" ref="BF69" ca="1">INDEX(KOMBI!$A$1:$GI$145,ROW('KSH järjestus'!BF76),MATCH('KSH järjestus'!BF$3,KOMBI!$A$1:$GI$1,0))</f>
        <v>0</v>
      </c>
      <c r="BG69" s="25">
        <f t="array" ref="BG69">INDEX(KOMBI!$A$1:$GI$145,ROW('KSH järjestus'!BG76),MATCH('KSH järjestus'!BG$3,KOMBI!$A$1:$GI$1,0))</f>
        <v>0.54810673251464137</v>
      </c>
      <c r="BH69" s="25">
        <f t="array" ref="BH69">INDEX(KOMBI!$A$1:$GI$145,ROW('KSH järjestus'!BH76),MATCH('KSH järjestus'!BH$3,KOMBI!$A$1:$GI$1,0))</f>
        <v>90</v>
      </c>
      <c r="BI69" s="25">
        <f t="array" ref="BI69">INDEX(KOMBI!$A$1:$GI$145,ROW('KSH järjestus'!BI76),MATCH('KSH järjestus'!BI$3,KOMBI!$A$1:$GI$1,0))</f>
        <v>0.84317482403548605</v>
      </c>
      <c r="BJ69" s="25">
        <f t="array" ref="BJ69">INDEX(KOMBI!$A$1:$GI$145,ROW('KSH järjestus'!BJ76),MATCH('KSH järjestus'!BJ$3,KOMBI!$A$1:$GI$1,0))</f>
        <v>0.27911646586345373</v>
      </c>
      <c r="BK69" s="25">
        <f t="array" ref="BK69">INDEX(KOMBI!$A$1:$GI$145,ROW('KSH järjestus'!BK76),MATCH('KSH järjestus'!BK$3,KOMBI!$A$1:$GI$1,0))</f>
        <v>0.32999603074171385</v>
      </c>
      <c r="BL69" s="25">
        <f t="array" ref="BL69">INDEX(KOMBI!$A$1:$GI$145,ROW('KSH järjestus'!BL76),MATCH('KSH järjestus'!BL$3,KOMBI!$A$1:$GI$1,0))</f>
        <v>1.8374812775111729E-2</v>
      </c>
      <c r="BM69" s="25">
        <f t="array" ref="BM69">INDEX(KOMBI!$A$1:$GI$145,ROW('KSH järjestus'!BM76),MATCH('KSH järjestus'!BM$3,KOMBI!$A$1:$GI$1,0))</f>
        <v>-6.2133718554742575E-4</v>
      </c>
      <c r="BN69" s="25">
        <f t="array" ref="BN69">INDEX(KOMBI!$A$1:$GI$145,ROW('KSH järjestus'!BN76),MATCH('KSH järjestus'!BN$3,KOMBI!$A$1:$GI$1,0))</f>
        <v>4.9239428192988099E-3</v>
      </c>
      <c r="BO69" s="25">
        <f t="array" ref="BO69">INDEX(KOMBI!$A$1:$GI$145,ROW('KSH järjestus'!BO76),MATCH('KSH järjestus'!BO$3,KOMBI!$A$1:$GI$1,0))</f>
        <v>1.3584631072803503E-2</v>
      </c>
      <c r="BP69" s="25">
        <f t="array" ref="BP69">INDEX(KOMBI!$A$1:$GI$145,ROW('KSH järjestus'!BP76),MATCH('KSH järjestus'!BP$3,KOMBI!$A$1:$GI$1,0))</f>
        <v>7.7837605777489074</v>
      </c>
      <c r="BQ69" s="25">
        <f t="array" ref="BQ69">INDEX(KOMBI!$A$1:$GI$145,ROW('KSH järjestus'!BQ76),MATCH('KSH järjestus'!BQ$3,KOMBI!$A$1:$GI$1,0))</f>
        <v>10.657</v>
      </c>
      <c r="BR69" s="25">
        <f t="array" ref="BR69">INDEX(KOMBI!$A$1:$GI$145,ROW('KSH järjestus'!BR76),MATCH('KSH järjestus'!BR$3,KOMBI!$A$1:$GI$1,0))</f>
        <v>-2.0373328109259632E-2</v>
      </c>
      <c r="BS69" s="25">
        <f t="array" ref="BS69">INDEX(KOMBI!$A$1:$GI$145,ROW('KSH järjestus'!BS76),MATCH('KSH järjestus'!BS$3,KOMBI!$A$1:$GI$1,0))</f>
        <v>-2.9155005735612902E-2</v>
      </c>
      <c r="BT69" s="25">
        <f t="array" ref="BT69">INDEX(KOMBI!$A$1:$GI$145,ROW('KSH järjestus'!BT76),MATCH('KSH järjestus'!BT$3,KOMBI!$A$1:$GI$1,0))</f>
        <v>-4.0975765827526343E-2</v>
      </c>
      <c r="BU69" s="25">
        <f t="array" ref="BU69">INDEX(KOMBI!$A$1:$GI$145,ROW('KSH järjestus'!BU76),MATCH('KSH järjestus'!BU$3,KOMBI!$A$1:$GI$1,0))</f>
        <v>8.4527703590452106</v>
      </c>
      <c r="BV69" s="25">
        <f t="array" ref="BV69">INDEX(KOMBI!$A$1:$GI$145,ROW('KSH järjestus'!BV76),MATCH('KSH järjestus'!BV$3,KOMBI!$A$1:$GI$1,0))</f>
        <v>5.0979999999999999</v>
      </c>
      <c r="BW69" s="25">
        <f t="array" ref="BW69">INDEX(KOMBI!$A$1:$GI$145,ROW('KSH järjestus'!BW76),MATCH('KSH järjestus'!BW$3,KOMBI!$A$1:$GI$1,0))</f>
        <v>3.1445823271229703</v>
      </c>
      <c r="BX69" s="25">
        <f t="array" ref="BX69">INDEX(KOMBI!$A$1:$GI$145,ROW('KSH järjestus'!BX76),MATCH('KSH järjestus'!BX$3,KOMBI!$A$1:$GI$1,0))</f>
        <v>18.181578011574537</v>
      </c>
      <c r="BY69" s="25">
        <f t="array" ref="BY69">INDEX(KOMBI!$A$1:$GI$145,ROW('KSH järjestus'!BY76),MATCH('KSH järjestus'!BY$3,KOMBI!$A$1:$GI$1,0))</f>
        <v>11.872324637900011</v>
      </c>
      <c r="BZ69" s="25">
        <f t="array" ref="BZ69">INDEX(KOMBI!$A$1:$GI$145,ROW('KSH järjestus'!BZ76),MATCH('KSH järjestus'!BZ$3,KOMBI!$A$1:$GI$1,0))</f>
        <v>70</v>
      </c>
      <c r="CA69" s="25">
        <f t="array" ref="CA69">INDEX(KOMBI!$A$1:$GI$145,ROW('KSH järjestus'!CA76),MATCH('KSH järjestus'!CA$3,KOMBI!$A$1:$GI$1,0))</f>
        <v>14.363</v>
      </c>
      <c r="CB69" s="25">
        <f t="array" ref="CB69">INDEX(KOMBI!$A$1:$GI$145,ROW('KSH järjestus'!CB76),MATCH('KSH järjestus'!CB$3,KOMBI!$A$1:$GI$1,0))</f>
        <v>63.722777777777772</v>
      </c>
      <c r="CC69" s="25">
        <f t="array" ref="CC69">INDEX(KOMBI!$A$1:$GI$145,ROW('KSH järjestus'!CC76),MATCH('KSH järjestus'!CC$3,KOMBI!$A$1:$GI$1,0))</f>
        <v>5.0993659999999998</v>
      </c>
      <c r="CD69" s="25">
        <f t="array" ref="CD69">INDEX(KOMBI!$A$1:$GI$145,ROW('KSH järjestus'!CD76),MATCH('KSH järjestus'!CD$3,KOMBI!$A$1:$GI$1,0))</f>
        <v>306.45</v>
      </c>
      <c r="CE69" s="25">
        <f t="array" ref="CE69">INDEX(KOMBI!$A$1:$GI$145,ROW('KSH järjestus'!CE76),MATCH('KSH järjestus'!CE$3,KOMBI!$A$1:$GI$1,0))</f>
        <v>2.9929999999999999</v>
      </c>
      <c r="CF69" s="25">
        <f t="array" ref="CF69">INDEX(KOMBI!$A$1:$GI$145,ROW('KSH järjestus'!CF76),MATCH('KSH järjestus'!CF$3,KOMBI!$A$1:$GI$1,0))</f>
        <v>48.290678294573638</v>
      </c>
      <c r="CG69" s="25">
        <f t="array" ref="CG69">INDEX(KOMBI!$A$1:$GI$145,ROW('KSH järjestus'!CG76),MATCH('KSH järjestus'!CG$3,KOMBI!$A$1:$GI$1,0))</f>
        <v>2.2545055318885739E-2</v>
      </c>
      <c r="CH69" s="25">
        <f t="array" ref="CH69">INDEX(KOMBI!$A$1:$GI$145,ROW('KSH järjestus'!CH76),MATCH('KSH järjestus'!CH$3,KOMBI!$A$1:$GI$1,0))</f>
        <v>0.39192627065295316</v>
      </c>
      <c r="CI69" s="25">
        <f t="array" ref="CI69">INDEX(KOMBI!$A$1:$GI$145,ROW('KSH järjestus'!CI76),MATCH('KSH järjestus'!CI$3,KOMBI!$A$1:$GI$1,0))</f>
        <v>6.28</v>
      </c>
      <c r="CJ69" s="25">
        <f t="array" ref="CJ69">INDEX(KOMBI!$A$1:$GI$145,ROW('KSH järjestus'!CJ76),MATCH('KSH järjestus'!CJ$3,KOMBI!$A$1:$GI$1,0))</f>
        <v>5.0583823271229704</v>
      </c>
      <c r="CK69" s="25">
        <f t="array" ref="CK69">INDEX(KOMBI!$A$1:$GI$145,ROW('KSH järjestus'!CK76),MATCH('KSH järjestus'!CK$3,KOMBI!$A$1:$GI$1,0))</f>
        <v>0.21099999999999999</v>
      </c>
      <c r="CL69" s="25">
        <f t="array" ref="CL69">INDEX(KOMBI!$A$1:$GI$145,ROW('KSH järjestus'!CL76),MATCH('KSH järjestus'!CL$3,KOMBI!$A$1:$GI$1,0))</f>
        <v>0.76300000000000001</v>
      </c>
    </row>
    <row r="70" spans="3:90" x14ac:dyDescent="0.2">
      <c r="C70" s="184">
        <v>67</v>
      </c>
      <c r="G70" s="25">
        <f>RANK(INDEX(KOMBI!$A$11:$GI$145,MATCH('KSH järjestus'!$C70,KOMBI!$A$11:$A$145,0),MATCH('KSH järjestus'!G$3,KOMBI!$A$1:$GI$1,0)),BD$4:BD$138,G$2)</f>
        <v>81</v>
      </c>
      <c r="H70" s="25">
        <f>RANK(INDEX(KOMBI!$A$11:$GI$145,MATCH('KSH järjestus'!$C70,KOMBI!$A$11:$A$145,0),MATCH('KSH järjestus'!H$3,KOMBI!$A$1:$GI$1,0)),BE$4:BE$138,H$2)</f>
        <v>97</v>
      </c>
      <c r="J70" s="25">
        <f>RANK(INDEX(KOMBI!$A$11:$GI$145,MATCH('KSH järjestus'!$C70,KOMBI!$A$11:$A$145,0),MATCH('KSH järjestus'!J$3,KOMBI!$A$1:$GI$1,0)),BG$4:BG$138,J$2)</f>
        <v>60</v>
      </c>
      <c r="M70" s="25">
        <f>RANK(INDEX(KOMBI!$A$11:$GI$145,MATCH('KSH järjestus'!$C70,KOMBI!$A$11:$A$145,0),MATCH('KSH järjestus'!M$3,KOMBI!$A$1:$GI$1,0)),BJ$4:BJ$138,M$2)</f>
        <v>28</v>
      </c>
      <c r="N70" s="25">
        <f>RANK(INDEX(KOMBI!$A$11:$GI$145,MATCH('KSH järjestus'!$C70,KOMBI!$A$11:$A$145,0),MATCH('KSH järjestus'!N$3,KOMBI!$A$1:$GI$1,0)),BK$4:BK$138,N$2)</f>
        <v>43</v>
      </c>
      <c r="O70" s="25">
        <f>RANK(INDEX(KOMBI!$A$11:$GI$145,MATCH('KSH järjestus'!$C70,KOMBI!$A$11:$A$145,0),MATCH('KSH järjestus'!O$3,KOMBI!$A$1:$GI$1,0)),BL$4:BL$138,O$2)</f>
        <v>103</v>
      </c>
      <c r="P70" s="25">
        <f>RANK(INDEX(KOMBI!$A$11:$GI$145,MATCH('KSH järjestus'!$C70,KOMBI!$A$11:$A$145,0),MATCH('KSH järjestus'!P$3,KOMBI!$A$1:$GI$1,0)),BM$4:BM$138,P$2)</f>
        <v>69</v>
      </c>
      <c r="Q70" s="25">
        <f>RANK(INDEX(KOMBI!$A$11:$GI$145,MATCH('KSH järjestus'!$C70,KOMBI!$A$11:$A$145,0),MATCH('KSH järjestus'!Q$3,KOMBI!$A$1:$GI$1,0)),BN$4:BN$138,Q$2)</f>
        <v>89</v>
      </c>
      <c r="R70" s="25">
        <f>RANK(INDEX(KOMBI!$A$11:$GI$145,MATCH('KSH järjestus'!$C70,KOMBI!$A$11:$A$145,0),MATCH('KSH järjestus'!R$3,KOMBI!$A$1:$GI$1,0)),BO$4:BO$138,R$2)</f>
        <v>106</v>
      </c>
      <c r="T70" s="25">
        <f>RANK(INDEX(KOMBI!$A$11:$GI$145,MATCH('KSH järjestus'!$C70,KOMBI!$A$11:$A$145,0),MATCH('KSH järjestus'!T$3,KOMBI!$A$1:$GI$1,0)),BQ$4:BQ$138,T$2)</f>
        <v>47</v>
      </c>
      <c r="U70" s="25">
        <f>RANK(INDEX(KOMBI!$A$11:$GI$145,MATCH('KSH järjestus'!$C70,KOMBI!$A$11:$A$145,0),MATCH('KSH järjestus'!U$3,KOMBI!$A$1:$GI$1,0)),BR$4:BR$138,U$2)</f>
        <v>60</v>
      </c>
      <c r="AA70" s="25">
        <f>RANK(INDEX(KOMBI!$A$11:$GI$145,MATCH('KSH järjestus'!$C70,KOMBI!$A$11:$A$145,0),MATCH('KSH järjestus'!AA$3,KOMBI!$A$1:$GI$1,0)),BX$4:BX$138,AA$2)</f>
        <v>61</v>
      </c>
      <c r="AB70" s="25">
        <f>RANK(INDEX(KOMBI!$A$11:$GI$145,MATCH('KSH järjestus'!$C70,KOMBI!$A$11:$A$145,0),MATCH('KSH järjestus'!AB$3,KOMBI!$A$1:$GI$1,0)),BY$4:BY$138,AB$2)</f>
        <v>64</v>
      </c>
      <c r="AC70" s="25">
        <f>RANK(INDEX(KOMBI!$A$11:$GI$145,MATCH('KSH järjestus'!$C70,KOMBI!$A$11:$A$145,0),MATCH('KSH järjestus'!AC$3,KOMBI!$A$1:$GI$1,0)),BZ$4:BZ$138,AC$2)</f>
        <v>19</v>
      </c>
      <c r="AD70" s="25">
        <f>RANK(INDEX(KOMBI!$A$11:$GI$145,MATCH('KSH järjestus'!$C70,KOMBI!$A$11:$A$145,0),MATCH('KSH järjestus'!AD$3,KOMBI!$A$1:$GI$1,0)),CA$4:CA$138,AD$2)</f>
        <v>60</v>
      </c>
      <c r="AE70" s="25">
        <f>RANK(INDEX(KOMBI!$A$11:$GI$145,MATCH('KSH järjestus'!$C70,KOMBI!$A$11:$A$145,0),MATCH('KSH järjestus'!AE$3,KOMBI!$A$1:$GI$1,0)),CB$4:CB$138,AE$2)</f>
        <v>60</v>
      </c>
      <c r="AG70" s="25">
        <f>RANK(INDEX(KOMBI!$A$11:$GI$145,MATCH('KSH järjestus'!$C70,KOMBI!$A$11:$A$145,0),MATCH('KSH järjestus'!AG$3,KOMBI!$A$1:$GI$1,0)),CD$4:CD$138,AG$2)</f>
        <v>49</v>
      </c>
      <c r="AH70" s="25">
        <f>RANK(INDEX(KOMBI!$A$11:$GI$145,MATCH('KSH järjestus'!$C70,KOMBI!$A$11:$A$145,0),MATCH('KSH järjestus'!AH$3,KOMBI!$A$1:$GI$1,0)),CE$4:CE$138,AH$2)</f>
        <v>76</v>
      </c>
      <c r="AI70" s="25">
        <f>RANK(INDEX(KOMBI!$A$11:$GI$145,MATCH('KSH järjestus'!$C70,KOMBI!$A$11:$A$145,0),MATCH('KSH järjestus'!AI$3,KOMBI!$A$1:$GI$1,0)),CF$4:CF$138,AI$2)</f>
        <v>64</v>
      </c>
      <c r="AJ70" s="25">
        <f>RANK(INDEX(KOMBI!$A$11:$GI$145,MATCH('KSH järjestus'!$C70,KOMBI!$A$11:$A$145,0),MATCH('KSH järjestus'!AJ$3,KOMBI!$A$1:$GI$1,0)),CG$4:CG$138,AJ$2)</f>
        <v>13</v>
      </c>
      <c r="AK70" s="25">
        <f>RANK(INDEX(KOMBI!$A$11:$GI$145,MATCH('KSH järjestus'!$C70,KOMBI!$A$11:$A$145,0),MATCH('KSH järjestus'!AK$3,KOMBI!$A$1:$GI$1,0)),CH$4:CH$138,AK$2)</f>
        <v>34</v>
      </c>
      <c r="AN70" s="25">
        <f>RANK(INDEX(KOMBI!$A$11:$GI$145,MATCH('KSH järjestus'!$C70,KOMBI!$A$11:$A$145,0),MATCH('KSH järjestus'!AN$3,KOMBI!$A$1:$GI$1,0)),CK$4:CK$138,AN$2)</f>
        <v>46</v>
      </c>
      <c r="AO70" s="25">
        <f>RANK(INDEX(KOMBI!$A$11:$GI$145,MATCH('KSH järjestus'!$C70,KOMBI!$A$11:$A$145,0),MATCH('KSH järjestus'!AO$3,KOMBI!$A$1:$GI$1,0)),CL$4:CL$138,AO$2)</f>
        <v>46</v>
      </c>
      <c r="AS70" s="297">
        <f t="shared" si="4"/>
        <v>1375</v>
      </c>
      <c r="AT70" s="25">
        <f t="shared" si="5"/>
        <v>1485</v>
      </c>
      <c r="AU70" s="25">
        <f t="shared" si="6"/>
        <v>37</v>
      </c>
      <c r="AV70" s="295" t="str">
        <f>VLOOKUP(VLOOKUP($AU70,KOMBI!$A:$H,3,FALSE),data!$I$27:$J$29,2,FALSE)</f>
        <v>Sekkuv/EÜ</v>
      </c>
      <c r="AW70" s="295" t="str">
        <f>VLOOKUP(VLOOKUP($AU70,KOMBI!$A:$H,2,FALSE),data!$I$21:$J$23,2,FALSE)</f>
        <v>Mittesekkuv</v>
      </c>
      <c r="AX70" s="295" t="str">
        <f>VLOOKUP(VLOOKUP($AU70,KOMBI!$A:$H,5,FALSE),data!$I$39:$J$41,2,FALSE)</f>
        <v>Mittesekkuv</v>
      </c>
      <c r="AY70" s="295" t="str">
        <f>VLOOKUP(VLOOKUP($AU70,KOMBI!$A:$H,4,FALSE),data!$I$32:$J$36,2,FALSE)</f>
        <v>TE</v>
      </c>
      <c r="BA70" s="25">
        <f t="array" ref="BA70">INDEX(KOMBI!$A$1:$GI$145,ROW('KSH järjestus'!BA77),MATCH('KSH järjestus'!BA$3,KOMBI!$A$1:$GI$1,0))</f>
        <v>3.7245273663499092</v>
      </c>
      <c r="BB70" s="25">
        <f t="array" ref="BB70">INDEX(KOMBI!$A$1:$GI$145,ROW('KSH järjestus'!BB77),MATCH('KSH järjestus'!BB$3,KOMBI!$A$1:$GI$1,0))</f>
        <v>274.87068744796386</v>
      </c>
      <c r="BC70" s="25">
        <f t="array" aca="1" ref="BC70" ca="1">INDEX(KOMBI!$A$1:$GI$145,ROW('KSH järjestus'!BC77),MATCH('KSH järjestus'!BC$3,KOMBI!$A$1:$GI$1,0))</f>
        <v>56.604291881616433</v>
      </c>
      <c r="BD70" s="25">
        <f t="array" ref="BD70">INDEX(KOMBI!$A$1:$GI$145,ROW('KSH järjestus'!BD77),MATCH('KSH järjestus'!BD$3,KOMBI!$A$1:$GI$1,0))</f>
        <v>-61.841250000000002</v>
      </c>
      <c r="BE70" s="25">
        <f t="array" ref="BE70">INDEX(KOMBI!$A$1:$GI$145,ROW('KSH järjestus'!BE77),MATCH('KSH järjestus'!BE$3,KOMBI!$A$1:$GI$1,0))</f>
        <v>118.44554188161644</v>
      </c>
      <c r="BF70" s="25">
        <f t="array" aca="1" ref="BF70" ca="1">INDEX(KOMBI!$A$1:$GI$145,ROW('KSH järjestus'!BF77),MATCH('KSH järjestus'!BF$3,KOMBI!$A$1:$GI$1,0))</f>
        <v>0</v>
      </c>
      <c r="BG70" s="25">
        <f t="array" ref="BG70">INDEX(KOMBI!$A$1:$GI$145,ROW('KSH järjestus'!BG77),MATCH('KSH järjestus'!BG$3,KOMBI!$A$1:$GI$1,0))</f>
        <v>0.53914636994677045</v>
      </c>
      <c r="BH70" s="25">
        <f t="array" ref="BH70">INDEX(KOMBI!$A$1:$GI$145,ROW('KSH järjestus'!BH77),MATCH('KSH järjestus'!BH$3,KOMBI!$A$1:$GI$1,0))</f>
        <v>90</v>
      </c>
      <c r="BI70" s="25">
        <f t="array" ref="BI70">INDEX(KOMBI!$A$1:$GI$145,ROW('KSH järjestus'!BI77),MATCH('KSH järjestus'!BI$3,KOMBI!$A$1:$GI$1,0))</f>
        <v>1</v>
      </c>
      <c r="BJ70" s="25">
        <f t="array" ref="BJ70">INDEX(KOMBI!$A$1:$GI$145,ROW('KSH järjestus'!BJ77),MATCH('KSH järjestus'!BJ$3,KOMBI!$A$1:$GI$1,0))</f>
        <v>6.6265060240963902E-2</v>
      </c>
      <c r="BK70" s="25">
        <f t="array" ref="BK70">INDEX(KOMBI!$A$1:$GI$145,ROW('KSH järjestus'!BK77),MATCH('KSH järjestus'!BK$3,KOMBI!$A$1:$GI$1,0))</f>
        <v>0.37462130684838824</v>
      </c>
      <c r="BL70" s="25">
        <f t="array" ref="BL70">INDEX(KOMBI!$A$1:$GI$145,ROW('KSH järjestus'!BL77),MATCH('KSH järjestus'!BL$3,KOMBI!$A$1:$GI$1,0))</f>
        <v>1.105201052543962E-2</v>
      </c>
      <c r="BM70" s="25">
        <f t="array" ref="BM70">INDEX(KOMBI!$A$1:$GI$145,ROW('KSH järjestus'!BM77),MATCH('KSH järjestus'!BM$3,KOMBI!$A$1:$GI$1,0))</f>
        <v>1.2697379812343624E-3</v>
      </c>
      <c r="BN70" s="25">
        <f t="array" ref="BN70">INDEX(KOMBI!$A$1:$GI$145,ROW('KSH järjestus'!BN77),MATCH('KSH järjestus'!BN$3,KOMBI!$A$1:$GI$1,0))</f>
        <v>2.737167551280395E-3</v>
      </c>
      <c r="BO70" s="25">
        <f t="array" ref="BO70">INDEX(KOMBI!$A$1:$GI$145,ROW('KSH järjestus'!BO77),MATCH('KSH järjestus'!BO$3,KOMBI!$A$1:$GI$1,0))</f>
        <v>8.3670156030550957E-3</v>
      </c>
      <c r="BP70" s="25">
        <f t="array" ref="BP70">INDEX(KOMBI!$A$1:$GI$145,ROW('KSH järjestus'!BP77),MATCH('KSH järjestus'!BP$3,KOMBI!$A$1:$GI$1,0))</f>
        <v>7.7863156794471022</v>
      </c>
      <c r="BQ70" s="25">
        <f t="array" ref="BQ70">INDEX(KOMBI!$A$1:$GI$145,ROW('KSH järjestus'!BQ77),MATCH('KSH järjestus'!BQ$3,KOMBI!$A$1:$GI$1,0))</f>
        <v>10.425000000000001</v>
      </c>
      <c r="BR70" s="25">
        <f t="array" ref="BR70">INDEX(KOMBI!$A$1:$GI$145,ROW('KSH järjestus'!BR77),MATCH('KSH järjestus'!BR$3,KOMBI!$A$1:$GI$1,0))</f>
        <v>-2.8569960374368281E-2</v>
      </c>
      <c r="BS70" s="25">
        <f t="array" ref="BS70">INDEX(KOMBI!$A$1:$GI$145,ROW('KSH järjestus'!BS77),MATCH('KSH järjestus'!BS$3,KOMBI!$A$1:$GI$1,0))</f>
        <v>-3.2080221226067678E-2</v>
      </c>
      <c r="BT70" s="25">
        <f t="array" ref="BT70">INDEX(KOMBI!$A$1:$GI$145,ROW('KSH järjestus'!BT77),MATCH('KSH järjestus'!BT$3,KOMBI!$A$1:$GI$1,0))</f>
        <v>-4.326293723474995E-2</v>
      </c>
      <c r="BU70" s="25">
        <f t="array" ref="BU70">INDEX(KOMBI!$A$1:$GI$145,ROW('KSH järjestus'!BU77),MATCH('KSH järjestus'!BU$3,KOMBI!$A$1:$GI$1,0))</f>
        <v>8.4199419404241382</v>
      </c>
      <c r="BV70" s="25">
        <f t="array" ref="BV70">INDEX(KOMBI!$A$1:$GI$145,ROW('KSH järjestus'!BV77),MATCH('KSH järjestus'!BV$3,KOMBI!$A$1:$GI$1,0))</f>
        <v>5.0650000000000004</v>
      </c>
      <c r="BW70" s="25">
        <f t="array" ref="BW70">INDEX(KOMBI!$A$1:$GI$145,ROW('KSH järjestus'!BW77),MATCH('KSH järjestus'!BW$3,KOMBI!$A$1:$GI$1,0))</f>
        <v>2.5583823271229704</v>
      </c>
      <c r="BX70" s="25">
        <f t="array" ref="BX70">INDEX(KOMBI!$A$1:$GI$145,ROW('KSH järjestus'!BX77),MATCH('KSH järjestus'!BX$3,KOMBI!$A$1:$GI$1,0))</f>
        <v>18.184861099430584</v>
      </c>
      <c r="BY70" s="25">
        <f t="array" ref="BY70">INDEX(KOMBI!$A$1:$GI$145,ROW('KSH järjestus'!BY77),MATCH('KSH järjestus'!BY$3,KOMBI!$A$1:$GI$1,0))</f>
        <v>11.872324637900011</v>
      </c>
      <c r="BZ70" s="25">
        <f t="array" ref="BZ70">INDEX(KOMBI!$A$1:$GI$145,ROW('KSH järjestus'!BZ77),MATCH('KSH järjestus'!BZ$3,KOMBI!$A$1:$GI$1,0))</f>
        <v>69</v>
      </c>
      <c r="CA70" s="25">
        <f t="array" ref="CA70">INDEX(KOMBI!$A$1:$GI$145,ROW('KSH järjestus'!CA77),MATCH('KSH järjestus'!CA$3,KOMBI!$A$1:$GI$1,0))</f>
        <v>14.037000000000001</v>
      </c>
      <c r="CB70" s="25">
        <f t="array" ref="CB70">INDEX(KOMBI!$A$1:$GI$145,ROW('KSH järjestus'!CB77),MATCH('KSH järjestus'!CB$3,KOMBI!$A$1:$GI$1,0))</f>
        <v>62.480277777777779</v>
      </c>
      <c r="CC70" s="25">
        <f t="array" ref="CC70">INDEX(KOMBI!$A$1:$GI$145,ROW('KSH järjestus'!CC77),MATCH('KSH järjestus'!CC$3,KOMBI!$A$1:$GI$1,0))</f>
        <v>4.9937480000000001</v>
      </c>
      <c r="CD70" s="25">
        <f t="array" ref="CD70">INDEX(KOMBI!$A$1:$GI$145,ROW('KSH järjestus'!CD77),MATCH('KSH järjestus'!CD$3,KOMBI!$A$1:$GI$1,0))</f>
        <v>306.45</v>
      </c>
      <c r="CE70" s="25">
        <f t="array" ref="CE70">INDEX(KOMBI!$A$1:$GI$145,ROW('KSH järjestus'!CE77),MATCH('KSH järjestus'!CE$3,KOMBI!$A$1:$GI$1,0))</f>
        <v>2.9929999999999999</v>
      </c>
      <c r="CF70" s="25">
        <f t="array" ref="CF70">INDEX(KOMBI!$A$1:$GI$145,ROW('KSH järjestus'!CF77),MATCH('KSH järjestus'!CF$3,KOMBI!$A$1:$GI$1,0))</f>
        <v>48.250678294573639</v>
      </c>
      <c r="CG70" s="25">
        <f t="array" ref="CG70">INDEX(KOMBI!$A$1:$GI$145,ROW('KSH järjestus'!CG77),MATCH('KSH järjestus'!CG$3,KOMBI!$A$1:$GI$1,0))</f>
        <v>8.2108534803349301E-2</v>
      </c>
      <c r="CH70" s="25">
        <f t="array" ref="CH70">INDEX(KOMBI!$A$1:$GI$145,ROW('KSH järjestus'!CH77),MATCH('KSH järjestus'!CH$3,KOMBI!$A$1:$GI$1,0))</f>
        <v>0.45232475218626439</v>
      </c>
      <c r="CI70" s="25">
        <f t="array" ref="CI70">INDEX(KOMBI!$A$1:$GI$145,ROW('KSH järjestus'!CI77),MATCH('KSH järjestus'!CI$3,KOMBI!$A$1:$GI$1,0))</f>
        <v>6.28</v>
      </c>
      <c r="CJ70" s="25">
        <f t="array" ref="CJ70">INDEX(KOMBI!$A$1:$GI$145,ROW('KSH järjestus'!CJ77),MATCH('KSH järjestus'!CJ$3,KOMBI!$A$1:$GI$1,0))</f>
        <v>4.3663823271229703</v>
      </c>
      <c r="CK70" s="25">
        <f t="array" ref="CK70">INDEX(KOMBI!$A$1:$GI$145,ROW('KSH järjestus'!CK77),MATCH('KSH järjestus'!CK$3,KOMBI!$A$1:$GI$1,0))</f>
        <v>0.21099999999999999</v>
      </c>
      <c r="CL70" s="25">
        <f t="array" ref="CL70">INDEX(KOMBI!$A$1:$GI$145,ROW('KSH järjestus'!CL77),MATCH('KSH järjestus'!CL$3,KOMBI!$A$1:$GI$1,0))</f>
        <v>0.76300000000000001</v>
      </c>
    </row>
    <row r="71" spans="3:90" x14ac:dyDescent="0.2">
      <c r="C71" s="184">
        <v>68</v>
      </c>
      <c r="G71" s="25">
        <f>RANK(INDEX(KOMBI!$A$11:$GI$145,MATCH('KSH järjestus'!$C71,KOMBI!$A$11:$A$145,0),MATCH('KSH järjestus'!G$3,KOMBI!$A$1:$GI$1,0)),BD$4:BD$138,G$2)</f>
        <v>66</v>
      </c>
      <c r="H71" s="25">
        <f>RANK(INDEX(KOMBI!$A$11:$GI$145,MATCH('KSH järjestus'!$C71,KOMBI!$A$11:$A$145,0),MATCH('KSH järjestus'!H$3,KOMBI!$A$1:$GI$1,0)),BE$4:BE$138,H$2)</f>
        <v>68</v>
      </c>
      <c r="J71" s="25">
        <f>RANK(INDEX(KOMBI!$A$11:$GI$145,MATCH('KSH järjestus'!$C71,KOMBI!$A$11:$A$145,0),MATCH('KSH järjestus'!J$3,KOMBI!$A$1:$GI$1,0)),BG$4:BG$138,J$2)</f>
        <v>37</v>
      </c>
      <c r="M71" s="25">
        <f>RANK(INDEX(KOMBI!$A$11:$GI$145,MATCH('KSH järjestus'!$C71,KOMBI!$A$11:$A$145,0),MATCH('KSH järjestus'!M$3,KOMBI!$A$1:$GI$1,0)),BJ$4:BJ$138,M$2)</f>
        <v>28</v>
      </c>
      <c r="N71" s="25">
        <f>RANK(INDEX(KOMBI!$A$11:$GI$145,MATCH('KSH järjestus'!$C71,KOMBI!$A$11:$A$145,0),MATCH('KSH järjestus'!N$3,KOMBI!$A$1:$GI$1,0)),BK$4:BK$138,N$2)</f>
        <v>43</v>
      </c>
      <c r="O71" s="25">
        <f>RANK(INDEX(KOMBI!$A$11:$GI$145,MATCH('KSH järjestus'!$C71,KOMBI!$A$11:$A$145,0),MATCH('KSH järjestus'!O$3,KOMBI!$A$1:$GI$1,0)),BL$4:BL$138,O$2)</f>
        <v>61</v>
      </c>
      <c r="P71" s="25">
        <f>RANK(INDEX(KOMBI!$A$11:$GI$145,MATCH('KSH järjestus'!$C71,KOMBI!$A$11:$A$145,0),MATCH('KSH järjestus'!P$3,KOMBI!$A$1:$GI$1,0)),BM$4:BM$138,P$2)</f>
        <v>92</v>
      </c>
      <c r="Q71" s="25">
        <f>RANK(INDEX(KOMBI!$A$11:$GI$145,MATCH('KSH järjestus'!$C71,KOMBI!$A$11:$A$145,0),MATCH('KSH järjestus'!Q$3,KOMBI!$A$1:$GI$1,0)),BN$4:BN$138,Q$2)</f>
        <v>53</v>
      </c>
      <c r="R71" s="25">
        <f>RANK(INDEX(KOMBI!$A$11:$GI$145,MATCH('KSH järjestus'!$C71,KOMBI!$A$11:$A$145,0),MATCH('KSH järjestus'!R$3,KOMBI!$A$1:$GI$1,0)),BO$4:BO$138,R$2)</f>
        <v>68</v>
      </c>
      <c r="T71" s="25">
        <f>RANK(INDEX(KOMBI!$A$11:$GI$145,MATCH('KSH järjestus'!$C71,KOMBI!$A$11:$A$145,0),MATCH('KSH järjestus'!T$3,KOMBI!$A$1:$GI$1,0)),BQ$4:BQ$138,T$2)</f>
        <v>55</v>
      </c>
      <c r="U71" s="25">
        <f>RANK(INDEX(KOMBI!$A$11:$GI$145,MATCH('KSH järjestus'!$C71,KOMBI!$A$11:$A$145,0),MATCH('KSH järjestus'!U$3,KOMBI!$A$1:$GI$1,0)),BR$4:BR$138,U$2)</f>
        <v>70</v>
      </c>
      <c r="AA71" s="25">
        <f>RANK(INDEX(KOMBI!$A$11:$GI$145,MATCH('KSH järjestus'!$C71,KOMBI!$A$11:$A$145,0),MATCH('KSH järjestus'!AA$3,KOMBI!$A$1:$GI$1,0)),BX$4:BX$138,AA$2)</f>
        <v>61</v>
      </c>
      <c r="AB71" s="25">
        <f>RANK(INDEX(KOMBI!$A$11:$GI$145,MATCH('KSH järjestus'!$C71,KOMBI!$A$11:$A$145,0),MATCH('KSH järjestus'!AB$3,KOMBI!$A$1:$GI$1,0)),BY$4:BY$138,AB$2)</f>
        <v>64</v>
      </c>
      <c r="AC71" s="25">
        <f>RANK(INDEX(KOMBI!$A$11:$GI$145,MATCH('KSH järjestus'!$C71,KOMBI!$A$11:$A$145,0),MATCH('KSH järjestus'!AC$3,KOMBI!$A$1:$GI$1,0)),BZ$4:BZ$138,AC$2)</f>
        <v>25</v>
      </c>
      <c r="AD71" s="25">
        <f>RANK(INDEX(KOMBI!$A$11:$GI$145,MATCH('KSH järjestus'!$C71,KOMBI!$A$11:$A$145,0),MATCH('KSH järjestus'!AD$3,KOMBI!$A$1:$GI$1,0)),CA$4:CA$138,AD$2)</f>
        <v>68</v>
      </c>
      <c r="AE71" s="25">
        <f>RANK(INDEX(KOMBI!$A$11:$GI$145,MATCH('KSH järjestus'!$C71,KOMBI!$A$11:$A$145,0),MATCH('KSH järjestus'!AE$3,KOMBI!$A$1:$GI$1,0)),CB$4:CB$138,AE$2)</f>
        <v>66</v>
      </c>
      <c r="AG71" s="25">
        <f>RANK(INDEX(KOMBI!$A$11:$GI$145,MATCH('KSH järjestus'!$C71,KOMBI!$A$11:$A$145,0),MATCH('KSH järjestus'!AG$3,KOMBI!$A$1:$GI$1,0)),CD$4:CD$138,AG$2)</f>
        <v>49</v>
      </c>
      <c r="AH71" s="25">
        <f>RANK(INDEX(KOMBI!$A$11:$GI$145,MATCH('KSH järjestus'!$C71,KOMBI!$A$11:$A$145,0),MATCH('KSH järjestus'!AH$3,KOMBI!$A$1:$GI$1,0)),CE$4:CE$138,AH$2)</f>
        <v>76</v>
      </c>
      <c r="AI71" s="25">
        <f>RANK(INDEX(KOMBI!$A$11:$GI$145,MATCH('KSH järjestus'!$C71,KOMBI!$A$11:$A$145,0),MATCH('KSH järjestus'!AI$3,KOMBI!$A$1:$GI$1,0)),CF$4:CF$138,AI$2)</f>
        <v>64</v>
      </c>
      <c r="AJ71" s="25">
        <f>RANK(INDEX(KOMBI!$A$11:$GI$145,MATCH('KSH järjestus'!$C71,KOMBI!$A$11:$A$145,0),MATCH('KSH järjestus'!AJ$3,KOMBI!$A$1:$GI$1,0)),CG$4:CG$138,AJ$2)</f>
        <v>13</v>
      </c>
      <c r="AK71" s="25">
        <f>RANK(INDEX(KOMBI!$A$11:$GI$145,MATCH('KSH järjestus'!$C71,KOMBI!$A$11:$A$145,0),MATCH('KSH järjestus'!AK$3,KOMBI!$A$1:$GI$1,0)),CH$4:CH$138,AK$2)</f>
        <v>34</v>
      </c>
      <c r="AN71" s="25">
        <f>RANK(INDEX(KOMBI!$A$11:$GI$145,MATCH('KSH järjestus'!$C71,KOMBI!$A$11:$A$145,0),MATCH('KSH järjestus'!AN$3,KOMBI!$A$1:$GI$1,0)),CK$4:CK$138,AN$2)</f>
        <v>46</v>
      </c>
      <c r="AO71" s="25">
        <f>RANK(INDEX(KOMBI!$A$11:$GI$145,MATCH('KSH järjestus'!$C71,KOMBI!$A$11:$A$145,0),MATCH('KSH järjestus'!AO$3,KOMBI!$A$1:$GI$1,0)),CL$4:CL$138,AO$2)</f>
        <v>46</v>
      </c>
      <c r="AS71" s="297">
        <f t="shared" si="4"/>
        <v>1253</v>
      </c>
      <c r="AT71" s="25">
        <f t="shared" si="5"/>
        <v>1495</v>
      </c>
      <c r="AU71" s="25">
        <f t="shared" si="6"/>
        <v>92</v>
      </c>
      <c r="AV71" s="295" t="str">
        <f>VLOOKUP(VLOOKUP($AU71,KOMBI!$A:$H,3,FALSE),data!$I$27:$J$29,2,FALSE)</f>
        <v>Mittesekkuv</v>
      </c>
      <c r="AW71" s="295" t="str">
        <f>VLOOKUP(VLOOKUP($AU71,KOMBI!$A:$H,2,FALSE),data!$I$21:$J$23,2,FALSE)</f>
        <v>Sekkuv</v>
      </c>
      <c r="AX71" s="295" t="str">
        <f>VLOOKUP(VLOOKUP($AU71,KOMBI!$A:$H,5,FALSE),data!$I$39:$J$41,2,FALSE)</f>
        <v>Vähe-sekkuv</v>
      </c>
      <c r="AY71" s="295" t="str">
        <f>VLOOKUP(VLOOKUP($AU71,KOMBI!$A:$H,4,FALSE),data!$I$32:$J$36,2,FALSE)</f>
        <v>LIB</v>
      </c>
      <c r="BA71" s="25">
        <f t="array" ref="BA71">INDEX(KOMBI!$A$1:$GI$145,ROW('KSH järjestus'!BA78),MATCH('KSH järjestus'!BA$3,KOMBI!$A$1:$GI$1,0))</f>
        <v>4.6404390149957502</v>
      </c>
      <c r="BB71" s="25">
        <f t="array" ref="BB71">INDEX(KOMBI!$A$1:$GI$145,ROW('KSH järjestus'!BB78),MATCH('KSH järjestus'!BB$3,KOMBI!$A$1:$GI$1,0))</f>
        <v>435.35071971722709</v>
      </c>
      <c r="BC71" s="25">
        <f t="array" aca="1" ref="BC71" ca="1">INDEX(KOMBI!$A$1:$GI$145,ROW('KSH järjestus'!BC78),MATCH('KSH järjestus'!BC$3,KOMBI!$A$1:$GI$1,0))</f>
        <v>85.76961391015152</v>
      </c>
      <c r="BD71" s="25">
        <f t="array" ref="BD71">INDEX(KOMBI!$A$1:$GI$145,ROW('KSH järjestus'!BD78),MATCH('KSH järjestus'!BD$3,KOMBI!$A$1:$GI$1,0))</f>
        <v>-77.074469880632108</v>
      </c>
      <c r="BE71" s="25">
        <f t="array" ref="BE71">INDEX(KOMBI!$A$1:$GI$145,ROW('KSH järjestus'!BE78),MATCH('KSH järjestus'!BE$3,KOMBI!$A$1:$GI$1,0))</f>
        <v>162.84408379078363</v>
      </c>
      <c r="BF71" s="25">
        <f t="array" aca="1" ref="BF71" ca="1">INDEX(KOMBI!$A$1:$GI$145,ROW('KSH järjestus'!BF78),MATCH('KSH järjestus'!BF$3,KOMBI!$A$1:$GI$1,0))</f>
        <v>0</v>
      </c>
      <c r="BG71" s="25">
        <f t="array" ref="BG71">INDEX(KOMBI!$A$1:$GI$145,ROW('KSH järjestus'!BG78),MATCH('KSH järjestus'!BG$3,KOMBI!$A$1:$GI$1,0))</f>
        <v>0.50338040312452959</v>
      </c>
      <c r="BH71" s="25">
        <f t="array" ref="BH71">INDEX(KOMBI!$A$1:$GI$145,ROW('KSH järjestus'!BH78),MATCH('KSH järjestus'!BH$3,KOMBI!$A$1:$GI$1,0))</f>
        <v>90</v>
      </c>
      <c r="BI71" s="25">
        <f t="array" ref="BI71">INDEX(KOMBI!$A$1:$GI$145,ROW('KSH järjestus'!BI78),MATCH('KSH järjestus'!BI$3,KOMBI!$A$1:$GI$1,0))</f>
        <v>0.84317482403548605</v>
      </c>
      <c r="BJ71" s="25">
        <f t="array" ref="BJ71">INDEX(KOMBI!$A$1:$GI$145,ROW('KSH järjestus'!BJ78),MATCH('KSH järjestus'!BJ$3,KOMBI!$A$1:$GI$1,0))</f>
        <v>6.6265060240963902E-2</v>
      </c>
      <c r="BK71" s="25">
        <f t="array" ref="BK71">INDEX(KOMBI!$A$1:$GI$145,ROW('KSH järjestus'!BK78),MATCH('KSH järjestus'!BK$3,KOMBI!$A$1:$GI$1,0))</f>
        <v>0.37462130684838824</v>
      </c>
      <c r="BL71" s="25">
        <f t="array" ref="BL71">INDEX(KOMBI!$A$1:$GI$145,ROW('KSH järjestus'!BL78),MATCH('KSH järjestus'!BL$3,KOMBI!$A$1:$GI$1,0))</f>
        <v>1.7334403611861948E-2</v>
      </c>
      <c r="BM71" s="25">
        <f t="array" ref="BM71">INDEX(KOMBI!$A$1:$GI$145,ROW('KSH järjestus'!BM78),MATCH('KSH järjestus'!BM$3,KOMBI!$A$1:$GI$1,0))</f>
        <v>-1.423314868181251E-3</v>
      </c>
      <c r="BN71" s="25">
        <f t="array" ref="BN71">INDEX(KOMBI!$A$1:$GI$145,ROW('KSH järjestus'!BN78),MATCH('KSH järjestus'!BN$3,KOMBI!$A$1:$GI$1,0))</f>
        <v>5.2300374126382221E-3</v>
      </c>
      <c r="BO71" s="25">
        <f t="array" ref="BO71">INDEX(KOMBI!$A$1:$GI$145,ROW('KSH järjestus'!BO78),MATCH('KSH järjestus'!BO$3,KOMBI!$A$1:$GI$1,0))</f>
        <v>1.2191902146931924E-2</v>
      </c>
      <c r="BP71" s="25">
        <f t="array" ref="BP71">INDEX(KOMBI!$A$1:$GI$145,ROW('KSH järjestus'!BP78),MATCH('KSH järjestus'!BP$3,KOMBI!$A$1:$GI$1,0))</f>
        <v>7.7863156794471022</v>
      </c>
      <c r="BQ71" s="25">
        <f t="array" ref="BQ71">INDEX(KOMBI!$A$1:$GI$145,ROW('KSH järjestus'!BQ78),MATCH('KSH järjestus'!BQ$3,KOMBI!$A$1:$GI$1,0))</f>
        <v>10.516</v>
      </c>
      <c r="BR71" s="25">
        <f t="array" ref="BR71">INDEX(KOMBI!$A$1:$GI$145,ROW('KSH järjestus'!BR78),MATCH('KSH järjestus'!BR$3,KOMBI!$A$1:$GI$1,0))</f>
        <v>-2.433616136310356E-2</v>
      </c>
      <c r="BS71" s="25">
        <f t="array" ref="BS71">INDEX(KOMBI!$A$1:$GI$145,ROW('KSH järjestus'!BS78),MATCH('KSH järjestus'!BS$3,KOMBI!$A$1:$GI$1,0))</f>
        <v>-3.0746609006432116E-2</v>
      </c>
      <c r="BT71" s="25">
        <f t="array" ref="BT71">INDEX(KOMBI!$A$1:$GI$145,ROW('KSH järjestus'!BT78),MATCH('KSH järjestus'!BT$3,KOMBI!$A$1:$GI$1,0))</f>
        <v>-4.2163974435355994E-2</v>
      </c>
      <c r="BU71" s="25">
        <f t="array" ref="BU71">INDEX(KOMBI!$A$1:$GI$145,ROW('KSH järjestus'!BU78),MATCH('KSH järjestus'!BU$3,KOMBI!$A$1:$GI$1,0))</f>
        <v>8.4199419404241382</v>
      </c>
      <c r="BV71" s="25">
        <f t="array" ref="BV71">INDEX(KOMBI!$A$1:$GI$145,ROW('KSH järjestus'!BV78),MATCH('KSH järjestus'!BV$3,KOMBI!$A$1:$GI$1,0))</f>
        <v>5.0650000000000004</v>
      </c>
      <c r="BW71" s="25">
        <f t="array" ref="BW71">INDEX(KOMBI!$A$1:$GI$145,ROW('KSH järjestus'!BW78),MATCH('KSH järjestus'!BW$3,KOMBI!$A$1:$GI$1,0))</f>
        <v>2.9358823271229704</v>
      </c>
      <c r="BX71" s="25">
        <f t="array" ref="BX71">INDEX(KOMBI!$A$1:$GI$145,ROW('KSH järjestus'!BX78),MATCH('KSH järjestus'!BX$3,KOMBI!$A$1:$GI$1,0))</f>
        <v>18.184861099430584</v>
      </c>
      <c r="BY71" s="25">
        <f t="array" ref="BY71">INDEX(KOMBI!$A$1:$GI$145,ROW('KSH järjestus'!BY78),MATCH('KSH järjestus'!BY$3,KOMBI!$A$1:$GI$1,0))</f>
        <v>11.872324637900011</v>
      </c>
      <c r="BZ71" s="25">
        <f t="array" ref="BZ71">INDEX(KOMBI!$A$1:$GI$145,ROW('KSH järjestus'!BZ78),MATCH('KSH järjestus'!BZ$3,KOMBI!$A$1:$GI$1,0))</f>
        <v>69.400000000000006</v>
      </c>
      <c r="CA71" s="25">
        <f t="array" ref="CA71">INDEX(KOMBI!$A$1:$GI$145,ROW('KSH järjestus'!CA78),MATCH('KSH järjestus'!CA$3,KOMBI!$A$1:$GI$1,0))</f>
        <v>14.125999999999999</v>
      </c>
      <c r="CB71" s="25">
        <f t="array" ref="CB71">INDEX(KOMBI!$A$1:$GI$145,ROW('KSH järjestus'!CB78),MATCH('KSH järjestus'!CB$3,KOMBI!$A$1:$GI$1,0))</f>
        <v>62.820555555555551</v>
      </c>
      <c r="CC71" s="25">
        <f t="array" ref="CC71">INDEX(KOMBI!$A$1:$GI$145,ROW('KSH järjestus'!CC78),MATCH('KSH järjestus'!CC$3,KOMBI!$A$1:$GI$1,0))</f>
        <v>5.0270400000000004</v>
      </c>
      <c r="CD71" s="25">
        <f t="array" ref="CD71">INDEX(KOMBI!$A$1:$GI$145,ROW('KSH järjestus'!CD78),MATCH('KSH järjestus'!CD$3,KOMBI!$A$1:$GI$1,0))</f>
        <v>306.45</v>
      </c>
      <c r="CE71" s="25">
        <f t="array" ref="CE71">INDEX(KOMBI!$A$1:$GI$145,ROW('KSH järjestus'!CE78),MATCH('KSH järjestus'!CE$3,KOMBI!$A$1:$GI$1,0))</f>
        <v>2.9929999999999999</v>
      </c>
      <c r="CF71" s="25">
        <f t="array" ref="CF71">INDEX(KOMBI!$A$1:$GI$145,ROW('KSH järjestus'!CF78),MATCH('KSH järjestus'!CF$3,KOMBI!$A$1:$GI$1,0))</f>
        <v>48.250678294573639</v>
      </c>
      <c r="CG71" s="25">
        <f t="array" ref="CG71">INDEX(KOMBI!$A$1:$GI$145,ROW('KSH järjestus'!CG78),MATCH('KSH järjestus'!CG$3,KOMBI!$A$1:$GI$1,0))</f>
        <v>8.2108534803349301E-2</v>
      </c>
      <c r="CH71" s="25">
        <f t="array" ref="CH71">INDEX(KOMBI!$A$1:$GI$145,ROW('KSH järjestus'!CH78),MATCH('KSH järjestus'!CH$3,KOMBI!$A$1:$GI$1,0))</f>
        <v>0.45232475218626439</v>
      </c>
      <c r="CI71" s="25">
        <f t="array" ref="CI71">INDEX(KOMBI!$A$1:$GI$145,ROW('KSH järjestus'!CI78),MATCH('KSH järjestus'!CI$3,KOMBI!$A$1:$GI$1,0))</f>
        <v>6.28</v>
      </c>
      <c r="CJ71" s="25">
        <f t="array" ref="CJ71">INDEX(KOMBI!$A$1:$GI$145,ROW('KSH järjestus'!CJ78),MATCH('KSH järjestus'!CJ$3,KOMBI!$A$1:$GI$1,0))</f>
        <v>4.3663823271229703</v>
      </c>
      <c r="CK71" s="25">
        <f t="array" ref="CK71">INDEX(KOMBI!$A$1:$GI$145,ROW('KSH järjestus'!CK78),MATCH('KSH järjestus'!CK$3,KOMBI!$A$1:$GI$1,0))</f>
        <v>0.21099999999999999</v>
      </c>
      <c r="CL71" s="25">
        <f t="array" ref="CL71">INDEX(KOMBI!$A$1:$GI$145,ROW('KSH järjestus'!CL78),MATCH('KSH järjestus'!CL$3,KOMBI!$A$1:$GI$1,0))</f>
        <v>0.76300000000000001</v>
      </c>
    </row>
    <row r="72" spans="3:90" x14ac:dyDescent="0.2">
      <c r="C72" s="184">
        <v>69</v>
      </c>
      <c r="G72" s="25">
        <f>RANK(INDEX(KOMBI!$A$11:$GI$145,MATCH('KSH järjestus'!$C72,KOMBI!$A$11:$A$145,0),MATCH('KSH järjestus'!G$3,KOMBI!$A$1:$GI$1,0)),BD$4:BD$138,G$2)</f>
        <v>51</v>
      </c>
      <c r="H72" s="25">
        <f>RANK(INDEX(KOMBI!$A$11:$GI$145,MATCH('KSH järjestus'!$C72,KOMBI!$A$11:$A$145,0),MATCH('KSH järjestus'!H$3,KOMBI!$A$1:$GI$1,0)),BE$4:BE$138,H$2)</f>
        <v>44</v>
      </c>
      <c r="J72" s="25">
        <f>RANK(INDEX(KOMBI!$A$11:$GI$145,MATCH('KSH järjestus'!$C72,KOMBI!$A$11:$A$145,0),MATCH('KSH järjestus'!J$3,KOMBI!$A$1:$GI$1,0)),BG$4:BG$138,J$2)</f>
        <v>37</v>
      </c>
      <c r="M72" s="25">
        <f>RANK(INDEX(KOMBI!$A$11:$GI$145,MATCH('KSH järjestus'!$C72,KOMBI!$A$11:$A$145,0),MATCH('KSH järjestus'!M$3,KOMBI!$A$1:$GI$1,0)),BJ$4:BJ$138,M$2)</f>
        <v>28</v>
      </c>
      <c r="N72" s="25">
        <f>RANK(INDEX(KOMBI!$A$11:$GI$145,MATCH('KSH järjestus'!$C72,KOMBI!$A$11:$A$145,0),MATCH('KSH järjestus'!N$3,KOMBI!$A$1:$GI$1,0)),BK$4:BK$138,N$2)</f>
        <v>43</v>
      </c>
      <c r="O72" s="25">
        <f>RANK(INDEX(KOMBI!$A$11:$GI$145,MATCH('KSH järjestus'!$C72,KOMBI!$A$11:$A$145,0),MATCH('KSH järjestus'!O$3,KOMBI!$A$1:$GI$1,0)),BL$4:BL$138,O$2)</f>
        <v>35</v>
      </c>
      <c r="P72" s="25">
        <f>RANK(INDEX(KOMBI!$A$11:$GI$145,MATCH('KSH järjestus'!$C72,KOMBI!$A$11:$A$145,0),MATCH('KSH järjestus'!P$3,KOMBI!$A$1:$GI$1,0)),BM$4:BM$138,P$2)</f>
        <v>91</v>
      </c>
      <c r="Q72" s="25">
        <f>RANK(INDEX(KOMBI!$A$11:$GI$145,MATCH('KSH järjestus'!$C72,KOMBI!$A$11:$A$145,0),MATCH('KSH järjestus'!Q$3,KOMBI!$A$1:$GI$1,0)),BN$4:BN$138,Q$2)</f>
        <v>40</v>
      </c>
      <c r="R72" s="25">
        <f>RANK(INDEX(KOMBI!$A$11:$GI$145,MATCH('KSH järjestus'!$C72,KOMBI!$A$11:$A$145,0),MATCH('KSH järjestus'!R$3,KOMBI!$A$1:$GI$1,0)),BO$4:BO$138,R$2)</f>
        <v>34</v>
      </c>
      <c r="T72" s="25">
        <f>RANK(INDEX(KOMBI!$A$11:$GI$145,MATCH('KSH järjestus'!$C72,KOMBI!$A$11:$A$145,0),MATCH('KSH järjestus'!T$3,KOMBI!$A$1:$GI$1,0)),BQ$4:BQ$138,T$2)</f>
        <v>70</v>
      </c>
      <c r="U72" s="25">
        <f>RANK(INDEX(KOMBI!$A$11:$GI$145,MATCH('KSH järjestus'!$C72,KOMBI!$A$11:$A$145,0),MATCH('KSH järjestus'!U$3,KOMBI!$A$1:$GI$1,0)),BR$4:BR$138,U$2)</f>
        <v>82</v>
      </c>
      <c r="AA72" s="25">
        <f>RANK(INDEX(KOMBI!$A$11:$GI$145,MATCH('KSH järjestus'!$C72,KOMBI!$A$11:$A$145,0),MATCH('KSH järjestus'!AA$3,KOMBI!$A$1:$GI$1,0)),BX$4:BX$138,AA$2)</f>
        <v>61</v>
      </c>
      <c r="AB72" s="25">
        <f>RANK(INDEX(KOMBI!$A$11:$GI$145,MATCH('KSH järjestus'!$C72,KOMBI!$A$11:$A$145,0),MATCH('KSH järjestus'!AB$3,KOMBI!$A$1:$GI$1,0)),BY$4:BY$138,AB$2)</f>
        <v>64</v>
      </c>
      <c r="AC72" s="25">
        <f>RANK(INDEX(KOMBI!$A$11:$GI$145,MATCH('KSH järjestus'!$C72,KOMBI!$A$11:$A$145,0),MATCH('KSH järjestus'!AC$3,KOMBI!$A$1:$GI$1,0)),BZ$4:BZ$138,AC$2)</f>
        <v>33</v>
      </c>
      <c r="AD72" s="25">
        <f>RANK(INDEX(KOMBI!$A$11:$GI$145,MATCH('KSH järjestus'!$C72,KOMBI!$A$11:$A$145,0),MATCH('KSH järjestus'!AD$3,KOMBI!$A$1:$GI$1,0)),CA$4:CA$138,AD$2)</f>
        <v>77</v>
      </c>
      <c r="AE72" s="25">
        <f>RANK(INDEX(KOMBI!$A$11:$GI$145,MATCH('KSH järjestus'!$C72,KOMBI!$A$11:$A$145,0),MATCH('KSH järjestus'!AE$3,KOMBI!$A$1:$GI$1,0)),CB$4:CB$138,AE$2)</f>
        <v>72</v>
      </c>
      <c r="AG72" s="25">
        <f>RANK(INDEX(KOMBI!$A$11:$GI$145,MATCH('KSH järjestus'!$C72,KOMBI!$A$11:$A$145,0),MATCH('KSH järjestus'!AG$3,KOMBI!$A$1:$GI$1,0)),CD$4:CD$138,AG$2)</f>
        <v>49</v>
      </c>
      <c r="AH72" s="25">
        <f>RANK(INDEX(KOMBI!$A$11:$GI$145,MATCH('KSH järjestus'!$C72,KOMBI!$A$11:$A$145,0),MATCH('KSH järjestus'!AH$3,KOMBI!$A$1:$GI$1,0)),CE$4:CE$138,AH$2)</f>
        <v>76</v>
      </c>
      <c r="AI72" s="25">
        <f>RANK(INDEX(KOMBI!$A$11:$GI$145,MATCH('KSH järjestus'!$C72,KOMBI!$A$11:$A$145,0),MATCH('KSH järjestus'!AI$3,KOMBI!$A$1:$GI$1,0)),CF$4:CF$138,AI$2)</f>
        <v>64</v>
      </c>
      <c r="AJ72" s="25">
        <f>RANK(INDEX(KOMBI!$A$11:$GI$145,MATCH('KSH järjestus'!$C72,KOMBI!$A$11:$A$145,0),MATCH('KSH järjestus'!AJ$3,KOMBI!$A$1:$GI$1,0)),CG$4:CG$138,AJ$2)</f>
        <v>13</v>
      </c>
      <c r="AK72" s="25">
        <f>RANK(INDEX(KOMBI!$A$11:$GI$145,MATCH('KSH järjestus'!$C72,KOMBI!$A$11:$A$145,0),MATCH('KSH järjestus'!AK$3,KOMBI!$A$1:$GI$1,0)),CH$4:CH$138,AK$2)</f>
        <v>34</v>
      </c>
      <c r="AN72" s="25">
        <f>RANK(INDEX(KOMBI!$A$11:$GI$145,MATCH('KSH järjestus'!$C72,KOMBI!$A$11:$A$145,0),MATCH('KSH järjestus'!AN$3,KOMBI!$A$1:$GI$1,0)),CK$4:CK$138,AN$2)</f>
        <v>46</v>
      </c>
      <c r="AO72" s="25">
        <f>RANK(INDEX(KOMBI!$A$11:$GI$145,MATCH('KSH järjestus'!$C72,KOMBI!$A$11:$A$145,0),MATCH('KSH järjestus'!AO$3,KOMBI!$A$1:$GI$1,0)),CL$4:CL$138,AO$2)</f>
        <v>46</v>
      </c>
      <c r="AS72" s="297">
        <f t="shared" si="4"/>
        <v>1190</v>
      </c>
      <c r="AT72" s="25">
        <f t="shared" si="5"/>
        <v>1499</v>
      </c>
      <c r="AU72" s="25">
        <f t="shared" si="6"/>
        <v>95</v>
      </c>
      <c r="AV72" s="295" t="str">
        <f>VLOOKUP(VLOOKUP($AU72,KOMBI!$A:$H,3,FALSE),data!$I$27:$J$29,2,FALSE)</f>
        <v>Mittesekkuv</v>
      </c>
      <c r="AW72" s="295" t="str">
        <f>VLOOKUP(VLOOKUP($AU72,KOMBI!$A:$H,2,FALSE),data!$I$21:$J$23,2,FALSE)</f>
        <v>Sekkuv</v>
      </c>
      <c r="AX72" s="295" t="str">
        <f>VLOOKUP(VLOOKUP($AU72,KOMBI!$A:$H,5,FALSE),data!$I$39:$J$41,2,FALSE)</f>
        <v>Vähe-sekkuv</v>
      </c>
      <c r="AY72" s="295" t="str">
        <f>VLOOKUP(VLOOKUP($AU72,KOMBI!$A:$H,4,FALSE),data!$I$32:$J$36,2,FALSE)</f>
        <v>LIB+</v>
      </c>
      <c r="BA72" s="25">
        <f t="array" ref="BA72">INDEX(KOMBI!$A$1:$GI$145,ROW('KSH järjestus'!BA79),MATCH('KSH järjestus'!BA$3,KOMBI!$A$1:$GI$1,0))</f>
        <v>5.5455387372372762</v>
      </c>
      <c r="BB72" s="25">
        <f t="array" ref="BB72">INDEX(KOMBI!$A$1:$GI$145,ROW('KSH järjestus'!BB79),MATCH('KSH järjestus'!BB$3,KOMBI!$A$1:$GI$1,0))</f>
        <v>551.96151073470639</v>
      </c>
      <c r="BC72" s="25">
        <f t="array" aca="1" ref="BC72" ca="1">INDEX(KOMBI!$A$1:$GI$145,ROW('KSH järjestus'!BC79),MATCH('KSH järjestus'!BC$3,KOMBI!$A$1:$GI$1,0))</f>
        <v>102.32402826923649</v>
      </c>
      <c r="BD72" s="25">
        <f t="array" ref="BD72">INDEX(KOMBI!$A$1:$GI$145,ROW('KSH järjestus'!BD79),MATCH('KSH järjestus'!BD$3,KOMBI!$A$1:$GI$1,0))</f>
        <v>-96.182063699091032</v>
      </c>
      <c r="BE72" s="25">
        <f t="array" ref="BE72">INDEX(KOMBI!$A$1:$GI$145,ROW('KSH järjestus'!BE79),MATCH('KSH järjestus'!BE$3,KOMBI!$A$1:$GI$1,0))</f>
        <v>198.50609196832752</v>
      </c>
      <c r="BF72" s="25">
        <f t="array" aca="1" ref="BF72" ca="1">INDEX(KOMBI!$A$1:$GI$145,ROW('KSH järjestus'!BF79),MATCH('KSH järjestus'!BF$3,KOMBI!$A$1:$GI$1,0))</f>
        <v>0</v>
      </c>
      <c r="BG72" s="25">
        <f t="array" ref="BG72">INDEX(KOMBI!$A$1:$GI$145,ROW('KSH järjestus'!BG79),MATCH('KSH järjestus'!BG$3,KOMBI!$A$1:$GI$1,0))</f>
        <v>0.50338040312452959</v>
      </c>
      <c r="BH72" s="25">
        <f t="array" ref="BH72">INDEX(KOMBI!$A$1:$GI$145,ROW('KSH järjestus'!BH79),MATCH('KSH järjestus'!BH$3,KOMBI!$A$1:$GI$1,0))</f>
        <v>90</v>
      </c>
      <c r="BI72" s="25">
        <f t="array" ref="BI72">INDEX(KOMBI!$A$1:$GI$145,ROW('KSH järjestus'!BI79),MATCH('KSH järjestus'!BI$3,KOMBI!$A$1:$GI$1,0))</f>
        <v>0.84317482403548605</v>
      </c>
      <c r="BJ72" s="25">
        <f t="array" ref="BJ72">INDEX(KOMBI!$A$1:$GI$145,ROW('KSH järjestus'!BJ79),MATCH('KSH järjestus'!BJ$3,KOMBI!$A$1:$GI$1,0))</f>
        <v>6.6265060240963902E-2</v>
      </c>
      <c r="BK72" s="25">
        <f t="array" ref="BK72">INDEX(KOMBI!$A$1:$GI$145,ROW('KSH järjestus'!BK79),MATCH('KSH järjestus'!BK$3,KOMBI!$A$1:$GI$1,0))</f>
        <v>0.37462130684838824</v>
      </c>
      <c r="BL72" s="25">
        <f t="array" ref="BL72">INDEX(KOMBI!$A$1:$GI$145,ROW('KSH järjestus'!BL79),MATCH('KSH järjestus'!BL$3,KOMBI!$A$1:$GI$1,0))</f>
        <v>2.1985458990108467E-2</v>
      </c>
      <c r="BM72" s="25">
        <f t="array" ref="BM72">INDEX(KOMBI!$A$1:$GI$145,ROW('KSH järjestus'!BM79),MATCH('KSH järjestus'!BM$3,KOMBI!$A$1:$GI$1,0))</f>
        <v>-1.4105491411398646E-3</v>
      </c>
      <c r="BN72" s="25">
        <f t="array" ref="BN72">INDEX(KOMBI!$A$1:$GI$145,ROW('KSH järjestus'!BN79),MATCH('KSH järjestus'!BN$3,KOMBI!$A$1:$GI$1,0))</f>
        <v>6.5608272486849528E-3</v>
      </c>
      <c r="BO72" s="25">
        <f t="array" ref="BO72">INDEX(KOMBI!$A$1:$GI$145,ROW('KSH järjestus'!BO79),MATCH('KSH järjestus'!BO$3,KOMBI!$A$1:$GI$1,0))</f>
        <v>1.5585765595096779E-2</v>
      </c>
      <c r="BP72" s="25">
        <f t="array" ref="BP72">INDEX(KOMBI!$A$1:$GI$145,ROW('KSH järjestus'!BP79),MATCH('KSH järjestus'!BP$3,KOMBI!$A$1:$GI$1,0))</f>
        <v>7.7863156794471022</v>
      </c>
      <c r="BQ72" s="25">
        <f t="array" ref="BQ72">INDEX(KOMBI!$A$1:$GI$145,ROW('KSH järjestus'!BQ79),MATCH('KSH järjestus'!BQ$3,KOMBI!$A$1:$GI$1,0))</f>
        <v>10.74</v>
      </c>
      <c r="BR72" s="25">
        <f t="array" ref="BR72">INDEX(KOMBI!$A$1:$GI$145,ROW('KSH järjestus'!BR79),MATCH('KSH järjestus'!BR$3,KOMBI!$A$1:$GI$1,0))</f>
        <v>-2.0356674232657662E-2</v>
      </c>
      <c r="BS72" s="25">
        <f t="array" ref="BS72">INDEX(KOMBI!$A$1:$GI$145,ROW('KSH järjestus'!BS79),MATCH('KSH järjestus'!BS$3,KOMBI!$A$1:$GI$1,0))</f>
        <v>-2.9487449090143669E-2</v>
      </c>
      <c r="BT72" s="25">
        <f t="array" ref="BT72">INDEX(KOMBI!$A$1:$GI$145,ROW('KSH järjestus'!BT79),MATCH('KSH järjestus'!BT$3,KOMBI!$A$1:$GI$1,0))</f>
        <v>-4.0703255462129738E-2</v>
      </c>
      <c r="BU72" s="25">
        <f t="array" ref="BU72">INDEX(KOMBI!$A$1:$GI$145,ROW('KSH järjestus'!BU79),MATCH('KSH järjestus'!BU$3,KOMBI!$A$1:$GI$1,0))</f>
        <v>8.4199419404241382</v>
      </c>
      <c r="BV72" s="25">
        <f t="array" ref="BV72">INDEX(KOMBI!$A$1:$GI$145,ROW('KSH järjestus'!BV79),MATCH('KSH järjestus'!BV$3,KOMBI!$A$1:$GI$1,0))</f>
        <v>5.0650000000000004</v>
      </c>
      <c r="BW72" s="25">
        <f t="array" ref="BW72">INDEX(KOMBI!$A$1:$GI$145,ROW('KSH järjestus'!BW79),MATCH('KSH järjestus'!BW$3,KOMBI!$A$1:$GI$1,0))</f>
        <v>3.1445823271229703</v>
      </c>
      <c r="BX72" s="25">
        <f t="array" ref="BX72">INDEX(KOMBI!$A$1:$GI$145,ROW('KSH järjestus'!BX79),MATCH('KSH järjestus'!BX$3,KOMBI!$A$1:$GI$1,0))</f>
        <v>18.184861099430584</v>
      </c>
      <c r="BY72" s="25">
        <f t="array" ref="BY72">INDEX(KOMBI!$A$1:$GI$145,ROW('KSH järjestus'!BY79),MATCH('KSH järjestus'!BY$3,KOMBI!$A$1:$GI$1,0))</f>
        <v>11.872324637900011</v>
      </c>
      <c r="BZ72" s="25">
        <f t="array" ref="BZ72">INDEX(KOMBI!$A$1:$GI$145,ROW('KSH järjestus'!BZ79),MATCH('KSH järjestus'!BZ$3,KOMBI!$A$1:$GI$1,0))</f>
        <v>71</v>
      </c>
      <c r="CA72" s="25">
        <f t="array" ref="CA72">INDEX(KOMBI!$A$1:$GI$145,ROW('KSH järjestus'!CA79),MATCH('KSH järjestus'!CA$3,KOMBI!$A$1:$GI$1,0))</f>
        <v>14.378</v>
      </c>
      <c r="CB72" s="25">
        <f t="array" ref="CB72">INDEX(KOMBI!$A$1:$GI$145,ROW('KSH järjestus'!CB79),MATCH('KSH järjestus'!CB$3,KOMBI!$A$1:$GI$1,0))</f>
        <v>63.728611111111107</v>
      </c>
      <c r="CC72" s="25">
        <f t="array" ref="CC72">INDEX(KOMBI!$A$1:$GI$145,ROW('KSH järjestus'!CC79),MATCH('KSH järjestus'!CC$3,KOMBI!$A$1:$GI$1,0))</f>
        <v>5.1203849999999997</v>
      </c>
      <c r="CD72" s="25">
        <f t="array" ref="CD72">INDEX(KOMBI!$A$1:$GI$145,ROW('KSH järjestus'!CD79),MATCH('KSH järjestus'!CD$3,KOMBI!$A$1:$GI$1,0))</f>
        <v>306.45</v>
      </c>
      <c r="CE72" s="25">
        <f t="array" ref="CE72">INDEX(KOMBI!$A$1:$GI$145,ROW('KSH järjestus'!CE79),MATCH('KSH järjestus'!CE$3,KOMBI!$A$1:$GI$1,0))</f>
        <v>2.9929999999999999</v>
      </c>
      <c r="CF72" s="25">
        <f t="array" ref="CF72">INDEX(KOMBI!$A$1:$GI$145,ROW('KSH järjestus'!CF79),MATCH('KSH järjestus'!CF$3,KOMBI!$A$1:$GI$1,0))</f>
        <v>48.250678294573639</v>
      </c>
      <c r="CG72" s="25">
        <f t="array" ref="CG72">INDEX(KOMBI!$A$1:$GI$145,ROW('KSH järjestus'!CG79),MATCH('KSH järjestus'!CG$3,KOMBI!$A$1:$GI$1,0))</f>
        <v>8.2108534803349301E-2</v>
      </c>
      <c r="CH72" s="25">
        <f t="array" ref="CH72">INDEX(KOMBI!$A$1:$GI$145,ROW('KSH järjestus'!CH79),MATCH('KSH järjestus'!CH$3,KOMBI!$A$1:$GI$1,0))</f>
        <v>0.45232475218626439</v>
      </c>
      <c r="CI72" s="25">
        <f t="array" ref="CI72">INDEX(KOMBI!$A$1:$GI$145,ROW('KSH järjestus'!CI79),MATCH('KSH järjestus'!CI$3,KOMBI!$A$1:$GI$1,0))</f>
        <v>6.28</v>
      </c>
      <c r="CJ72" s="25">
        <f t="array" ref="CJ72">INDEX(KOMBI!$A$1:$GI$145,ROW('KSH järjestus'!CJ79),MATCH('KSH järjestus'!CJ$3,KOMBI!$A$1:$GI$1,0))</f>
        <v>4.3663823271229703</v>
      </c>
      <c r="CK72" s="25">
        <f t="array" ref="CK72">INDEX(KOMBI!$A$1:$GI$145,ROW('KSH järjestus'!CK79),MATCH('KSH järjestus'!CK$3,KOMBI!$A$1:$GI$1,0))</f>
        <v>0.21099999999999999</v>
      </c>
      <c r="CL72" s="25">
        <f t="array" ref="CL72">INDEX(KOMBI!$A$1:$GI$145,ROW('KSH järjestus'!CL79),MATCH('KSH järjestus'!CL$3,KOMBI!$A$1:$GI$1,0))</f>
        <v>0.76300000000000001</v>
      </c>
    </row>
    <row r="73" spans="3:90" x14ac:dyDescent="0.2">
      <c r="C73" s="184">
        <v>70</v>
      </c>
      <c r="G73" s="25">
        <f>RANK(INDEX(KOMBI!$A$11:$GI$145,MATCH('KSH järjestus'!$C73,KOMBI!$A$11:$A$145,0),MATCH('KSH järjestus'!G$3,KOMBI!$A$1:$GI$1,0)),BD$4:BD$138,G$2)</f>
        <v>81</v>
      </c>
      <c r="H73" s="25">
        <f>RANK(INDEX(KOMBI!$A$11:$GI$145,MATCH('KSH järjestus'!$C73,KOMBI!$A$11:$A$145,0),MATCH('KSH järjestus'!H$3,KOMBI!$A$1:$GI$1,0)),BE$4:BE$138,H$2)</f>
        <v>105</v>
      </c>
      <c r="J73" s="25">
        <f>RANK(INDEX(KOMBI!$A$11:$GI$145,MATCH('KSH järjestus'!$C73,KOMBI!$A$11:$A$145,0),MATCH('KSH järjestus'!J$3,KOMBI!$A$1:$GI$1,0)),BG$4:BG$138,J$2)</f>
        <v>129</v>
      </c>
      <c r="M73" s="25">
        <f>RANK(INDEX(KOMBI!$A$11:$GI$145,MATCH('KSH järjestus'!$C73,KOMBI!$A$11:$A$145,0),MATCH('KSH järjestus'!M$3,KOMBI!$A$1:$GI$1,0)),BJ$4:BJ$138,M$2)</f>
        <v>109</v>
      </c>
      <c r="N73" s="25">
        <f>RANK(INDEX(KOMBI!$A$11:$GI$145,MATCH('KSH järjestus'!$C73,KOMBI!$A$11:$A$145,0),MATCH('KSH järjestus'!N$3,KOMBI!$A$1:$GI$1,0)),BK$4:BK$138,N$2)</f>
        <v>13</v>
      </c>
      <c r="O73" s="25">
        <f>RANK(INDEX(KOMBI!$A$11:$GI$145,MATCH('KSH järjestus'!$C73,KOMBI!$A$11:$A$145,0),MATCH('KSH järjestus'!O$3,KOMBI!$A$1:$GI$1,0)),BL$4:BL$138,O$2)</f>
        <v>113</v>
      </c>
      <c r="P73" s="25">
        <f>RANK(INDEX(KOMBI!$A$11:$GI$145,MATCH('KSH järjestus'!$C73,KOMBI!$A$11:$A$145,0),MATCH('KSH järjestus'!P$3,KOMBI!$A$1:$GI$1,0)),BM$4:BM$138,P$2)</f>
        <v>68</v>
      </c>
      <c r="Q73" s="25">
        <f>RANK(INDEX(KOMBI!$A$11:$GI$145,MATCH('KSH järjestus'!$C73,KOMBI!$A$11:$A$145,0),MATCH('KSH järjestus'!Q$3,KOMBI!$A$1:$GI$1,0)),BN$4:BN$138,Q$2)</f>
        <v>114</v>
      </c>
      <c r="R73" s="25">
        <f>RANK(INDEX(KOMBI!$A$11:$GI$145,MATCH('KSH järjestus'!$C73,KOMBI!$A$11:$A$145,0),MATCH('KSH järjestus'!R$3,KOMBI!$A$1:$GI$1,0)),BO$4:BO$138,R$2)</f>
        <v>111</v>
      </c>
      <c r="T73" s="25">
        <f>RANK(INDEX(KOMBI!$A$11:$GI$145,MATCH('KSH järjestus'!$C73,KOMBI!$A$11:$A$145,0),MATCH('KSH järjestus'!T$3,KOMBI!$A$1:$GI$1,0)),BQ$4:BQ$138,T$2)</f>
        <v>17</v>
      </c>
      <c r="U73" s="25">
        <f>RANK(INDEX(KOMBI!$A$11:$GI$145,MATCH('KSH järjestus'!$C73,KOMBI!$A$11:$A$145,0),MATCH('KSH järjestus'!U$3,KOMBI!$A$1:$GI$1,0)),BR$4:BR$138,U$2)</f>
        <v>14</v>
      </c>
      <c r="AA73" s="25">
        <f>RANK(INDEX(KOMBI!$A$11:$GI$145,MATCH('KSH järjestus'!$C73,KOMBI!$A$11:$A$145,0),MATCH('KSH järjestus'!AA$3,KOMBI!$A$1:$GI$1,0)),BX$4:BX$138,AA$2)</f>
        <v>40</v>
      </c>
      <c r="AB73" s="25">
        <f>RANK(INDEX(KOMBI!$A$11:$GI$145,MATCH('KSH järjestus'!$C73,KOMBI!$A$11:$A$145,0),MATCH('KSH järjestus'!AB$3,KOMBI!$A$1:$GI$1,0)),BY$4:BY$138,AB$2)</f>
        <v>13</v>
      </c>
      <c r="AC73" s="25">
        <f>RANK(INDEX(KOMBI!$A$11:$GI$145,MATCH('KSH järjestus'!$C73,KOMBI!$A$11:$A$145,0),MATCH('KSH järjestus'!AC$3,KOMBI!$A$1:$GI$1,0)),BZ$4:BZ$138,AC$2)</f>
        <v>68</v>
      </c>
      <c r="AD73" s="25">
        <f>RANK(INDEX(KOMBI!$A$11:$GI$145,MATCH('KSH järjestus'!$C73,KOMBI!$A$11:$A$145,0),MATCH('KSH järjestus'!AD$3,KOMBI!$A$1:$GI$1,0)),CA$4:CA$138,AD$2)</f>
        <v>11</v>
      </c>
      <c r="AE73" s="25">
        <f>RANK(INDEX(KOMBI!$A$11:$GI$145,MATCH('KSH järjestus'!$C73,KOMBI!$A$11:$A$145,0),MATCH('KSH järjestus'!AE$3,KOMBI!$A$1:$GI$1,0)),CB$4:CB$138,AE$2)</f>
        <v>11</v>
      </c>
      <c r="AG73" s="25">
        <f>RANK(INDEX(KOMBI!$A$11:$GI$145,MATCH('KSH järjestus'!$C73,KOMBI!$A$11:$A$145,0),MATCH('KSH järjestus'!AG$3,KOMBI!$A$1:$GI$1,0)),CD$4:CD$138,AG$2)</f>
        <v>58</v>
      </c>
      <c r="AH73" s="25">
        <f>RANK(INDEX(KOMBI!$A$11:$GI$145,MATCH('KSH järjestus'!$C73,KOMBI!$A$11:$A$145,0),MATCH('KSH järjestus'!AH$3,KOMBI!$A$1:$GI$1,0)),CE$4:CE$138,AH$2)</f>
        <v>76</v>
      </c>
      <c r="AI73" s="25">
        <f>RANK(INDEX(KOMBI!$A$11:$GI$145,MATCH('KSH järjestus'!$C73,KOMBI!$A$11:$A$145,0),MATCH('KSH järjestus'!AI$3,KOMBI!$A$1:$GI$1,0)),CF$4:CF$138,AI$2)</f>
        <v>22</v>
      </c>
      <c r="AJ73" s="25">
        <f>RANK(INDEX(KOMBI!$A$11:$GI$145,MATCH('KSH järjestus'!$C73,KOMBI!$A$11:$A$145,0),MATCH('KSH järjestus'!AJ$3,KOMBI!$A$1:$GI$1,0)),CG$4:CG$138,AJ$2)</f>
        <v>76</v>
      </c>
      <c r="AK73" s="25">
        <f>RANK(INDEX(KOMBI!$A$11:$GI$145,MATCH('KSH järjestus'!$C73,KOMBI!$A$11:$A$145,0),MATCH('KSH järjestus'!AK$3,KOMBI!$A$1:$GI$1,0)),CH$4:CH$138,AK$2)</f>
        <v>22</v>
      </c>
      <c r="AN73" s="25">
        <f>RANK(INDEX(KOMBI!$A$11:$GI$145,MATCH('KSH järjestus'!$C73,KOMBI!$A$11:$A$145,0),MATCH('KSH järjestus'!AN$3,KOMBI!$A$1:$GI$1,0)),CK$4:CK$138,AN$2)</f>
        <v>46</v>
      </c>
      <c r="AO73" s="25">
        <f>RANK(INDEX(KOMBI!$A$11:$GI$145,MATCH('KSH järjestus'!$C73,KOMBI!$A$11:$A$145,0),MATCH('KSH järjestus'!AO$3,KOMBI!$A$1:$GI$1,0)),CL$4:CL$138,AO$2)</f>
        <v>46</v>
      </c>
      <c r="AS73" s="297">
        <f t="shared" si="4"/>
        <v>1363</v>
      </c>
      <c r="AT73" s="25">
        <f t="shared" si="5"/>
        <v>1543</v>
      </c>
      <c r="AU73" s="25">
        <f t="shared" si="6"/>
        <v>62</v>
      </c>
      <c r="AV73" s="295" t="str">
        <f>VLOOKUP(VLOOKUP($AU73,KOMBI!$A:$H,3,FALSE),data!$I$27:$J$29,2,FALSE)</f>
        <v>Vähe-sekkuv</v>
      </c>
      <c r="AW73" s="295" t="str">
        <f>VLOOKUP(VLOOKUP($AU73,KOMBI!$A:$H,2,FALSE),data!$I$21:$J$23,2,FALSE)</f>
        <v>Vähe-sekkuv</v>
      </c>
      <c r="AX73" s="295" t="str">
        <f>VLOOKUP(VLOOKUP($AU73,KOMBI!$A:$H,5,FALSE),data!$I$39:$J$41,2,FALSE)</f>
        <v>Vähe-sekkuv</v>
      </c>
      <c r="AY73" s="295" t="str">
        <f>VLOOKUP(VLOOKUP($AU73,KOMBI!$A:$H,4,FALSE),data!$I$32:$J$36,2,FALSE)</f>
        <v>LIB</v>
      </c>
      <c r="BA73" s="25">
        <f t="array" ref="BA73">INDEX(KOMBI!$A$1:$GI$145,ROW('KSH järjestus'!BA80),MATCH('KSH järjestus'!BA$3,KOMBI!$A$1:$GI$1,0))</f>
        <v>7.6192286152863584</v>
      </c>
      <c r="BB73" s="25">
        <f t="array" ref="BB73">INDEX(KOMBI!$A$1:$GI$145,ROW('KSH järjestus'!BB80),MATCH('KSH järjestus'!BB$3,KOMBI!$A$1:$GI$1,0))</f>
        <v>217.46032460662639</v>
      </c>
      <c r="BC73" s="25">
        <f t="array" aca="1" ref="BC73" ca="1">INDEX(KOMBI!$A$1:$GI$145,ROW('KSH järjestus'!BC80),MATCH('KSH järjestus'!BC$3,KOMBI!$A$1:$GI$1,0))</f>
        <v>46.977492044317103</v>
      </c>
      <c r="BD73" s="25">
        <f t="array" ref="BD73">INDEX(KOMBI!$A$1:$GI$145,ROW('KSH järjestus'!BD80),MATCH('KSH järjestus'!BD$3,KOMBI!$A$1:$GI$1,0))</f>
        <v>-61.841250000000002</v>
      </c>
      <c r="BE73" s="25">
        <f t="array" ref="BE73">INDEX(KOMBI!$A$1:$GI$145,ROW('KSH järjestus'!BE80),MATCH('KSH järjestus'!BE$3,KOMBI!$A$1:$GI$1,0))</f>
        <v>108.8187420443171</v>
      </c>
      <c r="BF73" s="25">
        <f t="array" aca="1" ref="BF73" ca="1">INDEX(KOMBI!$A$1:$GI$145,ROW('KSH järjestus'!BF80),MATCH('KSH järjestus'!BF$3,KOMBI!$A$1:$GI$1,0))</f>
        <v>0</v>
      </c>
      <c r="BG73" s="25">
        <f t="array" ref="BG73">INDEX(KOMBI!$A$1:$GI$145,ROW('KSH järjestus'!BG80),MATCH('KSH järjestus'!BG$3,KOMBI!$A$1:$GI$1,0))</f>
        <v>0.66892918424214276</v>
      </c>
      <c r="BH73" s="25">
        <f t="array" ref="BH73">INDEX(KOMBI!$A$1:$GI$145,ROW('KSH järjestus'!BH80),MATCH('KSH järjestus'!BH$3,KOMBI!$A$1:$GI$1,0))</f>
        <v>90</v>
      </c>
      <c r="BI73" s="25">
        <f t="array" ref="BI73">INDEX(KOMBI!$A$1:$GI$145,ROW('KSH järjestus'!BI80),MATCH('KSH järjestus'!BI$3,KOMBI!$A$1:$GI$1,0))</f>
        <v>1</v>
      </c>
      <c r="BJ73" s="25">
        <f t="array" ref="BJ73">INDEX(KOMBI!$A$1:$GI$145,ROW('KSH järjestus'!BJ80),MATCH('KSH järjestus'!BJ$3,KOMBI!$A$1:$GI$1,0))</f>
        <v>0.36609829488465395</v>
      </c>
      <c r="BK73" s="25">
        <f t="array" ref="BK73">INDEX(KOMBI!$A$1:$GI$145,ROW('KSH järjestus'!BK80),MATCH('KSH järjestus'!BK$3,KOMBI!$A$1:$GI$1,0))</f>
        <v>0.57944895681543473</v>
      </c>
      <c r="BL73" s="25">
        <f t="array" ref="BL73">INDEX(KOMBI!$A$1:$GI$145,ROW('KSH järjestus'!BL80),MATCH('KSH järjestus'!BL$3,KOMBI!$A$1:$GI$1,0))</f>
        <v>8.5884740687231474E-3</v>
      </c>
      <c r="BM73" s="25">
        <f t="array" ref="BM73">INDEX(KOMBI!$A$1:$GI$145,ROW('KSH järjestus'!BM80),MATCH('KSH järjestus'!BM$3,KOMBI!$A$1:$GI$1,0))</f>
        <v>1.3735050370971562E-3</v>
      </c>
      <c r="BN73" s="25">
        <f t="array" ref="BN73">INDEX(KOMBI!$A$1:$GI$145,ROW('KSH järjestus'!BN80),MATCH('KSH järjestus'!BN$3,KOMBI!$A$1:$GI$1,0))</f>
        <v>7.9742280149114331E-4</v>
      </c>
      <c r="BO73" s="25">
        <f t="array" ref="BO73">INDEX(KOMBI!$A$1:$GI$145,ROW('KSH järjestus'!BO80),MATCH('KSH järjestus'!BO$3,KOMBI!$A$1:$GI$1,0))</f>
        <v>7.8191505335664328E-3</v>
      </c>
      <c r="BP73" s="25">
        <f t="array" ref="BP73">INDEX(KOMBI!$A$1:$GI$145,ROW('KSH järjestus'!BP80),MATCH('KSH järjestus'!BP$3,KOMBI!$A$1:$GI$1,0))</f>
        <v>7.8158313570900955</v>
      </c>
      <c r="BQ73" s="25">
        <f t="array" ref="BQ73">INDEX(KOMBI!$A$1:$GI$145,ROW('KSH järjestus'!BQ80),MATCH('KSH järjestus'!BQ$3,KOMBI!$A$1:$GI$1,0))</f>
        <v>9.8789999999999996</v>
      </c>
      <c r="BR73" s="25">
        <f t="array" ref="BR73">INDEX(KOMBI!$A$1:$GI$145,ROW('KSH järjestus'!BR80),MATCH('KSH järjestus'!BR$3,KOMBI!$A$1:$GI$1,0))</f>
        <v>-4.9049831344661468E-2</v>
      </c>
      <c r="BS73" s="25">
        <f t="array" ref="BS73">INDEX(KOMBI!$A$1:$GI$145,ROW('KSH järjestus'!BS80),MATCH('KSH järjestus'!BS$3,KOMBI!$A$1:$GI$1,0))</f>
        <v>-0.17195480623253859</v>
      </c>
      <c r="BT73" s="25">
        <f t="array" ref="BT73">INDEX(KOMBI!$A$1:$GI$145,ROW('KSH järjestus'!BT80),MATCH('KSH järjestus'!BT$3,KOMBI!$A$1:$GI$1,0))</f>
        <v>-9.25577614184874E-2</v>
      </c>
      <c r="BU73" s="25">
        <f t="array" ref="BU73">INDEX(KOMBI!$A$1:$GI$145,ROW('KSH järjestus'!BU80),MATCH('KSH järjestus'!BU$3,KOMBI!$A$1:$GI$1,0))</f>
        <v>4.7490567987315107</v>
      </c>
      <c r="BV73" s="25">
        <f t="array" ref="BV73">INDEX(KOMBI!$A$1:$GI$145,ROW('KSH järjestus'!BV80),MATCH('KSH järjestus'!BV$3,KOMBI!$A$1:$GI$1,0))</f>
        <v>1.337</v>
      </c>
      <c r="BW73" s="25">
        <f t="array" ref="BW73">INDEX(KOMBI!$A$1:$GI$145,ROW('KSH järjestus'!BW80),MATCH('KSH järjestus'!BW$3,KOMBI!$A$1:$GI$1,0))</f>
        <v>2.5583823271229704</v>
      </c>
      <c r="BX73" s="25">
        <f t="array" ref="BX73">INDEX(KOMBI!$A$1:$GI$145,ROW('KSH järjestus'!BX80),MATCH('KSH järjestus'!BX$3,KOMBI!$A$1:$GI$1,0))</f>
        <v>17.748721793242819</v>
      </c>
      <c r="BY73" s="25">
        <f t="array" ref="BY73">INDEX(KOMBI!$A$1:$GI$145,ROW('KSH järjestus'!BY80),MATCH('KSH järjestus'!BY$3,KOMBI!$A$1:$GI$1,0))</f>
        <v>6.6589454627726345</v>
      </c>
      <c r="BZ73" s="25">
        <f t="array" ref="BZ73">INDEX(KOMBI!$A$1:$GI$145,ROW('KSH järjestus'!BZ80),MATCH('KSH järjestus'!BZ$3,KOMBI!$A$1:$GI$1,0))</f>
        <v>76</v>
      </c>
      <c r="CA73" s="25">
        <f t="array" ref="CA73">INDEX(KOMBI!$A$1:$GI$145,ROW('KSH järjestus'!CA80),MATCH('KSH järjestus'!CA$3,KOMBI!$A$1:$GI$1,0))</f>
        <v>9.9169999999999998</v>
      </c>
      <c r="CB73" s="25">
        <f t="array" ref="CB73">INDEX(KOMBI!$A$1:$GI$145,ROW('KSH järjestus'!CB80),MATCH('KSH järjestus'!CB$3,KOMBI!$A$1:$GI$1,0))</f>
        <v>39.44166666666667</v>
      </c>
      <c r="CC73" s="25">
        <f t="array" ref="CC73">INDEX(KOMBI!$A$1:$GI$145,ROW('KSH järjestus'!CC80),MATCH('KSH järjestus'!CC$3,KOMBI!$A$1:$GI$1,0))</f>
        <v>4.0237220000000002</v>
      </c>
      <c r="CD73" s="25">
        <f t="array" ref="CD73">INDEX(KOMBI!$A$1:$GI$145,ROW('KSH järjestus'!CD80),MATCH('KSH järjestus'!CD$3,KOMBI!$A$1:$GI$1,0))</f>
        <v>306.55</v>
      </c>
      <c r="CE73" s="25">
        <f t="array" ref="CE73">INDEX(KOMBI!$A$1:$GI$145,ROW('KSH järjestus'!CE80),MATCH('KSH järjestus'!CE$3,KOMBI!$A$1:$GI$1,0))</f>
        <v>2.9929999999999999</v>
      </c>
      <c r="CF73" s="25">
        <f t="array" ref="CF73">INDEX(KOMBI!$A$1:$GI$145,ROW('KSH järjestus'!CF80),MATCH('KSH järjestus'!CF$3,KOMBI!$A$1:$GI$1,0))</f>
        <v>43.344166666666666</v>
      </c>
      <c r="CG73" s="25">
        <f t="array" ref="CG73">INDEX(KOMBI!$A$1:$GI$145,ROW('KSH järjestus'!CG80),MATCH('KSH järjestus'!CG$3,KOMBI!$A$1:$GI$1,0))</f>
        <v>2.2545055318885739E-2</v>
      </c>
      <c r="CH73" s="25">
        <f t="array" ref="CH73">INDEX(KOMBI!$A$1:$GI$145,ROW('KSH järjestus'!CH80),MATCH('KSH järjestus'!CH$3,KOMBI!$A$1:$GI$1,0))</f>
        <v>0.48628150217273425</v>
      </c>
      <c r="CI73" s="25">
        <f t="array" ref="CI73">INDEX(KOMBI!$A$1:$GI$145,ROW('KSH järjestus'!CI80),MATCH('KSH järjestus'!CI$3,KOMBI!$A$1:$GI$1,0))</f>
        <v>10.870000000000001</v>
      </c>
      <c r="CJ73" s="25">
        <f t="array" ref="CJ73">INDEX(KOMBI!$A$1:$GI$145,ROW('KSH järjestus'!CJ80),MATCH('KSH järjestus'!CJ$3,KOMBI!$A$1:$GI$1,0))</f>
        <v>3.3383823271229702</v>
      </c>
      <c r="CK73" s="25">
        <f t="array" ref="CK73">INDEX(KOMBI!$A$1:$GI$145,ROW('KSH järjestus'!CK80),MATCH('KSH järjestus'!CK$3,KOMBI!$A$1:$GI$1,0))</f>
        <v>0.21099999999999999</v>
      </c>
      <c r="CL73" s="25">
        <f t="array" ref="CL73">INDEX(KOMBI!$A$1:$GI$145,ROW('KSH järjestus'!CL80),MATCH('KSH järjestus'!CL$3,KOMBI!$A$1:$GI$1,0))</f>
        <v>0.76300000000000001</v>
      </c>
    </row>
    <row r="74" spans="3:90" x14ac:dyDescent="0.2">
      <c r="C74" s="184">
        <v>71</v>
      </c>
      <c r="G74" s="25">
        <f>RANK(INDEX(KOMBI!$A$11:$GI$145,MATCH('KSH järjestus'!$C74,KOMBI!$A$11:$A$145,0),MATCH('KSH järjestus'!G$3,KOMBI!$A$1:$GI$1,0)),BD$4:BD$138,G$2)</f>
        <v>66</v>
      </c>
      <c r="H74" s="25">
        <f>RANK(INDEX(KOMBI!$A$11:$GI$145,MATCH('KSH järjestus'!$C74,KOMBI!$A$11:$A$145,0),MATCH('KSH järjestus'!H$3,KOMBI!$A$1:$GI$1,0)),BE$4:BE$138,H$2)</f>
        <v>75</v>
      </c>
      <c r="J74" s="25">
        <f>RANK(INDEX(KOMBI!$A$11:$GI$145,MATCH('KSH järjestus'!$C74,KOMBI!$A$11:$A$145,0),MATCH('KSH järjestus'!J$3,KOMBI!$A$1:$GI$1,0)),BG$4:BG$138,J$2)</f>
        <v>117</v>
      </c>
      <c r="M74" s="25">
        <f>RANK(INDEX(KOMBI!$A$11:$GI$145,MATCH('KSH järjestus'!$C74,KOMBI!$A$11:$A$145,0),MATCH('KSH järjestus'!M$3,KOMBI!$A$1:$GI$1,0)),BJ$4:BJ$138,M$2)</f>
        <v>109</v>
      </c>
      <c r="N74" s="25">
        <f>RANK(INDEX(KOMBI!$A$11:$GI$145,MATCH('KSH järjestus'!$C74,KOMBI!$A$11:$A$145,0),MATCH('KSH järjestus'!N$3,KOMBI!$A$1:$GI$1,0)),BK$4:BK$138,N$2)</f>
        <v>13</v>
      </c>
      <c r="O74" s="25">
        <f>RANK(INDEX(KOMBI!$A$11:$GI$145,MATCH('KSH järjestus'!$C74,KOMBI!$A$11:$A$145,0),MATCH('KSH järjestus'!O$3,KOMBI!$A$1:$GI$1,0)),BL$4:BL$138,O$2)</f>
        <v>78</v>
      </c>
      <c r="P74" s="25">
        <f>RANK(INDEX(KOMBI!$A$11:$GI$145,MATCH('KSH järjestus'!$C74,KOMBI!$A$11:$A$145,0),MATCH('KSH järjestus'!P$3,KOMBI!$A$1:$GI$1,0)),BM$4:BM$138,P$2)</f>
        <v>90</v>
      </c>
      <c r="Q74" s="25">
        <f>RANK(INDEX(KOMBI!$A$11:$GI$145,MATCH('KSH järjestus'!$C74,KOMBI!$A$11:$A$145,0),MATCH('KSH järjestus'!Q$3,KOMBI!$A$1:$GI$1,0)),BN$4:BN$138,Q$2)</f>
        <v>82</v>
      </c>
      <c r="R74" s="25">
        <f>RANK(INDEX(KOMBI!$A$11:$GI$145,MATCH('KSH järjestus'!$C74,KOMBI!$A$11:$A$145,0),MATCH('KSH järjestus'!R$3,KOMBI!$A$1:$GI$1,0)),BO$4:BO$138,R$2)</f>
        <v>75</v>
      </c>
      <c r="T74" s="25">
        <f>RANK(INDEX(KOMBI!$A$11:$GI$145,MATCH('KSH järjestus'!$C74,KOMBI!$A$11:$A$145,0),MATCH('KSH järjestus'!T$3,KOMBI!$A$1:$GI$1,0)),BQ$4:BQ$138,T$2)</f>
        <v>22</v>
      </c>
      <c r="U74" s="25">
        <f>RANK(INDEX(KOMBI!$A$11:$GI$145,MATCH('KSH järjestus'!$C74,KOMBI!$A$11:$A$145,0),MATCH('KSH järjestus'!U$3,KOMBI!$A$1:$GI$1,0)),BR$4:BR$138,U$2)</f>
        <v>19</v>
      </c>
      <c r="AA74" s="25">
        <f>RANK(INDEX(KOMBI!$A$11:$GI$145,MATCH('KSH järjestus'!$C74,KOMBI!$A$11:$A$145,0),MATCH('KSH järjestus'!AA$3,KOMBI!$A$1:$GI$1,0)),BX$4:BX$138,AA$2)</f>
        <v>40</v>
      </c>
      <c r="AB74" s="25">
        <f>RANK(INDEX(KOMBI!$A$11:$GI$145,MATCH('KSH järjestus'!$C74,KOMBI!$A$11:$A$145,0),MATCH('KSH järjestus'!AB$3,KOMBI!$A$1:$GI$1,0)),BY$4:BY$138,AB$2)</f>
        <v>13</v>
      </c>
      <c r="AC74" s="25">
        <f>RANK(INDEX(KOMBI!$A$11:$GI$145,MATCH('KSH järjestus'!$C74,KOMBI!$A$11:$A$145,0),MATCH('KSH järjestus'!AC$3,KOMBI!$A$1:$GI$1,0)),BZ$4:BZ$138,AC$2)</f>
        <v>74</v>
      </c>
      <c r="AD74" s="25">
        <f>RANK(INDEX(KOMBI!$A$11:$GI$145,MATCH('KSH järjestus'!$C74,KOMBI!$A$11:$A$145,0),MATCH('KSH järjestus'!AD$3,KOMBI!$A$1:$GI$1,0)),CA$4:CA$138,AD$2)</f>
        <v>13</v>
      </c>
      <c r="AE74" s="25">
        <f>RANK(INDEX(KOMBI!$A$11:$GI$145,MATCH('KSH järjestus'!$C74,KOMBI!$A$11:$A$145,0),MATCH('KSH järjestus'!AE$3,KOMBI!$A$1:$GI$1,0)),CB$4:CB$138,AE$2)</f>
        <v>13</v>
      </c>
      <c r="AG74" s="25">
        <f>RANK(INDEX(KOMBI!$A$11:$GI$145,MATCH('KSH järjestus'!$C74,KOMBI!$A$11:$A$145,0),MATCH('KSH järjestus'!AG$3,KOMBI!$A$1:$GI$1,0)),CD$4:CD$138,AG$2)</f>
        <v>58</v>
      </c>
      <c r="AH74" s="25">
        <f>RANK(INDEX(KOMBI!$A$11:$GI$145,MATCH('KSH järjestus'!$C74,KOMBI!$A$11:$A$145,0),MATCH('KSH järjestus'!AH$3,KOMBI!$A$1:$GI$1,0)),CE$4:CE$138,AH$2)</f>
        <v>76</v>
      </c>
      <c r="AI74" s="25">
        <f>RANK(INDEX(KOMBI!$A$11:$GI$145,MATCH('KSH järjestus'!$C74,KOMBI!$A$11:$A$145,0),MATCH('KSH järjestus'!AI$3,KOMBI!$A$1:$GI$1,0)),CF$4:CF$138,AI$2)</f>
        <v>22</v>
      </c>
      <c r="AJ74" s="25">
        <f>RANK(INDEX(KOMBI!$A$11:$GI$145,MATCH('KSH järjestus'!$C74,KOMBI!$A$11:$A$145,0),MATCH('KSH järjestus'!AJ$3,KOMBI!$A$1:$GI$1,0)),CG$4:CG$138,AJ$2)</f>
        <v>76</v>
      </c>
      <c r="AK74" s="25">
        <f>RANK(INDEX(KOMBI!$A$11:$GI$145,MATCH('KSH järjestus'!$C74,KOMBI!$A$11:$A$145,0),MATCH('KSH järjestus'!AK$3,KOMBI!$A$1:$GI$1,0)),CH$4:CH$138,AK$2)</f>
        <v>22</v>
      </c>
      <c r="AN74" s="25">
        <f>RANK(INDEX(KOMBI!$A$11:$GI$145,MATCH('KSH järjestus'!$C74,KOMBI!$A$11:$A$145,0),MATCH('KSH järjestus'!AN$3,KOMBI!$A$1:$GI$1,0)),CK$4:CK$138,AN$2)</f>
        <v>46</v>
      </c>
      <c r="AO74" s="25">
        <f>RANK(INDEX(KOMBI!$A$11:$GI$145,MATCH('KSH järjestus'!$C74,KOMBI!$A$11:$A$145,0),MATCH('KSH järjestus'!AO$3,KOMBI!$A$1:$GI$1,0)),CL$4:CL$138,AO$2)</f>
        <v>46</v>
      </c>
      <c r="AS74" s="297">
        <f t="shared" si="4"/>
        <v>1245</v>
      </c>
      <c r="AT74" s="25">
        <f t="shared" si="5"/>
        <v>1549</v>
      </c>
      <c r="AU74" s="25">
        <f t="shared" si="6"/>
        <v>65</v>
      </c>
      <c r="AV74" s="295" t="str">
        <f>VLOOKUP(VLOOKUP($AU74,KOMBI!$A:$H,3,FALSE),data!$I$27:$J$29,2,FALSE)</f>
        <v>Vähe-sekkuv</v>
      </c>
      <c r="AW74" s="295" t="str">
        <f>VLOOKUP(VLOOKUP($AU74,KOMBI!$A:$H,2,FALSE),data!$I$21:$J$23,2,FALSE)</f>
        <v>Vähe-sekkuv</v>
      </c>
      <c r="AX74" s="295" t="str">
        <f>VLOOKUP(VLOOKUP($AU74,KOMBI!$A:$H,5,FALSE),data!$I$39:$J$41,2,FALSE)</f>
        <v>Vähe-sekkuv</v>
      </c>
      <c r="AY74" s="295" t="str">
        <f>VLOOKUP(VLOOKUP($AU74,KOMBI!$A:$H,4,FALSE),data!$I$32:$J$36,2,FALSE)</f>
        <v>LIB+</v>
      </c>
      <c r="BA74" s="25">
        <f t="array" ref="BA74">INDEX(KOMBI!$A$1:$GI$145,ROW('KSH järjestus'!BA81),MATCH('KSH järjestus'!BA$3,KOMBI!$A$1:$GI$1,0))</f>
        <v>8.5351402639321989</v>
      </c>
      <c r="BB74" s="25">
        <f t="array" ref="BB74">INDEX(KOMBI!$A$1:$GI$145,ROW('KSH järjestus'!BB81),MATCH('KSH järjestus'!BB$3,KOMBI!$A$1:$GI$1,0))</f>
        <v>377.94035687588962</v>
      </c>
      <c r="BC74" s="25">
        <f t="array" aca="1" ref="BC74" ca="1">INDEX(KOMBI!$A$1:$GI$145,ROW('KSH järjestus'!BC81),MATCH('KSH järjestus'!BC$3,KOMBI!$A$1:$GI$1,0))</f>
        <v>76.142814072852218</v>
      </c>
      <c r="BD74" s="25">
        <f t="array" ref="BD74">INDEX(KOMBI!$A$1:$GI$145,ROW('KSH järjestus'!BD81),MATCH('KSH järjestus'!BD$3,KOMBI!$A$1:$GI$1,0))</f>
        <v>-77.074469880632108</v>
      </c>
      <c r="BE74" s="25">
        <f t="array" ref="BE74">INDEX(KOMBI!$A$1:$GI$145,ROW('KSH järjestus'!BE81),MATCH('KSH järjestus'!BE$3,KOMBI!$A$1:$GI$1,0))</f>
        <v>153.21728395348433</v>
      </c>
      <c r="BF74" s="25">
        <f t="array" aca="1" ref="BF74" ca="1">INDEX(KOMBI!$A$1:$GI$145,ROW('KSH järjestus'!BF81),MATCH('KSH järjestus'!BF$3,KOMBI!$A$1:$GI$1,0))</f>
        <v>0</v>
      </c>
      <c r="BG74" s="25">
        <f t="array" ref="BG74">INDEX(KOMBI!$A$1:$GI$145,ROW('KSH järjestus'!BG81),MATCH('KSH järjestus'!BG$3,KOMBI!$A$1:$GI$1,0))</f>
        <v>0.6291145496153917</v>
      </c>
      <c r="BH74" s="25">
        <f t="array" ref="BH74">INDEX(KOMBI!$A$1:$GI$145,ROW('KSH järjestus'!BH81),MATCH('KSH järjestus'!BH$3,KOMBI!$A$1:$GI$1,0))</f>
        <v>90</v>
      </c>
      <c r="BI74" s="25">
        <f t="array" ref="BI74">INDEX(KOMBI!$A$1:$GI$145,ROW('KSH järjestus'!BI81),MATCH('KSH järjestus'!BI$3,KOMBI!$A$1:$GI$1,0))</f>
        <v>0.84317482403548605</v>
      </c>
      <c r="BJ74" s="25">
        <f t="array" ref="BJ74">INDEX(KOMBI!$A$1:$GI$145,ROW('KSH järjestus'!BJ81),MATCH('KSH järjestus'!BJ$3,KOMBI!$A$1:$GI$1,0))</f>
        <v>0.36609829488465395</v>
      </c>
      <c r="BK74" s="25">
        <f t="array" ref="BK74">INDEX(KOMBI!$A$1:$GI$145,ROW('KSH järjestus'!BK81),MATCH('KSH järjestus'!BK$3,KOMBI!$A$1:$GI$1,0))</f>
        <v>0.57944895681543473</v>
      </c>
      <c r="BL74" s="25">
        <f t="array" ref="BL74">INDEX(KOMBI!$A$1:$GI$145,ROW('KSH järjestus'!BL81),MATCH('KSH järjestus'!BL$3,KOMBI!$A$1:$GI$1,0))</f>
        <v>1.4870867155145472E-2</v>
      </c>
      <c r="BM74" s="25">
        <f t="array" ref="BM74">INDEX(KOMBI!$A$1:$GI$145,ROW('KSH järjestus'!BM81),MATCH('KSH järjestus'!BM$3,KOMBI!$A$1:$GI$1,0))</f>
        <v>-1.3195478123184572E-3</v>
      </c>
      <c r="BN74" s="25">
        <f t="array" ref="BN74">INDEX(KOMBI!$A$1:$GI$145,ROW('KSH järjestus'!BN81),MATCH('KSH järjestus'!BN$3,KOMBI!$A$1:$GI$1,0))</f>
        <v>3.2902926628489704E-3</v>
      </c>
      <c r="BO74" s="25">
        <f t="array" ref="BO74">INDEX(KOMBI!$A$1:$GI$145,ROW('KSH järjestus'!BO81),MATCH('KSH järjestus'!BO$3,KOMBI!$A$1:$GI$1,0))</f>
        <v>1.164403707744326E-2</v>
      </c>
      <c r="BP74" s="25">
        <f t="array" ref="BP74">INDEX(KOMBI!$A$1:$GI$145,ROW('KSH järjestus'!BP81),MATCH('KSH järjestus'!BP$3,KOMBI!$A$1:$GI$1,0))</f>
        <v>7.8158313570900955</v>
      </c>
      <c r="BQ74" s="25">
        <f t="array" ref="BQ74">INDEX(KOMBI!$A$1:$GI$145,ROW('KSH järjestus'!BQ81),MATCH('KSH järjestus'!BQ$3,KOMBI!$A$1:$GI$1,0))</f>
        <v>9.9700000000000006</v>
      </c>
      <c r="BR74" s="25">
        <f t="array" ref="BR74">INDEX(KOMBI!$A$1:$GI$145,ROW('KSH järjestus'!BR81),MATCH('KSH järjestus'!BR$3,KOMBI!$A$1:$GI$1,0))</f>
        <v>-4.4816032333396746E-2</v>
      </c>
      <c r="BS74" s="25">
        <f t="array" ref="BS74">INDEX(KOMBI!$A$1:$GI$145,ROW('KSH järjestus'!BS81),MATCH('KSH järjestus'!BS$3,KOMBI!$A$1:$GI$1,0))</f>
        <v>-0.17062119401290302</v>
      </c>
      <c r="BT74" s="25">
        <f t="array" ref="BT74">INDEX(KOMBI!$A$1:$GI$145,ROW('KSH järjestus'!BT81),MATCH('KSH järjestus'!BT$3,KOMBI!$A$1:$GI$1,0))</f>
        <v>-9.1458798619093451E-2</v>
      </c>
      <c r="BU74" s="25">
        <f t="array" ref="BU74">INDEX(KOMBI!$A$1:$GI$145,ROW('KSH järjestus'!BU81),MATCH('KSH järjestus'!BU$3,KOMBI!$A$1:$GI$1,0))</f>
        <v>4.7490567987315107</v>
      </c>
      <c r="BV74" s="25">
        <f t="array" ref="BV74">INDEX(KOMBI!$A$1:$GI$145,ROW('KSH järjestus'!BV81),MATCH('KSH järjestus'!BV$3,KOMBI!$A$1:$GI$1,0))</f>
        <v>1.337</v>
      </c>
      <c r="BW74" s="25">
        <f t="array" ref="BW74">INDEX(KOMBI!$A$1:$GI$145,ROW('KSH järjestus'!BW81),MATCH('KSH järjestus'!BW$3,KOMBI!$A$1:$GI$1,0))</f>
        <v>2.9358823271229704</v>
      </c>
      <c r="BX74" s="25">
        <f t="array" ref="BX74">INDEX(KOMBI!$A$1:$GI$145,ROW('KSH järjestus'!BX81),MATCH('KSH järjestus'!BX$3,KOMBI!$A$1:$GI$1,0))</f>
        <v>17.748721793242819</v>
      </c>
      <c r="BY74" s="25">
        <f t="array" ref="BY74">INDEX(KOMBI!$A$1:$GI$145,ROW('KSH järjestus'!BY81),MATCH('KSH järjestus'!BY$3,KOMBI!$A$1:$GI$1,0))</f>
        <v>6.6589454627726345</v>
      </c>
      <c r="BZ74" s="25">
        <f t="array" ref="BZ74">INDEX(KOMBI!$A$1:$GI$145,ROW('KSH järjestus'!BZ81),MATCH('KSH järjestus'!BZ$3,KOMBI!$A$1:$GI$1,0))</f>
        <v>76.400000000000006</v>
      </c>
      <c r="CA74" s="25">
        <f t="array" ref="CA74">INDEX(KOMBI!$A$1:$GI$145,ROW('KSH järjestus'!CA81),MATCH('KSH järjestus'!CA$3,KOMBI!$A$1:$GI$1,0))</f>
        <v>10.006</v>
      </c>
      <c r="CB74" s="25">
        <f t="array" ref="CB74">INDEX(KOMBI!$A$1:$GI$145,ROW('KSH järjestus'!CB81),MATCH('KSH järjestus'!CB$3,KOMBI!$A$1:$GI$1,0))</f>
        <v>39.781944444444441</v>
      </c>
      <c r="CC74" s="25">
        <f t="array" ref="CC74">INDEX(KOMBI!$A$1:$GI$145,ROW('KSH järjestus'!CC81),MATCH('KSH järjestus'!CC$3,KOMBI!$A$1:$GI$1,0))</f>
        <v>4.0570139999999997</v>
      </c>
      <c r="CD74" s="25">
        <f t="array" ref="CD74">INDEX(KOMBI!$A$1:$GI$145,ROW('KSH järjestus'!CD81),MATCH('KSH järjestus'!CD$3,KOMBI!$A$1:$GI$1,0))</f>
        <v>306.55</v>
      </c>
      <c r="CE74" s="25">
        <f t="array" ref="CE74">INDEX(KOMBI!$A$1:$GI$145,ROW('KSH järjestus'!CE81),MATCH('KSH järjestus'!CE$3,KOMBI!$A$1:$GI$1,0))</f>
        <v>2.9929999999999999</v>
      </c>
      <c r="CF74" s="25">
        <f t="array" ref="CF74">INDEX(KOMBI!$A$1:$GI$145,ROW('KSH järjestus'!CF81),MATCH('KSH järjestus'!CF$3,KOMBI!$A$1:$GI$1,0))</f>
        <v>43.344166666666666</v>
      </c>
      <c r="CG74" s="25">
        <f t="array" ref="CG74">INDEX(KOMBI!$A$1:$GI$145,ROW('KSH järjestus'!CG81),MATCH('KSH järjestus'!CG$3,KOMBI!$A$1:$GI$1,0))</f>
        <v>2.2545055318885739E-2</v>
      </c>
      <c r="CH74" s="25">
        <f t="array" ref="CH74">INDEX(KOMBI!$A$1:$GI$145,ROW('KSH järjestus'!CH81),MATCH('KSH järjestus'!CH$3,KOMBI!$A$1:$GI$1,0))</f>
        <v>0.48628150217273425</v>
      </c>
      <c r="CI74" s="25">
        <f t="array" ref="CI74">INDEX(KOMBI!$A$1:$GI$145,ROW('KSH järjestus'!CI81),MATCH('KSH järjestus'!CI$3,KOMBI!$A$1:$GI$1,0))</f>
        <v>10.870000000000001</v>
      </c>
      <c r="CJ74" s="25">
        <f t="array" ref="CJ74">INDEX(KOMBI!$A$1:$GI$145,ROW('KSH järjestus'!CJ81),MATCH('KSH järjestus'!CJ$3,KOMBI!$A$1:$GI$1,0))</f>
        <v>3.3383823271229702</v>
      </c>
      <c r="CK74" s="25">
        <f t="array" ref="CK74">INDEX(KOMBI!$A$1:$GI$145,ROW('KSH järjestus'!CK81),MATCH('KSH järjestus'!CK$3,KOMBI!$A$1:$GI$1,0))</f>
        <v>0.21099999999999999</v>
      </c>
      <c r="CL74" s="25">
        <f t="array" ref="CL74">INDEX(KOMBI!$A$1:$GI$145,ROW('KSH järjestus'!CL81),MATCH('KSH järjestus'!CL$3,KOMBI!$A$1:$GI$1,0))</f>
        <v>0.76300000000000001</v>
      </c>
    </row>
    <row r="75" spans="3:90" x14ac:dyDescent="0.2">
      <c r="C75" s="184">
        <v>72</v>
      </c>
      <c r="G75" s="25">
        <f>RANK(INDEX(KOMBI!$A$11:$GI$145,MATCH('KSH järjestus'!$C75,KOMBI!$A$11:$A$145,0),MATCH('KSH järjestus'!G$3,KOMBI!$A$1:$GI$1,0)),BD$4:BD$138,G$2)</f>
        <v>51</v>
      </c>
      <c r="H75" s="25">
        <f>RANK(INDEX(KOMBI!$A$11:$GI$145,MATCH('KSH järjestus'!$C75,KOMBI!$A$11:$A$145,0),MATCH('KSH järjestus'!H$3,KOMBI!$A$1:$GI$1,0)),BE$4:BE$138,H$2)</f>
        <v>50</v>
      </c>
      <c r="J75" s="25">
        <f>RANK(INDEX(KOMBI!$A$11:$GI$145,MATCH('KSH järjestus'!$C75,KOMBI!$A$11:$A$145,0),MATCH('KSH järjestus'!J$3,KOMBI!$A$1:$GI$1,0)),BG$4:BG$138,J$2)</f>
        <v>117</v>
      </c>
      <c r="M75" s="25">
        <f>RANK(INDEX(KOMBI!$A$11:$GI$145,MATCH('KSH järjestus'!$C75,KOMBI!$A$11:$A$145,0),MATCH('KSH järjestus'!M$3,KOMBI!$A$1:$GI$1,0)),BJ$4:BJ$138,M$2)</f>
        <v>109</v>
      </c>
      <c r="N75" s="25">
        <f>RANK(INDEX(KOMBI!$A$11:$GI$145,MATCH('KSH järjestus'!$C75,KOMBI!$A$11:$A$145,0),MATCH('KSH järjestus'!N$3,KOMBI!$A$1:$GI$1,0)),BK$4:BK$138,N$2)</f>
        <v>13</v>
      </c>
      <c r="O75" s="25">
        <f>RANK(INDEX(KOMBI!$A$11:$GI$145,MATCH('KSH järjestus'!$C75,KOMBI!$A$11:$A$145,0),MATCH('KSH järjestus'!O$3,KOMBI!$A$1:$GI$1,0)),BL$4:BL$138,O$2)</f>
        <v>45</v>
      </c>
      <c r="P75" s="25">
        <f>RANK(INDEX(KOMBI!$A$11:$GI$145,MATCH('KSH järjestus'!$C75,KOMBI!$A$11:$A$145,0),MATCH('KSH järjestus'!P$3,KOMBI!$A$1:$GI$1,0)),BM$4:BM$138,P$2)</f>
        <v>89</v>
      </c>
      <c r="Q75" s="25">
        <f>RANK(INDEX(KOMBI!$A$11:$GI$145,MATCH('KSH järjestus'!$C75,KOMBI!$A$11:$A$145,0),MATCH('KSH järjestus'!Q$3,KOMBI!$A$1:$GI$1,0)),BN$4:BN$138,Q$2)</f>
        <v>61</v>
      </c>
      <c r="R75" s="25">
        <f>RANK(INDEX(KOMBI!$A$11:$GI$145,MATCH('KSH järjestus'!$C75,KOMBI!$A$11:$A$145,0),MATCH('KSH järjestus'!R$3,KOMBI!$A$1:$GI$1,0)),BO$4:BO$138,R$2)</f>
        <v>42</v>
      </c>
      <c r="T75" s="25">
        <f>RANK(INDEX(KOMBI!$A$11:$GI$145,MATCH('KSH järjestus'!$C75,KOMBI!$A$11:$A$145,0),MATCH('KSH järjestus'!T$3,KOMBI!$A$1:$GI$1,0)),BQ$4:BQ$138,T$2)</f>
        <v>31</v>
      </c>
      <c r="U75" s="25">
        <f>RANK(INDEX(KOMBI!$A$11:$GI$145,MATCH('KSH järjestus'!$C75,KOMBI!$A$11:$A$145,0),MATCH('KSH järjestus'!U$3,KOMBI!$A$1:$GI$1,0)),BR$4:BR$138,U$2)</f>
        <v>29</v>
      </c>
      <c r="AA75" s="25">
        <f>RANK(INDEX(KOMBI!$A$11:$GI$145,MATCH('KSH järjestus'!$C75,KOMBI!$A$11:$A$145,0),MATCH('KSH järjestus'!AA$3,KOMBI!$A$1:$GI$1,0)),BX$4:BX$138,AA$2)</f>
        <v>40</v>
      </c>
      <c r="AB75" s="25">
        <f>RANK(INDEX(KOMBI!$A$11:$GI$145,MATCH('KSH järjestus'!$C75,KOMBI!$A$11:$A$145,0),MATCH('KSH järjestus'!AB$3,KOMBI!$A$1:$GI$1,0)),BY$4:BY$138,AB$2)</f>
        <v>13</v>
      </c>
      <c r="AC75" s="25">
        <f>RANK(INDEX(KOMBI!$A$11:$GI$145,MATCH('KSH järjestus'!$C75,KOMBI!$A$11:$A$145,0),MATCH('KSH järjestus'!AC$3,KOMBI!$A$1:$GI$1,0)),BZ$4:BZ$138,AC$2)</f>
        <v>82</v>
      </c>
      <c r="AD75" s="25">
        <f>RANK(INDEX(KOMBI!$A$11:$GI$145,MATCH('KSH järjestus'!$C75,KOMBI!$A$11:$A$145,0),MATCH('KSH järjestus'!AD$3,KOMBI!$A$1:$GI$1,0)),CA$4:CA$138,AD$2)</f>
        <v>16</v>
      </c>
      <c r="AE75" s="25">
        <f>RANK(INDEX(KOMBI!$A$11:$GI$145,MATCH('KSH järjestus'!$C75,KOMBI!$A$11:$A$145,0),MATCH('KSH järjestus'!AE$3,KOMBI!$A$1:$GI$1,0)),CB$4:CB$138,AE$2)</f>
        <v>15</v>
      </c>
      <c r="AG75" s="25">
        <f>RANK(INDEX(KOMBI!$A$11:$GI$145,MATCH('KSH järjestus'!$C75,KOMBI!$A$11:$A$145,0),MATCH('KSH järjestus'!AG$3,KOMBI!$A$1:$GI$1,0)),CD$4:CD$138,AG$2)</f>
        <v>58</v>
      </c>
      <c r="AH75" s="25">
        <f>RANK(INDEX(KOMBI!$A$11:$GI$145,MATCH('KSH järjestus'!$C75,KOMBI!$A$11:$A$145,0),MATCH('KSH järjestus'!AH$3,KOMBI!$A$1:$GI$1,0)),CE$4:CE$138,AH$2)</f>
        <v>76</v>
      </c>
      <c r="AI75" s="25">
        <f>RANK(INDEX(KOMBI!$A$11:$GI$145,MATCH('KSH järjestus'!$C75,KOMBI!$A$11:$A$145,0),MATCH('KSH järjestus'!AI$3,KOMBI!$A$1:$GI$1,0)),CF$4:CF$138,AI$2)</f>
        <v>22</v>
      </c>
      <c r="AJ75" s="25">
        <f>RANK(INDEX(KOMBI!$A$11:$GI$145,MATCH('KSH järjestus'!$C75,KOMBI!$A$11:$A$145,0),MATCH('KSH järjestus'!AJ$3,KOMBI!$A$1:$GI$1,0)),CG$4:CG$138,AJ$2)</f>
        <v>76</v>
      </c>
      <c r="AK75" s="25">
        <f>RANK(INDEX(KOMBI!$A$11:$GI$145,MATCH('KSH järjestus'!$C75,KOMBI!$A$11:$A$145,0),MATCH('KSH järjestus'!AK$3,KOMBI!$A$1:$GI$1,0)),CH$4:CH$138,AK$2)</f>
        <v>22</v>
      </c>
      <c r="AN75" s="25">
        <f>RANK(INDEX(KOMBI!$A$11:$GI$145,MATCH('KSH järjestus'!$C75,KOMBI!$A$11:$A$145,0),MATCH('KSH järjestus'!AN$3,KOMBI!$A$1:$GI$1,0)),CK$4:CK$138,AN$2)</f>
        <v>46</v>
      </c>
      <c r="AO75" s="25">
        <f>RANK(INDEX(KOMBI!$A$11:$GI$145,MATCH('KSH järjestus'!$C75,KOMBI!$A$11:$A$145,0),MATCH('KSH järjestus'!AO$3,KOMBI!$A$1:$GI$1,0)),CL$4:CL$138,AO$2)</f>
        <v>46</v>
      </c>
      <c r="AS75" s="297">
        <f t="shared" si="4"/>
        <v>1149</v>
      </c>
      <c r="AT75" s="25">
        <f t="shared" si="5"/>
        <v>1551</v>
      </c>
      <c r="AU75" s="25">
        <f t="shared" si="6"/>
        <v>27</v>
      </c>
      <c r="AV75" s="295" t="str">
        <f>VLOOKUP(VLOOKUP($AU75,KOMBI!$A:$H,3,FALSE),data!$I$27:$J$29,2,FALSE)</f>
        <v>Vähe-sekkuv</v>
      </c>
      <c r="AW75" s="295" t="str">
        <f>VLOOKUP(VLOOKUP($AU75,KOMBI!$A:$H,2,FALSE),data!$I$21:$J$23,2,FALSE)</f>
        <v>Mittesekkuv</v>
      </c>
      <c r="AX75" s="295" t="str">
        <f>VLOOKUP(VLOOKUP($AU75,KOMBI!$A:$H,5,FALSE),data!$I$39:$J$41,2,FALSE)</f>
        <v>Sekkuv</v>
      </c>
      <c r="AY75" s="295" t="str">
        <f>VLOOKUP(VLOOKUP($AU75,KOMBI!$A:$H,4,FALSE),data!$I$32:$J$36,2,FALSE)</f>
        <v>TE++</v>
      </c>
      <c r="BA75" s="25">
        <f t="array" ref="BA75">INDEX(KOMBI!$A$1:$GI$145,ROW('KSH järjestus'!BA82),MATCH('KSH järjestus'!BA$3,KOMBI!$A$1:$GI$1,0))</f>
        <v>9.4402399861737258</v>
      </c>
      <c r="BB75" s="25">
        <f t="array" ref="BB75">INDEX(KOMBI!$A$1:$GI$145,ROW('KSH järjestus'!BB82),MATCH('KSH järjestus'!BB$3,KOMBI!$A$1:$GI$1,0))</f>
        <v>494.55114789336892</v>
      </c>
      <c r="BC75" s="25">
        <f t="array" aca="1" ref="BC75" ca="1">INDEX(KOMBI!$A$1:$GI$145,ROW('KSH järjestus'!BC82),MATCH('KSH järjestus'!BC$3,KOMBI!$A$1:$GI$1,0))</f>
        <v>92.697228431937134</v>
      </c>
      <c r="BD75" s="25">
        <f t="array" ref="BD75">INDEX(KOMBI!$A$1:$GI$145,ROW('KSH järjestus'!BD82),MATCH('KSH järjestus'!BD$3,KOMBI!$A$1:$GI$1,0))</f>
        <v>-96.182063699091032</v>
      </c>
      <c r="BE75" s="25">
        <f t="array" ref="BE75">INDEX(KOMBI!$A$1:$GI$145,ROW('KSH järjestus'!BE82),MATCH('KSH järjestus'!BE$3,KOMBI!$A$1:$GI$1,0))</f>
        <v>188.87929213102817</v>
      </c>
      <c r="BF75" s="25">
        <f t="array" aca="1" ref="BF75" ca="1">INDEX(KOMBI!$A$1:$GI$145,ROW('KSH järjestus'!BF82),MATCH('KSH järjestus'!BF$3,KOMBI!$A$1:$GI$1,0))</f>
        <v>0</v>
      </c>
      <c r="BG75" s="25">
        <f t="array" ref="BG75">INDEX(KOMBI!$A$1:$GI$145,ROW('KSH järjestus'!BG82),MATCH('KSH järjestus'!BG$3,KOMBI!$A$1:$GI$1,0))</f>
        <v>0.6291145496153917</v>
      </c>
      <c r="BH75" s="25">
        <f t="array" ref="BH75">INDEX(KOMBI!$A$1:$GI$145,ROW('KSH järjestus'!BH82),MATCH('KSH järjestus'!BH$3,KOMBI!$A$1:$GI$1,0))</f>
        <v>90</v>
      </c>
      <c r="BI75" s="25">
        <f t="array" ref="BI75">INDEX(KOMBI!$A$1:$GI$145,ROW('KSH järjestus'!BI82),MATCH('KSH järjestus'!BI$3,KOMBI!$A$1:$GI$1,0))</f>
        <v>0.84317482403548605</v>
      </c>
      <c r="BJ75" s="25">
        <f t="array" ref="BJ75">INDEX(KOMBI!$A$1:$GI$145,ROW('KSH järjestus'!BJ82),MATCH('KSH järjestus'!BJ$3,KOMBI!$A$1:$GI$1,0))</f>
        <v>0.36609829488465395</v>
      </c>
      <c r="BK75" s="25">
        <f t="array" ref="BK75">INDEX(KOMBI!$A$1:$GI$145,ROW('KSH järjestus'!BK82),MATCH('KSH järjestus'!BK$3,KOMBI!$A$1:$GI$1,0))</f>
        <v>0.57944895681543473</v>
      </c>
      <c r="BL75" s="25">
        <f t="array" ref="BL75">INDEX(KOMBI!$A$1:$GI$145,ROW('KSH järjestus'!BL82),MATCH('KSH järjestus'!BL$3,KOMBI!$A$1:$GI$1,0))</f>
        <v>1.9521922533391994E-2</v>
      </c>
      <c r="BM75" s="25">
        <f t="array" ref="BM75">INDEX(KOMBI!$A$1:$GI$145,ROW('KSH järjestus'!BM82),MATCH('KSH järjestus'!BM$3,KOMBI!$A$1:$GI$1,0))</f>
        <v>-1.3067820852770708E-3</v>
      </c>
      <c r="BN75" s="25">
        <f t="array" ref="BN75">INDEX(KOMBI!$A$1:$GI$145,ROW('KSH järjestus'!BN82),MATCH('KSH järjestus'!BN$3,KOMBI!$A$1:$GI$1,0))</f>
        <v>4.6210824988957011E-3</v>
      </c>
      <c r="BO75" s="25">
        <f t="array" ref="BO75">INDEX(KOMBI!$A$1:$GI$145,ROW('KSH järjestus'!BO82),MATCH('KSH järjestus'!BO$3,KOMBI!$A$1:$GI$1,0))</f>
        <v>1.5037900525608114E-2</v>
      </c>
      <c r="BP75" s="25">
        <f t="array" ref="BP75">INDEX(KOMBI!$A$1:$GI$145,ROW('KSH järjestus'!BP82),MATCH('KSH järjestus'!BP$3,KOMBI!$A$1:$GI$1,0))</f>
        <v>7.8158313570900955</v>
      </c>
      <c r="BQ75" s="25">
        <f t="array" ref="BQ75">INDEX(KOMBI!$A$1:$GI$145,ROW('KSH järjestus'!BQ82),MATCH('KSH järjestus'!BQ$3,KOMBI!$A$1:$GI$1,0))</f>
        <v>10.194000000000001</v>
      </c>
      <c r="BR75" s="25">
        <f t="array" ref="BR75">INDEX(KOMBI!$A$1:$GI$145,ROW('KSH järjestus'!BR82),MATCH('KSH järjestus'!BR$3,KOMBI!$A$1:$GI$1,0))</f>
        <v>-4.0836545202950852E-2</v>
      </c>
      <c r="BS75" s="25">
        <f t="array" ref="BS75">INDEX(KOMBI!$A$1:$GI$145,ROW('KSH järjestus'!BS82),MATCH('KSH järjestus'!BS$3,KOMBI!$A$1:$GI$1,0))</f>
        <v>-0.16936203409661457</v>
      </c>
      <c r="BT75" s="25">
        <f t="array" ref="BT75">INDEX(KOMBI!$A$1:$GI$145,ROW('KSH järjestus'!BT82),MATCH('KSH järjestus'!BT$3,KOMBI!$A$1:$GI$1,0))</f>
        <v>-8.9998079645867188E-2</v>
      </c>
      <c r="BU75" s="25">
        <f t="array" ref="BU75">INDEX(KOMBI!$A$1:$GI$145,ROW('KSH järjestus'!BU82),MATCH('KSH järjestus'!BU$3,KOMBI!$A$1:$GI$1,0))</f>
        <v>4.7490567987315107</v>
      </c>
      <c r="BV75" s="25">
        <f t="array" ref="BV75">INDEX(KOMBI!$A$1:$GI$145,ROW('KSH järjestus'!BV82),MATCH('KSH järjestus'!BV$3,KOMBI!$A$1:$GI$1,0))</f>
        <v>1.337</v>
      </c>
      <c r="BW75" s="25">
        <f t="array" ref="BW75">INDEX(KOMBI!$A$1:$GI$145,ROW('KSH järjestus'!BW82),MATCH('KSH järjestus'!BW$3,KOMBI!$A$1:$GI$1,0))</f>
        <v>3.1445823271229703</v>
      </c>
      <c r="BX75" s="25">
        <f t="array" ref="BX75">INDEX(KOMBI!$A$1:$GI$145,ROW('KSH järjestus'!BX82),MATCH('KSH järjestus'!BX$3,KOMBI!$A$1:$GI$1,0))</f>
        <v>17.748721793242819</v>
      </c>
      <c r="BY75" s="25">
        <f t="array" ref="BY75">INDEX(KOMBI!$A$1:$GI$145,ROW('KSH järjestus'!BY82),MATCH('KSH järjestus'!BY$3,KOMBI!$A$1:$GI$1,0))</f>
        <v>6.6589454627726345</v>
      </c>
      <c r="BZ75" s="25">
        <f t="array" ref="BZ75">INDEX(KOMBI!$A$1:$GI$145,ROW('KSH järjestus'!BZ82),MATCH('KSH järjestus'!BZ$3,KOMBI!$A$1:$GI$1,0))</f>
        <v>78</v>
      </c>
      <c r="CA75" s="25">
        <f t="array" ref="CA75">INDEX(KOMBI!$A$1:$GI$145,ROW('KSH järjestus'!CA82),MATCH('KSH järjestus'!CA$3,KOMBI!$A$1:$GI$1,0))</f>
        <v>10.257999999999999</v>
      </c>
      <c r="CB75" s="25">
        <f t="array" ref="CB75">INDEX(KOMBI!$A$1:$GI$145,ROW('KSH järjestus'!CB82),MATCH('KSH järjestus'!CB$3,KOMBI!$A$1:$GI$1,0))</f>
        <v>40.690000000000005</v>
      </c>
      <c r="CC75" s="25">
        <f t="array" ref="CC75">INDEX(KOMBI!$A$1:$GI$145,ROW('KSH järjestus'!CC82),MATCH('KSH järjestus'!CC$3,KOMBI!$A$1:$GI$1,0))</f>
        <v>4.1503589999999999</v>
      </c>
      <c r="CD75" s="25">
        <f t="array" ref="CD75">INDEX(KOMBI!$A$1:$GI$145,ROW('KSH järjestus'!CD82),MATCH('KSH järjestus'!CD$3,KOMBI!$A$1:$GI$1,0))</f>
        <v>306.55</v>
      </c>
      <c r="CE75" s="25">
        <f t="array" ref="CE75">INDEX(KOMBI!$A$1:$GI$145,ROW('KSH järjestus'!CE82),MATCH('KSH järjestus'!CE$3,KOMBI!$A$1:$GI$1,0))</f>
        <v>2.9929999999999999</v>
      </c>
      <c r="CF75" s="25">
        <f t="array" ref="CF75">INDEX(KOMBI!$A$1:$GI$145,ROW('KSH järjestus'!CF82),MATCH('KSH järjestus'!CF$3,KOMBI!$A$1:$GI$1,0))</f>
        <v>43.344166666666666</v>
      </c>
      <c r="CG75" s="25">
        <f t="array" ref="CG75">INDEX(KOMBI!$A$1:$GI$145,ROW('KSH järjestus'!CG82),MATCH('KSH järjestus'!CG$3,KOMBI!$A$1:$GI$1,0))</f>
        <v>2.2545055318885739E-2</v>
      </c>
      <c r="CH75" s="25">
        <f t="array" ref="CH75">INDEX(KOMBI!$A$1:$GI$145,ROW('KSH järjestus'!CH82),MATCH('KSH järjestus'!CH$3,KOMBI!$A$1:$GI$1,0))</f>
        <v>0.48628150217273425</v>
      </c>
      <c r="CI75" s="25">
        <f t="array" ref="CI75">INDEX(KOMBI!$A$1:$GI$145,ROW('KSH järjestus'!CI82),MATCH('KSH järjestus'!CI$3,KOMBI!$A$1:$GI$1,0))</f>
        <v>10.870000000000001</v>
      </c>
      <c r="CJ75" s="25">
        <f t="array" ref="CJ75">INDEX(KOMBI!$A$1:$GI$145,ROW('KSH järjestus'!CJ82),MATCH('KSH järjestus'!CJ$3,KOMBI!$A$1:$GI$1,0))</f>
        <v>3.3383823271229702</v>
      </c>
      <c r="CK75" s="25">
        <f t="array" ref="CK75">INDEX(KOMBI!$A$1:$GI$145,ROW('KSH järjestus'!CK82),MATCH('KSH järjestus'!CK$3,KOMBI!$A$1:$GI$1,0))</f>
        <v>0.21099999999999999</v>
      </c>
      <c r="CL75" s="25">
        <f t="array" ref="CL75">INDEX(KOMBI!$A$1:$GI$145,ROW('KSH järjestus'!CL82),MATCH('KSH järjestus'!CL$3,KOMBI!$A$1:$GI$1,0))</f>
        <v>0.76300000000000001</v>
      </c>
    </row>
    <row r="76" spans="3:90" x14ac:dyDescent="0.2">
      <c r="C76" s="184">
        <v>73</v>
      </c>
      <c r="G76" s="25">
        <f>RANK(INDEX(KOMBI!$A$11:$GI$145,MATCH('KSH järjestus'!$C76,KOMBI!$A$11:$A$145,0),MATCH('KSH järjestus'!G$3,KOMBI!$A$1:$GI$1,0)),BD$4:BD$138,G$2)</f>
        <v>81</v>
      </c>
      <c r="H76" s="25">
        <f>RANK(INDEX(KOMBI!$A$11:$GI$145,MATCH('KSH järjestus'!$C76,KOMBI!$A$11:$A$145,0),MATCH('KSH järjestus'!H$3,KOMBI!$A$1:$GI$1,0)),BE$4:BE$138,H$2)</f>
        <v>40</v>
      </c>
      <c r="J76" s="25">
        <f>RANK(INDEX(KOMBI!$A$11:$GI$145,MATCH('KSH järjestus'!$C76,KOMBI!$A$11:$A$145,0),MATCH('KSH järjestus'!J$3,KOMBI!$A$1:$GI$1,0)),BG$4:BG$138,J$2)</f>
        <v>19</v>
      </c>
      <c r="M76" s="25">
        <f>RANK(INDEX(KOMBI!$A$11:$GI$145,MATCH('KSH järjestus'!$C76,KOMBI!$A$11:$A$145,0),MATCH('KSH järjestus'!M$3,KOMBI!$A$1:$GI$1,0)),BJ$4:BJ$138,M$2)</f>
        <v>1</v>
      </c>
      <c r="N76" s="25">
        <f>RANK(INDEX(KOMBI!$A$11:$GI$145,MATCH('KSH järjestus'!$C76,KOMBI!$A$11:$A$145,0),MATCH('KSH järjestus'!N$3,KOMBI!$A$1:$GI$1,0)),BK$4:BK$138,N$2)</f>
        <v>124</v>
      </c>
      <c r="O76" s="25">
        <f>RANK(INDEX(KOMBI!$A$11:$GI$145,MATCH('KSH järjestus'!$C76,KOMBI!$A$11:$A$145,0),MATCH('KSH järjestus'!O$3,KOMBI!$A$1:$GI$1,0)),BL$4:BL$138,O$2)</f>
        <v>28</v>
      </c>
      <c r="P76" s="25">
        <f>RANK(INDEX(KOMBI!$A$11:$GI$145,MATCH('KSH järjestus'!$C76,KOMBI!$A$11:$A$145,0),MATCH('KSH järjestus'!P$3,KOMBI!$A$1:$GI$1,0)),BM$4:BM$138,P$2)</f>
        <v>11</v>
      </c>
      <c r="Q76" s="25">
        <f>RANK(INDEX(KOMBI!$A$11:$GI$145,MATCH('KSH järjestus'!$C76,KOMBI!$A$11:$A$145,0),MATCH('KSH järjestus'!Q$3,KOMBI!$A$1:$GI$1,0)),BN$4:BN$138,Q$2)</f>
        <v>20</v>
      </c>
      <c r="R76" s="25">
        <f>RANK(INDEX(KOMBI!$A$11:$GI$145,MATCH('KSH järjestus'!$C76,KOMBI!$A$11:$A$145,0),MATCH('KSH järjestus'!R$3,KOMBI!$A$1:$GI$1,0)),BO$4:BO$138,R$2)</f>
        <v>55</v>
      </c>
      <c r="T76" s="25">
        <f>RANK(INDEX(KOMBI!$A$11:$GI$145,MATCH('KSH järjestus'!$C76,KOMBI!$A$11:$A$145,0),MATCH('KSH järjestus'!T$3,KOMBI!$A$1:$GI$1,0)),BQ$4:BQ$138,T$2)</f>
        <v>108</v>
      </c>
      <c r="U76" s="25">
        <f>RANK(INDEX(KOMBI!$A$11:$GI$145,MATCH('KSH järjestus'!$C76,KOMBI!$A$11:$A$145,0),MATCH('KSH järjestus'!U$3,KOMBI!$A$1:$GI$1,0)),BR$4:BR$138,U$2)</f>
        <v>84</v>
      </c>
      <c r="AA76" s="25">
        <f>RANK(INDEX(KOMBI!$A$11:$GI$145,MATCH('KSH järjestus'!$C76,KOMBI!$A$11:$A$145,0),MATCH('KSH järjestus'!AA$3,KOMBI!$A$1:$GI$1,0)),BX$4:BX$138,AA$2)</f>
        <v>121</v>
      </c>
      <c r="AB76" s="25">
        <f>RANK(INDEX(KOMBI!$A$11:$GI$145,MATCH('KSH järjestus'!$C76,KOMBI!$A$11:$A$145,0),MATCH('KSH järjestus'!AB$3,KOMBI!$A$1:$GI$1,0)),BY$4:BY$138,AB$2)</f>
        <v>121</v>
      </c>
      <c r="AC76" s="25">
        <f>RANK(INDEX(KOMBI!$A$11:$GI$145,MATCH('KSH järjestus'!$C76,KOMBI!$A$11:$A$145,0),MATCH('KSH järjestus'!AC$3,KOMBI!$A$1:$GI$1,0)),BZ$4:BZ$138,AC$2)</f>
        <v>113</v>
      </c>
      <c r="AD76" s="25">
        <f>RANK(INDEX(KOMBI!$A$11:$GI$145,MATCH('KSH järjestus'!$C76,KOMBI!$A$11:$A$145,0),MATCH('KSH järjestus'!AD$3,KOMBI!$A$1:$GI$1,0)),CA$4:CA$138,AD$2)</f>
        <v>119</v>
      </c>
      <c r="AE76" s="25">
        <f>RANK(INDEX(KOMBI!$A$11:$GI$145,MATCH('KSH järjestus'!$C76,KOMBI!$A$11:$A$145,0),MATCH('KSH järjestus'!AE$3,KOMBI!$A$1:$GI$1,0)),CB$4:CB$138,AE$2)</f>
        <v>119</v>
      </c>
      <c r="AG76" s="25">
        <f>RANK(INDEX(KOMBI!$A$11:$GI$145,MATCH('KSH järjestus'!$C76,KOMBI!$A$11:$A$145,0),MATCH('KSH järjestus'!AG$3,KOMBI!$A$1:$GI$1,0)),CD$4:CD$138,AG$2)</f>
        <v>46</v>
      </c>
      <c r="AH76" s="25">
        <f>RANK(INDEX(KOMBI!$A$11:$GI$145,MATCH('KSH järjestus'!$C76,KOMBI!$A$11:$A$145,0),MATCH('KSH järjestus'!AH$3,KOMBI!$A$1:$GI$1,0)),CE$4:CE$138,AH$2)</f>
        <v>76</v>
      </c>
      <c r="AI76" s="25">
        <f>RANK(INDEX(KOMBI!$A$11:$GI$145,MATCH('KSH järjestus'!$C76,KOMBI!$A$11:$A$145,0),MATCH('KSH järjestus'!AI$3,KOMBI!$A$1:$GI$1,0)),CF$4:CF$138,AI$2)</f>
        <v>121</v>
      </c>
      <c r="AJ76" s="25">
        <f>RANK(INDEX(KOMBI!$A$11:$GI$145,MATCH('KSH järjestus'!$C76,KOMBI!$A$11:$A$145,0),MATCH('KSH järjestus'!AJ$3,KOMBI!$A$1:$GI$1,0)),CG$4:CG$138,AJ$2)</f>
        <v>76</v>
      </c>
      <c r="AK76" s="25">
        <f>RANK(INDEX(KOMBI!$A$11:$GI$145,MATCH('KSH järjestus'!$C76,KOMBI!$A$11:$A$145,0),MATCH('KSH järjestus'!AK$3,KOMBI!$A$1:$GI$1,0)),CH$4:CH$138,AK$2)</f>
        <v>100</v>
      </c>
      <c r="AN76" s="25">
        <f>RANK(INDEX(KOMBI!$A$11:$GI$145,MATCH('KSH järjestus'!$C76,KOMBI!$A$11:$A$145,0),MATCH('KSH järjestus'!AN$3,KOMBI!$A$1:$GI$1,0)),CK$4:CK$138,AN$2)</f>
        <v>46</v>
      </c>
      <c r="AO76" s="25">
        <f>RANK(INDEX(KOMBI!$A$11:$GI$145,MATCH('KSH järjestus'!$C76,KOMBI!$A$11:$A$145,0),MATCH('KSH järjestus'!AO$3,KOMBI!$A$1:$GI$1,0)),CL$4:CL$138,AO$2)</f>
        <v>46</v>
      </c>
      <c r="AS76" s="297">
        <f t="shared" si="4"/>
        <v>1675</v>
      </c>
      <c r="AT76" s="25">
        <f t="shared" si="5"/>
        <v>1569</v>
      </c>
      <c r="AU76" s="25">
        <f t="shared" si="6"/>
        <v>45</v>
      </c>
      <c r="AV76" s="295" t="str">
        <f>VLOOKUP(VLOOKUP($AU76,KOMBI!$A:$H,3,FALSE),data!$I$27:$J$29,2,FALSE)</f>
        <v>Sekkuv/EÜ</v>
      </c>
      <c r="AW76" s="295" t="str">
        <f>VLOOKUP(VLOOKUP($AU76,KOMBI!$A:$H,2,FALSE),data!$I$21:$J$23,2,FALSE)</f>
        <v>Mittesekkuv</v>
      </c>
      <c r="AX76" s="295" t="str">
        <f>VLOOKUP(VLOOKUP($AU76,KOMBI!$A:$H,5,FALSE),data!$I$39:$J$41,2,FALSE)</f>
        <v>Sekkuv</v>
      </c>
      <c r="AY76" s="295" t="str">
        <f>VLOOKUP(VLOOKUP($AU76,KOMBI!$A:$H,4,FALSE),data!$I$32:$J$36,2,FALSE)</f>
        <v>PK &amp; UG</v>
      </c>
      <c r="BA76" s="25">
        <f t="array" ref="BA76">INDEX(KOMBI!$A$1:$GI$145,ROW('KSH järjestus'!BA83),MATCH('KSH järjestus'!BA$3,KOMBI!$A$1:$GI$1,0))</f>
        <v>4.6279103355748461</v>
      </c>
      <c r="BB76" s="25">
        <f t="array" ref="BB76">INDEX(KOMBI!$A$1:$GI$145,ROW('KSH järjestus'!BB83),MATCH('KSH järjestus'!BB$3,KOMBI!$A$1:$GI$1,0))</f>
        <v>637.67379930042853</v>
      </c>
      <c r="BC76" s="25">
        <f t="array" aca="1" ref="BC76" ca="1">INDEX(KOMBI!$A$1:$GI$145,ROW('KSH järjestus'!BC83),MATCH('KSH järjestus'!BC$3,KOMBI!$A$1:$GI$1,0))</f>
        <v>139.81531284003862</v>
      </c>
      <c r="BD76" s="25">
        <f t="array" ref="BD76">INDEX(KOMBI!$A$1:$GI$145,ROW('KSH järjestus'!BD83),MATCH('KSH järjestus'!BD$3,KOMBI!$A$1:$GI$1,0))</f>
        <v>-61.841250000000002</v>
      </c>
      <c r="BE76" s="25">
        <f t="array" ref="BE76">INDEX(KOMBI!$A$1:$GI$145,ROW('KSH järjestus'!BE83),MATCH('KSH järjestus'!BE$3,KOMBI!$A$1:$GI$1,0))</f>
        <v>201.65656284003862</v>
      </c>
      <c r="BF76" s="25">
        <f t="array" aca="1" ref="BF76" ca="1">INDEX(KOMBI!$A$1:$GI$145,ROW('KSH järjestus'!BF83),MATCH('KSH järjestus'!BF$3,KOMBI!$A$1:$GI$1,0))</f>
        <v>0</v>
      </c>
      <c r="BG76" s="25">
        <f t="array" ref="BG76">INDEX(KOMBI!$A$1:$GI$145,ROW('KSH järjestus'!BG83),MATCH('KSH järjestus'!BG$3,KOMBI!$A$1:$GI$1,0))</f>
        <v>0.33094011867043521</v>
      </c>
      <c r="BH76" s="25">
        <f t="array" ref="BH76">INDEX(KOMBI!$A$1:$GI$145,ROW('KSH järjestus'!BH83),MATCH('KSH järjestus'!BH$3,KOMBI!$A$1:$GI$1,0))</f>
        <v>90</v>
      </c>
      <c r="BI76" s="25">
        <f t="array" ref="BI76">INDEX(KOMBI!$A$1:$GI$145,ROW('KSH järjestus'!BI83),MATCH('KSH järjestus'!BI$3,KOMBI!$A$1:$GI$1,0))</f>
        <v>1</v>
      </c>
      <c r="BJ76" s="25">
        <f t="array" ref="BJ76">INDEX(KOMBI!$A$1:$GI$145,ROW('KSH järjestus'!BJ83),MATCH('KSH järjestus'!BJ$3,KOMBI!$A$1:$GI$1,0))</f>
        <v>0</v>
      </c>
      <c r="BK76" s="25">
        <f t="array" ref="BK76">INDEX(KOMBI!$A$1:$GI$145,ROW('KSH järjestus'!BK83),MATCH('KSH järjestus'!BK$3,KOMBI!$A$1:$GI$1,0))</f>
        <v>0.25410657454651348</v>
      </c>
      <c r="BL76" s="25">
        <f t="array" ref="BL76">INDEX(KOMBI!$A$1:$GI$145,ROW('KSH järjestus'!BL83),MATCH('KSH järjestus'!BL$3,KOMBI!$A$1:$GI$1,0))</f>
        <v>2.3573154326693522E-2</v>
      </c>
      <c r="BM76" s="25">
        <f t="array" ref="BM76">INDEX(KOMBI!$A$1:$GI$145,ROW('KSH järjestus'!BM83),MATCH('KSH järjestus'!BM$3,KOMBI!$A$1:$GI$1,0))</f>
        <v>9.7028585134621061E-3</v>
      </c>
      <c r="BN76" s="25">
        <f t="array" ref="BN76">INDEX(KOMBI!$A$1:$GI$145,ROW('KSH järjestus'!BN83),MATCH('KSH järjestus'!BN$3,KOMBI!$A$1:$GI$1,0))</f>
        <v>1.0536076733891064E-2</v>
      </c>
      <c r="BO76" s="25">
        <f t="array" ref="BO76">INDEX(KOMBI!$A$1:$GI$145,ROW('KSH järjestus'!BO83),MATCH('KSH järjestus'!BO$3,KOMBI!$A$1:$GI$1,0))</f>
        <v>1.334216190586565E-2</v>
      </c>
      <c r="BP76" s="25">
        <f t="array" ref="BP76">INDEX(KOMBI!$A$1:$GI$145,ROW('KSH järjestus'!BP83),MATCH('KSH järjestus'!BP$3,KOMBI!$A$1:$GI$1,0))</f>
        <v>7.7319896156049159</v>
      </c>
      <c r="BQ76" s="25">
        <f t="array" ref="BQ76">INDEX(KOMBI!$A$1:$GI$145,ROW('KSH järjestus'!BQ83),MATCH('KSH järjestus'!BQ$3,KOMBI!$A$1:$GI$1,0))</f>
        <v>11.377000000000001</v>
      </c>
      <c r="BR76" s="25">
        <f t="array" ref="BR76">INDEX(KOMBI!$A$1:$GI$145,ROW('KSH järjestus'!BR83),MATCH('KSH järjestus'!BR$3,KOMBI!$A$1:$GI$1,0))</f>
        <v>-1.8795015923382709E-2</v>
      </c>
      <c r="BS76" s="25">
        <f t="array" ref="BS76">INDEX(KOMBI!$A$1:$GI$145,ROW('KSH järjestus'!BS83),MATCH('KSH järjestus'!BS$3,KOMBI!$A$1:$GI$1,0))</f>
        <v>5.6435010422128798E-2</v>
      </c>
      <c r="BT76" s="25">
        <f t="array" ref="BT76">INDEX(KOMBI!$A$1:$GI$145,ROW('KSH järjestus'!BT83),MATCH('KSH järjestus'!BT$3,KOMBI!$A$1:$GI$1,0))</f>
        <v>5.1337441103031907E-2</v>
      </c>
      <c r="BU76" s="25">
        <f t="array" ref="BU76">INDEX(KOMBI!$A$1:$GI$145,ROW('KSH järjestus'!BU83),MATCH('KSH järjestus'!BU$3,KOMBI!$A$1:$GI$1,0))</f>
        <v>11.758289559723789</v>
      </c>
      <c r="BV76" s="25">
        <f t="array" ref="BV76">INDEX(KOMBI!$A$1:$GI$145,ROW('KSH järjestus'!BV83),MATCH('KSH järjestus'!BV$3,KOMBI!$A$1:$GI$1,0))</f>
        <v>6.0640000000000001</v>
      </c>
      <c r="BW76" s="25">
        <f t="array" ref="BW76">INDEX(KOMBI!$A$1:$GI$145,ROW('KSH järjestus'!BW83),MATCH('KSH järjestus'!BW$3,KOMBI!$A$1:$GI$1,0))</f>
        <v>2.5583823271229704</v>
      </c>
      <c r="BX76" s="25">
        <f t="array" ref="BX76">INDEX(KOMBI!$A$1:$GI$145,ROW('KSH järjestus'!BX83),MATCH('KSH järjestus'!BX$3,KOMBI!$A$1:$GI$1,0))</f>
        <v>22.646999999999998</v>
      </c>
      <c r="BY76" s="25">
        <f t="array" ref="BY76">INDEX(KOMBI!$A$1:$GI$145,ROW('KSH järjestus'!BY83),MATCH('KSH järjestus'!BY$3,KOMBI!$A$1:$GI$1,0))</f>
        <v>38.490916215793227</v>
      </c>
      <c r="BZ76" s="25">
        <f t="array" ref="BZ76">INDEX(KOMBI!$A$1:$GI$145,ROW('KSH järjestus'!BZ83),MATCH('KSH järjestus'!BZ$3,KOMBI!$A$1:$GI$1,0))</f>
        <v>92</v>
      </c>
      <c r="CA76" s="25">
        <f t="array" ref="CA76">INDEX(KOMBI!$A$1:$GI$145,ROW('KSH järjestus'!CA83),MATCH('KSH järjestus'!CA$3,KOMBI!$A$1:$GI$1,0))</f>
        <v>16.577999999999999</v>
      </c>
      <c r="CB76" s="25">
        <f t="array" ref="CB76">INDEX(KOMBI!$A$1:$GI$145,ROW('KSH järjestus'!CB83),MATCH('KSH järjestus'!CB$3,KOMBI!$A$1:$GI$1,0))</f>
        <v>136.20138888888889</v>
      </c>
      <c r="CC76" s="25">
        <f t="array" ref="CC76">INDEX(KOMBI!$A$1:$GI$145,ROW('KSH järjestus'!CC83),MATCH('KSH järjestus'!CC$3,KOMBI!$A$1:$GI$1,0))</f>
        <v>7.3365539999999996</v>
      </c>
      <c r="CD76" s="25">
        <f t="array" ref="CD76">INDEX(KOMBI!$A$1:$GI$145,ROW('KSH järjestus'!CD83),MATCH('KSH järjestus'!CD$3,KOMBI!$A$1:$GI$1,0))</f>
        <v>306.35000000000002</v>
      </c>
      <c r="CE76" s="25">
        <f t="array" ref="CE76">INDEX(KOMBI!$A$1:$GI$145,ROW('KSH järjestus'!CE83),MATCH('KSH järjestus'!CE$3,KOMBI!$A$1:$GI$1,0))</f>
        <v>2.9929999999999999</v>
      </c>
      <c r="CF76" s="25">
        <f t="array" ref="CF76">INDEX(KOMBI!$A$1:$GI$145,ROW('KSH järjestus'!CF83),MATCH('KSH järjestus'!CF$3,KOMBI!$A$1:$GI$1,0))</f>
        <v>62.712789653214372</v>
      </c>
      <c r="CG76" s="25">
        <f t="array" ref="CG76">INDEX(KOMBI!$A$1:$GI$145,ROW('KSH järjestus'!CG83),MATCH('KSH järjestus'!CG$3,KOMBI!$A$1:$GI$1,0))</f>
        <v>2.2545055318885739E-2</v>
      </c>
      <c r="CH76" s="25">
        <f t="array" ref="CH76">INDEX(KOMBI!$A$1:$GI$145,ROW('KSH järjestus'!CH83),MATCH('KSH järjestus'!CH$3,KOMBI!$A$1:$GI$1,0))</f>
        <v>0.39276127270180083</v>
      </c>
      <c r="CI76" s="25">
        <f t="array" ref="CI76">INDEX(KOMBI!$A$1:$GI$145,ROW('KSH järjestus'!CI83),MATCH('KSH järjestus'!CI$3,KOMBI!$A$1:$GI$1,0))</f>
        <v>6.28</v>
      </c>
      <c r="CJ76" s="25">
        <f t="array" ref="CJ76">INDEX(KOMBI!$A$1:$GI$145,ROW('KSH järjestus'!CJ83),MATCH('KSH järjestus'!CJ$3,KOMBI!$A$1:$GI$1,0))</f>
        <v>8.8423823271229711</v>
      </c>
      <c r="CK76" s="25">
        <f t="array" ref="CK76">INDEX(KOMBI!$A$1:$GI$145,ROW('KSH järjestus'!CK83),MATCH('KSH järjestus'!CK$3,KOMBI!$A$1:$GI$1,0))</f>
        <v>0.21099999999999999</v>
      </c>
      <c r="CL76" s="25">
        <f t="array" ref="CL76">INDEX(KOMBI!$A$1:$GI$145,ROW('KSH järjestus'!CL83),MATCH('KSH järjestus'!CL$3,KOMBI!$A$1:$GI$1,0))</f>
        <v>0.76300000000000001</v>
      </c>
    </row>
    <row r="77" spans="3:90" x14ac:dyDescent="0.2">
      <c r="C77" s="184">
        <v>74</v>
      </c>
      <c r="G77" s="25">
        <f>RANK(INDEX(KOMBI!$A$11:$GI$145,MATCH('KSH järjestus'!$C77,KOMBI!$A$11:$A$145,0),MATCH('KSH järjestus'!G$3,KOMBI!$A$1:$GI$1,0)),BD$4:BD$138,G$2)</f>
        <v>66</v>
      </c>
      <c r="H77" s="25">
        <f>RANK(INDEX(KOMBI!$A$11:$GI$145,MATCH('KSH järjestus'!$C77,KOMBI!$A$11:$A$145,0),MATCH('KSH järjestus'!H$3,KOMBI!$A$1:$GI$1,0)),BE$4:BE$138,H$2)</f>
        <v>20</v>
      </c>
      <c r="J77" s="25">
        <f>RANK(INDEX(KOMBI!$A$11:$GI$145,MATCH('KSH järjestus'!$C77,KOMBI!$A$11:$A$145,0),MATCH('KSH järjestus'!J$3,KOMBI!$A$1:$GI$1,0)),BG$4:BG$138,J$2)</f>
        <v>11</v>
      </c>
      <c r="M77" s="25">
        <f>RANK(INDEX(KOMBI!$A$11:$GI$145,MATCH('KSH järjestus'!$C77,KOMBI!$A$11:$A$145,0),MATCH('KSH järjestus'!M$3,KOMBI!$A$1:$GI$1,0)),BJ$4:BJ$138,M$2)</f>
        <v>1</v>
      </c>
      <c r="N77" s="25">
        <f>RANK(INDEX(KOMBI!$A$11:$GI$145,MATCH('KSH järjestus'!$C77,KOMBI!$A$11:$A$145,0),MATCH('KSH järjestus'!N$3,KOMBI!$A$1:$GI$1,0)),BK$4:BK$138,N$2)</f>
        <v>124</v>
      </c>
      <c r="O77" s="25">
        <f>RANK(INDEX(KOMBI!$A$11:$GI$145,MATCH('KSH järjestus'!$C77,KOMBI!$A$11:$A$145,0),MATCH('KSH järjestus'!O$3,KOMBI!$A$1:$GI$1,0)),BL$4:BL$138,O$2)</f>
        <v>13</v>
      </c>
      <c r="P77" s="25">
        <f>RANK(INDEX(KOMBI!$A$11:$GI$145,MATCH('KSH järjestus'!$C77,KOMBI!$A$11:$A$145,0),MATCH('KSH järjestus'!P$3,KOMBI!$A$1:$GI$1,0)),BM$4:BM$138,P$2)</f>
        <v>22</v>
      </c>
      <c r="Q77" s="25">
        <f>RANK(INDEX(KOMBI!$A$11:$GI$145,MATCH('KSH järjestus'!$C77,KOMBI!$A$11:$A$145,0),MATCH('KSH järjestus'!Q$3,KOMBI!$A$1:$GI$1,0)),BN$4:BN$138,Q$2)</f>
        <v>11</v>
      </c>
      <c r="R77" s="25">
        <f>RANK(INDEX(KOMBI!$A$11:$GI$145,MATCH('KSH järjestus'!$C77,KOMBI!$A$11:$A$145,0),MATCH('KSH järjestus'!R$3,KOMBI!$A$1:$GI$1,0)),BO$4:BO$138,R$2)</f>
        <v>21</v>
      </c>
      <c r="T77" s="25">
        <f>RANK(INDEX(KOMBI!$A$11:$GI$145,MATCH('KSH järjestus'!$C77,KOMBI!$A$11:$A$145,0),MATCH('KSH järjestus'!T$3,KOMBI!$A$1:$GI$1,0)),BQ$4:BQ$138,T$2)</f>
        <v>112</v>
      </c>
      <c r="U77" s="25">
        <f>RANK(INDEX(KOMBI!$A$11:$GI$145,MATCH('KSH järjestus'!$C77,KOMBI!$A$11:$A$145,0),MATCH('KSH järjestus'!U$3,KOMBI!$A$1:$GI$1,0)),BR$4:BR$138,U$2)</f>
        <v>93</v>
      </c>
      <c r="AA77" s="25">
        <f>RANK(INDEX(KOMBI!$A$11:$GI$145,MATCH('KSH järjestus'!$C77,KOMBI!$A$11:$A$145,0),MATCH('KSH järjestus'!AA$3,KOMBI!$A$1:$GI$1,0)),BX$4:BX$138,AA$2)</f>
        <v>121</v>
      </c>
      <c r="AB77" s="25">
        <f>RANK(INDEX(KOMBI!$A$11:$GI$145,MATCH('KSH järjestus'!$C77,KOMBI!$A$11:$A$145,0),MATCH('KSH järjestus'!AB$3,KOMBI!$A$1:$GI$1,0)),BY$4:BY$138,AB$2)</f>
        <v>121</v>
      </c>
      <c r="AC77" s="25">
        <f>RANK(INDEX(KOMBI!$A$11:$GI$145,MATCH('KSH järjestus'!$C77,KOMBI!$A$11:$A$145,0),MATCH('KSH järjestus'!AC$3,KOMBI!$A$1:$GI$1,0)),BZ$4:BZ$138,AC$2)</f>
        <v>115</v>
      </c>
      <c r="AD77" s="25">
        <f>RANK(INDEX(KOMBI!$A$11:$GI$145,MATCH('KSH järjestus'!$C77,KOMBI!$A$11:$A$145,0),MATCH('KSH järjestus'!AD$3,KOMBI!$A$1:$GI$1,0)),CA$4:CA$138,AD$2)</f>
        <v>121</v>
      </c>
      <c r="AE77" s="25">
        <f>RANK(INDEX(KOMBI!$A$11:$GI$145,MATCH('KSH järjestus'!$C77,KOMBI!$A$11:$A$145,0),MATCH('KSH järjestus'!AE$3,KOMBI!$A$1:$GI$1,0)),CB$4:CB$138,AE$2)</f>
        <v>121</v>
      </c>
      <c r="AG77" s="25">
        <f>RANK(INDEX(KOMBI!$A$11:$GI$145,MATCH('KSH järjestus'!$C77,KOMBI!$A$11:$A$145,0),MATCH('KSH järjestus'!AG$3,KOMBI!$A$1:$GI$1,0)),CD$4:CD$138,AG$2)</f>
        <v>46</v>
      </c>
      <c r="AH77" s="25">
        <f>RANK(INDEX(KOMBI!$A$11:$GI$145,MATCH('KSH järjestus'!$C77,KOMBI!$A$11:$A$145,0),MATCH('KSH järjestus'!AH$3,KOMBI!$A$1:$GI$1,0)),CE$4:CE$138,AH$2)</f>
        <v>76</v>
      </c>
      <c r="AI77" s="25">
        <f>RANK(INDEX(KOMBI!$A$11:$GI$145,MATCH('KSH järjestus'!$C77,KOMBI!$A$11:$A$145,0),MATCH('KSH järjestus'!AI$3,KOMBI!$A$1:$GI$1,0)),CF$4:CF$138,AI$2)</f>
        <v>123</v>
      </c>
      <c r="AJ77" s="25">
        <f>RANK(INDEX(KOMBI!$A$11:$GI$145,MATCH('KSH järjestus'!$C77,KOMBI!$A$11:$A$145,0),MATCH('KSH järjestus'!AJ$3,KOMBI!$A$1:$GI$1,0)),CG$4:CG$138,AJ$2)</f>
        <v>76</v>
      </c>
      <c r="AK77" s="25">
        <f>RANK(INDEX(KOMBI!$A$11:$GI$145,MATCH('KSH järjestus'!$C77,KOMBI!$A$11:$A$145,0),MATCH('KSH järjestus'!AK$3,KOMBI!$A$1:$GI$1,0)),CH$4:CH$138,AK$2)</f>
        <v>100</v>
      </c>
      <c r="AN77" s="25">
        <f>RANK(INDEX(KOMBI!$A$11:$GI$145,MATCH('KSH järjestus'!$C77,KOMBI!$A$11:$A$145,0),MATCH('KSH järjestus'!AN$3,KOMBI!$A$1:$GI$1,0)),CK$4:CK$138,AN$2)</f>
        <v>46</v>
      </c>
      <c r="AO77" s="25">
        <f>RANK(INDEX(KOMBI!$A$11:$GI$145,MATCH('KSH järjestus'!$C77,KOMBI!$A$11:$A$145,0),MATCH('KSH järjestus'!AO$3,KOMBI!$A$1:$GI$1,0)),CL$4:CL$138,AO$2)</f>
        <v>46</v>
      </c>
      <c r="AS77" s="297">
        <f t="shared" si="4"/>
        <v>1606</v>
      </c>
      <c r="AT77" s="25">
        <f t="shared" si="5"/>
        <v>1578</v>
      </c>
      <c r="AU77" s="25">
        <f t="shared" si="6"/>
        <v>75</v>
      </c>
      <c r="AV77" s="295" t="str">
        <f>VLOOKUP(VLOOKUP($AU77,KOMBI!$A:$H,3,FALSE),data!$I$27:$J$29,2,FALSE)</f>
        <v>Vähe-sekkuv</v>
      </c>
      <c r="AW77" s="295" t="str">
        <f>VLOOKUP(VLOOKUP($AU77,KOMBI!$A:$H,2,FALSE),data!$I$21:$J$23,2,FALSE)</f>
        <v>Vähe-sekkuv</v>
      </c>
      <c r="AX77" s="295" t="str">
        <f>VLOOKUP(VLOOKUP($AU77,KOMBI!$A:$H,5,FALSE),data!$I$39:$J$41,2,FALSE)</f>
        <v>Sekkuv</v>
      </c>
      <c r="AY77" s="295" t="str">
        <f>VLOOKUP(VLOOKUP($AU77,KOMBI!$A:$H,4,FALSE),data!$I$32:$J$36,2,FALSE)</f>
        <v>PK &amp; UG</v>
      </c>
      <c r="BA77" s="25">
        <f t="array" ref="BA77">INDEX(KOMBI!$A$1:$GI$145,ROW('KSH järjestus'!BA84),MATCH('KSH järjestus'!BA$3,KOMBI!$A$1:$GI$1,0))</f>
        <v>5.5438219842206893</v>
      </c>
      <c r="BB77" s="25">
        <f t="array" ref="BB77">INDEX(KOMBI!$A$1:$GI$145,ROW('KSH järjestus'!BB84),MATCH('KSH järjestus'!BB$3,KOMBI!$A$1:$GI$1,0))</f>
        <v>798.15383156969176</v>
      </c>
      <c r="BC77" s="25">
        <f t="array" aca="1" ref="BC77" ca="1">INDEX(KOMBI!$A$1:$GI$145,ROW('KSH järjestus'!BC84),MATCH('KSH järjestus'!BC$3,KOMBI!$A$1:$GI$1,0))</f>
        <v>168.9806348685737</v>
      </c>
      <c r="BD77" s="25">
        <f t="array" ref="BD77">INDEX(KOMBI!$A$1:$GI$145,ROW('KSH järjestus'!BD84),MATCH('KSH järjestus'!BD$3,KOMBI!$A$1:$GI$1,0))</f>
        <v>-77.074469880632108</v>
      </c>
      <c r="BE77" s="25">
        <f t="array" ref="BE77">INDEX(KOMBI!$A$1:$GI$145,ROW('KSH järjestus'!BE84),MATCH('KSH järjestus'!BE$3,KOMBI!$A$1:$GI$1,0))</f>
        <v>246.05510474920581</v>
      </c>
      <c r="BF77" s="25">
        <f t="array" aca="1" ref="BF77" ca="1">INDEX(KOMBI!$A$1:$GI$145,ROW('KSH järjestus'!BF84),MATCH('KSH järjestus'!BF$3,KOMBI!$A$1:$GI$1,0))</f>
        <v>0</v>
      </c>
      <c r="BG77" s="25">
        <f t="array" ref="BG77">INDEX(KOMBI!$A$1:$GI$145,ROW('KSH järjestus'!BG84),MATCH('KSH järjestus'!BG$3,KOMBI!$A$1:$GI$1,0))</f>
        <v>0.30342209294430827</v>
      </c>
      <c r="BH77" s="25">
        <f t="array" ref="BH77">INDEX(KOMBI!$A$1:$GI$145,ROW('KSH järjestus'!BH84),MATCH('KSH järjestus'!BH$3,KOMBI!$A$1:$GI$1,0))</f>
        <v>90</v>
      </c>
      <c r="BI77" s="25">
        <f t="array" ref="BI77">INDEX(KOMBI!$A$1:$GI$145,ROW('KSH järjestus'!BI84),MATCH('KSH järjestus'!BI$3,KOMBI!$A$1:$GI$1,0))</f>
        <v>0.84317482403548605</v>
      </c>
      <c r="BJ77" s="25">
        <f t="array" ref="BJ77">INDEX(KOMBI!$A$1:$GI$145,ROW('KSH järjestus'!BJ84),MATCH('KSH järjestus'!BJ$3,KOMBI!$A$1:$GI$1,0))</f>
        <v>0</v>
      </c>
      <c r="BK77" s="25">
        <f t="array" ref="BK77">INDEX(KOMBI!$A$1:$GI$145,ROW('KSH järjestus'!BK84),MATCH('KSH järjestus'!BK$3,KOMBI!$A$1:$GI$1,0))</f>
        <v>0.25410657454651348</v>
      </c>
      <c r="BL77" s="25">
        <f t="array" ref="BL77">INDEX(KOMBI!$A$1:$GI$145,ROW('KSH järjestus'!BL84),MATCH('KSH järjestus'!BL$3,KOMBI!$A$1:$GI$1,0))</f>
        <v>2.985554741311585E-2</v>
      </c>
      <c r="BM77" s="25">
        <f t="array" ref="BM77">INDEX(KOMBI!$A$1:$GI$145,ROW('KSH järjestus'!BM84),MATCH('KSH järjestus'!BM$3,KOMBI!$A$1:$GI$1,0))</f>
        <v>7.0098056640464923E-3</v>
      </c>
      <c r="BN77" s="25">
        <f t="array" ref="BN77">INDEX(KOMBI!$A$1:$GI$145,ROW('KSH järjestus'!BN84),MATCH('KSH järjestus'!BN$3,KOMBI!$A$1:$GI$1,0))</f>
        <v>1.3028946595248891E-2</v>
      </c>
      <c r="BO77" s="25">
        <f t="array" ref="BO77">INDEX(KOMBI!$A$1:$GI$145,ROW('KSH järjestus'!BO84),MATCH('KSH järjestus'!BO$3,KOMBI!$A$1:$GI$1,0))</f>
        <v>1.716704844974248E-2</v>
      </c>
      <c r="BP77" s="25">
        <f t="array" ref="BP77">INDEX(KOMBI!$A$1:$GI$145,ROW('KSH järjestus'!BP84),MATCH('KSH järjestus'!BP$3,KOMBI!$A$1:$GI$1,0))</f>
        <v>7.7319896156049159</v>
      </c>
      <c r="BQ77" s="25">
        <f t="array" ref="BQ77">INDEX(KOMBI!$A$1:$GI$145,ROW('KSH järjestus'!BQ84),MATCH('KSH järjestus'!BQ$3,KOMBI!$A$1:$GI$1,0))</f>
        <v>11.468</v>
      </c>
      <c r="BR77" s="25">
        <f t="array" ref="BR77">INDEX(KOMBI!$A$1:$GI$145,ROW('KSH järjestus'!BR84),MATCH('KSH järjestus'!BR$3,KOMBI!$A$1:$GI$1,0))</f>
        <v>-1.4561216912117985E-2</v>
      </c>
      <c r="BS77" s="25">
        <f t="array" ref="BS77">INDEX(KOMBI!$A$1:$GI$145,ROW('KSH järjestus'!BS84),MATCH('KSH järjestus'!BS$3,KOMBI!$A$1:$GI$1,0))</f>
        <v>5.7768622641764356E-2</v>
      </c>
      <c r="BT77" s="25">
        <f t="array" ref="BT77">INDEX(KOMBI!$A$1:$GI$145,ROW('KSH järjestus'!BT84),MATCH('KSH järjestus'!BT$3,KOMBI!$A$1:$GI$1,0))</f>
        <v>5.2436403902425863E-2</v>
      </c>
      <c r="BU77" s="25">
        <f t="array" ref="BU77">INDEX(KOMBI!$A$1:$GI$145,ROW('KSH järjestus'!BU84),MATCH('KSH järjestus'!BU$3,KOMBI!$A$1:$GI$1,0))</f>
        <v>11.758289559723789</v>
      </c>
      <c r="BV77" s="25">
        <f t="array" ref="BV77">INDEX(KOMBI!$A$1:$GI$145,ROW('KSH järjestus'!BV84),MATCH('KSH järjestus'!BV$3,KOMBI!$A$1:$GI$1,0))</f>
        <v>6.0640000000000001</v>
      </c>
      <c r="BW77" s="25">
        <f t="array" ref="BW77">INDEX(KOMBI!$A$1:$GI$145,ROW('KSH järjestus'!BW84),MATCH('KSH järjestus'!BW$3,KOMBI!$A$1:$GI$1,0))</f>
        <v>2.9358823271229704</v>
      </c>
      <c r="BX77" s="25">
        <f t="array" ref="BX77">INDEX(KOMBI!$A$1:$GI$145,ROW('KSH järjestus'!BX84),MATCH('KSH järjestus'!BX$3,KOMBI!$A$1:$GI$1,0))</f>
        <v>22.646999999999998</v>
      </c>
      <c r="BY77" s="25">
        <f t="array" ref="BY77">INDEX(KOMBI!$A$1:$GI$145,ROW('KSH järjestus'!BY84),MATCH('KSH järjestus'!BY$3,KOMBI!$A$1:$GI$1,0))</f>
        <v>38.490916215793227</v>
      </c>
      <c r="BZ77" s="25">
        <f t="array" ref="BZ77">INDEX(KOMBI!$A$1:$GI$145,ROW('KSH järjestus'!BZ84),MATCH('KSH järjestus'!BZ$3,KOMBI!$A$1:$GI$1,0))</f>
        <v>92.4</v>
      </c>
      <c r="CA77" s="25">
        <f t="array" ref="CA77">INDEX(KOMBI!$A$1:$GI$145,ROW('KSH järjestus'!CA84),MATCH('KSH järjestus'!CA$3,KOMBI!$A$1:$GI$1,0))</f>
        <v>16.667000000000002</v>
      </c>
      <c r="CB77" s="25">
        <f t="array" ref="CB77">INDEX(KOMBI!$A$1:$GI$145,ROW('KSH järjestus'!CB84),MATCH('KSH järjestus'!CB$3,KOMBI!$A$1:$GI$1,0))</f>
        <v>136.54166666666666</v>
      </c>
      <c r="CC77" s="25">
        <f t="array" ref="CC77">INDEX(KOMBI!$A$1:$GI$145,ROW('KSH järjestus'!CC84),MATCH('KSH järjestus'!CC$3,KOMBI!$A$1:$GI$1,0))</f>
        <v>7.3698459999999999</v>
      </c>
      <c r="CD77" s="25">
        <f t="array" ref="CD77">INDEX(KOMBI!$A$1:$GI$145,ROW('KSH järjestus'!CD84),MATCH('KSH järjestus'!CD$3,KOMBI!$A$1:$GI$1,0))</f>
        <v>306.35000000000002</v>
      </c>
      <c r="CE77" s="25">
        <f t="array" ref="CE77">INDEX(KOMBI!$A$1:$GI$145,ROW('KSH järjestus'!CE84),MATCH('KSH järjestus'!CE$3,KOMBI!$A$1:$GI$1,0))</f>
        <v>2.9929999999999999</v>
      </c>
      <c r="CF77" s="25">
        <f t="array" ref="CF77">INDEX(KOMBI!$A$1:$GI$145,ROW('KSH järjestus'!CF84),MATCH('KSH järjestus'!CF$3,KOMBI!$A$1:$GI$1,0))</f>
        <v>62.712789653214379</v>
      </c>
      <c r="CG77" s="25">
        <f t="array" ref="CG77">INDEX(KOMBI!$A$1:$GI$145,ROW('KSH järjestus'!CG84),MATCH('KSH järjestus'!CG$3,KOMBI!$A$1:$GI$1,0))</f>
        <v>2.2545055318885739E-2</v>
      </c>
      <c r="CH77" s="25">
        <f t="array" ref="CH77">INDEX(KOMBI!$A$1:$GI$145,ROW('KSH järjestus'!CH84),MATCH('KSH järjestus'!CH$3,KOMBI!$A$1:$GI$1,0))</f>
        <v>0.39276127270180083</v>
      </c>
      <c r="CI77" s="25">
        <f t="array" ref="CI77">INDEX(KOMBI!$A$1:$GI$145,ROW('KSH järjestus'!CI84),MATCH('KSH järjestus'!CI$3,KOMBI!$A$1:$GI$1,0))</f>
        <v>6.28</v>
      </c>
      <c r="CJ77" s="25">
        <f t="array" ref="CJ77">INDEX(KOMBI!$A$1:$GI$145,ROW('KSH järjestus'!CJ84),MATCH('KSH järjestus'!CJ$3,KOMBI!$A$1:$GI$1,0))</f>
        <v>8.8423823271229711</v>
      </c>
      <c r="CK77" s="25">
        <f t="array" ref="CK77">INDEX(KOMBI!$A$1:$GI$145,ROW('KSH järjestus'!CK84),MATCH('KSH järjestus'!CK$3,KOMBI!$A$1:$GI$1,0))</f>
        <v>0.21099999999999999</v>
      </c>
      <c r="CL77" s="25">
        <f t="array" ref="CL77">INDEX(KOMBI!$A$1:$GI$145,ROW('KSH järjestus'!CL84),MATCH('KSH järjestus'!CL$3,KOMBI!$A$1:$GI$1,0))</f>
        <v>0.76300000000000001</v>
      </c>
    </row>
    <row r="78" spans="3:90" x14ac:dyDescent="0.2">
      <c r="C78" s="184">
        <v>75</v>
      </c>
      <c r="G78" s="25">
        <f>RANK(INDEX(KOMBI!$A$11:$GI$145,MATCH('KSH järjestus'!$C78,KOMBI!$A$11:$A$145,0),MATCH('KSH järjestus'!G$3,KOMBI!$A$1:$GI$1,0)),BD$4:BD$138,G$2)</f>
        <v>51</v>
      </c>
      <c r="H78" s="25">
        <f>RANK(INDEX(KOMBI!$A$11:$GI$145,MATCH('KSH järjestus'!$C78,KOMBI!$A$11:$A$145,0),MATCH('KSH järjestus'!H$3,KOMBI!$A$1:$GI$1,0)),BE$4:BE$138,H$2)</f>
        <v>7</v>
      </c>
      <c r="J78" s="25">
        <f>RANK(INDEX(KOMBI!$A$11:$GI$145,MATCH('KSH järjestus'!$C78,KOMBI!$A$11:$A$145,0),MATCH('KSH järjestus'!J$3,KOMBI!$A$1:$GI$1,0)),BG$4:BG$138,J$2)</f>
        <v>12</v>
      </c>
      <c r="M78" s="25">
        <f>RANK(INDEX(KOMBI!$A$11:$GI$145,MATCH('KSH järjestus'!$C78,KOMBI!$A$11:$A$145,0),MATCH('KSH järjestus'!M$3,KOMBI!$A$1:$GI$1,0)),BJ$4:BJ$138,M$2)</f>
        <v>1</v>
      </c>
      <c r="N78" s="25">
        <f>RANK(INDEX(KOMBI!$A$11:$GI$145,MATCH('KSH järjestus'!$C78,KOMBI!$A$11:$A$145,0),MATCH('KSH järjestus'!N$3,KOMBI!$A$1:$GI$1,0)),BK$4:BK$138,N$2)</f>
        <v>124</v>
      </c>
      <c r="O78" s="25">
        <f>RANK(INDEX(KOMBI!$A$11:$GI$145,MATCH('KSH järjestus'!$C78,KOMBI!$A$11:$A$145,0),MATCH('KSH järjestus'!O$3,KOMBI!$A$1:$GI$1,0)),BL$4:BL$138,O$2)</f>
        <v>6</v>
      </c>
      <c r="P78" s="25">
        <f>RANK(INDEX(KOMBI!$A$11:$GI$145,MATCH('KSH järjestus'!$C78,KOMBI!$A$11:$A$145,0),MATCH('KSH järjestus'!P$3,KOMBI!$A$1:$GI$1,0)),BM$4:BM$138,P$2)</f>
        <v>21</v>
      </c>
      <c r="Q78" s="25">
        <f>RANK(INDEX(KOMBI!$A$11:$GI$145,MATCH('KSH järjestus'!$C78,KOMBI!$A$11:$A$145,0),MATCH('KSH järjestus'!Q$3,KOMBI!$A$1:$GI$1,0)),BN$4:BN$138,Q$2)</f>
        <v>6</v>
      </c>
      <c r="R78" s="25">
        <f>RANK(INDEX(KOMBI!$A$11:$GI$145,MATCH('KSH järjestus'!$C78,KOMBI!$A$11:$A$145,0),MATCH('KSH järjestus'!R$3,KOMBI!$A$1:$GI$1,0)),BO$4:BO$138,R$2)</f>
        <v>6</v>
      </c>
      <c r="T78" s="25">
        <f>RANK(INDEX(KOMBI!$A$11:$GI$145,MATCH('KSH järjestus'!$C78,KOMBI!$A$11:$A$145,0),MATCH('KSH järjestus'!T$3,KOMBI!$A$1:$GI$1,0)),BQ$4:BQ$138,T$2)</f>
        <v>119</v>
      </c>
      <c r="U78" s="25">
        <f>RANK(INDEX(KOMBI!$A$11:$GI$145,MATCH('KSH järjestus'!$C78,KOMBI!$A$11:$A$145,0),MATCH('KSH järjestus'!U$3,KOMBI!$A$1:$GI$1,0)),BR$4:BR$138,U$2)</f>
        <v>106</v>
      </c>
      <c r="AA78" s="25">
        <f>RANK(INDEX(KOMBI!$A$11:$GI$145,MATCH('KSH järjestus'!$C78,KOMBI!$A$11:$A$145,0),MATCH('KSH järjestus'!AA$3,KOMBI!$A$1:$GI$1,0)),BX$4:BX$138,AA$2)</f>
        <v>121</v>
      </c>
      <c r="AB78" s="25">
        <f>RANK(INDEX(KOMBI!$A$11:$GI$145,MATCH('KSH järjestus'!$C78,KOMBI!$A$11:$A$145,0),MATCH('KSH järjestus'!AB$3,KOMBI!$A$1:$GI$1,0)),BY$4:BY$138,AB$2)</f>
        <v>121</v>
      </c>
      <c r="AC78" s="25">
        <f>RANK(INDEX(KOMBI!$A$11:$GI$145,MATCH('KSH järjestus'!$C78,KOMBI!$A$11:$A$145,0),MATCH('KSH järjestus'!AC$3,KOMBI!$A$1:$GI$1,0)),BZ$4:BZ$138,AC$2)</f>
        <v>119</v>
      </c>
      <c r="AD78" s="25">
        <f>RANK(INDEX(KOMBI!$A$11:$GI$145,MATCH('KSH järjestus'!$C78,KOMBI!$A$11:$A$145,0),MATCH('KSH järjestus'!AD$3,KOMBI!$A$1:$GI$1,0)),CA$4:CA$138,AD$2)</f>
        <v>124</v>
      </c>
      <c r="AE78" s="25">
        <f>RANK(INDEX(KOMBI!$A$11:$GI$145,MATCH('KSH järjestus'!$C78,KOMBI!$A$11:$A$145,0),MATCH('KSH järjestus'!AE$3,KOMBI!$A$1:$GI$1,0)),CB$4:CB$138,AE$2)</f>
        <v>123</v>
      </c>
      <c r="AG78" s="25">
        <f>RANK(INDEX(KOMBI!$A$11:$GI$145,MATCH('KSH järjestus'!$C78,KOMBI!$A$11:$A$145,0),MATCH('KSH järjestus'!AG$3,KOMBI!$A$1:$GI$1,0)),CD$4:CD$138,AG$2)</f>
        <v>46</v>
      </c>
      <c r="AH78" s="25">
        <f>RANK(INDEX(KOMBI!$A$11:$GI$145,MATCH('KSH järjestus'!$C78,KOMBI!$A$11:$A$145,0),MATCH('KSH järjestus'!AH$3,KOMBI!$A$1:$GI$1,0)),CE$4:CE$138,AH$2)</f>
        <v>76</v>
      </c>
      <c r="AI78" s="25">
        <f>RANK(INDEX(KOMBI!$A$11:$GI$145,MATCH('KSH järjestus'!$C78,KOMBI!$A$11:$A$145,0),MATCH('KSH järjestus'!AI$3,KOMBI!$A$1:$GI$1,0)),CF$4:CF$138,AI$2)</f>
        <v>121</v>
      </c>
      <c r="AJ78" s="25">
        <f>RANK(INDEX(KOMBI!$A$11:$GI$145,MATCH('KSH järjestus'!$C78,KOMBI!$A$11:$A$145,0),MATCH('KSH järjestus'!AJ$3,KOMBI!$A$1:$GI$1,0)),CG$4:CG$138,AJ$2)</f>
        <v>76</v>
      </c>
      <c r="AK78" s="25">
        <f>RANK(INDEX(KOMBI!$A$11:$GI$145,MATCH('KSH järjestus'!$C78,KOMBI!$A$11:$A$145,0),MATCH('KSH järjestus'!AK$3,KOMBI!$A$1:$GI$1,0)),CH$4:CH$138,AK$2)</f>
        <v>100</v>
      </c>
      <c r="AN78" s="25">
        <f>RANK(INDEX(KOMBI!$A$11:$GI$145,MATCH('KSH järjestus'!$C78,KOMBI!$A$11:$A$145,0),MATCH('KSH järjestus'!AN$3,KOMBI!$A$1:$GI$1,0)),CK$4:CK$138,AN$2)</f>
        <v>46</v>
      </c>
      <c r="AO78" s="25">
        <f>RANK(INDEX(KOMBI!$A$11:$GI$145,MATCH('KSH järjestus'!$C78,KOMBI!$A$11:$A$145,0),MATCH('KSH järjestus'!AO$3,KOMBI!$A$1:$GI$1,0)),CL$4:CL$138,AO$2)</f>
        <v>46</v>
      </c>
      <c r="AS78" s="297">
        <f t="shared" si="4"/>
        <v>1578</v>
      </c>
      <c r="AT78" s="25">
        <f t="shared" si="5"/>
        <v>1596</v>
      </c>
      <c r="AU78" s="25">
        <f t="shared" si="6"/>
        <v>33</v>
      </c>
      <c r="AV78" s="295" t="str">
        <f>VLOOKUP(VLOOKUP($AU78,KOMBI!$A:$H,3,FALSE),data!$I$27:$J$29,2,FALSE)</f>
        <v>Sekkuv/EÜ</v>
      </c>
      <c r="AW78" s="295" t="str">
        <f>VLOOKUP(VLOOKUP($AU78,KOMBI!$A:$H,2,FALSE),data!$I$21:$J$23,2,FALSE)</f>
        <v>Mittesekkuv</v>
      </c>
      <c r="AX78" s="295" t="str">
        <f>VLOOKUP(VLOOKUP($AU78,KOMBI!$A:$H,5,FALSE),data!$I$39:$J$41,2,FALSE)</f>
        <v>Sekkuv</v>
      </c>
      <c r="AY78" s="295" t="str">
        <f>VLOOKUP(VLOOKUP($AU78,KOMBI!$A:$H,4,FALSE),data!$I$32:$J$36,2,FALSE)</f>
        <v>LIB</v>
      </c>
      <c r="BA78" s="25">
        <f t="array" ref="BA78">INDEX(KOMBI!$A$1:$GI$145,ROW('KSH järjestus'!BA85),MATCH('KSH järjestus'!BA$3,KOMBI!$A$1:$GI$1,0))</f>
        <v>6.4489217064622135</v>
      </c>
      <c r="BB78" s="25">
        <f t="array" ref="BB78">INDEX(KOMBI!$A$1:$GI$145,ROW('KSH järjestus'!BB85),MATCH('KSH järjestus'!BB$3,KOMBI!$A$1:$GI$1,0))</f>
        <v>914.76462258717106</v>
      </c>
      <c r="BC78" s="25">
        <f t="array" aca="1" ref="BC78" ca="1">INDEX(KOMBI!$A$1:$GI$145,ROW('KSH järjestus'!BC85),MATCH('KSH järjestus'!BC$3,KOMBI!$A$1:$GI$1,0))</f>
        <v>185.53504922765859</v>
      </c>
      <c r="BD78" s="25">
        <f t="array" ref="BD78">INDEX(KOMBI!$A$1:$GI$145,ROW('KSH järjestus'!BD85),MATCH('KSH järjestus'!BD$3,KOMBI!$A$1:$GI$1,0))</f>
        <v>-96.182063699091032</v>
      </c>
      <c r="BE78" s="25">
        <f t="array" ref="BE78">INDEX(KOMBI!$A$1:$GI$145,ROW('KSH järjestus'!BE85),MATCH('KSH järjestus'!BE$3,KOMBI!$A$1:$GI$1,0))</f>
        <v>281.71711292674962</v>
      </c>
      <c r="BF78" s="25">
        <f t="array" aca="1" ref="BF78" ca="1">INDEX(KOMBI!$A$1:$GI$145,ROW('KSH järjestus'!BF85),MATCH('KSH järjestus'!BF$3,KOMBI!$A$1:$GI$1,0))</f>
        <v>0</v>
      </c>
      <c r="BG78" s="25">
        <f t="array" ref="BG78">INDEX(KOMBI!$A$1:$GI$145,ROW('KSH järjestus'!BG85),MATCH('KSH järjestus'!BG$3,KOMBI!$A$1:$GI$1,0))</f>
        <v>0.30342209294430833</v>
      </c>
      <c r="BH78" s="25">
        <f t="array" ref="BH78">INDEX(KOMBI!$A$1:$GI$145,ROW('KSH järjestus'!BH85),MATCH('KSH järjestus'!BH$3,KOMBI!$A$1:$GI$1,0))</f>
        <v>90</v>
      </c>
      <c r="BI78" s="25">
        <f t="array" ref="BI78">INDEX(KOMBI!$A$1:$GI$145,ROW('KSH järjestus'!BI85),MATCH('KSH järjestus'!BI$3,KOMBI!$A$1:$GI$1,0))</f>
        <v>0.84317482403548605</v>
      </c>
      <c r="BJ78" s="25">
        <f t="array" ref="BJ78">INDEX(KOMBI!$A$1:$GI$145,ROW('KSH järjestus'!BJ85),MATCH('KSH järjestus'!BJ$3,KOMBI!$A$1:$GI$1,0))</f>
        <v>0</v>
      </c>
      <c r="BK78" s="25">
        <f t="array" ref="BK78">INDEX(KOMBI!$A$1:$GI$145,ROW('KSH järjestus'!BK85),MATCH('KSH järjestus'!BK$3,KOMBI!$A$1:$GI$1,0))</f>
        <v>0.25410657454651348</v>
      </c>
      <c r="BL78" s="25">
        <f t="array" ref="BL78">INDEX(KOMBI!$A$1:$GI$145,ROW('KSH järjestus'!BL85),MATCH('KSH järjestus'!BL$3,KOMBI!$A$1:$GI$1,0))</f>
        <v>3.4506602791362369E-2</v>
      </c>
      <c r="BM78" s="25">
        <f t="array" ref="BM78">INDEX(KOMBI!$A$1:$GI$145,ROW('KSH järjestus'!BM85),MATCH('KSH järjestus'!BM$3,KOMBI!$A$1:$GI$1,0))</f>
        <v>7.0225713910878774E-3</v>
      </c>
      <c r="BN78" s="25">
        <f t="array" ref="BN78">INDEX(KOMBI!$A$1:$GI$145,ROW('KSH järjestus'!BN85),MATCH('KSH järjestus'!BN$3,KOMBI!$A$1:$GI$1,0))</f>
        <v>1.4359736431295622E-2</v>
      </c>
      <c r="BO78" s="25">
        <f t="array" ref="BO78">INDEX(KOMBI!$A$1:$GI$145,ROW('KSH järjestus'!BO85),MATCH('KSH järjestus'!BO$3,KOMBI!$A$1:$GI$1,0))</f>
        <v>2.0560911897907333E-2</v>
      </c>
      <c r="BP78" s="25">
        <f t="array" ref="BP78">INDEX(KOMBI!$A$1:$GI$145,ROW('KSH järjestus'!BP85),MATCH('KSH järjestus'!BP$3,KOMBI!$A$1:$GI$1,0))</f>
        <v>7.7319896156049159</v>
      </c>
      <c r="BQ78" s="25">
        <f t="array" ref="BQ78">INDEX(KOMBI!$A$1:$GI$145,ROW('KSH järjestus'!BQ85),MATCH('KSH järjestus'!BQ$3,KOMBI!$A$1:$GI$1,0))</f>
        <v>11.692</v>
      </c>
      <c r="BR78" s="25">
        <f t="array" ref="BR78">INDEX(KOMBI!$A$1:$GI$145,ROW('KSH järjestus'!BR85),MATCH('KSH järjestus'!BR$3,KOMBI!$A$1:$GI$1,0))</f>
        <v>-1.0581729781672088E-2</v>
      </c>
      <c r="BS78" s="25">
        <f t="array" ref="BS78">INDEX(KOMBI!$A$1:$GI$145,ROW('KSH järjestus'!BS85),MATCH('KSH järjestus'!BS$3,KOMBI!$A$1:$GI$1,0))</f>
        <v>5.9027782558052806E-2</v>
      </c>
      <c r="BT78" s="25">
        <f t="array" ref="BT78">INDEX(KOMBI!$A$1:$GI$145,ROW('KSH järjestus'!BT85),MATCH('KSH järjestus'!BT$3,KOMBI!$A$1:$GI$1,0))</f>
        <v>5.3897122875652119E-2</v>
      </c>
      <c r="BU78" s="25">
        <f t="array" ref="BU78">INDEX(KOMBI!$A$1:$GI$145,ROW('KSH järjestus'!BU85),MATCH('KSH järjestus'!BU$3,KOMBI!$A$1:$GI$1,0))</f>
        <v>11.758289559723789</v>
      </c>
      <c r="BV78" s="25">
        <f t="array" ref="BV78">INDEX(KOMBI!$A$1:$GI$145,ROW('KSH järjestus'!BV85),MATCH('KSH järjestus'!BV$3,KOMBI!$A$1:$GI$1,0))</f>
        <v>6.0640000000000001</v>
      </c>
      <c r="BW78" s="25">
        <f t="array" ref="BW78">INDEX(KOMBI!$A$1:$GI$145,ROW('KSH järjestus'!BW85),MATCH('KSH järjestus'!BW$3,KOMBI!$A$1:$GI$1,0))</f>
        <v>3.1445823271229703</v>
      </c>
      <c r="BX78" s="25">
        <f t="array" ref="BX78">INDEX(KOMBI!$A$1:$GI$145,ROW('KSH järjestus'!BX85),MATCH('KSH järjestus'!BX$3,KOMBI!$A$1:$GI$1,0))</f>
        <v>22.646999999999998</v>
      </c>
      <c r="BY78" s="25">
        <f t="array" ref="BY78">INDEX(KOMBI!$A$1:$GI$145,ROW('KSH järjestus'!BY85),MATCH('KSH järjestus'!BY$3,KOMBI!$A$1:$GI$1,0))</f>
        <v>38.490916215793227</v>
      </c>
      <c r="BZ78" s="25">
        <f t="array" ref="BZ78">INDEX(KOMBI!$A$1:$GI$145,ROW('KSH järjestus'!BZ85),MATCH('KSH järjestus'!BZ$3,KOMBI!$A$1:$GI$1,0))</f>
        <v>94</v>
      </c>
      <c r="CA78" s="25">
        <f t="array" ref="CA78">INDEX(KOMBI!$A$1:$GI$145,ROW('KSH järjestus'!CA85),MATCH('KSH järjestus'!CA$3,KOMBI!$A$1:$GI$1,0))</f>
        <v>16.919</v>
      </c>
      <c r="CB78" s="25">
        <f t="array" ref="CB78">INDEX(KOMBI!$A$1:$GI$145,ROW('KSH järjestus'!CB85),MATCH('KSH järjestus'!CB$3,KOMBI!$A$1:$GI$1,0))</f>
        <v>137.44972222222222</v>
      </c>
      <c r="CC78" s="25">
        <f t="array" ref="CC78">INDEX(KOMBI!$A$1:$GI$145,ROW('KSH järjestus'!CC85),MATCH('KSH järjestus'!CC$3,KOMBI!$A$1:$GI$1,0))</f>
        <v>7.4631910000000001</v>
      </c>
      <c r="CD78" s="25">
        <f t="array" ref="CD78">INDEX(KOMBI!$A$1:$GI$145,ROW('KSH järjestus'!CD85),MATCH('KSH järjestus'!CD$3,KOMBI!$A$1:$GI$1,0))</f>
        <v>306.35000000000002</v>
      </c>
      <c r="CE78" s="25">
        <f t="array" ref="CE78">INDEX(KOMBI!$A$1:$GI$145,ROW('KSH järjestus'!CE85),MATCH('KSH järjestus'!CE$3,KOMBI!$A$1:$GI$1,0))</f>
        <v>2.9929999999999999</v>
      </c>
      <c r="CF78" s="25">
        <f t="array" ref="CF78">INDEX(KOMBI!$A$1:$GI$145,ROW('KSH järjestus'!CF85),MATCH('KSH järjestus'!CF$3,KOMBI!$A$1:$GI$1,0))</f>
        <v>62.712789653214372</v>
      </c>
      <c r="CG78" s="25">
        <f t="array" ref="CG78">INDEX(KOMBI!$A$1:$GI$145,ROW('KSH järjestus'!CG85),MATCH('KSH järjestus'!CG$3,KOMBI!$A$1:$GI$1,0))</f>
        <v>2.2545055318885739E-2</v>
      </c>
      <c r="CH78" s="25">
        <f t="array" ref="CH78">INDEX(KOMBI!$A$1:$GI$145,ROW('KSH järjestus'!CH85),MATCH('KSH järjestus'!CH$3,KOMBI!$A$1:$GI$1,0))</f>
        <v>0.39276127270180083</v>
      </c>
      <c r="CI78" s="25">
        <f t="array" ref="CI78">INDEX(KOMBI!$A$1:$GI$145,ROW('KSH järjestus'!CI85),MATCH('KSH järjestus'!CI$3,KOMBI!$A$1:$GI$1,0))</f>
        <v>6.28</v>
      </c>
      <c r="CJ78" s="25">
        <f t="array" ref="CJ78">INDEX(KOMBI!$A$1:$GI$145,ROW('KSH järjestus'!CJ85),MATCH('KSH järjestus'!CJ$3,KOMBI!$A$1:$GI$1,0))</f>
        <v>8.8423823271229711</v>
      </c>
      <c r="CK78" s="25">
        <f t="array" ref="CK78">INDEX(KOMBI!$A$1:$GI$145,ROW('KSH järjestus'!CK85),MATCH('KSH järjestus'!CK$3,KOMBI!$A$1:$GI$1,0))</f>
        <v>0.21099999999999999</v>
      </c>
      <c r="CL78" s="25">
        <f t="array" ref="CL78">INDEX(KOMBI!$A$1:$GI$145,ROW('KSH järjestus'!CL85),MATCH('KSH järjestus'!CL$3,KOMBI!$A$1:$GI$1,0))</f>
        <v>0.76300000000000001</v>
      </c>
    </row>
    <row r="79" spans="3:90" x14ac:dyDescent="0.2">
      <c r="C79" s="184">
        <v>76</v>
      </c>
      <c r="G79" s="25">
        <f>RANK(INDEX(KOMBI!$A$11:$GI$145,MATCH('KSH järjestus'!$C79,KOMBI!$A$11:$A$145,0),MATCH('KSH järjestus'!G$3,KOMBI!$A$1:$GI$1,0)),BD$4:BD$138,G$2)</f>
        <v>31</v>
      </c>
      <c r="H79" s="25">
        <f>RANK(INDEX(KOMBI!$A$11:$GI$145,MATCH('KSH järjestus'!$C79,KOMBI!$A$11:$A$145,0),MATCH('KSH järjestus'!H$3,KOMBI!$A$1:$GI$1,0)),BE$4:BE$138,H$2)</f>
        <v>101</v>
      </c>
      <c r="J79" s="25">
        <f>RANK(INDEX(KOMBI!$A$11:$GI$145,MATCH('KSH järjestus'!$C79,KOMBI!$A$11:$A$145,0),MATCH('KSH järjestus'!J$3,KOMBI!$A$1:$GI$1,0)),BG$4:BG$138,J$2)</f>
        <v>95</v>
      </c>
      <c r="M79" s="25">
        <f>RANK(INDEX(KOMBI!$A$11:$GI$145,MATCH('KSH järjestus'!$C79,KOMBI!$A$11:$A$145,0),MATCH('KSH järjestus'!M$3,KOMBI!$A$1:$GI$1,0)),BJ$4:BJ$138,M$2)</f>
        <v>55</v>
      </c>
      <c r="N79" s="25">
        <f>RANK(INDEX(KOMBI!$A$11:$GI$145,MATCH('KSH järjestus'!$C79,KOMBI!$A$11:$A$145,0),MATCH('KSH järjestus'!N$3,KOMBI!$A$1:$GI$1,0)),BK$4:BK$138,N$2)</f>
        <v>79</v>
      </c>
      <c r="O79" s="25">
        <f>RANK(INDEX(KOMBI!$A$11:$GI$145,MATCH('KSH järjestus'!$C79,KOMBI!$A$11:$A$145,0),MATCH('KSH järjestus'!O$3,KOMBI!$A$1:$GI$1,0)),BL$4:BL$138,O$2)</f>
        <v>120</v>
      </c>
      <c r="P79" s="25">
        <f>RANK(INDEX(KOMBI!$A$11:$GI$145,MATCH('KSH järjestus'!$C79,KOMBI!$A$11:$A$145,0),MATCH('KSH järjestus'!P$3,KOMBI!$A$1:$GI$1,0)),BM$4:BM$138,P$2)</f>
        <v>70</v>
      </c>
      <c r="Q79" s="25">
        <f>RANK(INDEX(KOMBI!$A$11:$GI$145,MATCH('KSH järjestus'!$C79,KOMBI!$A$11:$A$145,0),MATCH('KSH järjestus'!Q$3,KOMBI!$A$1:$GI$1,0)),BN$4:BN$138,Q$2)</f>
        <v>130</v>
      </c>
      <c r="R79" s="25">
        <f>RANK(INDEX(KOMBI!$A$11:$GI$145,MATCH('KSH järjestus'!$C79,KOMBI!$A$11:$A$145,0),MATCH('KSH järjestus'!R$3,KOMBI!$A$1:$GI$1,0)),BO$4:BO$138,R$2)</f>
        <v>96</v>
      </c>
      <c r="T79" s="25">
        <f>RANK(INDEX(KOMBI!$A$11:$GI$145,MATCH('KSH järjestus'!$C79,KOMBI!$A$11:$A$145,0),MATCH('KSH järjestus'!T$3,KOMBI!$A$1:$GI$1,0)),BQ$4:BQ$138,T$2)</f>
        <v>33</v>
      </c>
      <c r="U79" s="25">
        <f>RANK(INDEX(KOMBI!$A$11:$GI$145,MATCH('KSH järjestus'!$C79,KOMBI!$A$11:$A$145,0),MATCH('KSH järjestus'!U$3,KOMBI!$A$1:$GI$1,0)),BR$4:BR$138,U$2)</f>
        <v>35</v>
      </c>
      <c r="AA79" s="25">
        <f>RANK(INDEX(KOMBI!$A$11:$GI$145,MATCH('KSH järjestus'!$C79,KOMBI!$A$11:$A$145,0),MATCH('KSH järjestus'!AA$3,KOMBI!$A$1:$GI$1,0)),BX$4:BX$138,AA$2)</f>
        <v>28</v>
      </c>
      <c r="AB79" s="25">
        <f>RANK(INDEX(KOMBI!$A$11:$GI$145,MATCH('KSH järjestus'!$C79,KOMBI!$A$11:$A$145,0),MATCH('KSH järjestus'!AB$3,KOMBI!$A$1:$GI$1,0)),BY$4:BY$138,AB$2)</f>
        <v>43</v>
      </c>
      <c r="AC79" s="25">
        <f>RANK(INDEX(KOMBI!$A$11:$GI$145,MATCH('KSH järjestus'!$C79,KOMBI!$A$11:$A$145,0),MATCH('KSH järjestus'!AC$3,KOMBI!$A$1:$GI$1,0)),BZ$4:BZ$138,AC$2)</f>
        <v>19</v>
      </c>
      <c r="AD79" s="25">
        <f>RANK(INDEX(KOMBI!$A$11:$GI$145,MATCH('KSH järjestus'!$C79,KOMBI!$A$11:$A$145,0),MATCH('KSH järjestus'!AD$3,KOMBI!$A$1:$GI$1,0)),CA$4:CA$138,AD$2)</f>
        <v>49</v>
      </c>
      <c r="AE79" s="25">
        <f>RANK(INDEX(KOMBI!$A$11:$GI$145,MATCH('KSH järjestus'!$C79,KOMBI!$A$11:$A$145,0),MATCH('KSH järjestus'!AE$3,KOMBI!$A$1:$GI$1,0)),CB$4:CB$138,AE$2)</f>
        <v>46</v>
      </c>
      <c r="AG79" s="25">
        <f>RANK(INDEX(KOMBI!$A$11:$GI$145,MATCH('KSH järjestus'!$C79,KOMBI!$A$11:$A$145,0),MATCH('KSH järjestus'!AG$3,KOMBI!$A$1:$GI$1,0)),CD$4:CD$138,AG$2)</f>
        <v>34</v>
      </c>
      <c r="AH79" s="25">
        <f>RANK(INDEX(KOMBI!$A$11:$GI$145,MATCH('KSH järjestus'!$C79,KOMBI!$A$11:$A$145,0),MATCH('KSH järjestus'!AH$3,KOMBI!$A$1:$GI$1,0)),CE$4:CE$138,AH$2)</f>
        <v>61</v>
      </c>
      <c r="AI79" s="25">
        <f>RANK(INDEX(KOMBI!$A$11:$GI$145,MATCH('KSH järjestus'!$C79,KOMBI!$A$11:$A$145,0),MATCH('KSH järjestus'!AI$3,KOMBI!$A$1:$GI$1,0)),CF$4:CF$138,AI$2)</f>
        <v>46</v>
      </c>
      <c r="AJ79" s="25">
        <f>RANK(INDEX(KOMBI!$A$11:$GI$145,MATCH('KSH järjestus'!$C79,KOMBI!$A$11:$A$145,0),MATCH('KSH järjestus'!AJ$3,KOMBI!$A$1:$GI$1,0)),CG$4:CG$138,AJ$2)</f>
        <v>52</v>
      </c>
      <c r="AK79" s="25">
        <f>RANK(INDEX(KOMBI!$A$11:$GI$145,MATCH('KSH järjestus'!$C79,KOMBI!$A$11:$A$145,0),MATCH('KSH järjestus'!AK$3,KOMBI!$A$1:$GI$1,0)),CH$4:CH$138,AK$2)</f>
        <v>85</v>
      </c>
      <c r="AN79" s="25">
        <f>RANK(INDEX(KOMBI!$A$11:$GI$145,MATCH('KSH järjestus'!$C79,KOMBI!$A$11:$A$145,0),MATCH('KSH järjestus'!AN$3,KOMBI!$A$1:$GI$1,0)),CK$4:CK$138,AN$2)</f>
        <v>1</v>
      </c>
      <c r="AO79" s="25">
        <f>RANK(INDEX(KOMBI!$A$11:$GI$145,MATCH('KSH järjestus'!$C79,KOMBI!$A$11:$A$145,0),MATCH('KSH järjestus'!AO$3,KOMBI!$A$1:$GI$1,0)),CL$4:CL$138,AO$2)</f>
        <v>1</v>
      </c>
      <c r="AS79" s="297">
        <f t="shared" si="4"/>
        <v>1310</v>
      </c>
      <c r="AT79" s="25">
        <f t="shared" si="5"/>
        <v>1602</v>
      </c>
      <c r="AU79" s="25">
        <f t="shared" si="6"/>
        <v>36</v>
      </c>
      <c r="AV79" s="295" t="str">
        <f>VLOOKUP(VLOOKUP($AU79,KOMBI!$A:$H,3,FALSE),data!$I$27:$J$29,2,FALSE)</f>
        <v>Sekkuv/EÜ</v>
      </c>
      <c r="AW79" s="295" t="str">
        <f>VLOOKUP(VLOOKUP($AU79,KOMBI!$A:$H,2,FALSE),data!$I$21:$J$23,2,FALSE)</f>
        <v>Mittesekkuv</v>
      </c>
      <c r="AX79" s="295" t="str">
        <f>VLOOKUP(VLOOKUP($AU79,KOMBI!$A:$H,5,FALSE),data!$I$39:$J$41,2,FALSE)</f>
        <v>Sekkuv</v>
      </c>
      <c r="AY79" s="295" t="str">
        <f>VLOOKUP(VLOOKUP($AU79,KOMBI!$A:$H,4,FALSE),data!$I$32:$J$36,2,FALSE)</f>
        <v>LIB+</v>
      </c>
      <c r="BA79" s="25">
        <f t="array" ref="BA79">INDEX(KOMBI!$A$1:$GI$145,ROW('KSH järjestus'!BA86),MATCH('KSH järjestus'!BA$3,KOMBI!$A$1:$GI$1,0))</f>
        <v>3.340235852100859</v>
      </c>
      <c r="BB79" s="25">
        <f t="array" ref="BB79">INDEX(KOMBI!$A$1:$GI$145,ROW('KSH järjestus'!BB86),MATCH('KSH järjestus'!BB$3,KOMBI!$A$1:$GI$1,0))</f>
        <v>201.44919621214459</v>
      </c>
      <c r="BC79" s="25">
        <f t="array" aca="1" ref="BC79" ca="1">INDEX(KOMBI!$A$1:$GI$145,ROW('KSH järjestus'!BC86),MATCH('KSH järjestus'!BC$3,KOMBI!$A$1:$GI$1,0))</f>
        <v>-33.590374114999975</v>
      </c>
      <c r="BD79" s="25">
        <f t="array" ref="BD79">INDEX(KOMBI!$A$1:$GI$145,ROW('KSH järjestus'!BD86),MATCH('KSH järjestus'!BD$3,KOMBI!$A$1:$GI$1,0))</f>
        <v>-147.50125</v>
      </c>
      <c r="BE79" s="25">
        <f t="array" ref="BE79">INDEX(KOMBI!$A$1:$GI$145,ROW('KSH järjestus'!BE86),MATCH('KSH järjestus'!BE$3,KOMBI!$A$1:$GI$1,0))</f>
        <v>113.91087588500002</v>
      </c>
      <c r="BF79" s="25">
        <f t="array" aca="1" ref="BF79" ca="1">INDEX(KOMBI!$A$1:$GI$145,ROW('KSH järjestus'!BF86),MATCH('KSH järjestus'!BF$3,KOMBI!$A$1:$GI$1,0))</f>
        <v>0</v>
      </c>
      <c r="BG79" s="25">
        <f t="array" ref="BG79">INDEX(KOMBI!$A$1:$GI$145,ROW('KSH järjestus'!BG86),MATCH('KSH järjestus'!BG$3,KOMBI!$A$1:$GI$1,0))</f>
        <v>0.58355813738534457</v>
      </c>
      <c r="BH79" s="25">
        <f t="array" ref="BH79">INDEX(KOMBI!$A$1:$GI$145,ROW('KSH järjestus'!BH86),MATCH('KSH järjestus'!BH$3,KOMBI!$A$1:$GI$1,0))</f>
        <v>90</v>
      </c>
      <c r="BI79" s="25">
        <f t="array" ref="BI79">INDEX(KOMBI!$A$1:$GI$145,ROW('KSH järjestus'!BI86),MATCH('KSH järjestus'!BI$3,KOMBI!$A$1:$GI$1,0))</f>
        <v>1</v>
      </c>
      <c r="BJ79" s="25">
        <f t="array" ref="BJ79">INDEX(KOMBI!$A$1:$GI$145,ROW('KSH järjestus'!BJ86),MATCH('KSH järjestus'!BJ$3,KOMBI!$A$1:$GI$1,0))</f>
        <v>0.27911646586345373</v>
      </c>
      <c r="BK79" s="25">
        <f t="array" ref="BK79">INDEX(KOMBI!$A$1:$GI$145,ROW('KSH järjestus'!BK86),MATCH('KSH järjestus'!BK$3,KOMBI!$A$1:$GI$1,0))</f>
        <v>0.33424065071890413</v>
      </c>
      <c r="BL79" s="25">
        <f t="array" ref="BL79">INDEX(KOMBI!$A$1:$GI$145,ROW('KSH järjestus'!BL86),MATCH('KSH järjestus'!BL$3,KOMBI!$A$1:$GI$1,0))</f>
        <v>7.7690474178552836E-3</v>
      </c>
      <c r="BM79" s="25">
        <f t="array" ref="BM79">INDEX(KOMBI!$A$1:$GI$145,ROW('KSH järjestus'!BM86),MATCH('KSH järjestus'!BM$3,KOMBI!$A$1:$GI$1,0))</f>
        <v>1.2362263497144761E-3</v>
      </c>
      <c r="BN79" s="25">
        <f t="array" ref="BN79">INDEX(KOMBI!$A$1:$GI$145,ROW('KSH järjestus'!BN86),MATCH('KSH järjestus'!BN$3,KOMBI!$A$1:$GI$1,0))</f>
        <v>-1.4062582995872375E-3</v>
      </c>
      <c r="BO79" s="25">
        <f t="array" ref="BO79">INDEX(KOMBI!$A$1:$GI$145,ROW('KSH järjestus'!BO86),MATCH('KSH järjestus'!BO$3,KOMBI!$A$1:$GI$1,0))</f>
        <v>9.2211187347744535E-3</v>
      </c>
      <c r="BP79" s="25">
        <f t="array" ref="BP79">INDEX(KOMBI!$A$1:$GI$145,ROW('KSH järjestus'!BP86),MATCH('KSH järjestus'!BP$3,KOMBI!$A$1:$GI$1,0))</f>
        <v>7.5869999999999997</v>
      </c>
      <c r="BQ79" s="25">
        <f t="array" ref="BQ79">INDEX(KOMBI!$A$1:$GI$145,ROW('KSH järjestus'!BQ86),MATCH('KSH järjestus'!BQ$3,KOMBI!$A$1:$GI$1,0))</f>
        <v>10.212999999999999</v>
      </c>
      <c r="BR79" s="25">
        <f t="array" ref="BR79">INDEX(KOMBI!$A$1:$GI$145,ROW('KSH järjestus'!BR86),MATCH('KSH järjestus'!BR$3,KOMBI!$A$1:$GI$1,0))</f>
        <v>-3.7359382319828036E-2</v>
      </c>
      <c r="BS79" s="25">
        <f t="array" ref="BS79">INDEX(KOMBI!$A$1:$GI$145,ROW('KSH järjestus'!BS86),MATCH('KSH järjestus'!BS$3,KOMBI!$A$1:$GI$1,0))</f>
        <v>-3.9468204271577198E-2</v>
      </c>
      <c r="BT79" s="25">
        <f t="array" ref="BT79">INDEX(KOMBI!$A$1:$GI$145,ROW('KSH järjestus'!BT86),MATCH('KSH järjestus'!BT$3,KOMBI!$A$1:$GI$1,0))</f>
        <v>-5.7309725960158923E-2</v>
      </c>
      <c r="BU79" s="25">
        <f t="array" ref="BU79">INDEX(KOMBI!$A$1:$GI$145,ROW('KSH järjestus'!BU86),MATCH('KSH järjestus'!BU$3,KOMBI!$A$1:$GI$1,0))</f>
        <v>8.07628955972379</v>
      </c>
      <c r="BV79" s="25">
        <f t="array" ref="BV79">INDEX(KOMBI!$A$1:$GI$145,ROW('KSH järjestus'!BV86),MATCH('KSH järjestus'!BV$3,KOMBI!$A$1:$GI$1,0))</f>
        <v>4.9059999999999997</v>
      </c>
      <c r="BW79" s="25">
        <f t="array" ref="BW79">INDEX(KOMBI!$A$1:$GI$145,ROW('KSH järjestus'!BW86),MATCH('KSH järjestus'!BW$3,KOMBI!$A$1:$GI$1,0))</f>
        <v>2.3993823271229702</v>
      </c>
      <c r="BX79" s="25">
        <f t="array" ref="BX79">INDEX(KOMBI!$A$1:$GI$145,ROW('KSH järjestus'!BX86),MATCH('KSH järjestus'!BX$3,KOMBI!$A$1:$GI$1,0))</f>
        <v>17.477</v>
      </c>
      <c r="BY79" s="25">
        <f t="array" ref="BY79">INDEX(KOMBI!$A$1:$GI$145,ROW('KSH järjestus'!BY86),MATCH('KSH järjestus'!BY$3,KOMBI!$A$1:$GI$1,0))</f>
        <v>11.223743209992719</v>
      </c>
      <c r="BZ79" s="25">
        <f t="array" ref="BZ79">INDEX(KOMBI!$A$1:$GI$145,ROW('KSH järjestus'!BZ86),MATCH('KSH järjestus'!BZ$3,KOMBI!$A$1:$GI$1,0))</f>
        <v>69</v>
      </c>
      <c r="CA79" s="25">
        <f t="array" ref="CA79">INDEX(KOMBI!$A$1:$GI$145,ROW('KSH järjestus'!CA86),MATCH('KSH järjestus'!CA$3,KOMBI!$A$1:$GI$1,0))</f>
        <v>13.78</v>
      </c>
      <c r="CB79" s="25">
        <f t="array" ref="CB79">INDEX(KOMBI!$A$1:$GI$145,ROW('KSH järjestus'!CB86),MATCH('KSH järjestus'!CB$3,KOMBI!$A$1:$GI$1,0))</f>
        <v>61.248888888888892</v>
      </c>
      <c r="CC79" s="25">
        <f t="array" ref="CC79">INDEX(KOMBI!$A$1:$GI$145,ROW('KSH järjestus'!CC86),MATCH('KSH järjestus'!CC$3,KOMBI!$A$1:$GI$1,0))</f>
        <v>4.9062619999999999</v>
      </c>
      <c r="CD79" s="25">
        <f t="array" ref="CD79">INDEX(KOMBI!$A$1:$GI$145,ROW('KSH järjestus'!CD86),MATCH('KSH järjestus'!CD$3,KOMBI!$A$1:$GI$1,0))</f>
        <v>297.04999999999995</v>
      </c>
      <c r="CE79" s="25">
        <f t="array" ref="CE79">INDEX(KOMBI!$A$1:$GI$145,ROW('KSH järjestus'!CE86),MATCH('KSH järjestus'!CE$3,KOMBI!$A$1:$GI$1,0))</f>
        <v>2.8980000000000001</v>
      </c>
      <c r="CF79" s="25">
        <f t="array" ref="CF79">INDEX(KOMBI!$A$1:$GI$145,ROW('KSH järjestus'!CF86),MATCH('KSH järjestus'!CF$3,KOMBI!$A$1:$GI$1,0))</f>
        <v>46.480678294573643</v>
      </c>
      <c r="CG79" s="25">
        <f t="array" ref="CG79">INDEX(KOMBI!$A$1:$GI$145,ROW('KSH järjestus'!CG86),MATCH('KSH järjestus'!CG$3,KOMBI!$A$1:$GI$1,0))</f>
        <v>2.3391437578713474E-2</v>
      </c>
      <c r="CH79" s="25">
        <f t="array" ref="CH79">INDEX(KOMBI!$A$1:$GI$145,ROW('KSH järjestus'!CH86),MATCH('KSH järjestus'!CH$3,KOMBI!$A$1:$GI$1,0))</f>
        <v>0.39754723427955507</v>
      </c>
      <c r="CI79" s="25">
        <f t="array" ref="CI79">INDEX(KOMBI!$A$1:$GI$145,ROW('KSH järjestus'!CI86),MATCH('KSH järjestus'!CI$3,KOMBI!$A$1:$GI$1,0))</f>
        <v>6.08</v>
      </c>
      <c r="CJ79" s="25">
        <f t="array" ref="CJ79">INDEX(KOMBI!$A$1:$GI$145,ROW('KSH järjestus'!CJ86),MATCH('KSH järjestus'!CJ$3,KOMBI!$A$1:$GI$1,0))</f>
        <v>4.08638232712297</v>
      </c>
      <c r="CK79" s="25">
        <f t="array" ref="CK79">INDEX(KOMBI!$A$1:$GI$145,ROW('KSH järjestus'!CK86),MATCH('KSH järjestus'!CK$3,KOMBI!$A$1:$GI$1,0))</f>
        <v>0.19900000000000001</v>
      </c>
      <c r="CL79" s="25">
        <f t="array" ref="CL79">INDEX(KOMBI!$A$1:$GI$145,ROW('KSH järjestus'!CL86),MATCH('KSH järjestus'!CL$3,KOMBI!$A$1:$GI$1,0))</f>
        <v>0.72299999999999998</v>
      </c>
    </row>
    <row r="80" spans="3:90" x14ac:dyDescent="0.2">
      <c r="C80" s="184">
        <v>77</v>
      </c>
      <c r="G80" s="25">
        <f>RANK(INDEX(KOMBI!$A$11:$GI$145,MATCH('KSH järjestus'!$C80,KOMBI!$A$11:$A$145,0),MATCH('KSH järjestus'!G$3,KOMBI!$A$1:$GI$1,0)),BD$4:BD$138,G$2)</f>
        <v>21</v>
      </c>
      <c r="H80" s="25">
        <f>RANK(INDEX(KOMBI!$A$11:$GI$145,MATCH('KSH järjestus'!$C80,KOMBI!$A$11:$A$145,0),MATCH('KSH järjestus'!H$3,KOMBI!$A$1:$GI$1,0)),BE$4:BE$138,H$2)</f>
        <v>71</v>
      </c>
      <c r="J80" s="25">
        <f>RANK(INDEX(KOMBI!$A$11:$GI$145,MATCH('KSH järjestus'!$C80,KOMBI!$A$11:$A$145,0),MATCH('KSH järjestus'!J$3,KOMBI!$A$1:$GI$1,0)),BG$4:BG$138,J$2)</f>
        <v>63</v>
      </c>
      <c r="M80" s="25">
        <f>RANK(INDEX(KOMBI!$A$11:$GI$145,MATCH('KSH järjestus'!$C80,KOMBI!$A$11:$A$145,0),MATCH('KSH järjestus'!M$3,KOMBI!$A$1:$GI$1,0)),BJ$4:BJ$138,M$2)</f>
        <v>55</v>
      </c>
      <c r="N80" s="25">
        <f>RANK(INDEX(KOMBI!$A$11:$GI$145,MATCH('KSH järjestus'!$C80,KOMBI!$A$11:$A$145,0),MATCH('KSH järjestus'!N$3,KOMBI!$A$1:$GI$1,0)),BK$4:BK$138,N$2)</f>
        <v>79</v>
      </c>
      <c r="O80" s="25">
        <f>RANK(INDEX(KOMBI!$A$11:$GI$145,MATCH('KSH järjestus'!$C80,KOMBI!$A$11:$A$145,0),MATCH('KSH järjestus'!O$3,KOMBI!$A$1:$GI$1,0)),BL$4:BL$138,O$2)</f>
        <v>83</v>
      </c>
      <c r="P80" s="25">
        <f>RANK(INDEX(KOMBI!$A$11:$GI$145,MATCH('KSH järjestus'!$C80,KOMBI!$A$11:$A$145,0),MATCH('KSH järjestus'!P$3,KOMBI!$A$1:$GI$1,0)),BM$4:BM$138,P$2)</f>
        <v>94</v>
      </c>
      <c r="Q80" s="25">
        <f>RANK(INDEX(KOMBI!$A$11:$GI$145,MATCH('KSH järjestus'!$C80,KOMBI!$A$11:$A$145,0),MATCH('KSH järjestus'!Q$3,KOMBI!$A$1:$GI$1,0)),BN$4:BN$138,Q$2)</f>
        <v>107</v>
      </c>
      <c r="R80" s="25">
        <f>RANK(INDEX(KOMBI!$A$11:$GI$145,MATCH('KSH järjestus'!$C80,KOMBI!$A$11:$A$145,0),MATCH('KSH järjestus'!R$3,KOMBI!$A$1:$GI$1,0)),BO$4:BO$138,R$2)</f>
        <v>59</v>
      </c>
      <c r="T80" s="25">
        <f>RANK(INDEX(KOMBI!$A$11:$GI$145,MATCH('KSH järjestus'!$C80,KOMBI!$A$11:$A$145,0),MATCH('KSH järjestus'!T$3,KOMBI!$A$1:$GI$1,0)),BQ$4:BQ$138,T$2)</f>
        <v>38</v>
      </c>
      <c r="U80" s="25">
        <f>RANK(INDEX(KOMBI!$A$11:$GI$145,MATCH('KSH järjestus'!$C80,KOMBI!$A$11:$A$145,0),MATCH('KSH järjestus'!U$3,KOMBI!$A$1:$GI$1,0)),BR$4:BR$138,U$2)</f>
        <v>46</v>
      </c>
      <c r="AA80" s="25">
        <f>RANK(INDEX(KOMBI!$A$11:$GI$145,MATCH('KSH järjestus'!$C80,KOMBI!$A$11:$A$145,0),MATCH('KSH järjestus'!AA$3,KOMBI!$A$1:$GI$1,0)),BX$4:BX$138,AA$2)</f>
        <v>28</v>
      </c>
      <c r="AB80" s="25">
        <f>RANK(INDEX(KOMBI!$A$11:$GI$145,MATCH('KSH järjestus'!$C80,KOMBI!$A$11:$A$145,0),MATCH('KSH järjestus'!AB$3,KOMBI!$A$1:$GI$1,0)),BY$4:BY$138,AB$2)</f>
        <v>43</v>
      </c>
      <c r="AC80" s="25">
        <f>RANK(INDEX(KOMBI!$A$11:$GI$145,MATCH('KSH järjestus'!$C80,KOMBI!$A$11:$A$145,0),MATCH('KSH järjestus'!AC$3,KOMBI!$A$1:$GI$1,0)),BZ$4:BZ$138,AC$2)</f>
        <v>25</v>
      </c>
      <c r="AD80" s="25">
        <f>RANK(INDEX(KOMBI!$A$11:$GI$145,MATCH('KSH järjestus'!$C80,KOMBI!$A$11:$A$145,0),MATCH('KSH järjestus'!AD$3,KOMBI!$A$1:$GI$1,0)),CA$4:CA$138,AD$2)</f>
        <v>55</v>
      </c>
      <c r="AE80" s="25">
        <f>RANK(INDEX(KOMBI!$A$11:$GI$145,MATCH('KSH järjestus'!$C80,KOMBI!$A$11:$A$145,0),MATCH('KSH järjestus'!AE$3,KOMBI!$A$1:$GI$1,0)),CB$4:CB$138,AE$2)</f>
        <v>49</v>
      </c>
      <c r="AG80" s="25">
        <f>RANK(INDEX(KOMBI!$A$11:$GI$145,MATCH('KSH järjestus'!$C80,KOMBI!$A$11:$A$145,0),MATCH('KSH järjestus'!AG$3,KOMBI!$A$1:$GI$1,0)),CD$4:CD$138,AG$2)</f>
        <v>34</v>
      </c>
      <c r="AH80" s="25">
        <f>RANK(INDEX(KOMBI!$A$11:$GI$145,MATCH('KSH järjestus'!$C80,KOMBI!$A$11:$A$145,0),MATCH('KSH järjestus'!AH$3,KOMBI!$A$1:$GI$1,0)),CE$4:CE$138,AH$2)</f>
        <v>61</v>
      </c>
      <c r="AI80" s="25">
        <f>RANK(INDEX(KOMBI!$A$11:$GI$145,MATCH('KSH järjestus'!$C80,KOMBI!$A$11:$A$145,0),MATCH('KSH järjestus'!AI$3,KOMBI!$A$1:$GI$1,0)),CF$4:CF$138,AI$2)</f>
        <v>46</v>
      </c>
      <c r="AJ80" s="25">
        <f>RANK(INDEX(KOMBI!$A$11:$GI$145,MATCH('KSH järjestus'!$C80,KOMBI!$A$11:$A$145,0),MATCH('KSH järjestus'!AJ$3,KOMBI!$A$1:$GI$1,0)),CG$4:CG$138,AJ$2)</f>
        <v>52</v>
      </c>
      <c r="AK80" s="25">
        <f>RANK(INDEX(KOMBI!$A$11:$GI$145,MATCH('KSH järjestus'!$C80,KOMBI!$A$11:$A$145,0),MATCH('KSH järjestus'!AK$3,KOMBI!$A$1:$GI$1,0)),CH$4:CH$138,AK$2)</f>
        <v>85</v>
      </c>
      <c r="AN80" s="25">
        <f>RANK(INDEX(KOMBI!$A$11:$GI$145,MATCH('KSH järjestus'!$C80,KOMBI!$A$11:$A$145,0),MATCH('KSH järjestus'!AN$3,KOMBI!$A$1:$GI$1,0)),CK$4:CK$138,AN$2)</f>
        <v>1</v>
      </c>
      <c r="AO80" s="25">
        <f>RANK(INDEX(KOMBI!$A$11:$GI$145,MATCH('KSH järjestus'!$C80,KOMBI!$A$11:$A$145,0),MATCH('KSH järjestus'!AO$3,KOMBI!$A$1:$GI$1,0)),CL$4:CL$138,AO$2)</f>
        <v>1</v>
      </c>
      <c r="AS80" s="297">
        <f t="shared" si="4"/>
        <v>1196</v>
      </c>
      <c r="AT80" s="25">
        <f t="shared" si="5"/>
        <v>1602</v>
      </c>
      <c r="AU80" s="25">
        <f t="shared" si="6"/>
        <v>36</v>
      </c>
      <c r="AV80" s="295" t="str">
        <f>VLOOKUP(VLOOKUP($AU80,KOMBI!$A:$H,3,FALSE),data!$I$27:$J$29,2,FALSE)</f>
        <v>Sekkuv/EÜ</v>
      </c>
      <c r="AW80" s="295" t="str">
        <f>VLOOKUP(VLOOKUP($AU80,KOMBI!$A:$H,2,FALSE),data!$I$21:$J$23,2,FALSE)</f>
        <v>Mittesekkuv</v>
      </c>
      <c r="AX80" s="295" t="str">
        <f>VLOOKUP(VLOOKUP($AU80,KOMBI!$A:$H,5,FALSE),data!$I$39:$J$41,2,FALSE)</f>
        <v>Sekkuv</v>
      </c>
      <c r="AY80" s="295" t="str">
        <f>VLOOKUP(VLOOKUP($AU80,KOMBI!$A:$H,4,FALSE),data!$I$32:$J$36,2,FALSE)</f>
        <v>LIB+</v>
      </c>
      <c r="BA80" s="25">
        <f t="array" ref="BA80">INDEX(KOMBI!$A$1:$GI$145,ROW('KSH järjestus'!BA87),MATCH('KSH järjestus'!BA$3,KOMBI!$A$1:$GI$1,0))</f>
        <v>4.2561475007466996</v>
      </c>
      <c r="BB80" s="25">
        <f t="array" ref="BB80">INDEX(KOMBI!$A$1:$GI$145,ROW('KSH järjestus'!BB87),MATCH('KSH järjestus'!BB$3,KOMBI!$A$1:$GI$1,0))</f>
        <v>361.92922848140779</v>
      </c>
      <c r="BC80" s="25">
        <f t="array" aca="1" ref="BC80" ca="1">INDEX(KOMBI!$A$1:$GI$145,ROW('KSH järjestus'!BC87),MATCH('KSH järjestus'!BC$3,KOMBI!$A$1:$GI$1,0))</f>
        <v>-4.4250520864648877</v>
      </c>
      <c r="BD80" s="25">
        <f t="array" ref="BD80">INDEX(KOMBI!$A$1:$GI$145,ROW('KSH järjestus'!BD87),MATCH('KSH järjestus'!BD$3,KOMBI!$A$1:$GI$1,0))</f>
        <v>-162.7344698806321</v>
      </c>
      <c r="BE80" s="25">
        <f t="array" ref="BE80">INDEX(KOMBI!$A$1:$GI$145,ROW('KSH järjestus'!BE87),MATCH('KSH järjestus'!BE$3,KOMBI!$A$1:$GI$1,0))</f>
        <v>158.30941779416722</v>
      </c>
      <c r="BF80" s="25">
        <f t="array" aca="1" ref="BF80" ca="1">INDEX(KOMBI!$A$1:$GI$145,ROW('KSH järjestus'!BF87),MATCH('KSH järjestus'!BF$3,KOMBI!$A$1:$GI$1,0))</f>
        <v>0</v>
      </c>
      <c r="BG80" s="25">
        <f t="array" ref="BG80">INDEX(KOMBI!$A$1:$GI$145,ROW('KSH järjestus'!BG87),MATCH('KSH järjestus'!BG$3,KOMBI!$A$1:$GI$1,0))</f>
        <v>0.54643019041139074</v>
      </c>
      <c r="BH80" s="25">
        <f t="array" ref="BH80">INDEX(KOMBI!$A$1:$GI$145,ROW('KSH järjestus'!BH87),MATCH('KSH järjestus'!BH$3,KOMBI!$A$1:$GI$1,0))</f>
        <v>90</v>
      </c>
      <c r="BI80" s="25">
        <f t="array" ref="BI80">INDEX(KOMBI!$A$1:$GI$145,ROW('KSH järjestus'!BI87),MATCH('KSH järjestus'!BI$3,KOMBI!$A$1:$GI$1,0))</f>
        <v>0.84317482403548605</v>
      </c>
      <c r="BJ80" s="25">
        <f t="array" ref="BJ80">INDEX(KOMBI!$A$1:$GI$145,ROW('KSH järjestus'!BJ87),MATCH('KSH järjestus'!BJ$3,KOMBI!$A$1:$GI$1,0))</f>
        <v>0.27911646586345373</v>
      </c>
      <c r="BK80" s="25">
        <f t="array" ref="BK80">INDEX(KOMBI!$A$1:$GI$145,ROW('KSH järjestus'!BK87),MATCH('KSH järjestus'!BK$3,KOMBI!$A$1:$GI$1,0))</f>
        <v>0.33424065071890413</v>
      </c>
      <c r="BL80" s="25">
        <f t="array" ref="BL80">INDEX(KOMBI!$A$1:$GI$145,ROW('KSH järjestus'!BL87),MATCH('KSH järjestus'!BL$3,KOMBI!$A$1:$GI$1,0))</f>
        <v>1.4051440504277611E-2</v>
      </c>
      <c r="BM80" s="25">
        <f t="array" ref="BM80">INDEX(KOMBI!$A$1:$GI$145,ROW('KSH järjestus'!BM87),MATCH('KSH järjestus'!BM$3,KOMBI!$A$1:$GI$1,0))</f>
        <v>-1.4568264997011373E-3</v>
      </c>
      <c r="BN80" s="25">
        <f t="array" ref="BN80">INDEX(KOMBI!$A$1:$GI$145,ROW('KSH järjestus'!BN87),MATCH('KSH järjestus'!BN$3,KOMBI!$A$1:$GI$1,0))</f>
        <v>1.0866115617705896E-3</v>
      </c>
      <c r="BO80" s="25">
        <f t="array" ref="BO80">INDEX(KOMBI!$A$1:$GI$145,ROW('KSH järjestus'!BO87),MATCH('KSH järjestus'!BO$3,KOMBI!$A$1:$GI$1,0))</f>
        <v>1.3046005278651282E-2</v>
      </c>
      <c r="BP80" s="25">
        <f t="array" ref="BP80">INDEX(KOMBI!$A$1:$GI$145,ROW('KSH järjestus'!BP87),MATCH('KSH järjestus'!BP$3,KOMBI!$A$1:$GI$1,0))</f>
        <v>7.5869999999999997</v>
      </c>
      <c r="BQ80" s="25">
        <f t="array" ref="BQ80">INDEX(KOMBI!$A$1:$GI$145,ROW('KSH järjestus'!BQ87),MATCH('KSH järjestus'!BQ$3,KOMBI!$A$1:$GI$1,0))</f>
        <v>10.304</v>
      </c>
      <c r="BR80" s="25">
        <f t="array" ref="BR80">INDEX(KOMBI!$A$1:$GI$145,ROW('KSH järjestus'!BR87),MATCH('KSH järjestus'!BR$3,KOMBI!$A$1:$GI$1,0))</f>
        <v>-3.3125583308563314E-2</v>
      </c>
      <c r="BS80" s="25">
        <f t="array" ref="BS80">INDEX(KOMBI!$A$1:$GI$145,ROW('KSH järjestus'!BS87),MATCH('KSH järjestus'!BS$3,KOMBI!$A$1:$GI$1,0))</f>
        <v>-3.813459205194164E-2</v>
      </c>
      <c r="BT80" s="25">
        <f t="array" ref="BT80">INDEX(KOMBI!$A$1:$GI$145,ROW('KSH järjestus'!BT87),MATCH('KSH järjestus'!BT$3,KOMBI!$A$1:$GI$1,0))</f>
        <v>-5.6210763160764968E-2</v>
      </c>
      <c r="BU80" s="25">
        <f t="array" ref="BU80">INDEX(KOMBI!$A$1:$GI$145,ROW('KSH järjestus'!BU87),MATCH('KSH järjestus'!BU$3,KOMBI!$A$1:$GI$1,0))</f>
        <v>8.07628955972379</v>
      </c>
      <c r="BV80" s="25">
        <f t="array" ref="BV80">INDEX(KOMBI!$A$1:$GI$145,ROW('KSH järjestus'!BV87),MATCH('KSH järjestus'!BV$3,KOMBI!$A$1:$GI$1,0))</f>
        <v>4.9059999999999997</v>
      </c>
      <c r="BW80" s="25">
        <f t="array" ref="BW80">INDEX(KOMBI!$A$1:$GI$145,ROW('KSH järjestus'!BW87),MATCH('KSH järjestus'!BW$3,KOMBI!$A$1:$GI$1,0))</f>
        <v>2.7768823271229701</v>
      </c>
      <c r="BX80" s="25">
        <f t="array" ref="BX80">INDEX(KOMBI!$A$1:$GI$145,ROW('KSH järjestus'!BX87),MATCH('KSH järjestus'!BX$3,KOMBI!$A$1:$GI$1,0))</f>
        <v>17.477</v>
      </c>
      <c r="BY80" s="25">
        <f t="array" ref="BY80">INDEX(KOMBI!$A$1:$GI$145,ROW('KSH järjestus'!BY87),MATCH('KSH järjestus'!BY$3,KOMBI!$A$1:$GI$1,0))</f>
        <v>11.223743209992719</v>
      </c>
      <c r="BZ80" s="25">
        <f t="array" ref="BZ80">INDEX(KOMBI!$A$1:$GI$145,ROW('KSH järjestus'!BZ87),MATCH('KSH järjestus'!BZ$3,KOMBI!$A$1:$GI$1,0))</f>
        <v>69.400000000000006</v>
      </c>
      <c r="CA80" s="25">
        <f t="array" ref="CA80">INDEX(KOMBI!$A$1:$GI$145,ROW('KSH järjestus'!CA87),MATCH('KSH järjestus'!CA$3,KOMBI!$A$1:$GI$1,0))</f>
        <v>13.869</v>
      </c>
      <c r="CB80" s="25">
        <f t="array" ref="CB80">INDEX(KOMBI!$A$1:$GI$145,ROW('KSH järjestus'!CB87),MATCH('KSH järjestus'!CB$3,KOMBI!$A$1:$GI$1,0))</f>
        <v>61.589166666666664</v>
      </c>
      <c r="CC80" s="25">
        <f t="array" ref="CC80">INDEX(KOMBI!$A$1:$GI$145,ROW('KSH järjestus'!CC87),MATCH('KSH järjestus'!CC$3,KOMBI!$A$1:$GI$1,0))</f>
        <v>4.9395540000000002</v>
      </c>
      <c r="CD80" s="25">
        <f t="array" ref="CD80">INDEX(KOMBI!$A$1:$GI$145,ROW('KSH järjestus'!CD87),MATCH('KSH järjestus'!CD$3,KOMBI!$A$1:$GI$1,0))</f>
        <v>297.04999999999995</v>
      </c>
      <c r="CE80" s="25">
        <f t="array" ref="CE80">INDEX(KOMBI!$A$1:$GI$145,ROW('KSH järjestus'!CE87),MATCH('KSH järjestus'!CE$3,KOMBI!$A$1:$GI$1,0))</f>
        <v>2.8980000000000001</v>
      </c>
      <c r="CF80" s="25">
        <f t="array" ref="CF80">INDEX(KOMBI!$A$1:$GI$145,ROW('KSH järjestus'!CF87),MATCH('KSH järjestus'!CF$3,KOMBI!$A$1:$GI$1,0))</f>
        <v>46.480678294573643</v>
      </c>
      <c r="CG80" s="25">
        <f t="array" ref="CG80">INDEX(KOMBI!$A$1:$GI$145,ROW('KSH järjestus'!CG87),MATCH('KSH järjestus'!CG$3,KOMBI!$A$1:$GI$1,0))</f>
        <v>2.3391437578713474E-2</v>
      </c>
      <c r="CH80" s="25">
        <f t="array" ref="CH80">INDEX(KOMBI!$A$1:$GI$145,ROW('KSH järjestus'!CH87),MATCH('KSH järjestus'!CH$3,KOMBI!$A$1:$GI$1,0))</f>
        <v>0.39754723427955507</v>
      </c>
      <c r="CI80" s="25">
        <f t="array" ref="CI80">INDEX(KOMBI!$A$1:$GI$145,ROW('KSH järjestus'!CI87),MATCH('KSH järjestus'!CI$3,KOMBI!$A$1:$GI$1,0))</f>
        <v>6.08</v>
      </c>
      <c r="CJ80" s="25">
        <f t="array" ref="CJ80">INDEX(KOMBI!$A$1:$GI$145,ROW('KSH järjestus'!CJ87),MATCH('KSH järjestus'!CJ$3,KOMBI!$A$1:$GI$1,0))</f>
        <v>4.08638232712297</v>
      </c>
      <c r="CK80" s="25">
        <f t="array" ref="CK80">INDEX(KOMBI!$A$1:$GI$145,ROW('KSH järjestus'!CK87),MATCH('KSH järjestus'!CK$3,KOMBI!$A$1:$GI$1,0))</f>
        <v>0.19900000000000001</v>
      </c>
      <c r="CL80" s="25">
        <f t="array" ref="CL80">INDEX(KOMBI!$A$1:$GI$145,ROW('KSH järjestus'!CL87),MATCH('KSH järjestus'!CL$3,KOMBI!$A$1:$GI$1,0))</f>
        <v>0.72299999999999998</v>
      </c>
    </row>
    <row r="81" spans="3:90" x14ac:dyDescent="0.2">
      <c r="C81" s="184">
        <v>78</v>
      </c>
      <c r="G81" s="25">
        <f>RANK(INDEX(KOMBI!$A$11:$GI$145,MATCH('KSH järjestus'!$C81,KOMBI!$A$11:$A$145,0),MATCH('KSH järjestus'!G$3,KOMBI!$A$1:$GI$1,0)),BD$4:BD$138,G$2)</f>
        <v>6</v>
      </c>
      <c r="H81" s="25">
        <f>RANK(INDEX(KOMBI!$A$11:$GI$145,MATCH('KSH järjestus'!$C81,KOMBI!$A$11:$A$145,0),MATCH('KSH järjestus'!H$3,KOMBI!$A$1:$GI$1,0)),BE$4:BE$138,H$2)</f>
        <v>48</v>
      </c>
      <c r="J81" s="25">
        <f>RANK(INDEX(KOMBI!$A$11:$GI$145,MATCH('KSH järjestus'!$C81,KOMBI!$A$11:$A$145,0),MATCH('KSH järjestus'!J$3,KOMBI!$A$1:$GI$1,0)),BG$4:BG$138,J$2)</f>
        <v>63</v>
      </c>
      <c r="M81" s="25">
        <f>RANK(INDEX(KOMBI!$A$11:$GI$145,MATCH('KSH järjestus'!$C81,KOMBI!$A$11:$A$145,0),MATCH('KSH järjestus'!M$3,KOMBI!$A$1:$GI$1,0)),BJ$4:BJ$138,M$2)</f>
        <v>55</v>
      </c>
      <c r="N81" s="25">
        <f>RANK(INDEX(KOMBI!$A$11:$GI$145,MATCH('KSH järjestus'!$C81,KOMBI!$A$11:$A$145,0),MATCH('KSH järjestus'!N$3,KOMBI!$A$1:$GI$1,0)),BK$4:BK$138,N$2)</f>
        <v>79</v>
      </c>
      <c r="O81" s="25">
        <f>RANK(INDEX(KOMBI!$A$11:$GI$145,MATCH('KSH järjestus'!$C81,KOMBI!$A$11:$A$145,0),MATCH('KSH järjestus'!O$3,KOMBI!$A$1:$GI$1,0)),BL$4:BL$138,O$2)</f>
        <v>52</v>
      </c>
      <c r="P81" s="25">
        <f>RANK(INDEX(KOMBI!$A$11:$GI$145,MATCH('KSH järjestus'!$C81,KOMBI!$A$11:$A$145,0),MATCH('KSH järjestus'!P$3,KOMBI!$A$1:$GI$1,0)),BM$4:BM$138,P$2)</f>
        <v>93</v>
      </c>
      <c r="Q81" s="25">
        <f>RANK(INDEX(KOMBI!$A$11:$GI$145,MATCH('KSH järjestus'!$C81,KOMBI!$A$11:$A$145,0),MATCH('KSH järjestus'!Q$3,KOMBI!$A$1:$GI$1,0)),BN$4:BN$138,Q$2)</f>
        <v>94</v>
      </c>
      <c r="R81" s="25">
        <f>RANK(INDEX(KOMBI!$A$11:$GI$145,MATCH('KSH järjestus'!$C81,KOMBI!$A$11:$A$145,0),MATCH('KSH järjestus'!R$3,KOMBI!$A$1:$GI$1,0)),BO$4:BO$138,R$2)</f>
        <v>28</v>
      </c>
      <c r="T81" s="25">
        <f>RANK(INDEX(KOMBI!$A$11:$GI$145,MATCH('KSH järjestus'!$C81,KOMBI!$A$11:$A$145,0),MATCH('KSH järjestus'!T$3,KOMBI!$A$1:$GI$1,0)),BQ$4:BQ$138,T$2)</f>
        <v>56</v>
      </c>
      <c r="U81" s="25">
        <f>RANK(INDEX(KOMBI!$A$11:$GI$145,MATCH('KSH järjestus'!$C81,KOMBI!$A$11:$A$145,0),MATCH('KSH järjestus'!U$3,KOMBI!$A$1:$GI$1,0)),BR$4:BR$138,U$2)</f>
        <v>54</v>
      </c>
      <c r="AA81" s="25">
        <f>RANK(INDEX(KOMBI!$A$11:$GI$145,MATCH('KSH järjestus'!$C81,KOMBI!$A$11:$A$145,0),MATCH('KSH järjestus'!AA$3,KOMBI!$A$1:$GI$1,0)),BX$4:BX$138,AA$2)</f>
        <v>28</v>
      </c>
      <c r="AB81" s="25">
        <f>RANK(INDEX(KOMBI!$A$11:$GI$145,MATCH('KSH järjestus'!$C81,KOMBI!$A$11:$A$145,0),MATCH('KSH järjestus'!AB$3,KOMBI!$A$1:$GI$1,0)),BY$4:BY$138,AB$2)</f>
        <v>43</v>
      </c>
      <c r="AC81" s="25">
        <f>RANK(INDEX(KOMBI!$A$11:$GI$145,MATCH('KSH järjestus'!$C81,KOMBI!$A$11:$A$145,0),MATCH('KSH järjestus'!AC$3,KOMBI!$A$1:$GI$1,0)),BZ$4:BZ$138,AC$2)</f>
        <v>33</v>
      </c>
      <c r="AD81" s="25">
        <f>RANK(INDEX(KOMBI!$A$11:$GI$145,MATCH('KSH järjestus'!$C81,KOMBI!$A$11:$A$145,0),MATCH('KSH järjestus'!AD$3,KOMBI!$A$1:$GI$1,0)),CA$4:CA$138,AD$2)</f>
        <v>66</v>
      </c>
      <c r="AE81" s="25">
        <f>RANK(INDEX(KOMBI!$A$11:$GI$145,MATCH('KSH järjestus'!$C81,KOMBI!$A$11:$A$145,0),MATCH('KSH järjestus'!AE$3,KOMBI!$A$1:$GI$1,0)),CB$4:CB$138,AE$2)</f>
        <v>61</v>
      </c>
      <c r="AG81" s="25">
        <f>RANK(INDEX(KOMBI!$A$11:$GI$145,MATCH('KSH järjestus'!$C81,KOMBI!$A$11:$A$145,0),MATCH('KSH järjestus'!AG$3,KOMBI!$A$1:$GI$1,0)),CD$4:CD$138,AG$2)</f>
        <v>34</v>
      </c>
      <c r="AH81" s="25">
        <f>RANK(INDEX(KOMBI!$A$11:$GI$145,MATCH('KSH järjestus'!$C81,KOMBI!$A$11:$A$145,0),MATCH('KSH järjestus'!AH$3,KOMBI!$A$1:$GI$1,0)),CE$4:CE$138,AH$2)</f>
        <v>61</v>
      </c>
      <c r="AI81" s="25">
        <f>RANK(INDEX(KOMBI!$A$11:$GI$145,MATCH('KSH järjestus'!$C81,KOMBI!$A$11:$A$145,0),MATCH('KSH järjestus'!AI$3,KOMBI!$A$1:$GI$1,0)),CF$4:CF$138,AI$2)</f>
        <v>46</v>
      </c>
      <c r="AJ81" s="25">
        <f>RANK(INDEX(KOMBI!$A$11:$GI$145,MATCH('KSH järjestus'!$C81,KOMBI!$A$11:$A$145,0),MATCH('KSH järjestus'!AJ$3,KOMBI!$A$1:$GI$1,0)),CG$4:CG$138,AJ$2)</f>
        <v>52</v>
      </c>
      <c r="AK81" s="25">
        <f>RANK(INDEX(KOMBI!$A$11:$GI$145,MATCH('KSH järjestus'!$C81,KOMBI!$A$11:$A$145,0),MATCH('KSH järjestus'!AK$3,KOMBI!$A$1:$GI$1,0)),CH$4:CH$138,AK$2)</f>
        <v>85</v>
      </c>
      <c r="AN81" s="25">
        <f>RANK(INDEX(KOMBI!$A$11:$GI$145,MATCH('KSH järjestus'!$C81,KOMBI!$A$11:$A$145,0),MATCH('KSH järjestus'!AN$3,KOMBI!$A$1:$GI$1,0)),CK$4:CK$138,AN$2)</f>
        <v>1</v>
      </c>
      <c r="AO81" s="25">
        <f>RANK(INDEX(KOMBI!$A$11:$GI$145,MATCH('KSH järjestus'!$C81,KOMBI!$A$11:$A$145,0),MATCH('KSH järjestus'!AO$3,KOMBI!$A$1:$GI$1,0)),CL$4:CL$138,AO$2)</f>
        <v>1</v>
      </c>
      <c r="AS81" s="297">
        <f t="shared" si="4"/>
        <v>1139</v>
      </c>
      <c r="AT81" s="25">
        <f t="shared" si="5"/>
        <v>1603</v>
      </c>
      <c r="AU81" s="25">
        <f t="shared" si="6"/>
        <v>94</v>
      </c>
      <c r="AV81" s="295" t="str">
        <f>VLOOKUP(VLOOKUP($AU81,KOMBI!$A:$H,3,FALSE),data!$I$27:$J$29,2,FALSE)</f>
        <v>Mittesekkuv</v>
      </c>
      <c r="AW81" s="295" t="str">
        <f>VLOOKUP(VLOOKUP($AU81,KOMBI!$A:$H,2,FALSE),data!$I$21:$J$23,2,FALSE)</f>
        <v>Sekkuv</v>
      </c>
      <c r="AX81" s="295" t="str">
        <f>VLOOKUP(VLOOKUP($AU81,KOMBI!$A:$H,5,FALSE),data!$I$39:$J$41,2,FALSE)</f>
        <v>Mittesekkuv</v>
      </c>
      <c r="AY81" s="295" t="str">
        <f>VLOOKUP(VLOOKUP($AU81,KOMBI!$A:$H,4,FALSE),data!$I$32:$J$36,2,FALSE)</f>
        <v>LIB+</v>
      </c>
      <c r="BA81" s="25">
        <f t="array" ref="BA81">INDEX(KOMBI!$A$1:$GI$145,ROW('KSH järjestus'!BA88),MATCH('KSH järjestus'!BA$3,KOMBI!$A$1:$GI$1,0))</f>
        <v>5.1612472229882265</v>
      </c>
      <c r="BB81" s="25">
        <f t="array" ref="BB81">INDEX(KOMBI!$A$1:$GI$145,ROW('KSH järjestus'!BB88),MATCH('KSH järjestus'!BB$3,KOMBI!$A$1:$GI$1,0))</f>
        <v>478.54001949888709</v>
      </c>
      <c r="BC81" s="25">
        <f t="array" aca="1" ref="BC81" ca="1">INDEX(KOMBI!$A$1:$GI$145,ROW('KSH järjestus'!BC88),MATCH('KSH järjestus'!BC$3,KOMBI!$A$1:$GI$1,0))</f>
        <v>12.129362272620057</v>
      </c>
      <c r="BD81" s="25">
        <f t="array" ref="BD81">INDEX(KOMBI!$A$1:$GI$145,ROW('KSH järjestus'!BD88),MATCH('KSH järjestus'!BD$3,KOMBI!$A$1:$GI$1,0))</f>
        <v>-181.84206369909103</v>
      </c>
      <c r="BE81" s="25">
        <f t="array" ref="BE81">INDEX(KOMBI!$A$1:$GI$145,ROW('KSH järjestus'!BE88),MATCH('KSH järjestus'!BE$3,KOMBI!$A$1:$GI$1,0))</f>
        <v>193.97142597171108</v>
      </c>
      <c r="BF81" s="25">
        <f t="array" aca="1" ref="BF81" ca="1">INDEX(KOMBI!$A$1:$GI$145,ROW('KSH järjestus'!BF88),MATCH('KSH järjestus'!BF$3,KOMBI!$A$1:$GI$1,0))</f>
        <v>0</v>
      </c>
      <c r="BG81" s="25">
        <f t="array" ref="BG81">INDEX(KOMBI!$A$1:$GI$145,ROW('KSH järjestus'!BG88),MATCH('KSH järjestus'!BG$3,KOMBI!$A$1:$GI$1,0))</f>
        <v>0.54643019041139074</v>
      </c>
      <c r="BH81" s="25">
        <f t="array" ref="BH81">INDEX(KOMBI!$A$1:$GI$145,ROW('KSH järjestus'!BH88),MATCH('KSH järjestus'!BH$3,KOMBI!$A$1:$GI$1,0))</f>
        <v>90</v>
      </c>
      <c r="BI81" s="25">
        <f t="array" ref="BI81">INDEX(KOMBI!$A$1:$GI$145,ROW('KSH järjestus'!BI88),MATCH('KSH järjestus'!BI$3,KOMBI!$A$1:$GI$1,0))</f>
        <v>0.84317482403548605</v>
      </c>
      <c r="BJ81" s="25">
        <f t="array" ref="BJ81">INDEX(KOMBI!$A$1:$GI$145,ROW('KSH järjestus'!BJ88),MATCH('KSH järjestus'!BJ$3,KOMBI!$A$1:$GI$1,0))</f>
        <v>0.27911646586345373</v>
      </c>
      <c r="BK81" s="25">
        <f t="array" ref="BK81">INDEX(KOMBI!$A$1:$GI$145,ROW('KSH järjestus'!BK88),MATCH('KSH järjestus'!BK$3,KOMBI!$A$1:$GI$1,0))</f>
        <v>0.33424065071890413</v>
      </c>
      <c r="BL81" s="25">
        <f t="array" ref="BL81">INDEX(KOMBI!$A$1:$GI$145,ROW('KSH järjestus'!BL88),MATCH('KSH järjestus'!BL$3,KOMBI!$A$1:$GI$1,0))</f>
        <v>1.8702495882524133E-2</v>
      </c>
      <c r="BM81" s="25">
        <f t="array" ref="BM81">INDEX(KOMBI!$A$1:$GI$145,ROW('KSH järjestus'!BM88),MATCH('KSH järjestus'!BM$3,KOMBI!$A$1:$GI$1,0))</f>
        <v>-1.4440607726597509E-3</v>
      </c>
      <c r="BN81" s="25">
        <f t="array" ref="BN81">INDEX(KOMBI!$A$1:$GI$145,ROW('KSH järjestus'!BN88),MATCH('KSH järjestus'!BN$3,KOMBI!$A$1:$GI$1,0))</f>
        <v>2.4174013978173203E-3</v>
      </c>
      <c r="BO81" s="25">
        <f t="array" ref="BO81">INDEX(KOMBI!$A$1:$GI$145,ROW('KSH järjestus'!BO88),MATCH('KSH järjestus'!BO$3,KOMBI!$A$1:$GI$1,0))</f>
        <v>1.6439868726816138E-2</v>
      </c>
      <c r="BP81" s="25">
        <f t="array" ref="BP81">INDEX(KOMBI!$A$1:$GI$145,ROW('KSH järjestus'!BP88),MATCH('KSH järjestus'!BP$3,KOMBI!$A$1:$GI$1,0))</f>
        <v>7.5869999999999997</v>
      </c>
      <c r="BQ81" s="25">
        <f t="array" ref="BQ81">INDEX(KOMBI!$A$1:$GI$145,ROW('KSH järjestus'!BQ88),MATCH('KSH järjestus'!BQ$3,KOMBI!$A$1:$GI$1,0))</f>
        <v>10.528</v>
      </c>
      <c r="BR81" s="25">
        <f t="array" ref="BR81">INDEX(KOMBI!$A$1:$GI$145,ROW('KSH järjestus'!BR88),MATCH('KSH järjestus'!BR$3,KOMBI!$A$1:$GI$1,0))</f>
        <v>-2.9146096178117416E-2</v>
      </c>
      <c r="BS81" s="25">
        <f t="array" ref="BS81">INDEX(KOMBI!$A$1:$GI$145,ROW('KSH järjestus'!BS88),MATCH('KSH järjestus'!BS$3,KOMBI!$A$1:$GI$1,0))</f>
        <v>-3.687543213565319E-2</v>
      </c>
      <c r="BT81" s="25">
        <f t="array" ref="BT81">INDEX(KOMBI!$A$1:$GI$145,ROW('KSH järjestus'!BT88),MATCH('KSH järjestus'!BT$3,KOMBI!$A$1:$GI$1,0))</f>
        <v>-5.4750044187538711E-2</v>
      </c>
      <c r="BU81" s="25">
        <f t="array" ref="BU81">INDEX(KOMBI!$A$1:$GI$145,ROW('KSH järjestus'!BU88),MATCH('KSH järjestus'!BU$3,KOMBI!$A$1:$GI$1,0))</f>
        <v>8.07628955972379</v>
      </c>
      <c r="BV81" s="25">
        <f t="array" ref="BV81">INDEX(KOMBI!$A$1:$GI$145,ROW('KSH järjestus'!BV88),MATCH('KSH järjestus'!BV$3,KOMBI!$A$1:$GI$1,0))</f>
        <v>4.9059999999999997</v>
      </c>
      <c r="BW81" s="25">
        <f t="array" ref="BW81">INDEX(KOMBI!$A$1:$GI$145,ROW('KSH järjestus'!BW88),MATCH('KSH järjestus'!BW$3,KOMBI!$A$1:$GI$1,0))</f>
        <v>2.98558232712297</v>
      </c>
      <c r="BX81" s="25">
        <f t="array" ref="BX81">INDEX(KOMBI!$A$1:$GI$145,ROW('KSH järjestus'!BX88),MATCH('KSH järjestus'!BX$3,KOMBI!$A$1:$GI$1,0))</f>
        <v>17.477</v>
      </c>
      <c r="BY81" s="25">
        <f t="array" ref="BY81">INDEX(KOMBI!$A$1:$GI$145,ROW('KSH järjestus'!BY88),MATCH('KSH järjestus'!BY$3,KOMBI!$A$1:$GI$1,0))</f>
        <v>11.223743209992719</v>
      </c>
      <c r="BZ81" s="25">
        <f t="array" ref="BZ81">INDEX(KOMBI!$A$1:$GI$145,ROW('KSH järjestus'!BZ88),MATCH('KSH järjestus'!BZ$3,KOMBI!$A$1:$GI$1,0))</f>
        <v>71</v>
      </c>
      <c r="CA81" s="25">
        <f t="array" ref="CA81">INDEX(KOMBI!$A$1:$GI$145,ROW('KSH järjestus'!CA88),MATCH('KSH järjestus'!CA$3,KOMBI!$A$1:$GI$1,0))</f>
        <v>14.121</v>
      </c>
      <c r="CB81" s="25">
        <f t="array" ref="CB81">INDEX(KOMBI!$A$1:$GI$145,ROW('KSH järjestus'!CB88),MATCH('KSH järjestus'!CB$3,KOMBI!$A$1:$GI$1,0))</f>
        <v>62.49722222222222</v>
      </c>
      <c r="CC81" s="25">
        <f t="array" ref="CC81">INDEX(KOMBI!$A$1:$GI$145,ROW('KSH järjestus'!CC88),MATCH('KSH järjestus'!CC$3,KOMBI!$A$1:$GI$1,0))</f>
        <v>5.0328989999999996</v>
      </c>
      <c r="CD81" s="25">
        <f t="array" ref="CD81">INDEX(KOMBI!$A$1:$GI$145,ROW('KSH järjestus'!CD88),MATCH('KSH järjestus'!CD$3,KOMBI!$A$1:$GI$1,0))</f>
        <v>297.04999999999995</v>
      </c>
      <c r="CE81" s="25">
        <f t="array" ref="CE81">INDEX(KOMBI!$A$1:$GI$145,ROW('KSH järjestus'!CE88),MATCH('KSH järjestus'!CE$3,KOMBI!$A$1:$GI$1,0))</f>
        <v>2.8980000000000001</v>
      </c>
      <c r="CF81" s="25">
        <f t="array" ref="CF81">INDEX(KOMBI!$A$1:$GI$145,ROW('KSH järjestus'!CF88),MATCH('KSH järjestus'!CF$3,KOMBI!$A$1:$GI$1,0))</f>
        <v>46.480678294573643</v>
      </c>
      <c r="CG81" s="25">
        <f t="array" ref="CG81">INDEX(KOMBI!$A$1:$GI$145,ROW('KSH järjestus'!CG88),MATCH('KSH järjestus'!CG$3,KOMBI!$A$1:$GI$1,0))</f>
        <v>2.3391437578713474E-2</v>
      </c>
      <c r="CH81" s="25">
        <f t="array" ref="CH81">INDEX(KOMBI!$A$1:$GI$145,ROW('KSH järjestus'!CH88),MATCH('KSH järjestus'!CH$3,KOMBI!$A$1:$GI$1,0))</f>
        <v>0.39754723427955507</v>
      </c>
      <c r="CI81" s="25">
        <f t="array" ref="CI81">INDEX(KOMBI!$A$1:$GI$145,ROW('KSH järjestus'!CI88),MATCH('KSH järjestus'!CI$3,KOMBI!$A$1:$GI$1,0))</f>
        <v>6.08</v>
      </c>
      <c r="CJ81" s="25">
        <f t="array" ref="CJ81">INDEX(KOMBI!$A$1:$GI$145,ROW('KSH järjestus'!CJ88),MATCH('KSH järjestus'!CJ$3,KOMBI!$A$1:$GI$1,0))</f>
        <v>4.08638232712297</v>
      </c>
      <c r="CK81" s="25">
        <f t="array" ref="CK81">INDEX(KOMBI!$A$1:$GI$145,ROW('KSH järjestus'!CK88),MATCH('KSH järjestus'!CK$3,KOMBI!$A$1:$GI$1,0))</f>
        <v>0.19900000000000001</v>
      </c>
      <c r="CL81" s="25">
        <f t="array" ref="CL81">INDEX(KOMBI!$A$1:$GI$145,ROW('KSH järjestus'!CL88),MATCH('KSH järjestus'!CL$3,KOMBI!$A$1:$GI$1,0))</f>
        <v>0.72299999999999998</v>
      </c>
    </row>
    <row r="82" spans="3:90" x14ac:dyDescent="0.2">
      <c r="C82" s="184">
        <v>79</v>
      </c>
      <c r="G82" s="25">
        <f>RANK(INDEX(KOMBI!$A$11:$GI$145,MATCH('KSH järjestus'!$C82,KOMBI!$A$11:$A$145,0),MATCH('KSH järjestus'!G$3,KOMBI!$A$1:$GI$1,0)),BD$4:BD$138,G$2)</f>
        <v>31</v>
      </c>
      <c r="H82" s="25">
        <f>RANK(INDEX(KOMBI!$A$11:$GI$145,MATCH('KSH järjestus'!$C82,KOMBI!$A$11:$A$145,0),MATCH('KSH järjestus'!H$3,KOMBI!$A$1:$GI$1,0)),BE$4:BE$138,H$2)</f>
        <v>100</v>
      </c>
      <c r="J82" s="25">
        <f>RANK(INDEX(KOMBI!$A$11:$GI$145,MATCH('KSH järjestus'!$C82,KOMBI!$A$11:$A$145,0),MATCH('KSH järjestus'!J$3,KOMBI!$A$1:$GI$1,0)),BG$4:BG$138,J$2)</f>
        <v>96</v>
      </c>
      <c r="M82" s="25">
        <f>RANK(INDEX(KOMBI!$A$11:$GI$145,MATCH('KSH järjestus'!$C82,KOMBI!$A$11:$A$145,0),MATCH('KSH järjestus'!M$3,KOMBI!$A$1:$GI$1,0)),BJ$4:BJ$138,M$2)</f>
        <v>55</v>
      </c>
      <c r="N82" s="25">
        <f>RANK(INDEX(KOMBI!$A$11:$GI$145,MATCH('KSH järjestus'!$C82,KOMBI!$A$11:$A$145,0),MATCH('KSH järjestus'!N$3,KOMBI!$A$1:$GI$1,0)),BK$4:BK$138,N$2)</f>
        <v>82</v>
      </c>
      <c r="O82" s="25">
        <f>RANK(INDEX(KOMBI!$A$11:$GI$145,MATCH('KSH järjestus'!$C82,KOMBI!$A$11:$A$145,0),MATCH('KSH järjestus'!O$3,KOMBI!$A$1:$GI$1,0)),BL$4:BL$138,O$2)</f>
        <v>119</v>
      </c>
      <c r="P82" s="25">
        <f>RANK(INDEX(KOMBI!$A$11:$GI$145,MATCH('KSH järjestus'!$C82,KOMBI!$A$11:$A$145,0),MATCH('KSH järjestus'!P$3,KOMBI!$A$1:$GI$1,0)),BM$4:BM$138,P$2)</f>
        <v>71</v>
      </c>
      <c r="Q82" s="25">
        <f>RANK(INDEX(KOMBI!$A$11:$GI$145,MATCH('KSH järjestus'!$C82,KOMBI!$A$11:$A$145,0),MATCH('KSH järjestus'!Q$3,KOMBI!$A$1:$GI$1,0)),BN$4:BN$138,Q$2)</f>
        <v>129</v>
      </c>
      <c r="R82" s="25">
        <f>RANK(INDEX(KOMBI!$A$11:$GI$145,MATCH('KSH järjestus'!$C82,KOMBI!$A$11:$A$145,0),MATCH('KSH järjestus'!R$3,KOMBI!$A$1:$GI$1,0)),BO$4:BO$138,R$2)</f>
        <v>95</v>
      </c>
      <c r="T82" s="25">
        <f>RANK(INDEX(KOMBI!$A$11:$GI$145,MATCH('KSH järjestus'!$C82,KOMBI!$A$11:$A$145,0),MATCH('KSH järjestus'!T$3,KOMBI!$A$1:$GI$1,0)),BQ$4:BQ$138,T$2)</f>
        <v>33</v>
      </c>
      <c r="U82" s="25">
        <f>RANK(INDEX(KOMBI!$A$11:$GI$145,MATCH('KSH järjestus'!$C82,KOMBI!$A$11:$A$145,0),MATCH('KSH järjestus'!U$3,KOMBI!$A$1:$GI$1,0)),BR$4:BR$138,U$2)</f>
        <v>36</v>
      </c>
      <c r="AA82" s="25">
        <f>RANK(INDEX(KOMBI!$A$11:$GI$145,MATCH('KSH järjestus'!$C82,KOMBI!$A$11:$A$145,0),MATCH('KSH järjestus'!AA$3,KOMBI!$A$1:$GI$1,0)),BX$4:BX$138,AA$2)</f>
        <v>31</v>
      </c>
      <c r="AB82" s="25">
        <f>RANK(INDEX(KOMBI!$A$11:$GI$145,MATCH('KSH järjestus'!$C82,KOMBI!$A$11:$A$145,0),MATCH('KSH järjestus'!AB$3,KOMBI!$A$1:$GI$1,0)),BY$4:BY$138,AB$2)</f>
        <v>37</v>
      </c>
      <c r="AC82" s="25">
        <f>RANK(INDEX(KOMBI!$A$11:$GI$145,MATCH('KSH järjestus'!$C82,KOMBI!$A$11:$A$145,0),MATCH('KSH järjestus'!AC$3,KOMBI!$A$1:$GI$1,0)),BZ$4:BZ$138,AC$2)</f>
        <v>19</v>
      </c>
      <c r="AD82" s="25">
        <f>RANK(INDEX(KOMBI!$A$11:$GI$145,MATCH('KSH järjestus'!$C82,KOMBI!$A$11:$A$145,0),MATCH('KSH järjestus'!AD$3,KOMBI!$A$1:$GI$1,0)),CA$4:CA$138,AD$2)</f>
        <v>50</v>
      </c>
      <c r="AE82" s="25">
        <f>RANK(INDEX(KOMBI!$A$11:$GI$145,MATCH('KSH järjestus'!$C82,KOMBI!$A$11:$A$145,0),MATCH('KSH järjestus'!AE$3,KOMBI!$A$1:$GI$1,0)),CB$4:CB$138,AE$2)</f>
        <v>47</v>
      </c>
      <c r="AG82" s="25">
        <f>RANK(INDEX(KOMBI!$A$11:$GI$145,MATCH('KSH järjestus'!$C82,KOMBI!$A$11:$A$145,0),MATCH('KSH järjestus'!AG$3,KOMBI!$A$1:$GI$1,0)),CD$4:CD$138,AG$2)</f>
        <v>34</v>
      </c>
      <c r="AH82" s="25">
        <f>RANK(INDEX(KOMBI!$A$11:$GI$145,MATCH('KSH järjestus'!$C82,KOMBI!$A$11:$A$145,0),MATCH('KSH järjestus'!AH$3,KOMBI!$A$1:$GI$1,0)),CE$4:CE$138,AH$2)</f>
        <v>61</v>
      </c>
      <c r="AI82" s="25">
        <f>RANK(INDEX(KOMBI!$A$11:$GI$145,MATCH('KSH järjestus'!$C82,KOMBI!$A$11:$A$145,0),MATCH('KSH järjestus'!AI$3,KOMBI!$A$1:$GI$1,0)),CF$4:CF$138,AI$2)</f>
        <v>49</v>
      </c>
      <c r="AJ82" s="25">
        <f>RANK(INDEX(KOMBI!$A$11:$GI$145,MATCH('KSH järjestus'!$C82,KOMBI!$A$11:$A$145,0),MATCH('KSH järjestus'!AJ$3,KOMBI!$A$1:$GI$1,0)),CG$4:CG$138,AJ$2)</f>
        <v>52</v>
      </c>
      <c r="AK82" s="25">
        <f>RANK(INDEX(KOMBI!$A$11:$GI$145,MATCH('KSH järjestus'!$C82,KOMBI!$A$11:$A$145,0),MATCH('KSH järjestus'!AK$3,KOMBI!$A$1:$GI$1,0)),CH$4:CH$138,AK$2)</f>
        <v>85</v>
      </c>
      <c r="AN82" s="25">
        <f>RANK(INDEX(KOMBI!$A$11:$GI$145,MATCH('KSH järjestus'!$C82,KOMBI!$A$11:$A$145,0),MATCH('KSH järjestus'!AN$3,KOMBI!$A$1:$GI$1,0)),CK$4:CK$138,AN$2)</f>
        <v>1</v>
      </c>
      <c r="AO82" s="25">
        <f>RANK(INDEX(KOMBI!$A$11:$GI$145,MATCH('KSH järjestus'!$C82,KOMBI!$A$11:$A$145,0),MATCH('KSH järjestus'!AO$3,KOMBI!$A$1:$GI$1,0)),CL$4:CL$138,AO$2)</f>
        <v>1</v>
      </c>
      <c r="AS82" s="297">
        <f t="shared" si="4"/>
        <v>1314</v>
      </c>
      <c r="AT82" s="25">
        <f t="shared" si="5"/>
        <v>1605</v>
      </c>
      <c r="AU82" s="25">
        <f t="shared" si="6"/>
        <v>44</v>
      </c>
      <c r="AV82" s="295" t="str">
        <f>VLOOKUP(VLOOKUP($AU82,KOMBI!$A:$H,3,FALSE),data!$I$27:$J$29,2,FALSE)</f>
        <v>Sekkuv/EÜ</v>
      </c>
      <c r="AW82" s="295" t="str">
        <f>VLOOKUP(VLOOKUP($AU82,KOMBI!$A:$H,2,FALSE),data!$I$21:$J$23,2,FALSE)</f>
        <v>Mittesekkuv</v>
      </c>
      <c r="AX82" s="295" t="str">
        <f>VLOOKUP(VLOOKUP($AU82,KOMBI!$A:$H,5,FALSE),data!$I$39:$J$41,2,FALSE)</f>
        <v>Vähe-sekkuv</v>
      </c>
      <c r="AY82" s="295" t="str">
        <f>VLOOKUP(VLOOKUP($AU82,KOMBI!$A:$H,4,FALSE),data!$I$32:$J$36,2,FALSE)</f>
        <v>PK &amp; UG</v>
      </c>
      <c r="BA82" s="25">
        <f t="array" ref="BA82">INDEX(KOMBI!$A$1:$GI$145,ROW('KSH järjestus'!BA89),MATCH('KSH järjestus'!BA$3,KOMBI!$A$1:$GI$1,0))</f>
        <v>3.3436556847203169</v>
      </c>
      <c r="BB82" s="25">
        <f t="array" ref="BB82">INDEX(KOMBI!$A$1:$GI$145,ROW('KSH järjestus'!BB89),MATCH('KSH järjestus'!BB$3,KOMBI!$A$1:$GI$1,0))</f>
        <v>202.03281552862853</v>
      </c>
      <c r="BC82" s="25">
        <f t="array" aca="1" ref="BC82" ca="1">INDEX(KOMBI!$A$1:$GI$145,ROW('KSH järjestus'!BC89),MATCH('KSH järjestus'!BC$3,KOMBI!$A$1:$GI$1,0))</f>
        <v>-33.39296936032639</v>
      </c>
      <c r="BD82" s="25">
        <f t="array" ref="BD82">INDEX(KOMBI!$A$1:$GI$145,ROW('KSH järjestus'!BD89),MATCH('KSH järjestus'!BD$3,KOMBI!$A$1:$GI$1,0))</f>
        <v>-147.50125</v>
      </c>
      <c r="BE82" s="25">
        <f t="array" ref="BE82">INDEX(KOMBI!$A$1:$GI$145,ROW('KSH järjestus'!BE89),MATCH('KSH järjestus'!BE$3,KOMBI!$A$1:$GI$1,0))</f>
        <v>114.10828063967361</v>
      </c>
      <c r="BF82" s="25">
        <f t="array" aca="1" ref="BF82" ca="1">INDEX(KOMBI!$A$1:$GI$145,ROW('KSH järjestus'!BF89),MATCH('KSH järjestus'!BF$3,KOMBI!$A$1:$GI$1,0))</f>
        <v>0</v>
      </c>
      <c r="BG82" s="25">
        <f t="array" ref="BG82">INDEX(KOMBI!$A$1:$GI$145,ROW('KSH järjestus'!BG89),MATCH('KSH järjestus'!BG$3,KOMBI!$A$1:$GI$1,0))</f>
        <v>0.58364771273203575</v>
      </c>
      <c r="BH82" s="25">
        <f t="array" ref="BH82">INDEX(KOMBI!$A$1:$GI$145,ROW('KSH järjestus'!BH89),MATCH('KSH järjestus'!BH$3,KOMBI!$A$1:$GI$1,0))</f>
        <v>90</v>
      </c>
      <c r="BI82" s="25">
        <f t="array" ref="BI82">INDEX(KOMBI!$A$1:$GI$145,ROW('KSH järjestus'!BI89),MATCH('KSH järjestus'!BI$3,KOMBI!$A$1:$GI$1,0))</f>
        <v>1</v>
      </c>
      <c r="BJ82" s="25">
        <f t="array" ref="BJ82">INDEX(KOMBI!$A$1:$GI$145,ROW('KSH järjestus'!BJ89),MATCH('KSH järjestus'!BJ$3,KOMBI!$A$1:$GI$1,0))</f>
        <v>0.27911646586345373</v>
      </c>
      <c r="BK82" s="25">
        <f t="array" ref="BK82">INDEX(KOMBI!$A$1:$GI$145,ROW('KSH järjestus'!BK89),MATCH('KSH järjestus'!BK$3,KOMBI!$A$1:$GI$1,0))</f>
        <v>0.33416875659668871</v>
      </c>
      <c r="BL82" s="25">
        <f t="array" ref="BL82">INDEX(KOMBI!$A$1:$GI$145,ROW('KSH järjestus'!BL89),MATCH('KSH järjestus'!BL$3,KOMBI!$A$1:$GI$1,0))</f>
        <v>7.8079081937871249E-3</v>
      </c>
      <c r="BM82" s="25">
        <f t="array" ref="BM82">INDEX(KOMBI!$A$1:$GI$145,ROW('KSH järjestus'!BM89),MATCH('KSH järjestus'!BM$3,KOMBI!$A$1:$GI$1,0))</f>
        <v>1.2034738177486653E-3</v>
      </c>
      <c r="BN82" s="25">
        <f t="array" ref="BN82">INDEX(KOMBI!$A$1:$GI$145,ROW('KSH järjestus'!BN89),MATCH('KSH järjestus'!BN$3,KOMBI!$A$1:$GI$1,0))</f>
        <v>-1.3892608024497766E-3</v>
      </c>
      <c r="BO82" s="25">
        <f t="array" ref="BO82">INDEX(KOMBI!$A$1:$GI$145,ROW('KSH järjestus'!BO89),MATCH('KSH järjestus'!BO$3,KOMBI!$A$1:$GI$1,0))</f>
        <v>9.2429845230779639E-3</v>
      </c>
      <c r="BP82" s="25">
        <f t="array" ref="BP82">INDEX(KOMBI!$A$1:$GI$145,ROW('KSH järjestus'!BP89),MATCH('KSH järjestus'!BP$3,KOMBI!$A$1:$GI$1,0))</f>
        <v>7.5977605777489075</v>
      </c>
      <c r="BQ82" s="25">
        <f t="array" ref="BQ82">INDEX(KOMBI!$A$1:$GI$145,ROW('KSH järjestus'!BQ89),MATCH('KSH järjestus'!BQ$3,KOMBI!$A$1:$GI$1,0))</f>
        <v>10.212999999999999</v>
      </c>
      <c r="BR82" s="25">
        <f t="array" ref="BR82">INDEX(KOMBI!$A$1:$GI$145,ROW('KSH järjestus'!BR89),MATCH('KSH järjestus'!BR$3,KOMBI!$A$1:$GI$1,0))</f>
        <v>-3.7340885469091006E-2</v>
      </c>
      <c r="BS82" s="25">
        <f t="array" ref="BS82">INDEX(KOMBI!$A$1:$GI$145,ROW('KSH järjestus'!BS89),MATCH('KSH järjestus'!BS$3,KOMBI!$A$1:$GI$1,0))</f>
        <v>-3.9447343986460236E-2</v>
      </c>
      <c r="BT82" s="25">
        <f t="array" ref="BT82">INDEX(KOMBI!$A$1:$GI$145,ROW('KSH järjestus'!BT89),MATCH('KSH järjestus'!BT$3,KOMBI!$A$1:$GI$1,0))</f>
        <v>-5.7271663765421622E-2</v>
      </c>
      <c r="BU82" s="25">
        <f t="array" ref="BU82">INDEX(KOMBI!$A$1:$GI$145,ROW('KSH järjestus'!BU89),MATCH('KSH järjestus'!BU$3,KOMBI!$A$1:$GI$1,0))</f>
        <v>8.1087703590452112</v>
      </c>
      <c r="BV82" s="25">
        <f t="array" ref="BV82">INDEX(KOMBI!$A$1:$GI$145,ROW('KSH järjestus'!BV89),MATCH('KSH järjestus'!BV$3,KOMBI!$A$1:$GI$1,0))</f>
        <v>4.9379999999999997</v>
      </c>
      <c r="BW82" s="25">
        <f t="array" ref="BW82">INDEX(KOMBI!$A$1:$GI$145,ROW('KSH järjestus'!BW89),MATCH('KSH järjestus'!BW$3,KOMBI!$A$1:$GI$1,0))</f>
        <v>2.3993823271229702</v>
      </c>
      <c r="BX82" s="25">
        <f t="array" ref="BX82">INDEX(KOMBI!$A$1:$GI$145,ROW('KSH järjestus'!BX89),MATCH('KSH järjestus'!BX$3,KOMBI!$A$1:$GI$1,0))</f>
        <v>17.479578011574535</v>
      </c>
      <c r="BY82" s="25">
        <f t="array" ref="BY82">INDEX(KOMBI!$A$1:$GI$145,ROW('KSH järjestus'!BY89),MATCH('KSH järjestus'!BY$3,KOMBI!$A$1:$GI$1,0))</f>
        <v>11.222324637900011</v>
      </c>
      <c r="BZ82" s="25">
        <f t="array" ref="BZ82">INDEX(KOMBI!$A$1:$GI$145,ROW('KSH järjestus'!BZ89),MATCH('KSH järjestus'!BZ$3,KOMBI!$A$1:$GI$1,0))</f>
        <v>69</v>
      </c>
      <c r="CA82" s="25">
        <f t="array" ref="CA82">INDEX(KOMBI!$A$1:$GI$145,ROW('KSH järjestus'!CA89),MATCH('KSH järjestus'!CA$3,KOMBI!$A$1:$GI$1,0))</f>
        <v>13.782</v>
      </c>
      <c r="CB82" s="25">
        <f t="array" ref="CB82">INDEX(KOMBI!$A$1:$GI$145,ROW('KSH järjestus'!CB89),MATCH('KSH järjestus'!CB$3,KOMBI!$A$1:$GI$1,0))</f>
        <v>61.256388888888885</v>
      </c>
      <c r="CC82" s="25">
        <f t="array" ref="CC82">INDEX(KOMBI!$A$1:$GI$145,ROW('KSH järjestus'!CC89),MATCH('KSH järjestus'!CC$3,KOMBI!$A$1:$GI$1,0))</f>
        <v>4.9068310000000004</v>
      </c>
      <c r="CD82" s="25">
        <f t="array" ref="CD82">INDEX(KOMBI!$A$1:$GI$145,ROW('KSH järjestus'!CD89),MATCH('KSH järjestus'!CD$3,KOMBI!$A$1:$GI$1,0))</f>
        <v>297.04999999999995</v>
      </c>
      <c r="CE82" s="25">
        <f t="array" ref="CE82">INDEX(KOMBI!$A$1:$GI$145,ROW('KSH järjestus'!CE89),MATCH('KSH järjestus'!CE$3,KOMBI!$A$1:$GI$1,0))</f>
        <v>2.8980000000000001</v>
      </c>
      <c r="CF82" s="25">
        <f t="array" ref="CF82">INDEX(KOMBI!$A$1:$GI$145,ROW('KSH järjestus'!CF89),MATCH('KSH järjestus'!CF$3,KOMBI!$A$1:$GI$1,0))</f>
        <v>46.490678294573641</v>
      </c>
      <c r="CG82" s="25">
        <f t="array" ref="CG82">INDEX(KOMBI!$A$1:$GI$145,ROW('KSH järjestus'!CG89),MATCH('KSH järjestus'!CG$3,KOMBI!$A$1:$GI$1,0))</f>
        <v>2.3391437578713474E-2</v>
      </c>
      <c r="CH82" s="25">
        <f t="array" ref="CH82">INDEX(KOMBI!$A$1:$GI$145,ROW('KSH järjestus'!CH89),MATCH('KSH järjestus'!CH$3,KOMBI!$A$1:$GI$1,0))</f>
        <v>0.39754723427955507</v>
      </c>
      <c r="CI82" s="25">
        <f t="array" ref="CI82">INDEX(KOMBI!$A$1:$GI$145,ROW('KSH järjestus'!CI89),MATCH('KSH järjestus'!CI$3,KOMBI!$A$1:$GI$1,0))</f>
        <v>6.08</v>
      </c>
      <c r="CJ82" s="25">
        <f t="array" ref="CJ82">INDEX(KOMBI!$A$1:$GI$145,ROW('KSH järjestus'!CJ89),MATCH('KSH järjestus'!CJ$3,KOMBI!$A$1:$GI$1,0))</f>
        <v>4.8013823271229708</v>
      </c>
      <c r="CK82" s="25">
        <f t="array" ref="CK82">INDEX(KOMBI!$A$1:$GI$145,ROW('KSH järjestus'!CK89),MATCH('KSH järjestus'!CK$3,KOMBI!$A$1:$GI$1,0))</f>
        <v>0.19900000000000001</v>
      </c>
      <c r="CL82" s="25">
        <f t="array" ref="CL82">INDEX(KOMBI!$A$1:$GI$145,ROW('KSH järjestus'!CL89),MATCH('KSH järjestus'!CL$3,KOMBI!$A$1:$GI$1,0))</f>
        <v>0.72299999999999998</v>
      </c>
    </row>
    <row r="83" spans="3:90" x14ac:dyDescent="0.2">
      <c r="C83" s="184">
        <v>80</v>
      </c>
      <c r="G83" s="25">
        <f>RANK(INDEX(KOMBI!$A$11:$GI$145,MATCH('KSH järjestus'!$C83,KOMBI!$A$11:$A$145,0),MATCH('KSH järjestus'!G$3,KOMBI!$A$1:$GI$1,0)),BD$4:BD$138,G$2)</f>
        <v>21</v>
      </c>
      <c r="H83" s="25">
        <f>RANK(INDEX(KOMBI!$A$11:$GI$145,MATCH('KSH järjestus'!$C83,KOMBI!$A$11:$A$145,0),MATCH('KSH järjestus'!H$3,KOMBI!$A$1:$GI$1,0)),BE$4:BE$138,H$2)</f>
        <v>70</v>
      </c>
      <c r="J83" s="25">
        <f>RANK(INDEX(KOMBI!$A$11:$GI$145,MATCH('KSH järjestus'!$C83,KOMBI!$A$11:$A$145,0),MATCH('KSH järjestus'!J$3,KOMBI!$A$1:$GI$1,0)),BG$4:BG$138,J$2)</f>
        <v>65</v>
      </c>
      <c r="M83" s="25">
        <f>RANK(INDEX(KOMBI!$A$11:$GI$145,MATCH('KSH järjestus'!$C83,KOMBI!$A$11:$A$145,0),MATCH('KSH järjestus'!M$3,KOMBI!$A$1:$GI$1,0)),BJ$4:BJ$138,M$2)</f>
        <v>55</v>
      </c>
      <c r="N83" s="25">
        <f>RANK(INDEX(KOMBI!$A$11:$GI$145,MATCH('KSH järjestus'!$C83,KOMBI!$A$11:$A$145,0),MATCH('KSH järjestus'!N$3,KOMBI!$A$1:$GI$1,0)),BK$4:BK$138,N$2)</f>
        <v>82</v>
      </c>
      <c r="O83" s="25">
        <f>RANK(INDEX(KOMBI!$A$11:$GI$145,MATCH('KSH järjestus'!$C83,KOMBI!$A$11:$A$145,0),MATCH('KSH järjestus'!O$3,KOMBI!$A$1:$GI$1,0)),BL$4:BL$138,O$2)</f>
        <v>82</v>
      </c>
      <c r="P83" s="25">
        <f>RANK(INDEX(KOMBI!$A$11:$GI$145,MATCH('KSH järjestus'!$C83,KOMBI!$A$11:$A$145,0),MATCH('KSH järjestus'!P$3,KOMBI!$A$1:$GI$1,0)),BM$4:BM$138,P$2)</f>
        <v>96</v>
      </c>
      <c r="Q83" s="25">
        <f>RANK(INDEX(KOMBI!$A$11:$GI$145,MATCH('KSH järjestus'!$C83,KOMBI!$A$11:$A$145,0),MATCH('KSH järjestus'!Q$3,KOMBI!$A$1:$GI$1,0)),BN$4:BN$138,Q$2)</f>
        <v>105</v>
      </c>
      <c r="R83" s="25">
        <f>RANK(INDEX(KOMBI!$A$11:$GI$145,MATCH('KSH järjestus'!$C83,KOMBI!$A$11:$A$145,0),MATCH('KSH järjestus'!R$3,KOMBI!$A$1:$GI$1,0)),BO$4:BO$138,R$2)</f>
        <v>58</v>
      </c>
      <c r="T83" s="25">
        <f>RANK(INDEX(KOMBI!$A$11:$GI$145,MATCH('KSH järjestus'!$C83,KOMBI!$A$11:$A$145,0),MATCH('KSH järjestus'!T$3,KOMBI!$A$1:$GI$1,0)),BQ$4:BQ$138,T$2)</f>
        <v>38</v>
      </c>
      <c r="U83" s="25">
        <f>RANK(INDEX(KOMBI!$A$11:$GI$145,MATCH('KSH järjestus'!$C83,KOMBI!$A$11:$A$145,0),MATCH('KSH järjestus'!U$3,KOMBI!$A$1:$GI$1,0)),BR$4:BR$138,U$2)</f>
        <v>47</v>
      </c>
      <c r="AA83" s="25">
        <f>RANK(INDEX(KOMBI!$A$11:$GI$145,MATCH('KSH järjestus'!$C83,KOMBI!$A$11:$A$145,0),MATCH('KSH järjestus'!AA$3,KOMBI!$A$1:$GI$1,0)),BX$4:BX$138,AA$2)</f>
        <v>31</v>
      </c>
      <c r="AB83" s="25">
        <f>RANK(INDEX(KOMBI!$A$11:$GI$145,MATCH('KSH järjestus'!$C83,KOMBI!$A$11:$A$145,0),MATCH('KSH järjestus'!AB$3,KOMBI!$A$1:$GI$1,0)),BY$4:BY$138,AB$2)</f>
        <v>37</v>
      </c>
      <c r="AC83" s="25">
        <f>RANK(INDEX(KOMBI!$A$11:$GI$145,MATCH('KSH järjestus'!$C83,KOMBI!$A$11:$A$145,0),MATCH('KSH järjestus'!AC$3,KOMBI!$A$1:$GI$1,0)),BZ$4:BZ$138,AC$2)</f>
        <v>25</v>
      </c>
      <c r="AD83" s="25">
        <f>RANK(INDEX(KOMBI!$A$11:$GI$145,MATCH('KSH järjestus'!$C83,KOMBI!$A$11:$A$145,0),MATCH('KSH järjestus'!AD$3,KOMBI!$A$1:$GI$1,0)),CA$4:CA$138,AD$2)</f>
        <v>56</v>
      </c>
      <c r="AE83" s="25">
        <f>RANK(INDEX(KOMBI!$A$11:$GI$145,MATCH('KSH järjestus'!$C83,KOMBI!$A$11:$A$145,0),MATCH('KSH järjestus'!AE$3,KOMBI!$A$1:$GI$1,0)),CB$4:CB$138,AE$2)</f>
        <v>50</v>
      </c>
      <c r="AG83" s="25">
        <f>RANK(INDEX(KOMBI!$A$11:$GI$145,MATCH('KSH järjestus'!$C83,KOMBI!$A$11:$A$145,0),MATCH('KSH järjestus'!AG$3,KOMBI!$A$1:$GI$1,0)),CD$4:CD$138,AG$2)</f>
        <v>34</v>
      </c>
      <c r="AH83" s="25">
        <f>RANK(INDEX(KOMBI!$A$11:$GI$145,MATCH('KSH järjestus'!$C83,KOMBI!$A$11:$A$145,0),MATCH('KSH järjestus'!AH$3,KOMBI!$A$1:$GI$1,0)),CE$4:CE$138,AH$2)</f>
        <v>61</v>
      </c>
      <c r="AI83" s="25">
        <f>RANK(INDEX(KOMBI!$A$11:$GI$145,MATCH('KSH järjestus'!$C83,KOMBI!$A$11:$A$145,0),MATCH('KSH järjestus'!AI$3,KOMBI!$A$1:$GI$1,0)),CF$4:CF$138,AI$2)</f>
        <v>49</v>
      </c>
      <c r="AJ83" s="25">
        <f>RANK(INDEX(KOMBI!$A$11:$GI$145,MATCH('KSH järjestus'!$C83,KOMBI!$A$11:$A$145,0),MATCH('KSH järjestus'!AJ$3,KOMBI!$A$1:$GI$1,0)),CG$4:CG$138,AJ$2)</f>
        <v>52</v>
      </c>
      <c r="AK83" s="25">
        <f>RANK(INDEX(KOMBI!$A$11:$GI$145,MATCH('KSH järjestus'!$C83,KOMBI!$A$11:$A$145,0),MATCH('KSH järjestus'!AK$3,KOMBI!$A$1:$GI$1,0)),CH$4:CH$138,AK$2)</f>
        <v>85</v>
      </c>
      <c r="AN83" s="25">
        <f>RANK(INDEX(KOMBI!$A$11:$GI$145,MATCH('KSH järjestus'!$C83,KOMBI!$A$11:$A$145,0),MATCH('KSH järjestus'!AN$3,KOMBI!$A$1:$GI$1,0)),CK$4:CK$138,AN$2)</f>
        <v>1</v>
      </c>
      <c r="AO83" s="25">
        <f>RANK(INDEX(KOMBI!$A$11:$GI$145,MATCH('KSH järjestus'!$C83,KOMBI!$A$11:$A$145,0),MATCH('KSH järjestus'!AO$3,KOMBI!$A$1:$GI$1,0)),CL$4:CL$138,AO$2)</f>
        <v>1</v>
      </c>
      <c r="AS83" s="297">
        <f t="shared" si="4"/>
        <v>1201</v>
      </c>
      <c r="AT83" s="25">
        <f t="shared" si="5"/>
        <v>1606</v>
      </c>
      <c r="AU83" s="25">
        <f t="shared" si="6"/>
        <v>74</v>
      </c>
      <c r="AV83" s="295" t="str">
        <f>VLOOKUP(VLOOKUP($AU83,KOMBI!$A:$H,3,FALSE),data!$I$27:$J$29,2,FALSE)</f>
        <v>Vähe-sekkuv</v>
      </c>
      <c r="AW83" s="295" t="str">
        <f>VLOOKUP(VLOOKUP($AU83,KOMBI!$A:$H,2,FALSE),data!$I$21:$J$23,2,FALSE)</f>
        <v>Vähe-sekkuv</v>
      </c>
      <c r="AX83" s="295" t="str">
        <f>VLOOKUP(VLOOKUP($AU83,KOMBI!$A:$H,5,FALSE),data!$I$39:$J$41,2,FALSE)</f>
        <v>Vähe-sekkuv</v>
      </c>
      <c r="AY83" s="295" t="str">
        <f>VLOOKUP(VLOOKUP($AU83,KOMBI!$A:$H,4,FALSE),data!$I$32:$J$36,2,FALSE)</f>
        <v>PK &amp; UG</v>
      </c>
      <c r="BA83" s="25">
        <f t="array" ref="BA83">INDEX(KOMBI!$A$1:$GI$145,ROW('KSH järjestus'!BA90),MATCH('KSH järjestus'!BA$3,KOMBI!$A$1:$GI$1,0))</f>
        <v>4.2595673333661574</v>
      </c>
      <c r="BB83" s="25">
        <f t="array" ref="BB83">INDEX(KOMBI!$A$1:$GI$145,ROW('KSH järjestus'!BB90),MATCH('KSH järjestus'!BB$3,KOMBI!$A$1:$GI$1,0))</f>
        <v>362.51284779789177</v>
      </c>
      <c r="BC83" s="25">
        <f t="array" aca="1" ref="BC83" ca="1">INDEX(KOMBI!$A$1:$GI$145,ROW('KSH järjestus'!BC90),MATCH('KSH järjestus'!BC$3,KOMBI!$A$1:$GI$1,0))</f>
        <v>-4.227647331791303</v>
      </c>
      <c r="BD83" s="25">
        <f t="array" ref="BD83">INDEX(KOMBI!$A$1:$GI$145,ROW('KSH järjestus'!BD90),MATCH('KSH järjestus'!BD$3,KOMBI!$A$1:$GI$1,0))</f>
        <v>-162.7344698806321</v>
      </c>
      <c r="BE83" s="25">
        <f t="array" ref="BE83">INDEX(KOMBI!$A$1:$GI$145,ROW('KSH järjestus'!BE90),MATCH('KSH järjestus'!BE$3,KOMBI!$A$1:$GI$1,0))</f>
        <v>158.5068225488408</v>
      </c>
      <c r="BF83" s="25">
        <f t="array" aca="1" ref="BF83" ca="1">INDEX(KOMBI!$A$1:$GI$145,ROW('KSH järjestus'!BF90),MATCH('KSH järjestus'!BF$3,KOMBI!$A$1:$GI$1,0))</f>
        <v>0</v>
      </c>
      <c r="BG83" s="25">
        <f t="array" ref="BG83">INDEX(KOMBI!$A$1:$GI$145,ROW('KSH järjestus'!BG90),MATCH('KSH järjestus'!BG$3,KOMBI!$A$1:$GI$1,0))</f>
        <v>0.54652775186375635</v>
      </c>
      <c r="BH83" s="25">
        <f t="array" ref="BH83">INDEX(KOMBI!$A$1:$GI$145,ROW('KSH järjestus'!BH90),MATCH('KSH järjestus'!BH$3,KOMBI!$A$1:$GI$1,0))</f>
        <v>90</v>
      </c>
      <c r="BI83" s="25">
        <f t="array" ref="BI83">INDEX(KOMBI!$A$1:$GI$145,ROW('KSH järjestus'!BI90),MATCH('KSH järjestus'!BI$3,KOMBI!$A$1:$GI$1,0))</f>
        <v>0.84317482403548605</v>
      </c>
      <c r="BJ83" s="25">
        <f t="array" ref="BJ83">INDEX(KOMBI!$A$1:$GI$145,ROW('KSH järjestus'!BJ90),MATCH('KSH järjestus'!BJ$3,KOMBI!$A$1:$GI$1,0))</f>
        <v>0.27911646586345373</v>
      </c>
      <c r="BK83" s="25">
        <f t="array" ref="BK83">INDEX(KOMBI!$A$1:$GI$145,ROW('KSH järjestus'!BK90),MATCH('KSH järjestus'!BK$3,KOMBI!$A$1:$GI$1,0))</f>
        <v>0.33416875659668871</v>
      </c>
      <c r="BL83" s="25">
        <f t="array" ref="BL83">INDEX(KOMBI!$A$1:$GI$145,ROW('KSH järjestus'!BL90),MATCH('KSH järjestus'!BL$3,KOMBI!$A$1:$GI$1,0))</f>
        <v>1.4090301280209452E-2</v>
      </c>
      <c r="BM83" s="25">
        <f t="array" ref="BM83">INDEX(KOMBI!$A$1:$GI$145,ROW('KSH järjestus'!BM90),MATCH('KSH järjestus'!BM$3,KOMBI!$A$1:$GI$1,0))</f>
        <v>-1.4895790316669481E-3</v>
      </c>
      <c r="BN83" s="25">
        <f t="array" ref="BN83">INDEX(KOMBI!$A$1:$GI$145,ROW('KSH järjestus'!BN90),MATCH('KSH järjestus'!BN$3,KOMBI!$A$1:$GI$1,0))</f>
        <v>1.1036090589080505E-3</v>
      </c>
      <c r="BO83" s="25">
        <f t="array" ref="BO83">INDEX(KOMBI!$A$1:$GI$145,ROW('KSH järjestus'!BO90),MATCH('KSH järjestus'!BO$3,KOMBI!$A$1:$GI$1,0))</f>
        <v>1.3067871066954792E-2</v>
      </c>
      <c r="BP83" s="25">
        <f t="array" ref="BP83">INDEX(KOMBI!$A$1:$GI$145,ROW('KSH järjestus'!BP90),MATCH('KSH järjestus'!BP$3,KOMBI!$A$1:$GI$1,0))</f>
        <v>7.5977605777489075</v>
      </c>
      <c r="BQ83" s="25">
        <f t="array" ref="BQ83">INDEX(KOMBI!$A$1:$GI$145,ROW('KSH järjestus'!BQ90),MATCH('KSH järjestus'!BQ$3,KOMBI!$A$1:$GI$1,0))</f>
        <v>10.304</v>
      </c>
      <c r="BR83" s="25">
        <f t="array" ref="BR83">INDEX(KOMBI!$A$1:$GI$145,ROW('KSH järjestus'!BR90),MATCH('KSH järjestus'!BR$3,KOMBI!$A$1:$GI$1,0))</f>
        <v>-3.3107086457826285E-2</v>
      </c>
      <c r="BS83" s="25">
        <f t="array" ref="BS83">INDEX(KOMBI!$A$1:$GI$145,ROW('KSH järjestus'!BS90),MATCH('KSH järjestus'!BS$3,KOMBI!$A$1:$GI$1,0))</f>
        <v>-3.8113731766824678E-2</v>
      </c>
      <c r="BT83" s="25">
        <f t="array" ref="BT83">INDEX(KOMBI!$A$1:$GI$145,ROW('KSH järjestus'!BT90),MATCH('KSH järjestus'!BT$3,KOMBI!$A$1:$GI$1,0))</f>
        <v>-5.6172700966027667E-2</v>
      </c>
      <c r="BU83" s="25">
        <f t="array" ref="BU83">INDEX(KOMBI!$A$1:$GI$145,ROW('KSH järjestus'!BU90),MATCH('KSH järjestus'!BU$3,KOMBI!$A$1:$GI$1,0))</f>
        <v>8.1087703590452112</v>
      </c>
      <c r="BV83" s="25">
        <f t="array" ref="BV83">INDEX(KOMBI!$A$1:$GI$145,ROW('KSH järjestus'!BV90),MATCH('KSH järjestus'!BV$3,KOMBI!$A$1:$GI$1,0))</f>
        <v>4.9379999999999997</v>
      </c>
      <c r="BW83" s="25">
        <f t="array" ref="BW83">INDEX(KOMBI!$A$1:$GI$145,ROW('KSH järjestus'!BW90),MATCH('KSH järjestus'!BW$3,KOMBI!$A$1:$GI$1,0))</f>
        <v>2.7768823271229701</v>
      </c>
      <c r="BX83" s="25">
        <f t="array" ref="BX83">INDEX(KOMBI!$A$1:$GI$145,ROW('KSH järjestus'!BX90),MATCH('KSH järjestus'!BX$3,KOMBI!$A$1:$GI$1,0))</f>
        <v>17.479578011574535</v>
      </c>
      <c r="BY83" s="25">
        <f t="array" ref="BY83">INDEX(KOMBI!$A$1:$GI$145,ROW('KSH järjestus'!BY90),MATCH('KSH järjestus'!BY$3,KOMBI!$A$1:$GI$1,0))</f>
        <v>11.222324637900011</v>
      </c>
      <c r="BZ83" s="25">
        <f t="array" ref="BZ83">INDEX(KOMBI!$A$1:$GI$145,ROW('KSH järjestus'!BZ90),MATCH('KSH järjestus'!BZ$3,KOMBI!$A$1:$GI$1,0))</f>
        <v>69.400000000000006</v>
      </c>
      <c r="CA83" s="25">
        <f t="array" ref="CA83">INDEX(KOMBI!$A$1:$GI$145,ROW('KSH järjestus'!CA90),MATCH('KSH järjestus'!CA$3,KOMBI!$A$1:$GI$1,0))</f>
        <v>13.871</v>
      </c>
      <c r="CB83" s="25">
        <f t="array" ref="CB83">INDEX(KOMBI!$A$1:$GI$145,ROW('KSH järjestus'!CB90),MATCH('KSH järjestus'!CB$3,KOMBI!$A$1:$GI$1,0))</f>
        <v>61.596666666666664</v>
      </c>
      <c r="CC83" s="25">
        <f t="array" ref="CC83">INDEX(KOMBI!$A$1:$GI$145,ROW('KSH järjestus'!CC90),MATCH('KSH järjestus'!CC$3,KOMBI!$A$1:$GI$1,0))</f>
        <v>4.9401229999999998</v>
      </c>
      <c r="CD83" s="25">
        <f t="array" ref="CD83">INDEX(KOMBI!$A$1:$GI$145,ROW('KSH järjestus'!CD90),MATCH('KSH järjestus'!CD$3,KOMBI!$A$1:$GI$1,0))</f>
        <v>297.04999999999995</v>
      </c>
      <c r="CE83" s="25">
        <f t="array" ref="CE83">INDEX(KOMBI!$A$1:$GI$145,ROW('KSH järjestus'!CE90),MATCH('KSH järjestus'!CE$3,KOMBI!$A$1:$GI$1,0))</f>
        <v>2.8980000000000001</v>
      </c>
      <c r="CF83" s="25">
        <f t="array" ref="CF83">INDEX(KOMBI!$A$1:$GI$145,ROW('KSH järjestus'!CF90),MATCH('KSH järjestus'!CF$3,KOMBI!$A$1:$GI$1,0))</f>
        <v>46.490678294573641</v>
      </c>
      <c r="CG83" s="25">
        <f t="array" ref="CG83">INDEX(KOMBI!$A$1:$GI$145,ROW('KSH järjestus'!CG90),MATCH('KSH järjestus'!CG$3,KOMBI!$A$1:$GI$1,0))</f>
        <v>2.3391437578713474E-2</v>
      </c>
      <c r="CH83" s="25">
        <f t="array" ref="CH83">INDEX(KOMBI!$A$1:$GI$145,ROW('KSH järjestus'!CH90),MATCH('KSH järjestus'!CH$3,KOMBI!$A$1:$GI$1,0))</f>
        <v>0.39754723427955507</v>
      </c>
      <c r="CI83" s="25">
        <f t="array" ref="CI83">INDEX(KOMBI!$A$1:$GI$145,ROW('KSH järjestus'!CI90),MATCH('KSH järjestus'!CI$3,KOMBI!$A$1:$GI$1,0))</f>
        <v>6.08</v>
      </c>
      <c r="CJ83" s="25">
        <f t="array" ref="CJ83">INDEX(KOMBI!$A$1:$GI$145,ROW('KSH järjestus'!CJ90),MATCH('KSH järjestus'!CJ$3,KOMBI!$A$1:$GI$1,0))</f>
        <v>4.8013823271229708</v>
      </c>
      <c r="CK83" s="25">
        <f t="array" ref="CK83">INDEX(KOMBI!$A$1:$GI$145,ROW('KSH järjestus'!CK90),MATCH('KSH järjestus'!CK$3,KOMBI!$A$1:$GI$1,0))</f>
        <v>0.19900000000000001</v>
      </c>
      <c r="CL83" s="25">
        <f t="array" ref="CL83">INDEX(KOMBI!$A$1:$GI$145,ROW('KSH järjestus'!CL90),MATCH('KSH järjestus'!CL$3,KOMBI!$A$1:$GI$1,0))</f>
        <v>0.72299999999999998</v>
      </c>
    </row>
    <row r="84" spans="3:90" x14ac:dyDescent="0.2">
      <c r="C84" s="184">
        <v>81</v>
      </c>
      <c r="G84" s="25">
        <f>RANK(INDEX(KOMBI!$A$11:$GI$145,MATCH('KSH järjestus'!$C84,KOMBI!$A$11:$A$145,0),MATCH('KSH järjestus'!G$3,KOMBI!$A$1:$GI$1,0)),BD$4:BD$138,G$2)</f>
        <v>6</v>
      </c>
      <c r="H84" s="25">
        <f>RANK(INDEX(KOMBI!$A$11:$GI$145,MATCH('KSH järjestus'!$C84,KOMBI!$A$11:$A$145,0),MATCH('KSH järjestus'!H$3,KOMBI!$A$1:$GI$1,0)),BE$4:BE$138,H$2)</f>
        <v>47</v>
      </c>
      <c r="J84" s="25">
        <f>RANK(INDEX(KOMBI!$A$11:$GI$145,MATCH('KSH järjestus'!$C84,KOMBI!$A$11:$A$145,0),MATCH('KSH järjestus'!J$3,KOMBI!$A$1:$GI$1,0)),BG$4:BG$138,J$2)</f>
        <v>65</v>
      </c>
      <c r="M84" s="25">
        <f>RANK(INDEX(KOMBI!$A$11:$GI$145,MATCH('KSH järjestus'!$C84,KOMBI!$A$11:$A$145,0),MATCH('KSH järjestus'!M$3,KOMBI!$A$1:$GI$1,0)),BJ$4:BJ$138,M$2)</f>
        <v>55</v>
      </c>
      <c r="N84" s="25">
        <f>RANK(INDEX(KOMBI!$A$11:$GI$145,MATCH('KSH järjestus'!$C84,KOMBI!$A$11:$A$145,0),MATCH('KSH järjestus'!N$3,KOMBI!$A$1:$GI$1,0)),BK$4:BK$138,N$2)</f>
        <v>82</v>
      </c>
      <c r="O84" s="25">
        <f>RANK(INDEX(KOMBI!$A$11:$GI$145,MATCH('KSH järjestus'!$C84,KOMBI!$A$11:$A$145,0),MATCH('KSH järjestus'!O$3,KOMBI!$A$1:$GI$1,0)),BL$4:BL$138,O$2)</f>
        <v>51</v>
      </c>
      <c r="P84" s="25">
        <f>RANK(INDEX(KOMBI!$A$11:$GI$145,MATCH('KSH järjestus'!$C84,KOMBI!$A$11:$A$145,0),MATCH('KSH järjestus'!P$3,KOMBI!$A$1:$GI$1,0)),BM$4:BM$138,P$2)</f>
        <v>95</v>
      </c>
      <c r="Q84" s="25">
        <f>RANK(INDEX(KOMBI!$A$11:$GI$145,MATCH('KSH järjestus'!$C84,KOMBI!$A$11:$A$145,0),MATCH('KSH järjestus'!Q$3,KOMBI!$A$1:$GI$1,0)),BN$4:BN$138,Q$2)</f>
        <v>93</v>
      </c>
      <c r="R84" s="25">
        <f>RANK(INDEX(KOMBI!$A$11:$GI$145,MATCH('KSH järjestus'!$C84,KOMBI!$A$11:$A$145,0),MATCH('KSH järjestus'!R$3,KOMBI!$A$1:$GI$1,0)),BO$4:BO$138,R$2)</f>
        <v>27</v>
      </c>
      <c r="T84" s="25">
        <f>RANK(INDEX(KOMBI!$A$11:$GI$145,MATCH('KSH järjestus'!$C84,KOMBI!$A$11:$A$145,0),MATCH('KSH järjestus'!T$3,KOMBI!$A$1:$GI$1,0)),BQ$4:BQ$138,T$2)</f>
        <v>56</v>
      </c>
      <c r="U84" s="25">
        <f>RANK(INDEX(KOMBI!$A$11:$GI$145,MATCH('KSH järjestus'!$C84,KOMBI!$A$11:$A$145,0),MATCH('KSH järjestus'!U$3,KOMBI!$A$1:$GI$1,0)),BR$4:BR$138,U$2)</f>
        <v>55</v>
      </c>
      <c r="AA84" s="25">
        <f>RANK(INDEX(KOMBI!$A$11:$GI$145,MATCH('KSH järjestus'!$C84,KOMBI!$A$11:$A$145,0),MATCH('KSH järjestus'!AA$3,KOMBI!$A$1:$GI$1,0)),BX$4:BX$138,AA$2)</f>
        <v>31</v>
      </c>
      <c r="AB84" s="25">
        <f>RANK(INDEX(KOMBI!$A$11:$GI$145,MATCH('KSH järjestus'!$C84,KOMBI!$A$11:$A$145,0),MATCH('KSH järjestus'!AB$3,KOMBI!$A$1:$GI$1,0)),BY$4:BY$138,AB$2)</f>
        <v>37</v>
      </c>
      <c r="AC84" s="25">
        <f>RANK(INDEX(KOMBI!$A$11:$GI$145,MATCH('KSH järjestus'!$C84,KOMBI!$A$11:$A$145,0),MATCH('KSH järjestus'!AC$3,KOMBI!$A$1:$GI$1,0)),BZ$4:BZ$138,AC$2)</f>
        <v>33</v>
      </c>
      <c r="AD84" s="25">
        <f>RANK(INDEX(KOMBI!$A$11:$GI$145,MATCH('KSH järjestus'!$C84,KOMBI!$A$11:$A$145,0),MATCH('KSH järjestus'!AD$3,KOMBI!$A$1:$GI$1,0)),CA$4:CA$138,AD$2)</f>
        <v>67</v>
      </c>
      <c r="AE84" s="25">
        <f>RANK(INDEX(KOMBI!$A$11:$GI$145,MATCH('KSH järjestus'!$C84,KOMBI!$A$11:$A$145,0),MATCH('KSH järjestus'!AE$3,KOMBI!$A$1:$GI$1,0)),CB$4:CB$138,AE$2)</f>
        <v>62</v>
      </c>
      <c r="AG84" s="25">
        <f>RANK(INDEX(KOMBI!$A$11:$GI$145,MATCH('KSH järjestus'!$C84,KOMBI!$A$11:$A$145,0),MATCH('KSH järjestus'!AG$3,KOMBI!$A$1:$GI$1,0)),CD$4:CD$138,AG$2)</f>
        <v>34</v>
      </c>
      <c r="AH84" s="25">
        <f>RANK(INDEX(KOMBI!$A$11:$GI$145,MATCH('KSH järjestus'!$C84,KOMBI!$A$11:$A$145,0),MATCH('KSH järjestus'!AH$3,KOMBI!$A$1:$GI$1,0)),CE$4:CE$138,AH$2)</f>
        <v>61</v>
      </c>
      <c r="AI84" s="25">
        <f>RANK(INDEX(KOMBI!$A$11:$GI$145,MATCH('KSH järjestus'!$C84,KOMBI!$A$11:$A$145,0),MATCH('KSH järjestus'!AI$3,KOMBI!$A$1:$GI$1,0)),CF$4:CF$138,AI$2)</f>
        <v>49</v>
      </c>
      <c r="AJ84" s="25">
        <f>RANK(INDEX(KOMBI!$A$11:$GI$145,MATCH('KSH järjestus'!$C84,KOMBI!$A$11:$A$145,0),MATCH('KSH järjestus'!AJ$3,KOMBI!$A$1:$GI$1,0)),CG$4:CG$138,AJ$2)</f>
        <v>52</v>
      </c>
      <c r="AK84" s="25">
        <f>RANK(INDEX(KOMBI!$A$11:$GI$145,MATCH('KSH järjestus'!$C84,KOMBI!$A$11:$A$145,0),MATCH('KSH järjestus'!AK$3,KOMBI!$A$1:$GI$1,0)),CH$4:CH$138,AK$2)</f>
        <v>85</v>
      </c>
      <c r="AN84" s="25">
        <f>RANK(INDEX(KOMBI!$A$11:$GI$145,MATCH('KSH järjestus'!$C84,KOMBI!$A$11:$A$145,0),MATCH('KSH järjestus'!AN$3,KOMBI!$A$1:$GI$1,0)),CK$4:CK$138,AN$2)</f>
        <v>1</v>
      </c>
      <c r="AO84" s="25">
        <f>RANK(INDEX(KOMBI!$A$11:$GI$145,MATCH('KSH järjestus'!$C84,KOMBI!$A$11:$A$145,0),MATCH('KSH järjestus'!AO$3,KOMBI!$A$1:$GI$1,0)),CL$4:CL$138,AO$2)</f>
        <v>1</v>
      </c>
      <c r="AS84" s="297">
        <f t="shared" si="4"/>
        <v>1145</v>
      </c>
      <c r="AT84" s="25">
        <f t="shared" si="5"/>
        <v>1629</v>
      </c>
      <c r="AU84" s="25">
        <f t="shared" si="6"/>
        <v>57</v>
      </c>
      <c r="AV84" s="295" t="str">
        <f>VLOOKUP(VLOOKUP($AU84,KOMBI!$A:$H,3,FALSE),data!$I$27:$J$29,2,FALSE)</f>
        <v>Mittesekkuv</v>
      </c>
      <c r="AW84" s="295" t="str">
        <f>VLOOKUP(VLOOKUP($AU84,KOMBI!$A:$H,2,FALSE),data!$I$21:$J$23,2,FALSE)</f>
        <v>Vähe-sekkuv</v>
      </c>
      <c r="AX84" s="295" t="str">
        <f>VLOOKUP(VLOOKUP($AU84,KOMBI!$A:$H,5,FALSE),data!$I$39:$J$41,2,FALSE)</f>
        <v>Sekkuv</v>
      </c>
      <c r="AY84" s="295" t="str">
        <f>VLOOKUP(VLOOKUP($AU84,KOMBI!$A:$H,4,FALSE),data!$I$32:$J$36,2,FALSE)</f>
        <v>TE++</v>
      </c>
      <c r="BA84" s="25">
        <f t="array" ref="BA84">INDEX(KOMBI!$A$1:$GI$145,ROW('KSH järjestus'!BA91),MATCH('KSH järjestus'!BA$3,KOMBI!$A$1:$GI$1,0))</f>
        <v>5.1646670556076852</v>
      </c>
      <c r="BB84" s="25">
        <f t="array" ref="BB84">INDEX(KOMBI!$A$1:$GI$145,ROW('KSH järjestus'!BB91),MATCH('KSH järjestus'!BB$3,KOMBI!$A$1:$GI$1,0))</f>
        <v>479.12363881537107</v>
      </c>
      <c r="BC84" s="25">
        <f t="array" aca="1" ref="BC84" ca="1">INDEX(KOMBI!$A$1:$GI$145,ROW('KSH järjestus'!BC91),MATCH('KSH järjestus'!BC$3,KOMBI!$A$1:$GI$1,0))</f>
        <v>12.326767027293641</v>
      </c>
      <c r="BD84" s="25">
        <f t="array" ref="BD84">INDEX(KOMBI!$A$1:$GI$145,ROW('KSH järjestus'!BD91),MATCH('KSH järjestus'!BD$3,KOMBI!$A$1:$GI$1,0))</f>
        <v>-181.84206369909103</v>
      </c>
      <c r="BE84" s="25">
        <f t="array" ref="BE84">INDEX(KOMBI!$A$1:$GI$145,ROW('KSH järjestus'!BE91),MATCH('KSH järjestus'!BE$3,KOMBI!$A$1:$GI$1,0))</f>
        <v>194.16883072638467</v>
      </c>
      <c r="BF84" s="25">
        <f t="array" aca="1" ref="BF84" ca="1">INDEX(KOMBI!$A$1:$GI$145,ROW('KSH järjestus'!BF91),MATCH('KSH järjestus'!BF$3,KOMBI!$A$1:$GI$1,0))</f>
        <v>0</v>
      </c>
      <c r="BG84" s="25">
        <f t="array" ref="BG84">INDEX(KOMBI!$A$1:$GI$145,ROW('KSH järjestus'!BG91),MATCH('KSH järjestus'!BG$3,KOMBI!$A$1:$GI$1,0))</f>
        <v>0.54652775186375635</v>
      </c>
      <c r="BH84" s="25">
        <f t="array" ref="BH84">INDEX(KOMBI!$A$1:$GI$145,ROW('KSH järjestus'!BH91),MATCH('KSH järjestus'!BH$3,KOMBI!$A$1:$GI$1,0))</f>
        <v>90</v>
      </c>
      <c r="BI84" s="25">
        <f t="array" ref="BI84">INDEX(KOMBI!$A$1:$GI$145,ROW('KSH järjestus'!BI91),MATCH('KSH järjestus'!BI$3,KOMBI!$A$1:$GI$1,0))</f>
        <v>0.84317482403548605</v>
      </c>
      <c r="BJ84" s="25">
        <f t="array" ref="BJ84">INDEX(KOMBI!$A$1:$GI$145,ROW('KSH järjestus'!BJ91),MATCH('KSH järjestus'!BJ$3,KOMBI!$A$1:$GI$1,0))</f>
        <v>0.27911646586345373</v>
      </c>
      <c r="BK84" s="25">
        <f t="array" ref="BK84">INDEX(KOMBI!$A$1:$GI$145,ROW('KSH järjestus'!BK91),MATCH('KSH järjestus'!BK$3,KOMBI!$A$1:$GI$1,0))</f>
        <v>0.33416875659668871</v>
      </c>
      <c r="BL84" s="25">
        <f t="array" ref="BL84">INDEX(KOMBI!$A$1:$GI$145,ROW('KSH järjestus'!BL91),MATCH('KSH järjestus'!BL$3,KOMBI!$A$1:$GI$1,0))</f>
        <v>1.8741356658455974E-2</v>
      </c>
      <c r="BM84" s="25">
        <f t="array" ref="BM84">INDEX(KOMBI!$A$1:$GI$145,ROW('KSH järjestus'!BM91),MATCH('KSH järjestus'!BM$3,KOMBI!$A$1:$GI$1,0))</f>
        <v>-1.4768133046255618E-3</v>
      </c>
      <c r="BN84" s="25">
        <f t="array" ref="BN84">INDEX(KOMBI!$A$1:$GI$145,ROW('KSH järjestus'!BN91),MATCH('KSH järjestus'!BN$3,KOMBI!$A$1:$GI$1,0))</f>
        <v>2.4343988949547812E-3</v>
      </c>
      <c r="BO84" s="25">
        <f t="array" ref="BO84">INDEX(KOMBI!$A$1:$GI$145,ROW('KSH järjestus'!BO91),MATCH('KSH järjestus'!BO$3,KOMBI!$A$1:$GI$1,0))</f>
        <v>1.6461734515119647E-2</v>
      </c>
      <c r="BP84" s="25">
        <f t="array" ref="BP84">INDEX(KOMBI!$A$1:$GI$145,ROW('KSH järjestus'!BP91),MATCH('KSH järjestus'!BP$3,KOMBI!$A$1:$GI$1,0))</f>
        <v>7.5977605777489075</v>
      </c>
      <c r="BQ84" s="25">
        <f t="array" ref="BQ84">INDEX(KOMBI!$A$1:$GI$145,ROW('KSH järjestus'!BQ91),MATCH('KSH järjestus'!BQ$3,KOMBI!$A$1:$GI$1,0))</f>
        <v>10.528</v>
      </c>
      <c r="BR84" s="25">
        <f t="array" ref="BR84">INDEX(KOMBI!$A$1:$GI$145,ROW('KSH järjestus'!BR91),MATCH('KSH järjestus'!BR$3,KOMBI!$A$1:$GI$1,0))</f>
        <v>-2.9127599327380391E-2</v>
      </c>
      <c r="BS84" s="25">
        <f t="array" ref="BS84">INDEX(KOMBI!$A$1:$GI$145,ROW('KSH järjestus'!BS91),MATCH('KSH järjestus'!BS$3,KOMBI!$A$1:$GI$1,0))</f>
        <v>-3.6854571850536227E-2</v>
      </c>
      <c r="BT84" s="25">
        <f t="array" ref="BT84">INDEX(KOMBI!$A$1:$GI$145,ROW('KSH järjestus'!BT91),MATCH('KSH järjestus'!BT$3,KOMBI!$A$1:$GI$1,0))</f>
        <v>-5.471198199280141E-2</v>
      </c>
      <c r="BU84" s="25">
        <f t="array" ref="BU84">INDEX(KOMBI!$A$1:$GI$145,ROW('KSH järjestus'!BU91),MATCH('KSH järjestus'!BU$3,KOMBI!$A$1:$GI$1,0))</f>
        <v>8.1087703590452112</v>
      </c>
      <c r="BV84" s="25">
        <f t="array" ref="BV84">INDEX(KOMBI!$A$1:$GI$145,ROW('KSH järjestus'!BV91),MATCH('KSH järjestus'!BV$3,KOMBI!$A$1:$GI$1,0))</f>
        <v>4.9379999999999997</v>
      </c>
      <c r="BW84" s="25">
        <f t="array" ref="BW84">INDEX(KOMBI!$A$1:$GI$145,ROW('KSH järjestus'!BW91),MATCH('KSH järjestus'!BW$3,KOMBI!$A$1:$GI$1,0))</f>
        <v>2.98558232712297</v>
      </c>
      <c r="BX84" s="25">
        <f t="array" ref="BX84">INDEX(KOMBI!$A$1:$GI$145,ROW('KSH järjestus'!BX91),MATCH('KSH järjestus'!BX$3,KOMBI!$A$1:$GI$1,0))</f>
        <v>17.479578011574535</v>
      </c>
      <c r="BY84" s="25">
        <f t="array" ref="BY84">INDEX(KOMBI!$A$1:$GI$145,ROW('KSH järjestus'!BY91),MATCH('KSH järjestus'!BY$3,KOMBI!$A$1:$GI$1,0))</f>
        <v>11.222324637900011</v>
      </c>
      <c r="BZ84" s="25">
        <f t="array" ref="BZ84">INDEX(KOMBI!$A$1:$GI$145,ROW('KSH järjestus'!BZ91),MATCH('KSH järjestus'!BZ$3,KOMBI!$A$1:$GI$1,0))</f>
        <v>71</v>
      </c>
      <c r="CA84" s="25">
        <f t="array" ref="CA84">INDEX(KOMBI!$A$1:$GI$145,ROW('KSH järjestus'!CA91),MATCH('KSH järjestus'!CA$3,KOMBI!$A$1:$GI$1,0))</f>
        <v>14.122999999999999</v>
      </c>
      <c r="CB84" s="25">
        <f t="array" ref="CB84">INDEX(KOMBI!$A$1:$GI$145,ROW('KSH järjestus'!CB91),MATCH('KSH järjestus'!CB$3,KOMBI!$A$1:$GI$1,0))</f>
        <v>62.50472222222222</v>
      </c>
      <c r="CC84" s="25">
        <f t="array" ref="CC84">INDEX(KOMBI!$A$1:$GI$145,ROW('KSH järjestus'!CC91),MATCH('KSH järjestus'!CC$3,KOMBI!$A$1:$GI$1,0))</f>
        <v>5.0334680000000001</v>
      </c>
      <c r="CD84" s="25">
        <f t="array" ref="CD84">INDEX(KOMBI!$A$1:$GI$145,ROW('KSH järjestus'!CD91),MATCH('KSH järjestus'!CD$3,KOMBI!$A$1:$GI$1,0))</f>
        <v>297.04999999999995</v>
      </c>
      <c r="CE84" s="25">
        <f t="array" ref="CE84">INDEX(KOMBI!$A$1:$GI$145,ROW('KSH järjestus'!CE91),MATCH('KSH järjestus'!CE$3,KOMBI!$A$1:$GI$1,0))</f>
        <v>2.8980000000000001</v>
      </c>
      <c r="CF84" s="25">
        <f t="array" ref="CF84">INDEX(KOMBI!$A$1:$GI$145,ROW('KSH järjestus'!CF91),MATCH('KSH järjestus'!CF$3,KOMBI!$A$1:$GI$1,0))</f>
        <v>46.490678294573641</v>
      </c>
      <c r="CG84" s="25">
        <f t="array" ref="CG84">INDEX(KOMBI!$A$1:$GI$145,ROW('KSH järjestus'!CG91),MATCH('KSH järjestus'!CG$3,KOMBI!$A$1:$GI$1,0))</f>
        <v>2.3391437578713474E-2</v>
      </c>
      <c r="CH84" s="25">
        <f t="array" ref="CH84">INDEX(KOMBI!$A$1:$GI$145,ROW('KSH järjestus'!CH91),MATCH('KSH järjestus'!CH$3,KOMBI!$A$1:$GI$1,0))</f>
        <v>0.39754723427955507</v>
      </c>
      <c r="CI84" s="25">
        <f t="array" ref="CI84">INDEX(KOMBI!$A$1:$GI$145,ROW('KSH järjestus'!CI91),MATCH('KSH järjestus'!CI$3,KOMBI!$A$1:$GI$1,0))</f>
        <v>6.08</v>
      </c>
      <c r="CJ84" s="25">
        <f t="array" ref="CJ84">INDEX(KOMBI!$A$1:$GI$145,ROW('KSH järjestus'!CJ91),MATCH('KSH järjestus'!CJ$3,KOMBI!$A$1:$GI$1,0))</f>
        <v>4.8013823271229708</v>
      </c>
      <c r="CK84" s="25">
        <f t="array" ref="CK84">INDEX(KOMBI!$A$1:$GI$145,ROW('KSH järjestus'!CK91),MATCH('KSH järjestus'!CK$3,KOMBI!$A$1:$GI$1,0))</f>
        <v>0.19900000000000001</v>
      </c>
      <c r="CL84" s="25">
        <f t="array" ref="CL84">INDEX(KOMBI!$A$1:$GI$145,ROW('KSH järjestus'!CL91),MATCH('KSH järjestus'!CL$3,KOMBI!$A$1:$GI$1,0))</f>
        <v>0.72299999999999998</v>
      </c>
    </row>
    <row r="85" spans="3:90" x14ac:dyDescent="0.2">
      <c r="C85" s="184">
        <v>82</v>
      </c>
      <c r="G85" s="25">
        <f>RANK(INDEX(KOMBI!$A$11:$GI$145,MATCH('KSH järjestus'!$C85,KOMBI!$A$11:$A$145,0),MATCH('KSH järjestus'!G$3,KOMBI!$A$1:$GI$1,0)),BD$4:BD$138,G$2)</f>
        <v>31</v>
      </c>
      <c r="H85" s="25">
        <f>RANK(INDEX(KOMBI!$A$11:$GI$145,MATCH('KSH järjestus'!$C85,KOMBI!$A$11:$A$145,0),MATCH('KSH järjestus'!H$3,KOMBI!$A$1:$GI$1,0)),BE$4:BE$138,H$2)</f>
        <v>86</v>
      </c>
      <c r="J85" s="25">
        <f>RANK(INDEX(KOMBI!$A$11:$GI$145,MATCH('KSH järjestus'!$C85,KOMBI!$A$11:$A$145,0),MATCH('KSH järjestus'!J$3,KOMBI!$A$1:$GI$1,0)),BG$4:BG$138,J$2)</f>
        <v>59</v>
      </c>
      <c r="M85" s="25">
        <f>RANK(INDEX(KOMBI!$A$11:$GI$145,MATCH('KSH järjestus'!$C85,KOMBI!$A$11:$A$145,0),MATCH('KSH järjestus'!M$3,KOMBI!$A$1:$GI$1,0)),BJ$4:BJ$138,M$2)</f>
        <v>28</v>
      </c>
      <c r="N85" s="25">
        <f>RANK(INDEX(KOMBI!$A$11:$GI$145,MATCH('KSH järjestus'!$C85,KOMBI!$A$11:$A$145,0),MATCH('KSH järjestus'!N$3,KOMBI!$A$1:$GI$1,0)),BK$4:BK$138,N$2)</f>
        <v>37</v>
      </c>
      <c r="O85" s="25">
        <f>RANK(INDEX(KOMBI!$A$11:$GI$145,MATCH('KSH järjestus'!$C85,KOMBI!$A$11:$A$145,0),MATCH('KSH järjestus'!O$3,KOMBI!$A$1:$GI$1,0)),BL$4:BL$138,O$2)</f>
        <v>100</v>
      </c>
      <c r="P85" s="25">
        <f>RANK(INDEX(KOMBI!$A$11:$GI$145,MATCH('KSH järjestus'!$C85,KOMBI!$A$11:$A$145,0),MATCH('KSH järjestus'!P$3,KOMBI!$A$1:$GI$1,0)),BM$4:BM$138,P$2)</f>
        <v>75</v>
      </c>
      <c r="Q85" s="25">
        <f>RANK(INDEX(KOMBI!$A$11:$GI$145,MATCH('KSH järjestus'!$C85,KOMBI!$A$11:$A$145,0),MATCH('KSH järjestus'!Q$3,KOMBI!$A$1:$GI$1,0)),BN$4:BN$138,Q$2)</f>
        <v>119</v>
      </c>
      <c r="R85" s="25">
        <f>RANK(INDEX(KOMBI!$A$11:$GI$145,MATCH('KSH järjestus'!$C85,KOMBI!$A$11:$A$145,0),MATCH('KSH järjestus'!R$3,KOMBI!$A$1:$GI$1,0)),BO$4:BO$138,R$2)</f>
        <v>77</v>
      </c>
      <c r="T85" s="25">
        <f>RANK(INDEX(KOMBI!$A$11:$GI$145,MATCH('KSH järjestus'!$C85,KOMBI!$A$11:$A$145,0),MATCH('KSH järjestus'!T$3,KOMBI!$A$1:$GI$1,0)),BQ$4:BQ$138,T$2)</f>
        <v>37</v>
      </c>
      <c r="U85" s="25">
        <f>RANK(INDEX(KOMBI!$A$11:$GI$145,MATCH('KSH järjestus'!$C85,KOMBI!$A$11:$A$145,0),MATCH('KSH järjestus'!U$3,KOMBI!$A$1:$GI$1,0)),BR$4:BR$138,U$2)</f>
        <v>37</v>
      </c>
      <c r="AA85" s="25">
        <f>RANK(INDEX(KOMBI!$A$11:$GI$145,MATCH('KSH järjestus'!$C85,KOMBI!$A$11:$A$145,0),MATCH('KSH järjestus'!AA$3,KOMBI!$A$1:$GI$1,0)),BX$4:BX$138,AA$2)</f>
        <v>34</v>
      </c>
      <c r="AB85" s="25">
        <f>RANK(INDEX(KOMBI!$A$11:$GI$145,MATCH('KSH järjestus'!$C85,KOMBI!$A$11:$A$145,0),MATCH('KSH järjestus'!AB$3,KOMBI!$A$1:$GI$1,0)),BY$4:BY$138,AB$2)</f>
        <v>37</v>
      </c>
      <c r="AC85" s="25">
        <f>RANK(INDEX(KOMBI!$A$11:$GI$145,MATCH('KSH järjestus'!$C85,KOMBI!$A$11:$A$145,0),MATCH('KSH järjestus'!AC$3,KOMBI!$A$1:$GI$1,0)),BZ$4:BZ$138,AC$2)</f>
        <v>28</v>
      </c>
      <c r="AD85" s="25">
        <f>RANK(INDEX(KOMBI!$A$11:$GI$145,MATCH('KSH järjestus'!$C85,KOMBI!$A$11:$A$145,0),MATCH('KSH järjestus'!AD$3,KOMBI!$A$1:$GI$1,0)),CA$4:CA$138,AD$2)</f>
        <v>51</v>
      </c>
      <c r="AE85" s="25">
        <f>RANK(INDEX(KOMBI!$A$11:$GI$145,MATCH('KSH järjestus'!$C85,KOMBI!$A$11:$A$145,0),MATCH('KSH järjestus'!AE$3,KOMBI!$A$1:$GI$1,0)),CB$4:CB$138,AE$2)</f>
        <v>48</v>
      </c>
      <c r="AG85" s="25">
        <f>RANK(INDEX(KOMBI!$A$11:$GI$145,MATCH('KSH järjestus'!$C85,KOMBI!$A$11:$A$145,0),MATCH('KSH järjestus'!AG$3,KOMBI!$A$1:$GI$1,0)),CD$4:CD$138,AG$2)</f>
        <v>34</v>
      </c>
      <c r="AH85" s="25">
        <f>RANK(INDEX(KOMBI!$A$11:$GI$145,MATCH('KSH järjestus'!$C85,KOMBI!$A$11:$A$145,0),MATCH('KSH järjestus'!AH$3,KOMBI!$A$1:$GI$1,0)),CE$4:CE$138,AH$2)</f>
        <v>61</v>
      </c>
      <c r="AI85" s="25">
        <f>RANK(INDEX(KOMBI!$A$11:$GI$145,MATCH('KSH järjestus'!$C85,KOMBI!$A$11:$A$145,0),MATCH('KSH järjestus'!AI$3,KOMBI!$A$1:$GI$1,0)),CF$4:CF$138,AI$2)</f>
        <v>43</v>
      </c>
      <c r="AJ85" s="25">
        <f>RANK(INDEX(KOMBI!$A$11:$GI$145,MATCH('KSH järjestus'!$C85,KOMBI!$A$11:$A$145,0),MATCH('KSH järjestus'!AJ$3,KOMBI!$A$1:$GI$1,0)),CG$4:CG$138,AJ$2)</f>
        <v>7</v>
      </c>
      <c r="AK85" s="25">
        <f>RANK(INDEX(KOMBI!$A$11:$GI$145,MATCH('KSH järjestus'!$C85,KOMBI!$A$11:$A$145,0),MATCH('KSH järjestus'!AK$3,KOMBI!$A$1:$GI$1,0)),CH$4:CH$138,AK$2)</f>
        <v>28</v>
      </c>
      <c r="AN85" s="25">
        <f>RANK(INDEX(KOMBI!$A$11:$GI$145,MATCH('KSH järjestus'!$C85,KOMBI!$A$11:$A$145,0),MATCH('KSH järjestus'!AN$3,KOMBI!$A$1:$GI$1,0)),CK$4:CK$138,AN$2)</f>
        <v>1</v>
      </c>
      <c r="AO85" s="25">
        <f>RANK(INDEX(KOMBI!$A$11:$GI$145,MATCH('KSH järjestus'!$C85,KOMBI!$A$11:$A$145,0),MATCH('KSH järjestus'!AO$3,KOMBI!$A$1:$GI$1,0)),CL$4:CL$138,AO$2)</f>
        <v>1</v>
      </c>
      <c r="AS85" s="297">
        <f t="shared" si="4"/>
        <v>1059</v>
      </c>
      <c r="AT85" s="25">
        <f t="shared" si="5"/>
        <v>1638</v>
      </c>
      <c r="AU85" s="25">
        <f t="shared" si="6"/>
        <v>105</v>
      </c>
      <c r="AV85" s="295" t="str">
        <f>VLOOKUP(VLOOKUP($AU85,KOMBI!$A:$H,3,FALSE),data!$I$27:$J$29,2,FALSE)</f>
        <v>Mittesekkuv</v>
      </c>
      <c r="AW85" s="295" t="str">
        <f>VLOOKUP(VLOOKUP($AU85,KOMBI!$A:$H,2,FALSE),data!$I$21:$J$23,2,FALSE)</f>
        <v>Sekkuv</v>
      </c>
      <c r="AX85" s="295" t="str">
        <f>VLOOKUP(VLOOKUP($AU85,KOMBI!$A:$H,5,FALSE),data!$I$39:$J$41,2,FALSE)</f>
        <v>Sekkuv</v>
      </c>
      <c r="AY85" s="295" t="str">
        <f>VLOOKUP(VLOOKUP($AU85,KOMBI!$A:$H,4,FALSE),data!$I$32:$J$36,2,FALSE)</f>
        <v>PK &amp; UG</v>
      </c>
      <c r="BA85" s="25">
        <f t="array" ref="BA85">INDEX(KOMBI!$A$1:$GI$145,ROW('KSH järjestus'!BA92),MATCH('KSH järjestus'!BA$3,KOMBI!$A$1:$GI$1,0))</f>
        <v>4.0186350812694034</v>
      </c>
      <c r="BB85" s="25">
        <f t="array" ref="BB85">INDEX(KOMBI!$A$1:$GI$145,ROW('KSH järjestus'!BB92),MATCH('KSH järjestus'!BB$3,KOMBI!$A$1:$GI$1,0))</f>
        <v>288.03787111316058</v>
      </c>
      <c r="BC85" s="25">
        <f t="array" aca="1" ref="BC85" ca="1">INDEX(KOMBI!$A$1:$GI$145,ROW('KSH järjestus'!BC92),MATCH('KSH järjestus'!BC$3,KOMBI!$A$1:$GI$1,0))</f>
        <v>-10.571113376773326</v>
      </c>
      <c r="BD85" s="25">
        <f t="array" ref="BD85">INDEX(KOMBI!$A$1:$GI$145,ROW('KSH järjestus'!BD92),MATCH('KSH järjestus'!BD$3,KOMBI!$A$1:$GI$1,0))</f>
        <v>-147.50125</v>
      </c>
      <c r="BE85" s="25">
        <f t="array" ref="BE85">INDEX(KOMBI!$A$1:$GI$145,ROW('KSH järjestus'!BE92),MATCH('KSH järjestus'!BE$3,KOMBI!$A$1:$GI$1,0))</f>
        <v>136.93013662322667</v>
      </c>
      <c r="BF85" s="25">
        <f t="array" aca="1" ref="BF85" ca="1">INDEX(KOMBI!$A$1:$GI$145,ROW('KSH järjestus'!BF92),MATCH('KSH järjestus'!BF$3,KOMBI!$A$1:$GI$1,0))</f>
        <v>0</v>
      </c>
      <c r="BG85" s="25">
        <f t="array" ref="BG85">INDEX(KOMBI!$A$1:$GI$145,ROW('KSH järjestus'!BG92),MATCH('KSH järjestus'!BG$3,KOMBI!$A$1:$GI$1,0))</f>
        <v>0.53721880855513682</v>
      </c>
      <c r="BH85" s="25">
        <f t="array" ref="BH85">INDEX(KOMBI!$A$1:$GI$145,ROW('KSH järjestus'!BH92),MATCH('KSH järjestus'!BH$3,KOMBI!$A$1:$GI$1,0))</f>
        <v>90</v>
      </c>
      <c r="BI85" s="25">
        <f t="array" ref="BI85">INDEX(KOMBI!$A$1:$GI$145,ROW('KSH järjestus'!BI92),MATCH('KSH järjestus'!BI$3,KOMBI!$A$1:$GI$1,0))</f>
        <v>1</v>
      </c>
      <c r="BJ85" s="25">
        <f t="array" ref="BJ85">INDEX(KOMBI!$A$1:$GI$145,ROW('KSH järjestus'!BJ92),MATCH('KSH järjestus'!BJ$3,KOMBI!$A$1:$GI$1,0))</f>
        <v>6.6265060240963902E-2</v>
      </c>
      <c r="BK85" s="25">
        <f t="array" ref="BK85">INDEX(KOMBI!$A$1:$GI$145,ROW('KSH järjestus'!BK92),MATCH('KSH järjestus'!BK$3,KOMBI!$A$1:$GI$1,0))</f>
        <v>0.38052689019826891</v>
      </c>
      <c r="BL85" s="25">
        <f t="array" ref="BL85">INDEX(KOMBI!$A$1:$GI$145,ROW('KSH järjestus'!BL92),MATCH('KSH järjestus'!BL$3,KOMBI!$A$1:$GI$1,0))</f>
        <v>1.1418554408783865E-2</v>
      </c>
      <c r="BM85" s="25">
        <f t="array" ref="BM85">INDEX(KOMBI!$A$1:$GI$145,ROW('KSH järjestus'!BM92),MATCH('KSH järjestus'!BM$3,KOMBI!$A$1:$GI$1,0))</f>
        <v>4.1426186215622616E-4</v>
      </c>
      <c r="BN85" s="25">
        <f t="array" ref="BN85">INDEX(KOMBI!$A$1:$GI$145,ROW('KSH järjestus'!BN92),MATCH('KSH järjestus'!BN$3,KOMBI!$A$1:$GI$1,0))</f>
        <v>2.476236269363663E-4</v>
      </c>
      <c r="BO85" s="25">
        <f t="array" ref="BO85">INDEX(KOMBI!$A$1:$GI$145,ROW('KSH järjestus'!BO92),MATCH('KSH järjestus'!BO$3,KOMBI!$A$1:$GI$1,0))</f>
        <v>1.124411904537124E-2</v>
      </c>
      <c r="BP85" s="25">
        <f t="array" ref="BP85">INDEX(KOMBI!$A$1:$GI$145,ROW('KSH järjestus'!BP92),MATCH('KSH järjestus'!BP$3,KOMBI!$A$1:$GI$1,0))</f>
        <v>7.6003156794471023</v>
      </c>
      <c r="BQ85" s="25">
        <f t="array" ref="BQ85">INDEX(KOMBI!$A$1:$GI$145,ROW('KSH järjestus'!BQ92),MATCH('KSH järjestus'!BQ$3,KOMBI!$A$1:$GI$1,0))</f>
        <v>10.295999999999999</v>
      </c>
      <c r="BR85" s="25">
        <f t="array" ref="BR85">INDEX(KOMBI!$A$1:$GI$145,ROW('KSH järjestus'!BR92),MATCH('KSH järjestus'!BR$3,KOMBI!$A$1:$GI$1,0))</f>
        <v>-3.7324231592489043E-2</v>
      </c>
      <c r="BS85" s="25">
        <f t="array" ref="BS85">INDEX(KOMBI!$A$1:$GI$145,ROW('KSH järjestus'!BS92),MATCH('KSH järjestus'!BS$3,KOMBI!$A$1:$GI$1,0))</f>
        <v>-3.9779787340991003E-2</v>
      </c>
      <c r="BT85" s="25">
        <f t="array" ref="BT85">INDEX(KOMBI!$A$1:$GI$145,ROW('KSH järjestus'!BT92),MATCH('KSH järjestus'!BT$3,KOMBI!$A$1:$GI$1,0))</f>
        <v>-5.6999153400025017E-2</v>
      </c>
      <c r="BU85" s="25">
        <f t="array" ref="BU85">INDEX(KOMBI!$A$1:$GI$145,ROW('KSH järjestus'!BU92),MATCH('KSH järjestus'!BU$3,KOMBI!$A$1:$GI$1,0))</f>
        <v>8.0759419404241388</v>
      </c>
      <c r="BV85" s="25">
        <f t="array" ref="BV85">INDEX(KOMBI!$A$1:$GI$145,ROW('KSH järjestus'!BV92),MATCH('KSH järjestus'!BV$3,KOMBI!$A$1:$GI$1,0))</f>
        <v>4.9050000000000002</v>
      </c>
      <c r="BW85" s="25">
        <f t="array" ref="BW85">INDEX(KOMBI!$A$1:$GI$145,ROW('KSH järjestus'!BW92),MATCH('KSH järjestus'!BW$3,KOMBI!$A$1:$GI$1,0))</f>
        <v>2.3993823271229702</v>
      </c>
      <c r="BX85" s="25">
        <f t="array" ref="BX85">INDEX(KOMBI!$A$1:$GI$145,ROW('KSH järjestus'!BX92),MATCH('KSH järjestus'!BX$3,KOMBI!$A$1:$GI$1,0))</f>
        <v>17.482861099430586</v>
      </c>
      <c r="BY85" s="25">
        <f t="array" ref="BY85">INDEX(KOMBI!$A$1:$GI$145,ROW('KSH järjestus'!BY92),MATCH('KSH järjestus'!BY$3,KOMBI!$A$1:$GI$1,0))</f>
        <v>11.222324637900011</v>
      </c>
      <c r="BZ85" s="25">
        <f t="array" ref="BZ85">INDEX(KOMBI!$A$1:$GI$145,ROW('KSH järjestus'!BZ92),MATCH('KSH järjestus'!BZ$3,KOMBI!$A$1:$GI$1,0))</f>
        <v>70</v>
      </c>
      <c r="CA85" s="25">
        <f t="array" ref="CA85">INDEX(KOMBI!$A$1:$GI$145,ROW('KSH järjestus'!CA92),MATCH('KSH järjestus'!CA$3,KOMBI!$A$1:$GI$1,0))</f>
        <v>13.797000000000001</v>
      </c>
      <c r="CB85" s="25">
        <f t="array" ref="CB85">INDEX(KOMBI!$A$1:$GI$145,ROW('KSH järjestus'!CB92),MATCH('KSH järjestus'!CB$3,KOMBI!$A$1:$GI$1,0))</f>
        <v>61.262222222222221</v>
      </c>
      <c r="CC85" s="25">
        <f t="array" ref="CC85">INDEX(KOMBI!$A$1:$GI$145,ROW('KSH järjestus'!CC92),MATCH('KSH järjestus'!CC$3,KOMBI!$A$1:$GI$1,0))</f>
        <v>4.9278500000000003</v>
      </c>
      <c r="CD85" s="25">
        <f t="array" ref="CD85">INDEX(KOMBI!$A$1:$GI$145,ROW('KSH järjestus'!CD92),MATCH('KSH järjestus'!CD$3,KOMBI!$A$1:$GI$1,0))</f>
        <v>297.04999999999995</v>
      </c>
      <c r="CE85" s="25">
        <f t="array" ref="CE85">INDEX(KOMBI!$A$1:$GI$145,ROW('KSH järjestus'!CE92),MATCH('KSH järjestus'!CE$3,KOMBI!$A$1:$GI$1,0))</f>
        <v>2.8980000000000001</v>
      </c>
      <c r="CF85" s="25">
        <f t="array" ref="CF85">INDEX(KOMBI!$A$1:$GI$145,ROW('KSH järjestus'!CF92),MATCH('KSH järjestus'!CF$3,KOMBI!$A$1:$GI$1,0))</f>
        <v>46.450678294573642</v>
      </c>
      <c r="CG85" s="25">
        <f t="array" ref="CG85">INDEX(KOMBI!$A$1:$GI$145,ROW('KSH järjestus'!CG92),MATCH('KSH järjestus'!CG$3,KOMBI!$A$1:$GI$1,0))</f>
        <v>8.5191038095314503E-2</v>
      </c>
      <c r="CH85" s="25">
        <f t="array" ref="CH85">INDEX(KOMBI!$A$1:$GI$145,ROW('KSH järjestus'!CH92),MATCH('KSH järjestus'!CH$3,KOMBI!$A$1:$GI$1,0))</f>
        <v>0.46021318433610853</v>
      </c>
      <c r="CI85" s="25">
        <f t="array" ref="CI85">INDEX(KOMBI!$A$1:$GI$145,ROW('KSH järjestus'!CI92),MATCH('KSH järjestus'!CI$3,KOMBI!$A$1:$GI$1,0))</f>
        <v>6.08</v>
      </c>
      <c r="CJ85" s="25">
        <f t="array" ref="CJ85">INDEX(KOMBI!$A$1:$GI$145,ROW('KSH järjestus'!CJ92),MATCH('KSH järjestus'!CJ$3,KOMBI!$A$1:$GI$1,0))</f>
        <v>4.1093823271229706</v>
      </c>
      <c r="CK85" s="25">
        <f t="array" ref="CK85">INDEX(KOMBI!$A$1:$GI$145,ROW('KSH järjestus'!CK92),MATCH('KSH järjestus'!CK$3,KOMBI!$A$1:$GI$1,0))</f>
        <v>0.19900000000000001</v>
      </c>
      <c r="CL85" s="25">
        <f t="array" ref="CL85">INDEX(KOMBI!$A$1:$GI$145,ROW('KSH järjestus'!CL92),MATCH('KSH järjestus'!CL$3,KOMBI!$A$1:$GI$1,0))</f>
        <v>0.72299999999999998</v>
      </c>
    </row>
    <row r="86" spans="3:90" x14ac:dyDescent="0.2">
      <c r="C86" s="184">
        <v>83</v>
      </c>
      <c r="G86" s="25">
        <f>RANK(INDEX(KOMBI!$A$11:$GI$145,MATCH('KSH järjestus'!$C86,KOMBI!$A$11:$A$145,0),MATCH('KSH järjestus'!G$3,KOMBI!$A$1:$GI$1,0)),BD$4:BD$138,G$2)</f>
        <v>21</v>
      </c>
      <c r="H86" s="25">
        <f>RANK(INDEX(KOMBI!$A$11:$GI$145,MATCH('KSH järjestus'!$C86,KOMBI!$A$11:$A$145,0),MATCH('KSH järjestus'!H$3,KOMBI!$A$1:$GI$1,0)),BE$4:BE$138,H$2)</f>
        <v>53</v>
      </c>
      <c r="J86" s="25">
        <f>RANK(INDEX(KOMBI!$A$11:$GI$145,MATCH('KSH järjestus'!$C86,KOMBI!$A$11:$A$145,0),MATCH('KSH järjestus'!J$3,KOMBI!$A$1:$GI$1,0)),BG$4:BG$138,J$2)</f>
        <v>34</v>
      </c>
      <c r="M86" s="25">
        <f>RANK(INDEX(KOMBI!$A$11:$GI$145,MATCH('KSH järjestus'!$C86,KOMBI!$A$11:$A$145,0),MATCH('KSH järjestus'!M$3,KOMBI!$A$1:$GI$1,0)),BJ$4:BJ$138,M$2)</f>
        <v>28</v>
      </c>
      <c r="N86" s="25">
        <f>RANK(INDEX(KOMBI!$A$11:$GI$145,MATCH('KSH järjestus'!$C86,KOMBI!$A$11:$A$145,0),MATCH('KSH järjestus'!N$3,KOMBI!$A$1:$GI$1,0)),BK$4:BK$138,N$2)</f>
        <v>37</v>
      </c>
      <c r="O86" s="25">
        <f>RANK(INDEX(KOMBI!$A$11:$GI$145,MATCH('KSH järjestus'!$C86,KOMBI!$A$11:$A$145,0),MATCH('KSH järjestus'!O$3,KOMBI!$A$1:$GI$1,0)),BL$4:BL$138,O$2)</f>
        <v>60</v>
      </c>
      <c r="P86" s="25">
        <f>RANK(INDEX(KOMBI!$A$11:$GI$145,MATCH('KSH järjestus'!$C86,KOMBI!$A$11:$A$145,0),MATCH('KSH järjestus'!P$3,KOMBI!$A$1:$GI$1,0)),BM$4:BM$138,P$2)</f>
        <v>100</v>
      </c>
      <c r="Q86" s="25">
        <f>RANK(INDEX(KOMBI!$A$11:$GI$145,MATCH('KSH järjestus'!$C86,KOMBI!$A$11:$A$145,0),MATCH('KSH järjestus'!Q$3,KOMBI!$A$1:$GI$1,0)),BN$4:BN$138,Q$2)</f>
        <v>88</v>
      </c>
      <c r="R86" s="25">
        <f>RANK(INDEX(KOMBI!$A$11:$GI$145,MATCH('KSH järjestus'!$C86,KOMBI!$A$11:$A$145,0),MATCH('KSH järjestus'!R$3,KOMBI!$A$1:$GI$1,0)),BO$4:BO$138,R$2)</f>
        <v>40</v>
      </c>
      <c r="T86" s="25">
        <f>RANK(INDEX(KOMBI!$A$11:$GI$145,MATCH('KSH järjestus'!$C86,KOMBI!$A$11:$A$145,0),MATCH('KSH järjestus'!T$3,KOMBI!$A$1:$GI$1,0)),BQ$4:BQ$138,T$2)</f>
        <v>45</v>
      </c>
      <c r="U86" s="25">
        <f>RANK(INDEX(KOMBI!$A$11:$GI$145,MATCH('KSH järjestus'!$C86,KOMBI!$A$11:$A$145,0),MATCH('KSH järjestus'!U$3,KOMBI!$A$1:$GI$1,0)),BR$4:BR$138,U$2)</f>
        <v>48</v>
      </c>
      <c r="AA86" s="25">
        <f>RANK(INDEX(KOMBI!$A$11:$GI$145,MATCH('KSH järjestus'!$C86,KOMBI!$A$11:$A$145,0),MATCH('KSH järjestus'!AA$3,KOMBI!$A$1:$GI$1,0)),BX$4:BX$138,AA$2)</f>
        <v>34</v>
      </c>
      <c r="AB86" s="25">
        <f>RANK(INDEX(KOMBI!$A$11:$GI$145,MATCH('KSH järjestus'!$C86,KOMBI!$A$11:$A$145,0),MATCH('KSH järjestus'!AB$3,KOMBI!$A$1:$GI$1,0)),BY$4:BY$138,AB$2)</f>
        <v>37</v>
      </c>
      <c r="AC86" s="25">
        <f>RANK(INDEX(KOMBI!$A$11:$GI$145,MATCH('KSH järjestus'!$C86,KOMBI!$A$11:$A$145,0),MATCH('KSH järjestus'!AC$3,KOMBI!$A$1:$GI$1,0)),BZ$4:BZ$138,AC$2)</f>
        <v>32</v>
      </c>
      <c r="AD86" s="25">
        <f>RANK(INDEX(KOMBI!$A$11:$GI$145,MATCH('KSH järjestus'!$C86,KOMBI!$A$11:$A$145,0),MATCH('KSH järjestus'!AD$3,KOMBI!$A$1:$GI$1,0)),CA$4:CA$138,AD$2)</f>
        <v>57</v>
      </c>
      <c r="AE86" s="25">
        <f>RANK(INDEX(KOMBI!$A$11:$GI$145,MATCH('KSH järjestus'!$C86,KOMBI!$A$11:$A$145,0),MATCH('KSH järjestus'!AE$3,KOMBI!$A$1:$GI$1,0)),CB$4:CB$138,AE$2)</f>
        <v>51</v>
      </c>
      <c r="AG86" s="25">
        <f>RANK(INDEX(KOMBI!$A$11:$GI$145,MATCH('KSH järjestus'!$C86,KOMBI!$A$11:$A$145,0),MATCH('KSH järjestus'!AG$3,KOMBI!$A$1:$GI$1,0)),CD$4:CD$138,AG$2)</f>
        <v>34</v>
      </c>
      <c r="AH86" s="25">
        <f>RANK(INDEX(KOMBI!$A$11:$GI$145,MATCH('KSH järjestus'!$C86,KOMBI!$A$11:$A$145,0),MATCH('KSH järjestus'!AH$3,KOMBI!$A$1:$GI$1,0)),CE$4:CE$138,AH$2)</f>
        <v>61</v>
      </c>
      <c r="AI86" s="25">
        <f>RANK(INDEX(KOMBI!$A$11:$GI$145,MATCH('KSH järjestus'!$C86,KOMBI!$A$11:$A$145,0),MATCH('KSH järjestus'!AI$3,KOMBI!$A$1:$GI$1,0)),CF$4:CF$138,AI$2)</f>
        <v>43</v>
      </c>
      <c r="AJ86" s="25">
        <f>RANK(INDEX(KOMBI!$A$11:$GI$145,MATCH('KSH järjestus'!$C86,KOMBI!$A$11:$A$145,0),MATCH('KSH järjestus'!AJ$3,KOMBI!$A$1:$GI$1,0)),CG$4:CG$138,AJ$2)</f>
        <v>7</v>
      </c>
      <c r="AK86" s="25">
        <f>RANK(INDEX(KOMBI!$A$11:$GI$145,MATCH('KSH järjestus'!$C86,KOMBI!$A$11:$A$145,0),MATCH('KSH järjestus'!AK$3,KOMBI!$A$1:$GI$1,0)),CH$4:CH$138,AK$2)</f>
        <v>28</v>
      </c>
      <c r="AN86" s="25">
        <f>RANK(INDEX(KOMBI!$A$11:$GI$145,MATCH('KSH järjestus'!$C86,KOMBI!$A$11:$A$145,0),MATCH('KSH järjestus'!AN$3,KOMBI!$A$1:$GI$1,0)),CK$4:CK$138,AN$2)</f>
        <v>1</v>
      </c>
      <c r="AO86" s="25">
        <f>RANK(INDEX(KOMBI!$A$11:$GI$145,MATCH('KSH järjestus'!$C86,KOMBI!$A$11:$A$145,0),MATCH('KSH järjestus'!AO$3,KOMBI!$A$1:$GI$1,0)),CL$4:CL$138,AO$2)</f>
        <v>1</v>
      </c>
      <c r="AS86" s="297">
        <f t="shared" si="4"/>
        <v>940</v>
      </c>
      <c r="AT86" s="25">
        <f t="shared" si="5"/>
        <v>1639</v>
      </c>
      <c r="AU86" s="25">
        <f t="shared" si="6"/>
        <v>24</v>
      </c>
      <c r="AV86" s="295" t="str">
        <f>VLOOKUP(VLOOKUP($AU86,KOMBI!$A:$H,3,FALSE),data!$I$27:$J$29,2,FALSE)</f>
        <v>Vähe-sekkuv</v>
      </c>
      <c r="AW86" s="295" t="str">
        <f>VLOOKUP(VLOOKUP($AU86,KOMBI!$A:$H,2,FALSE),data!$I$21:$J$23,2,FALSE)</f>
        <v>Mittesekkuv</v>
      </c>
      <c r="AX86" s="295" t="str">
        <f>VLOOKUP(VLOOKUP($AU86,KOMBI!$A:$H,5,FALSE),data!$I$39:$J$41,2,FALSE)</f>
        <v>Sekkuv</v>
      </c>
      <c r="AY86" s="295" t="str">
        <f>VLOOKUP(VLOOKUP($AU86,KOMBI!$A:$H,4,FALSE),data!$I$32:$J$36,2,FALSE)</f>
        <v>TE</v>
      </c>
      <c r="BA86" s="25">
        <f t="array" ref="BA86">INDEX(KOMBI!$A$1:$GI$145,ROW('KSH järjestus'!BA93),MATCH('KSH järjestus'!BA$3,KOMBI!$A$1:$GI$1,0))</f>
        <v>4.9345467299152439</v>
      </c>
      <c r="BB86" s="25">
        <f t="array" ref="BB86">INDEX(KOMBI!$A$1:$GI$145,ROW('KSH järjestus'!BB93),MATCH('KSH järjestus'!BB$3,KOMBI!$A$1:$GI$1,0))</f>
        <v>448.51790338242381</v>
      </c>
      <c r="BC86" s="25">
        <f t="array" aca="1" ref="BC86" ca="1">INDEX(KOMBI!$A$1:$GI$145,ROW('KSH järjestus'!BC93),MATCH('KSH järjestus'!BC$3,KOMBI!$A$1:$GI$1,0))</f>
        <v>18.594208651761761</v>
      </c>
      <c r="BD86" s="25">
        <f t="array" ref="BD86">INDEX(KOMBI!$A$1:$GI$145,ROW('KSH järjestus'!BD93),MATCH('KSH järjestus'!BD$3,KOMBI!$A$1:$GI$1,0))</f>
        <v>-162.7344698806321</v>
      </c>
      <c r="BE86" s="25">
        <f t="array" ref="BE86">INDEX(KOMBI!$A$1:$GI$145,ROW('KSH järjestus'!BE93),MATCH('KSH järjestus'!BE$3,KOMBI!$A$1:$GI$1,0))</f>
        <v>181.32867853239387</v>
      </c>
      <c r="BF86" s="25">
        <f t="array" aca="1" ref="BF86" ca="1">INDEX(KOMBI!$A$1:$GI$145,ROW('KSH järjestus'!BF93),MATCH('KSH järjestus'!BF$3,KOMBI!$A$1:$GI$1,0))</f>
        <v>0</v>
      </c>
      <c r="BG86" s="25">
        <f t="array" ref="BG86">INDEX(KOMBI!$A$1:$GI$145,ROW('KSH järjestus'!BG93),MATCH('KSH järjestus'!BG$3,KOMBI!$A$1:$GI$1,0))</f>
        <v>0.50006688263297139</v>
      </c>
      <c r="BH86" s="25">
        <f t="array" ref="BH86">INDEX(KOMBI!$A$1:$GI$145,ROW('KSH järjestus'!BH93),MATCH('KSH järjestus'!BH$3,KOMBI!$A$1:$GI$1,0))</f>
        <v>90</v>
      </c>
      <c r="BI86" s="25">
        <f t="array" ref="BI86">INDEX(KOMBI!$A$1:$GI$145,ROW('KSH järjestus'!BI93),MATCH('KSH järjestus'!BI$3,KOMBI!$A$1:$GI$1,0))</f>
        <v>0.84317482403548605</v>
      </c>
      <c r="BJ86" s="25">
        <f t="array" ref="BJ86">INDEX(KOMBI!$A$1:$GI$145,ROW('KSH järjestus'!BJ93),MATCH('KSH järjestus'!BJ$3,KOMBI!$A$1:$GI$1,0))</f>
        <v>6.6265060240963902E-2</v>
      </c>
      <c r="BK86" s="25">
        <f t="array" ref="BK86">INDEX(KOMBI!$A$1:$GI$145,ROW('KSH järjestus'!BK93),MATCH('KSH järjestus'!BK$3,KOMBI!$A$1:$GI$1,0))</f>
        <v>0.38052689019826891</v>
      </c>
      <c r="BL86" s="25">
        <f t="array" ref="BL86">INDEX(KOMBI!$A$1:$GI$145,ROW('KSH järjestus'!BL93),MATCH('KSH järjestus'!BL$3,KOMBI!$A$1:$GI$1,0))</f>
        <v>1.770094749520619E-2</v>
      </c>
      <c r="BM86" s="25">
        <f t="array" ref="BM86">INDEX(KOMBI!$A$1:$GI$145,ROW('KSH järjestus'!BM93),MATCH('KSH järjestus'!BM$3,KOMBI!$A$1:$GI$1,0))</f>
        <v>-2.2787909872593872E-3</v>
      </c>
      <c r="BN86" s="25">
        <f t="array" ref="BN86">INDEX(KOMBI!$A$1:$GI$145,ROW('KSH järjestus'!BN93),MATCH('KSH järjestus'!BN$3,KOMBI!$A$1:$GI$1,0))</f>
        <v>2.7404934882941934E-3</v>
      </c>
      <c r="BO86" s="25">
        <f t="array" ref="BO86">INDEX(KOMBI!$A$1:$GI$145,ROW('KSH järjestus'!BO93),MATCH('KSH järjestus'!BO$3,KOMBI!$A$1:$GI$1,0))</f>
        <v>1.5069005589248069E-2</v>
      </c>
      <c r="BP86" s="25">
        <f t="array" ref="BP86">INDEX(KOMBI!$A$1:$GI$145,ROW('KSH järjestus'!BP93),MATCH('KSH järjestus'!BP$3,KOMBI!$A$1:$GI$1,0))</f>
        <v>7.6003156794471023</v>
      </c>
      <c r="BQ86" s="25">
        <f t="array" ref="BQ86">INDEX(KOMBI!$A$1:$GI$145,ROW('KSH järjestus'!BQ93),MATCH('KSH järjestus'!BQ$3,KOMBI!$A$1:$GI$1,0))</f>
        <v>10.387</v>
      </c>
      <c r="BR86" s="25">
        <f t="array" ref="BR86">INDEX(KOMBI!$A$1:$GI$145,ROW('KSH järjestus'!BR93),MATCH('KSH järjestus'!BR$3,KOMBI!$A$1:$GI$1,0))</f>
        <v>-3.3090432581224322E-2</v>
      </c>
      <c r="BS86" s="25">
        <f t="array" ref="BS86">INDEX(KOMBI!$A$1:$GI$145,ROW('KSH järjestus'!BS93),MATCH('KSH järjestus'!BS$3,KOMBI!$A$1:$GI$1,0))</f>
        <v>-3.8446175121355446E-2</v>
      </c>
      <c r="BT86" s="25">
        <f t="array" ref="BT86">INDEX(KOMBI!$A$1:$GI$145,ROW('KSH järjestus'!BT93),MATCH('KSH järjestus'!BT$3,KOMBI!$A$1:$GI$1,0))</f>
        <v>-5.5900190600631061E-2</v>
      </c>
      <c r="BU86" s="25">
        <f t="array" ref="BU86">INDEX(KOMBI!$A$1:$GI$145,ROW('KSH järjestus'!BU93),MATCH('KSH järjestus'!BU$3,KOMBI!$A$1:$GI$1,0))</f>
        <v>8.0759419404241388</v>
      </c>
      <c r="BV86" s="25">
        <f t="array" ref="BV86">INDEX(KOMBI!$A$1:$GI$145,ROW('KSH järjestus'!BV93),MATCH('KSH järjestus'!BV$3,KOMBI!$A$1:$GI$1,0))</f>
        <v>4.9050000000000002</v>
      </c>
      <c r="BW86" s="25">
        <f t="array" ref="BW86">INDEX(KOMBI!$A$1:$GI$145,ROW('KSH järjestus'!BW93),MATCH('KSH järjestus'!BW$3,KOMBI!$A$1:$GI$1,0))</f>
        <v>2.7768823271229701</v>
      </c>
      <c r="BX86" s="25">
        <f t="array" ref="BX86">INDEX(KOMBI!$A$1:$GI$145,ROW('KSH järjestus'!BX93),MATCH('KSH järjestus'!BX$3,KOMBI!$A$1:$GI$1,0))</f>
        <v>17.482861099430586</v>
      </c>
      <c r="BY86" s="25">
        <f t="array" ref="BY86">INDEX(KOMBI!$A$1:$GI$145,ROW('KSH järjestus'!BY93),MATCH('KSH järjestus'!BY$3,KOMBI!$A$1:$GI$1,0))</f>
        <v>11.222324637900011</v>
      </c>
      <c r="BZ86" s="25">
        <f t="array" ref="BZ86">INDEX(KOMBI!$A$1:$GI$145,ROW('KSH järjestus'!BZ93),MATCH('KSH järjestus'!BZ$3,KOMBI!$A$1:$GI$1,0))</f>
        <v>70.400000000000006</v>
      </c>
      <c r="CA86" s="25">
        <f t="array" ref="CA86">INDEX(KOMBI!$A$1:$GI$145,ROW('KSH järjestus'!CA93),MATCH('KSH järjestus'!CA$3,KOMBI!$A$1:$GI$1,0))</f>
        <v>13.885999999999999</v>
      </c>
      <c r="CB86" s="25">
        <f t="array" ref="CB86">INDEX(KOMBI!$A$1:$GI$145,ROW('KSH järjestus'!CB93),MATCH('KSH järjestus'!CB$3,KOMBI!$A$1:$GI$1,0))</f>
        <v>61.602499999999999</v>
      </c>
      <c r="CC86" s="25">
        <f t="array" ref="CC86">INDEX(KOMBI!$A$1:$GI$145,ROW('KSH järjestus'!CC93),MATCH('KSH järjestus'!CC$3,KOMBI!$A$1:$GI$1,0))</f>
        <v>4.9611419999999997</v>
      </c>
      <c r="CD86" s="25">
        <f t="array" ref="CD86">INDEX(KOMBI!$A$1:$GI$145,ROW('KSH järjestus'!CD93),MATCH('KSH järjestus'!CD$3,KOMBI!$A$1:$GI$1,0))</f>
        <v>297.04999999999995</v>
      </c>
      <c r="CE86" s="25">
        <f t="array" ref="CE86">INDEX(KOMBI!$A$1:$GI$145,ROW('KSH järjestus'!CE93),MATCH('KSH järjestus'!CE$3,KOMBI!$A$1:$GI$1,0))</f>
        <v>2.8980000000000001</v>
      </c>
      <c r="CF86" s="25">
        <f t="array" ref="CF86">INDEX(KOMBI!$A$1:$GI$145,ROW('KSH järjestus'!CF93),MATCH('KSH järjestus'!CF$3,KOMBI!$A$1:$GI$1,0))</f>
        <v>46.450678294573642</v>
      </c>
      <c r="CG86" s="25">
        <f t="array" ref="CG86">INDEX(KOMBI!$A$1:$GI$145,ROW('KSH järjestus'!CG93),MATCH('KSH järjestus'!CG$3,KOMBI!$A$1:$GI$1,0))</f>
        <v>8.5191038095314503E-2</v>
      </c>
      <c r="CH86" s="25">
        <f t="array" ref="CH86">INDEX(KOMBI!$A$1:$GI$145,ROW('KSH järjestus'!CH93),MATCH('KSH järjestus'!CH$3,KOMBI!$A$1:$GI$1,0))</f>
        <v>0.46021318433610853</v>
      </c>
      <c r="CI86" s="25">
        <f t="array" ref="CI86">INDEX(KOMBI!$A$1:$GI$145,ROW('KSH järjestus'!CI93),MATCH('KSH järjestus'!CI$3,KOMBI!$A$1:$GI$1,0))</f>
        <v>6.08</v>
      </c>
      <c r="CJ86" s="25">
        <f t="array" ref="CJ86">INDEX(KOMBI!$A$1:$GI$145,ROW('KSH järjestus'!CJ93),MATCH('KSH järjestus'!CJ$3,KOMBI!$A$1:$GI$1,0))</f>
        <v>4.1093823271229706</v>
      </c>
      <c r="CK86" s="25">
        <f t="array" ref="CK86">INDEX(KOMBI!$A$1:$GI$145,ROW('KSH järjestus'!CK93),MATCH('KSH järjestus'!CK$3,KOMBI!$A$1:$GI$1,0))</f>
        <v>0.19900000000000001</v>
      </c>
      <c r="CL86" s="25">
        <f t="array" ref="CL86">INDEX(KOMBI!$A$1:$GI$145,ROW('KSH järjestus'!CL93),MATCH('KSH järjestus'!CL$3,KOMBI!$A$1:$GI$1,0))</f>
        <v>0.72299999999999998</v>
      </c>
    </row>
    <row r="87" spans="3:90" x14ac:dyDescent="0.2">
      <c r="C87" s="184">
        <v>84</v>
      </c>
      <c r="G87" s="25">
        <f>RANK(INDEX(KOMBI!$A$11:$GI$145,MATCH('KSH järjestus'!$C87,KOMBI!$A$11:$A$145,0),MATCH('KSH järjestus'!G$3,KOMBI!$A$1:$GI$1,0)),BD$4:BD$138,G$2)</f>
        <v>6</v>
      </c>
      <c r="H87" s="25">
        <f>RANK(INDEX(KOMBI!$A$11:$GI$145,MATCH('KSH järjestus'!$C87,KOMBI!$A$11:$A$145,0),MATCH('KSH järjestus'!H$3,KOMBI!$A$1:$GI$1,0)),BE$4:BE$138,H$2)</f>
        <v>34</v>
      </c>
      <c r="J87" s="25">
        <f>RANK(INDEX(KOMBI!$A$11:$GI$145,MATCH('KSH järjestus'!$C87,KOMBI!$A$11:$A$145,0),MATCH('KSH järjestus'!J$3,KOMBI!$A$1:$GI$1,0)),BG$4:BG$138,J$2)</f>
        <v>34</v>
      </c>
      <c r="M87" s="25">
        <f>RANK(INDEX(KOMBI!$A$11:$GI$145,MATCH('KSH järjestus'!$C87,KOMBI!$A$11:$A$145,0),MATCH('KSH järjestus'!M$3,KOMBI!$A$1:$GI$1,0)),BJ$4:BJ$138,M$2)</f>
        <v>28</v>
      </c>
      <c r="N87" s="25">
        <f>RANK(INDEX(KOMBI!$A$11:$GI$145,MATCH('KSH järjestus'!$C87,KOMBI!$A$11:$A$145,0),MATCH('KSH järjestus'!N$3,KOMBI!$A$1:$GI$1,0)),BK$4:BK$138,N$2)</f>
        <v>37</v>
      </c>
      <c r="O87" s="25">
        <f>RANK(INDEX(KOMBI!$A$11:$GI$145,MATCH('KSH järjestus'!$C87,KOMBI!$A$11:$A$145,0),MATCH('KSH järjestus'!O$3,KOMBI!$A$1:$GI$1,0)),BL$4:BL$138,O$2)</f>
        <v>33</v>
      </c>
      <c r="P87" s="25">
        <f>RANK(INDEX(KOMBI!$A$11:$GI$145,MATCH('KSH järjestus'!$C87,KOMBI!$A$11:$A$145,0),MATCH('KSH järjestus'!P$3,KOMBI!$A$1:$GI$1,0)),BM$4:BM$138,P$2)</f>
        <v>99</v>
      </c>
      <c r="Q87" s="25">
        <f>RANK(INDEX(KOMBI!$A$11:$GI$145,MATCH('KSH järjestus'!$C87,KOMBI!$A$11:$A$145,0),MATCH('KSH järjestus'!Q$3,KOMBI!$A$1:$GI$1,0)),BN$4:BN$138,Q$2)</f>
        <v>68</v>
      </c>
      <c r="R87" s="25">
        <f>RANK(INDEX(KOMBI!$A$11:$GI$145,MATCH('KSH järjestus'!$C87,KOMBI!$A$11:$A$145,0),MATCH('KSH järjestus'!R$3,KOMBI!$A$1:$GI$1,0)),BO$4:BO$138,R$2)</f>
        <v>15</v>
      </c>
      <c r="T87" s="25">
        <f>RANK(INDEX(KOMBI!$A$11:$GI$145,MATCH('KSH järjestus'!$C87,KOMBI!$A$11:$A$145,0),MATCH('KSH järjestus'!T$3,KOMBI!$A$1:$GI$1,0)),BQ$4:BQ$138,T$2)</f>
        <v>61</v>
      </c>
      <c r="U87" s="25">
        <f>RANK(INDEX(KOMBI!$A$11:$GI$145,MATCH('KSH järjestus'!$C87,KOMBI!$A$11:$A$145,0),MATCH('KSH järjestus'!U$3,KOMBI!$A$1:$GI$1,0)),BR$4:BR$138,U$2)</f>
        <v>56</v>
      </c>
      <c r="AA87" s="25">
        <f>RANK(INDEX(KOMBI!$A$11:$GI$145,MATCH('KSH järjestus'!$C87,KOMBI!$A$11:$A$145,0),MATCH('KSH järjestus'!AA$3,KOMBI!$A$1:$GI$1,0)),BX$4:BX$138,AA$2)</f>
        <v>34</v>
      </c>
      <c r="AB87" s="25">
        <f>RANK(INDEX(KOMBI!$A$11:$GI$145,MATCH('KSH järjestus'!$C87,KOMBI!$A$11:$A$145,0),MATCH('KSH järjestus'!AB$3,KOMBI!$A$1:$GI$1,0)),BY$4:BY$138,AB$2)</f>
        <v>37</v>
      </c>
      <c r="AC87" s="25">
        <f>RANK(INDEX(KOMBI!$A$11:$GI$145,MATCH('KSH järjestus'!$C87,KOMBI!$A$11:$A$145,0),MATCH('KSH järjestus'!AC$3,KOMBI!$A$1:$GI$1,0)),BZ$4:BZ$138,AC$2)</f>
        <v>40</v>
      </c>
      <c r="AD87" s="25">
        <f>RANK(INDEX(KOMBI!$A$11:$GI$145,MATCH('KSH järjestus'!$C87,KOMBI!$A$11:$A$145,0),MATCH('KSH järjestus'!AD$3,KOMBI!$A$1:$GI$1,0)),CA$4:CA$138,AD$2)</f>
        <v>69</v>
      </c>
      <c r="AE87" s="25">
        <f>RANK(INDEX(KOMBI!$A$11:$GI$145,MATCH('KSH järjestus'!$C87,KOMBI!$A$11:$A$145,0),MATCH('KSH järjestus'!AE$3,KOMBI!$A$1:$GI$1,0)),CB$4:CB$138,AE$2)</f>
        <v>63</v>
      </c>
      <c r="AG87" s="25">
        <f>RANK(INDEX(KOMBI!$A$11:$GI$145,MATCH('KSH järjestus'!$C87,KOMBI!$A$11:$A$145,0),MATCH('KSH järjestus'!AG$3,KOMBI!$A$1:$GI$1,0)),CD$4:CD$138,AG$2)</f>
        <v>34</v>
      </c>
      <c r="AH87" s="25">
        <f>RANK(INDEX(KOMBI!$A$11:$GI$145,MATCH('KSH järjestus'!$C87,KOMBI!$A$11:$A$145,0),MATCH('KSH järjestus'!AH$3,KOMBI!$A$1:$GI$1,0)),CE$4:CE$138,AH$2)</f>
        <v>61</v>
      </c>
      <c r="AI87" s="25">
        <f>RANK(INDEX(KOMBI!$A$11:$GI$145,MATCH('KSH järjestus'!$C87,KOMBI!$A$11:$A$145,0),MATCH('KSH järjestus'!AI$3,KOMBI!$A$1:$GI$1,0)),CF$4:CF$138,AI$2)</f>
        <v>43</v>
      </c>
      <c r="AJ87" s="25">
        <f>RANK(INDEX(KOMBI!$A$11:$GI$145,MATCH('KSH järjestus'!$C87,KOMBI!$A$11:$A$145,0),MATCH('KSH järjestus'!AJ$3,KOMBI!$A$1:$GI$1,0)),CG$4:CG$138,AJ$2)</f>
        <v>7</v>
      </c>
      <c r="AK87" s="25">
        <f>RANK(INDEX(KOMBI!$A$11:$GI$145,MATCH('KSH järjestus'!$C87,KOMBI!$A$11:$A$145,0),MATCH('KSH järjestus'!AK$3,KOMBI!$A$1:$GI$1,0)),CH$4:CH$138,AK$2)</f>
        <v>28</v>
      </c>
      <c r="AN87" s="25">
        <f>RANK(INDEX(KOMBI!$A$11:$GI$145,MATCH('KSH järjestus'!$C87,KOMBI!$A$11:$A$145,0),MATCH('KSH järjestus'!AN$3,KOMBI!$A$1:$GI$1,0)),CK$4:CK$138,AN$2)</f>
        <v>1</v>
      </c>
      <c r="AO87" s="25">
        <f>RANK(INDEX(KOMBI!$A$11:$GI$145,MATCH('KSH järjestus'!$C87,KOMBI!$A$11:$A$145,0),MATCH('KSH järjestus'!AO$3,KOMBI!$A$1:$GI$1,0)),CL$4:CL$138,AO$2)</f>
        <v>1</v>
      </c>
      <c r="AS87" s="297">
        <f t="shared" si="4"/>
        <v>889</v>
      </c>
      <c r="AT87" s="25">
        <f t="shared" si="5"/>
        <v>1647</v>
      </c>
      <c r="AU87" s="25">
        <f t="shared" si="6"/>
        <v>26</v>
      </c>
      <c r="AV87" s="295" t="str">
        <f>VLOOKUP(VLOOKUP($AU87,KOMBI!$A:$H,3,FALSE),data!$I$27:$J$29,2,FALSE)</f>
        <v>Vähe-sekkuv</v>
      </c>
      <c r="AW87" s="295" t="str">
        <f>VLOOKUP(VLOOKUP($AU87,KOMBI!$A:$H,2,FALSE),data!$I$21:$J$23,2,FALSE)</f>
        <v>Mittesekkuv</v>
      </c>
      <c r="AX87" s="295" t="str">
        <f>VLOOKUP(VLOOKUP($AU87,KOMBI!$A:$H,5,FALSE),data!$I$39:$J$41,2,FALSE)</f>
        <v>Vähe-sekkuv</v>
      </c>
      <c r="AY87" s="295" t="str">
        <f>VLOOKUP(VLOOKUP($AU87,KOMBI!$A:$H,4,FALSE),data!$I$32:$J$36,2,FALSE)</f>
        <v>TE++</v>
      </c>
      <c r="BA87" s="25">
        <f t="array" ref="BA87">INDEX(KOMBI!$A$1:$GI$145,ROW('KSH järjestus'!BA94),MATCH('KSH järjestus'!BA$3,KOMBI!$A$1:$GI$1,0))</f>
        <v>5.8396464521567708</v>
      </c>
      <c r="BB87" s="25">
        <f t="array" ref="BB87">INDEX(KOMBI!$A$1:$GI$145,ROW('KSH järjestus'!BB94),MATCH('KSH järjestus'!BB$3,KOMBI!$A$1:$GI$1,0))</f>
        <v>565.12869439990311</v>
      </c>
      <c r="BC87" s="25">
        <f t="array" aca="1" ref="BC87" ca="1">INDEX(KOMBI!$A$1:$GI$145,ROW('KSH järjestus'!BC94),MATCH('KSH järjestus'!BC$3,KOMBI!$A$1:$GI$1,0))</f>
        <v>35.148623010846705</v>
      </c>
      <c r="BD87" s="25">
        <f t="array" ref="BD87">INDEX(KOMBI!$A$1:$GI$145,ROW('KSH järjestus'!BD94),MATCH('KSH järjestus'!BD$3,KOMBI!$A$1:$GI$1,0))</f>
        <v>-181.84206369909103</v>
      </c>
      <c r="BE87" s="25">
        <f t="array" ref="BE87">INDEX(KOMBI!$A$1:$GI$145,ROW('KSH järjestus'!BE94),MATCH('KSH järjestus'!BE$3,KOMBI!$A$1:$GI$1,0))</f>
        <v>216.99068670993773</v>
      </c>
      <c r="BF87" s="25">
        <f t="array" aca="1" ref="BF87" ca="1">INDEX(KOMBI!$A$1:$GI$145,ROW('KSH järjestus'!BF94),MATCH('KSH järjestus'!BF$3,KOMBI!$A$1:$GI$1,0))</f>
        <v>0</v>
      </c>
      <c r="BG87" s="25">
        <f t="array" ref="BG87">INDEX(KOMBI!$A$1:$GI$145,ROW('KSH järjestus'!BG94),MATCH('KSH järjestus'!BG$3,KOMBI!$A$1:$GI$1,0))</f>
        <v>0.50006688263297139</v>
      </c>
      <c r="BH87" s="25">
        <f t="array" ref="BH87">INDEX(KOMBI!$A$1:$GI$145,ROW('KSH järjestus'!BH94),MATCH('KSH järjestus'!BH$3,KOMBI!$A$1:$GI$1,0))</f>
        <v>90</v>
      </c>
      <c r="BI87" s="25">
        <f t="array" ref="BI87">INDEX(KOMBI!$A$1:$GI$145,ROW('KSH järjestus'!BI94),MATCH('KSH järjestus'!BI$3,KOMBI!$A$1:$GI$1,0))</f>
        <v>0.84317482403548605</v>
      </c>
      <c r="BJ87" s="25">
        <f t="array" ref="BJ87">INDEX(KOMBI!$A$1:$GI$145,ROW('KSH järjestus'!BJ94),MATCH('KSH järjestus'!BJ$3,KOMBI!$A$1:$GI$1,0))</f>
        <v>6.6265060240963902E-2</v>
      </c>
      <c r="BK87" s="25">
        <f t="array" ref="BK87">INDEX(KOMBI!$A$1:$GI$145,ROW('KSH järjestus'!BK94),MATCH('KSH järjestus'!BK$3,KOMBI!$A$1:$GI$1,0))</f>
        <v>0.38052689019826891</v>
      </c>
      <c r="BL87" s="25">
        <f t="array" ref="BL87">INDEX(KOMBI!$A$1:$GI$145,ROW('KSH järjestus'!BL94),MATCH('KSH järjestus'!BL$3,KOMBI!$A$1:$GI$1,0))</f>
        <v>2.2352002873452712E-2</v>
      </c>
      <c r="BM87" s="25">
        <f t="array" ref="BM87">INDEX(KOMBI!$A$1:$GI$145,ROW('KSH järjestus'!BM94),MATCH('KSH järjestus'!BM$3,KOMBI!$A$1:$GI$1,0))</f>
        <v>-2.2660252602180009E-3</v>
      </c>
      <c r="BN87" s="25">
        <f t="array" ref="BN87">INDEX(KOMBI!$A$1:$GI$145,ROW('KSH järjestus'!BN94),MATCH('KSH järjestus'!BN$3,KOMBI!$A$1:$GI$1,0))</f>
        <v>4.0712833243409241E-3</v>
      </c>
      <c r="BO87" s="25">
        <f t="array" ref="BO87">INDEX(KOMBI!$A$1:$GI$145,ROW('KSH järjestus'!BO94),MATCH('KSH järjestus'!BO$3,KOMBI!$A$1:$GI$1,0))</f>
        <v>1.8462869037412923E-2</v>
      </c>
      <c r="BP87" s="25">
        <f t="array" ref="BP87">INDEX(KOMBI!$A$1:$GI$145,ROW('KSH järjestus'!BP94),MATCH('KSH järjestus'!BP$3,KOMBI!$A$1:$GI$1,0))</f>
        <v>7.6003156794471023</v>
      </c>
      <c r="BQ87" s="25">
        <f t="array" ref="BQ87">INDEX(KOMBI!$A$1:$GI$145,ROW('KSH järjestus'!BQ94),MATCH('KSH järjestus'!BQ$3,KOMBI!$A$1:$GI$1,0))</f>
        <v>10.611000000000001</v>
      </c>
      <c r="BR87" s="25">
        <f t="array" ref="BR87">INDEX(KOMBI!$A$1:$GI$145,ROW('KSH järjestus'!BR94),MATCH('KSH järjestus'!BR$3,KOMBI!$A$1:$GI$1,0))</f>
        <v>-2.9110945450778421E-2</v>
      </c>
      <c r="BS87" s="25">
        <f t="array" ref="BS87">INDEX(KOMBI!$A$1:$GI$145,ROW('KSH järjestus'!BS94),MATCH('KSH järjestus'!BS$3,KOMBI!$A$1:$GI$1,0))</f>
        <v>-3.7187015205066995E-2</v>
      </c>
      <c r="BT87" s="25">
        <f t="array" ref="BT87">INDEX(KOMBI!$A$1:$GI$145,ROW('KSH järjestus'!BT94),MATCH('KSH järjestus'!BT$3,KOMBI!$A$1:$GI$1,0))</f>
        <v>-5.4439471627404805E-2</v>
      </c>
      <c r="BU87" s="25">
        <f t="array" ref="BU87">INDEX(KOMBI!$A$1:$GI$145,ROW('KSH järjestus'!BU94),MATCH('KSH järjestus'!BU$3,KOMBI!$A$1:$GI$1,0))</f>
        <v>8.0759419404241388</v>
      </c>
      <c r="BV87" s="25">
        <f t="array" ref="BV87">INDEX(KOMBI!$A$1:$GI$145,ROW('KSH järjestus'!BV94),MATCH('KSH järjestus'!BV$3,KOMBI!$A$1:$GI$1,0))</f>
        <v>4.9050000000000002</v>
      </c>
      <c r="BW87" s="25">
        <f t="array" ref="BW87">INDEX(KOMBI!$A$1:$GI$145,ROW('KSH järjestus'!BW94),MATCH('KSH järjestus'!BW$3,KOMBI!$A$1:$GI$1,0))</f>
        <v>2.98558232712297</v>
      </c>
      <c r="BX87" s="25">
        <f t="array" ref="BX87">INDEX(KOMBI!$A$1:$GI$145,ROW('KSH järjestus'!BX94),MATCH('KSH järjestus'!BX$3,KOMBI!$A$1:$GI$1,0))</f>
        <v>17.482861099430586</v>
      </c>
      <c r="BY87" s="25">
        <f t="array" ref="BY87">INDEX(KOMBI!$A$1:$GI$145,ROW('KSH järjestus'!BY94),MATCH('KSH järjestus'!BY$3,KOMBI!$A$1:$GI$1,0))</f>
        <v>11.222324637900011</v>
      </c>
      <c r="BZ87" s="25">
        <f t="array" ref="BZ87">INDEX(KOMBI!$A$1:$GI$145,ROW('KSH järjestus'!BZ94),MATCH('KSH järjestus'!BZ$3,KOMBI!$A$1:$GI$1,0))</f>
        <v>72</v>
      </c>
      <c r="CA87" s="25">
        <f t="array" ref="CA87">INDEX(KOMBI!$A$1:$GI$145,ROW('KSH järjestus'!CA94),MATCH('KSH järjestus'!CA$3,KOMBI!$A$1:$GI$1,0))</f>
        <v>14.138</v>
      </c>
      <c r="CB87" s="25">
        <f t="array" ref="CB87">INDEX(KOMBI!$A$1:$GI$145,ROW('KSH järjestus'!CB94),MATCH('KSH järjestus'!CB$3,KOMBI!$A$1:$GI$1,0))</f>
        <v>62.510555555555555</v>
      </c>
      <c r="CC87" s="25">
        <f t="array" ref="CC87">INDEX(KOMBI!$A$1:$GI$145,ROW('KSH järjestus'!CC94),MATCH('KSH järjestus'!CC$3,KOMBI!$A$1:$GI$1,0))</f>
        <v>5.054487</v>
      </c>
      <c r="CD87" s="25">
        <f t="array" ref="CD87">INDEX(KOMBI!$A$1:$GI$145,ROW('KSH järjestus'!CD94),MATCH('KSH järjestus'!CD$3,KOMBI!$A$1:$GI$1,0))</f>
        <v>297.04999999999995</v>
      </c>
      <c r="CE87" s="25">
        <f t="array" ref="CE87">INDEX(KOMBI!$A$1:$GI$145,ROW('KSH järjestus'!CE94),MATCH('KSH järjestus'!CE$3,KOMBI!$A$1:$GI$1,0))</f>
        <v>2.8980000000000001</v>
      </c>
      <c r="CF87" s="25">
        <f t="array" ref="CF87">INDEX(KOMBI!$A$1:$GI$145,ROW('KSH järjestus'!CF94),MATCH('KSH järjestus'!CF$3,KOMBI!$A$1:$GI$1,0))</f>
        <v>46.450678294573642</v>
      </c>
      <c r="CG87" s="25">
        <f t="array" ref="CG87">INDEX(KOMBI!$A$1:$GI$145,ROW('KSH järjestus'!CG94),MATCH('KSH järjestus'!CG$3,KOMBI!$A$1:$GI$1,0))</f>
        <v>8.5191038095314503E-2</v>
      </c>
      <c r="CH87" s="25">
        <f t="array" ref="CH87">INDEX(KOMBI!$A$1:$GI$145,ROW('KSH järjestus'!CH94),MATCH('KSH järjestus'!CH$3,KOMBI!$A$1:$GI$1,0))</f>
        <v>0.46021318433610853</v>
      </c>
      <c r="CI87" s="25">
        <f t="array" ref="CI87">INDEX(KOMBI!$A$1:$GI$145,ROW('KSH järjestus'!CI94),MATCH('KSH järjestus'!CI$3,KOMBI!$A$1:$GI$1,0))</f>
        <v>6.08</v>
      </c>
      <c r="CJ87" s="25">
        <f t="array" ref="CJ87">INDEX(KOMBI!$A$1:$GI$145,ROW('KSH järjestus'!CJ94),MATCH('KSH järjestus'!CJ$3,KOMBI!$A$1:$GI$1,0))</f>
        <v>4.1093823271229706</v>
      </c>
      <c r="CK87" s="25">
        <f t="array" ref="CK87">INDEX(KOMBI!$A$1:$GI$145,ROW('KSH järjestus'!CK94),MATCH('KSH järjestus'!CK$3,KOMBI!$A$1:$GI$1,0))</f>
        <v>0.19900000000000001</v>
      </c>
      <c r="CL87" s="25">
        <f t="array" ref="CL87">INDEX(KOMBI!$A$1:$GI$145,ROW('KSH järjestus'!CL94),MATCH('KSH järjestus'!CL$3,KOMBI!$A$1:$GI$1,0))</f>
        <v>0.72299999999999998</v>
      </c>
    </row>
    <row r="88" spans="3:90" x14ac:dyDescent="0.2">
      <c r="C88" s="184">
        <v>85</v>
      </c>
      <c r="G88" s="25">
        <f>RANK(INDEX(KOMBI!$A$11:$GI$145,MATCH('KSH järjestus'!$C88,KOMBI!$A$11:$A$145,0),MATCH('KSH järjestus'!G$3,KOMBI!$A$1:$GI$1,0)),BD$4:BD$138,G$2)</f>
        <v>31</v>
      </c>
      <c r="H88" s="25">
        <f>RANK(INDEX(KOMBI!$A$11:$GI$145,MATCH('KSH järjestus'!$C88,KOMBI!$A$11:$A$145,0),MATCH('KSH järjestus'!H$3,KOMBI!$A$1:$GI$1,0)),BE$4:BE$138,H$2)</f>
        <v>92</v>
      </c>
      <c r="J88" s="25">
        <f>RANK(INDEX(KOMBI!$A$11:$GI$145,MATCH('KSH järjestus'!$C88,KOMBI!$A$11:$A$145,0),MATCH('KSH järjestus'!J$3,KOMBI!$A$1:$GI$1,0)),BG$4:BG$138,J$2)</f>
        <v>128</v>
      </c>
      <c r="M88" s="25">
        <f>RANK(INDEX(KOMBI!$A$11:$GI$145,MATCH('KSH järjestus'!$C88,KOMBI!$A$11:$A$145,0),MATCH('KSH järjestus'!M$3,KOMBI!$A$1:$GI$1,0)),BJ$4:BJ$138,M$2)</f>
        <v>109</v>
      </c>
      <c r="N88" s="25">
        <f>RANK(INDEX(KOMBI!$A$11:$GI$145,MATCH('KSH järjestus'!$C88,KOMBI!$A$11:$A$145,0),MATCH('KSH järjestus'!N$3,KOMBI!$A$1:$GI$1,0)),BK$4:BK$138,N$2)</f>
        <v>10</v>
      </c>
      <c r="O88" s="25">
        <f>RANK(INDEX(KOMBI!$A$11:$GI$145,MATCH('KSH järjestus'!$C88,KOMBI!$A$11:$A$145,0),MATCH('KSH järjestus'!O$3,KOMBI!$A$1:$GI$1,0)),BL$4:BL$138,O$2)</f>
        <v>112</v>
      </c>
      <c r="P88" s="25">
        <f>RANK(INDEX(KOMBI!$A$11:$GI$145,MATCH('KSH järjestus'!$C88,KOMBI!$A$11:$A$145,0),MATCH('KSH järjestus'!P$3,KOMBI!$A$1:$GI$1,0)),BM$4:BM$138,P$2)</f>
        <v>74</v>
      </c>
      <c r="Q88" s="25">
        <f>RANK(INDEX(KOMBI!$A$11:$GI$145,MATCH('KSH järjestus'!$C88,KOMBI!$A$11:$A$145,0),MATCH('KSH järjestus'!Q$3,KOMBI!$A$1:$GI$1,0)),BN$4:BN$138,Q$2)</f>
        <v>132</v>
      </c>
      <c r="R88" s="25">
        <f>RANK(INDEX(KOMBI!$A$11:$GI$145,MATCH('KSH järjestus'!$C88,KOMBI!$A$11:$A$145,0),MATCH('KSH järjestus'!R$3,KOMBI!$A$1:$GI$1,0)),BO$4:BO$138,R$2)</f>
        <v>82</v>
      </c>
      <c r="T88" s="25">
        <f>RANK(INDEX(KOMBI!$A$11:$GI$145,MATCH('KSH järjestus'!$C88,KOMBI!$A$11:$A$145,0),MATCH('KSH järjestus'!T$3,KOMBI!$A$1:$GI$1,0)),BQ$4:BQ$138,T$2)</f>
        <v>9</v>
      </c>
      <c r="U88" s="25">
        <f>RANK(INDEX(KOMBI!$A$11:$GI$145,MATCH('KSH järjestus'!$C88,KOMBI!$A$11:$A$145,0),MATCH('KSH järjestus'!U$3,KOMBI!$A$1:$GI$1,0)),BR$4:BR$138,U$2)</f>
        <v>6</v>
      </c>
      <c r="AA88" s="25">
        <f>RANK(INDEX(KOMBI!$A$11:$GI$145,MATCH('KSH järjestus'!$C88,KOMBI!$A$11:$A$145,0),MATCH('KSH järjestus'!AA$3,KOMBI!$A$1:$GI$1,0)),BX$4:BX$138,AA$2)</f>
        <v>16</v>
      </c>
      <c r="AB88" s="25">
        <f>RANK(INDEX(KOMBI!$A$11:$GI$145,MATCH('KSH järjestus'!$C88,KOMBI!$A$11:$A$145,0),MATCH('KSH järjestus'!AB$3,KOMBI!$A$1:$GI$1,0)),BY$4:BY$138,AB$2)</f>
        <v>4</v>
      </c>
      <c r="AC88" s="25">
        <f>RANK(INDEX(KOMBI!$A$11:$GI$145,MATCH('KSH järjestus'!$C88,KOMBI!$A$11:$A$145,0),MATCH('KSH järjestus'!AC$3,KOMBI!$A$1:$GI$1,0)),BZ$4:BZ$138,AC$2)</f>
        <v>76</v>
      </c>
      <c r="AD88" s="25">
        <f>RANK(INDEX(KOMBI!$A$11:$GI$145,MATCH('KSH järjestus'!$C88,KOMBI!$A$11:$A$145,0),MATCH('KSH järjestus'!AD$3,KOMBI!$A$1:$GI$1,0)),CA$4:CA$138,AD$2)</f>
        <v>8</v>
      </c>
      <c r="AE88" s="25">
        <f>RANK(INDEX(KOMBI!$A$11:$GI$145,MATCH('KSH järjestus'!$C88,KOMBI!$A$11:$A$145,0),MATCH('KSH järjestus'!AE$3,KOMBI!$A$1:$GI$1,0)),CB$4:CB$138,AE$2)</f>
        <v>7</v>
      </c>
      <c r="AG88" s="25">
        <f>RANK(INDEX(KOMBI!$A$11:$GI$145,MATCH('KSH järjestus'!$C88,KOMBI!$A$11:$A$145,0),MATCH('KSH järjestus'!AG$3,KOMBI!$A$1:$GI$1,0)),CD$4:CD$138,AG$2)</f>
        <v>43</v>
      </c>
      <c r="AH88" s="25">
        <f>RANK(INDEX(KOMBI!$A$11:$GI$145,MATCH('KSH järjestus'!$C88,KOMBI!$A$11:$A$145,0),MATCH('KSH järjestus'!AH$3,KOMBI!$A$1:$GI$1,0)),CE$4:CE$138,AH$2)</f>
        <v>61</v>
      </c>
      <c r="AI88" s="25">
        <f>RANK(INDEX(KOMBI!$A$11:$GI$145,MATCH('KSH järjestus'!$C88,KOMBI!$A$11:$A$145,0),MATCH('KSH järjestus'!AI$3,KOMBI!$A$1:$GI$1,0)),CF$4:CF$138,AI$2)</f>
        <v>10</v>
      </c>
      <c r="AJ88" s="25">
        <f>RANK(INDEX(KOMBI!$A$11:$GI$145,MATCH('KSH järjestus'!$C88,KOMBI!$A$11:$A$145,0),MATCH('KSH järjestus'!AJ$3,KOMBI!$A$1:$GI$1,0)),CG$4:CG$138,AJ$2)</f>
        <v>52</v>
      </c>
      <c r="AK88" s="25">
        <f>RANK(INDEX(KOMBI!$A$11:$GI$145,MATCH('KSH järjestus'!$C88,KOMBI!$A$11:$A$145,0),MATCH('KSH järjestus'!AK$3,KOMBI!$A$1:$GI$1,0)),CH$4:CH$138,AK$2)</f>
        <v>19</v>
      </c>
      <c r="AN88" s="25">
        <f>RANK(INDEX(KOMBI!$A$11:$GI$145,MATCH('KSH järjestus'!$C88,KOMBI!$A$11:$A$145,0),MATCH('KSH järjestus'!AN$3,KOMBI!$A$1:$GI$1,0)),CK$4:CK$138,AN$2)</f>
        <v>1</v>
      </c>
      <c r="AO88" s="25">
        <f>RANK(INDEX(KOMBI!$A$11:$GI$145,MATCH('KSH järjestus'!$C88,KOMBI!$A$11:$A$145,0),MATCH('KSH järjestus'!AO$3,KOMBI!$A$1:$GI$1,0)),CL$4:CL$138,AO$2)</f>
        <v>1</v>
      </c>
      <c r="AS88" s="297">
        <f t="shared" si="4"/>
        <v>1083</v>
      </c>
      <c r="AT88" s="25">
        <f t="shared" si="5"/>
        <v>1656</v>
      </c>
      <c r="AU88" s="25">
        <f t="shared" si="6"/>
        <v>32</v>
      </c>
      <c r="AV88" s="295" t="str">
        <f>VLOOKUP(VLOOKUP($AU88,KOMBI!$A:$H,3,FALSE),data!$I$27:$J$29,2,FALSE)</f>
        <v>Sekkuv/EÜ</v>
      </c>
      <c r="AW88" s="295" t="str">
        <f>VLOOKUP(VLOOKUP($AU88,KOMBI!$A:$H,2,FALSE),data!$I$21:$J$23,2,FALSE)</f>
        <v>Mittesekkuv</v>
      </c>
      <c r="AX88" s="295" t="str">
        <f>VLOOKUP(VLOOKUP($AU88,KOMBI!$A:$H,5,FALSE),data!$I$39:$J$41,2,FALSE)</f>
        <v>Vähe-sekkuv</v>
      </c>
      <c r="AY88" s="295" t="str">
        <f>VLOOKUP(VLOOKUP($AU88,KOMBI!$A:$H,4,FALSE),data!$I$32:$J$36,2,FALSE)</f>
        <v>LIB</v>
      </c>
      <c r="BA88" s="25">
        <f t="array" ref="BA88">INDEX(KOMBI!$A$1:$GI$145,ROW('KSH järjestus'!BA95),MATCH('KSH järjestus'!BA$3,KOMBI!$A$1:$GI$1,0))</f>
        <v>7.9133363302058504</v>
      </c>
      <c r="BB88" s="25">
        <f t="array" ref="BB88">INDEX(KOMBI!$A$1:$GI$145,ROW('KSH järjestus'!BB95),MATCH('KSH järjestus'!BB$3,KOMBI!$A$1:$GI$1,0))</f>
        <v>230.62750827182305</v>
      </c>
      <c r="BC88" s="25">
        <f t="array" aca="1" ref="BC88" ca="1">INDEX(KOMBI!$A$1:$GI$145,ROW('KSH järjestus'!BC95),MATCH('KSH järjestus'!BC$3,KOMBI!$A$1:$GI$1,0))</f>
        <v>-20.197913214072656</v>
      </c>
      <c r="BD88" s="25">
        <f t="array" ref="BD88">INDEX(KOMBI!$A$1:$GI$145,ROW('KSH järjestus'!BD95),MATCH('KSH järjestus'!BD$3,KOMBI!$A$1:$GI$1,0))</f>
        <v>-147.50125</v>
      </c>
      <c r="BE88" s="25">
        <f t="array" ref="BE88">INDEX(KOMBI!$A$1:$GI$145,ROW('KSH järjestus'!BE95),MATCH('KSH järjestus'!BE$3,KOMBI!$A$1:$GI$1,0))</f>
        <v>127.30333678592734</v>
      </c>
      <c r="BF88" s="25">
        <f t="array" aca="1" ref="BF88" ca="1">INDEX(KOMBI!$A$1:$GI$145,ROW('KSH järjestus'!BF95),MATCH('KSH järjestus'!BF$3,KOMBI!$A$1:$GI$1,0))</f>
        <v>0</v>
      </c>
      <c r="BG88" s="25">
        <f t="array" ref="BG88">INDEX(KOMBI!$A$1:$GI$145,ROW('KSH järjestus'!BG95),MATCH('KSH järjestus'!BG$3,KOMBI!$A$1:$GI$1,0))</f>
        <v>0.66107097020963212</v>
      </c>
      <c r="BH88" s="25">
        <f t="array" ref="BH88">INDEX(KOMBI!$A$1:$GI$145,ROW('KSH järjestus'!BH95),MATCH('KSH järjestus'!BH$3,KOMBI!$A$1:$GI$1,0))</f>
        <v>90</v>
      </c>
      <c r="BI88" s="25">
        <f t="array" ref="BI88">INDEX(KOMBI!$A$1:$GI$145,ROW('KSH järjestus'!BI95),MATCH('KSH järjestus'!BI$3,KOMBI!$A$1:$GI$1,0))</f>
        <v>1</v>
      </c>
      <c r="BJ88" s="25">
        <f t="array" ref="BJ88">INDEX(KOMBI!$A$1:$GI$145,ROW('KSH järjestus'!BJ95),MATCH('KSH järjestus'!BJ$3,KOMBI!$A$1:$GI$1,0))</f>
        <v>0.36609829488465395</v>
      </c>
      <c r="BK88" s="25">
        <f t="array" ref="BK88">INDEX(KOMBI!$A$1:$GI$145,ROW('KSH järjestus'!BK95),MATCH('KSH järjestus'!BK$3,KOMBI!$A$1:$GI$1,0))</f>
        <v>0.58785163599471191</v>
      </c>
      <c r="BL88" s="25">
        <f t="array" ref="BL88">INDEX(KOMBI!$A$1:$GI$145,ROW('KSH järjestus'!BL95),MATCH('KSH järjestus'!BL$3,KOMBI!$A$1:$GI$1,0))</f>
        <v>8.9550179520673893E-3</v>
      </c>
      <c r="BM88" s="25">
        <f t="array" ref="BM88">INDEX(KOMBI!$A$1:$GI$145,ROW('KSH järjestus'!BM95),MATCH('KSH järjestus'!BM$3,KOMBI!$A$1:$GI$1,0))</f>
        <v>5.1802891801901998E-4</v>
      </c>
      <c r="BN88" s="25">
        <f t="array" ref="BN88">INDEX(KOMBI!$A$1:$GI$145,ROW('KSH järjestus'!BN95),MATCH('KSH järjestus'!BN$3,KOMBI!$A$1:$GI$1,0))</f>
        <v>-1.6921211228528854E-3</v>
      </c>
      <c r="BO88" s="25">
        <f t="array" ref="BO88">INDEX(KOMBI!$A$1:$GI$145,ROW('KSH järjestus'!BO95),MATCH('KSH järjestus'!BO$3,KOMBI!$A$1:$GI$1,0))</f>
        <v>1.0696253975882575E-2</v>
      </c>
      <c r="BP88" s="25">
        <f t="array" ref="BP88">INDEX(KOMBI!$A$1:$GI$145,ROW('KSH järjestus'!BP95),MATCH('KSH järjestus'!BP$3,KOMBI!$A$1:$GI$1,0))</f>
        <v>7.6298313570900955</v>
      </c>
      <c r="BQ88" s="25">
        <f t="array" ref="BQ88">INDEX(KOMBI!$A$1:$GI$145,ROW('KSH järjestus'!BQ95),MATCH('KSH järjestus'!BQ$3,KOMBI!$A$1:$GI$1,0))</f>
        <v>9.75</v>
      </c>
      <c r="BR88" s="25">
        <f t="array" ref="BR88">INDEX(KOMBI!$A$1:$GI$145,ROW('KSH järjestus'!BR95),MATCH('KSH järjestus'!BR$3,KOMBI!$A$1:$GI$1,0))</f>
        <v>-5.7804102562782227E-2</v>
      </c>
      <c r="BS88" s="25">
        <f t="array" ref="BS88">INDEX(KOMBI!$A$1:$GI$145,ROW('KSH järjestus'!BS95),MATCH('KSH järjestus'!BS$3,KOMBI!$A$1:$GI$1,0))</f>
        <v>-0.1796543723474619</v>
      </c>
      <c r="BT88" s="25">
        <f t="array" ref="BT88">INDEX(KOMBI!$A$1:$GI$145,ROW('KSH järjestus'!BT95),MATCH('KSH järjestus'!BT$3,KOMBI!$A$1:$GI$1,0))</f>
        <v>-0.10629397758376247</v>
      </c>
      <c r="BU88" s="25">
        <f t="array" ref="BU88">INDEX(KOMBI!$A$1:$GI$145,ROW('KSH järjestus'!BU95),MATCH('KSH järjestus'!BU$3,KOMBI!$A$1:$GI$1,0))</f>
        <v>4.4050567987315112</v>
      </c>
      <c r="BV88" s="25">
        <f t="array" ref="BV88">INDEX(KOMBI!$A$1:$GI$145,ROW('KSH järjestus'!BV95),MATCH('KSH järjestus'!BV$3,KOMBI!$A$1:$GI$1,0))</f>
        <v>1.177</v>
      </c>
      <c r="BW88" s="25">
        <f t="array" ref="BW88">INDEX(KOMBI!$A$1:$GI$145,ROW('KSH järjestus'!BW95),MATCH('KSH järjestus'!BW$3,KOMBI!$A$1:$GI$1,0))</f>
        <v>2.3993823271229702</v>
      </c>
      <c r="BX88" s="25">
        <f t="array" ref="BX88">INDEX(KOMBI!$A$1:$GI$145,ROW('KSH järjestus'!BX95),MATCH('KSH järjestus'!BX$3,KOMBI!$A$1:$GI$1,0))</f>
        <v>17.046721793242817</v>
      </c>
      <c r="BY88" s="25">
        <f t="array" ref="BY88">INDEX(KOMBI!$A$1:$GI$145,ROW('KSH järjestus'!BY95),MATCH('KSH järjestus'!BY$3,KOMBI!$A$1:$GI$1,0))</f>
        <v>6.0089454627726342</v>
      </c>
      <c r="BZ88" s="25">
        <f t="array" ref="BZ88">INDEX(KOMBI!$A$1:$GI$145,ROW('KSH järjestus'!BZ95),MATCH('KSH järjestus'!BZ$3,KOMBI!$A$1:$GI$1,0))</f>
        <v>77</v>
      </c>
      <c r="CA88" s="25">
        <f t="array" ref="CA88">INDEX(KOMBI!$A$1:$GI$145,ROW('KSH järjestus'!CA95),MATCH('KSH järjestus'!CA$3,KOMBI!$A$1:$GI$1,0))</f>
        <v>9.6769999999999996</v>
      </c>
      <c r="CB88" s="25">
        <f t="array" ref="CB88">INDEX(KOMBI!$A$1:$GI$145,ROW('KSH järjestus'!CB95),MATCH('KSH järjestus'!CB$3,KOMBI!$A$1:$GI$1,0))</f>
        <v>38.223611111111104</v>
      </c>
      <c r="CC88" s="25">
        <f t="array" ref="CC88">INDEX(KOMBI!$A$1:$GI$145,ROW('KSH järjestus'!CC95),MATCH('KSH järjestus'!CC$3,KOMBI!$A$1:$GI$1,0))</f>
        <v>3.957824</v>
      </c>
      <c r="CD88" s="25">
        <f t="array" ref="CD88">INDEX(KOMBI!$A$1:$GI$145,ROW('KSH järjestus'!CD95),MATCH('KSH järjestus'!CD$3,KOMBI!$A$1:$GI$1,0))</f>
        <v>297.14999999999998</v>
      </c>
      <c r="CE88" s="25">
        <f t="array" ref="CE88">INDEX(KOMBI!$A$1:$GI$145,ROW('KSH järjestus'!CE95),MATCH('KSH järjestus'!CE$3,KOMBI!$A$1:$GI$1,0))</f>
        <v>2.8980000000000001</v>
      </c>
      <c r="CF88" s="25">
        <f t="array" ref="CF88">INDEX(KOMBI!$A$1:$GI$145,ROW('KSH järjestus'!CF95),MATCH('KSH järjestus'!CF$3,KOMBI!$A$1:$GI$1,0))</f>
        <v>42.044166666666669</v>
      </c>
      <c r="CG88" s="25">
        <f t="array" ref="CG88">INDEX(KOMBI!$A$1:$GI$145,ROW('KSH järjestus'!CG95),MATCH('KSH järjestus'!CG$3,KOMBI!$A$1:$GI$1,0))</f>
        <v>2.3391437578713474E-2</v>
      </c>
      <c r="CH88" s="25">
        <f t="array" ref="CH88">INDEX(KOMBI!$A$1:$GI$145,ROW('KSH järjestus'!CH95),MATCH('KSH järjestus'!CH$3,KOMBI!$A$1:$GI$1,0))</f>
        <v>0.49544473229417074</v>
      </c>
      <c r="CI88" s="25">
        <f t="array" ref="CI88">INDEX(KOMBI!$A$1:$GI$145,ROW('KSH järjestus'!CI95),MATCH('KSH järjestus'!CI$3,KOMBI!$A$1:$GI$1,0))</f>
        <v>10.67</v>
      </c>
      <c r="CJ88" s="25">
        <f t="array" ref="CJ88">INDEX(KOMBI!$A$1:$GI$145,ROW('KSH järjestus'!CJ95),MATCH('KSH järjestus'!CJ$3,KOMBI!$A$1:$GI$1,0))</f>
        <v>3.0813823271229701</v>
      </c>
      <c r="CK88" s="25">
        <f t="array" ref="CK88">INDEX(KOMBI!$A$1:$GI$145,ROW('KSH järjestus'!CK95),MATCH('KSH järjestus'!CK$3,KOMBI!$A$1:$GI$1,0))</f>
        <v>0.19900000000000001</v>
      </c>
      <c r="CL88" s="25">
        <f t="array" ref="CL88">INDEX(KOMBI!$A$1:$GI$145,ROW('KSH järjestus'!CL95),MATCH('KSH järjestus'!CL$3,KOMBI!$A$1:$GI$1,0))</f>
        <v>0.72299999999999998</v>
      </c>
    </row>
    <row r="89" spans="3:90" x14ac:dyDescent="0.2">
      <c r="C89" s="184">
        <v>86</v>
      </c>
      <c r="G89" s="25">
        <f>RANK(INDEX(KOMBI!$A$11:$GI$145,MATCH('KSH järjestus'!$C89,KOMBI!$A$11:$A$145,0),MATCH('KSH järjestus'!G$3,KOMBI!$A$1:$GI$1,0)),BD$4:BD$138,G$2)</f>
        <v>21</v>
      </c>
      <c r="H89" s="25">
        <f>RANK(INDEX(KOMBI!$A$11:$GI$145,MATCH('KSH järjestus'!$C89,KOMBI!$A$11:$A$145,0),MATCH('KSH järjestus'!H$3,KOMBI!$A$1:$GI$1,0)),BE$4:BE$138,H$2)</f>
        <v>62</v>
      </c>
      <c r="J89" s="25">
        <f>RANK(INDEX(KOMBI!$A$11:$GI$145,MATCH('KSH järjestus'!$C89,KOMBI!$A$11:$A$145,0),MATCH('KSH järjestus'!J$3,KOMBI!$A$1:$GI$1,0)),BG$4:BG$138,J$2)</f>
        <v>115</v>
      </c>
      <c r="M89" s="25">
        <f>RANK(INDEX(KOMBI!$A$11:$GI$145,MATCH('KSH järjestus'!$C89,KOMBI!$A$11:$A$145,0),MATCH('KSH järjestus'!M$3,KOMBI!$A$1:$GI$1,0)),BJ$4:BJ$138,M$2)</f>
        <v>109</v>
      </c>
      <c r="N89" s="25">
        <f>RANK(INDEX(KOMBI!$A$11:$GI$145,MATCH('KSH järjestus'!$C89,KOMBI!$A$11:$A$145,0),MATCH('KSH järjestus'!N$3,KOMBI!$A$1:$GI$1,0)),BK$4:BK$138,N$2)</f>
        <v>10</v>
      </c>
      <c r="O89" s="25">
        <f>RANK(INDEX(KOMBI!$A$11:$GI$145,MATCH('KSH järjestus'!$C89,KOMBI!$A$11:$A$145,0),MATCH('KSH järjestus'!O$3,KOMBI!$A$1:$GI$1,0)),BL$4:BL$138,O$2)</f>
        <v>76</v>
      </c>
      <c r="P89" s="25">
        <f>RANK(INDEX(KOMBI!$A$11:$GI$145,MATCH('KSH järjestus'!$C89,KOMBI!$A$11:$A$145,0),MATCH('KSH järjestus'!P$3,KOMBI!$A$1:$GI$1,0)),BM$4:BM$138,P$2)</f>
        <v>98</v>
      </c>
      <c r="Q89" s="25">
        <f>RANK(INDEX(KOMBI!$A$11:$GI$145,MATCH('KSH järjestus'!$C89,KOMBI!$A$11:$A$145,0),MATCH('KSH järjestus'!Q$3,KOMBI!$A$1:$GI$1,0)),BN$4:BN$138,Q$2)</f>
        <v>113</v>
      </c>
      <c r="R89" s="25">
        <f>RANK(INDEX(KOMBI!$A$11:$GI$145,MATCH('KSH järjestus'!$C89,KOMBI!$A$11:$A$145,0),MATCH('KSH järjestus'!R$3,KOMBI!$A$1:$GI$1,0)),BO$4:BO$138,R$2)</f>
        <v>44</v>
      </c>
      <c r="T89" s="25">
        <f>RANK(INDEX(KOMBI!$A$11:$GI$145,MATCH('KSH järjestus'!$C89,KOMBI!$A$11:$A$145,0),MATCH('KSH järjestus'!T$3,KOMBI!$A$1:$GI$1,0)),BQ$4:BQ$138,T$2)</f>
        <v>15</v>
      </c>
      <c r="U89" s="25">
        <f>RANK(INDEX(KOMBI!$A$11:$GI$145,MATCH('KSH järjestus'!$C89,KOMBI!$A$11:$A$145,0),MATCH('KSH järjestus'!U$3,KOMBI!$A$1:$GI$1,0)),BR$4:BR$138,U$2)</f>
        <v>8</v>
      </c>
      <c r="AA89" s="25">
        <f>RANK(INDEX(KOMBI!$A$11:$GI$145,MATCH('KSH järjestus'!$C89,KOMBI!$A$11:$A$145,0),MATCH('KSH järjestus'!AA$3,KOMBI!$A$1:$GI$1,0)),BX$4:BX$138,AA$2)</f>
        <v>16</v>
      </c>
      <c r="AB89" s="25">
        <f>RANK(INDEX(KOMBI!$A$11:$GI$145,MATCH('KSH järjestus'!$C89,KOMBI!$A$11:$A$145,0),MATCH('KSH järjestus'!AB$3,KOMBI!$A$1:$GI$1,0)),BY$4:BY$138,AB$2)</f>
        <v>4</v>
      </c>
      <c r="AC89" s="25">
        <f>RANK(INDEX(KOMBI!$A$11:$GI$145,MATCH('KSH järjestus'!$C89,KOMBI!$A$11:$A$145,0),MATCH('KSH järjestus'!AC$3,KOMBI!$A$1:$GI$1,0)),BZ$4:BZ$138,AC$2)</f>
        <v>81</v>
      </c>
      <c r="AD89" s="25">
        <f>RANK(INDEX(KOMBI!$A$11:$GI$145,MATCH('KSH järjestus'!$C89,KOMBI!$A$11:$A$145,0),MATCH('KSH järjestus'!AD$3,KOMBI!$A$1:$GI$1,0)),CA$4:CA$138,AD$2)</f>
        <v>10</v>
      </c>
      <c r="AE89" s="25">
        <f>RANK(INDEX(KOMBI!$A$11:$GI$145,MATCH('KSH järjestus'!$C89,KOMBI!$A$11:$A$145,0),MATCH('KSH järjestus'!AE$3,KOMBI!$A$1:$GI$1,0)),CB$4:CB$138,AE$2)</f>
        <v>8</v>
      </c>
      <c r="AG89" s="25">
        <f>RANK(INDEX(KOMBI!$A$11:$GI$145,MATCH('KSH järjestus'!$C89,KOMBI!$A$11:$A$145,0),MATCH('KSH järjestus'!AG$3,KOMBI!$A$1:$GI$1,0)),CD$4:CD$138,AG$2)</f>
        <v>43</v>
      </c>
      <c r="AH89" s="25">
        <f>RANK(INDEX(KOMBI!$A$11:$GI$145,MATCH('KSH järjestus'!$C89,KOMBI!$A$11:$A$145,0),MATCH('KSH järjestus'!AH$3,KOMBI!$A$1:$GI$1,0)),CE$4:CE$138,AH$2)</f>
        <v>61</v>
      </c>
      <c r="AI89" s="25">
        <f>RANK(INDEX(KOMBI!$A$11:$GI$145,MATCH('KSH järjestus'!$C89,KOMBI!$A$11:$A$145,0),MATCH('KSH järjestus'!AI$3,KOMBI!$A$1:$GI$1,0)),CF$4:CF$138,AI$2)</f>
        <v>10</v>
      </c>
      <c r="AJ89" s="25">
        <f>RANK(INDEX(KOMBI!$A$11:$GI$145,MATCH('KSH järjestus'!$C89,KOMBI!$A$11:$A$145,0),MATCH('KSH järjestus'!AJ$3,KOMBI!$A$1:$GI$1,0)),CG$4:CG$138,AJ$2)</f>
        <v>52</v>
      </c>
      <c r="AK89" s="25">
        <f>RANK(INDEX(KOMBI!$A$11:$GI$145,MATCH('KSH järjestus'!$C89,KOMBI!$A$11:$A$145,0),MATCH('KSH järjestus'!AK$3,KOMBI!$A$1:$GI$1,0)),CH$4:CH$138,AK$2)</f>
        <v>19</v>
      </c>
      <c r="AN89" s="25">
        <f>RANK(INDEX(KOMBI!$A$11:$GI$145,MATCH('KSH järjestus'!$C89,KOMBI!$A$11:$A$145,0),MATCH('KSH järjestus'!AN$3,KOMBI!$A$1:$GI$1,0)),CK$4:CK$138,AN$2)</f>
        <v>1</v>
      </c>
      <c r="AO89" s="25">
        <f>RANK(INDEX(KOMBI!$A$11:$GI$145,MATCH('KSH järjestus'!$C89,KOMBI!$A$11:$A$145,0),MATCH('KSH järjestus'!AO$3,KOMBI!$A$1:$GI$1,0)),CL$4:CL$138,AO$2)</f>
        <v>1</v>
      </c>
      <c r="AS89" s="297">
        <f t="shared" si="4"/>
        <v>977</v>
      </c>
      <c r="AT89" s="25">
        <f t="shared" si="5"/>
        <v>1657</v>
      </c>
      <c r="AU89" s="25">
        <f t="shared" si="6"/>
        <v>61</v>
      </c>
      <c r="AV89" s="295" t="str">
        <f>VLOOKUP(VLOOKUP($AU89,KOMBI!$A:$H,3,FALSE),data!$I$27:$J$29,2,FALSE)</f>
        <v>Vähe-sekkuv</v>
      </c>
      <c r="AW89" s="295" t="str">
        <f>VLOOKUP(VLOOKUP($AU89,KOMBI!$A:$H,2,FALSE),data!$I$21:$J$23,2,FALSE)</f>
        <v>Vähe-sekkuv</v>
      </c>
      <c r="AX89" s="295" t="str">
        <f>VLOOKUP(VLOOKUP($AU89,KOMBI!$A:$H,5,FALSE),data!$I$39:$J$41,2,FALSE)</f>
        <v>Mittesekkuv</v>
      </c>
      <c r="AY89" s="295" t="str">
        <f>VLOOKUP(VLOOKUP($AU89,KOMBI!$A:$H,4,FALSE),data!$I$32:$J$36,2,FALSE)</f>
        <v>LIB</v>
      </c>
      <c r="BA89" s="25">
        <f t="array" ref="BA89">INDEX(KOMBI!$A$1:$GI$145,ROW('KSH järjestus'!BA96),MATCH('KSH järjestus'!BA$3,KOMBI!$A$1:$GI$1,0))</f>
        <v>8.8292479788516918</v>
      </c>
      <c r="BB89" s="25">
        <f t="array" ref="BB89">INDEX(KOMBI!$A$1:$GI$145,ROW('KSH järjestus'!BB96),MATCH('KSH järjestus'!BB$3,KOMBI!$A$1:$GI$1,0))</f>
        <v>391.10754054108628</v>
      </c>
      <c r="BC89" s="25">
        <f t="array" aca="1" ref="BC89" ca="1">INDEX(KOMBI!$A$1:$GI$145,ROW('KSH järjestus'!BC96),MATCH('KSH järjestus'!BC$3,KOMBI!$A$1:$GI$1,0))</f>
        <v>8.9674088144624307</v>
      </c>
      <c r="BD89" s="25">
        <f t="array" ref="BD89">INDEX(KOMBI!$A$1:$GI$145,ROW('KSH järjestus'!BD96),MATCH('KSH järjestus'!BD$3,KOMBI!$A$1:$GI$1,0))</f>
        <v>-162.7344698806321</v>
      </c>
      <c r="BE89" s="25">
        <f t="array" ref="BE89">INDEX(KOMBI!$A$1:$GI$145,ROW('KSH järjestus'!BE96),MATCH('KSH järjestus'!BE$3,KOMBI!$A$1:$GI$1,0))</f>
        <v>171.70187869509454</v>
      </c>
      <c r="BF89" s="25">
        <f t="array" aca="1" ref="BF89" ca="1">INDEX(KOMBI!$A$1:$GI$145,ROW('KSH järjestus'!BF96),MATCH('KSH järjestus'!BF$3,KOMBI!$A$1:$GI$1,0))</f>
        <v>0</v>
      </c>
      <c r="BG89" s="25">
        <f t="array" ref="BG89">INDEX(KOMBI!$A$1:$GI$145,ROW('KSH järjestus'!BG96),MATCH('KSH järjestus'!BG$3,KOMBI!$A$1:$GI$1,0))</f>
        <v>0.62002527241482897</v>
      </c>
      <c r="BH89" s="25">
        <f t="array" ref="BH89">INDEX(KOMBI!$A$1:$GI$145,ROW('KSH järjestus'!BH96),MATCH('KSH järjestus'!BH$3,KOMBI!$A$1:$GI$1,0))</f>
        <v>90</v>
      </c>
      <c r="BI89" s="25">
        <f t="array" ref="BI89">INDEX(KOMBI!$A$1:$GI$145,ROW('KSH järjestus'!BI96),MATCH('KSH järjestus'!BI$3,KOMBI!$A$1:$GI$1,0))</f>
        <v>0.84317482403548605</v>
      </c>
      <c r="BJ89" s="25">
        <f t="array" ref="BJ89">INDEX(KOMBI!$A$1:$GI$145,ROW('KSH järjestus'!BJ96),MATCH('KSH järjestus'!BJ$3,KOMBI!$A$1:$GI$1,0))</f>
        <v>0.36609829488465395</v>
      </c>
      <c r="BK89" s="25">
        <f t="array" ref="BK89">INDEX(KOMBI!$A$1:$GI$145,ROW('KSH järjestus'!BK96),MATCH('KSH järjestus'!BK$3,KOMBI!$A$1:$GI$1,0))</f>
        <v>0.58785163599471191</v>
      </c>
      <c r="BL89" s="25">
        <f t="array" ref="BL89">INDEX(KOMBI!$A$1:$GI$145,ROW('KSH järjestus'!BL96),MATCH('KSH järjestus'!BL$3,KOMBI!$A$1:$GI$1,0))</f>
        <v>1.5237411038489714E-2</v>
      </c>
      <c r="BM89" s="25">
        <f t="array" ref="BM89">INDEX(KOMBI!$A$1:$GI$145,ROW('KSH järjestus'!BM96),MATCH('KSH järjestus'!BM$3,KOMBI!$A$1:$GI$1,0))</f>
        <v>-2.1750239313965934E-3</v>
      </c>
      <c r="BN89" s="25">
        <f t="array" ref="BN89">INDEX(KOMBI!$A$1:$GI$145,ROW('KSH järjestus'!BN96),MATCH('KSH järjestus'!BN$3,KOMBI!$A$1:$GI$1,0))</f>
        <v>8.0074873850494166E-4</v>
      </c>
      <c r="BO89" s="25">
        <f t="array" ref="BO89">INDEX(KOMBI!$A$1:$GI$145,ROW('KSH järjestus'!BO96),MATCH('KSH järjestus'!BO$3,KOMBI!$A$1:$GI$1,0))</f>
        <v>1.4521140519759404E-2</v>
      </c>
      <c r="BP89" s="25">
        <f t="array" ref="BP89">INDEX(KOMBI!$A$1:$GI$145,ROW('KSH järjestus'!BP96),MATCH('KSH järjestus'!BP$3,KOMBI!$A$1:$GI$1,0))</f>
        <v>7.6298313570900955</v>
      </c>
      <c r="BQ89" s="25">
        <f t="array" ref="BQ89">INDEX(KOMBI!$A$1:$GI$145,ROW('KSH järjestus'!BQ96),MATCH('KSH järjestus'!BQ$3,KOMBI!$A$1:$GI$1,0))</f>
        <v>9.8409999999999993</v>
      </c>
      <c r="BR89" s="25">
        <f t="array" ref="BR89">INDEX(KOMBI!$A$1:$GI$145,ROW('KSH järjestus'!BR96),MATCH('KSH järjestus'!BR$3,KOMBI!$A$1:$GI$1,0))</f>
        <v>-5.3570303551517505E-2</v>
      </c>
      <c r="BS89" s="25">
        <f t="array" ref="BS89">INDEX(KOMBI!$A$1:$GI$145,ROW('KSH järjestus'!BS96),MATCH('KSH järjestus'!BS$3,KOMBI!$A$1:$GI$1,0))</f>
        <v>-0.17832076012782636</v>
      </c>
      <c r="BT89" s="25">
        <f t="array" ref="BT89">INDEX(KOMBI!$A$1:$GI$145,ROW('KSH järjestus'!BT96),MATCH('KSH järjestus'!BT$3,KOMBI!$A$1:$GI$1,0))</f>
        <v>-0.10519501478436852</v>
      </c>
      <c r="BU89" s="25">
        <f t="array" ref="BU89">INDEX(KOMBI!$A$1:$GI$145,ROW('KSH järjestus'!BU96),MATCH('KSH järjestus'!BU$3,KOMBI!$A$1:$GI$1,0))</f>
        <v>4.4050567987315112</v>
      </c>
      <c r="BV89" s="25">
        <f t="array" ref="BV89">INDEX(KOMBI!$A$1:$GI$145,ROW('KSH järjestus'!BV96),MATCH('KSH järjestus'!BV$3,KOMBI!$A$1:$GI$1,0))</f>
        <v>1.177</v>
      </c>
      <c r="BW89" s="25">
        <f t="array" ref="BW89">INDEX(KOMBI!$A$1:$GI$145,ROW('KSH järjestus'!BW96),MATCH('KSH järjestus'!BW$3,KOMBI!$A$1:$GI$1,0))</f>
        <v>2.7768823271229701</v>
      </c>
      <c r="BX89" s="25">
        <f t="array" ref="BX89">INDEX(KOMBI!$A$1:$GI$145,ROW('KSH järjestus'!BX96),MATCH('KSH järjestus'!BX$3,KOMBI!$A$1:$GI$1,0))</f>
        <v>17.046721793242817</v>
      </c>
      <c r="BY89" s="25">
        <f t="array" ref="BY89">INDEX(KOMBI!$A$1:$GI$145,ROW('KSH järjestus'!BY96),MATCH('KSH järjestus'!BY$3,KOMBI!$A$1:$GI$1,0))</f>
        <v>6.0089454627726342</v>
      </c>
      <c r="BZ89" s="25">
        <f t="array" ref="BZ89">INDEX(KOMBI!$A$1:$GI$145,ROW('KSH järjestus'!BZ96),MATCH('KSH järjestus'!BZ$3,KOMBI!$A$1:$GI$1,0))</f>
        <v>77.400000000000006</v>
      </c>
      <c r="CA89" s="25">
        <f t="array" ref="CA89">INDEX(KOMBI!$A$1:$GI$145,ROW('KSH järjestus'!CA96),MATCH('KSH järjestus'!CA$3,KOMBI!$A$1:$GI$1,0))</f>
        <v>9.766</v>
      </c>
      <c r="CB89" s="25">
        <f t="array" ref="CB89">INDEX(KOMBI!$A$1:$GI$145,ROW('KSH järjestus'!CB96),MATCH('KSH järjestus'!CB$3,KOMBI!$A$1:$GI$1,0))</f>
        <v>38.56388888888889</v>
      </c>
      <c r="CC89" s="25">
        <f t="array" ref="CC89">INDEX(KOMBI!$A$1:$GI$145,ROW('KSH järjestus'!CC96),MATCH('KSH järjestus'!CC$3,KOMBI!$A$1:$GI$1,0))</f>
        <v>3.9911159999999999</v>
      </c>
      <c r="CD89" s="25">
        <f t="array" ref="CD89">INDEX(KOMBI!$A$1:$GI$145,ROW('KSH järjestus'!CD96),MATCH('KSH järjestus'!CD$3,KOMBI!$A$1:$GI$1,0))</f>
        <v>297.14999999999998</v>
      </c>
      <c r="CE89" s="25">
        <f t="array" ref="CE89">INDEX(KOMBI!$A$1:$GI$145,ROW('KSH järjestus'!CE96),MATCH('KSH järjestus'!CE$3,KOMBI!$A$1:$GI$1,0))</f>
        <v>2.8980000000000001</v>
      </c>
      <c r="CF89" s="25">
        <f t="array" ref="CF89">INDEX(KOMBI!$A$1:$GI$145,ROW('KSH järjestus'!CF96),MATCH('KSH järjestus'!CF$3,KOMBI!$A$1:$GI$1,0))</f>
        <v>42.044166666666669</v>
      </c>
      <c r="CG89" s="25">
        <f t="array" ref="CG89">INDEX(KOMBI!$A$1:$GI$145,ROW('KSH järjestus'!CG96),MATCH('KSH järjestus'!CG$3,KOMBI!$A$1:$GI$1,0))</f>
        <v>2.3391437578713474E-2</v>
      </c>
      <c r="CH89" s="25">
        <f t="array" ref="CH89">INDEX(KOMBI!$A$1:$GI$145,ROW('KSH järjestus'!CH96),MATCH('KSH järjestus'!CH$3,KOMBI!$A$1:$GI$1,0))</f>
        <v>0.49544473229417074</v>
      </c>
      <c r="CI89" s="25">
        <f t="array" ref="CI89">INDEX(KOMBI!$A$1:$GI$145,ROW('KSH järjestus'!CI96),MATCH('KSH järjestus'!CI$3,KOMBI!$A$1:$GI$1,0))</f>
        <v>10.67</v>
      </c>
      <c r="CJ89" s="25">
        <f t="array" ref="CJ89">INDEX(KOMBI!$A$1:$GI$145,ROW('KSH järjestus'!CJ96),MATCH('KSH järjestus'!CJ$3,KOMBI!$A$1:$GI$1,0))</f>
        <v>3.0813823271229701</v>
      </c>
      <c r="CK89" s="25">
        <f t="array" ref="CK89">INDEX(KOMBI!$A$1:$GI$145,ROW('KSH järjestus'!CK96),MATCH('KSH järjestus'!CK$3,KOMBI!$A$1:$GI$1,0))</f>
        <v>0.19900000000000001</v>
      </c>
      <c r="CL89" s="25">
        <f t="array" ref="CL89">INDEX(KOMBI!$A$1:$GI$145,ROW('KSH järjestus'!CL96),MATCH('KSH järjestus'!CL$3,KOMBI!$A$1:$GI$1,0))</f>
        <v>0.72299999999999998</v>
      </c>
    </row>
    <row r="90" spans="3:90" x14ac:dyDescent="0.2">
      <c r="C90" s="184">
        <v>87</v>
      </c>
      <c r="G90" s="25">
        <f>RANK(INDEX(KOMBI!$A$11:$GI$145,MATCH('KSH järjestus'!$C90,KOMBI!$A$11:$A$145,0),MATCH('KSH järjestus'!G$3,KOMBI!$A$1:$GI$1,0)),BD$4:BD$138,G$2)</f>
        <v>6</v>
      </c>
      <c r="H90" s="25">
        <f>RANK(INDEX(KOMBI!$A$11:$GI$145,MATCH('KSH järjestus'!$C90,KOMBI!$A$11:$A$145,0),MATCH('KSH järjestus'!H$3,KOMBI!$A$1:$GI$1,0)),BE$4:BE$138,H$2)</f>
        <v>39</v>
      </c>
      <c r="J90" s="25">
        <f>RANK(INDEX(KOMBI!$A$11:$GI$145,MATCH('KSH järjestus'!$C90,KOMBI!$A$11:$A$145,0),MATCH('KSH järjestus'!J$3,KOMBI!$A$1:$GI$1,0)),BG$4:BG$138,J$2)</f>
        <v>115</v>
      </c>
      <c r="M90" s="25">
        <f>RANK(INDEX(KOMBI!$A$11:$GI$145,MATCH('KSH järjestus'!$C90,KOMBI!$A$11:$A$145,0),MATCH('KSH järjestus'!M$3,KOMBI!$A$1:$GI$1,0)),BJ$4:BJ$138,M$2)</f>
        <v>109</v>
      </c>
      <c r="N90" s="25">
        <f>RANK(INDEX(KOMBI!$A$11:$GI$145,MATCH('KSH järjestus'!$C90,KOMBI!$A$11:$A$145,0),MATCH('KSH järjestus'!N$3,KOMBI!$A$1:$GI$1,0)),BK$4:BK$138,N$2)</f>
        <v>10</v>
      </c>
      <c r="O90" s="25">
        <f>RANK(INDEX(KOMBI!$A$11:$GI$145,MATCH('KSH järjestus'!$C90,KOMBI!$A$11:$A$145,0),MATCH('KSH järjestus'!O$3,KOMBI!$A$1:$GI$1,0)),BL$4:BL$138,O$2)</f>
        <v>43</v>
      </c>
      <c r="P90" s="25">
        <f>RANK(INDEX(KOMBI!$A$11:$GI$145,MATCH('KSH järjestus'!$C90,KOMBI!$A$11:$A$145,0),MATCH('KSH järjestus'!P$3,KOMBI!$A$1:$GI$1,0)),BM$4:BM$138,P$2)</f>
        <v>97</v>
      </c>
      <c r="Q90" s="25">
        <f>RANK(INDEX(KOMBI!$A$11:$GI$145,MATCH('KSH järjestus'!$C90,KOMBI!$A$11:$A$145,0),MATCH('KSH järjestus'!Q$3,KOMBI!$A$1:$GI$1,0)),BN$4:BN$138,Q$2)</f>
        <v>97</v>
      </c>
      <c r="R90" s="25">
        <f>RANK(INDEX(KOMBI!$A$11:$GI$145,MATCH('KSH järjestus'!$C90,KOMBI!$A$11:$A$145,0),MATCH('KSH järjestus'!R$3,KOMBI!$A$1:$GI$1,0)),BO$4:BO$138,R$2)</f>
        <v>18</v>
      </c>
      <c r="T90" s="25">
        <f>RANK(INDEX(KOMBI!$A$11:$GI$145,MATCH('KSH järjestus'!$C90,KOMBI!$A$11:$A$145,0),MATCH('KSH järjestus'!T$3,KOMBI!$A$1:$GI$1,0)),BQ$4:BQ$138,T$2)</f>
        <v>27</v>
      </c>
      <c r="U90" s="25">
        <f>RANK(INDEX(KOMBI!$A$11:$GI$145,MATCH('KSH järjestus'!$C90,KOMBI!$A$11:$A$145,0),MATCH('KSH järjestus'!U$3,KOMBI!$A$1:$GI$1,0)),BR$4:BR$138,U$2)</f>
        <v>13</v>
      </c>
      <c r="AA90" s="25">
        <f>RANK(INDEX(KOMBI!$A$11:$GI$145,MATCH('KSH järjestus'!$C90,KOMBI!$A$11:$A$145,0),MATCH('KSH järjestus'!AA$3,KOMBI!$A$1:$GI$1,0)),BX$4:BX$138,AA$2)</f>
        <v>16</v>
      </c>
      <c r="AB90" s="25">
        <f>RANK(INDEX(KOMBI!$A$11:$GI$145,MATCH('KSH järjestus'!$C90,KOMBI!$A$11:$A$145,0),MATCH('KSH järjestus'!AB$3,KOMBI!$A$1:$GI$1,0)),BY$4:BY$138,AB$2)</f>
        <v>4</v>
      </c>
      <c r="AC90" s="25">
        <f>RANK(INDEX(KOMBI!$A$11:$GI$145,MATCH('KSH järjestus'!$C90,KOMBI!$A$11:$A$145,0),MATCH('KSH järjestus'!AC$3,KOMBI!$A$1:$GI$1,0)),BZ$4:BZ$138,AC$2)</f>
        <v>84</v>
      </c>
      <c r="AD90" s="25">
        <f>RANK(INDEX(KOMBI!$A$11:$GI$145,MATCH('KSH järjestus'!$C90,KOMBI!$A$11:$A$145,0),MATCH('KSH järjestus'!AD$3,KOMBI!$A$1:$GI$1,0)),CA$4:CA$138,AD$2)</f>
        <v>14</v>
      </c>
      <c r="AE90" s="25">
        <f>RANK(INDEX(KOMBI!$A$11:$GI$145,MATCH('KSH järjestus'!$C90,KOMBI!$A$11:$A$145,0),MATCH('KSH järjestus'!AE$3,KOMBI!$A$1:$GI$1,0)),CB$4:CB$138,AE$2)</f>
        <v>12</v>
      </c>
      <c r="AG90" s="25">
        <f>RANK(INDEX(KOMBI!$A$11:$GI$145,MATCH('KSH järjestus'!$C90,KOMBI!$A$11:$A$145,0),MATCH('KSH järjestus'!AG$3,KOMBI!$A$1:$GI$1,0)),CD$4:CD$138,AG$2)</f>
        <v>43</v>
      </c>
      <c r="AH90" s="25">
        <f>RANK(INDEX(KOMBI!$A$11:$GI$145,MATCH('KSH järjestus'!$C90,KOMBI!$A$11:$A$145,0),MATCH('KSH järjestus'!AH$3,KOMBI!$A$1:$GI$1,0)),CE$4:CE$138,AH$2)</f>
        <v>61</v>
      </c>
      <c r="AI90" s="25">
        <f>RANK(INDEX(KOMBI!$A$11:$GI$145,MATCH('KSH järjestus'!$C90,KOMBI!$A$11:$A$145,0),MATCH('KSH järjestus'!AI$3,KOMBI!$A$1:$GI$1,0)),CF$4:CF$138,AI$2)</f>
        <v>10</v>
      </c>
      <c r="AJ90" s="25">
        <f>RANK(INDEX(KOMBI!$A$11:$GI$145,MATCH('KSH järjestus'!$C90,KOMBI!$A$11:$A$145,0),MATCH('KSH järjestus'!AJ$3,KOMBI!$A$1:$GI$1,0)),CG$4:CG$138,AJ$2)</f>
        <v>52</v>
      </c>
      <c r="AK90" s="25">
        <f>RANK(INDEX(KOMBI!$A$11:$GI$145,MATCH('KSH järjestus'!$C90,KOMBI!$A$11:$A$145,0),MATCH('KSH järjestus'!AK$3,KOMBI!$A$1:$GI$1,0)),CH$4:CH$138,AK$2)</f>
        <v>19</v>
      </c>
      <c r="AN90" s="25">
        <f>RANK(INDEX(KOMBI!$A$11:$GI$145,MATCH('KSH järjestus'!$C90,KOMBI!$A$11:$A$145,0),MATCH('KSH järjestus'!AN$3,KOMBI!$A$1:$GI$1,0)),CK$4:CK$138,AN$2)</f>
        <v>1</v>
      </c>
      <c r="AO90" s="25">
        <f>RANK(INDEX(KOMBI!$A$11:$GI$145,MATCH('KSH järjestus'!$C90,KOMBI!$A$11:$A$145,0),MATCH('KSH järjestus'!AO$3,KOMBI!$A$1:$GI$1,0)),CL$4:CL$138,AO$2)</f>
        <v>1</v>
      </c>
      <c r="AS90" s="297">
        <f t="shared" si="4"/>
        <v>891</v>
      </c>
      <c r="AT90" s="25">
        <f t="shared" si="5"/>
        <v>1660</v>
      </c>
      <c r="AU90" s="25">
        <f t="shared" si="6"/>
        <v>64</v>
      </c>
      <c r="AV90" s="295" t="str">
        <f>VLOOKUP(VLOOKUP($AU90,KOMBI!$A:$H,3,FALSE),data!$I$27:$J$29,2,FALSE)</f>
        <v>Vähe-sekkuv</v>
      </c>
      <c r="AW90" s="295" t="str">
        <f>VLOOKUP(VLOOKUP($AU90,KOMBI!$A:$H,2,FALSE),data!$I$21:$J$23,2,FALSE)</f>
        <v>Vähe-sekkuv</v>
      </c>
      <c r="AX90" s="295" t="str">
        <f>VLOOKUP(VLOOKUP($AU90,KOMBI!$A:$H,5,FALSE),data!$I$39:$J$41,2,FALSE)</f>
        <v>Mittesekkuv</v>
      </c>
      <c r="AY90" s="295" t="str">
        <f>VLOOKUP(VLOOKUP($AU90,KOMBI!$A:$H,4,FALSE),data!$I$32:$J$36,2,FALSE)</f>
        <v>LIB+</v>
      </c>
      <c r="BA90" s="25">
        <f t="array" ref="BA90">INDEX(KOMBI!$A$1:$GI$145,ROW('KSH järjestus'!BA97),MATCH('KSH järjestus'!BA$3,KOMBI!$A$1:$GI$1,0))</f>
        <v>9.7343477010932205</v>
      </c>
      <c r="BB90" s="25">
        <f t="array" ref="BB90">INDEX(KOMBI!$A$1:$GI$145,ROW('KSH järjestus'!BB97),MATCH('KSH järjestus'!BB$3,KOMBI!$A$1:$GI$1,0))</f>
        <v>507.71833155856558</v>
      </c>
      <c r="BC90" s="25">
        <f t="array" aca="1" ref="BC90" ca="1">INDEX(KOMBI!$A$1:$GI$145,ROW('KSH järjestus'!BC97),MATCH('KSH järjestus'!BC$3,KOMBI!$A$1:$GI$1,0))</f>
        <v>25.521823173547375</v>
      </c>
      <c r="BD90" s="25">
        <f t="array" ref="BD90">INDEX(KOMBI!$A$1:$GI$145,ROW('KSH järjestus'!BD97),MATCH('KSH järjestus'!BD$3,KOMBI!$A$1:$GI$1,0))</f>
        <v>-181.84206369909103</v>
      </c>
      <c r="BE90" s="25">
        <f t="array" ref="BE90">INDEX(KOMBI!$A$1:$GI$145,ROW('KSH järjestus'!BE97),MATCH('KSH järjestus'!BE$3,KOMBI!$A$1:$GI$1,0))</f>
        <v>207.3638868726384</v>
      </c>
      <c r="BF90" s="25">
        <f t="array" aca="1" ref="BF90" ca="1">INDEX(KOMBI!$A$1:$GI$145,ROW('KSH järjestus'!BF97),MATCH('KSH järjestus'!BF$3,KOMBI!$A$1:$GI$1,0))</f>
        <v>0</v>
      </c>
      <c r="BG90" s="25">
        <f t="array" ref="BG90">INDEX(KOMBI!$A$1:$GI$145,ROW('KSH järjestus'!BG97),MATCH('KSH järjestus'!BG$3,KOMBI!$A$1:$GI$1,0))</f>
        <v>0.62002527241482897</v>
      </c>
      <c r="BH90" s="25">
        <f t="array" ref="BH90">INDEX(KOMBI!$A$1:$GI$145,ROW('KSH järjestus'!BH97),MATCH('KSH järjestus'!BH$3,KOMBI!$A$1:$GI$1,0))</f>
        <v>90</v>
      </c>
      <c r="BI90" s="25">
        <f t="array" ref="BI90">INDEX(KOMBI!$A$1:$GI$145,ROW('KSH järjestus'!BI97),MATCH('KSH järjestus'!BI$3,KOMBI!$A$1:$GI$1,0))</f>
        <v>0.84317482403548605</v>
      </c>
      <c r="BJ90" s="25">
        <f t="array" ref="BJ90">INDEX(KOMBI!$A$1:$GI$145,ROW('KSH järjestus'!BJ97),MATCH('KSH järjestus'!BJ$3,KOMBI!$A$1:$GI$1,0))</f>
        <v>0.36609829488465395</v>
      </c>
      <c r="BK90" s="25">
        <f t="array" ref="BK90">INDEX(KOMBI!$A$1:$GI$145,ROW('KSH järjestus'!BK97),MATCH('KSH järjestus'!BK$3,KOMBI!$A$1:$GI$1,0))</f>
        <v>0.58785163599471191</v>
      </c>
      <c r="BL90" s="25">
        <f t="array" ref="BL90">INDEX(KOMBI!$A$1:$GI$145,ROW('KSH järjestus'!BL97),MATCH('KSH järjestus'!BL$3,KOMBI!$A$1:$GI$1,0))</f>
        <v>1.988846641673624E-2</v>
      </c>
      <c r="BM90" s="25">
        <f t="array" ref="BM90">INDEX(KOMBI!$A$1:$GI$145,ROW('KSH järjestus'!BM97),MATCH('KSH järjestus'!BM$3,KOMBI!$A$1:$GI$1,0))</f>
        <v>-2.162258204355207E-3</v>
      </c>
      <c r="BN90" s="25">
        <f t="array" ref="BN90">INDEX(KOMBI!$A$1:$GI$145,ROW('KSH järjestus'!BN97),MATCH('KSH järjestus'!BN$3,KOMBI!$A$1:$GI$1,0))</f>
        <v>2.1315385745516724E-3</v>
      </c>
      <c r="BO90" s="25">
        <f t="array" ref="BO90">INDEX(KOMBI!$A$1:$GI$145,ROW('KSH järjestus'!BO97),MATCH('KSH järjestus'!BO$3,KOMBI!$A$1:$GI$1,0))</f>
        <v>1.791500396792426E-2</v>
      </c>
      <c r="BP90" s="25">
        <f t="array" ref="BP90">INDEX(KOMBI!$A$1:$GI$145,ROW('KSH järjestus'!BP97),MATCH('KSH järjestus'!BP$3,KOMBI!$A$1:$GI$1,0))</f>
        <v>7.6298313570900955</v>
      </c>
      <c r="BQ90" s="25">
        <f t="array" ref="BQ90">INDEX(KOMBI!$A$1:$GI$145,ROW('KSH järjestus'!BQ97),MATCH('KSH järjestus'!BQ$3,KOMBI!$A$1:$GI$1,0))</f>
        <v>10.065</v>
      </c>
      <c r="BR90" s="25">
        <f t="array" ref="BR90">INDEX(KOMBI!$A$1:$GI$145,ROW('KSH järjestus'!BR97),MATCH('KSH järjestus'!BR$3,KOMBI!$A$1:$GI$1,0))</f>
        <v>-4.9590816421071604E-2</v>
      </c>
      <c r="BS90" s="25">
        <f t="array" ref="BS90">INDEX(KOMBI!$A$1:$GI$145,ROW('KSH järjestus'!BS97),MATCH('KSH järjestus'!BS$3,KOMBI!$A$1:$GI$1,0))</f>
        <v>-0.17706160021153791</v>
      </c>
      <c r="BT90" s="25">
        <f t="array" ref="BT90">INDEX(KOMBI!$A$1:$GI$145,ROW('KSH järjestus'!BT97),MATCH('KSH järjestus'!BT$3,KOMBI!$A$1:$GI$1,0))</f>
        <v>-0.10373429581114225</v>
      </c>
      <c r="BU90" s="25">
        <f t="array" ref="BU90">INDEX(KOMBI!$A$1:$GI$145,ROW('KSH järjestus'!BU97),MATCH('KSH järjestus'!BU$3,KOMBI!$A$1:$GI$1,0))</f>
        <v>4.4050567987315112</v>
      </c>
      <c r="BV90" s="25">
        <f t="array" ref="BV90">INDEX(KOMBI!$A$1:$GI$145,ROW('KSH järjestus'!BV97),MATCH('KSH järjestus'!BV$3,KOMBI!$A$1:$GI$1,0))</f>
        <v>1.177</v>
      </c>
      <c r="BW90" s="25">
        <f t="array" ref="BW90">INDEX(KOMBI!$A$1:$GI$145,ROW('KSH järjestus'!BW97),MATCH('KSH järjestus'!BW$3,KOMBI!$A$1:$GI$1,0))</f>
        <v>2.98558232712297</v>
      </c>
      <c r="BX90" s="25">
        <f t="array" ref="BX90">INDEX(KOMBI!$A$1:$GI$145,ROW('KSH järjestus'!BX97),MATCH('KSH järjestus'!BX$3,KOMBI!$A$1:$GI$1,0))</f>
        <v>17.046721793242817</v>
      </c>
      <c r="BY90" s="25">
        <f t="array" ref="BY90">INDEX(KOMBI!$A$1:$GI$145,ROW('KSH järjestus'!BY97),MATCH('KSH järjestus'!BY$3,KOMBI!$A$1:$GI$1,0))</f>
        <v>6.0089454627726342</v>
      </c>
      <c r="BZ90" s="25">
        <f t="array" ref="BZ90">INDEX(KOMBI!$A$1:$GI$145,ROW('KSH järjestus'!BZ97),MATCH('KSH järjestus'!BZ$3,KOMBI!$A$1:$GI$1,0))</f>
        <v>79</v>
      </c>
      <c r="CA90" s="25">
        <f t="array" ref="CA90">INDEX(KOMBI!$A$1:$GI$145,ROW('KSH järjestus'!CA97),MATCH('KSH järjestus'!CA$3,KOMBI!$A$1:$GI$1,0))</f>
        <v>10.018000000000001</v>
      </c>
      <c r="CB90" s="25">
        <f t="array" ref="CB90">INDEX(KOMBI!$A$1:$GI$145,ROW('KSH järjestus'!CB97),MATCH('KSH järjestus'!CB$3,KOMBI!$A$1:$GI$1,0))</f>
        <v>39.471944444444439</v>
      </c>
      <c r="CC90" s="25">
        <f t="array" ref="CC90">INDEX(KOMBI!$A$1:$GI$145,ROW('KSH järjestus'!CC97),MATCH('KSH järjestus'!CC$3,KOMBI!$A$1:$GI$1,0))</f>
        <v>4.0844610000000001</v>
      </c>
      <c r="CD90" s="25">
        <f t="array" ref="CD90">INDEX(KOMBI!$A$1:$GI$145,ROW('KSH järjestus'!CD97),MATCH('KSH järjestus'!CD$3,KOMBI!$A$1:$GI$1,0))</f>
        <v>297.14999999999998</v>
      </c>
      <c r="CE90" s="25">
        <f t="array" ref="CE90">INDEX(KOMBI!$A$1:$GI$145,ROW('KSH järjestus'!CE97),MATCH('KSH järjestus'!CE$3,KOMBI!$A$1:$GI$1,0))</f>
        <v>2.8980000000000001</v>
      </c>
      <c r="CF90" s="25">
        <f t="array" ref="CF90">INDEX(KOMBI!$A$1:$GI$145,ROW('KSH järjestus'!CF97),MATCH('KSH järjestus'!CF$3,KOMBI!$A$1:$GI$1,0))</f>
        <v>42.044166666666669</v>
      </c>
      <c r="CG90" s="25">
        <f t="array" ref="CG90">INDEX(KOMBI!$A$1:$GI$145,ROW('KSH järjestus'!CG97),MATCH('KSH järjestus'!CG$3,KOMBI!$A$1:$GI$1,0))</f>
        <v>2.3391437578713474E-2</v>
      </c>
      <c r="CH90" s="25">
        <f t="array" ref="CH90">INDEX(KOMBI!$A$1:$GI$145,ROW('KSH järjestus'!CH97),MATCH('KSH järjestus'!CH$3,KOMBI!$A$1:$GI$1,0))</f>
        <v>0.49544473229417074</v>
      </c>
      <c r="CI90" s="25">
        <f t="array" ref="CI90">INDEX(KOMBI!$A$1:$GI$145,ROW('KSH järjestus'!CI97),MATCH('KSH järjestus'!CI$3,KOMBI!$A$1:$GI$1,0))</f>
        <v>10.67</v>
      </c>
      <c r="CJ90" s="25">
        <f t="array" ref="CJ90">INDEX(KOMBI!$A$1:$GI$145,ROW('KSH järjestus'!CJ97),MATCH('KSH järjestus'!CJ$3,KOMBI!$A$1:$GI$1,0))</f>
        <v>3.0813823271229701</v>
      </c>
      <c r="CK90" s="25">
        <f t="array" ref="CK90">INDEX(KOMBI!$A$1:$GI$145,ROW('KSH järjestus'!CK97),MATCH('KSH järjestus'!CK$3,KOMBI!$A$1:$GI$1,0))</f>
        <v>0.19900000000000001</v>
      </c>
      <c r="CL90" s="25">
        <f t="array" ref="CL90">INDEX(KOMBI!$A$1:$GI$145,ROW('KSH järjestus'!CL97),MATCH('KSH järjestus'!CL$3,KOMBI!$A$1:$GI$1,0))</f>
        <v>0.72299999999999998</v>
      </c>
    </row>
    <row r="91" spans="3:90" x14ac:dyDescent="0.2">
      <c r="C91" s="184">
        <v>88</v>
      </c>
      <c r="G91" s="25">
        <f>RANK(INDEX(KOMBI!$A$11:$GI$145,MATCH('KSH järjestus'!$C91,KOMBI!$A$11:$A$145,0),MATCH('KSH järjestus'!G$3,KOMBI!$A$1:$GI$1,0)),BD$4:BD$138,G$2)</f>
        <v>31</v>
      </c>
      <c r="H91" s="25">
        <f>RANK(INDEX(KOMBI!$A$11:$GI$145,MATCH('KSH järjestus'!$C91,KOMBI!$A$11:$A$145,0),MATCH('KSH järjestus'!H$3,KOMBI!$A$1:$GI$1,0)),BE$4:BE$138,H$2)</f>
        <v>30</v>
      </c>
      <c r="J91" s="25">
        <f>RANK(INDEX(KOMBI!$A$11:$GI$145,MATCH('KSH järjestus'!$C91,KOMBI!$A$11:$A$145,0),MATCH('KSH järjestus'!J$3,KOMBI!$A$1:$GI$1,0)),BG$4:BG$138,J$2)</f>
        <v>16</v>
      </c>
      <c r="M91" s="25">
        <f>RANK(INDEX(KOMBI!$A$11:$GI$145,MATCH('KSH järjestus'!$C91,KOMBI!$A$11:$A$145,0),MATCH('KSH järjestus'!M$3,KOMBI!$A$1:$GI$1,0)),BJ$4:BJ$138,M$2)</f>
        <v>1</v>
      </c>
      <c r="N91" s="25">
        <f>RANK(INDEX(KOMBI!$A$11:$GI$145,MATCH('KSH järjestus'!$C91,KOMBI!$A$11:$A$145,0),MATCH('KSH järjestus'!N$3,KOMBI!$A$1:$GI$1,0)),BK$4:BK$138,N$2)</f>
        <v>121</v>
      </c>
      <c r="O91" s="25">
        <f>RANK(INDEX(KOMBI!$A$11:$GI$145,MATCH('KSH järjestus'!$C91,KOMBI!$A$11:$A$145,0),MATCH('KSH järjestus'!O$3,KOMBI!$A$1:$GI$1,0)),BL$4:BL$138,O$2)</f>
        <v>25</v>
      </c>
      <c r="P91" s="25">
        <f>RANK(INDEX(KOMBI!$A$11:$GI$145,MATCH('KSH järjestus'!$C91,KOMBI!$A$11:$A$145,0),MATCH('KSH järjestus'!P$3,KOMBI!$A$1:$GI$1,0)),BM$4:BM$138,P$2)</f>
        <v>12</v>
      </c>
      <c r="Q91" s="25">
        <f>RANK(INDEX(KOMBI!$A$11:$GI$145,MATCH('KSH järjestus'!$C91,KOMBI!$A$11:$A$145,0),MATCH('KSH järjestus'!Q$3,KOMBI!$A$1:$GI$1,0)),BN$4:BN$138,Q$2)</f>
        <v>29</v>
      </c>
      <c r="R91" s="25">
        <f>RANK(INDEX(KOMBI!$A$11:$GI$145,MATCH('KSH järjestus'!$C91,KOMBI!$A$11:$A$145,0),MATCH('KSH järjestus'!R$3,KOMBI!$A$1:$GI$1,0)),BO$4:BO$138,R$2)</f>
        <v>29</v>
      </c>
      <c r="T91" s="25">
        <f>RANK(INDEX(KOMBI!$A$11:$GI$145,MATCH('KSH järjestus'!$C91,KOMBI!$A$11:$A$145,0),MATCH('KSH järjestus'!T$3,KOMBI!$A$1:$GI$1,0)),BQ$4:BQ$138,T$2)</f>
        <v>103</v>
      </c>
      <c r="U91" s="25">
        <f>RANK(INDEX(KOMBI!$A$11:$GI$145,MATCH('KSH järjestus'!$C91,KOMBI!$A$11:$A$145,0),MATCH('KSH järjestus'!U$3,KOMBI!$A$1:$GI$1,0)),BR$4:BR$138,U$2)</f>
        <v>62</v>
      </c>
      <c r="AA91" s="25">
        <f>RANK(INDEX(KOMBI!$A$11:$GI$145,MATCH('KSH järjestus'!$C91,KOMBI!$A$11:$A$145,0),MATCH('KSH järjestus'!AA$3,KOMBI!$A$1:$GI$1,0)),BX$4:BX$138,AA$2)</f>
        <v>115</v>
      </c>
      <c r="AB91" s="25">
        <f>RANK(INDEX(KOMBI!$A$11:$GI$145,MATCH('KSH järjestus'!$C91,KOMBI!$A$11:$A$145,0),MATCH('KSH järjestus'!AB$3,KOMBI!$A$1:$GI$1,0)),BY$4:BY$138,AB$2)</f>
        <v>112</v>
      </c>
      <c r="AC91" s="25">
        <f>RANK(INDEX(KOMBI!$A$11:$GI$145,MATCH('KSH järjestus'!$C91,KOMBI!$A$11:$A$145,0),MATCH('KSH järjestus'!AC$3,KOMBI!$A$1:$GI$1,0)),BZ$4:BZ$138,AC$2)</f>
        <v>116</v>
      </c>
      <c r="AD91" s="25">
        <f>RANK(INDEX(KOMBI!$A$11:$GI$145,MATCH('KSH järjestus'!$C91,KOMBI!$A$11:$A$145,0),MATCH('KSH järjestus'!AD$3,KOMBI!$A$1:$GI$1,0)),CA$4:CA$138,AD$2)</f>
        <v>116</v>
      </c>
      <c r="AE91" s="25">
        <f>RANK(INDEX(KOMBI!$A$11:$GI$145,MATCH('KSH järjestus'!$C91,KOMBI!$A$11:$A$145,0),MATCH('KSH järjestus'!AE$3,KOMBI!$A$1:$GI$1,0)),CB$4:CB$138,AE$2)</f>
        <v>115</v>
      </c>
      <c r="AG91" s="25">
        <f>RANK(INDEX(KOMBI!$A$11:$GI$145,MATCH('KSH järjestus'!$C91,KOMBI!$A$11:$A$145,0),MATCH('KSH järjestus'!AG$3,KOMBI!$A$1:$GI$1,0)),CD$4:CD$138,AG$2)</f>
        <v>31</v>
      </c>
      <c r="AH91" s="25">
        <f>RANK(INDEX(KOMBI!$A$11:$GI$145,MATCH('KSH järjestus'!$C91,KOMBI!$A$11:$A$145,0),MATCH('KSH järjestus'!AH$3,KOMBI!$A$1:$GI$1,0)),CE$4:CE$138,AH$2)</f>
        <v>61</v>
      </c>
      <c r="AI91" s="25">
        <f>RANK(INDEX(KOMBI!$A$11:$GI$145,MATCH('KSH järjestus'!$C91,KOMBI!$A$11:$A$145,0),MATCH('KSH järjestus'!AI$3,KOMBI!$A$1:$GI$1,0)),CF$4:CF$138,AI$2)</f>
        <v>115</v>
      </c>
      <c r="AJ91" s="25">
        <f>RANK(INDEX(KOMBI!$A$11:$GI$145,MATCH('KSH järjestus'!$C91,KOMBI!$A$11:$A$145,0),MATCH('KSH järjestus'!AJ$3,KOMBI!$A$1:$GI$1,0)),CG$4:CG$138,AJ$2)</f>
        <v>52</v>
      </c>
      <c r="AK91" s="25">
        <f>RANK(INDEX(KOMBI!$A$11:$GI$145,MATCH('KSH järjestus'!$C91,KOMBI!$A$11:$A$145,0),MATCH('KSH järjestus'!AK$3,KOMBI!$A$1:$GI$1,0)),CH$4:CH$138,AK$2)</f>
        <v>82</v>
      </c>
      <c r="AN91" s="25">
        <f>RANK(INDEX(KOMBI!$A$11:$GI$145,MATCH('KSH järjestus'!$C91,KOMBI!$A$11:$A$145,0),MATCH('KSH järjestus'!AN$3,KOMBI!$A$1:$GI$1,0)),CK$4:CK$138,AN$2)</f>
        <v>1</v>
      </c>
      <c r="AO91" s="25">
        <f>RANK(INDEX(KOMBI!$A$11:$GI$145,MATCH('KSH järjestus'!$C91,KOMBI!$A$11:$A$145,0),MATCH('KSH järjestus'!AO$3,KOMBI!$A$1:$GI$1,0)),CL$4:CL$138,AO$2)</f>
        <v>1</v>
      </c>
      <c r="AS91" s="297">
        <f t="shared" si="4"/>
        <v>1376</v>
      </c>
      <c r="AT91" s="25">
        <f t="shared" si="5"/>
        <v>1661</v>
      </c>
      <c r="AU91" s="25">
        <f t="shared" si="6"/>
        <v>35</v>
      </c>
      <c r="AV91" s="295" t="str">
        <f>VLOOKUP(VLOOKUP($AU91,KOMBI!$A:$H,3,FALSE),data!$I$27:$J$29,2,FALSE)</f>
        <v>Sekkuv/EÜ</v>
      </c>
      <c r="AW91" s="295" t="str">
        <f>VLOOKUP(VLOOKUP($AU91,KOMBI!$A:$H,2,FALSE),data!$I$21:$J$23,2,FALSE)</f>
        <v>Mittesekkuv</v>
      </c>
      <c r="AX91" s="295" t="str">
        <f>VLOOKUP(VLOOKUP($AU91,KOMBI!$A:$H,5,FALSE),data!$I$39:$J$41,2,FALSE)</f>
        <v>Vähe-sekkuv</v>
      </c>
      <c r="AY91" s="295" t="str">
        <f>VLOOKUP(VLOOKUP($AU91,KOMBI!$A:$H,4,FALSE),data!$I$32:$J$36,2,FALSE)</f>
        <v>LIB+</v>
      </c>
      <c r="BA91" s="25">
        <f t="array" ref="BA91">INDEX(KOMBI!$A$1:$GI$145,ROW('KSH järjestus'!BA98),MATCH('KSH järjestus'!BA$3,KOMBI!$A$1:$GI$1,0))</f>
        <v>4.9220180504943407</v>
      </c>
      <c r="BB91" s="25">
        <f t="array" ref="BB91">INDEX(KOMBI!$A$1:$GI$145,ROW('KSH järjestus'!BB98),MATCH('KSH järjestus'!BB$3,KOMBI!$A$1:$GI$1,0))</f>
        <v>650.84098296562524</v>
      </c>
      <c r="BC91" s="25">
        <f t="array" aca="1" ref="BC91" ca="1">INDEX(KOMBI!$A$1:$GI$145,ROW('KSH järjestus'!BC98),MATCH('KSH järjestus'!BC$3,KOMBI!$A$1:$GI$1,0))</f>
        <v>72.639907581648828</v>
      </c>
      <c r="BD91" s="25">
        <f t="array" ref="BD91">INDEX(KOMBI!$A$1:$GI$145,ROW('KSH järjestus'!BD98),MATCH('KSH järjestus'!BD$3,KOMBI!$A$1:$GI$1,0))</f>
        <v>-147.50125</v>
      </c>
      <c r="BE91" s="25">
        <f t="array" ref="BE91">INDEX(KOMBI!$A$1:$GI$145,ROW('KSH järjestus'!BE98),MATCH('KSH järjestus'!BE$3,KOMBI!$A$1:$GI$1,0))</f>
        <v>220.14115758164883</v>
      </c>
      <c r="BF91" s="25">
        <f t="array" aca="1" ref="BF91" ca="1">INDEX(KOMBI!$A$1:$GI$145,ROW('KSH järjestus'!BF98),MATCH('KSH järjestus'!BF$3,KOMBI!$A$1:$GI$1,0))</f>
        <v>0</v>
      </c>
      <c r="BG91" s="25">
        <f t="array" ref="BG91">INDEX(KOMBI!$A$1:$GI$145,ROW('KSH järjestus'!BG98),MATCH('KSH järjestus'!BG$3,KOMBI!$A$1:$GI$1,0))</f>
        <v>0.32331761789454577</v>
      </c>
      <c r="BH91" s="25">
        <f t="array" ref="BH91">INDEX(KOMBI!$A$1:$GI$145,ROW('KSH järjestus'!BH98),MATCH('KSH järjestus'!BH$3,KOMBI!$A$1:$GI$1,0))</f>
        <v>90</v>
      </c>
      <c r="BI91" s="25">
        <f t="array" ref="BI91">INDEX(KOMBI!$A$1:$GI$145,ROW('KSH järjestus'!BI98),MATCH('KSH järjestus'!BI$3,KOMBI!$A$1:$GI$1,0))</f>
        <v>1</v>
      </c>
      <c r="BJ91" s="25">
        <f t="array" ref="BJ91">INDEX(KOMBI!$A$1:$GI$145,ROW('KSH järjestus'!BJ98),MATCH('KSH järjestus'!BJ$3,KOMBI!$A$1:$GI$1,0))</f>
        <v>0</v>
      </c>
      <c r="BK91" s="25">
        <f t="array" ref="BK91">INDEX(KOMBI!$A$1:$GI$145,ROW('KSH järjestus'!BK98),MATCH('KSH järjestus'!BK$3,KOMBI!$A$1:$GI$1,0))</f>
        <v>0.25504877132506298</v>
      </c>
      <c r="BL91" s="25">
        <f t="array" ref="BL91">INDEX(KOMBI!$A$1:$GI$145,ROW('KSH järjestus'!BL98),MATCH('KSH järjestus'!BL$3,KOMBI!$A$1:$GI$1,0))</f>
        <v>2.3939698210037764E-2</v>
      </c>
      <c r="BM91" s="25">
        <f t="array" ref="BM91">INDEX(KOMBI!$A$1:$GI$145,ROW('KSH järjestus'!BM98),MATCH('KSH järjestus'!BM$3,KOMBI!$A$1:$GI$1,0))</f>
        <v>8.847382394383969E-3</v>
      </c>
      <c r="BN91" s="25">
        <f t="array" ref="BN91">INDEX(KOMBI!$A$1:$GI$145,ROW('KSH järjestus'!BN98),MATCH('KSH järjestus'!BN$3,KOMBI!$A$1:$GI$1,0))</f>
        <v>8.0465328095470356E-3</v>
      </c>
      <c r="BO91" s="25">
        <f t="array" ref="BO91">INDEX(KOMBI!$A$1:$GI$145,ROW('KSH järjestus'!BO98),MATCH('KSH järjestus'!BO$3,KOMBI!$A$1:$GI$1,0))</f>
        <v>1.6219265348181796E-2</v>
      </c>
      <c r="BP91" s="25">
        <f t="array" ref="BP91">INDEX(KOMBI!$A$1:$GI$145,ROW('KSH järjestus'!BP98),MATCH('KSH järjestus'!BP$3,KOMBI!$A$1:$GI$1,0))</f>
        <v>7.545989615604916</v>
      </c>
      <c r="BQ91" s="25">
        <f t="array" ref="BQ91">INDEX(KOMBI!$A$1:$GI$145,ROW('KSH järjestus'!BQ98),MATCH('KSH järjestus'!BQ$3,KOMBI!$A$1:$GI$1,0))</f>
        <v>11.247999999999999</v>
      </c>
      <c r="BR91" s="25">
        <f t="array" ref="BR91">INDEX(KOMBI!$A$1:$GI$145,ROW('KSH järjestus'!BR98),MATCH('KSH järjestus'!BR$3,KOMBI!$A$1:$GI$1,0))</f>
        <v>-2.7549287141503467E-2</v>
      </c>
      <c r="BS91" s="25">
        <f t="array" ref="BS91">INDEX(KOMBI!$A$1:$GI$145,ROW('KSH järjestus'!BS98),MATCH('KSH järjestus'!BS$3,KOMBI!$A$1:$GI$1,0))</f>
        <v>4.8735444307205472E-2</v>
      </c>
      <c r="BT91" s="25">
        <f t="array" ref="BT91">INDEX(KOMBI!$A$1:$GI$145,ROW('KSH järjestus'!BT98),MATCH('KSH järjestus'!BT$3,KOMBI!$A$1:$GI$1,0))</f>
        <v>3.760122493775684E-2</v>
      </c>
      <c r="BU91" s="25">
        <f t="array" ref="BU91">INDEX(KOMBI!$A$1:$GI$145,ROW('KSH järjestus'!BU98),MATCH('KSH järjestus'!BU$3,KOMBI!$A$1:$GI$1,0))</f>
        <v>11.414289559723789</v>
      </c>
      <c r="BV91" s="25">
        <f t="array" ref="BV91">INDEX(KOMBI!$A$1:$GI$145,ROW('KSH järjestus'!BV98),MATCH('KSH järjestus'!BV$3,KOMBI!$A$1:$GI$1,0))</f>
        <v>5.9039999999999999</v>
      </c>
      <c r="BW91" s="25">
        <f t="array" ref="BW91">INDEX(KOMBI!$A$1:$GI$145,ROW('KSH järjestus'!BW98),MATCH('KSH järjestus'!BW$3,KOMBI!$A$1:$GI$1,0))</f>
        <v>2.3993823271229702</v>
      </c>
      <c r="BX91" s="25">
        <f t="array" ref="BX91">INDEX(KOMBI!$A$1:$GI$145,ROW('KSH järjestus'!BX98),MATCH('KSH järjestus'!BX$3,KOMBI!$A$1:$GI$1,0))</f>
        <v>21.945</v>
      </c>
      <c r="BY91" s="25">
        <f t="array" ref="BY91">INDEX(KOMBI!$A$1:$GI$145,ROW('KSH järjestus'!BY98),MATCH('KSH järjestus'!BY$3,KOMBI!$A$1:$GI$1,0))</f>
        <v>37.840916215793229</v>
      </c>
      <c r="BZ91" s="25">
        <f t="array" ref="BZ91">INDEX(KOMBI!$A$1:$GI$145,ROW('KSH järjestus'!BZ98),MATCH('KSH järjestus'!BZ$3,KOMBI!$A$1:$GI$1,0))</f>
        <v>93</v>
      </c>
      <c r="CA91" s="25">
        <f t="array" ref="CA91">INDEX(KOMBI!$A$1:$GI$145,ROW('KSH järjestus'!CA98),MATCH('KSH järjestus'!CA$3,KOMBI!$A$1:$GI$1,0))</f>
        <v>16.338000000000001</v>
      </c>
      <c r="CB91" s="25">
        <f t="array" ref="CB91">INDEX(KOMBI!$A$1:$GI$145,ROW('KSH järjestus'!CB98),MATCH('KSH järjestus'!CB$3,KOMBI!$A$1:$GI$1,0))</f>
        <v>134.98333333333332</v>
      </c>
      <c r="CC91" s="25">
        <f t="array" ref="CC91">INDEX(KOMBI!$A$1:$GI$145,ROW('KSH järjestus'!CC98),MATCH('KSH järjestus'!CC$3,KOMBI!$A$1:$GI$1,0))</f>
        <v>7.2706559999999998</v>
      </c>
      <c r="CD91" s="25">
        <f t="array" ref="CD91">INDEX(KOMBI!$A$1:$GI$145,ROW('KSH järjestus'!CD98),MATCH('KSH järjestus'!CD$3,KOMBI!$A$1:$GI$1,0))</f>
        <v>296.95</v>
      </c>
      <c r="CE91" s="25">
        <f t="array" ref="CE91">INDEX(KOMBI!$A$1:$GI$145,ROW('KSH järjestus'!CE98),MATCH('KSH järjestus'!CE$3,KOMBI!$A$1:$GI$1,0))</f>
        <v>2.8980000000000001</v>
      </c>
      <c r="CF91" s="25">
        <f t="array" ref="CF91">INDEX(KOMBI!$A$1:$GI$145,ROW('KSH järjestus'!CF98),MATCH('KSH järjestus'!CF$3,KOMBI!$A$1:$GI$1,0))</f>
        <v>60.912789653214375</v>
      </c>
      <c r="CG91" s="25">
        <f t="array" ref="CG91">INDEX(KOMBI!$A$1:$GI$145,ROW('KSH järjestus'!CG98),MATCH('KSH järjestus'!CG$3,KOMBI!$A$1:$GI$1,0))</f>
        <v>2.3391437578713474E-2</v>
      </c>
      <c r="CH91" s="25">
        <f t="array" ref="CH91">INDEX(KOMBI!$A$1:$GI$145,ROW('KSH järjestus'!CH98),MATCH('KSH järjestus'!CH$3,KOMBI!$A$1:$GI$1,0))</f>
        <v>0.39841358381950748</v>
      </c>
      <c r="CI91" s="25">
        <f t="array" ref="CI91">INDEX(KOMBI!$A$1:$GI$145,ROW('KSH järjestus'!CI98),MATCH('KSH järjestus'!CI$3,KOMBI!$A$1:$GI$1,0))</f>
        <v>6.08</v>
      </c>
      <c r="CJ91" s="25">
        <f t="array" ref="CJ91">INDEX(KOMBI!$A$1:$GI$145,ROW('KSH järjestus'!CJ98),MATCH('KSH järjestus'!CJ$3,KOMBI!$A$1:$GI$1,0))</f>
        <v>8.5853823271229697</v>
      </c>
      <c r="CK91" s="25">
        <f t="array" ref="CK91">INDEX(KOMBI!$A$1:$GI$145,ROW('KSH järjestus'!CK98),MATCH('KSH järjestus'!CK$3,KOMBI!$A$1:$GI$1,0))</f>
        <v>0.19900000000000001</v>
      </c>
      <c r="CL91" s="25">
        <f t="array" ref="CL91">INDEX(KOMBI!$A$1:$GI$145,ROW('KSH järjestus'!CL98),MATCH('KSH järjestus'!CL$3,KOMBI!$A$1:$GI$1,0))</f>
        <v>0.72299999999999998</v>
      </c>
    </row>
    <row r="92" spans="3:90" x14ac:dyDescent="0.2">
      <c r="C92" s="184">
        <v>89</v>
      </c>
      <c r="G92" s="25">
        <f>RANK(INDEX(KOMBI!$A$11:$GI$145,MATCH('KSH järjestus'!$C92,KOMBI!$A$11:$A$145,0),MATCH('KSH järjestus'!G$3,KOMBI!$A$1:$GI$1,0)),BD$4:BD$138,G$2)</f>
        <v>21</v>
      </c>
      <c r="H92" s="25">
        <f>RANK(INDEX(KOMBI!$A$11:$GI$145,MATCH('KSH järjestus'!$C92,KOMBI!$A$11:$A$145,0),MATCH('KSH järjestus'!H$3,KOMBI!$A$1:$GI$1,0)),BE$4:BE$138,H$2)</f>
        <v>12</v>
      </c>
      <c r="J92" s="25">
        <f>RANK(INDEX(KOMBI!$A$11:$GI$145,MATCH('KSH järjestus'!$C92,KOMBI!$A$11:$A$145,0),MATCH('KSH järjestus'!J$3,KOMBI!$A$1:$GI$1,0)),BG$4:BG$138,J$2)</f>
        <v>8</v>
      </c>
      <c r="M92" s="25">
        <f>RANK(INDEX(KOMBI!$A$11:$GI$145,MATCH('KSH järjestus'!$C92,KOMBI!$A$11:$A$145,0),MATCH('KSH järjestus'!M$3,KOMBI!$A$1:$GI$1,0)),BJ$4:BJ$138,M$2)</f>
        <v>1</v>
      </c>
      <c r="N92" s="25">
        <f>RANK(INDEX(KOMBI!$A$11:$GI$145,MATCH('KSH järjestus'!$C92,KOMBI!$A$11:$A$145,0),MATCH('KSH järjestus'!N$3,KOMBI!$A$1:$GI$1,0)),BK$4:BK$138,N$2)</f>
        <v>121</v>
      </c>
      <c r="O92" s="25">
        <f>RANK(INDEX(KOMBI!$A$11:$GI$145,MATCH('KSH järjestus'!$C92,KOMBI!$A$11:$A$145,0),MATCH('KSH järjestus'!O$3,KOMBI!$A$1:$GI$1,0)),BL$4:BL$138,O$2)</f>
        <v>12</v>
      </c>
      <c r="P92" s="25">
        <f>RANK(INDEX(KOMBI!$A$11:$GI$145,MATCH('KSH järjestus'!$C92,KOMBI!$A$11:$A$145,0),MATCH('KSH järjestus'!P$3,KOMBI!$A$1:$GI$1,0)),BM$4:BM$138,P$2)</f>
        <v>28</v>
      </c>
      <c r="Q92" s="25">
        <f>RANK(INDEX(KOMBI!$A$11:$GI$145,MATCH('KSH järjestus'!$C92,KOMBI!$A$11:$A$145,0),MATCH('KSH järjestus'!Q$3,KOMBI!$A$1:$GI$1,0)),BN$4:BN$138,Q$2)</f>
        <v>19</v>
      </c>
      <c r="R92" s="25">
        <f>RANK(INDEX(KOMBI!$A$11:$GI$145,MATCH('KSH järjestus'!$C92,KOMBI!$A$11:$A$145,0),MATCH('KSH järjestus'!R$3,KOMBI!$A$1:$GI$1,0)),BO$4:BO$138,R$2)</f>
        <v>8</v>
      </c>
      <c r="T92" s="25">
        <f>RANK(INDEX(KOMBI!$A$11:$GI$145,MATCH('KSH järjestus'!$C92,KOMBI!$A$11:$A$145,0),MATCH('KSH järjestus'!T$3,KOMBI!$A$1:$GI$1,0)),BQ$4:BQ$138,T$2)</f>
        <v>107</v>
      </c>
      <c r="U92" s="25">
        <f>RANK(INDEX(KOMBI!$A$11:$GI$145,MATCH('KSH järjestus'!$C92,KOMBI!$A$11:$A$145,0),MATCH('KSH järjestus'!U$3,KOMBI!$A$1:$GI$1,0)),BR$4:BR$138,U$2)</f>
        <v>71</v>
      </c>
      <c r="AA92" s="25">
        <f>RANK(INDEX(KOMBI!$A$11:$GI$145,MATCH('KSH järjestus'!$C92,KOMBI!$A$11:$A$145,0),MATCH('KSH järjestus'!AA$3,KOMBI!$A$1:$GI$1,0)),BX$4:BX$138,AA$2)</f>
        <v>115</v>
      </c>
      <c r="AB92" s="25">
        <f>RANK(INDEX(KOMBI!$A$11:$GI$145,MATCH('KSH järjestus'!$C92,KOMBI!$A$11:$A$145,0),MATCH('KSH järjestus'!AB$3,KOMBI!$A$1:$GI$1,0)),BY$4:BY$138,AB$2)</f>
        <v>112</v>
      </c>
      <c r="AC92" s="25">
        <f>RANK(INDEX(KOMBI!$A$11:$GI$145,MATCH('KSH järjestus'!$C92,KOMBI!$A$11:$A$145,0),MATCH('KSH järjestus'!AC$3,KOMBI!$A$1:$GI$1,0)),BZ$4:BZ$138,AC$2)</f>
        <v>118</v>
      </c>
      <c r="AD92" s="25">
        <f>RANK(INDEX(KOMBI!$A$11:$GI$145,MATCH('KSH järjestus'!$C92,KOMBI!$A$11:$A$145,0),MATCH('KSH järjestus'!AD$3,KOMBI!$A$1:$GI$1,0)),CA$4:CA$138,AD$2)</f>
        <v>118</v>
      </c>
      <c r="AE92" s="25">
        <f>RANK(INDEX(KOMBI!$A$11:$GI$145,MATCH('KSH järjestus'!$C92,KOMBI!$A$11:$A$145,0),MATCH('KSH järjestus'!AE$3,KOMBI!$A$1:$GI$1,0)),CB$4:CB$138,AE$2)</f>
        <v>116</v>
      </c>
      <c r="AG92" s="25">
        <f>RANK(INDEX(KOMBI!$A$11:$GI$145,MATCH('KSH järjestus'!$C92,KOMBI!$A$11:$A$145,0),MATCH('KSH järjestus'!AG$3,KOMBI!$A$1:$GI$1,0)),CD$4:CD$138,AG$2)</f>
        <v>31</v>
      </c>
      <c r="AH92" s="25">
        <f>RANK(INDEX(KOMBI!$A$11:$GI$145,MATCH('KSH järjestus'!$C92,KOMBI!$A$11:$A$145,0),MATCH('KSH järjestus'!AH$3,KOMBI!$A$1:$GI$1,0)),CE$4:CE$138,AH$2)</f>
        <v>61</v>
      </c>
      <c r="AI92" s="25">
        <f>RANK(INDEX(KOMBI!$A$11:$GI$145,MATCH('KSH järjestus'!$C92,KOMBI!$A$11:$A$145,0),MATCH('KSH järjestus'!AI$3,KOMBI!$A$1:$GI$1,0)),CF$4:CF$138,AI$2)</f>
        <v>117</v>
      </c>
      <c r="AJ92" s="25">
        <f>RANK(INDEX(KOMBI!$A$11:$GI$145,MATCH('KSH järjestus'!$C92,KOMBI!$A$11:$A$145,0),MATCH('KSH järjestus'!AJ$3,KOMBI!$A$1:$GI$1,0)),CG$4:CG$138,AJ$2)</f>
        <v>52</v>
      </c>
      <c r="AK92" s="25">
        <f>RANK(INDEX(KOMBI!$A$11:$GI$145,MATCH('KSH järjestus'!$C92,KOMBI!$A$11:$A$145,0),MATCH('KSH järjestus'!AK$3,KOMBI!$A$1:$GI$1,0)),CH$4:CH$138,AK$2)</f>
        <v>82</v>
      </c>
      <c r="AN92" s="25">
        <f>RANK(INDEX(KOMBI!$A$11:$GI$145,MATCH('KSH järjestus'!$C92,KOMBI!$A$11:$A$145,0),MATCH('KSH järjestus'!AN$3,KOMBI!$A$1:$GI$1,0)),CK$4:CK$138,AN$2)</f>
        <v>1</v>
      </c>
      <c r="AO92" s="25">
        <f>RANK(INDEX(KOMBI!$A$11:$GI$145,MATCH('KSH järjestus'!$C92,KOMBI!$A$11:$A$145,0),MATCH('KSH järjestus'!AO$3,KOMBI!$A$1:$GI$1,0)),CL$4:CL$138,AO$2)</f>
        <v>1</v>
      </c>
      <c r="AS92" s="297">
        <f t="shared" si="4"/>
        <v>1332</v>
      </c>
      <c r="AT92" s="25">
        <f t="shared" si="5"/>
        <v>1670</v>
      </c>
      <c r="AU92" s="25">
        <f t="shared" si="6"/>
        <v>43</v>
      </c>
      <c r="AV92" s="295" t="str">
        <f>VLOOKUP(VLOOKUP($AU92,KOMBI!$A:$H,3,FALSE),data!$I$27:$J$29,2,FALSE)</f>
        <v>Sekkuv/EÜ</v>
      </c>
      <c r="AW92" s="295" t="str">
        <f>VLOOKUP(VLOOKUP($AU92,KOMBI!$A:$H,2,FALSE),data!$I$21:$J$23,2,FALSE)</f>
        <v>Mittesekkuv</v>
      </c>
      <c r="AX92" s="295" t="str">
        <f>VLOOKUP(VLOOKUP($AU92,KOMBI!$A:$H,5,FALSE),data!$I$39:$J$41,2,FALSE)</f>
        <v>Mittesekkuv</v>
      </c>
      <c r="AY92" s="295" t="str">
        <f>VLOOKUP(VLOOKUP($AU92,KOMBI!$A:$H,4,FALSE),data!$I$32:$J$36,2,FALSE)</f>
        <v>PK &amp; UG</v>
      </c>
      <c r="BA92" s="25">
        <f t="array" ref="BA92">INDEX(KOMBI!$A$1:$GI$145,ROW('KSH järjestus'!BA99),MATCH('KSH järjestus'!BA$3,KOMBI!$A$1:$GI$1,0))</f>
        <v>5.8379296991401821</v>
      </c>
      <c r="BB92" s="25">
        <f t="array" ref="BB92">INDEX(KOMBI!$A$1:$GI$145,ROW('KSH järjestus'!BB99),MATCH('KSH järjestus'!BB$3,KOMBI!$A$1:$GI$1,0))</f>
        <v>811.32101523488848</v>
      </c>
      <c r="BC92" s="25">
        <f t="array" aca="1" ref="BC92" ca="1">INDEX(KOMBI!$A$1:$GI$145,ROW('KSH järjestus'!BC99),MATCH('KSH järjestus'!BC$3,KOMBI!$A$1:$GI$1,0))</f>
        <v>101.80522961018391</v>
      </c>
      <c r="BD92" s="25">
        <f t="array" ref="BD92">INDEX(KOMBI!$A$1:$GI$145,ROW('KSH järjestus'!BD99),MATCH('KSH järjestus'!BD$3,KOMBI!$A$1:$GI$1,0))</f>
        <v>-162.7344698806321</v>
      </c>
      <c r="BE92" s="25">
        <f t="array" ref="BE92">INDEX(KOMBI!$A$1:$GI$145,ROW('KSH järjestus'!BE99),MATCH('KSH järjestus'!BE$3,KOMBI!$A$1:$GI$1,0))</f>
        <v>264.53969949081602</v>
      </c>
      <c r="BF92" s="25">
        <f t="array" aca="1" ref="BF92" ca="1">INDEX(KOMBI!$A$1:$GI$145,ROW('KSH järjestus'!BF99),MATCH('KSH järjestus'!BF$3,KOMBI!$A$1:$GI$1,0))</f>
        <v>0</v>
      </c>
      <c r="BG92" s="25">
        <f t="array" ref="BG92">INDEX(KOMBI!$A$1:$GI$145,ROW('KSH järjestus'!BG99),MATCH('KSH järjestus'!BG$3,KOMBI!$A$1:$GI$1,0))</f>
        <v>0.29498642228096134</v>
      </c>
      <c r="BH92" s="25">
        <f t="array" ref="BH92">INDEX(KOMBI!$A$1:$GI$145,ROW('KSH järjestus'!BH99),MATCH('KSH järjestus'!BH$3,KOMBI!$A$1:$GI$1,0))</f>
        <v>90</v>
      </c>
      <c r="BI92" s="25">
        <f t="array" ref="BI92">INDEX(KOMBI!$A$1:$GI$145,ROW('KSH järjestus'!BI99),MATCH('KSH järjestus'!BI$3,KOMBI!$A$1:$GI$1,0))</f>
        <v>0.84317482403548605</v>
      </c>
      <c r="BJ92" s="25">
        <f t="array" ref="BJ92">INDEX(KOMBI!$A$1:$GI$145,ROW('KSH järjestus'!BJ99),MATCH('KSH järjestus'!BJ$3,KOMBI!$A$1:$GI$1,0))</f>
        <v>0</v>
      </c>
      <c r="BK92" s="25">
        <f t="array" ref="BK92">INDEX(KOMBI!$A$1:$GI$145,ROW('KSH järjestus'!BK99),MATCH('KSH järjestus'!BK$3,KOMBI!$A$1:$GI$1,0))</f>
        <v>0.25504877132506298</v>
      </c>
      <c r="BL92" s="25">
        <f t="array" ref="BL92">INDEX(KOMBI!$A$1:$GI$145,ROW('KSH järjestus'!BL99),MATCH('KSH järjestus'!BL$3,KOMBI!$A$1:$GI$1,0))</f>
        <v>3.0222091296460092E-2</v>
      </c>
      <c r="BM92" s="25">
        <f t="array" ref="BM92">INDEX(KOMBI!$A$1:$GI$145,ROW('KSH järjestus'!BM99),MATCH('KSH järjestus'!BM$3,KOMBI!$A$1:$GI$1,0))</f>
        <v>6.1543295449683552E-3</v>
      </c>
      <c r="BN92" s="25">
        <f t="array" ref="BN92">INDEX(KOMBI!$A$1:$GI$145,ROW('KSH järjestus'!BN99),MATCH('KSH järjestus'!BN$3,KOMBI!$A$1:$GI$1,0))</f>
        <v>1.0539402670904863E-2</v>
      </c>
      <c r="BO92" s="25">
        <f t="array" ref="BO92">INDEX(KOMBI!$A$1:$GI$145,ROW('KSH järjestus'!BO99),MATCH('KSH järjestus'!BO$3,KOMBI!$A$1:$GI$1,0))</f>
        <v>2.0044151892058625E-2</v>
      </c>
      <c r="BP92" s="25">
        <f t="array" ref="BP92">INDEX(KOMBI!$A$1:$GI$145,ROW('KSH järjestus'!BP99),MATCH('KSH järjestus'!BP$3,KOMBI!$A$1:$GI$1,0))</f>
        <v>7.545989615604916</v>
      </c>
      <c r="BQ92" s="25">
        <f t="array" ref="BQ92">INDEX(KOMBI!$A$1:$GI$145,ROW('KSH järjestus'!BQ99),MATCH('KSH järjestus'!BQ$3,KOMBI!$A$1:$GI$1,0))</f>
        <v>11.339</v>
      </c>
      <c r="BR92" s="25">
        <f t="array" ref="BR92">INDEX(KOMBI!$A$1:$GI$145,ROW('KSH järjestus'!BR99),MATCH('KSH järjestus'!BR$3,KOMBI!$A$1:$GI$1,0))</f>
        <v>-2.3315488130238746E-2</v>
      </c>
      <c r="BS92" s="25">
        <f t="array" ref="BS92">INDEX(KOMBI!$A$1:$GI$145,ROW('KSH järjestus'!BS99),MATCH('KSH järjestus'!BS$3,KOMBI!$A$1:$GI$1,0))</f>
        <v>5.006905652684103E-2</v>
      </c>
      <c r="BT92" s="25">
        <f t="array" ref="BT92">INDEX(KOMBI!$A$1:$GI$145,ROW('KSH järjestus'!BT99),MATCH('KSH järjestus'!BT$3,KOMBI!$A$1:$GI$1,0))</f>
        <v>3.8700187737150796E-2</v>
      </c>
      <c r="BU92" s="25">
        <f t="array" ref="BU92">INDEX(KOMBI!$A$1:$GI$145,ROW('KSH järjestus'!BU99),MATCH('KSH järjestus'!BU$3,KOMBI!$A$1:$GI$1,0))</f>
        <v>11.414289559723789</v>
      </c>
      <c r="BV92" s="25">
        <f t="array" ref="BV92">INDEX(KOMBI!$A$1:$GI$145,ROW('KSH järjestus'!BV99),MATCH('KSH järjestus'!BV$3,KOMBI!$A$1:$GI$1,0))</f>
        <v>5.9039999999999999</v>
      </c>
      <c r="BW92" s="25">
        <f t="array" ref="BW92">INDEX(KOMBI!$A$1:$GI$145,ROW('KSH järjestus'!BW99),MATCH('KSH järjestus'!BW$3,KOMBI!$A$1:$GI$1,0))</f>
        <v>2.7768823271229701</v>
      </c>
      <c r="BX92" s="25">
        <f t="array" ref="BX92">INDEX(KOMBI!$A$1:$GI$145,ROW('KSH järjestus'!BX99),MATCH('KSH järjestus'!BX$3,KOMBI!$A$1:$GI$1,0))</f>
        <v>21.945</v>
      </c>
      <c r="BY92" s="25">
        <f t="array" ref="BY92">INDEX(KOMBI!$A$1:$GI$145,ROW('KSH järjestus'!BY99),MATCH('KSH järjestus'!BY$3,KOMBI!$A$1:$GI$1,0))</f>
        <v>37.840916215793229</v>
      </c>
      <c r="BZ92" s="25">
        <f t="array" ref="BZ92">INDEX(KOMBI!$A$1:$GI$145,ROW('KSH järjestus'!BZ99),MATCH('KSH järjestus'!BZ$3,KOMBI!$A$1:$GI$1,0))</f>
        <v>93.4</v>
      </c>
      <c r="CA92" s="25">
        <f t="array" ref="CA92">INDEX(KOMBI!$A$1:$GI$145,ROW('KSH järjestus'!CA99),MATCH('KSH järjestus'!CA$3,KOMBI!$A$1:$GI$1,0))</f>
        <v>16.427</v>
      </c>
      <c r="CB92" s="25">
        <f t="array" ref="CB92">INDEX(KOMBI!$A$1:$GI$145,ROW('KSH järjestus'!CB99),MATCH('KSH järjestus'!CB$3,KOMBI!$A$1:$GI$1,0))</f>
        <v>135.32361111111112</v>
      </c>
      <c r="CC92" s="25">
        <f t="array" ref="CC92">INDEX(KOMBI!$A$1:$GI$145,ROW('KSH järjestus'!CC99),MATCH('KSH järjestus'!CC$3,KOMBI!$A$1:$GI$1,0))</f>
        <v>7.3039480000000001</v>
      </c>
      <c r="CD92" s="25">
        <f t="array" ref="CD92">INDEX(KOMBI!$A$1:$GI$145,ROW('KSH järjestus'!CD99),MATCH('KSH järjestus'!CD$3,KOMBI!$A$1:$GI$1,0))</f>
        <v>296.95</v>
      </c>
      <c r="CE92" s="25">
        <f t="array" ref="CE92">INDEX(KOMBI!$A$1:$GI$145,ROW('KSH järjestus'!CE99),MATCH('KSH järjestus'!CE$3,KOMBI!$A$1:$GI$1,0))</f>
        <v>2.8980000000000001</v>
      </c>
      <c r="CF92" s="25">
        <f t="array" ref="CF92">INDEX(KOMBI!$A$1:$GI$145,ROW('KSH järjestus'!CF99),MATCH('KSH järjestus'!CF$3,KOMBI!$A$1:$GI$1,0))</f>
        <v>60.912789653214382</v>
      </c>
      <c r="CG92" s="25">
        <f t="array" ref="CG92">INDEX(KOMBI!$A$1:$GI$145,ROW('KSH järjestus'!CG99),MATCH('KSH järjestus'!CG$3,KOMBI!$A$1:$GI$1,0))</f>
        <v>2.3391437578713474E-2</v>
      </c>
      <c r="CH92" s="25">
        <f t="array" ref="CH92">INDEX(KOMBI!$A$1:$GI$145,ROW('KSH järjestus'!CH99),MATCH('KSH järjestus'!CH$3,KOMBI!$A$1:$GI$1,0))</f>
        <v>0.39841358381950748</v>
      </c>
      <c r="CI92" s="25">
        <f t="array" ref="CI92">INDEX(KOMBI!$A$1:$GI$145,ROW('KSH järjestus'!CI99),MATCH('KSH järjestus'!CI$3,KOMBI!$A$1:$GI$1,0))</f>
        <v>6.08</v>
      </c>
      <c r="CJ92" s="25">
        <f t="array" ref="CJ92">INDEX(KOMBI!$A$1:$GI$145,ROW('KSH järjestus'!CJ99),MATCH('KSH järjestus'!CJ$3,KOMBI!$A$1:$GI$1,0))</f>
        <v>8.5853823271229697</v>
      </c>
      <c r="CK92" s="25">
        <f t="array" ref="CK92">INDEX(KOMBI!$A$1:$GI$145,ROW('KSH järjestus'!CK99),MATCH('KSH järjestus'!CK$3,KOMBI!$A$1:$GI$1,0))</f>
        <v>0.19900000000000001</v>
      </c>
      <c r="CL92" s="25">
        <f t="array" ref="CL92">INDEX(KOMBI!$A$1:$GI$145,ROW('KSH järjestus'!CL99),MATCH('KSH järjestus'!CL$3,KOMBI!$A$1:$GI$1,0))</f>
        <v>0.72299999999999998</v>
      </c>
    </row>
    <row r="93" spans="3:90" x14ac:dyDescent="0.2">
      <c r="C93" s="184">
        <v>90</v>
      </c>
      <c r="G93" s="25">
        <f>RANK(INDEX(KOMBI!$A$11:$GI$145,MATCH('KSH järjestus'!$C93,KOMBI!$A$11:$A$145,0),MATCH('KSH järjestus'!G$3,KOMBI!$A$1:$GI$1,0)),BD$4:BD$138,G$2)</f>
        <v>6</v>
      </c>
      <c r="H93" s="25">
        <f>RANK(INDEX(KOMBI!$A$11:$GI$145,MATCH('KSH järjestus'!$C93,KOMBI!$A$11:$A$145,0),MATCH('KSH järjestus'!H$3,KOMBI!$A$1:$GI$1,0)),BE$4:BE$138,H$2)</f>
        <v>6</v>
      </c>
      <c r="J93" s="25">
        <f>RANK(INDEX(KOMBI!$A$11:$GI$145,MATCH('KSH järjestus'!$C93,KOMBI!$A$11:$A$145,0),MATCH('KSH järjestus'!J$3,KOMBI!$A$1:$GI$1,0)),BG$4:BG$138,J$2)</f>
        <v>9</v>
      </c>
      <c r="M93" s="25">
        <f>RANK(INDEX(KOMBI!$A$11:$GI$145,MATCH('KSH järjestus'!$C93,KOMBI!$A$11:$A$145,0),MATCH('KSH järjestus'!M$3,KOMBI!$A$1:$GI$1,0)),BJ$4:BJ$138,M$2)</f>
        <v>1</v>
      </c>
      <c r="N93" s="25">
        <f>RANK(INDEX(KOMBI!$A$11:$GI$145,MATCH('KSH järjestus'!$C93,KOMBI!$A$11:$A$145,0),MATCH('KSH järjestus'!N$3,KOMBI!$A$1:$GI$1,0)),BK$4:BK$138,N$2)</f>
        <v>121</v>
      </c>
      <c r="O93" s="25">
        <f>RANK(INDEX(KOMBI!$A$11:$GI$145,MATCH('KSH järjestus'!$C93,KOMBI!$A$11:$A$145,0),MATCH('KSH järjestus'!O$3,KOMBI!$A$1:$GI$1,0)),BL$4:BL$138,O$2)</f>
        <v>4</v>
      </c>
      <c r="P93" s="25">
        <f>RANK(INDEX(KOMBI!$A$11:$GI$145,MATCH('KSH järjestus'!$C93,KOMBI!$A$11:$A$145,0),MATCH('KSH järjestus'!P$3,KOMBI!$A$1:$GI$1,0)),BM$4:BM$138,P$2)</f>
        <v>27</v>
      </c>
      <c r="Q93" s="25">
        <f>RANK(INDEX(KOMBI!$A$11:$GI$145,MATCH('KSH järjestus'!$C93,KOMBI!$A$11:$A$145,0),MATCH('KSH järjestus'!Q$3,KOMBI!$A$1:$GI$1,0)),BN$4:BN$138,Q$2)</f>
        <v>16</v>
      </c>
      <c r="R93" s="25">
        <f>RANK(INDEX(KOMBI!$A$11:$GI$145,MATCH('KSH järjestus'!$C93,KOMBI!$A$11:$A$145,0),MATCH('KSH järjestus'!R$3,KOMBI!$A$1:$GI$1,0)),BO$4:BO$138,R$2)</f>
        <v>2</v>
      </c>
      <c r="T93" s="25">
        <f>RANK(INDEX(KOMBI!$A$11:$GI$145,MATCH('KSH järjestus'!$C93,KOMBI!$A$11:$A$145,0),MATCH('KSH järjestus'!T$3,KOMBI!$A$1:$GI$1,0)),BQ$4:BQ$138,T$2)</f>
        <v>117</v>
      </c>
      <c r="U93" s="25">
        <f>RANK(INDEX(KOMBI!$A$11:$GI$145,MATCH('KSH järjestus'!$C93,KOMBI!$A$11:$A$145,0),MATCH('KSH järjestus'!U$3,KOMBI!$A$1:$GI$1,0)),BR$4:BR$138,U$2)</f>
        <v>83</v>
      </c>
      <c r="AA93" s="25">
        <f>RANK(INDEX(KOMBI!$A$11:$GI$145,MATCH('KSH järjestus'!$C93,KOMBI!$A$11:$A$145,0),MATCH('KSH järjestus'!AA$3,KOMBI!$A$1:$GI$1,0)),BX$4:BX$138,AA$2)</f>
        <v>115</v>
      </c>
      <c r="AB93" s="25">
        <f>RANK(INDEX(KOMBI!$A$11:$GI$145,MATCH('KSH järjestus'!$C93,KOMBI!$A$11:$A$145,0),MATCH('KSH järjestus'!AB$3,KOMBI!$A$1:$GI$1,0)),BY$4:BY$138,AB$2)</f>
        <v>112</v>
      </c>
      <c r="AC93" s="25">
        <f>RANK(INDEX(KOMBI!$A$11:$GI$145,MATCH('KSH järjestus'!$C93,KOMBI!$A$11:$A$145,0),MATCH('KSH järjestus'!AC$3,KOMBI!$A$1:$GI$1,0)),BZ$4:BZ$138,AC$2)</f>
        <v>120</v>
      </c>
      <c r="AD93" s="25">
        <f>RANK(INDEX(KOMBI!$A$11:$GI$145,MATCH('KSH järjestus'!$C93,KOMBI!$A$11:$A$145,0),MATCH('KSH järjestus'!AD$3,KOMBI!$A$1:$GI$1,0)),CA$4:CA$138,AD$2)</f>
        <v>122</v>
      </c>
      <c r="AE93" s="25">
        <f>RANK(INDEX(KOMBI!$A$11:$GI$145,MATCH('KSH järjestus'!$C93,KOMBI!$A$11:$A$145,0),MATCH('KSH järjestus'!AE$3,KOMBI!$A$1:$GI$1,0)),CB$4:CB$138,AE$2)</f>
        <v>120</v>
      </c>
      <c r="AG93" s="25">
        <f>RANK(INDEX(KOMBI!$A$11:$GI$145,MATCH('KSH järjestus'!$C93,KOMBI!$A$11:$A$145,0),MATCH('KSH järjestus'!AG$3,KOMBI!$A$1:$GI$1,0)),CD$4:CD$138,AG$2)</f>
        <v>31</v>
      </c>
      <c r="AH93" s="25">
        <f>RANK(INDEX(KOMBI!$A$11:$GI$145,MATCH('KSH järjestus'!$C93,KOMBI!$A$11:$A$145,0),MATCH('KSH järjestus'!AH$3,KOMBI!$A$1:$GI$1,0)),CE$4:CE$138,AH$2)</f>
        <v>61</v>
      </c>
      <c r="AI93" s="25">
        <f>RANK(INDEX(KOMBI!$A$11:$GI$145,MATCH('KSH järjestus'!$C93,KOMBI!$A$11:$A$145,0),MATCH('KSH järjestus'!AI$3,KOMBI!$A$1:$GI$1,0)),CF$4:CF$138,AI$2)</f>
        <v>115</v>
      </c>
      <c r="AJ93" s="25">
        <f>RANK(INDEX(KOMBI!$A$11:$GI$145,MATCH('KSH järjestus'!$C93,KOMBI!$A$11:$A$145,0),MATCH('KSH järjestus'!AJ$3,KOMBI!$A$1:$GI$1,0)),CG$4:CG$138,AJ$2)</f>
        <v>52</v>
      </c>
      <c r="AK93" s="25">
        <f>RANK(INDEX(KOMBI!$A$11:$GI$145,MATCH('KSH järjestus'!$C93,KOMBI!$A$11:$A$145,0),MATCH('KSH järjestus'!AK$3,KOMBI!$A$1:$GI$1,0)),CH$4:CH$138,AK$2)</f>
        <v>82</v>
      </c>
      <c r="AN93" s="25">
        <f>RANK(INDEX(KOMBI!$A$11:$GI$145,MATCH('KSH järjestus'!$C93,KOMBI!$A$11:$A$145,0),MATCH('KSH järjestus'!AN$3,KOMBI!$A$1:$GI$1,0)),CK$4:CK$138,AN$2)</f>
        <v>1</v>
      </c>
      <c r="AO93" s="25">
        <f>RANK(INDEX(KOMBI!$A$11:$GI$145,MATCH('KSH järjestus'!$C93,KOMBI!$A$11:$A$145,0),MATCH('KSH järjestus'!AO$3,KOMBI!$A$1:$GI$1,0)),CL$4:CL$138,AO$2)</f>
        <v>1</v>
      </c>
      <c r="AS93" s="297">
        <f t="shared" si="4"/>
        <v>1324</v>
      </c>
      <c r="AT93" s="25">
        <f t="shared" si="5"/>
        <v>1674</v>
      </c>
      <c r="AU93" s="25">
        <f t="shared" si="6"/>
        <v>104</v>
      </c>
      <c r="AV93" s="295" t="str">
        <f>VLOOKUP(VLOOKUP($AU93,KOMBI!$A:$H,3,FALSE),data!$I$27:$J$29,2,FALSE)</f>
        <v>Mittesekkuv</v>
      </c>
      <c r="AW93" s="295" t="str">
        <f>VLOOKUP(VLOOKUP($AU93,KOMBI!$A:$H,2,FALSE),data!$I$21:$J$23,2,FALSE)</f>
        <v>Sekkuv</v>
      </c>
      <c r="AX93" s="295" t="str">
        <f>VLOOKUP(VLOOKUP($AU93,KOMBI!$A:$H,5,FALSE),data!$I$39:$J$41,2,FALSE)</f>
        <v>Vähe-sekkuv</v>
      </c>
      <c r="AY93" s="295" t="str">
        <f>VLOOKUP(VLOOKUP($AU93,KOMBI!$A:$H,4,FALSE),data!$I$32:$J$36,2,FALSE)</f>
        <v>PK &amp; UG</v>
      </c>
      <c r="BA93" s="25">
        <f t="array" ref="BA93">INDEX(KOMBI!$A$1:$GI$145,ROW('KSH järjestus'!BA100),MATCH('KSH järjestus'!BA$3,KOMBI!$A$1:$GI$1,0))</f>
        <v>6.743029421381709</v>
      </c>
      <c r="BB93" s="25">
        <f t="array" ref="BB93">INDEX(KOMBI!$A$1:$GI$145,ROW('KSH järjestus'!BB100),MATCH('KSH järjestus'!BB$3,KOMBI!$A$1:$GI$1,0))</f>
        <v>927.93180625236778</v>
      </c>
      <c r="BC93" s="25">
        <f t="array" aca="1" ref="BC93" ca="1">INDEX(KOMBI!$A$1:$GI$145,ROW('KSH järjestus'!BC100),MATCH('KSH järjestus'!BC$3,KOMBI!$A$1:$GI$1,0))</f>
        <v>118.35964396926883</v>
      </c>
      <c r="BD93" s="25">
        <f t="array" ref="BD93">INDEX(KOMBI!$A$1:$GI$145,ROW('KSH järjestus'!BD100),MATCH('KSH järjestus'!BD$3,KOMBI!$A$1:$GI$1,0))</f>
        <v>-181.84206369909103</v>
      </c>
      <c r="BE93" s="25">
        <f t="array" ref="BE93">INDEX(KOMBI!$A$1:$GI$145,ROW('KSH järjestus'!BE100),MATCH('KSH järjestus'!BE$3,KOMBI!$A$1:$GI$1,0))</f>
        <v>300.20170766835986</v>
      </c>
      <c r="BF93" s="25">
        <f t="array" aca="1" ref="BF93" ca="1">INDEX(KOMBI!$A$1:$GI$145,ROW('KSH järjestus'!BF100),MATCH('KSH järjestus'!BF$3,KOMBI!$A$1:$GI$1,0))</f>
        <v>0</v>
      </c>
      <c r="BG93" s="25">
        <f t="array" ref="BG93">INDEX(KOMBI!$A$1:$GI$145,ROW('KSH järjestus'!BG100),MATCH('KSH järjestus'!BG$3,KOMBI!$A$1:$GI$1,0))</f>
        <v>0.29498642228096139</v>
      </c>
      <c r="BH93" s="25">
        <f t="array" ref="BH93">INDEX(KOMBI!$A$1:$GI$145,ROW('KSH järjestus'!BH100),MATCH('KSH järjestus'!BH$3,KOMBI!$A$1:$GI$1,0))</f>
        <v>90</v>
      </c>
      <c r="BI93" s="25">
        <f t="array" ref="BI93">INDEX(KOMBI!$A$1:$GI$145,ROW('KSH järjestus'!BI100),MATCH('KSH järjestus'!BI$3,KOMBI!$A$1:$GI$1,0))</f>
        <v>0.84317482403548605</v>
      </c>
      <c r="BJ93" s="25">
        <f t="array" ref="BJ93">INDEX(KOMBI!$A$1:$GI$145,ROW('KSH järjestus'!BJ100),MATCH('KSH järjestus'!BJ$3,KOMBI!$A$1:$GI$1,0))</f>
        <v>0</v>
      </c>
      <c r="BK93" s="25">
        <f t="array" ref="BK93">INDEX(KOMBI!$A$1:$GI$145,ROW('KSH järjestus'!BK100),MATCH('KSH järjestus'!BK$3,KOMBI!$A$1:$GI$1,0))</f>
        <v>0.25504877132506298</v>
      </c>
      <c r="BL93" s="25">
        <f t="array" ref="BL93">INDEX(KOMBI!$A$1:$GI$145,ROW('KSH järjestus'!BL100),MATCH('KSH järjestus'!BL$3,KOMBI!$A$1:$GI$1,0))</f>
        <v>3.4873146674706611E-2</v>
      </c>
      <c r="BM93" s="25">
        <f t="array" ref="BM93">INDEX(KOMBI!$A$1:$GI$145,ROW('KSH järjestus'!BM100),MATCH('KSH järjestus'!BM$3,KOMBI!$A$1:$GI$1,0))</f>
        <v>6.167095272009742E-3</v>
      </c>
      <c r="BN93" s="25">
        <f t="array" ref="BN93">INDEX(KOMBI!$A$1:$GI$145,ROW('KSH järjestus'!BN100),MATCH('KSH järjestus'!BN$3,KOMBI!$A$1:$GI$1,0))</f>
        <v>1.1870192506951593E-2</v>
      </c>
      <c r="BO93" s="25">
        <f t="array" ref="BO93">INDEX(KOMBI!$A$1:$GI$145,ROW('KSH järjestus'!BO100),MATCH('KSH järjestus'!BO$3,KOMBI!$A$1:$GI$1,0))</f>
        <v>2.3438015340223477E-2</v>
      </c>
      <c r="BP93" s="25">
        <f t="array" ref="BP93">INDEX(KOMBI!$A$1:$GI$145,ROW('KSH järjestus'!BP100),MATCH('KSH järjestus'!BP$3,KOMBI!$A$1:$GI$1,0))</f>
        <v>7.545989615604916</v>
      </c>
      <c r="BQ93" s="25">
        <f t="array" ref="BQ93">INDEX(KOMBI!$A$1:$GI$145,ROW('KSH järjestus'!BQ100),MATCH('KSH järjestus'!BQ$3,KOMBI!$A$1:$GI$1,0))</f>
        <v>11.563000000000001</v>
      </c>
      <c r="BR93" s="25">
        <f t="array" ref="BR93">INDEX(KOMBI!$A$1:$GI$145,ROW('KSH järjestus'!BR100),MATCH('KSH järjestus'!BR$3,KOMBI!$A$1:$GI$1,0))</f>
        <v>-1.9336000999792845E-2</v>
      </c>
      <c r="BS93" s="25">
        <f t="array" ref="BS93">INDEX(KOMBI!$A$1:$GI$145,ROW('KSH järjestus'!BS100),MATCH('KSH järjestus'!BS$3,KOMBI!$A$1:$GI$1,0))</f>
        <v>5.132821644312948E-2</v>
      </c>
      <c r="BT93" s="25">
        <f t="array" ref="BT93">INDEX(KOMBI!$A$1:$GI$145,ROW('KSH järjestus'!BT100),MATCH('KSH järjestus'!BT$3,KOMBI!$A$1:$GI$1,0))</f>
        <v>4.0160906710377052E-2</v>
      </c>
      <c r="BU93" s="25">
        <f t="array" ref="BU93">INDEX(KOMBI!$A$1:$GI$145,ROW('KSH järjestus'!BU100),MATCH('KSH järjestus'!BU$3,KOMBI!$A$1:$GI$1,0))</f>
        <v>11.414289559723789</v>
      </c>
      <c r="BV93" s="25">
        <f t="array" ref="BV93">INDEX(KOMBI!$A$1:$GI$145,ROW('KSH järjestus'!BV100),MATCH('KSH järjestus'!BV$3,KOMBI!$A$1:$GI$1,0))</f>
        <v>5.9039999999999999</v>
      </c>
      <c r="BW93" s="25">
        <f t="array" ref="BW93">INDEX(KOMBI!$A$1:$GI$145,ROW('KSH järjestus'!BW100),MATCH('KSH järjestus'!BW$3,KOMBI!$A$1:$GI$1,0))</f>
        <v>2.98558232712297</v>
      </c>
      <c r="BX93" s="25">
        <f t="array" ref="BX93">INDEX(KOMBI!$A$1:$GI$145,ROW('KSH järjestus'!BX100),MATCH('KSH järjestus'!BX$3,KOMBI!$A$1:$GI$1,0))</f>
        <v>21.945</v>
      </c>
      <c r="BY93" s="25">
        <f t="array" ref="BY93">INDEX(KOMBI!$A$1:$GI$145,ROW('KSH järjestus'!BY100),MATCH('KSH järjestus'!BY$3,KOMBI!$A$1:$GI$1,0))</f>
        <v>37.840916215793229</v>
      </c>
      <c r="BZ93" s="25">
        <f t="array" ref="BZ93">INDEX(KOMBI!$A$1:$GI$145,ROW('KSH järjestus'!BZ100),MATCH('KSH järjestus'!BZ$3,KOMBI!$A$1:$GI$1,0))</f>
        <v>95</v>
      </c>
      <c r="CA93" s="25">
        <f t="array" ref="CA93">INDEX(KOMBI!$A$1:$GI$145,ROW('KSH järjestus'!CA100),MATCH('KSH järjestus'!CA$3,KOMBI!$A$1:$GI$1,0))</f>
        <v>16.678999999999998</v>
      </c>
      <c r="CB93" s="25">
        <f t="array" ref="CB93">INDEX(KOMBI!$A$1:$GI$145,ROW('KSH järjestus'!CB100),MATCH('KSH järjestus'!CB$3,KOMBI!$A$1:$GI$1,0))</f>
        <v>136.23166666666668</v>
      </c>
      <c r="CC93" s="25">
        <f t="array" ref="CC93">INDEX(KOMBI!$A$1:$GI$145,ROW('KSH järjestus'!CC100),MATCH('KSH järjestus'!CC$3,KOMBI!$A$1:$GI$1,0))</f>
        <v>7.3972930000000003</v>
      </c>
      <c r="CD93" s="25">
        <f t="array" ref="CD93">INDEX(KOMBI!$A$1:$GI$145,ROW('KSH järjestus'!CD100),MATCH('KSH järjestus'!CD$3,KOMBI!$A$1:$GI$1,0))</f>
        <v>296.95</v>
      </c>
      <c r="CE93" s="25">
        <f t="array" ref="CE93">INDEX(KOMBI!$A$1:$GI$145,ROW('KSH järjestus'!CE100),MATCH('KSH järjestus'!CE$3,KOMBI!$A$1:$GI$1,0))</f>
        <v>2.8980000000000001</v>
      </c>
      <c r="CF93" s="25">
        <f t="array" ref="CF93">INDEX(KOMBI!$A$1:$GI$145,ROW('KSH järjestus'!CF100),MATCH('KSH järjestus'!CF$3,KOMBI!$A$1:$GI$1,0))</f>
        <v>60.912789653214375</v>
      </c>
      <c r="CG93" s="25">
        <f t="array" ref="CG93">INDEX(KOMBI!$A$1:$GI$145,ROW('KSH järjestus'!CG100),MATCH('KSH järjestus'!CG$3,KOMBI!$A$1:$GI$1,0))</f>
        <v>2.3391437578713474E-2</v>
      </c>
      <c r="CH93" s="25">
        <f t="array" ref="CH93">INDEX(KOMBI!$A$1:$GI$145,ROW('KSH järjestus'!CH100),MATCH('KSH järjestus'!CH$3,KOMBI!$A$1:$GI$1,0))</f>
        <v>0.39841358381950748</v>
      </c>
      <c r="CI93" s="25">
        <f t="array" ref="CI93">INDEX(KOMBI!$A$1:$GI$145,ROW('KSH järjestus'!CI100),MATCH('KSH järjestus'!CI$3,KOMBI!$A$1:$GI$1,0))</f>
        <v>6.08</v>
      </c>
      <c r="CJ93" s="25">
        <f t="array" ref="CJ93">INDEX(KOMBI!$A$1:$GI$145,ROW('KSH järjestus'!CJ100),MATCH('KSH järjestus'!CJ$3,KOMBI!$A$1:$GI$1,0))</f>
        <v>8.5853823271229697</v>
      </c>
      <c r="CK93" s="25">
        <f t="array" ref="CK93">INDEX(KOMBI!$A$1:$GI$145,ROW('KSH järjestus'!CK100),MATCH('KSH järjestus'!CK$3,KOMBI!$A$1:$GI$1,0))</f>
        <v>0.19900000000000001</v>
      </c>
      <c r="CL93" s="25">
        <f t="array" ref="CL93">INDEX(KOMBI!$A$1:$GI$145,ROW('KSH järjestus'!CL100),MATCH('KSH järjestus'!CL$3,KOMBI!$A$1:$GI$1,0))</f>
        <v>0.72299999999999998</v>
      </c>
    </row>
    <row r="94" spans="3:90" x14ac:dyDescent="0.2">
      <c r="C94" s="184">
        <v>91</v>
      </c>
      <c r="G94" s="25">
        <f>RANK(INDEX(KOMBI!$A$11:$GI$145,MATCH('KSH järjestus'!$C94,KOMBI!$A$11:$A$145,0),MATCH('KSH järjestus'!G$3,KOMBI!$A$1:$GI$1,0)),BD$4:BD$138,G$2)</f>
        <v>101</v>
      </c>
      <c r="H94" s="25">
        <f>RANK(INDEX(KOMBI!$A$11:$GI$145,MATCH('KSH järjestus'!$C94,KOMBI!$A$11:$A$145,0),MATCH('KSH järjestus'!H$3,KOMBI!$A$1:$GI$1,0)),BE$4:BE$138,H$2)</f>
        <v>91</v>
      </c>
      <c r="J94" s="25">
        <f>RANK(INDEX(KOMBI!$A$11:$GI$145,MATCH('KSH järjestus'!$C94,KOMBI!$A$11:$A$145,0),MATCH('KSH järjestus'!J$3,KOMBI!$A$1:$GI$1,0)),BG$4:BG$138,J$2)</f>
        <v>82</v>
      </c>
      <c r="M94" s="25">
        <f>RANK(INDEX(KOMBI!$A$11:$GI$145,MATCH('KSH järjestus'!$C94,KOMBI!$A$11:$A$145,0),MATCH('KSH järjestus'!M$3,KOMBI!$A$1:$GI$1,0)),BJ$4:BJ$138,M$2)</f>
        <v>55</v>
      </c>
      <c r="N94" s="25">
        <f>RANK(INDEX(KOMBI!$A$11:$GI$145,MATCH('KSH järjestus'!$C94,KOMBI!$A$11:$A$145,0),MATCH('KSH järjestus'!N$3,KOMBI!$A$1:$GI$1,0)),BK$4:BK$138,N$2)</f>
        <v>52</v>
      </c>
      <c r="O94" s="25">
        <f>RANK(INDEX(KOMBI!$A$11:$GI$145,MATCH('KSH järjestus'!$C94,KOMBI!$A$11:$A$145,0),MATCH('KSH järjestus'!O$3,KOMBI!$A$1:$GI$1,0)),BL$4:BL$138,O$2)</f>
        <v>111</v>
      </c>
      <c r="P94" s="25">
        <f>RANK(INDEX(KOMBI!$A$11:$GI$145,MATCH('KSH järjestus'!$C94,KOMBI!$A$11:$A$145,0),MATCH('KSH järjestus'!P$3,KOMBI!$A$1:$GI$1,0)),BM$4:BM$138,P$2)</f>
        <v>13</v>
      </c>
      <c r="Q94" s="25">
        <f>RANK(INDEX(KOMBI!$A$11:$GI$145,MATCH('KSH järjestus'!$C94,KOMBI!$A$11:$A$145,0),MATCH('KSH järjestus'!Q$3,KOMBI!$A$1:$GI$1,0)),BN$4:BN$138,Q$2)</f>
        <v>67</v>
      </c>
      <c r="R94" s="25">
        <f>RANK(INDEX(KOMBI!$A$11:$GI$145,MATCH('KSH järjestus'!$C94,KOMBI!$A$11:$A$145,0),MATCH('KSH järjestus'!R$3,KOMBI!$A$1:$GI$1,0)),BO$4:BO$138,R$2)</f>
        <v>128</v>
      </c>
      <c r="T94" s="25">
        <f>RANK(INDEX(KOMBI!$A$11:$GI$145,MATCH('KSH järjestus'!$C94,KOMBI!$A$11:$A$145,0),MATCH('KSH järjestus'!T$3,KOMBI!$A$1:$GI$1,0)),BQ$4:BQ$138,T$2)</f>
        <v>43</v>
      </c>
      <c r="U94" s="25">
        <f>RANK(INDEX(KOMBI!$A$11:$GI$145,MATCH('KSH järjestus'!$C94,KOMBI!$A$11:$A$145,0),MATCH('KSH järjestus'!U$3,KOMBI!$A$1:$GI$1,0)),BR$4:BR$138,U$2)</f>
        <v>50</v>
      </c>
      <c r="AA94" s="25">
        <f>RANK(INDEX(KOMBI!$A$11:$GI$145,MATCH('KSH järjestus'!$C94,KOMBI!$A$11:$A$145,0),MATCH('KSH järjestus'!AA$3,KOMBI!$A$1:$GI$1,0)),BX$4:BX$138,AA$2)</f>
        <v>43</v>
      </c>
      <c r="AB94" s="25">
        <f>RANK(INDEX(KOMBI!$A$11:$GI$145,MATCH('KSH järjestus'!$C94,KOMBI!$A$11:$A$145,0),MATCH('KSH järjestus'!AB$3,KOMBI!$A$1:$GI$1,0)),BY$4:BY$138,AB$2)</f>
        <v>88</v>
      </c>
      <c r="AC94" s="25">
        <f>RANK(INDEX(KOMBI!$A$11:$GI$145,MATCH('KSH järjestus'!$C94,KOMBI!$A$11:$A$145,0),MATCH('KSH järjestus'!AC$3,KOMBI!$A$1:$GI$1,0)),BZ$4:BZ$138,AC$2)</f>
        <v>33</v>
      </c>
      <c r="AD94" s="25">
        <f>RANK(INDEX(KOMBI!$A$11:$GI$145,MATCH('KSH järjestus'!$C94,KOMBI!$A$11:$A$145,0),MATCH('KSH järjestus'!AD$3,KOMBI!$A$1:$GI$1,0)),CA$4:CA$138,AD$2)</f>
        <v>46</v>
      </c>
      <c r="AE94" s="25">
        <f>RANK(INDEX(KOMBI!$A$11:$GI$145,MATCH('KSH järjestus'!$C94,KOMBI!$A$11:$A$145,0),MATCH('KSH järjestus'!AE$3,KOMBI!$A$1:$GI$1,0)),CB$4:CB$138,AE$2)</f>
        <v>52</v>
      </c>
      <c r="AG94" s="25">
        <f>RANK(INDEX(KOMBI!$A$11:$GI$145,MATCH('KSH järjestus'!$C94,KOMBI!$A$11:$A$145,0),MATCH('KSH järjestus'!AG$3,KOMBI!$A$1:$GI$1,0)),CD$4:CD$138,AG$2)</f>
        <v>79</v>
      </c>
      <c r="AH94" s="25">
        <f>RANK(INDEX(KOMBI!$A$11:$GI$145,MATCH('KSH järjestus'!$C94,KOMBI!$A$11:$A$145,0),MATCH('KSH järjestus'!AH$3,KOMBI!$A$1:$GI$1,0)),CE$4:CE$138,AH$2)</f>
        <v>106</v>
      </c>
      <c r="AI94" s="25">
        <f>RANK(INDEX(KOMBI!$A$11:$GI$145,MATCH('KSH järjestus'!$C94,KOMBI!$A$11:$A$145,0),MATCH('KSH järjestus'!AI$3,KOMBI!$A$1:$GI$1,0)),CF$4:CF$138,AI$2)</f>
        <v>58</v>
      </c>
      <c r="AJ94" s="25">
        <f>RANK(INDEX(KOMBI!$A$11:$GI$145,MATCH('KSH järjestus'!$C94,KOMBI!$A$11:$A$145,0),MATCH('KSH järjestus'!AJ$3,KOMBI!$A$1:$GI$1,0)),CG$4:CG$138,AJ$2)</f>
        <v>64</v>
      </c>
      <c r="AK94" s="25">
        <f>RANK(INDEX(KOMBI!$A$11:$GI$145,MATCH('KSH järjestus'!$C94,KOMBI!$A$11:$A$145,0),MATCH('KSH järjestus'!AK$3,KOMBI!$A$1:$GI$1,0)),CH$4:CH$138,AK$2)</f>
        <v>58</v>
      </c>
      <c r="AN94" s="25">
        <f>RANK(INDEX(KOMBI!$A$11:$GI$145,MATCH('KSH järjestus'!$C94,KOMBI!$A$11:$A$145,0),MATCH('KSH järjestus'!AN$3,KOMBI!$A$1:$GI$1,0)),CK$4:CK$138,AN$2)</f>
        <v>91</v>
      </c>
      <c r="AO94" s="25">
        <f>RANK(INDEX(KOMBI!$A$11:$GI$145,MATCH('KSH järjestus'!$C94,KOMBI!$A$11:$A$145,0),MATCH('KSH järjestus'!AO$3,KOMBI!$A$1:$GI$1,0)),CL$4:CL$138,AO$2)</f>
        <v>91</v>
      </c>
      <c r="AS94" s="297">
        <f t="shared" si="4"/>
        <v>1602</v>
      </c>
      <c r="AT94" s="25">
        <f t="shared" si="5"/>
        <v>1675</v>
      </c>
      <c r="AU94" s="25">
        <f t="shared" si="6"/>
        <v>73</v>
      </c>
      <c r="AV94" s="295" t="str">
        <f>VLOOKUP(VLOOKUP($AU94,KOMBI!$A:$H,3,FALSE),data!$I$27:$J$29,2,FALSE)</f>
        <v>Vähe-sekkuv</v>
      </c>
      <c r="AW94" s="295" t="str">
        <f>VLOOKUP(VLOOKUP($AU94,KOMBI!$A:$H,2,FALSE),data!$I$21:$J$23,2,FALSE)</f>
        <v>Vähe-sekkuv</v>
      </c>
      <c r="AX94" s="295" t="str">
        <f>VLOOKUP(VLOOKUP($AU94,KOMBI!$A:$H,5,FALSE),data!$I$39:$J$41,2,FALSE)</f>
        <v>Mittesekkuv</v>
      </c>
      <c r="AY94" s="295" t="str">
        <f>VLOOKUP(VLOOKUP($AU94,KOMBI!$A:$H,4,FALSE),data!$I$32:$J$36,2,FALSE)</f>
        <v>PK &amp; UG</v>
      </c>
      <c r="BA94" s="25">
        <f t="array" ref="BA94">INDEX(KOMBI!$A$1:$GI$145,ROW('KSH järjestus'!BA101),MATCH('KSH järjestus'!BA$3,KOMBI!$A$1:$GI$1,0))</f>
        <v>4.442965665662177</v>
      </c>
      <c r="BB94" s="25">
        <f t="array" ref="BB94">INDEX(KOMBI!$A$1:$GI$145,ROW('KSH järjestus'!BB101),MATCH('KSH järjestus'!BB$3,KOMBI!$A$1:$GI$1,0))</f>
        <v>236.46039502201307</v>
      </c>
      <c r="BC94" s="25">
        <f t="array" aca="1" ref="BC94" ca="1">INDEX(KOMBI!$A$1:$GI$145,ROW('KSH järjestus'!BC101),MATCH('KSH järjestus'!BC$3,KOMBI!$A$1:$GI$1,0))</f>
        <v>87.223004746684978</v>
      </c>
      <c r="BD94" s="25">
        <f t="array" ref="BD94">INDEX(KOMBI!$A$1:$GI$145,ROW('KSH järjestus'!BD101),MATCH('KSH järjestus'!BD$3,KOMBI!$A$1:$GI$1,0))</f>
        <v>-40.537500000000001</v>
      </c>
      <c r="BE94" s="25">
        <f t="array" ref="BE94">INDEX(KOMBI!$A$1:$GI$145,ROW('KSH järjestus'!BE101),MATCH('KSH järjestus'!BE$3,KOMBI!$A$1:$GI$1,0))</f>
        <v>127.76050474668497</v>
      </c>
      <c r="BF94" s="25">
        <f t="array" aca="1" ref="BF94" ca="1">INDEX(KOMBI!$A$1:$GI$145,ROW('KSH järjestus'!BF101),MATCH('KSH järjestus'!BF$3,KOMBI!$A$1:$GI$1,0))</f>
        <v>0</v>
      </c>
      <c r="BG94" s="25">
        <f t="array" ref="BG94">INDEX(KOMBI!$A$1:$GI$145,ROW('KSH järjestus'!BG101),MATCH('KSH järjestus'!BG$3,KOMBI!$A$1:$GI$1,0))</f>
        <v>0.56550366691575049</v>
      </c>
      <c r="BH94" s="25">
        <f t="array" ref="BH94">INDEX(KOMBI!$A$1:$GI$145,ROW('KSH järjestus'!BH101),MATCH('KSH järjestus'!BH$3,KOMBI!$A$1:$GI$1,0))</f>
        <v>90</v>
      </c>
      <c r="BI94" s="25">
        <f t="array" ref="BI94">INDEX(KOMBI!$A$1:$GI$145,ROW('KSH järjestus'!BI101),MATCH('KSH järjestus'!BI$3,KOMBI!$A$1:$GI$1,0))</f>
        <v>1</v>
      </c>
      <c r="BJ94" s="25">
        <f t="array" ref="BJ94">INDEX(KOMBI!$A$1:$GI$145,ROW('KSH järjestus'!BJ101),MATCH('KSH järjestus'!BJ$3,KOMBI!$A$1:$GI$1,0))</f>
        <v>0.27911646586345373</v>
      </c>
      <c r="BK94" s="25">
        <f t="array" ref="BK94">INDEX(KOMBI!$A$1:$GI$145,ROW('KSH järjestus'!BK101),MATCH('KSH järjestus'!BK$3,KOMBI!$A$1:$GI$1,0))</f>
        <v>0.36563130566484103</v>
      </c>
      <c r="BL94" s="25">
        <f t="array" ref="BL94">INDEX(KOMBI!$A$1:$GI$145,ROW('KSH järjestus'!BL101),MATCH('KSH järjestus'!BL$3,KOMBI!$A$1:$GI$1,0))</f>
        <v>9.0777076109825848E-3</v>
      </c>
      <c r="BM94" s="25">
        <f t="array" ref="BM94">INDEX(KOMBI!$A$1:$GI$145,ROW('KSH järjestus'!BM101),MATCH('KSH järjestus'!BM$3,KOMBI!$A$1:$GI$1,0))</f>
        <v>8.3004132122661972E-3</v>
      </c>
      <c r="BN94" s="25">
        <f t="array" ref="BN94">INDEX(KOMBI!$A$1:$GI$145,ROW('KSH järjestus'!BN101),MATCH('KSH järjestus'!BN$3,KOMBI!$A$1:$GI$1,0))</f>
        <v>4.1599634173371813E-3</v>
      </c>
      <c r="BO94" s="25">
        <f t="array" ref="BO94">INDEX(KOMBI!$A$1:$GI$145,ROW('KSH järjestus'!BO101),MATCH('KSH järjestus'!BO$3,KOMBI!$A$1:$GI$1,0))</f>
        <v>4.9794191624419649E-3</v>
      </c>
      <c r="BP94" s="25">
        <f t="array" ref="BP94">INDEX(KOMBI!$A$1:$GI$145,ROW('KSH järjestus'!BP101),MATCH('KSH järjestus'!BP$3,KOMBI!$A$1:$GI$1,0))</f>
        <v>8.5060000000000002</v>
      </c>
      <c r="BQ94" s="25">
        <f t="array" ref="BQ94">INDEX(KOMBI!$A$1:$GI$145,ROW('KSH järjestus'!BQ101),MATCH('KSH järjestus'!BQ$3,KOMBI!$A$1:$GI$1,0))</f>
        <v>10.369</v>
      </c>
      <c r="BR94" s="25">
        <f t="array" ref="BR94">INDEX(KOMBI!$A$1:$GI$145,ROW('KSH järjestus'!BR101),MATCH('KSH järjestus'!BR$3,KOMBI!$A$1:$GI$1,0))</f>
        <v>-3.1286753025420624E-2</v>
      </c>
      <c r="BS94" s="25">
        <f t="array" ref="BS94">INDEX(KOMBI!$A$1:$GI$145,ROW('KSH järjestus'!BS101),MATCH('KSH järjestus'!BS$3,KOMBI!$A$1:$GI$1,0))</f>
        <v>-4.0800981783396348E-2</v>
      </c>
      <c r="BT94" s="25">
        <f t="array" ref="BT94">INDEX(KOMBI!$A$1:$GI$145,ROW('KSH järjestus'!BT101),MATCH('KSH järjestus'!BT$3,KOMBI!$A$1:$GI$1,0))</f>
        <v>-4.9878868907418432E-2</v>
      </c>
      <c r="BU94" s="25">
        <f t="array" ref="BU94">INDEX(KOMBI!$A$1:$GI$145,ROW('KSH järjestus'!BU101),MATCH('KSH järjestus'!BU$3,KOMBI!$A$1:$GI$1,0))</f>
        <v>7.90663031159868</v>
      </c>
      <c r="BV94" s="25">
        <f t="array" ref="BV94">INDEX(KOMBI!$A$1:$GI$145,ROW('KSH järjestus'!BV101),MATCH('KSH järjestus'!BV$3,KOMBI!$A$1:$GI$1,0))</f>
        <v>5.3310000000000004</v>
      </c>
      <c r="BW94" s="25">
        <f t="array" ref="BW94">INDEX(KOMBI!$A$1:$GI$145,ROW('KSH järjestus'!BW101),MATCH('KSH järjestus'!BW$3,KOMBI!$A$1:$GI$1,0))</f>
        <v>1.3428849906373199</v>
      </c>
      <c r="BX94" s="25">
        <f t="array" ref="BX94">INDEX(KOMBI!$A$1:$GI$145,ROW('KSH järjestus'!BX101),MATCH('KSH järjestus'!BX$3,KOMBI!$A$1:$GI$1,0))</f>
        <v>18.081</v>
      </c>
      <c r="BY94" s="25">
        <f t="array" ref="BY94">INDEX(KOMBI!$A$1:$GI$145,ROW('KSH järjestus'!BY101),MATCH('KSH järjestus'!BY$3,KOMBI!$A$1:$GI$1,0))</f>
        <v>12.802496548433506</v>
      </c>
      <c r="BZ94" s="25">
        <f t="array" ref="BZ94">INDEX(KOMBI!$A$1:$GI$145,ROW('KSH järjestus'!BZ101),MATCH('KSH järjestus'!BZ$3,KOMBI!$A$1:$GI$1,0))</f>
        <v>71</v>
      </c>
      <c r="CA94" s="25">
        <f t="array" ref="CA94">INDEX(KOMBI!$A$1:$GI$145,ROW('KSH järjestus'!CA101),MATCH('KSH järjestus'!CA$3,KOMBI!$A$1:$GI$1,0))</f>
        <v>13.724</v>
      </c>
      <c r="CB94" s="25">
        <f t="array" ref="CB94">INDEX(KOMBI!$A$1:$GI$145,ROW('KSH järjestus'!CB101),MATCH('KSH järjestus'!CB$3,KOMBI!$A$1:$GI$1,0))</f>
        <v>61.856388888888887</v>
      </c>
      <c r="CC94" s="25">
        <f t="array" ref="CC94">INDEX(KOMBI!$A$1:$GI$145,ROW('KSH järjestus'!CC101),MATCH('KSH järjestus'!CC$3,KOMBI!$A$1:$GI$1,0))</f>
        <v>4.9477659999999997</v>
      </c>
      <c r="CD94" s="25">
        <f t="array" ref="CD94">INDEX(KOMBI!$A$1:$GI$145,ROW('KSH järjestus'!CD101),MATCH('KSH järjestus'!CD$3,KOMBI!$A$1:$GI$1,0))</f>
        <v>315.49999999999994</v>
      </c>
      <c r="CE94" s="25">
        <f t="array" ref="CE94">INDEX(KOMBI!$A$1:$GI$145,ROW('KSH järjestus'!CE101),MATCH('KSH järjestus'!CE$3,KOMBI!$A$1:$GI$1,0))</f>
        <v>3.0510000000000002</v>
      </c>
      <c r="CF94" s="25">
        <f t="array" ref="CF94">INDEX(KOMBI!$A$1:$GI$145,ROW('KSH järjestus'!CF101),MATCH('KSH järjestus'!CF$3,KOMBI!$A$1:$GI$1,0))</f>
        <v>47.40290051679586</v>
      </c>
      <c r="CG94" s="25">
        <f t="array" ref="CG94">INDEX(KOMBI!$A$1:$GI$145,ROW('KSH järjestus'!CG101),MATCH('KSH järjestus'!CG$3,KOMBI!$A$1:$GI$1,0))</f>
        <v>2.3132392489112068E-2</v>
      </c>
      <c r="CH94" s="25">
        <f t="array" ref="CH94">INDEX(KOMBI!$A$1:$GI$145,ROW('KSH järjestus'!CH101),MATCH('KSH järjestus'!CH$3,KOMBI!$A$1:$GI$1,0))</f>
        <v>0.4418964743705141</v>
      </c>
      <c r="CI94" s="25">
        <f t="array" ref="CI94">INDEX(KOMBI!$A$1:$GI$145,ROW('KSH järjestus'!CI101),MATCH('KSH järjestus'!CI$3,KOMBI!$A$1:$GI$1,0))</f>
        <v>6.78</v>
      </c>
      <c r="CJ94" s="25">
        <f t="array" ref="CJ94">INDEX(KOMBI!$A$1:$GI$145,ROW('KSH järjestus'!CJ101),MATCH('KSH järjestus'!CJ$3,KOMBI!$A$1:$GI$1,0))</f>
        <v>3.9978849906373197</v>
      </c>
      <c r="CK94" s="25">
        <f t="array" ref="CK94">INDEX(KOMBI!$A$1:$GI$145,ROW('KSH järjestus'!CK101),MATCH('KSH järjestus'!CK$3,KOMBI!$A$1:$GI$1,0))</f>
        <v>0.22900000000000001</v>
      </c>
      <c r="CL94" s="25">
        <f t="array" ref="CL94">INDEX(KOMBI!$A$1:$GI$145,ROW('KSH järjestus'!CL101),MATCH('KSH järjestus'!CL$3,KOMBI!$A$1:$GI$1,0))</f>
        <v>0.82899999999999996</v>
      </c>
    </row>
    <row r="95" spans="3:90" x14ac:dyDescent="0.2">
      <c r="C95" s="184">
        <v>92</v>
      </c>
      <c r="G95" s="25">
        <f>RANK(INDEX(KOMBI!$A$11:$GI$145,MATCH('KSH järjestus'!$C95,KOMBI!$A$11:$A$145,0),MATCH('KSH järjestus'!G$3,KOMBI!$A$1:$GI$1,0)),BD$4:BD$138,G$2)</f>
        <v>91</v>
      </c>
      <c r="H95" s="25">
        <f>RANK(INDEX(KOMBI!$A$11:$GI$145,MATCH('KSH järjestus'!$C95,KOMBI!$A$11:$A$145,0),MATCH('KSH järjestus'!H$3,KOMBI!$A$1:$GI$1,0)),BE$4:BE$138,H$2)</f>
        <v>61</v>
      </c>
      <c r="J95" s="25">
        <f>RANK(INDEX(KOMBI!$A$11:$GI$145,MATCH('KSH järjestus'!$C95,KOMBI!$A$11:$A$145,0),MATCH('KSH järjestus'!J$3,KOMBI!$A$1:$GI$1,0)),BG$4:BG$138,J$2)</f>
        <v>51</v>
      </c>
      <c r="M95" s="25">
        <f>RANK(INDEX(KOMBI!$A$11:$GI$145,MATCH('KSH järjestus'!$C95,KOMBI!$A$11:$A$145,0),MATCH('KSH järjestus'!M$3,KOMBI!$A$1:$GI$1,0)),BJ$4:BJ$138,M$2)</f>
        <v>55</v>
      </c>
      <c r="N95" s="25">
        <f>RANK(INDEX(KOMBI!$A$11:$GI$145,MATCH('KSH järjestus'!$C95,KOMBI!$A$11:$A$145,0),MATCH('KSH järjestus'!N$3,KOMBI!$A$1:$GI$1,0)),BK$4:BK$138,N$2)</f>
        <v>52</v>
      </c>
      <c r="O95" s="25">
        <f>RANK(INDEX(KOMBI!$A$11:$GI$145,MATCH('KSH järjestus'!$C95,KOMBI!$A$11:$A$145,0),MATCH('KSH järjestus'!O$3,KOMBI!$A$1:$GI$1,0)),BL$4:BL$138,O$2)</f>
        <v>73</v>
      </c>
      <c r="P95" s="25">
        <f>RANK(INDEX(KOMBI!$A$11:$GI$145,MATCH('KSH järjestus'!$C95,KOMBI!$A$11:$A$145,0),MATCH('KSH järjestus'!P$3,KOMBI!$A$1:$GI$1,0)),BM$4:BM$138,P$2)</f>
        <v>32</v>
      </c>
      <c r="Q95" s="25">
        <f>RANK(INDEX(KOMBI!$A$11:$GI$145,MATCH('KSH järjestus'!$C95,KOMBI!$A$11:$A$145,0),MATCH('KSH järjestus'!Q$3,KOMBI!$A$1:$GI$1,0)),BN$4:BN$138,Q$2)</f>
        <v>39</v>
      </c>
      <c r="R95" s="25">
        <f>RANK(INDEX(KOMBI!$A$11:$GI$145,MATCH('KSH järjestus'!$C95,KOMBI!$A$11:$A$145,0),MATCH('KSH järjestus'!R$3,KOMBI!$A$1:$GI$1,0)),BO$4:BO$138,R$2)</f>
        <v>103</v>
      </c>
      <c r="T95" s="25">
        <f>RANK(INDEX(KOMBI!$A$11:$GI$145,MATCH('KSH järjestus'!$C95,KOMBI!$A$11:$A$145,0),MATCH('KSH järjestus'!T$3,KOMBI!$A$1:$GI$1,0)),BQ$4:BQ$138,T$2)</f>
        <v>52</v>
      </c>
      <c r="U95" s="25">
        <f>RANK(INDEX(KOMBI!$A$11:$GI$145,MATCH('KSH järjestus'!$C95,KOMBI!$A$11:$A$145,0),MATCH('KSH järjestus'!U$3,KOMBI!$A$1:$GI$1,0)),BR$4:BR$138,U$2)</f>
        <v>63</v>
      </c>
      <c r="AA95" s="25">
        <f>RANK(INDEX(KOMBI!$A$11:$GI$145,MATCH('KSH järjestus'!$C95,KOMBI!$A$11:$A$145,0),MATCH('KSH järjestus'!AA$3,KOMBI!$A$1:$GI$1,0)),BX$4:BX$138,AA$2)</f>
        <v>43</v>
      </c>
      <c r="AB95" s="25">
        <f>RANK(INDEX(KOMBI!$A$11:$GI$145,MATCH('KSH järjestus'!$C95,KOMBI!$A$11:$A$145,0),MATCH('KSH järjestus'!AB$3,KOMBI!$A$1:$GI$1,0)),BY$4:BY$138,AB$2)</f>
        <v>88</v>
      </c>
      <c r="AC95" s="25">
        <f>RANK(INDEX(KOMBI!$A$11:$GI$145,MATCH('KSH järjestus'!$C95,KOMBI!$A$11:$A$145,0),MATCH('KSH järjestus'!AC$3,KOMBI!$A$1:$GI$1,0)),BZ$4:BZ$138,AC$2)</f>
        <v>38</v>
      </c>
      <c r="AD95" s="25">
        <f>RANK(INDEX(KOMBI!$A$11:$GI$145,MATCH('KSH järjestus'!$C95,KOMBI!$A$11:$A$145,0),MATCH('KSH järjestus'!AD$3,KOMBI!$A$1:$GI$1,0)),CA$4:CA$138,AD$2)</f>
        <v>52</v>
      </c>
      <c r="AE95" s="25">
        <f>RANK(INDEX(KOMBI!$A$11:$GI$145,MATCH('KSH järjestus'!$C95,KOMBI!$A$11:$A$145,0),MATCH('KSH järjestus'!AE$3,KOMBI!$A$1:$GI$1,0)),CB$4:CB$138,AE$2)</f>
        <v>55</v>
      </c>
      <c r="AG95" s="25">
        <f>RANK(INDEX(KOMBI!$A$11:$GI$145,MATCH('KSH järjestus'!$C95,KOMBI!$A$11:$A$145,0),MATCH('KSH järjestus'!AG$3,KOMBI!$A$1:$GI$1,0)),CD$4:CD$138,AG$2)</f>
        <v>79</v>
      </c>
      <c r="AH95" s="25">
        <f>RANK(INDEX(KOMBI!$A$11:$GI$145,MATCH('KSH järjestus'!$C95,KOMBI!$A$11:$A$145,0),MATCH('KSH järjestus'!AH$3,KOMBI!$A$1:$GI$1,0)),CE$4:CE$138,AH$2)</f>
        <v>106</v>
      </c>
      <c r="AI95" s="25">
        <f>RANK(INDEX(KOMBI!$A$11:$GI$145,MATCH('KSH järjestus'!$C95,KOMBI!$A$11:$A$145,0),MATCH('KSH järjestus'!AI$3,KOMBI!$A$1:$GI$1,0)),CF$4:CF$138,AI$2)</f>
        <v>58</v>
      </c>
      <c r="AJ95" s="25">
        <f>RANK(INDEX(KOMBI!$A$11:$GI$145,MATCH('KSH järjestus'!$C95,KOMBI!$A$11:$A$145,0),MATCH('KSH järjestus'!AJ$3,KOMBI!$A$1:$GI$1,0)),CG$4:CG$138,AJ$2)</f>
        <v>64</v>
      </c>
      <c r="AK95" s="25">
        <f>RANK(INDEX(KOMBI!$A$11:$GI$145,MATCH('KSH järjestus'!$C95,KOMBI!$A$11:$A$145,0),MATCH('KSH järjestus'!AK$3,KOMBI!$A$1:$GI$1,0)),CH$4:CH$138,AK$2)</f>
        <v>58</v>
      </c>
      <c r="AN95" s="25">
        <f>RANK(INDEX(KOMBI!$A$11:$GI$145,MATCH('KSH järjestus'!$C95,KOMBI!$A$11:$A$145,0),MATCH('KSH järjestus'!AN$3,KOMBI!$A$1:$GI$1,0)),CK$4:CK$138,AN$2)</f>
        <v>91</v>
      </c>
      <c r="AO95" s="25">
        <f>RANK(INDEX(KOMBI!$A$11:$GI$145,MATCH('KSH järjestus'!$C95,KOMBI!$A$11:$A$145,0),MATCH('KSH järjestus'!AO$3,KOMBI!$A$1:$GI$1,0)),CL$4:CL$138,AO$2)</f>
        <v>91</v>
      </c>
      <c r="AS95" s="297">
        <f t="shared" si="4"/>
        <v>1495</v>
      </c>
      <c r="AT95" s="25">
        <f t="shared" si="5"/>
        <v>1706</v>
      </c>
      <c r="AU95" s="25">
        <f t="shared" si="6"/>
        <v>54</v>
      </c>
      <c r="AV95" s="295" t="str">
        <f>VLOOKUP(VLOOKUP($AU95,KOMBI!$A:$H,3,FALSE),data!$I$27:$J$29,2,FALSE)</f>
        <v>Mittesekkuv</v>
      </c>
      <c r="AW95" s="295" t="str">
        <f>VLOOKUP(VLOOKUP($AU95,KOMBI!$A:$H,2,FALSE),data!$I$21:$J$23,2,FALSE)</f>
        <v>Vähe-sekkuv</v>
      </c>
      <c r="AX95" s="295" t="str">
        <f>VLOOKUP(VLOOKUP($AU95,KOMBI!$A:$H,5,FALSE),data!$I$39:$J$41,2,FALSE)</f>
        <v>Sekkuv</v>
      </c>
      <c r="AY95" s="295" t="str">
        <f>VLOOKUP(VLOOKUP($AU95,KOMBI!$A:$H,4,FALSE),data!$I$32:$J$36,2,FALSE)</f>
        <v>TE</v>
      </c>
      <c r="BA95" s="25">
        <f t="array" ref="BA95">INDEX(KOMBI!$A$1:$GI$145,ROW('KSH järjestus'!BA102),MATCH('KSH järjestus'!BA$3,KOMBI!$A$1:$GI$1,0))</f>
        <v>5.3588773143080184</v>
      </c>
      <c r="BB95" s="25">
        <f t="array" ref="BB95">INDEX(KOMBI!$A$1:$GI$145,ROW('KSH järjestus'!BB102),MATCH('KSH järjestus'!BB$3,KOMBI!$A$1:$GI$1,0))</f>
        <v>396.94042729127631</v>
      </c>
      <c r="BC95" s="25">
        <f t="array" aca="1" ref="BC95" ca="1">INDEX(KOMBI!$A$1:$GI$145,ROW('KSH järjestus'!BC102),MATCH('KSH järjestus'!BC$3,KOMBI!$A$1:$GI$1,0))</f>
        <v>116.38832677522007</v>
      </c>
      <c r="BD95" s="25">
        <f t="array" ref="BD95">INDEX(KOMBI!$A$1:$GI$145,ROW('KSH järjestus'!BD102),MATCH('KSH järjestus'!BD$3,KOMBI!$A$1:$GI$1,0))</f>
        <v>-55.7707198806321</v>
      </c>
      <c r="BE95" s="25">
        <f t="array" ref="BE95">INDEX(KOMBI!$A$1:$GI$145,ROW('KSH järjestus'!BE102),MATCH('KSH järjestus'!BE$3,KOMBI!$A$1:$GI$1,0))</f>
        <v>172.15904665585217</v>
      </c>
      <c r="BF95" s="25">
        <f t="array" aca="1" ref="BF95" ca="1">INDEX(KOMBI!$A$1:$GI$145,ROW('KSH järjestus'!BF102),MATCH('KSH järjestus'!BF$3,KOMBI!$A$1:$GI$1,0))</f>
        <v>0</v>
      </c>
      <c r="BG95" s="25">
        <f t="array" ref="BG95">INDEX(KOMBI!$A$1:$GI$145,ROW('KSH järjestus'!BG102),MATCH('KSH järjestus'!BG$3,KOMBI!$A$1:$GI$1,0))</f>
        <v>0.52073880263271421</v>
      </c>
      <c r="BH95" s="25">
        <f t="array" ref="BH95">INDEX(KOMBI!$A$1:$GI$145,ROW('KSH järjestus'!BH102),MATCH('KSH järjestus'!BH$3,KOMBI!$A$1:$GI$1,0))</f>
        <v>90</v>
      </c>
      <c r="BI95" s="25">
        <f t="array" ref="BI95">INDEX(KOMBI!$A$1:$GI$145,ROW('KSH järjestus'!BI102),MATCH('KSH järjestus'!BI$3,KOMBI!$A$1:$GI$1,0))</f>
        <v>0.72887234460741657</v>
      </c>
      <c r="BJ95" s="25">
        <f t="array" ref="BJ95">INDEX(KOMBI!$A$1:$GI$145,ROW('KSH järjestus'!BJ102),MATCH('KSH järjestus'!BJ$3,KOMBI!$A$1:$GI$1,0))</f>
        <v>0.27911646586345373</v>
      </c>
      <c r="BK95" s="25">
        <f t="array" ref="BK95">INDEX(KOMBI!$A$1:$GI$145,ROW('KSH järjestus'!BK102),MATCH('KSH järjestus'!BK$3,KOMBI!$A$1:$GI$1,0))</f>
        <v>0.36563130566484103</v>
      </c>
      <c r="BL95" s="25">
        <f t="array" ref="BL95">INDEX(KOMBI!$A$1:$GI$145,ROW('KSH järjestus'!BL102),MATCH('KSH järjestus'!BL$3,KOMBI!$A$1:$GI$1,0))</f>
        <v>1.5360100697404913E-2</v>
      </c>
      <c r="BM95" s="25">
        <f t="array" ref="BM95">INDEX(KOMBI!$A$1:$GI$145,ROW('KSH järjestus'!BM102),MATCH('KSH järjestus'!BM$3,KOMBI!$A$1:$GI$1,0))</f>
        <v>5.6073603628505834E-3</v>
      </c>
      <c r="BN95" s="25">
        <f t="array" ref="BN95">INDEX(KOMBI!$A$1:$GI$145,ROW('KSH järjestus'!BN102),MATCH('KSH järjestus'!BN$3,KOMBI!$A$1:$GI$1,0))</f>
        <v>6.6528332786950084E-3</v>
      </c>
      <c r="BO95" s="25">
        <f t="array" ref="BO95">INDEX(KOMBI!$A$1:$GI$145,ROW('KSH järjestus'!BO102),MATCH('KSH järjestus'!BO$3,KOMBI!$A$1:$GI$1,0))</f>
        <v>8.8043057063187935E-3</v>
      </c>
      <c r="BP95" s="25">
        <f t="array" ref="BP95">INDEX(KOMBI!$A$1:$GI$145,ROW('KSH järjestus'!BP102),MATCH('KSH järjestus'!BP$3,KOMBI!$A$1:$GI$1,0))</f>
        <v>8.5060000000000002</v>
      </c>
      <c r="BQ95" s="25">
        <f t="array" ref="BQ95">INDEX(KOMBI!$A$1:$GI$145,ROW('KSH järjestus'!BQ102),MATCH('KSH järjestus'!BQ$3,KOMBI!$A$1:$GI$1,0))</f>
        <v>10.46</v>
      </c>
      <c r="BR95" s="25">
        <f t="array" ref="BR95">INDEX(KOMBI!$A$1:$GI$145,ROW('KSH järjestus'!BR102),MATCH('KSH järjestus'!BR$3,KOMBI!$A$1:$GI$1,0))</f>
        <v>-2.7052954014155903E-2</v>
      </c>
      <c r="BS95" s="25">
        <f t="array" ref="BS95">INDEX(KOMBI!$A$1:$GI$145,ROW('KSH järjestus'!BS102),MATCH('KSH järjestus'!BS$3,KOMBI!$A$1:$GI$1,0))</f>
        <v>-3.946736956376079E-2</v>
      </c>
      <c r="BT95" s="25">
        <f t="array" ref="BT95">INDEX(KOMBI!$A$1:$GI$145,ROW('KSH järjestus'!BT102),MATCH('KSH järjestus'!BT$3,KOMBI!$A$1:$GI$1,0))</f>
        <v>-4.8779906108024476E-2</v>
      </c>
      <c r="BU95" s="25">
        <f t="array" ref="BU95">INDEX(KOMBI!$A$1:$GI$145,ROW('KSH järjestus'!BU102),MATCH('KSH järjestus'!BU$3,KOMBI!$A$1:$GI$1,0))</f>
        <v>7.90663031159868</v>
      </c>
      <c r="BV95" s="25">
        <f t="array" ref="BV95">INDEX(KOMBI!$A$1:$GI$145,ROW('KSH järjestus'!BV102),MATCH('KSH järjestus'!BV$3,KOMBI!$A$1:$GI$1,0))</f>
        <v>5.3310000000000004</v>
      </c>
      <c r="BW95" s="25">
        <f t="array" ref="BW95">INDEX(KOMBI!$A$1:$GI$145,ROW('KSH järjestus'!BW102),MATCH('KSH järjestus'!BW$3,KOMBI!$A$1:$GI$1,0))</f>
        <v>1.7203849906373201</v>
      </c>
      <c r="BX95" s="25">
        <f t="array" ref="BX95">INDEX(KOMBI!$A$1:$GI$145,ROW('KSH järjestus'!BX102),MATCH('KSH järjestus'!BX$3,KOMBI!$A$1:$GI$1,0))</f>
        <v>18.081</v>
      </c>
      <c r="BY95" s="25">
        <f t="array" ref="BY95">INDEX(KOMBI!$A$1:$GI$145,ROW('KSH järjestus'!BY102),MATCH('KSH järjestus'!BY$3,KOMBI!$A$1:$GI$1,0))</f>
        <v>12.802496548433506</v>
      </c>
      <c r="BZ95" s="25">
        <f t="array" ref="BZ95">INDEX(KOMBI!$A$1:$GI$145,ROW('KSH järjestus'!BZ102),MATCH('KSH järjestus'!BZ$3,KOMBI!$A$1:$GI$1,0))</f>
        <v>71.400000000000006</v>
      </c>
      <c r="CA95" s="25">
        <f t="array" ref="CA95">INDEX(KOMBI!$A$1:$GI$145,ROW('KSH järjestus'!CA102),MATCH('KSH järjestus'!CA$3,KOMBI!$A$1:$GI$1,0))</f>
        <v>13.813000000000001</v>
      </c>
      <c r="CB95" s="25">
        <f t="array" ref="CB95">INDEX(KOMBI!$A$1:$GI$145,ROW('KSH järjestus'!CB102),MATCH('KSH järjestus'!CB$3,KOMBI!$A$1:$GI$1,0))</f>
        <v>62.196666666666658</v>
      </c>
      <c r="CC95" s="25">
        <f t="array" ref="CC95">INDEX(KOMBI!$A$1:$GI$145,ROW('KSH järjestus'!CC102),MATCH('KSH järjestus'!CC$3,KOMBI!$A$1:$GI$1,0))</f>
        <v>4.981058</v>
      </c>
      <c r="CD95" s="25">
        <f t="array" ref="CD95">INDEX(KOMBI!$A$1:$GI$145,ROW('KSH järjestus'!CD102),MATCH('KSH järjestus'!CD$3,KOMBI!$A$1:$GI$1,0))</f>
        <v>315.49999999999994</v>
      </c>
      <c r="CE95" s="25">
        <f t="array" ref="CE95">INDEX(KOMBI!$A$1:$GI$145,ROW('KSH järjestus'!CE102),MATCH('KSH järjestus'!CE$3,KOMBI!$A$1:$GI$1,0))</f>
        <v>3.0510000000000002</v>
      </c>
      <c r="CF95" s="25">
        <f t="array" ref="CF95">INDEX(KOMBI!$A$1:$GI$145,ROW('KSH järjestus'!CF102),MATCH('KSH järjestus'!CF$3,KOMBI!$A$1:$GI$1,0))</f>
        <v>47.40290051679586</v>
      </c>
      <c r="CG95" s="25">
        <f t="array" ref="CG95">INDEX(KOMBI!$A$1:$GI$145,ROW('KSH järjestus'!CG102),MATCH('KSH järjestus'!CG$3,KOMBI!$A$1:$GI$1,0))</f>
        <v>2.3132392489112068E-2</v>
      </c>
      <c r="CH95" s="25">
        <f t="array" ref="CH95">INDEX(KOMBI!$A$1:$GI$145,ROW('KSH järjestus'!CH102),MATCH('KSH järjestus'!CH$3,KOMBI!$A$1:$GI$1,0))</f>
        <v>0.4418964743705141</v>
      </c>
      <c r="CI95" s="25">
        <f t="array" ref="CI95">INDEX(KOMBI!$A$1:$GI$145,ROW('KSH järjestus'!CI102),MATCH('KSH järjestus'!CI$3,KOMBI!$A$1:$GI$1,0))</f>
        <v>6.78</v>
      </c>
      <c r="CJ95" s="25">
        <f t="array" ref="CJ95">INDEX(KOMBI!$A$1:$GI$145,ROW('KSH järjestus'!CJ102),MATCH('KSH järjestus'!CJ$3,KOMBI!$A$1:$GI$1,0))</f>
        <v>3.9978849906373197</v>
      </c>
      <c r="CK95" s="25">
        <f t="array" ref="CK95">INDEX(KOMBI!$A$1:$GI$145,ROW('KSH järjestus'!CK102),MATCH('KSH järjestus'!CK$3,KOMBI!$A$1:$GI$1,0))</f>
        <v>0.22900000000000001</v>
      </c>
      <c r="CL95" s="25">
        <f t="array" ref="CL95">INDEX(KOMBI!$A$1:$GI$145,ROW('KSH järjestus'!CL102),MATCH('KSH järjestus'!CL$3,KOMBI!$A$1:$GI$1,0))</f>
        <v>0.82899999999999996</v>
      </c>
    </row>
    <row r="96" spans="3:90" x14ac:dyDescent="0.2">
      <c r="C96" s="184">
        <v>93</v>
      </c>
      <c r="G96" s="25">
        <f>RANK(INDEX(KOMBI!$A$11:$GI$145,MATCH('KSH järjestus'!$C96,KOMBI!$A$11:$A$145,0),MATCH('KSH järjestus'!G$3,KOMBI!$A$1:$GI$1,0)),BD$4:BD$138,G$2)</f>
        <v>71</v>
      </c>
      <c r="H96" s="25">
        <f>RANK(INDEX(KOMBI!$A$11:$GI$145,MATCH('KSH järjestus'!$C96,KOMBI!$A$11:$A$145,0),MATCH('KSH järjestus'!H$3,KOMBI!$A$1:$GI$1,0)),BE$4:BE$138,H$2)</f>
        <v>38</v>
      </c>
      <c r="J96" s="25">
        <f>RANK(INDEX(KOMBI!$A$11:$GI$145,MATCH('KSH järjestus'!$C96,KOMBI!$A$11:$A$145,0),MATCH('KSH järjestus'!J$3,KOMBI!$A$1:$GI$1,0)),BG$4:BG$138,J$2)</f>
        <v>51</v>
      </c>
      <c r="M96" s="25">
        <f>RANK(INDEX(KOMBI!$A$11:$GI$145,MATCH('KSH järjestus'!$C96,KOMBI!$A$11:$A$145,0),MATCH('KSH järjestus'!M$3,KOMBI!$A$1:$GI$1,0)),BJ$4:BJ$138,M$2)</f>
        <v>55</v>
      </c>
      <c r="N96" s="25">
        <f>RANK(INDEX(KOMBI!$A$11:$GI$145,MATCH('KSH järjestus'!$C96,KOMBI!$A$11:$A$145,0),MATCH('KSH järjestus'!N$3,KOMBI!$A$1:$GI$1,0)),BK$4:BK$138,N$2)</f>
        <v>52</v>
      </c>
      <c r="O96" s="25">
        <f>RANK(INDEX(KOMBI!$A$11:$GI$145,MATCH('KSH järjestus'!$C96,KOMBI!$A$11:$A$145,0),MATCH('KSH järjestus'!O$3,KOMBI!$A$1:$GI$1,0)),BL$4:BL$138,O$2)</f>
        <v>42</v>
      </c>
      <c r="P96" s="25">
        <f>RANK(INDEX(KOMBI!$A$11:$GI$145,MATCH('KSH järjestus'!$C96,KOMBI!$A$11:$A$145,0),MATCH('KSH järjestus'!P$3,KOMBI!$A$1:$GI$1,0)),BM$4:BM$138,P$2)</f>
        <v>31</v>
      </c>
      <c r="Q96" s="25">
        <f>RANK(INDEX(KOMBI!$A$11:$GI$145,MATCH('KSH järjestus'!$C96,KOMBI!$A$11:$A$145,0),MATCH('KSH järjestus'!Q$3,KOMBI!$A$1:$GI$1,0)),BN$4:BN$138,Q$2)</f>
        <v>31</v>
      </c>
      <c r="R96" s="25">
        <f>RANK(INDEX(KOMBI!$A$11:$GI$145,MATCH('KSH järjestus'!$C96,KOMBI!$A$11:$A$145,0),MATCH('KSH järjestus'!R$3,KOMBI!$A$1:$GI$1,0)),BO$4:BO$138,R$2)</f>
        <v>66</v>
      </c>
      <c r="T96" s="25">
        <f>RANK(INDEX(KOMBI!$A$11:$GI$145,MATCH('KSH järjestus'!$C96,KOMBI!$A$11:$A$145,0),MATCH('KSH järjestus'!T$3,KOMBI!$A$1:$GI$1,0)),BQ$4:BQ$138,T$2)</f>
        <v>64</v>
      </c>
      <c r="U96" s="25">
        <f>RANK(INDEX(KOMBI!$A$11:$GI$145,MATCH('KSH järjestus'!$C96,KOMBI!$A$11:$A$145,0),MATCH('KSH järjestus'!U$3,KOMBI!$A$1:$GI$1,0)),BR$4:BR$138,U$2)</f>
        <v>72</v>
      </c>
      <c r="AA96" s="25">
        <f>RANK(INDEX(KOMBI!$A$11:$GI$145,MATCH('KSH järjestus'!$C96,KOMBI!$A$11:$A$145,0),MATCH('KSH järjestus'!AA$3,KOMBI!$A$1:$GI$1,0)),BX$4:BX$138,AA$2)</f>
        <v>43</v>
      </c>
      <c r="AB96" s="25">
        <f>RANK(INDEX(KOMBI!$A$11:$GI$145,MATCH('KSH järjestus'!$C96,KOMBI!$A$11:$A$145,0),MATCH('KSH järjestus'!AB$3,KOMBI!$A$1:$GI$1,0)),BY$4:BY$138,AB$2)</f>
        <v>88</v>
      </c>
      <c r="AC96" s="25">
        <f>RANK(INDEX(KOMBI!$A$11:$GI$145,MATCH('KSH järjestus'!$C96,KOMBI!$A$11:$A$145,0),MATCH('KSH järjestus'!AC$3,KOMBI!$A$1:$GI$1,0)),BZ$4:BZ$138,AC$2)</f>
        <v>43</v>
      </c>
      <c r="AD96" s="25">
        <f>RANK(INDEX(KOMBI!$A$11:$GI$145,MATCH('KSH järjestus'!$C96,KOMBI!$A$11:$A$145,0),MATCH('KSH järjestus'!AD$3,KOMBI!$A$1:$GI$1,0)),CA$4:CA$138,AD$2)</f>
        <v>61</v>
      </c>
      <c r="AE96" s="25">
        <f>RANK(INDEX(KOMBI!$A$11:$GI$145,MATCH('KSH järjestus'!$C96,KOMBI!$A$11:$A$145,0),MATCH('KSH järjestus'!AE$3,KOMBI!$A$1:$GI$1,0)),CB$4:CB$138,AE$2)</f>
        <v>67</v>
      </c>
      <c r="AG96" s="25">
        <f>RANK(INDEX(KOMBI!$A$11:$GI$145,MATCH('KSH järjestus'!$C96,KOMBI!$A$11:$A$145,0),MATCH('KSH järjestus'!AG$3,KOMBI!$A$1:$GI$1,0)),CD$4:CD$138,AG$2)</f>
        <v>79</v>
      </c>
      <c r="AH96" s="25">
        <f>RANK(INDEX(KOMBI!$A$11:$GI$145,MATCH('KSH järjestus'!$C96,KOMBI!$A$11:$A$145,0),MATCH('KSH järjestus'!AH$3,KOMBI!$A$1:$GI$1,0)),CE$4:CE$138,AH$2)</f>
        <v>106</v>
      </c>
      <c r="AI96" s="25">
        <f>RANK(INDEX(KOMBI!$A$11:$GI$145,MATCH('KSH järjestus'!$C96,KOMBI!$A$11:$A$145,0),MATCH('KSH järjestus'!AI$3,KOMBI!$A$1:$GI$1,0)),CF$4:CF$138,AI$2)</f>
        <v>58</v>
      </c>
      <c r="AJ96" s="25">
        <f>RANK(INDEX(KOMBI!$A$11:$GI$145,MATCH('KSH järjestus'!$C96,KOMBI!$A$11:$A$145,0),MATCH('KSH järjestus'!AJ$3,KOMBI!$A$1:$GI$1,0)),CG$4:CG$138,AJ$2)</f>
        <v>64</v>
      </c>
      <c r="AK96" s="25">
        <f>RANK(INDEX(KOMBI!$A$11:$GI$145,MATCH('KSH järjestus'!$C96,KOMBI!$A$11:$A$145,0),MATCH('KSH järjestus'!AK$3,KOMBI!$A$1:$GI$1,0)),CH$4:CH$138,AK$2)</f>
        <v>58</v>
      </c>
      <c r="AN96" s="25">
        <f>RANK(INDEX(KOMBI!$A$11:$GI$145,MATCH('KSH järjestus'!$C96,KOMBI!$A$11:$A$145,0),MATCH('KSH järjestus'!AN$3,KOMBI!$A$1:$GI$1,0)),CK$4:CK$138,AN$2)</f>
        <v>91</v>
      </c>
      <c r="AO96" s="25">
        <f>RANK(INDEX(KOMBI!$A$11:$GI$145,MATCH('KSH järjestus'!$C96,KOMBI!$A$11:$A$145,0),MATCH('KSH järjestus'!AO$3,KOMBI!$A$1:$GI$1,0)),CL$4:CL$138,AO$2)</f>
        <v>91</v>
      </c>
      <c r="AS96" s="297">
        <f t="shared" si="4"/>
        <v>1422</v>
      </c>
      <c r="AT96" s="25">
        <f t="shared" si="5"/>
        <v>1722</v>
      </c>
      <c r="AU96" s="25">
        <f t="shared" si="6"/>
        <v>31</v>
      </c>
      <c r="AV96" s="295" t="str">
        <f>VLOOKUP(VLOOKUP($AU96,KOMBI!$A:$H,3,FALSE),data!$I$27:$J$29,2,FALSE)</f>
        <v>Sekkuv/EÜ</v>
      </c>
      <c r="AW96" s="295" t="str">
        <f>VLOOKUP(VLOOKUP($AU96,KOMBI!$A:$H,2,FALSE),data!$I$21:$J$23,2,FALSE)</f>
        <v>Mittesekkuv</v>
      </c>
      <c r="AX96" s="295" t="str">
        <f>VLOOKUP(VLOOKUP($AU96,KOMBI!$A:$H,5,FALSE),data!$I$39:$J$41,2,FALSE)</f>
        <v>Mittesekkuv</v>
      </c>
      <c r="AY96" s="295" t="str">
        <f>VLOOKUP(VLOOKUP($AU96,KOMBI!$A:$H,4,FALSE),data!$I$32:$J$36,2,FALSE)</f>
        <v>LIB</v>
      </c>
      <c r="BA96" s="25">
        <f t="array" ref="BA96">INDEX(KOMBI!$A$1:$GI$145,ROW('KSH järjestus'!BA103),MATCH('KSH järjestus'!BA$3,KOMBI!$A$1:$GI$1,0))</f>
        <v>6.2639770365495444</v>
      </c>
      <c r="BB96" s="25">
        <f t="array" ref="BB96">INDEX(KOMBI!$A$1:$GI$145,ROW('KSH järjestus'!BB103),MATCH('KSH järjestus'!BB$3,KOMBI!$A$1:$GI$1,0))</f>
        <v>513.55121830875555</v>
      </c>
      <c r="BC96" s="25">
        <f t="array" aca="1" ref="BC96" ca="1">INDEX(KOMBI!$A$1:$GI$145,ROW('KSH järjestus'!BC103),MATCH('KSH järjestus'!BC$3,KOMBI!$A$1:$GI$1,0))</f>
        <v>132.94274113430498</v>
      </c>
      <c r="BD96" s="25">
        <f t="array" ref="BD96">INDEX(KOMBI!$A$1:$GI$145,ROW('KSH järjestus'!BD103),MATCH('KSH järjestus'!BD$3,KOMBI!$A$1:$GI$1,0))</f>
        <v>-74.878313699091038</v>
      </c>
      <c r="BE96" s="25">
        <f t="array" ref="BE96">INDEX(KOMBI!$A$1:$GI$145,ROW('KSH järjestus'!BE103),MATCH('KSH järjestus'!BE$3,KOMBI!$A$1:$GI$1,0))</f>
        <v>207.82105483339603</v>
      </c>
      <c r="BF96" s="25">
        <f t="array" aca="1" ref="BF96" ca="1">INDEX(KOMBI!$A$1:$GI$145,ROW('KSH järjestus'!BF103),MATCH('KSH järjestus'!BF$3,KOMBI!$A$1:$GI$1,0))</f>
        <v>0</v>
      </c>
      <c r="BG96" s="25">
        <f t="array" ref="BG96">INDEX(KOMBI!$A$1:$GI$145,ROW('KSH järjestus'!BG103),MATCH('KSH järjestus'!BG$3,KOMBI!$A$1:$GI$1,0))</f>
        <v>0.52073880263271421</v>
      </c>
      <c r="BH96" s="25">
        <f t="array" ref="BH96">INDEX(KOMBI!$A$1:$GI$145,ROW('KSH järjestus'!BH103),MATCH('KSH järjestus'!BH$3,KOMBI!$A$1:$GI$1,0))</f>
        <v>90</v>
      </c>
      <c r="BI96" s="25">
        <f t="array" ref="BI96">INDEX(KOMBI!$A$1:$GI$145,ROW('KSH järjestus'!BI103),MATCH('KSH järjestus'!BI$3,KOMBI!$A$1:$GI$1,0))</f>
        <v>0.72887234460741646</v>
      </c>
      <c r="BJ96" s="25">
        <f t="array" ref="BJ96">INDEX(KOMBI!$A$1:$GI$145,ROW('KSH järjestus'!BJ103),MATCH('KSH järjestus'!BJ$3,KOMBI!$A$1:$GI$1,0))</f>
        <v>0.27911646586345373</v>
      </c>
      <c r="BK96" s="25">
        <f t="array" ref="BK96">INDEX(KOMBI!$A$1:$GI$145,ROW('KSH järjestus'!BK103),MATCH('KSH järjestus'!BK$3,KOMBI!$A$1:$GI$1,0))</f>
        <v>0.36563130566484103</v>
      </c>
      <c r="BL96" s="25">
        <f t="array" ref="BL96">INDEX(KOMBI!$A$1:$GI$145,ROW('KSH järjestus'!BL103),MATCH('KSH järjestus'!BL$3,KOMBI!$A$1:$GI$1,0))</f>
        <v>2.0011156075651435E-2</v>
      </c>
      <c r="BM96" s="25">
        <f t="array" ref="BM96">INDEX(KOMBI!$A$1:$GI$145,ROW('KSH järjestus'!BM103),MATCH('KSH järjestus'!BM$3,KOMBI!$A$1:$GI$1,0))</f>
        <v>5.6201260898919702E-3</v>
      </c>
      <c r="BN96" s="25">
        <f t="array" ref="BN96">INDEX(KOMBI!$A$1:$GI$145,ROW('KSH järjestus'!BN103),MATCH('KSH järjestus'!BN$3,KOMBI!$A$1:$GI$1,0))</f>
        <v>7.9836231147417391E-3</v>
      </c>
      <c r="BO96" s="25">
        <f t="array" ref="BO96">INDEX(KOMBI!$A$1:$GI$145,ROW('KSH järjestus'!BO103),MATCH('KSH järjestus'!BO$3,KOMBI!$A$1:$GI$1,0))</f>
        <v>1.2198169154483648E-2</v>
      </c>
      <c r="BP96" s="25">
        <f t="array" ref="BP96">INDEX(KOMBI!$A$1:$GI$145,ROW('KSH järjestus'!BP103),MATCH('KSH järjestus'!BP$3,KOMBI!$A$1:$GI$1,0))</f>
        <v>8.5060000000000002</v>
      </c>
      <c r="BQ96" s="25">
        <f t="array" ref="BQ96">INDEX(KOMBI!$A$1:$GI$145,ROW('KSH järjestus'!BQ103),MATCH('KSH järjestus'!BQ$3,KOMBI!$A$1:$GI$1,0))</f>
        <v>10.683999999999999</v>
      </c>
      <c r="BR96" s="25">
        <f t="array" ref="BR96">INDEX(KOMBI!$A$1:$GI$145,ROW('KSH järjestus'!BR103),MATCH('KSH järjestus'!BR$3,KOMBI!$A$1:$GI$1,0))</f>
        <v>-2.3073466883710005E-2</v>
      </c>
      <c r="BS96" s="25">
        <f t="array" ref="BS96">INDEX(KOMBI!$A$1:$GI$145,ROW('KSH järjestus'!BS103),MATCH('KSH järjestus'!BS$3,KOMBI!$A$1:$GI$1,0))</f>
        <v>-3.820820964747234E-2</v>
      </c>
      <c r="BT96" s="25">
        <f t="array" ref="BT96">INDEX(KOMBI!$A$1:$GI$145,ROW('KSH järjestus'!BT103),MATCH('KSH järjestus'!BT$3,KOMBI!$A$1:$GI$1,0))</f>
        <v>-4.731918713479822E-2</v>
      </c>
      <c r="BU96" s="25">
        <f t="array" ref="BU96">INDEX(KOMBI!$A$1:$GI$145,ROW('KSH järjestus'!BU103),MATCH('KSH järjestus'!BU$3,KOMBI!$A$1:$GI$1,0))</f>
        <v>7.90663031159868</v>
      </c>
      <c r="BV96" s="25">
        <f t="array" ref="BV96">INDEX(KOMBI!$A$1:$GI$145,ROW('KSH järjestus'!BV103),MATCH('KSH järjestus'!BV$3,KOMBI!$A$1:$GI$1,0))</f>
        <v>5.3310000000000004</v>
      </c>
      <c r="BW96" s="25">
        <f t="array" ref="BW96">INDEX(KOMBI!$A$1:$GI$145,ROW('KSH järjestus'!BW103),MATCH('KSH järjestus'!BW$3,KOMBI!$A$1:$GI$1,0))</f>
        <v>1.92908499063732</v>
      </c>
      <c r="BX96" s="25">
        <f t="array" ref="BX96">INDEX(KOMBI!$A$1:$GI$145,ROW('KSH järjestus'!BX103),MATCH('KSH järjestus'!BX$3,KOMBI!$A$1:$GI$1,0))</f>
        <v>18.081</v>
      </c>
      <c r="BY96" s="25">
        <f t="array" ref="BY96">INDEX(KOMBI!$A$1:$GI$145,ROW('KSH järjestus'!BY103),MATCH('KSH järjestus'!BY$3,KOMBI!$A$1:$GI$1,0))</f>
        <v>12.802496548433506</v>
      </c>
      <c r="BZ96" s="25">
        <f t="array" ref="BZ96">INDEX(KOMBI!$A$1:$GI$145,ROW('KSH järjestus'!BZ103),MATCH('KSH järjestus'!BZ$3,KOMBI!$A$1:$GI$1,0))</f>
        <v>73</v>
      </c>
      <c r="CA96" s="25">
        <f t="array" ref="CA96">INDEX(KOMBI!$A$1:$GI$145,ROW('KSH järjestus'!CA103),MATCH('KSH järjestus'!CA$3,KOMBI!$A$1:$GI$1,0))</f>
        <v>14.065</v>
      </c>
      <c r="CB96" s="25">
        <f t="array" ref="CB96">INDEX(KOMBI!$A$1:$GI$145,ROW('KSH järjestus'!CB103),MATCH('KSH järjestus'!CB$3,KOMBI!$A$1:$GI$1,0))</f>
        <v>63.104722222222222</v>
      </c>
      <c r="CC96" s="25">
        <f t="array" ref="CC96">INDEX(KOMBI!$A$1:$GI$145,ROW('KSH järjestus'!CC103),MATCH('KSH järjestus'!CC$3,KOMBI!$A$1:$GI$1,0))</f>
        <v>5.0744030000000002</v>
      </c>
      <c r="CD96" s="25">
        <f t="array" ref="CD96">INDEX(KOMBI!$A$1:$GI$145,ROW('KSH järjestus'!CD103),MATCH('KSH järjestus'!CD$3,KOMBI!$A$1:$GI$1,0))</f>
        <v>315.49999999999994</v>
      </c>
      <c r="CE96" s="25">
        <f t="array" ref="CE96">INDEX(KOMBI!$A$1:$GI$145,ROW('KSH järjestus'!CE103),MATCH('KSH järjestus'!CE$3,KOMBI!$A$1:$GI$1,0))</f>
        <v>3.0510000000000002</v>
      </c>
      <c r="CF96" s="25">
        <f t="array" ref="CF96">INDEX(KOMBI!$A$1:$GI$145,ROW('KSH järjestus'!CF103),MATCH('KSH järjestus'!CF$3,KOMBI!$A$1:$GI$1,0))</f>
        <v>47.40290051679586</v>
      </c>
      <c r="CG96" s="25">
        <f t="array" ref="CG96">INDEX(KOMBI!$A$1:$GI$145,ROW('KSH järjestus'!CG103),MATCH('KSH järjestus'!CG$3,KOMBI!$A$1:$GI$1,0))</f>
        <v>2.3132392489112068E-2</v>
      </c>
      <c r="CH96" s="25">
        <f t="array" ref="CH96">INDEX(KOMBI!$A$1:$GI$145,ROW('KSH järjestus'!CH103),MATCH('KSH järjestus'!CH$3,KOMBI!$A$1:$GI$1,0))</f>
        <v>0.4418964743705141</v>
      </c>
      <c r="CI96" s="25">
        <f t="array" ref="CI96">INDEX(KOMBI!$A$1:$GI$145,ROW('KSH järjestus'!CI103),MATCH('KSH järjestus'!CI$3,KOMBI!$A$1:$GI$1,0))</f>
        <v>6.78</v>
      </c>
      <c r="CJ96" s="25">
        <f t="array" ref="CJ96">INDEX(KOMBI!$A$1:$GI$145,ROW('KSH järjestus'!CJ103),MATCH('KSH järjestus'!CJ$3,KOMBI!$A$1:$GI$1,0))</f>
        <v>3.9978849906373197</v>
      </c>
      <c r="CK96" s="25">
        <f t="array" ref="CK96">INDEX(KOMBI!$A$1:$GI$145,ROW('KSH järjestus'!CK103),MATCH('KSH järjestus'!CK$3,KOMBI!$A$1:$GI$1,0))</f>
        <v>0.22900000000000001</v>
      </c>
      <c r="CL96" s="25">
        <f t="array" ref="CL96">INDEX(KOMBI!$A$1:$GI$145,ROW('KSH järjestus'!CL103),MATCH('KSH järjestus'!CL$3,KOMBI!$A$1:$GI$1,0))</f>
        <v>0.82899999999999996</v>
      </c>
    </row>
    <row r="97" spans="3:90" x14ac:dyDescent="0.2">
      <c r="C97" s="184">
        <v>94</v>
      </c>
      <c r="G97" s="25">
        <f>RANK(INDEX(KOMBI!$A$11:$GI$145,MATCH('KSH järjestus'!$C97,KOMBI!$A$11:$A$145,0),MATCH('KSH järjestus'!G$3,KOMBI!$A$1:$GI$1,0)),BD$4:BD$138,G$2)</f>
        <v>101</v>
      </c>
      <c r="H97" s="25">
        <f>RANK(INDEX(KOMBI!$A$11:$GI$145,MATCH('KSH järjestus'!$C97,KOMBI!$A$11:$A$145,0),MATCH('KSH järjestus'!H$3,KOMBI!$A$1:$GI$1,0)),BE$4:BE$138,H$2)</f>
        <v>89</v>
      </c>
      <c r="J97" s="25">
        <f>RANK(INDEX(KOMBI!$A$11:$GI$145,MATCH('KSH järjestus'!$C97,KOMBI!$A$11:$A$145,0),MATCH('KSH järjestus'!J$3,KOMBI!$A$1:$GI$1,0)),BG$4:BG$138,J$2)</f>
        <v>83</v>
      </c>
      <c r="M97" s="25">
        <f>RANK(INDEX(KOMBI!$A$11:$GI$145,MATCH('KSH järjestus'!$C97,KOMBI!$A$11:$A$145,0),MATCH('KSH järjestus'!M$3,KOMBI!$A$1:$GI$1,0)),BJ$4:BJ$138,M$2)</f>
        <v>55</v>
      </c>
      <c r="N97" s="25">
        <f>RANK(INDEX(KOMBI!$A$11:$GI$145,MATCH('KSH järjestus'!$C97,KOMBI!$A$11:$A$145,0),MATCH('KSH järjestus'!N$3,KOMBI!$A$1:$GI$1,0)),BK$4:BK$138,N$2)</f>
        <v>55</v>
      </c>
      <c r="O97" s="25">
        <f>RANK(INDEX(KOMBI!$A$11:$GI$145,MATCH('KSH järjestus'!$C97,KOMBI!$A$11:$A$145,0),MATCH('KSH järjestus'!O$3,KOMBI!$A$1:$GI$1,0)),BL$4:BL$138,O$2)</f>
        <v>110</v>
      </c>
      <c r="P97" s="25">
        <f>RANK(INDEX(KOMBI!$A$11:$GI$145,MATCH('KSH järjestus'!$C97,KOMBI!$A$11:$A$145,0),MATCH('KSH järjestus'!P$3,KOMBI!$A$1:$GI$1,0)),BM$4:BM$138,P$2)</f>
        <v>14</v>
      </c>
      <c r="Q97" s="25">
        <f>RANK(INDEX(KOMBI!$A$11:$GI$145,MATCH('KSH järjestus'!$C97,KOMBI!$A$11:$A$145,0),MATCH('KSH järjestus'!Q$3,KOMBI!$A$1:$GI$1,0)),BN$4:BN$138,Q$2)</f>
        <v>66</v>
      </c>
      <c r="R97" s="25">
        <f>RANK(INDEX(KOMBI!$A$11:$GI$145,MATCH('KSH järjestus'!$C97,KOMBI!$A$11:$A$145,0),MATCH('KSH järjestus'!R$3,KOMBI!$A$1:$GI$1,0)),BO$4:BO$138,R$2)</f>
        <v>125</v>
      </c>
      <c r="T97" s="25">
        <f>RANK(INDEX(KOMBI!$A$11:$GI$145,MATCH('KSH järjestus'!$C97,KOMBI!$A$11:$A$145,0),MATCH('KSH järjestus'!T$3,KOMBI!$A$1:$GI$1,0)),BQ$4:BQ$138,T$2)</f>
        <v>43</v>
      </c>
      <c r="U97" s="25">
        <f>RANK(INDEX(KOMBI!$A$11:$GI$145,MATCH('KSH järjestus'!$C97,KOMBI!$A$11:$A$145,0),MATCH('KSH järjestus'!U$3,KOMBI!$A$1:$GI$1,0)),BR$4:BR$138,U$2)</f>
        <v>51</v>
      </c>
      <c r="AA97" s="25">
        <f>RANK(INDEX(KOMBI!$A$11:$GI$145,MATCH('KSH järjestus'!$C97,KOMBI!$A$11:$A$145,0),MATCH('KSH järjestus'!AA$3,KOMBI!$A$1:$GI$1,0)),BX$4:BX$138,AA$2)</f>
        <v>46</v>
      </c>
      <c r="AB97" s="25">
        <f>RANK(INDEX(KOMBI!$A$11:$GI$145,MATCH('KSH järjestus'!$C97,KOMBI!$A$11:$A$145,0),MATCH('KSH järjestus'!AB$3,KOMBI!$A$1:$GI$1,0)),BY$4:BY$138,AB$2)</f>
        <v>82</v>
      </c>
      <c r="AC97" s="25">
        <f>RANK(INDEX(KOMBI!$A$11:$GI$145,MATCH('KSH järjestus'!$C97,KOMBI!$A$11:$A$145,0),MATCH('KSH järjestus'!AC$3,KOMBI!$A$1:$GI$1,0)),BZ$4:BZ$138,AC$2)</f>
        <v>33</v>
      </c>
      <c r="AD97" s="25">
        <f>RANK(INDEX(KOMBI!$A$11:$GI$145,MATCH('KSH järjestus'!$C97,KOMBI!$A$11:$A$145,0),MATCH('KSH järjestus'!AD$3,KOMBI!$A$1:$GI$1,0)),CA$4:CA$138,AD$2)</f>
        <v>47</v>
      </c>
      <c r="AE97" s="25">
        <f>RANK(INDEX(KOMBI!$A$11:$GI$145,MATCH('KSH järjestus'!$C97,KOMBI!$A$11:$A$145,0),MATCH('KSH järjestus'!AE$3,KOMBI!$A$1:$GI$1,0)),CB$4:CB$138,AE$2)</f>
        <v>53</v>
      </c>
      <c r="AG97" s="25">
        <f>RANK(INDEX(KOMBI!$A$11:$GI$145,MATCH('KSH järjestus'!$C97,KOMBI!$A$11:$A$145,0),MATCH('KSH järjestus'!AG$3,KOMBI!$A$1:$GI$1,0)),CD$4:CD$138,AG$2)</f>
        <v>79</v>
      </c>
      <c r="AH97" s="25">
        <f>RANK(INDEX(KOMBI!$A$11:$GI$145,MATCH('KSH järjestus'!$C97,KOMBI!$A$11:$A$145,0),MATCH('KSH järjestus'!AH$3,KOMBI!$A$1:$GI$1,0)),CE$4:CE$138,AH$2)</f>
        <v>106</v>
      </c>
      <c r="AI97" s="25">
        <f>RANK(INDEX(KOMBI!$A$11:$GI$145,MATCH('KSH järjestus'!$C97,KOMBI!$A$11:$A$145,0),MATCH('KSH järjestus'!AI$3,KOMBI!$A$1:$GI$1,0)),CF$4:CF$138,AI$2)</f>
        <v>61</v>
      </c>
      <c r="AJ97" s="25">
        <f>RANK(INDEX(KOMBI!$A$11:$GI$145,MATCH('KSH järjestus'!$C97,KOMBI!$A$11:$A$145,0),MATCH('KSH järjestus'!AJ$3,KOMBI!$A$1:$GI$1,0)),CG$4:CG$138,AJ$2)</f>
        <v>64</v>
      </c>
      <c r="AK97" s="25">
        <f>RANK(INDEX(KOMBI!$A$11:$GI$145,MATCH('KSH järjestus'!$C97,KOMBI!$A$11:$A$145,0),MATCH('KSH järjestus'!AK$3,KOMBI!$A$1:$GI$1,0)),CH$4:CH$138,AK$2)</f>
        <v>58</v>
      </c>
      <c r="AN97" s="25">
        <f>RANK(INDEX(KOMBI!$A$11:$GI$145,MATCH('KSH järjestus'!$C97,KOMBI!$A$11:$A$145,0),MATCH('KSH järjestus'!AN$3,KOMBI!$A$1:$GI$1,0)),CK$4:CK$138,AN$2)</f>
        <v>91</v>
      </c>
      <c r="AO97" s="25">
        <f>RANK(INDEX(KOMBI!$A$11:$GI$145,MATCH('KSH järjestus'!$C97,KOMBI!$A$11:$A$145,0),MATCH('KSH järjestus'!AO$3,KOMBI!$A$1:$GI$1,0)),CL$4:CL$138,AO$2)</f>
        <v>91</v>
      </c>
      <c r="AS97" s="297">
        <f t="shared" si="4"/>
        <v>1603</v>
      </c>
      <c r="AT97" s="25">
        <f t="shared" si="5"/>
        <v>1724</v>
      </c>
      <c r="AU97" s="25">
        <f t="shared" si="6"/>
        <v>23</v>
      </c>
      <c r="AV97" s="295" t="str">
        <f>VLOOKUP(VLOOKUP($AU97,KOMBI!$A:$H,3,FALSE),data!$I$27:$J$29,2,FALSE)</f>
        <v>Vähe-sekkuv</v>
      </c>
      <c r="AW97" s="295" t="str">
        <f>VLOOKUP(VLOOKUP($AU97,KOMBI!$A:$H,2,FALSE),data!$I$21:$J$23,2,FALSE)</f>
        <v>Mittesekkuv</v>
      </c>
      <c r="AX97" s="295" t="str">
        <f>VLOOKUP(VLOOKUP($AU97,KOMBI!$A:$H,5,FALSE),data!$I$39:$J$41,2,FALSE)</f>
        <v>Vähe-sekkuv</v>
      </c>
      <c r="AY97" s="295" t="str">
        <f>VLOOKUP(VLOOKUP($AU97,KOMBI!$A:$H,4,FALSE),data!$I$32:$J$36,2,FALSE)</f>
        <v>TE</v>
      </c>
      <c r="BA97" s="25">
        <f t="array" ref="BA97">INDEX(KOMBI!$A$1:$GI$145,ROW('KSH järjestus'!BA104),MATCH('KSH järjestus'!BA$3,KOMBI!$A$1:$GI$1,0))</f>
        <v>4.4463854982816349</v>
      </c>
      <c r="BB97" s="25">
        <f t="array" ref="BB97">INDEX(KOMBI!$A$1:$GI$145,ROW('KSH järjestus'!BB104),MATCH('KSH järjestus'!BB$3,KOMBI!$A$1:$GI$1,0))</f>
        <v>237.04401433849702</v>
      </c>
      <c r="BC97" s="25">
        <f t="array" aca="1" ref="BC97" ca="1">INDEX(KOMBI!$A$1:$GI$145,ROW('KSH järjestus'!BC104),MATCH('KSH järjestus'!BC$3,KOMBI!$A$1:$GI$1,0))</f>
        <v>87.420409501358563</v>
      </c>
      <c r="BD97" s="25">
        <f t="array" ref="BD97">INDEX(KOMBI!$A$1:$GI$145,ROW('KSH järjestus'!BD104),MATCH('KSH järjestus'!BD$3,KOMBI!$A$1:$GI$1,0))</f>
        <v>-40.537500000000001</v>
      </c>
      <c r="BE97" s="25">
        <f t="array" ref="BE97">INDEX(KOMBI!$A$1:$GI$145,ROW('KSH järjestus'!BE104),MATCH('KSH järjestus'!BE$3,KOMBI!$A$1:$GI$1,0))</f>
        <v>127.95790950135856</v>
      </c>
      <c r="BF97" s="25">
        <f t="array" aca="1" ref="BF97" ca="1">INDEX(KOMBI!$A$1:$GI$145,ROW('KSH järjestus'!BF104),MATCH('KSH järjestus'!BF$3,KOMBI!$A$1:$GI$1,0))</f>
        <v>0</v>
      </c>
      <c r="BG97" s="25">
        <f t="array" ref="BG97">INDEX(KOMBI!$A$1:$GI$145,ROW('KSH järjestus'!BG104),MATCH('KSH järjestus'!BG$3,KOMBI!$A$1:$GI$1,0))</f>
        <v>0.56559530786754797</v>
      </c>
      <c r="BH97" s="25">
        <f t="array" ref="BH97">INDEX(KOMBI!$A$1:$GI$145,ROW('KSH järjestus'!BH104),MATCH('KSH järjestus'!BH$3,KOMBI!$A$1:$GI$1,0))</f>
        <v>90</v>
      </c>
      <c r="BI97" s="25">
        <f t="array" ref="BI97">INDEX(KOMBI!$A$1:$GI$145,ROW('KSH järjestus'!BI104),MATCH('KSH järjestus'!BI$3,KOMBI!$A$1:$GI$1,0))</f>
        <v>1</v>
      </c>
      <c r="BJ97" s="25">
        <f t="array" ref="BJ97">INDEX(KOMBI!$A$1:$GI$145,ROW('KSH järjestus'!BJ104),MATCH('KSH järjestus'!BJ$3,KOMBI!$A$1:$GI$1,0))</f>
        <v>0.27911646586345373</v>
      </c>
      <c r="BK97" s="25">
        <f t="array" ref="BK97">INDEX(KOMBI!$A$1:$GI$145,ROW('KSH järjestus'!BK104),MATCH('KSH järjestus'!BK$3,KOMBI!$A$1:$GI$1,0))</f>
        <v>0.365554189246803</v>
      </c>
      <c r="BL97" s="25">
        <f t="array" ref="BL97">INDEX(KOMBI!$A$1:$GI$145,ROW('KSH järjestus'!BL104),MATCH('KSH järjestus'!BL$3,KOMBI!$A$1:$GI$1,0))</f>
        <v>9.1165683869144261E-3</v>
      </c>
      <c r="BM97" s="25">
        <f t="array" ref="BM97">INDEX(KOMBI!$A$1:$GI$145,ROW('KSH järjestus'!BM104),MATCH('KSH järjestus'!BM$3,KOMBI!$A$1:$GI$1,0))</f>
        <v>8.2676606803003868E-3</v>
      </c>
      <c r="BN97" s="25">
        <f t="array" ref="BN97">INDEX(KOMBI!$A$1:$GI$145,ROW('KSH järjestus'!BN104),MATCH('KSH järjestus'!BN$3,KOMBI!$A$1:$GI$1,0))</f>
        <v>4.1769609144746422E-3</v>
      </c>
      <c r="BO97" s="25">
        <f t="array" ref="BO97">INDEX(KOMBI!$A$1:$GI$145,ROW('KSH järjestus'!BO104),MATCH('KSH järjestus'!BO$3,KOMBI!$A$1:$GI$1,0))</f>
        <v>5.0012849507454762E-3</v>
      </c>
      <c r="BP97" s="25">
        <f t="array" ref="BP97">INDEX(KOMBI!$A$1:$GI$145,ROW('KSH järjestus'!BP104),MATCH('KSH järjestus'!BP$3,KOMBI!$A$1:$GI$1,0))</f>
        <v>8.5167605777489079</v>
      </c>
      <c r="BQ97" s="25">
        <f t="array" ref="BQ97">INDEX(KOMBI!$A$1:$GI$145,ROW('KSH järjestus'!BQ104),MATCH('KSH järjestus'!BQ$3,KOMBI!$A$1:$GI$1,0))</f>
        <v>10.369</v>
      </c>
      <c r="BR97" s="25">
        <f t="array" ref="BR97">INDEX(KOMBI!$A$1:$GI$145,ROW('KSH järjestus'!BR104),MATCH('KSH järjestus'!BR$3,KOMBI!$A$1:$GI$1,0))</f>
        <v>-3.1268256174683595E-2</v>
      </c>
      <c r="BS97" s="25">
        <f t="array" ref="BS97">INDEX(KOMBI!$A$1:$GI$145,ROW('KSH järjestus'!BS104),MATCH('KSH järjestus'!BS$3,KOMBI!$A$1:$GI$1,0))</f>
        <v>-4.0780121498279386E-2</v>
      </c>
      <c r="BT97" s="25">
        <f t="array" ref="BT97">INDEX(KOMBI!$A$1:$GI$145,ROW('KSH järjestus'!BT104),MATCH('KSH järjestus'!BT$3,KOMBI!$A$1:$GI$1,0))</f>
        <v>-4.9840806712681131E-2</v>
      </c>
      <c r="BU97" s="25">
        <f t="array" ref="BU97">INDEX(KOMBI!$A$1:$GI$145,ROW('KSH järjestus'!BU104),MATCH('KSH järjestus'!BU$3,KOMBI!$A$1:$GI$1,0))</f>
        <v>7.9391111109201011</v>
      </c>
      <c r="BV97" s="25">
        <f t="array" ref="BV97">INDEX(KOMBI!$A$1:$GI$145,ROW('KSH järjestus'!BV104),MATCH('KSH järjestus'!BV$3,KOMBI!$A$1:$GI$1,0))</f>
        <v>5.3630000000000004</v>
      </c>
      <c r="BW97" s="25">
        <f t="array" ref="BW97">INDEX(KOMBI!$A$1:$GI$145,ROW('KSH järjestus'!BW104),MATCH('KSH järjestus'!BW$3,KOMBI!$A$1:$GI$1,0))</f>
        <v>1.3428849906373199</v>
      </c>
      <c r="BX97" s="25">
        <f t="array" ref="BX97">INDEX(KOMBI!$A$1:$GI$145,ROW('KSH järjestus'!BX104),MATCH('KSH järjestus'!BX$3,KOMBI!$A$1:$GI$1,0))</f>
        <v>18.083578011574538</v>
      </c>
      <c r="BY97" s="25">
        <f t="array" ref="BY97">INDEX(KOMBI!$A$1:$GI$145,ROW('KSH järjestus'!BY104),MATCH('KSH järjestus'!BY$3,KOMBI!$A$1:$GI$1,0))</f>
        <v>12.801077976340796</v>
      </c>
      <c r="BZ97" s="25">
        <f t="array" ref="BZ97">INDEX(KOMBI!$A$1:$GI$145,ROW('KSH järjestus'!BZ104),MATCH('KSH järjestus'!BZ$3,KOMBI!$A$1:$GI$1,0))</f>
        <v>71</v>
      </c>
      <c r="CA97" s="25">
        <f t="array" ref="CA97">INDEX(KOMBI!$A$1:$GI$145,ROW('KSH järjestus'!CA104),MATCH('KSH järjestus'!CA$3,KOMBI!$A$1:$GI$1,0))</f>
        <v>13.726000000000001</v>
      </c>
      <c r="CB97" s="25">
        <f t="array" ref="CB97">INDEX(KOMBI!$A$1:$GI$145,ROW('KSH järjestus'!CB104),MATCH('KSH järjestus'!CB$3,KOMBI!$A$1:$GI$1,0))</f>
        <v>61.863888888888887</v>
      </c>
      <c r="CC97" s="25">
        <f t="array" ref="CC97">INDEX(KOMBI!$A$1:$GI$145,ROW('KSH järjestus'!CC104),MATCH('KSH järjestus'!CC$3,KOMBI!$A$1:$GI$1,0))</f>
        <v>4.9483350000000002</v>
      </c>
      <c r="CD97" s="25">
        <f t="array" ref="CD97">INDEX(KOMBI!$A$1:$GI$145,ROW('KSH järjestus'!CD104),MATCH('KSH järjestus'!CD$3,KOMBI!$A$1:$GI$1,0))</f>
        <v>315.49999999999994</v>
      </c>
      <c r="CE97" s="25">
        <f t="array" ref="CE97">INDEX(KOMBI!$A$1:$GI$145,ROW('KSH järjestus'!CE104),MATCH('KSH järjestus'!CE$3,KOMBI!$A$1:$GI$1,0))</f>
        <v>3.0510000000000002</v>
      </c>
      <c r="CF97" s="25">
        <f t="array" ref="CF97">INDEX(KOMBI!$A$1:$GI$145,ROW('KSH järjestus'!CF104),MATCH('KSH järjestus'!CF$3,KOMBI!$A$1:$GI$1,0))</f>
        <v>47.412900516795858</v>
      </c>
      <c r="CG97" s="25">
        <f t="array" ref="CG97">INDEX(KOMBI!$A$1:$GI$145,ROW('KSH järjestus'!CG104),MATCH('KSH järjestus'!CG$3,KOMBI!$A$1:$GI$1,0))</f>
        <v>2.3132392489112068E-2</v>
      </c>
      <c r="CH97" s="25">
        <f t="array" ref="CH97">INDEX(KOMBI!$A$1:$GI$145,ROW('KSH järjestus'!CH104),MATCH('KSH järjestus'!CH$3,KOMBI!$A$1:$GI$1,0))</f>
        <v>0.4418964743705141</v>
      </c>
      <c r="CI97" s="25">
        <f t="array" ref="CI97">INDEX(KOMBI!$A$1:$GI$145,ROW('KSH järjestus'!CI104),MATCH('KSH järjestus'!CI$3,KOMBI!$A$1:$GI$1,0))</f>
        <v>6.78</v>
      </c>
      <c r="CJ97" s="25">
        <f t="array" ref="CJ97">INDEX(KOMBI!$A$1:$GI$145,ROW('KSH järjestus'!CJ104),MATCH('KSH järjestus'!CJ$3,KOMBI!$A$1:$GI$1,0))</f>
        <v>4.7128849906373196</v>
      </c>
      <c r="CK97" s="25">
        <f t="array" ref="CK97">INDEX(KOMBI!$A$1:$GI$145,ROW('KSH järjestus'!CK104),MATCH('KSH järjestus'!CK$3,KOMBI!$A$1:$GI$1,0))</f>
        <v>0.22900000000000001</v>
      </c>
      <c r="CL97" s="25">
        <f t="array" ref="CL97">INDEX(KOMBI!$A$1:$GI$145,ROW('KSH järjestus'!CL104),MATCH('KSH järjestus'!CL$3,KOMBI!$A$1:$GI$1,0))</f>
        <v>0.82899999999999996</v>
      </c>
    </row>
    <row r="98" spans="3:90" x14ac:dyDescent="0.2">
      <c r="C98" s="184">
        <v>95</v>
      </c>
      <c r="G98" s="25">
        <f>RANK(INDEX(KOMBI!$A$11:$GI$145,MATCH('KSH järjestus'!$C98,KOMBI!$A$11:$A$145,0),MATCH('KSH järjestus'!G$3,KOMBI!$A$1:$GI$1,0)),BD$4:BD$138,G$2)</f>
        <v>91</v>
      </c>
      <c r="H98" s="25">
        <f>RANK(INDEX(KOMBI!$A$11:$GI$145,MATCH('KSH järjestus'!$C98,KOMBI!$A$11:$A$145,0),MATCH('KSH järjestus'!H$3,KOMBI!$A$1:$GI$1,0)),BE$4:BE$138,H$2)</f>
        <v>60</v>
      </c>
      <c r="J98" s="25">
        <f>RANK(INDEX(KOMBI!$A$11:$GI$145,MATCH('KSH järjestus'!$C98,KOMBI!$A$11:$A$145,0),MATCH('KSH järjestus'!J$3,KOMBI!$A$1:$GI$1,0)),BG$4:BG$138,J$2)</f>
        <v>53</v>
      </c>
      <c r="M98" s="25">
        <f>RANK(INDEX(KOMBI!$A$11:$GI$145,MATCH('KSH järjestus'!$C98,KOMBI!$A$11:$A$145,0),MATCH('KSH järjestus'!M$3,KOMBI!$A$1:$GI$1,0)),BJ$4:BJ$138,M$2)</f>
        <v>55</v>
      </c>
      <c r="N98" s="25">
        <f>RANK(INDEX(KOMBI!$A$11:$GI$145,MATCH('KSH järjestus'!$C98,KOMBI!$A$11:$A$145,0),MATCH('KSH järjestus'!N$3,KOMBI!$A$1:$GI$1,0)),BK$4:BK$138,N$2)</f>
        <v>55</v>
      </c>
      <c r="O98" s="25">
        <f>RANK(INDEX(KOMBI!$A$11:$GI$145,MATCH('KSH järjestus'!$C98,KOMBI!$A$11:$A$145,0),MATCH('KSH järjestus'!O$3,KOMBI!$A$1:$GI$1,0)),BL$4:BL$138,O$2)</f>
        <v>72</v>
      </c>
      <c r="P98" s="25">
        <f>RANK(INDEX(KOMBI!$A$11:$GI$145,MATCH('KSH järjestus'!$C98,KOMBI!$A$11:$A$145,0),MATCH('KSH järjestus'!P$3,KOMBI!$A$1:$GI$1,0)),BM$4:BM$138,P$2)</f>
        <v>34</v>
      </c>
      <c r="Q98" s="25">
        <f>RANK(INDEX(KOMBI!$A$11:$GI$145,MATCH('KSH järjestus'!$C98,KOMBI!$A$11:$A$145,0),MATCH('KSH järjestus'!Q$3,KOMBI!$A$1:$GI$1,0)),BN$4:BN$138,Q$2)</f>
        <v>38</v>
      </c>
      <c r="R98" s="25">
        <f>RANK(INDEX(KOMBI!$A$11:$GI$145,MATCH('KSH järjestus'!$C98,KOMBI!$A$11:$A$145,0),MATCH('KSH järjestus'!R$3,KOMBI!$A$1:$GI$1,0)),BO$4:BO$138,R$2)</f>
        <v>100</v>
      </c>
      <c r="T98" s="25">
        <f>RANK(INDEX(KOMBI!$A$11:$GI$145,MATCH('KSH järjestus'!$C98,KOMBI!$A$11:$A$145,0),MATCH('KSH järjestus'!T$3,KOMBI!$A$1:$GI$1,0)),BQ$4:BQ$138,T$2)</f>
        <v>52</v>
      </c>
      <c r="U98" s="25">
        <f>RANK(INDEX(KOMBI!$A$11:$GI$145,MATCH('KSH järjestus'!$C98,KOMBI!$A$11:$A$145,0),MATCH('KSH järjestus'!U$3,KOMBI!$A$1:$GI$1,0)),BR$4:BR$138,U$2)</f>
        <v>64</v>
      </c>
      <c r="AA98" s="25">
        <f>RANK(INDEX(KOMBI!$A$11:$GI$145,MATCH('KSH järjestus'!$C98,KOMBI!$A$11:$A$145,0),MATCH('KSH järjestus'!AA$3,KOMBI!$A$1:$GI$1,0)),BX$4:BX$138,AA$2)</f>
        <v>46</v>
      </c>
      <c r="AB98" s="25">
        <f>RANK(INDEX(KOMBI!$A$11:$GI$145,MATCH('KSH järjestus'!$C98,KOMBI!$A$11:$A$145,0),MATCH('KSH järjestus'!AB$3,KOMBI!$A$1:$GI$1,0)),BY$4:BY$138,AB$2)</f>
        <v>82</v>
      </c>
      <c r="AC98" s="25">
        <f>RANK(INDEX(KOMBI!$A$11:$GI$145,MATCH('KSH järjestus'!$C98,KOMBI!$A$11:$A$145,0),MATCH('KSH järjestus'!AC$3,KOMBI!$A$1:$GI$1,0)),BZ$4:BZ$138,AC$2)</f>
        <v>38</v>
      </c>
      <c r="AD98" s="25">
        <f>RANK(INDEX(KOMBI!$A$11:$GI$145,MATCH('KSH järjestus'!$C98,KOMBI!$A$11:$A$145,0),MATCH('KSH järjestus'!AD$3,KOMBI!$A$1:$GI$1,0)),CA$4:CA$138,AD$2)</f>
        <v>53</v>
      </c>
      <c r="AE98" s="25">
        <f>RANK(INDEX(KOMBI!$A$11:$GI$145,MATCH('KSH järjestus'!$C98,KOMBI!$A$11:$A$145,0),MATCH('KSH järjestus'!AE$3,KOMBI!$A$1:$GI$1,0)),CB$4:CB$138,AE$2)</f>
        <v>56</v>
      </c>
      <c r="AG98" s="25">
        <f>RANK(INDEX(KOMBI!$A$11:$GI$145,MATCH('KSH järjestus'!$C98,KOMBI!$A$11:$A$145,0),MATCH('KSH järjestus'!AG$3,KOMBI!$A$1:$GI$1,0)),CD$4:CD$138,AG$2)</f>
        <v>79</v>
      </c>
      <c r="AH98" s="25">
        <f>RANK(INDEX(KOMBI!$A$11:$GI$145,MATCH('KSH järjestus'!$C98,KOMBI!$A$11:$A$145,0),MATCH('KSH järjestus'!AH$3,KOMBI!$A$1:$GI$1,0)),CE$4:CE$138,AH$2)</f>
        <v>106</v>
      </c>
      <c r="AI98" s="25">
        <f>RANK(INDEX(KOMBI!$A$11:$GI$145,MATCH('KSH järjestus'!$C98,KOMBI!$A$11:$A$145,0),MATCH('KSH järjestus'!AI$3,KOMBI!$A$1:$GI$1,0)),CF$4:CF$138,AI$2)</f>
        <v>61</v>
      </c>
      <c r="AJ98" s="25">
        <f>RANK(INDEX(KOMBI!$A$11:$GI$145,MATCH('KSH järjestus'!$C98,KOMBI!$A$11:$A$145,0),MATCH('KSH järjestus'!AJ$3,KOMBI!$A$1:$GI$1,0)),CG$4:CG$138,AJ$2)</f>
        <v>64</v>
      </c>
      <c r="AK98" s="25">
        <f>RANK(INDEX(KOMBI!$A$11:$GI$145,MATCH('KSH järjestus'!$C98,KOMBI!$A$11:$A$145,0),MATCH('KSH järjestus'!AK$3,KOMBI!$A$1:$GI$1,0)),CH$4:CH$138,AK$2)</f>
        <v>58</v>
      </c>
      <c r="AN98" s="25">
        <f>RANK(INDEX(KOMBI!$A$11:$GI$145,MATCH('KSH järjestus'!$C98,KOMBI!$A$11:$A$145,0),MATCH('KSH järjestus'!AN$3,KOMBI!$A$1:$GI$1,0)),CK$4:CK$138,AN$2)</f>
        <v>91</v>
      </c>
      <c r="AO98" s="25">
        <f>RANK(INDEX(KOMBI!$A$11:$GI$145,MATCH('KSH järjestus'!$C98,KOMBI!$A$11:$A$145,0),MATCH('KSH järjestus'!AO$3,KOMBI!$A$1:$GI$1,0)),CL$4:CL$138,AO$2)</f>
        <v>91</v>
      </c>
      <c r="AS98" s="297">
        <f t="shared" si="4"/>
        <v>1499</v>
      </c>
      <c r="AT98" s="25">
        <f t="shared" si="5"/>
        <v>1724</v>
      </c>
      <c r="AU98" s="25">
        <f t="shared" si="6"/>
        <v>23</v>
      </c>
      <c r="AV98" s="295" t="str">
        <f>VLOOKUP(VLOOKUP($AU98,KOMBI!$A:$H,3,FALSE),data!$I$27:$J$29,2,FALSE)</f>
        <v>Vähe-sekkuv</v>
      </c>
      <c r="AW98" s="295" t="str">
        <f>VLOOKUP(VLOOKUP($AU98,KOMBI!$A:$H,2,FALSE),data!$I$21:$J$23,2,FALSE)</f>
        <v>Mittesekkuv</v>
      </c>
      <c r="AX98" s="295" t="str">
        <f>VLOOKUP(VLOOKUP($AU98,KOMBI!$A:$H,5,FALSE),data!$I$39:$J$41,2,FALSE)</f>
        <v>Vähe-sekkuv</v>
      </c>
      <c r="AY98" s="295" t="str">
        <f>VLOOKUP(VLOOKUP($AU98,KOMBI!$A:$H,4,FALSE),data!$I$32:$J$36,2,FALSE)</f>
        <v>TE</v>
      </c>
      <c r="BA98" s="25">
        <f t="array" ref="BA98">INDEX(KOMBI!$A$1:$GI$145,ROW('KSH järjestus'!BA105),MATCH('KSH järjestus'!BA$3,KOMBI!$A$1:$GI$1,0))</f>
        <v>5.3622971469274754</v>
      </c>
      <c r="BB98" s="25">
        <f t="array" ref="BB98">INDEX(KOMBI!$A$1:$GI$145,ROW('KSH järjestus'!BB105),MATCH('KSH järjestus'!BB$3,KOMBI!$A$1:$GI$1,0))</f>
        <v>397.52404660776028</v>
      </c>
      <c r="BC98" s="25">
        <f t="array" aca="1" ref="BC98" ca="1">INDEX(KOMBI!$A$1:$GI$145,ROW('KSH järjestus'!BC105),MATCH('KSH järjestus'!BC$3,KOMBI!$A$1:$GI$1,0))</f>
        <v>116.58573152989365</v>
      </c>
      <c r="BD98" s="25">
        <f t="array" ref="BD98">INDEX(KOMBI!$A$1:$GI$145,ROW('KSH järjestus'!BD105),MATCH('KSH järjestus'!BD$3,KOMBI!$A$1:$GI$1,0))</f>
        <v>-55.7707198806321</v>
      </c>
      <c r="BE98" s="25">
        <f t="array" ref="BE98">INDEX(KOMBI!$A$1:$GI$145,ROW('KSH järjestus'!BE105),MATCH('KSH järjestus'!BE$3,KOMBI!$A$1:$GI$1,0))</f>
        <v>172.35645141052575</v>
      </c>
      <c r="BF98" s="25">
        <f t="array" aca="1" ref="BF98" ca="1">INDEX(KOMBI!$A$1:$GI$145,ROW('KSH järjestus'!BF105),MATCH('KSH järjestus'!BF$3,KOMBI!$A$1:$GI$1,0))</f>
        <v>0</v>
      </c>
      <c r="BG98" s="25">
        <f t="array" ref="BG98">INDEX(KOMBI!$A$1:$GI$145,ROW('KSH järjestus'!BG105),MATCH('KSH järjestus'!BG$3,KOMBI!$A$1:$GI$1,0))</f>
        <v>0.52083988507908285</v>
      </c>
      <c r="BH98" s="25">
        <f t="array" ref="BH98">INDEX(KOMBI!$A$1:$GI$145,ROW('KSH järjestus'!BH105),MATCH('KSH järjestus'!BH$3,KOMBI!$A$1:$GI$1,0))</f>
        <v>90</v>
      </c>
      <c r="BI98" s="25">
        <f t="array" ref="BI98">INDEX(KOMBI!$A$1:$GI$145,ROW('KSH järjestus'!BI105),MATCH('KSH järjestus'!BI$3,KOMBI!$A$1:$GI$1,0))</f>
        <v>0.72887234460741657</v>
      </c>
      <c r="BJ98" s="25">
        <f t="array" ref="BJ98">INDEX(KOMBI!$A$1:$GI$145,ROW('KSH järjestus'!BJ105),MATCH('KSH järjestus'!BJ$3,KOMBI!$A$1:$GI$1,0))</f>
        <v>0.27911646586345373</v>
      </c>
      <c r="BK98" s="25">
        <f t="array" ref="BK98">INDEX(KOMBI!$A$1:$GI$145,ROW('KSH järjestus'!BK105),MATCH('KSH järjestus'!BK$3,KOMBI!$A$1:$GI$1,0))</f>
        <v>0.365554189246803</v>
      </c>
      <c r="BL98" s="25">
        <f t="array" ref="BL98">INDEX(KOMBI!$A$1:$GI$145,ROW('KSH järjestus'!BL105),MATCH('KSH järjestus'!BL$3,KOMBI!$A$1:$GI$1,0))</f>
        <v>1.5398961473336754E-2</v>
      </c>
      <c r="BM98" s="25">
        <f t="array" ref="BM98">INDEX(KOMBI!$A$1:$GI$145,ROW('KSH järjestus'!BM105),MATCH('KSH järjestus'!BM$3,KOMBI!$A$1:$GI$1,0))</f>
        <v>5.574607830884773E-3</v>
      </c>
      <c r="BN98" s="25">
        <f t="array" ref="BN98">INDEX(KOMBI!$A$1:$GI$145,ROW('KSH järjestus'!BN105),MATCH('KSH järjestus'!BN$3,KOMBI!$A$1:$GI$1,0))</f>
        <v>6.6698307758324693E-3</v>
      </c>
      <c r="BO98" s="25">
        <f t="array" ref="BO98">INDEX(KOMBI!$A$1:$GI$145,ROW('KSH järjestus'!BO105),MATCH('KSH järjestus'!BO$3,KOMBI!$A$1:$GI$1,0))</f>
        <v>8.8261714946223039E-3</v>
      </c>
      <c r="BP98" s="25">
        <f t="array" ref="BP98">INDEX(KOMBI!$A$1:$GI$145,ROW('KSH järjestus'!BP105),MATCH('KSH järjestus'!BP$3,KOMBI!$A$1:$GI$1,0))</f>
        <v>8.5167605777489079</v>
      </c>
      <c r="BQ98" s="25">
        <f t="array" ref="BQ98">INDEX(KOMBI!$A$1:$GI$145,ROW('KSH järjestus'!BQ105),MATCH('KSH järjestus'!BQ$3,KOMBI!$A$1:$GI$1,0))</f>
        <v>10.46</v>
      </c>
      <c r="BR98" s="25">
        <f t="array" ref="BR98">INDEX(KOMBI!$A$1:$GI$145,ROW('KSH järjestus'!BR105),MATCH('KSH järjestus'!BR$3,KOMBI!$A$1:$GI$1,0))</f>
        <v>-2.7034457163418877E-2</v>
      </c>
      <c r="BS98" s="25">
        <f t="array" ref="BS98">INDEX(KOMBI!$A$1:$GI$145,ROW('KSH järjestus'!BS105),MATCH('KSH järjestus'!BS$3,KOMBI!$A$1:$GI$1,0))</f>
        <v>-3.9446509278643828E-2</v>
      </c>
      <c r="BT98" s="25">
        <f t="array" ref="BT98">INDEX(KOMBI!$A$1:$GI$145,ROW('KSH järjestus'!BT105),MATCH('KSH järjestus'!BT$3,KOMBI!$A$1:$GI$1,0))</f>
        <v>-4.8741843913287175E-2</v>
      </c>
      <c r="BU98" s="25">
        <f t="array" ref="BU98">INDEX(KOMBI!$A$1:$GI$145,ROW('KSH järjestus'!BU105),MATCH('KSH järjestus'!BU$3,KOMBI!$A$1:$GI$1,0))</f>
        <v>7.9391111109201011</v>
      </c>
      <c r="BV98" s="25">
        <f t="array" ref="BV98">INDEX(KOMBI!$A$1:$GI$145,ROW('KSH järjestus'!BV105),MATCH('KSH järjestus'!BV$3,KOMBI!$A$1:$GI$1,0))</f>
        <v>5.3630000000000004</v>
      </c>
      <c r="BW98" s="25">
        <f t="array" ref="BW98">INDEX(KOMBI!$A$1:$GI$145,ROW('KSH järjestus'!BW105),MATCH('KSH järjestus'!BW$3,KOMBI!$A$1:$GI$1,0))</f>
        <v>1.7203849906373201</v>
      </c>
      <c r="BX98" s="25">
        <f t="array" ref="BX98">INDEX(KOMBI!$A$1:$GI$145,ROW('KSH järjestus'!BX105),MATCH('KSH järjestus'!BX$3,KOMBI!$A$1:$GI$1,0))</f>
        <v>18.083578011574538</v>
      </c>
      <c r="BY98" s="25">
        <f t="array" ref="BY98">INDEX(KOMBI!$A$1:$GI$145,ROW('KSH järjestus'!BY105),MATCH('KSH järjestus'!BY$3,KOMBI!$A$1:$GI$1,0))</f>
        <v>12.801077976340796</v>
      </c>
      <c r="BZ98" s="25">
        <f t="array" ref="BZ98">INDEX(KOMBI!$A$1:$GI$145,ROW('KSH järjestus'!BZ105),MATCH('KSH järjestus'!BZ$3,KOMBI!$A$1:$GI$1,0))</f>
        <v>71.400000000000006</v>
      </c>
      <c r="CA98" s="25">
        <f t="array" ref="CA98">INDEX(KOMBI!$A$1:$GI$145,ROW('KSH järjestus'!CA105),MATCH('KSH järjestus'!CA$3,KOMBI!$A$1:$GI$1,0))</f>
        <v>13.815</v>
      </c>
      <c r="CB98" s="25">
        <f t="array" ref="CB98">INDEX(KOMBI!$A$1:$GI$145,ROW('KSH järjestus'!CB105),MATCH('KSH järjestus'!CB$3,KOMBI!$A$1:$GI$1,0))</f>
        <v>62.204166666666666</v>
      </c>
      <c r="CC98" s="25">
        <f t="array" ref="CC98">INDEX(KOMBI!$A$1:$GI$145,ROW('KSH järjestus'!CC105),MATCH('KSH järjestus'!CC$3,KOMBI!$A$1:$GI$1,0))</f>
        <v>4.9816269999999996</v>
      </c>
      <c r="CD98" s="25">
        <f t="array" ref="CD98">INDEX(KOMBI!$A$1:$GI$145,ROW('KSH järjestus'!CD105),MATCH('KSH järjestus'!CD$3,KOMBI!$A$1:$GI$1,0))</f>
        <v>315.49999999999994</v>
      </c>
      <c r="CE98" s="25">
        <f t="array" ref="CE98">INDEX(KOMBI!$A$1:$GI$145,ROW('KSH järjestus'!CE105),MATCH('KSH järjestus'!CE$3,KOMBI!$A$1:$GI$1,0))</f>
        <v>3.0510000000000002</v>
      </c>
      <c r="CF98" s="25">
        <f t="array" ref="CF98">INDEX(KOMBI!$A$1:$GI$145,ROW('KSH järjestus'!CF105),MATCH('KSH järjestus'!CF$3,KOMBI!$A$1:$GI$1,0))</f>
        <v>47.412900516795858</v>
      </c>
      <c r="CG98" s="25">
        <f t="array" ref="CG98">INDEX(KOMBI!$A$1:$GI$145,ROW('KSH järjestus'!CG105),MATCH('KSH järjestus'!CG$3,KOMBI!$A$1:$GI$1,0))</f>
        <v>2.3132392489112068E-2</v>
      </c>
      <c r="CH98" s="25">
        <f t="array" ref="CH98">INDEX(KOMBI!$A$1:$GI$145,ROW('KSH järjestus'!CH105),MATCH('KSH järjestus'!CH$3,KOMBI!$A$1:$GI$1,0))</f>
        <v>0.4418964743705141</v>
      </c>
      <c r="CI98" s="25">
        <f t="array" ref="CI98">INDEX(KOMBI!$A$1:$GI$145,ROW('KSH järjestus'!CI105),MATCH('KSH järjestus'!CI$3,KOMBI!$A$1:$GI$1,0))</f>
        <v>6.78</v>
      </c>
      <c r="CJ98" s="25">
        <f t="array" ref="CJ98">INDEX(KOMBI!$A$1:$GI$145,ROW('KSH järjestus'!CJ105),MATCH('KSH järjestus'!CJ$3,KOMBI!$A$1:$GI$1,0))</f>
        <v>4.7128849906373196</v>
      </c>
      <c r="CK98" s="25">
        <f t="array" ref="CK98">INDEX(KOMBI!$A$1:$GI$145,ROW('KSH järjestus'!CK105),MATCH('KSH järjestus'!CK$3,KOMBI!$A$1:$GI$1,0))</f>
        <v>0.22900000000000001</v>
      </c>
      <c r="CL98" s="25">
        <f t="array" ref="CL98">INDEX(KOMBI!$A$1:$GI$145,ROW('KSH järjestus'!CL105),MATCH('KSH järjestus'!CL$3,KOMBI!$A$1:$GI$1,0))</f>
        <v>0.82899999999999996</v>
      </c>
    </row>
    <row r="99" spans="3:90" x14ac:dyDescent="0.2">
      <c r="C99" s="184">
        <v>96</v>
      </c>
      <c r="G99" s="25">
        <f>RANK(INDEX(KOMBI!$A$11:$GI$145,MATCH('KSH järjestus'!$C99,KOMBI!$A$11:$A$145,0),MATCH('KSH järjestus'!G$3,KOMBI!$A$1:$GI$1,0)),BD$4:BD$138,G$2)</f>
        <v>71</v>
      </c>
      <c r="H99" s="25">
        <f>RANK(INDEX(KOMBI!$A$11:$GI$145,MATCH('KSH järjestus'!$C99,KOMBI!$A$11:$A$145,0),MATCH('KSH järjestus'!H$3,KOMBI!$A$1:$GI$1,0)),BE$4:BE$138,H$2)</f>
        <v>37</v>
      </c>
      <c r="J99" s="25">
        <f>RANK(INDEX(KOMBI!$A$11:$GI$145,MATCH('KSH järjestus'!$C99,KOMBI!$A$11:$A$145,0),MATCH('KSH järjestus'!J$3,KOMBI!$A$1:$GI$1,0)),BG$4:BG$138,J$2)</f>
        <v>53</v>
      </c>
      <c r="M99" s="25">
        <f>RANK(INDEX(KOMBI!$A$11:$GI$145,MATCH('KSH järjestus'!$C99,KOMBI!$A$11:$A$145,0),MATCH('KSH järjestus'!M$3,KOMBI!$A$1:$GI$1,0)),BJ$4:BJ$138,M$2)</f>
        <v>55</v>
      </c>
      <c r="N99" s="25">
        <f>RANK(INDEX(KOMBI!$A$11:$GI$145,MATCH('KSH järjestus'!$C99,KOMBI!$A$11:$A$145,0),MATCH('KSH järjestus'!N$3,KOMBI!$A$1:$GI$1,0)),BK$4:BK$138,N$2)</f>
        <v>55</v>
      </c>
      <c r="O99" s="25">
        <f>RANK(INDEX(KOMBI!$A$11:$GI$145,MATCH('KSH järjestus'!$C99,KOMBI!$A$11:$A$145,0),MATCH('KSH järjestus'!O$3,KOMBI!$A$1:$GI$1,0)),BL$4:BL$138,O$2)</f>
        <v>41</v>
      </c>
      <c r="P99" s="25">
        <f>RANK(INDEX(KOMBI!$A$11:$GI$145,MATCH('KSH järjestus'!$C99,KOMBI!$A$11:$A$145,0),MATCH('KSH järjestus'!P$3,KOMBI!$A$1:$GI$1,0)),BM$4:BM$138,P$2)</f>
        <v>33</v>
      </c>
      <c r="Q99" s="25">
        <f>RANK(INDEX(KOMBI!$A$11:$GI$145,MATCH('KSH järjestus'!$C99,KOMBI!$A$11:$A$145,0),MATCH('KSH järjestus'!Q$3,KOMBI!$A$1:$GI$1,0)),BN$4:BN$138,Q$2)</f>
        <v>30</v>
      </c>
      <c r="R99" s="25">
        <f>RANK(INDEX(KOMBI!$A$11:$GI$145,MATCH('KSH järjestus'!$C99,KOMBI!$A$11:$A$145,0),MATCH('KSH järjestus'!R$3,KOMBI!$A$1:$GI$1,0)),BO$4:BO$138,R$2)</f>
        <v>63</v>
      </c>
      <c r="T99" s="25">
        <f>RANK(INDEX(KOMBI!$A$11:$GI$145,MATCH('KSH järjestus'!$C99,KOMBI!$A$11:$A$145,0),MATCH('KSH järjestus'!T$3,KOMBI!$A$1:$GI$1,0)),BQ$4:BQ$138,T$2)</f>
        <v>64</v>
      </c>
      <c r="U99" s="25">
        <f>RANK(INDEX(KOMBI!$A$11:$GI$145,MATCH('KSH järjestus'!$C99,KOMBI!$A$11:$A$145,0),MATCH('KSH järjestus'!U$3,KOMBI!$A$1:$GI$1,0)),BR$4:BR$138,U$2)</f>
        <v>73</v>
      </c>
      <c r="AA99" s="25">
        <f>RANK(INDEX(KOMBI!$A$11:$GI$145,MATCH('KSH järjestus'!$C99,KOMBI!$A$11:$A$145,0),MATCH('KSH järjestus'!AA$3,KOMBI!$A$1:$GI$1,0)),BX$4:BX$138,AA$2)</f>
        <v>46</v>
      </c>
      <c r="AB99" s="25">
        <f>RANK(INDEX(KOMBI!$A$11:$GI$145,MATCH('KSH järjestus'!$C99,KOMBI!$A$11:$A$145,0),MATCH('KSH järjestus'!AB$3,KOMBI!$A$1:$GI$1,0)),BY$4:BY$138,AB$2)</f>
        <v>82</v>
      </c>
      <c r="AC99" s="25">
        <f>RANK(INDEX(KOMBI!$A$11:$GI$145,MATCH('KSH järjestus'!$C99,KOMBI!$A$11:$A$145,0),MATCH('KSH järjestus'!AC$3,KOMBI!$A$1:$GI$1,0)),BZ$4:BZ$138,AC$2)</f>
        <v>43</v>
      </c>
      <c r="AD99" s="25">
        <f>RANK(INDEX(KOMBI!$A$11:$GI$145,MATCH('KSH järjestus'!$C99,KOMBI!$A$11:$A$145,0),MATCH('KSH järjestus'!AD$3,KOMBI!$A$1:$GI$1,0)),CA$4:CA$138,AD$2)</f>
        <v>62</v>
      </c>
      <c r="AE99" s="25">
        <f>RANK(INDEX(KOMBI!$A$11:$GI$145,MATCH('KSH järjestus'!$C99,KOMBI!$A$11:$A$145,0),MATCH('KSH järjestus'!AE$3,KOMBI!$A$1:$GI$1,0)),CB$4:CB$138,AE$2)</f>
        <v>68</v>
      </c>
      <c r="AG99" s="25">
        <f>RANK(INDEX(KOMBI!$A$11:$GI$145,MATCH('KSH järjestus'!$C99,KOMBI!$A$11:$A$145,0),MATCH('KSH järjestus'!AG$3,KOMBI!$A$1:$GI$1,0)),CD$4:CD$138,AG$2)</f>
        <v>79</v>
      </c>
      <c r="AH99" s="25">
        <f>RANK(INDEX(KOMBI!$A$11:$GI$145,MATCH('KSH järjestus'!$C99,KOMBI!$A$11:$A$145,0),MATCH('KSH järjestus'!AH$3,KOMBI!$A$1:$GI$1,0)),CE$4:CE$138,AH$2)</f>
        <v>106</v>
      </c>
      <c r="AI99" s="25">
        <f>RANK(INDEX(KOMBI!$A$11:$GI$145,MATCH('KSH järjestus'!$C99,KOMBI!$A$11:$A$145,0),MATCH('KSH järjestus'!AI$3,KOMBI!$A$1:$GI$1,0)),CF$4:CF$138,AI$2)</f>
        <v>61</v>
      </c>
      <c r="AJ99" s="25">
        <f>RANK(INDEX(KOMBI!$A$11:$GI$145,MATCH('KSH järjestus'!$C99,KOMBI!$A$11:$A$145,0),MATCH('KSH järjestus'!AJ$3,KOMBI!$A$1:$GI$1,0)),CG$4:CG$138,AJ$2)</f>
        <v>64</v>
      </c>
      <c r="AK99" s="25">
        <f>RANK(INDEX(KOMBI!$A$11:$GI$145,MATCH('KSH järjestus'!$C99,KOMBI!$A$11:$A$145,0),MATCH('KSH järjestus'!AK$3,KOMBI!$A$1:$GI$1,0)),CH$4:CH$138,AK$2)</f>
        <v>58</v>
      </c>
      <c r="AN99" s="25">
        <f>RANK(INDEX(KOMBI!$A$11:$GI$145,MATCH('KSH järjestus'!$C99,KOMBI!$A$11:$A$145,0),MATCH('KSH järjestus'!AN$3,KOMBI!$A$1:$GI$1,0)),CK$4:CK$138,AN$2)</f>
        <v>91</v>
      </c>
      <c r="AO99" s="25">
        <f>RANK(INDEX(KOMBI!$A$11:$GI$145,MATCH('KSH järjestus'!$C99,KOMBI!$A$11:$A$145,0),MATCH('KSH järjestus'!AO$3,KOMBI!$A$1:$GI$1,0)),CL$4:CL$138,AO$2)</f>
        <v>91</v>
      </c>
      <c r="AS99" s="297">
        <f t="shared" si="4"/>
        <v>1426</v>
      </c>
      <c r="AT99" s="25">
        <f t="shared" si="5"/>
        <v>1726</v>
      </c>
      <c r="AU99" s="25">
        <f t="shared" si="6"/>
        <v>34</v>
      </c>
      <c r="AV99" s="295" t="str">
        <f>VLOOKUP(VLOOKUP($AU99,KOMBI!$A:$H,3,FALSE),data!$I$27:$J$29,2,FALSE)</f>
        <v>Sekkuv/EÜ</v>
      </c>
      <c r="AW99" s="295" t="str">
        <f>VLOOKUP(VLOOKUP($AU99,KOMBI!$A:$H,2,FALSE),data!$I$21:$J$23,2,FALSE)</f>
        <v>Mittesekkuv</v>
      </c>
      <c r="AX99" s="295" t="str">
        <f>VLOOKUP(VLOOKUP($AU99,KOMBI!$A:$H,5,FALSE),data!$I$39:$J$41,2,FALSE)</f>
        <v>Mittesekkuv</v>
      </c>
      <c r="AY99" s="295" t="str">
        <f>VLOOKUP(VLOOKUP($AU99,KOMBI!$A:$H,4,FALSE),data!$I$32:$J$36,2,FALSE)</f>
        <v>LIB+</v>
      </c>
      <c r="BA99" s="25">
        <f t="array" ref="BA99">INDEX(KOMBI!$A$1:$GI$145,ROW('KSH järjestus'!BA106),MATCH('KSH järjestus'!BA$3,KOMBI!$A$1:$GI$1,0))</f>
        <v>6.267396869169005</v>
      </c>
      <c r="BB99" s="25">
        <f t="array" ref="BB99">INDEX(KOMBI!$A$1:$GI$145,ROW('KSH järjestus'!BB106),MATCH('KSH järjestus'!BB$3,KOMBI!$A$1:$GI$1,0))</f>
        <v>514.13483762523958</v>
      </c>
      <c r="BC99" s="25">
        <f t="array" aca="1" ref="BC99" ca="1">INDEX(KOMBI!$A$1:$GI$145,ROW('KSH järjestus'!BC106),MATCH('KSH järjestus'!BC$3,KOMBI!$A$1:$GI$1,0))</f>
        <v>133.14014588897857</v>
      </c>
      <c r="BD99" s="25">
        <f t="array" ref="BD99">INDEX(KOMBI!$A$1:$GI$145,ROW('KSH järjestus'!BD106),MATCH('KSH järjestus'!BD$3,KOMBI!$A$1:$GI$1,0))</f>
        <v>-74.878313699091038</v>
      </c>
      <c r="BE99" s="25">
        <f t="array" ref="BE99">INDEX(KOMBI!$A$1:$GI$145,ROW('KSH järjestus'!BE106),MATCH('KSH järjestus'!BE$3,KOMBI!$A$1:$GI$1,0))</f>
        <v>208.01845958806962</v>
      </c>
      <c r="BF99" s="25">
        <f t="array" aca="1" ref="BF99" ca="1">INDEX(KOMBI!$A$1:$GI$145,ROW('KSH järjestus'!BF106),MATCH('KSH järjestus'!BF$3,KOMBI!$A$1:$GI$1,0))</f>
        <v>0</v>
      </c>
      <c r="BG99" s="25">
        <f t="array" ref="BG99">INDEX(KOMBI!$A$1:$GI$145,ROW('KSH järjestus'!BG106),MATCH('KSH järjestus'!BG$3,KOMBI!$A$1:$GI$1,0))</f>
        <v>0.52083988507908285</v>
      </c>
      <c r="BH99" s="25">
        <f t="array" ref="BH99">INDEX(KOMBI!$A$1:$GI$145,ROW('KSH järjestus'!BH106),MATCH('KSH järjestus'!BH$3,KOMBI!$A$1:$GI$1,0))</f>
        <v>90</v>
      </c>
      <c r="BI99" s="25">
        <f t="array" ref="BI99">INDEX(KOMBI!$A$1:$GI$145,ROW('KSH järjestus'!BI106),MATCH('KSH järjestus'!BI$3,KOMBI!$A$1:$GI$1,0))</f>
        <v>0.72887234460741646</v>
      </c>
      <c r="BJ99" s="25">
        <f t="array" ref="BJ99">INDEX(KOMBI!$A$1:$GI$145,ROW('KSH järjestus'!BJ106),MATCH('KSH järjestus'!BJ$3,KOMBI!$A$1:$GI$1,0))</f>
        <v>0.27911646586345373</v>
      </c>
      <c r="BK99" s="25">
        <f t="array" ref="BK99">INDEX(KOMBI!$A$1:$GI$145,ROW('KSH järjestus'!BK106),MATCH('KSH järjestus'!BK$3,KOMBI!$A$1:$GI$1,0))</f>
        <v>0.365554189246803</v>
      </c>
      <c r="BL99" s="25">
        <f t="array" ref="BL99">INDEX(KOMBI!$A$1:$GI$145,ROW('KSH järjestus'!BL106),MATCH('KSH järjestus'!BL$3,KOMBI!$A$1:$GI$1,0))</f>
        <v>2.0050016851583276E-2</v>
      </c>
      <c r="BM99" s="25">
        <f t="array" ref="BM99">INDEX(KOMBI!$A$1:$GI$145,ROW('KSH järjestus'!BM106),MATCH('KSH järjestus'!BM$3,KOMBI!$A$1:$GI$1,0))</f>
        <v>5.5873735579261598E-3</v>
      </c>
      <c r="BN99" s="25">
        <f t="array" ref="BN99">INDEX(KOMBI!$A$1:$GI$145,ROW('KSH järjestus'!BN106),MATCH('KSH järjestus'!BN$3,KOMBI!$A$1:$GI$1,0))</f>
        <v>8.0006206118792E-3</v>
      </c>
      <c r="BO99" s="25">
        <f t="array" ref="BO99">INDEX(KOMBI!$A$1:$GI$145,ROW('KSH järjestus'!BO106),MATCH('KSH järjestus'!BO$3,KOMBI!$A$1:$GI$1,0))</f>
        <v>1.2220034942787159E-2</v>
      </c>
      <c r="BP99" s="25">
        <f t="array" ref="BP99">INDEX(KOMBI!$A$1:$GI$145,ROW('KSH järjestus'!BP106),MATCH('KSH järjestus'!BP$3,KOMBI!$A$1:$GI$1,0))</f>
        <v>8.5167605777489079</v>
      </c>
      <c r="BQ99" s="25">
        <f t="array" ref="BQ99">INDEX(KOMBI!$A$1:$GI$145,ROW('KSH järjestus'!BQ106),MATCH('KSH järjestus'!BQ$3,KOMBI!$A$1:$GI$1,0))</f>
        <v>10.683999999999999</v>
      </c>
      <c r="BR99" s="25">
        <f t="array" ref="BR99">INDEX(KOMBI!$A$1:$GI$145,ROW('KSH järjestus'!BR106),MATCH('KSH järjestus'!BR$3,KOMBI!$A$1:$GI$1,0))</f>
        <v>-2.305497003297298E-2</v>
      </c>
      <c r="BS99" s="25">
        <f t="array" ref="BS99">INDEX(KOMBI!$A$1:$GI$145,ROW('KSH järjestus'!BS106),MATCH('KSH järjestus'!BS$3,KOMBI!$A$1:$GI$1,0))</f>
        <v>-3.8187349362355377E-2</v>
      </c>
      <c r="BT99" s="25">
        <f t="array" ref="BT99">INDEX(KOMBI!$A$1:$GI$145,ROW('KSH järjestus'!BT106),MATCH('KSH järjestus'!BT$3,KOMBI!$A$1:$GI$1,0))</f>
        <v>-4.7281124940060919E-2</v>
      </c>
      <c r="BU99" s="25">
        <f t="array" ref="BU99">INDEX(KOMBI!$A$1:$GI$145,ROW('KSH järjestus'!BU106),MATCH('KSH järjestus'!BU$3,KOMBI!$A$1:$GI$1,0))</f>
        <v>7.9391111109201011</v>
      </c>
      <c r="BV99" s="25">
        <f t="array" ref="BV99">INDEX(KOMBI!$A$1:$GI$145,ROW('KSH järjestus'!BV106),MATCH('KSH järjestus'!BV$3,KOMBI!$A$1:$GI$1,0))</f>
        <v>5.3630000000000004</v>
      </c>
      <c r="BW99" s="25">
        <f t="array" ref="BW99">INDEX(KOMBI!$A$1:$GI$145,ROW('KSH järjestus'!BW106),MATCH('KSH järjestus'!BW$3,KOMBI!$A$1:$GI$1,0))</f>
        <v>1.92908499063732</v>
      </c>
      <c r="BX99" s="25">
        <f t="array" ref="BX99">INDEX(KOMBI!$A$1:$GI$145,ROW('KSH järjestus'!BX106),MATCH('KSH järjestus'!BX$3,KOMBI!$A$1:$GI$1,0))</f>
        <v>18.083578011574538</v>
      </c>
      <c r="BY99" s="25">
        <f t="array" ref="BY99">INDEX(KOMBI!$A$1:$GI$145,ROW('KSH järjestus'!BY106),MATCH('KSH järjestus'!BY$3,KOMBI!$A$1:$GI$1,0))</f>
        <v>12.801077976340796</v>
      </c>
      <c r="BZ99" s="25">
        <f t="array" ref="BZ99">INDEX(KOMBI!$A$1:$GI$145,ROW('KSH järjestus'!BZ106),MATCH('KSH järjestus'!BZ$3,KOMBI!$A$1:$GI$1,0))</f>
        <v>73</v>
      </c>
      <c r="CA99" s="25">
        <f t="array" ref="CA99">INDEX(KOMBI!$A$1:$GI$145,ROW('KSH järjestus'!CA106),MATCH('KSH järjestus'!CA$3,KOMBI!$A$1:$GI$1,0))</f>
        <v>14.067</v>
      </c>
      <c r="CB99" s="25">
        <f t="array" ref="CB99">INDEX(KOMBI!$A$1:$GI$145,ROW('KSH järjestus'!CB106),MATCH('KSH järjestus'!CB$3,KOMBI!$A$1:$GI$1,0))</f>
        <v>63.112222222222222</v>
      </c>
      <c r="CC99" s="25">
        <f t="array" ref="CC99">INDEX(KOMBI!$A$1:$GI$145,ROW('KSH järjestus'!CC106),MATCH('KSH järjestus'!CC$3,KOMBI!$A$1:$GI$1,0))</f>
        <v>5.0749719999999998</v>
      </c>
      <c r="CD99" s="25">
        <f t="array" ref="CD99">INDEX(KOMBI!$A$1:$GI$145,ROW('KSH järjestus'!CD106),MATCH('KSH järjestus'!CD$3,KOMBI!$A$1:$GI$1,0))</f>
        <v>315.49999999999994</v>
      </c>
      <c r="CE99" s="25">
        <f t="array" ref="CE99">INDEX(KOMBI!$A$1:$GI$145,ROW('KSH järjestus'!CE106),MATCH('KSH järjestus'!CE$3,KOMBI!$A$1:$GI$1,0))</f>
        <v>3.0510000000000002</v>
      </c>
      <c r="CF99" s="25">
        <f t="array" ref="CF99">INDEX(KOMBI!$A$1:$GI$145,ROW('KSH järjestus'!CF106),MATCH('KSH järjestus'!CF$3,KOMBI!$A$1:$GI$1,0))</f>
        <v>47.412900516795858</v>
      </c>
      <c r="CG99" s="25">
        <f t="array" ref="CG99">INDEX(KOMBI!$A$1:$GI$145,ROW('KSH järjestus'!CG106),MATCH('KSH järjestus'!CG$3,KOMBI!$A$1:$GI$1,0))</f>
        <v>2.3132392489112068E-2</v>
      </c>
      <c r="CH99" s="25">
        <f t="array" ref="CH99">INDEX(KOMBI!$A$1:$GI$145,ROW('KSH järjestus'!CH106),MATCH('KSH järjestus'!CH$3,KOMBI!$A$1:$GI$1,0))</f>
        <v>0.4418964743705141</v>
      </c>
      <c r="CI99" s="25">
        <f t="array" ref="CI99">INDEX(KOMBI!$A$1:$GI$145,ROW('KSH järjestus'!CI106),MATCH('KSH järjestus'!CI$3,KOMBI!$A$1:$GI$1,0))</f>
        <v>6.78</v>
      </c>
      <c r="CJ99" s="25">
        <f t="array" ref="CJ99">INDEX(KOMBI!$A$1:$GI$145,ROW('KSH järjestus'!CJ106),MATCH('KSH järjestus'!CJ$3,KOMBI!$A$1:$GI$1,0))</f>
        <v>4.7128849906373196</v>
      </c>
      <c r="CK99" s="25">
        <f t="array" ref="CK99">INDEX(KOMBI!$A$1:$GI$145,ROW('KSH järjestus'!CK106),MATCH('KSH järjestus'!CK$3,KOMBI!$A$1:$GI$1,0))</f>
        <v>0.22900000000000001</v>
      </c>
      <c r="CL99" s="25">
        <f t="array" ref="CL99">INDEX(KOMBI!$A$1:$GI$145,ROW('KSH järjestus'!CL106),MATCH('KSH järjestus'!CL$3,KOMBI!$A$1:$GI$1,0))</f>
        <v>0.82899999999999996</v>
      </c>
    </row>
    <row r="100" spans="3:90" x14ac:dyDescent="0.2">
      <c r="C100" s="184">
        <v>97</v>
      </c>
      <c r="G100" s="25">
        <f>RANK(INDEX(KOMBI!$A$11:$GI$145,MATCH('KSH järjestus'!$C100,KOMBI!$A$11:$A$145,0),MATCH('KSH järjestus'!G$3,KOMBI!$A$1:$GI$1,0)),BD$4:BD$138,G$2)</f>
        <v>101</v>
      </c>
      <c r="H100" s="25">
        <f>RANK(INDEX(KOMBI!$A$11:$GI$145,MATCH('KSH järjestus'!$C100,KOMBI!$A$11:$A$145,0),MATCH('KSH järjestus'!H$3,KOMBI!$A$1:$GI$1,0)),BE$4:BE$138,H$2)</f>
        <v>76</v>
      </c>
      <c r="J100" s="25">
        <f>RANK(INDEX(KOMBI!$A$11:$GI$145,MATCH('KSH järjestus'!$C100,KOMBI!$A$11:$A$145,0),MATCH('KSH järjestus'!J$3,KOMBI!$A$1:$GI$1,0)),BG$4:BG$138,J$2)</f>
        <v>50</v>
      </c>
      <c r="M100" s="25">
        <f>RANK(INDEX(KOMBI!$A$11:$GI$145,MATCH('KSH järjestus'!$C100,KOMBI!$A$11:$A$145,0),MATCH('KSH järjestus'!M$3,KOMBI!$A$1:$GI$1,0)),BJ$4:BJ$138,M$2)</f>
        <v>28</v>
      </c>
      <c r="N100" s="25">
        <f>RANK(INDEX(KOMBI!$A$11:$GI$145,MATCH('KSH järjestus'!$C100,KOMBI!$A$11:$A$145,0),MATCH('KSH järjestus'!N$3,KOMBI!$A$1:$GI$1,0)),BK$4:BK$138,N$2)</f>
        <v>31</v>
      </c>
      <c r="O100" s="25">
        <f>RANK(INDEX(KOMBI!$A$11:$GI$145,MATCH('KSH järjestus'!$C100,KOMBI!$A$11:$A$145,0),MATCH('KSH järjestus'!O$3,KOMBI!$A$1:$GI$1,0)),BL$4:BL$138,O$2)</f>
        <v>89</v>
      </c>
      <c r="P100" s="25">
        <f>RANK(INDEX(KOMBI!$A$11:$GI$145,MATCH('KSH järjestus'!$C100,KOMBI!$A$11:$A$145,0),MATCH('KSH järjestus'!P$3,KOMBI!$A$1:$GI$1,0)),BM$4:BM$138,P$2)</f>
        <v>18</v>
      </c>
      <c r="Q100" s="25">
        <f>RANK(INDEX(KOMBI!$A$11:$GI$145,MATCH('KSH järjestus'!$C100,KOMBI!$A$11:$A$145,0),MATCH('KSH järjestus'!Q$3,KOMBI!$A$1:$GI$1,0)),BN$4:BN$138,Q$2)</f>
        <v>47</v>
      </c>
      <c r="R100" s="25">
        <f>RANK(INDEX(KOMBI!$A$11:$GI$145,MATCH('KSH järjestus'!$C100,KOMBI!$A$11:$A$145,0),MATCH('KSH järjestus'!R$3,KOMBI!$A$1:$GI$1,0)),BO$4:BO$138,R$2)</f>
        <v>114</v>
      </c>
      <c r="T100" s="25">
        <f>RANK(INDEX(KOMBI!$A$11:$GI$145,MATCH('KSH järjestus'!$C100,KOMBI!$A$11:$A$145,0),MATCH('KSH järjestus'!T$3,KOMBI!$A$1:$GI$1,0)),BQ$4:BQ$138,T$2)</f>
        <v>51</v>
      </c>
      <c r="U100" s="25">
        <f>RANK(INDEX(KOMBI!$A$11:$GI$145,MATCH('KSH järjestus'!$C100,KOMBI!$A$11:$A$145,0),MATCH('KSH järjestus'!U$3,KOMBI!$A$1:$GI$1,0)),BR$4:BR$138,U$2)</f>
        <v>52</v>
      </c>
      <c r="AA100" s="25">
        <f>RANK(INDEX(KOMBI!$A$11:$GI$145,MATCH('KSH järjestus'!$C100,KOMBI!$A$11:$A$145,0),MATCH('KSH järjestus'!AA$3,KOMBI!$A$1:$GI$1,0)),BX$4:BX$138,AA$2)</f>
        <v>49</v>
      </c>
      <c r="AB100" s="25">
        <f>RANK(INDEX(KOMBI!$A$11:$GI$145,MATCH('KSH järjestus'!$C100,KOMBI!$A$11:$A$145,0),MATCH('KSH järjestus'!AB$3,KOMBI!$A$1:$GI$1,0)),BY$4:BY$138,AB$2)</f>
        <v>82</v>
      </c>
      <c r="AC100" s="25">
        <f>RANK(INDEX(KOMBI!$A$11:$GI$145,MATCH('KSH järjestus'!$C100,KOMBI!$A$11:$A$145,0),MATCH('KSH järjestus'!AC$3,KOMBI!$A$1:$GI$1,0)),BZ$4:BZ$138,AC$2)</f>
        <v>40</v>
      </c>
      <c r="AD100" s="25">
        <f>RANK(INDEX(KOMBI!$A$11:$GI$145,MATCH('KSH järjestus'!$C100,KOMBI!$A$11:$A$145,0),MATCH('KSH järjestus'!AD$3,KOMBI!$A$1:$GI$1,0)),CA$4:CA$138,AD$2)</f>
        <v>48</v>
      </c>
      <c r="AE100" s="25">
        <f>RANK(INDEX(KOMBI!$A$11:$GI$145,MATCH('KSH järjestus'!$C100,KOMBI!$A$11:$A$145,0),MATCH('KSH järjestus'!AE$3,KOMBI!$A$1:$GI$1,0)),CB$4:CB$138,AE$2)</f>
        <v>54</v>
      </c>
      <c r="AG100" s="25">
        <f>RANK(INDEX(KOMBI!$A$11:$GI$145,MATCH('KSH järjestus'!$C100,KOMBI!$A$11:$A$145,0),MATCH('KSH järjestus'!AG$3,KOMBI!$A$1:$GI$1,0)),CD$4:CD$138,AG$2)</f>
        <v>79</v>
      </c>
      <c r="AH100" s="25">
        <f>RANK(INDEX(KOMBI!$A$11:$GI$145,MATCH('KSH järjestus'!$C100,KOMBI!$A$11:$A$145,0),MATCH('KSH järjestus'!AH$3,KOMBI!$A$1:$GI$1,0)),CE$4:CE$138,AH$2)</f>
        <v>106</v>
      </c>
      <c r="AI100" s="25">
        <f>RANK(INDEX(KOMBI!$A$11:$GI$145,MATCH('KSH järjestus'!$C100,KOMBI!$A$11:$A$145,0),MATCH('KSH järjestus'!AI$3,KOMBI!$A$1:$GI$1,0)),CF$4:CF$138,AI$2)</f>
        <v>55</v>
      </c>
      <c r="AJ100" s="25">
        <f>RANK(INDEX(KOMBI!$A$11:$GI$145,MATCH('KSH järjestus'!$C100,KOMBI!$A$11:$A$145,0),MATCH('KSH järjestus'!AJ$3,KOMBI!$A$1:$GI$1,0)),CG$4:CG$138,AJ$2)</f>
        <v>10</v>
      </c>
      <c r="AK100" s="25">
        <f>RANK(INDEX(KOMBI!$A$11:$GI$145,MATCH('KSH järjestus'!$C100,KOMBI!$A$11:$A$145,0),MATCH('KSH järjestus'!AK$3,KOMBI!$A$1:$GI$1,0)),CH$4:CH$138,AK$2)</f>
        <v>16</v>
      </c>
      <c r="AN100" s="25">
        <f>RANK(INDEX(KOMBI!$A$11:$GI$145,MATCH('KSH järjestus'!$C100,KOMBI!$A$11:$A$145,0),MATCH('KSH järjestus'!AN$3,KOMBI!$A$1:$GI$1,0)),CK$4:CK$138,AN$2)</f>
        <v>91</v>
      </c>
      <c r="AO100" s="25">
        <f>RANK(INDEX(KOMBI!$A$11:$GI$145,MATCH('KSH järjestus'!$C100,KOMBI!$A$11:$A$145,0),MATCH('KSH järjestus'!AO$3,KOMBI!$A$1:$GI$1,0)),CL$4:CL$138,AO$2)</f>
        <v>91</v>
      </c>
      <c r="AS100" s="297">
        <f t="shared" ref="AS100:AS132" si="7">SUM(D100:AO100)</f>
        <v>1378</v>
      </c>
      <c r="AT100" s="25">
        <f t="shared" si="5"/>
        <v>1732</v>
      </c>
      <c r="AU100" s="25">
        <f t="shared" si="6"/>
        <v>25</v>
      </c>
      <c r="AV100" s="295" t="str">
        <f>VLOOKUP(VLOOKUP($AU100,KOMBI!$A:$H,3,FALSE),data!$I$27:$J$29,2,FALSE)</f>
        <v>Vähe-sekkuv</v>
      </c>
      <c r="AW100" s="295" t="str">
        <f>VLOOKUP(VLOOKUP($AU100,KOMBI!$A:$H,2,FALSE),data!$I$21:$J$23,2,FALSE)</f>
        <v>Mittesekkuv</v>
      </c>
      <c r="AX100" s="295" t="str">
        <f>VLOOKUP(VLOOKUP($AU100,KOMBI!$A:$H,5,FALSE),data!$I$39:$J$41,2,FALSE)</f>
        <v>Mittesekkuv</v>
      </c>
      <c r="AY100" s="295" t="str">
        <f>VLOOKUP(VLOOKUP($AU100,KOMBI!$A:$H,4,FALSE),data!$I$32:$J$36,2,FALSE)</f>
        <v>TE++</v>
      </c>
      <c r="BA100" s="25">
        <f t="array" ref="BA100">INDEX(KOMBI!$A$1:$GI$145,ROW('KSH järjestus'!BA107),MATCH('KSH järjestus'!BA$3,KOMBI!$A$1:$GI$1,0))</f>
        <v>5.1213648948307222</v>
      </c>
      <c r="BB100" s="25">
        <f t="array" ref="BB100">INDEX(KOMBI!$A$1:$GI$145,ROW('KSH järjestus'!BB107),MATCH('KSH järjestus'!BB$3,KOMBI!$A$1:$GI$1,0))</f>
        <v>323.04906992302904</v>
      </c>
      <c r="BC100" s="25">
        <f t="array" aca="1" ref="BC100" ca="1">INDEX(KOMBI!$A$1:$GI$145,ROW('KSH järjestus'!BC107),MATCH('KSH järjestus'!BC$3,KOMBI!$A$1:$GI$1,0))</f>
        <v>110.24226548491163</v>
      </c>
      <c r="BD100" s="25">
        <f t="array" ref="BD100">INDEX(KOMBI!$A$1:$GI$145,ROW('KSH järjestus'!BD107),MATCH('KSH järjestus'!BD$3,KOMBI!$A$1:$GI$1,0))</f>
        <v>-40.537500000000001</v>
      </c>
      <c r="BE100" s="25">
        <f t="array" ref="BE100">INDEX(KOMBI!$A$1:$GI$145,ROW('KSH järjestus'!BE107),MATCH('KSH järjestus'!BE$3,KOMBI!$A$1:$GI$1,0))</f>
        <v>150.77976548491162</v>
      </c>
      <c r="BF100" s="25">
        <f t="array" aca="1" ref="BF100" ca="1">INDEX(KOMBI!$A$1:$GI$145,ROW('KSH järjestus'!BF107),MATCH('KSH järjestus'!BF$3,KOMBI!$A$1:$GI$1,0))</f>
        <v>0</v>
      </c>
      <c r="BG100" s="25">
        <f t="array" ref="BG100">INDEX(KOMBI!$A$1:$GI$145,ROW('KSH järjestus'!BG107),MATCH('KSH järjestus'!BG$3,KOMBI!$A$1:$GI$1,0))</f>
        <v>0.52005500604624821</v>
      </c>
      <c r="BH100" s="25">
        <f t="array" ref="BH100">INDEX(KOMBI!$A$1:$GI$145,ROW('KSH järjestus'!BH107),MATCH('KSH järjestus'!BH$3,KOMBI!$A$1:$GI$1,0))</f>
        <v>90</v>
      </c>
      <c r="BI100" s="25">
        <f t="array" ref="BI100">INDEX(KOMBI!$A$1:$GI$145,ROW('KSH järjestus'!BI107),MATCH('KSH järjestus'!BI$3,KOMBI!$A$1:$GI$1,0))</f>
        <v>1</v>
      </c>
      <c r="BJ100" s="25">
        <f t="array" ref="BJ100">INDEX(KOMBI!$A$1:$GI$145,ROW('KSH järjestus'!BJ107),MATCH('KSH järjestus'!BJ$3,KOMBI!$A$1:$GI$1,0))</f>
        <v>6.6265060240963902E-2</v>
      </c>
      <c r="BK100" s="25">
        <f t="array" ref="BK100">INDEX(KOMBI!$A$1:$GI$145,ROW('KSH järjestus'!BK107),MATCH('KSH järjestus'!BK$3,KOMBI!$A$1:$GI$1,0))</f>
        <v>0.41103635614105855</v>
      </c>
      <c r="BL100" s="25">
        <f t="array" ref="BL100">INDEX(KOMBI!$A$1:$GI$145,ROW('KSH järjestus'!BL107),MATCH('KSH järjestus'!BL$3,KOMBI!$A$1:$GI$1,0))</f>
        <v>1.2727214601911167E-2</v>
      </c>
      <c r="BM100" s="25">
        <f t="array" ref="BM100">INDEX(KOMBI!$A$1:$GI$145,ROW('KSH järjestus'!BM107),MATCH('KSH järjestus'!BM$3,KOMBI!$A$1:$GI$1,0))</f>
        <v>7.4784487247079468E-3</v>
      </c>
      <c r="BN100" s="25">
        <f t="array" ref="BN100">INDEX(KOMBI!$A$1:$GI$145,ROW('KSH järjestus'!BN107),MATCH('KSH järjestus'!BN$3,KOMBI!$A$1:$GI$1,0))</f>
        <v>5.8138453438607851E-3</v>
      </c>
      <c r="BO100" s="25">
        <f t="array" ref="BO100">INDEX(KOMBI!$A$1:$GI$145,ROW('KSH järjestus'!BO107),MATCH('KSH järjestus'!BO$3,KOMBI!$A$1:$GI$1,0))</f>
        <v>7.0024194730387516E-3</v>
      </c>
      <c r="BP100" s="25">
        <f t="array" ref="BP100">INDEX(KOMBI!$A$1:$GI$145,ROW('KSH järjestus'!BP107),MATCH('KSH järjestus'!BP$3,KOMBI!$A$1:$GI$1,0))</f>
        <v>8.5193156794471037</v>
      </c>
      <c r="BQ100" s="25">
        <f t="array" ref="BQ100">INDEX(KOMBI!$A$1:$GI$145,ROW('KSH järjestus'!BQ107),MATCH('KSH järjestus'!BQ$3,KOMBI!$A$1:$GI$1,0))</f>
        <v>10.452</v>
      </c>
      <c r="BR100" s="25">
        <f t="array" ref="BR100">INDEX(KOMBI!$A$1:$GI$145,ROW('KSH järjestus'!BR107),MATCH('KSH järjestus'!BR$3,KOMBI!$A$1:$GI$1,0))</f>
        <v>-3.1251602298081632E-2</v>
      </c>
      <c r="BS100" s="25">
        <f t="array" ref="BS100">INDEX(KOMBI!$A$1:$GI$145,ROW('KSH järjestus'!BS107),MATCH('KSH järjestus'!BS$3,KOMBI!$A$1:$GI$1,0))</f>
        <v>-4.1112564852810153E-2</v>
      </c>
      <c r="BT100" s="25">
        <f t="array" ref="BT100">INDEX(KOMBI!$A$1:$GI$145,ROW('KSH järjestus'!BT107),MATCH('KSH järjestus'!BT$3,KOMBI!$A$1:$GI$1,0))</f>
        <v>-4.9568296347284525E-2</v>
      </c>
      <c r="BU100" s="25">
        <f t="array" ref="BU100">INDEX(KOMBI!$A$1:$GI$145,ROW('KSH järjestus'!BU107),MATCH('KSH järjestus'!BU$3,KOMBI!$A$1:$GI$1,0))</f>
        <v>7.9062826922990279</v>
      </c>
      <c r="BV100" s="25">
        <f t="array" ref="BV100">INDEX(KOMBI!$A$1:$GI$145,ROW('KSH järjestus'!BV107),MATCH('KSH järjestus'!BV$3,KOMBI!$A$1:$GI$1,0))</f>
        <v>5.33</v>
      </c>
      <c r="BW100" s="25">
        <f t="array" ref="BW100">INDEX(KOMBI!$A$1:$GI$145,ROW('KSH järjestus'!BW107),MATCH('KSH järjestus'!BW$3,KOMBI!$A$1:$GI$1,0))</f>
        <v>1.3428849906373199</v>
      </c>
      <c r="BX100" s="25">
        <f t="array" ref="BX100">INDEX(KOMBI!$A$1:$GI$145,ROW('KSH järjestus'!BX107),MATCH('KSH järjestus'!BX$3,KOMBI!$A$1:$GI$1,0))</f>
        <v>18.086861099430585</v>
      </c>
      <c r="BY100" s="25">
        <f t="array" ref="BY100">INDEX(KOMBI!$A$1:$GI$145,ROW('KSH järjestus'!BY107),MATCH('KSH järjestus'!BY$3,KOMBI!$A$1:$GI$1,0))</f>
        <v>12.801077976340796</v>
      </c>
      <c r="BZ100" s="25">
        <f t="array" ref="BZ100">INDEX(KOMBI!$A$1:$GI$145,ROW('KSH järjestus'!BZ107),MATCH('KSH järjestus'!BZ$3,KOMBI!$A$1:$GI$1,0))</f>
        <v>72</v>
      </c>
      <c r="CA100" s="25">
        <f t="array" ref="CA100">INDEX(KOMBI!$A$1:$GI$145,ROW('KSH järjestus'!CA107),MATCH('KSH järjestus'!CA$3,KOMBI!$A$1:$GI$1,0))</f>
        <v>13.741</v>
      </c>
      <c r="CB100" s="25">
        <f t="array" ref="CB100">INDEX(KOMBI!$A$1:$GI$145,ROW('KSH järjestus'!CB107),MATCH('KSH järjestus'!CB$3,KOMBI!$A$1:$GI$1,0))</f>
        <v>61.869722222222222</v>
      </c>
      <c r="CC100" s="25">
        <f t="array" ref="CC100">INDEX(KOMBI!$A$1:$GI$145,ROW('KSH järjestus'!CC107),MATCH('KSH järjestus'!CC$3,KOMBI!$A$1:$GI$1,0))</f>
        <v>4.969354</v>
      </c>
      <c r="CD100" s="25">
        <f t="array" ref="CD100">INDEX(KOMBI!$A$1:$GI$145,ROW('KSH järjestus'!CD107),MATCH('KSH järjestus'!CD$3,KOMBI!$A$1:$GI$1,0))</f>
        <v>315.49999999999994</v>
      </c>
      <c r="CE100" s="25">
        <f t="array" ref="CE100">INDEX(KOMBI!$A$1:$GI$145,ROW('KSH järjestus'!CE107),MATCH('KSH järjestus'!CE$3,KOMBI!$A$1:$GI$1,0))</f>
        <v>3.0510000000000002</v>
      </c>
      <c r="CF100" s="25">
        <f t="array" ref="CF100">INDEX(KOMBI!$A$1:$GI$145,ROW('KSH järjestus'!CF107),MATCH('KSH järjestus'!CF$3,KOMBI!$A$1:$GI$1,0))</f>
        <v>47.372900516795859</v>
      </c>
      <c r="CG100" s="25">
        <f t="array" ref="CG100">INDEX(KOMBI!$A$1:$GI$145,ROW('KSH järjestus'!CG107),MATCH('KSH järjestus'!CG$3,KOMBI!$A$1:$GI$1,0))</f>
        <v>8.4247602275161246E-2</v>
      </c>
      <c r="CH100" s="25">
        <f t="array" ref="CH100">INDEX(KOMBI!$A$1:$GI$145,ROW('KSH järjestus'!CH107),MATCH('KSH järjestus'!CH$3,KOMBI!$A$1:$GI$1,0))</f>
        <v>0.50386843943393778</v>
      </c>
      <c r="CI100" s="25">
        <f t="array" ref="CI100">INDEX(KOMBI!$A$1:$GI$145,ROW('KSH järjestus'!CI107),MATCH('KSH järjestus'!CI$3,KOMBI!$A$1:$GI$1,0))</f>
        <v>6.78</v>
      </c>
      <c r="CJ100" s="25">
        <f t="array" ref="CJ100">INDEX(KOMBI!$A$1:$GI$145,ROW('KSH järjestus'!CJ107),MATCH('KSH järjestus'!CJ$3,KOMBI!$A$1:$GI$1,0))</f>
        <v>4.0208849906373194</v>
      </c>
      <c r="CK100" s="25">
        <f t="array" ref="CK100">INDEX(KOMBI!$A$1:$GI$145,ROW('KSH järjestus'!CK107),MATCH('KSH järjestus'!CK$3,KOMBI!$A$1:$GI$1,0))</f>
        <v>0.22900000000000001</v>
      </c>
      <c r="CL100" s="25">
        <f t="array" ref="CL100">INDEX(KOMBI!$A$1:$GI$145,ROW('KSH järjestus'!CL107),MATCH('KSH järjestus'!CL$3,KOMBI!$A$1:$GI$1,0))</f>
        <v>0.82899999999999996</v>
      </c>
    </row>
    <row r="101" spans="3:90" x14ac:dyDescent="0.2">
      <c r="C101" s="184">
        <v>98</v>
      </c>
      <c r="G101" s="25">
        <f>RANK(INDEX(KOMBI!$A$11:$GI$145,MATCH('KSH järjestus'!$C101,KOMBI!$A$11:$A$145,0),MATCH('KSH järjestus'!G$3,KOMBI!$A$1:$GI$1,0)),BD$4:BD$138,G$2)</f>
        <v>91</v>
      </c>
      <c r="H101" s="25">
        <f>RANK(INDEX(KOMBI!$A$11:$GI$145,MATCH('KSH järjestus'!$C101,KOMBI!$A$11:$A$145,0),MATCH('KSH järjestus'!H$3,KOMBI!$A$1:$GI$1,0)),BE$4:BE$138,H$2)</f>
        <v>46</v>
      </c>
      <c r="J101" s="25">
        <f>RANK(INDEX(KOMBI!$A$11:$GI$145,MATCH('KSH järjestus'!$C101,KOMBI!$A$11:$A$145,0),MATCH('KSH järjestus'!J$3,KOMBI!$A$1:$GI$1,0)),BG$4:BG$138,J$2)</f>
        <v>32</v>
      </c>
      <c r="M101" s="25">
        <f>RANK(INDEX(KOMBI!$A$11:$GI$145,MATCH('KSH järjestus'!$C101,KOMBI!$A$11:$A$145,0),MATCH('KSH järjestus'!M$3,KOMBI!$A$1:$GI$1,0)),BJ$4:BJ$138,M$2)</f>
        <v>28</v>
      </c>
      <c r="N101" s="25">
        <f>RANK(INDEX(KOMBI!$A$11:$GI$145,MATCH('KSH järjestus'!$C101,KOMBI!$A$11:$A$145,0),MATCH('KSH järjestus'!N$3,KOMBI!$A$1:$GI$1,0)),BK$4:BK$138,N$2)</f>
        <v>31</v>
      </c>
      <c r="O101" s="25">
        <f>RANK(INDEX(KOMBI!$A$11:$GI$145,MATCH('KSH järjestus'!$C101,KOMBI!$A$11:$A$145,0),MATCH('KSH järjestus'!O$3,KOMBI!$A$1:$GI$1,0)),BL$4:BL$138,O$2)</f>
        <v>49</v>
      </c>
      <c r="P101" s="25">
        <f>RANK(INDEX(KOMBI!$A$11:$GI$145,MATCH('KSH järjestus'!$C101,KOMBI!$A$11:$A$145,0),MATCH('KSH järjestus'!P$3,KOMBI!$A$1:$GI$1,0)),BM$4:BM$138,P$2)</f>
        <v>39</v>
      </c>
      <c r="Q101" s="25">
        <f>RANK(INDEX(KOMBI!$A$11:$GI$145,MATCH('KSH järjestus'!$C101,KOMBI!$A$11:$A$145,0),MATCH('KSH järjestus'!Q$3,KOMBI!$A$1:$GI$1,0)),BN$4:BN$138,Q$2)</f>
        <v>28</v>
      </c>
      <c r="R101" s="25">
        <f>RANK(INDEX(KOMBI!$A$11:$GI$145,MATCH('KSH järjestus'!$C101,KOMBI!$A$11:$A$145,0),MATCH('KSH järjestus'!R$3,KOMBI!$A$1:$GI$1,0)),BO$4:BO$138,R$2)</f>
        <v>81</v>
      </c>
      <c r="T101" s="25">
        <f>RANK(INDEX(KOMBI!$A$11:$GI$145,MATCH('KSH järjestus'!$C101,KOMBI!$A$11:$A$145,0),MATCH('KSH järjestus'!T$3,KOMBI!$A$1:$GI$1,0)),BQ$4:BQ$138,T$2)</f>
        <v>59</v>
      </c>
      <c r="U101" s="25">
        <f>RANK(INDEX(KOMBI!$A$11:$GI$145,MATCH('KSH järjestus'!$C101,KOMBI!$A$11:$A$145,0),MATCH('KSH järjestus'!U$3,KOMBI!$A$1:$GI$1,0)),BR$4:BR$138,U$2)</f>
        <v>65</v>
      </c>
      <c r="AA101" s="25">
        <f>RANK(INDEX(KOMBI!$A$11:$GI$145,MATCH('KSH järjestus'!$C101,KOMBI!$A$11:$A$145,0),MATCH('KSH järjestus'!AA$3,KOMBI!$A$1:$GI$1,0)),BX$4:BX$138,AA$2)</f>
        <v>49</v>
      </c>
      <c r="AB101" s="25">
        <f>RANK(INDEX(KOMBI!$A$11:$GI$145,MATCH('KSH järjestus'!$C101,KOMBI!$A$11:$A$145,0),MATCH('KSH järjestus'!AB$3,KOMBI!$A$1:$GI$1,0)),BY$4:BY$138,AB$2)</f>
        <v>82</v>
      </c>
      <c r="AC101" s="25">
        <f>RANK(INDEX(KOMBI!$A$11:$GI$145,MATCH('KSH järjestus'!$C101,KOMBI!$A$11:$A$145,0),MATCH('KSH järjestus'!AC$3,KOMBI!$A$1:$GI$1,0)),BZ$4:BZ$138,AC$2)</f>
        <v>42</v>
      </c>
      <c r="AD101" s="25">
        <f>RANK(INDEX(KOMBI!$A$11:$GI$145,MATCH('KSH järjestus'!$C101,KOMBI!$A$11:$A$145,0),MATCH('KSH järjestus'!AD$3,KOMBI!$A$1:$GI$1,0)),CA$4:CA$138,AD$2)</f>
        <v>54</v>
      </c>
      <c r="AE101" s="25">
        <f>RANK(INDEX(KOMBI!$A$11:$GI$145,MATCH('KSH järjestus'!$C101,KOMBI!$A$11:$A$145,0),MATCH('KSH järjestus'!AE$3,KOMBI!$A$1:$GI$1,0)),CB$4:CB$138,AE$2)</f>
        <v>57</v>
      </c>
      <c r="AG101" s="25">
        <f>RANK(INDEX(KOMBI!$A$11:$GI$145,MATCH('KSH järjestus'!$C101,KOMBI!$A$11:$A$145,0),MATCH('KSH järjestus'!AG$3,KOMBI!$A$1:$GI$1,0)),CD$4:CD$138,AG$2)</f>
        <v>79</v>
      </c>
      <c r="AH101" s="25">
        <f>RANK(INDEX(KOMBI!$A$11:$GI$145,MATCH('KSH järjestus'!$C101,KOMBI!$A$11:$A$145,0),MATCH('KSH järjestus'!AH$3,KOMBI!$A$1:$GI$1,0)),CE$4:CE$138,AH$2)</f>
        <v>106</v>
      </c>
      <c r="AI101" s="25">
        <f>RANK(INDEX(KOMBI!$A$11:$GI$145,MATCH('KSH järjestus'!$C101,KOMBI!$A$11:$A$145,0),MATCH('KSH järjestus'!AI$3,KOMBI!$A$1:$GI$1,0)),CF$4:CF$138,AI$2)</f>
        <v>55</v>
      </c>
      <c r="AJ101" s="25">
        <f>RANK(INDEX(KOMBI!$A$11:$GI$145,MATCH('KSH järjestus'!$C101,KOMBI!$A$11:$A$145,0),MATCH('KSH järjestus'!AJ$3,KOMBI!$A$1:$GI$1,0)),CG$4:CG$138,AJ$2)</f>
        <v>10</v>
      </c>
      <c r="AK101" s="25">
        <f>RANK(INDEX(KOMBI!$A$11:$GI$145,MATCH('KSH järjestus'!$C101,KOMBI!$A$11:$A$145,0),MATCH('KSH järjestus'!AK$3,KOMBI!$A$1:$GI$1,0)),CH$4:CH$138,AK$2)</f>
        <v>16</v>
      </c>
      <c r="AN101" s="25">
        <f>RANK(INDEX(KOMBI!$A$11:$GI$145,MATCH('KSH järjestus'!$C101,KOMBI!$A$11:$A$145,0),MATCH('KSH järjestus'!AN$3,KOMBI!$A$1:$GI$1,0)),CK$4:CK$138,AN$2)</f>
        <v>91</v>
      </c>
      <c r="AO101" s="25">
        <f>RANK(INDEX(KOMBI!$A$11:$GI$145,MATCH('KSH järjestus'!$C101,KOMBI!$A$11:$A$145,0),MATCH('KSH järjestus'!AO$3,KOMBI!$A$1:$GI$1,0)),CL$4:CL$138,AO$2)</f>
        <v>91</v>
      </c>
      <c r="AS101" s="297">
        <f t="shared" si="7"/>
        <v>1281</v>
      </c>
      <c r="AT101" s="25">
        <f t="shared" si="5"/>
        <v>1736</v>
      </c>
      <c r="AU101" s="25">
        <f t="shared" si="6"/>
        <v>103</v>
      </c>
      <c r="AV101" s="295" t="str">
        <f>VLOOKUP(VLOOKUP($AU101,KOMBI!$A:$H,3,FALSE),data!$I$27:$J$29,2,FALSE)</f>
        <v>Mittesekkuv</v>
      </c>
      <c r="AW101" s="295" t="str">
        <f>VLOOKUP(VLOOKUP($AU101,KOMBI!$A:$H,2,FALSE),data!$I$21:$J$23,2,FALSE)</f>
        <v>Sekkuv</v>
      </c>
      <c r="AX101" s="295" t="str">
        <f>VLOOKUP(VLOOKUP($AU101,KOMBI!$A:$H,5,FALSE),data!$I$39:$J$41,2,FALSE)</f>
        <v>Mittesekkuv</v>
      </c>
      <c r="AY101" s="295" t="str">
        <f>VLOOKUP(VLOOKUP($AU101,KOMBI!$A:$H,4,FALSE),data!$I$32:$J$36,2,FALSE)</f>
        <v>PK &amp; UG</v>
      </c>
      <c r="BA101" s="25">
        <f t="array" ref="BA101">INDEX(KOMBI!$A$1:$GI$145,ROW('KSH järjestus'!BA108),MATCH('KSH järjestus'!BA$3,KOMBI!$A$1:$GI$1,0))</f>
        <v>6.0372765434765618</v>
      </c>
      <c r="BB101" s="25">
        <f t="array" ref="BB101">INDEX(KOMBI!$A$1:$GI$145,ROW('KSH järjestus'!BB108),MATCH('KSH järjestus'!BB$3,KOMBI!$A$1:$GI$1,0))</f>
        <v>483.52910219229227</v>
      </c>
      <c r="BC101" s="25">
        <f t="array" aca="1" ref="BC101" ca="1">INDEX(KOMBI!$A$1:$GI$145,ROW('KSH järjestus'!BC108),MATCH('KSH järjestus'!BC$3,KOMBI!$A$1:$GI$1,0))</f>
        <v>139.40758751344671</v>
      </c>
      <c r="BD101" s="25">
        <f t="array" ref="BD101">INDEX(KOMBI!$A$1:$GI$145,ROW('KSH järjestus'!BD108),MATCH('KSH järjestus'!BD$3,KOMBI!$A$1:$GI$1,0))</f>
        <v>-55.7707198806321</v>
      </c>
      <c r="BE101" s="25">
        <f t="array" ref="BE101">INDEX(KOMBI!$A$1:$GI$145,ROW('KSH järjestus'!BE108),MATCH('KSH järjestus'!BE$3,KOMBI!$A$1:$GI$1,0))</f>
        <v>195.17830739407881</v>
      </c>
      <c r="BF101" s="25">
        <f t="array" aca="1" ref="BF101" ca="1">INDEX(KOMBI!$A$1:$GI$145,ROW('KSH järjestus'!BF108),MATCH('KSH järjestus'!BF$3,KOMBI!$A$1:$GI$1,0))</f>
        <v>0</v>
      </c>
      <c r="BG101" s="25">
        <f t="array" ref="BG101">INDEX(KOMBI!$A$1:$GI$145,ROW('KSH järjestus'!BG108),MATCH('KSH järjestus'!BG$3,KOMBI!$A$1:$GI$1,0))</f>
        <v>0.47526179336330732</v>
      </c>
      <c r="BH101" s="25">
        <f t="array" ref="BH101">INDEX(KOMBI!$A$1:$GI$145,ROW('KSH järjestus'!BH108),MATCH('KSH järjestus'!BH$3,KOMBI!$A$1:$GI$1,0))</f>
        <v>90</v>
      </c>
      <c r="BI101" s="25">
        <f t="array" ref="BI101">INDEX(KOMBI!$A$1:$GI$145,ROW('KSH järjestus'!BI108),MATCH('KSH järjestus'!BI$3,KOMBI!$A$1:$GI$1,0))</f>
        <v>0.72887234460741657</v>
      </c>
      <c r="BJ101" s="25">
        <f t="array" ref="BJ101">INDEX(KOMBI!$A$1:$GI$145,ROW('KSH järjestus'!BJ108),MATCH('KSH järjestus'!BJ$3,KOMBI!$A$1:$GI$1,0))</f>
        <v>6.6265060240963902E-2</v>
      </c>
      <c r="BK101" s="25">
        <f t="array" ref="BK101">INDEX(KOMBI!$A$1:$GI$145,ROW('KSH järjestus'!BK108),MATCH('KSH järjestus'!BK$3,KOMBI!$A$1:$GI$1,0))</f>
        <v>0.41103635614105855</v>
      </c>
      <c r="BL101" s="25">
        <f t="array" ref="BL101">INDEX(KOMBI!$A$1:$GI$145,ROW('KSH järjestus'!BL108),MATCH('KSH järjestus'!BL$3,KOMBI!$A$1:$GI$1,0))</f>
        <v>1.9009607688333492E-2</v>
      </c>
      <c r="BM101" s="25">
        <f t="array" ref="BM101">INDEX(KOMBI!$A$1:$GI$145,ROW('KSH järjestus'!BM108),MATCH('KSH järjestus'!BM$3,KOMBI!$A$1:$GI$1,0))</f>
        <v>4.785395875292333E-3</v>
      </c>
      <c r="BN101" s="25">
        <f t="array" ref="BN101">INDEX(KOMBI!$A$1:$GI$145,ROW('KSH järjestus'!BN108),MATCH('KSH järjestus'!BN$3,KOMBI!$A$1:$GI$1,0))</f>
        <v>8.3067152052186122E-3</v>
      </c>
      <c r="BO101" s="25">
        <f t="array" ref="BO101">INDEX(KOMBI!$A$1:$GI$145,ROW('KSH järjestus'!BO108),MATCH('KSH järjestus'!BO$3,KOMBI!$A$1:$GI$1,0))</f>
        <v>1.082730601691558E-2</v>
      </c>
      <c r="BP101" s="25">
        <f t="array" ref="BP101">INDEX(KOMBI!$A$1:$GI$145,ROW('KSH järjestus'!BP108),MATCH('KSH järjestus'!BP$3,KOMBI!$A$1:$GI$1,0))</f>
        <v>8.5193156794471037</v>
      </c>
      <c r="BQ101" s="25">
        <f t="array" ref="BQ101">INDEX(KOMBI!$A$1:$GI$145,ROW('KSH järjestus'!BQ108),MATCH('KSH järjestus'!BQ$3,KOMBI!$A$1:$GI$1,0))</f>
        <v>10.542999999999999</v>
      </c>
      <c r="BR101" s="25">
        <f t="array" ref="BR101">INDEX(KOMBI!$A$1:$GI$145,ROW('KSH järjestus'!BR108),MATCH('KSH järjestus'!BR$3,KOMBI!$A$1:$GI$1,0))</f>
        <v>-2.7017803286816907E-2</v>
      </c>
      <c r="BS101" s="25">
        <f t="array" ref="BS101">INDEX(KOMBI!$A$1:$GI$145,ROW('KSH järjestus'!BS108),MATCH('KSH järjestus'!BS$3,KOMBI!$A$1:$GI$1,0))</f>
        <v>-3.9778952633174595E-2</v>
      </c>
      <c r="BT101" s="25">
        <f t="array" ref="BT101">INDEX(KOMBI!$A$1:$GI$145,ROW('KSH järjestus'!BT108),MATCH('KSH järjestus'!BT$3,KOMBI!$A$1:$GI$1,0))</f>
        <v>-4.846933354789057E-2</v>
      </c>
      <c r="BU101" s="25">
        <f t="array" ref="BU101">INDEX(KOMBI!$A$1:$GI$145,ROW('KSH järjestus'!BU108),MATCH('KSH järjestus'!BU$3,KOMBI!$A$1:$GI$1,0))</f>
        <v>7.9062826922990279</v>
      </c>
      <c r="BV101" s="25">
        <f t="array" ref="BV101">INDEX(KOMBI!$A$1:$GI$145,ROW('KSH järjestus'!BV108),MATCH('KSH järjestus'!BV$3,KOMBI!$A$1:$GI$1,0))</f>
        <v>5.33</v>
      </c>
      <c r="BW101" s="25">
        <f t="array" ref="BW101">INDEX(KOMBI!$A$1:$GI$145,ROW('KSH järjestus'!BW108),MATCH('KSH järjestus'!BW$3,KOMBI!$A$1:$GI$1,0))</f>
        <v>1.7203849906373201</v>
      </c>
      <c r="BX101" s="25">
        <f t="array" ref="BX101">INDEX(KOMBI!$A$1:$GI$145,ROW('KSH järjestus'!BX108),MATCH('KSH järjestus'!BX$3,KOMBI!$A$1:$GI$1,0))</f>
        <v>18.086861099430585</v>
      </c>
      <c r="BY101" s="25">
        <f t="array" ref="BY101">INDEX(KOMBI!$A$1:$GI$145,ROW('KSH järjestus'!BY108),MATCH('KSH järjestus'!BY$3,KOMBI!$A$1:$GI$1,0))</f>
        <v>12.801077976340796</v>
      </c>
      <c r="BZ101" s="25">
        <f t="array" ref="BZ101">INDEX(KOMBI!$A$1:$GI$145,ROW('KSH järjestus'!BZ108),MATCH('KSH järjestus'!BZ$3,KOMBI!$A$1:$GI$1,0))</f>
        <v>72.400000000000006</v>
      </c>
      <c r="CA101" s="25">
        <f t="array" ref="CA101">INDEX(KOMBI!$A$1:$GI$145,ROW('KSH järjestus'!CA108),MATCH('KSH järjestus'!CA$3,KOMBI!$A$1:$GI$1,0))</f>
        <v>13.83</v>
      </c>
      <c r="CB101" s="25">
        <f t="array" ref="CB101">INDEX(KOMBI!$A$1:$GI$145,ROW('KSH järjestus'!CB108),MATCH('KSH järjestus'!CB$3,KOMBI!$A$1:$GI$1,0))</f>
        <v>62.209999999999994</v>
      </c>
      <c r="CC101" s="25">
        <f t="array" ref="CC101">INDEX(KOMBI!$A$1:$GI$145,ROW('KSH järjestus'!CC108),MATCH('KSH järjestus'!CC$3,KOMBI!$A$1:$GI$1,0))</f>
        <v>5.0026460000000004</v>
      </c>
      <c r="CD101" s="25">
        <f t="array" ref="CD101">INDEX(KOMBI!$A$1:$GI$145,ROW('KSH järjestus'!CD108),MATCH('KSH järjestus'!CD$3,KOMBI!$A$1:$GI$1,0))</f>
        <v>315.49999999999994</v>
      </c>
      <c r="CE101" s="25">
        <f t="array" ref="CE101">INDEX(KOMBI!$A$1:$GI$145,ROW('KSH järjestus'!CE108),MATCH('KSH järjestus'!CE$3,KOMBI!$A$1:$GI$1,0))</f>
        <v>3.0510000000000002</v>
      </c>
      <c r="CF101" s="25">
        <f t="array" ref="CF101">INDEX(KOMBI!$A$1:$GI$145,ROW('KSH järjestus'!CF108),MATCH('KSH järjestus'!CF$3,KOMBI!$A$1:$GI$1,0))</f>
        <v>47.372900516795859</v>
      </c>
      <c r="CG101" s="25">
        <f t="array" ref="CG101">INDEX(KOMBI!$A$1:$GI$145,ROW('KSH järjestus'!CG108),MATCH('KSH järjestus'!CG$3,KOMBI!$A$1:$GI$1,0))</f>
        <v>8.4247602275161246E-2</v>
      </c>
      <c r="CH101" s="25">
        <f t="array" ref="CH101">INDEX(KOMBI!$A$1:$GI$145,ROW('KSH järjestus'!CH108),MATCH('KSH järjestus'!CH$3,KOMBI!$A$1:$GI$1,0))</f>
        <v>0.50386843943393778</v>
      </c>
      <c r="CI101" s="25">
        <f t="array" ref="CI101">INDEX(KOMBI!$A$1:$GI$145,ROW('KSH järjestus'!CI108),MATCH('KSH järjestus'!CI$3,KOMBI!$A$1:$GI$1,0))</f>
        <v>6.78</v>
      </c>
      <c r="CJ101" s="25">
        <f t="array" ref="CJ101">INDEX(KOMBI!$A$1:$GI$145,ROW('KSH järjestus'!CJ108),MATCH('KSH järjestus'!CJ$3,KOMBI!$A$1:$GI$1,0))</f>
        <v>4.0208849906373194</v>
      </c>
      <c r="CK101" s="25">
        <f t="array" ref="CK101">INDEX(KOMBI!$A$1:$GI$145,ROW('KSH järjestus'!CK108),MATCH('KSH järjestus'!CK$3,KOMBI!$A$1:$GI$1,0))</f>
        <v>0.22900000000000001</v>
      </c>
      <c r="CL101" s="25">
        <f t="array" ref="CL101">INDEX(KOMBI!$A$1:$GI$145,ROW('KSH järjestus'!CL108),MATCH('KSH järjestus'!CL$3,KOMBI!$A$1:$GI$1,0))</f>
        <v>0.82899999999999996</v>
      </c>
    </row>
    <row r="102" spans="3:90" x14ac:dyDescent="0.2">
      <c r="C102" s="184">
        <v>99</v>
      </c>
      <c r="G102" s="25">
        <f>RANK(INDEX(KOMBI!$A$11:$GI$145,MATCH('KSH järjestus'!$C102,KOMBI!$A$11:$A$145,0),MATCH('KSH järjestus'!G$3,KOMBI!$A$1:$GI$1,0)),BD$4:BD$138,G$2)</f>
        <v>71</v>
      </c>
      <c r="H102" s="25">
        <f>RANK(INDEX(KOMBI!$A$11:$GI$145,MATCH('KSH järjestus'!$C102,KOMBI!$A$11:$A$145,0),MATCH('KSH järjestus'!H$3,KOMBI!$A$1:$GI$1,0)),BE$4:BE$138,H$2)</f>
        <v>26</v>
      </c>
      <c r="J102" s="25">
        <f>RANK(INDEX(KOMBI!$A$11:$GI$145,MATCH('KSH järjestus'!$C102,KOMBI!$A$11:$A$145,0),MATCH('KSH järjestus'!J$3,KOMBI!$A$1:$GI$1,0)),BG$4:BG$138,J$2)</f>
        <v>32</v>
      </c>
      <c r="M102" s="25">
        <f>RANK(INDEX(KOMBI!$A$11:$GI$145,MATCH('KSH järjestus'!$C102,KOMBI!$A$11:$A$145,0),MATCH('KSH järjestus'!M$3,KOMBI!$A$1:$GI$1,0)),BJ$4:BJ$138,M$2)</f>
        <v>28</v>
      </c>
      <c r="N102" s="25">
        <f>RANK(INDEX(KOMBI!$A$11:$GI$145,MATCH('KSH järjestus'!$C102,KOMBI!$A$11:$A$145,0),MATCH('KSH järjestus'!N$3,KOMBI!$A$1:$GI$1,0)),BK$4:BK$138,N$2)</f>
        <v>31</v>
      </c>
      <c r="O102" s="25">
        <f>RANK(INDEX(KOMBI!$A$11:$GI$145,MATCH('KSH järjestus'!$C102,KOMBI!$A$11:$A$145,0),MATCH('KSH järjestus'!O$3,KOMBI!$A$1:$GI$1,0)),BL$4:BL$138,O$2)</f>
        <v>27</v>
      </c>
      <c r="P102" s="25">
        <f>RANK(INDEX(KOMBI!$A$11:$GI$145,MATCH('KSH järjestus'!$C102,KOMBI!$A$11:$A$145,0),MATCH('KSH järjestus'!P$3,KOMBI!$A$1:$GI$1,0)),BM$4:BM$138,P$2)</f>
        <v>38</v>
      </c>
      <c r="Q102" s="25">
        <f>RANK(INDEX(KOMBI!$A$11:$GI$145,MATCH('KSH järjestus'!$C102,KOMBI!$A$11:$A$145,0),MATCH('KSH järjestus'!Q$3,KOMBI!$A$1:$GI$1,0)),BN$4:BN$138,Q$2)</f>
        <v>23</v>
      </c>
      <c r="R102" s="25">
        <f>RANK(INDEX(KOMBI!$A$11:$GI$145,MATCH('KSH järjestus'!$C102,KOMBI!$A$11:$A$145,0),MATCH('KSH järjestus'!R$3,KOMBI!$A$1:$GI$1,0)),BO$4:BO$138,R$2)</f>
        <v>46</v>
      </c>
      <c r="T102" s="25">
        <f>RANK(INDEX(KOMBI!$A$11:$GI$145,MATCH('KSH järjestus'!$C102,KOMBI!$A$11:$A$145,0),MATCH('KSH järjestus'!T$3,KOMBI!$A$1:$GI$1,0)),BQ$4:BQ$138,T$2)</f>
        <v>72</v>
      </c>
      <c r="U102" s="25">
        <f>RANK(INDEX(KOMBI!$A$11:$GI$145,MATCH('KSH järjestus'!$C102,KOMBI!$A$11:$A$145,0),MATCH('KSH järjestus'!U$3,KOMBI!$A$1:$GI$1,0)),BR$4:BR$138,U$2)</f>
        <v>74</v>
      </c>
      <c r="AA102" s="25">
        <f>RANK(INDEX(KOMBI!$A$11:$GI$145,MATCH('KSH järjestus'!$C102,KOMBI!$A$11:$A$145,0),MATCH('KSH järjestus'!AA$3,KOMBI!$A$1:$GI$1,0)),BX$4:BX$138,AA$2)</f>
        <v>49</v>
      </c>
      <c r="AB102" s="25">
        <f>RANK(INDEX(KOMBI!$A$11:$GI$145,MATCH('KSH järjestus'!$C102,KOMBI!$A$11:$A$145,0),MATCH('KSH järjestus'!AB$3,KOMBI!$A$1:$GI$1,0)),BY$4:BY$138,AB$2)</f>
        <v>82</v>
      </c>
      <c r="AC102" s="25">
        <f>RANK(INDEX(KOMBI!$A$11:$GI$145,MATCH('KSH järjestus'!$C102,KOMBI!$A$11:$A$145,0),MATCH('KSH järjestus'!AC$3,KOMBI!$A$1:$GI$1,0)),BZ$4:BZ$138,AC$2)</f>
        <v>49</v>
      </c>
      <c r="AD102" s="25">
        <f>RANK(INDEX(KOMBI!$A$11:$GI$145,MATCH('KSH järjestus'!$C102,KOMBI!$A$11:$A$145,0),MATCH('KSH järjestus'!AD$3,KOMBI!$A$1:$GI$1,0)),CA$4:CA$138,AD$2)</f>
        <v>63</v>
      </c>
      <c r="AE102" s="25">
        <f>RANK(INDEX(KOMBI!$A$11:$GI$145,MATCH('KSH järjestus'!$C102,KOMBI!$A$11:$A$145,0),MATCH('KSH järjestus'!AE$3,KOMBI!$A$1:$GI$1,0)),CB$4:CB$138,AE$2)</f>
        <v>69</v>
      </c>
      <c r="AG102" s="25">
        <f>RANK(INDEX(KOMBI!$A$11:$GI$145,MATCH('KSH järjestus'!$C102,KOMBI!$A$11:$A$145,0),MATCH('KSH järjestus'!AG$3,KOMBI!$A$1:$GI$1,0)),CD$4:CD$138,AG$2)</f>
        <v>79</v>
      </c>
      <c r="AH102" s="25">
        <f>RANK(INDEX(KOMBI!$A$11:$GI$145,MATCH('KSH järjestus'!$C102,KOMBI!$A$11:$A$145,0),MATCH('KSH järjestus'!AH$3,KOMBI!$A$1:$GI$1,0)),CE$4:CE$138,AH$2)</f>
        <v>106</v>
      </c>
      <c r="AI102" s="25">
        <f>RANK(INDEX(KOMBI!$A$11:$GI$145,MATCH('KSH järjestus'!$C102,KOMBI!$A$11:$A$145,0),MATCH('KSH järjestus'!AI$3,KOMBI!$A$1:$GI$1,0)),CF$4:CF$138,AI$2)</f>
        <v>55</v>
      </c>
      <c r="AJ102" s="25">
        <f>RANK(INDEX(KOMBI!$A$11:$GI$145,MATCH('KSH järjestus'!$C102,KOMBI!$A$11:$A$145,0),MATCH('KSH järjestus'!AJ$3,KOMBI!$A$1:$GI$1,0)),CG$4:CG$138,AJ$2)</f>
        <v>10</v>
      </c>
      <c r="AK102" s="25">
        <f>RANK(INDEX(KOMBI!$A$11:$GI$145,MATCH('KSH järjestus'!$C102,KOMBI!$A$11:$A$145,0),MATCH('KSH järjestus'!AK$3,KOMBI!$A$1:$GI$1,0)),CH$4:CH$138,AK$2)</f>
        <v>16</v>
      </c>
      <c r="AN102" s="25">
        <f>RANK(INDEX(KOMBI!$A$11:$GI$145,MATCH('KSH järjestus'!$C102,KOMBI!$A$11:$A$145,0),MATCH('KSH järjestus'!AN$3,KOMBI!$A$1:$GI$1,0)),CK$4:CK$138,AN$2)</f>
        <v>91</v>
      </c>
      <c r="AO102" s="25">
        <f>RANK(INDEX(KOMBI!$A$11:$GI$145,MATCH('KSH järjestus'!$C102,KOMBI!$A$11:$A$145,0),MATCH('KSH järjestus'!AO$3,KOMBI!$A$1:$GI$1,0)),CL$4:CL$138,AO$2)</f>
        <v>91</v>
      </c>
      <c r="AS102" s="297">
        <f t="shared" si="7"/>
        <v>1228</v>
      </c>
      <c r="AT102" s="25">
        <f t="shared" si="5"/>
        <v>1794</v>
      </c>
      <c r="AU102" s="25">
        <f t="shared" si="6"/>
        <v>53</v>
      </c>
      <c r="AV102" s="295" t="str">
        <f>VLOOKUP(VLOOKUP($AU102,KOMBI!$A:$H,3,FALSE),data!$I$27:$J$29,2,FALSE)</f>
        <v>Mittesekkuv</v>
      </c>
      <c r="AW102" s="295" t="str">
        <f>VLOOKUP(VLOOKUP($AU102,KOMBI!$A:$H,2,FALSE),data!$I$21:$J$23,2,FALSE)</f>
        <v>Vähe-sekkuv</v>
      </c>
      <c r="AX102" s="295" t="str">
        <f>VLOOKUP(VLOOKUP($AU102,KOMBI!$A:$H,5,FALSE),data!$I$39:$J$41,2,FALSE)</f>
        <v>Vähe-sekkuv</v>
      </c>
      <c r="AY102" s="295" t="str">
        <f>VLOOKUP(VLOOKUP($AU102,KOMBI!$A:$H,4,FALSE),data!$I$32:$J$36,2,FALSE)</f>
        <v>TE</v>
      </c>
      <c r="BA102" s="25">
        <f t="array" ref="BA102">INDEX(KOMBI!$A$1:$GI$145,ROW('KSH järjestus'!BA109),MATCH('KSH järjestus'!BA$3,KOMBI!$A$1:$GI$1,0))</f>
        <v>6.9423762657180905</v>
      </c>
      <c r="BB102" s="25">
        <f t="array" ref="BB102">INDEX(KOMBI!$A$1:$GI$145,ROW('KSH järjestus'!BB109),MATCH('KSH järjestus'!BB$3,KOMBI!$A$1:$GI$1,0))</f>
        <v>600.13989320977157</v>
      </c>
      <c r="BC102" s="25">
        <f t="array" aca="1" ref="BC102" ca="1">INDEX(KOMBI!$A$1:$GI$145,ROW('KSH järjestus'!BC109),MATCH('KSH järjestus'!BC$3,KOMBI!$A$1:$GI$1,0))</f>
        <v>155.96200187253163</v>
      </c>
      <c r="BD102" s="25">
        <f t="array" ref="BD102">INDEX(KOMBI!$A$1:$GI$145,ROW('KSH järjestus'!BD109),MATCH('KSH järjestus'!BD$3,KOMBI!$A$1:$GI$1,0))</f>
        <v>-74.878313699091038</v>
      </c>
      <c r="BE102" s="25">
        <f t="array" ref="BE102">INDEX(KOMBI!$A$1:$GI$145,ROW('KSH järjestus'!BE109),MATCH('KSH järjestus'!BE$3,KOMBI!$A$1:$GI$1,0))</f>
        <v>230.84031557162268</v>
      </c>
      <c r="BF102" s="25">
        <f t="array" aca="1" ref="BF102" ca="1">INDEX(KOMBI!$A$1:$GI$145,ROW('KSH järjestus'!BF109),MATCH('KSH järjestus'!BF$3,KOMBI!$A$1:$GI$1,0))</f>
        <v>0</v>
      </c>
      <c r="BG102" s="25">
        <f t="array" ref="BG102">INDEX(KOMBI!$A$1:$GI$145,ROW('KSH järjestus'!BG109),MATCH('KSH järjestus'!BG$3,KOMBI!$A$1:$GI$1,0))</f>
        <v>0.47526179336330732</v>
      </c>
      <c r="BH102" s="25">
        <f t="array" ref="BH102">INDEX(KOMBI!$A$1:$GI$145,ROW('KSH järjestus'!BH109),MATCH('KSH järjestus'!BH$3,KOMBI!$A$1:$GI$1,0))</f>
        <v>90</v>
      </c>
      <c r="BI102" s="25">
        <f t="array" ref="BI102">INDEX(KOMBI!$A$1:$GI$145,ROW('KSH järjestus'!BI109),MATCH('KSH järjestus'!BI$3,KOMBI!$A$1:$GI$1,0))</f>
        <v>0.72887234460741646</v>
      </c>
      <c r="BJ102" s="25">
        <f t="array" ref="BJ102">INDEX(KOMBI!$A$1:$GI$145,ROW('KSH järjestus'!BJ109),MATCH('KSH järjestus'!BJ$3,KOMBI!$A$1:$GI$1,0))</f>
        <v>6.6265060240963902E-2</v>
      </c>
      <c r="BK102" s="25">
        <f t="array" ref="BK102">INDEX(KOMBI!$A$1:$GI$145,ROW('KSH järjestus'!BK109),MATCH('KSH järjestus'!BK$3,KOMBI!$A$1:$GI$1,0))</f>
        <v>0.41103635614105855</v>
      </c>
      <c r="BL102" s="25">
        <f t="array" ref="BL102">INDEX(KOMBI!$A$1:$GI$145,ROW('KSH järjestus'!BL109),MATCH('KSH järjestus'!BL$3,KOMBI!$A$1:$GI$1,0))</f>
        <v>2.3660663066580014E-2</v>
      </c>
      <c r="BM102" s="25">
        <f t="array" ref="BM102">INDEX(KOMBI!$A$1:$GI$145,ROW('KSH järjestus'!BM109),MATCH('KSH järjestus'!BM$3,KOMBI!$A$1:$GI$1,0))</f>
        <v>4.7981616023337198E-3</v>
      </c>
      <c r="BN102" s="25">
        <f t="array" ref="BN102">INDEX(KOMBI!$A$1:$GI$145,ROW('KSH järjestus'!BN109),MATCH('KSH järjestus'!BN$3,KOMBI!$A$1:$GI$1,0))</f>
        <v>9.6375050412653429E-3</v>
      </c>
      <c r="BO102" s="25">
        <f t="array" ref="BO102">INDEX(KOMBI!$A$1:$GI$145,ROW('KSH järjestus'!BO109),MATCH('KSH järjestus'!BO$3,KOMBI!$A$1:$GI$1,0))</f>
        <v>1.4221169465080435E-2</v>
      </c>
      <c r="BP102" s="25">
        <f t="array" ref="BP102">INDEX(KOMBI!$A$1:$GI$145,ROW('KSH järjestus'!BP109),MATCH('KSH järjestus'!BP$3,KOMBI!$A$1:$GI$1,0))</f>
        <v>8.5193156794471037</v>
      </c>
      <c r="BQ102" s="25">
        <f t="array" ref="BQ102">INDEX(KOMBI!$A$1:$GI$145,ROW('KSH järjestus'!BQ109),MATCH('KSH järjestus'!BQ$3,KOMBI!$A$1:$GI$1,0))</f>
        <v>10.766999999999999</v>
      </c>
      <c r="BR102" s="25">
        <f t="array" ref="BR102">INDEX(KOMBI!$A$1:$GI$145,ROW('KSH järjestus'!BR109),MATCH('KSH järjestus'!BR$3,KOMBI!$A$1:$GI$1,0))</f>
        <v>-2.303831615637101E-2</v>
      </c>
      <c r="BS102" s="25">
        <f t="array" ref="BS102">INDEX(KOMBI!$A$1:$GI$145,ROW('KSH järjestus'!BS109),MATCH('KSH järjestus'!BS$3,KOMBI!$A$1:$GI$1,0))</f>
        <v>-3.8519792716886145E-2</v>
      </c>
      <c r="BT102" s="25">
        <f t="array" ref="BT102">INDEX(KOMBI!$A$1:$GI$145,ROW('KSH järjestus'!BT109),MATCH('KSH järjestus'!BT$3,KOMBI!$A$1:$GI$1,0))</f>
        <v>-4.7008614574664313E-2</v>
      </c>
      <c r="BU102" s="25">
        <f t="array" ref="BU102">INDEX(KOMBI!$A$1:$GI$145,ROW('KSH järjestus'!BU109),MATCH('KSH järjestus'!BU$3,KOMBI!$A$1:$GI$1,0))</f>
        <v>7.9062826922990279</v>
      </c>
      <c r="BV102" s="25">
        <f t="array" ref="BV102">INDEX(KOMBI!$A$1:$GI$145,ROW('KSH järjestus'!BV109),MATCH('KSH järjestus'!BV$3,KOMBI!$A$1:$GI$1,0))</f>
        <v>5.33</v>
      </c>
      <c r="BW102" s="25">
        <f t="array" ref="BW102">INDEX(KOMBI!$A$1:$GI$145,ROW('KSH järjestus'!BW109),MATCH('KSH järjestus'!BW$3,KOMBI!$A$1:$GI$1,0))</f>
        <v>1.92908499063732</v>
      </c>
      <c r="BX102" s="25">
        <f t="array" ref="BX102">INDEX(KOMBI!$A$1:$GI$145,ROW('KSH järjestus'!BX109),MATCH('KSH järjestus'!BX$3,KOMBI!$A$1:$GI$1,0))</f>
        <v>18.086861099430585</v>
      </c>
      <c r="BY102" s="25">
        <f t="array" ref="BY102">INDEX(KOMBI!$A$1:$GI$145,ROW('KSH järjestus'!BY109),MATCH('KSH järjestus'!BY$3,KOMBI!$A$1:$GI$1,0))</f>
        <v>12.801077976340796</v>
      </c>
      <c r="BZ102" s="25">
        <f t="array" ref="BZ102">INDEX(KOMBI!$A$1:$GI$145,ROW('KSH järjestus'!BZ109),MATCH('KSH järjestus'!BZ$3,KOMBI!$A$1:$GI$1,0))</f>
        <v>74</v>
      </c>
      <c r="CA102" s="25">
        <f t="array" ref="CA102">INDEX(KOMBI!$A$1:$GI$145,ROW('KSH järjestus'!CA109),MATCH('KSH järjestus'!CA$3,KOMBI!$A$1:$GI$1,0))</f>
        <v>14.082000000000001</v>
      </c>
      <c r="CB102" s="25">
        <f t="array" ref="CB102">INDEX(KOMBI!$A$1:$GI$145,ROW('KSH järjestus'!CB109),MATCH('KSH järjestus'!CB$3,KOMBI!$A$1:$GI$1,0))</f>
        <v>63.11805555555555</v>
      </c>
      <c r="CC102" s="25">
        <f t="array" ref="CC102">INDEX(KOMBI!$A$1:$GI$145,ROW('KSH järjestus'!CC109),MATCH('KSH järjestus'!CC$3,KOMBI!$A$1:$GI$1,0))</f>
        <v>5.0959909999999997</v>
      </c>
      <c r="CD102" s="25">
        <f t="array" ref="CD102">INDEX(KOMBI!$A$1:$GI$145,ROW('KSH järjestus'!CD109),MATCH('KSH järjestus'!CD$3,KOMBI!$A$1:$GI$1,0))</f>
        <v>315.49999999999994</v>
      </c>
      <c r="CE102" s="25">
        <f t="array" ref="CE102">INDEX(KOMBI!$A$1:$GI$145,ROW('KSH järjestus'!CE109),MATCH('KSH järjestus'!CE$3,KOMBI!$A$1:$GI$1,0))</f>
        <v>3.0510000000000002</v>
      </c>
      <c r="CF102" s="25">
        <f t="array" ref="CF102">INDEX(KOMBI!$A$1:$GI$145,ROW('KSH järjestus'!CF109),MATCH('KSH järjestus'!CF$3,KOMBI!$A$1:$GI$1,0))</f>
        <v>47.372900516795859</v>
      </c>
      <c r="CG102" s="25">
        <f t="array" ref="CG102">INDEX(KOMBI!$A$1:$GI$145,ROW('KSH järjestus'!CG109),MATCH('KSH järjestus'!CG$3,KOMBI!$A$1:$GI$1,0))</f>
        <v>8.4247602275161246E-2</v>
      </c>
      <c r="CH102" s="25">
        <f t="array" ref="CH102">INDEX(KOMBI!$A$1:$GI$145,ROW('KSH järjestus'!CH109),MATCH('KSH järjestus'!CH$3,KOMBI!$A$1:$GI$1,0))</f>
        <v>0.50386843943393778</v>
      </c>
      <c r="CI102" s="25">
        <f t="array" ref="CI102">INDEX(KOMBI!$A$1:$GI$145,ROW('KSH järjestus'!CI109),MATCH('KSH järjestus'!CI$3,KOMBI!$A$1:$GI$1,0))</f>
        <v>6.78</v>
      </c>
      <c r="CJ102" s="25">
        <f t="array" ref="CJ102">INDEX(KOMBI!$A$1:$GI$145,ROW('KSH järjestus'!CJ109),MATCH('KSH järjestus'!CJ$3,KOMBI!$A$1:$GI$1,0))</f>
        <v>4.0208849906373194</v>
      </c>
      <c r="CK102" s="25">
        <f t="array" ref="CK102">INDEX(KOMBI!$A$1:$GI$145,ROW('KSH järjestus'!CK109),MATCH('KSH järjestus'!CK$3,KOMBI!$A$1:$GI$1,0))</f>
        <v>0.22900000000000001</v>
      </c>
      <c r="CL102" s="25">
        <f t="array" ref="CL102">INDEX(KOMBI!$A$1:$GI$145,ROW('KSH järjestus'!CL109),MATCH('KSH järjestus'!CL$3,KOMBI!$A$1:$GI$1,0))</f>
        <v>0.82899999999999996</v>
      </c>
    </row>
    <row r="103" spans="3:90" x14ac:dyDescent="0.2">
      <c r="C103" s="184">
        <v>100</v>
      </c>
      <c r="G103" s="25">
        <f>RANK(INDEX(KOMBI!$A$11:$GI$145,MATCH('KSH järjestus'!$C103,KOMBI!$A$11:$A$145,0),MATCH('KSH järjestus'!G$3,KOMBI!$A$1:$GI$1,0)),BD$4:BD$138,G$2)</f>
        <v>101</v>
      </c>
      <c r="H103" s="25">
        <f>RANK(INDEX(KOMBI!$A$11:$GI$145,MATCH('KSH järjestus'!$C103,KOMBI!$A$11:$A$145,0),MATCH('KSH järjestus'!H$3,KOMBI!$A$1:$GI$1,0)),BE$4:BE$138,H$2)</f>
        <v>81</v>
      </c>
      <c r="J103" s="25">
        <f>RANK(INDEX(KOMBI!$A$11:$GI$145,MATCH('KSH järjestus'!$C103,KOMBI!$A$11:$A$145,0),MATCH('KSH järjestus'!J$3,KOMBI!$A$1:$GI$1,0)),BG$4:BG$138,J$2)</f>
        <v>125</v>
      </c>
      <c r="M103" s="25">
        <f>RANK(INDEX(KOMBI!$A$11:$GI$145,MATCH('KSH järjestus'!$C103,KOMBI!$A$11:$A$145,0),MATCH('KSH järjestus'!M$3,KOMBI!$A$1:$GI$1,0)),BJ$4:BJ$138,M$2)</f>
        <v>109</v>
      </c>
      <c r="N103" s="25">
        <f>RANK(INDEX(KOMBI!$A$11:$GI$145,MATCH('KSH järjestus'!$C103,KOMBI!$A$11:$A$145,0),MATCH('KSH järjestus'!N$3,KOMBI!$A$1:$GI$1,0)),BK$4:BK$138,N$2)</f>
        <v>7</v>
      </c>
      <c r="O103" s="25">
        <f>RANK(INDEX(KOMBI!$A$11:$GI$145,MATCH('KSH järjestus'!$C103,KOMBI!$A$11:$A$145,0),MATCH('KSH järjestus'!O$3,KOMBI!$A$1:$GI$1,0)),BL$4:BL$138,O$2)</f>
        <v>108</v>
      </c>
      <c r="P103" s="25">
        <f>RANK(INDEX(KOMBI!$A$11:$GI$145,MATCH('KSH järjestus'!$C103,KOMBI!$A$11:$A$145,0),MATCH('KSH järjestus'!P$3,KOMBI!$A$1:$GI$1,0)),BM$4:BM$138,P$2)</f>
        <v>17</v>
      </c>
      <c r="Q103" s="25">
        <f>RANK(INDEX(KOMBI!$A$11:$GI$145,MATCH('KSH järjestus'!$C103,KOMBI!$A$11:$A$145,0),MATCH('KSH järjestus'!Q$3,KOMBI!$A$1:$GI$1,0)),BN$4:BN$138,Q$2)</f>
        <v>72</v>
      </c>
      <c r="R103" s="25">
        <f>RANK(INDEX(KOMBI!$A$11:$GI$145,MATCH('KSH järjestus'!$C103,KOMBI!$A$11:$A$145,0),MATCH('KSH järjestus'!R$3,KOMBI!$A$1:$GI$1,0)),BO$4:BO$138,R$2)</f>
        <v>119</v>
      </c>
      <c r="T103" s="25">
        <f>RANK(INDEX(KOMBI!$A$11:$GI$145,MATCH('KSH järjestus'!$C103,KOMBI!$A$11:$A$145,0),MATCH('KSH järjestus'!T$3,KOMBI!$A$1:$GI$1,0)),BQ$4:BQ$138,T$2)</f>
        <v>21</v>
      </c>
      <c r="U103" s="25">
        <f>RANK(INDEX(KOMBI!$A$11:$GI$145,MATCH('KSH järjestus'!$C103,KOMBI!$A$11:$A$145,0),MATCH('KSH järjestus'!U$3,KOMBI!$A$1:$GI$1,0)),BR$4:BR$138,U$2)</f>
        <v>12</v>
      </c>
      <c r="AA103" s="25">
        <f>RANK(INDEX(KOMBI!$A$11:$GI$145,MATCH('KSH järjestus'!$C103,KOMBI!$A$11:$A$145,0),MATCH('KSH järjestus'!AA$3,KOMBI!$A$1:$GI$1,0)),BX$4:BX$138,AA$2)</f>
        <v>37</v>
      </c>
      <c r="AB103" s="25">
        <f>RANK(INDEX(KOMBI!$A$11:$GI$145,MATCH('KSH järjestus'!$C103,KOMBI!$A$11:$A$145,0),MATCH('KSH järjestus'!AB$3,KOMBI!$A$1:$GI$1,0)),BY$4:BY$138,AB$2)</f>
        <v>19</v>
      </c>
      <c r="AC103" s="25">
        <f>RANK(INDEX(KOMBI!$A$11:$GI$145,MATCH('KSH järjestus'!$C103,KOMBI!$A$11:$A$145,0),MATCH('KSH järjestus'!AC$3,KOMBI!$A$1:$GI$1,0)),BZ$4:BZ$138,AC$2)</f>
        <v>84</v>
      </c>
      <c r="AD103" s="25">
        <f>RANK(INDEX(KOMBI!$A$11:$GI$145,MATCH('KSH järjestus'!$C103,KOMBI!$A$11:$A$145,0),MATCH('KSH järjestus'!AD$3,KOMBI!$A$1:$GI$1,0)),CA$4:CA$138,AD$2)</f>
        <v>7</v>
      </c>
      <c r="AE103" s="25">
        <f>RANK(INDEX(KOMBI!$A$11:$GI$145,MATCH('KSH järjestus'!$C103,KOMBI!$A$11:$A$145,0),MATCH('KSH järjestus'!AE$3,KOMBI!$A$1:$GI$1,0)),CB$4:CB$138,AE$2)</f>
        <v>9</v>
      </c>
      <c r="AG103" s="25">
        <f>RANK(INDEX(KOMBI!$A$11:$GI$145,MATCH('KSH järjestus'!$C103,KOMBI!$A$11:$A$145,0),MATCH('KSH järjestus'!AG$3,KOMBI!$A$1:$GI$1,0)),CD$4:CD$138,AG$2)</f>
        <v>88</v>
      </c>
      <c r="AH103" s="25">
        <f>RANK(INDEX(KOMBI!$A$11:$GI$145,MATCH('KSH järjestus'!$C103,KOMBI!$A$11:$A$145,0),MATCH('KSH järjestus'!AH$3,KOMBI!$A$1:$GI$1,0)),CE$4:CE$138,AH$2)</f>
        <v>106</v>
      </c>
      <c r="AI103" s="25">
        <f>RANK(INDEX(KOMBI!$A$11:$GI$145,MATCH('KSH järjestus'!$C103,KOMBI!$A$11:$A$145,0),MATCH('KSH järjestus'!AI$3,KOMBI!$A$1:$GI$1,0)),CF$4:CF$138,AI$2)</f>
        <v>7</v>
      </c>
      <c r="AJ103" s="25">
        <f>RANK(INDEX(KOMBI!$A$11:$GI$145,MATCH('KSH järjestus'!$C103,KOMBI!$A$11:$A$145,0),MATCH('KSH järjestus'!AJ$3,KOMBI!$A$1:$GI$1,0)),CG$4:CG$138,AJ$2)</f>
        <v>64</v>
      </c>
      <c r="AK103" s="25">
        <f>RANK(INDEX(KOMBI!$A$11:$GI$145,MATCH('KSH järjestus'!$C103,KOMBI!$A$11:$A$145,0),MATCH('KSH järjestus'!AK$3,KOMBI!$A$1:$GI$1,0)),CH$4:CH$138,AK$2)</f>
        <v>7</v>
      </c>
      <c r="AN103" s="25">
        <f>RANK(INDEX(KOMBI!$A$11:$GI$145,MATCH('KSH järjestus'!$C103,KOMBI!$A$11:$A$145,0),MATCH('KSH järjestus'!AN$3,KOMBI!$A$1:$GI$1,0)),CK$4:CK$138,AN$2)</f>
        <v>91</v>
      </c>
      <c r="AO103" s="25">
        <f>RANK(INDEX(KOMBI!$A$11:$GI$145,MATCH('KSH järjestus'!$C103,KOMBI!$A$11:$A$145,0),MATCH('KSH järjestus'!AO$3,KOMBI!$A$1:$GI$1,0)),CL$4:CL$138,AO$2)</f>
        <v>91</v>
      </c>
      <c r="AS103" s="297">
        <f t="shared" si="7"/>
        <v>1382</v>
      </c>
      <c r="AT103" s="25">
        <f t="shared" si="5"/>
        <v>1817</v>
      </c>
      <c r="AU103" s="25">
        <f t="shared" si="6"/>
        <v>55</v>
      </c>
      <c r="AV103" s="295" t="str">
        <f>VLOOKUP(VLOOKUP($AU103,KOMBI!$A:$H,3,FALSE),data!$I$27:$J$29,2,FALSE)</f>
        <v>Mittesekkuv</v>
      </c>
      <c r="AW103" s="295" t="str">
        <f>VLOOKUP(VLOOKUP($AU103,KOMBI!$A:$H,2,FALSE),data!$I$21:$J$23,2,FALSE)</f>
        <v>Vähe-sekkuv</v>
      </c>
      <c r="AX103" s="295" t="str">
        <f>VLOOKUP(VLOOKUP($AU103,KOMBI!$A:$H,5,FALSE),data!$I$39:$J$41,2,FALSE)</f>
        <v>Mittesekkuv</v>
      </c>
      <c r="AY103" s="295" t="str">
        <f>VLOOKUP(VLOOKUP($AU103,KOMBI!$A:$H,4,FALSE),data!$I$32:$J$36,2,FALSE)</f>
        <v>TE++</v>
      </c>
      <c r="BA103" s="25">
        <f t="array" ref="BA103">INDEX(KOMBI!$A$1:$GI$145,ROW('KSH järjestus'!BA110),MATCH('KSH järjestus'!BA$3,KOMBI!$A$1:$GI$1,0))</f>
        <v>9.016066143767171</v>
      </c>
      <c r="BB103" s="25">
        <f t="array" ref="BB103">INDEX(KOMBI!$A$1:$GI$145,ROW('KSH järjestus'!BB110),MATCH('KSH järjestus'!BB$3,KOMBI!$A$1:$GI$1,0))</f>
        <v>265.63870708169156</v>
      </c>
      <c r="BC103" s="25">
        <f t="array" aca="1" ref="BC103" ca="1">INDEX(KOMBI!$A$1:$GI$145,ROW('KSH järjestus'!BC110),MATCH('KSH järjestus'!BC$3,KOMBI!$A$1:$GI$1,0))</f>
        <v>100.6154656476123</v>
      </c>
      <c r="BD103" s="25">
        <f t="array" ref="BD103">INDEX(KOMBI!$A$1:$GI$145,ROW('KSH järjestus'!BD110),MATCH('KSH järjestus'!BD$3,KOMBI!$A$1:$GI$1,0))</f>
        <v>-40.537500000000001</v>
      </c>
      <c r="BE103" s="25">
        <f t="array" ref="BE103">INDEX(KOMBI!$A$1:$GI$145,ROW('KSH järjestus'!BE110),MATCH('KSH järjestus'!BE$3,KOMBI!$A$1:$GI$1,0))</f>
        <v>141.15296564761229</v>
      </c>
      <c r="BF103" s="25">
        <f t="array" aca="1" ref="BF103" ca="1">INDEX(KOMBI!$A$1:$GI$145,ROW('KSH järjestus'!BF110),MATCH('KSH järjestus'!BF$3,KOMBI!$A$1:$GI$1,0))</f>
        <v>0</v>
      </c>
      <c r="BG103" s="25">
        <f t="array" ref="BG103">INDEX(KOMBI!$A$1:$GI$145,ROW('KSH järjestus'!BG110),MATCH('KSH järjestus'!BG$3,KOMBI!$A$1:$GI$1,0))</f>
        <v>0.65806267338866498</v>
      </c>
      <c r="BH103" s="25">
        <f t="array" ref="BH103">INDEX(KOMBI!$A$1:$GI$145,ROW('KSH järjestus'!BH110),MATCH('KSH järjestus'!BH$3,KOMBI!$A$1:$GI$1,0))</f>
        <v>90</v>
      </c>
      <c r="BI103" s="25">
        <f t="array" ref="BI103">INDEX(KOMBI!$A$1:$GI$145,ROW('KSH järjestus'!BI110),MATCH('KSH järjestus'!BI$3,KOMBI!$A$1:$GI$1,0))</f>
        <v>1</v>
      </c>
      <c r="BJ103" s="25">
        <f t="array" ref="BJ103">INDEX(KOMBI!$A$1:$GI$145,ROW('KSH järjestus'!BJ110),MATCH('KSH järjestus'!BJ$3,KOMBI!$A$1:$GI$1,0))</f>
        <v>0.36609829488465395</v>
      </c>
      <c r="BK103" s="25">
        <f t="array" ref="BK103">INDEX(KOMBI!$A$1:$GI$145,ROW('KSH järjestus'!BK110),MATCH('KSH järjestus'!BK$3,KOMBI!$A$1:$GI$1,0))</f>
        <v>0.63174328576257388</v>
      </c>
      <c r="BL103" s="25">
        <f t="array" ref="BL103">INDEX(KOMBI!$A$1:$GI$145,ROW('KSH järjestus'!BL110),MATCH('KSH järjestus'!BL$3,KOMBI!$A$1:$GI$1,0))</f>
        <v>1.0263678145194691E-2</v>
      </c>
      <c r="BM103" s="25">
        <f t="array" ref="BM103">INDEX(KOMBI!$A$1:$GI$145,ROW('KSH järjestus'!BM110),MATCH('KSH järjestus'!BM$3,KOMBI!$A$1:$GI$1,0))</f>
        <v>7.5822157805707415E-3</v>
      </c>
      <c r="BN103" s="25">
        <f t="array" ref="BN103">INDEX(KOMBI!$A$1:$GI$145,ROW('KSH järjestus'!BN110),MATCH('KSH järjestus'!BN$3,KOMBI!$A$1:$GI$1,0))</f>
        <v>3.8741005940715334E-3</v>
      </c>
      <c r="BO103" s="25">
        <f t="array" ref="BO103">INDEX(KOMBI!$A$1:$GI$145,ROW('KSH järjestus'!BO110),MATCH('KSH järjestus'!BO$3,KOMBI!$A$1:$GI$1,0))</f>
        <v>6.4545544035500869E-3</v>
      </c>
      <c r="BP103" s="25">
        <f t="array" ref="BP103">INDEX(KOMBI!$A$1:$GI$145,ROW('KSH järjestus'!BP110),MATCH('KSH järjestus'!BP$3,KOMBI!$A$1:$GI$1,0))</f>
        <v>8.548831357090096</v>
      </c>
      <c r="BQ103" s="25">
        <f t="array" ref="BQ103">INDEX(KOMBI!$A$1:$GI$145,ROW('KSH järjestus'!BQ110),MATCH('KSH järjestus'!BQ$3,KOMBI!$A$1:$GI$1,0))</f>
        <v>9.9060000000000006</v>
      </c>
      <c r="BR103" s="25">
        <f t="array" ref="BR103">INDEX(KOMBI!$A$1:$GI$145,ROW('KSH järjestus'!BR110),MATCH('KSH järjestus'!BR$3,KOMBI!$A$1:$GI$1,0))</f>
        <v>-5.1731473268374815E-2</v>
      </c>
      <c r="BS103" s="25">
        <f t="array" ref="BS103">INDEX(KOMBI!$A$1:$GI$145,ROW('KSH järjestus'!BS110),MATCH('KSH järjestus'!BS$3,KOMBI!$A$1:$GI$1,0))</f>
        <v>-0.18098714985928105</v>
      </c>
      <c r="BT103" s="25">
        <f t="array" ref="BT103">INDEX(KOMBI!$A$1:$GI$145,ROW('KSH järjestus'!BT110),MATCH('KSH järjestus'!BT$3,KOMBI!$A$1:$GI$1,0))</f>
        <v>-9.8863120531021975E-2</v>
      </c>
      <c r="BU103" s="25">
        <f t="array" ref="BU103">INDEX(KOMBI!$A$1:$GI$145,ROW('KSH järjestus'!BU110),MATCH('KSH järjestus'!BU$3,KOMBI!$A$1:$GI$1,0))</f>
        <v>4.2353975506064012</v>
      </c>
      <c r="BV103" s="25">
        <f t="array" ref="BV103">INDEX(KOMBI!$A$1:$GI$145,ROW('KSH järjestus'!BV110),MATCH('KSH järjestus'!BV$3,KOMBI!$A$1:$GI$1,0))</f>
        <v>1.6020000000000001</v>
      </c>
      <c r="BW103" s="25">
        <f t="array" ref="BW103">INDEX(KOMBI!$A$1:$GI$145,ROW('KSH järjestus'!BW110),MATCH('KSH järjestus'!BW$3,KOMBI!$A$1:$GI$1,0))</f>
        <v>1.3428849906373199</v>
      </c>
      <c r="BX103" s="25">
        <f t="array" ref="BX103">INDEX(KOMBI!$A$1:$GI$145,ROW('KSH järjestus'!BX110),MATCH('KSH järjestus'!BX$3,KOMBI!$A$1:$GI$1,0))</f>
        <v>17.650721793242816</v>
      </c>
      <c r="BY103" s="25">
        <f t="array" ref="BY103">INDEX(KOMBI!$A$1:$GI$145,ROW('KSH järjestus'!BY110),MATCH('KSH järjestus'!BY$3,KOMBI!$A$1:$GI$1,0))</f>
        <v>7.5876988012134206</v>
      </c>
      <c r="BZ103" s="25">
        <f t="array" ref="BZ103">INDEX(KOMBI!$A$1:$GI$145,ROW('KSH järjestus'!BZ110),MATCH('KSH järjestus'!BZ$3,KOMBI!$A$1:$GI$1,0))</f>
        <v>79</v>
      </c>
      <c r="CA103" s="25">
        <f t="array" ref="CA103">INDEX(KOMBI!$A$1:$GI$145,ROW('KSH järjestus'!CA110),MATCH('KSH järjestus'!CA$3,KOMBI!$A$1:$GI$1,0))</f>
        <v>9.6210000000000004</v>
      </c>
      <c r="CB103" s="25">
        <f t="array" ref="CB103">INDEX(KOMBI!$A$1:$GI$145,ROW('KSH järjestus'!CB110),MATCH('KSH järjestus'!CB$3,KOMBI!$A$1:$GI$1,0))</f>
        <v>38.831111111111113</v>
      </c>
      <c r="CC103" s="25">
        <f t="array" ref="CC103">INDEX(KOMBI!$A$1:$GI$145,ROW('KSH järjestus'!CC110),MATCH('KSH järjestus'!CC$3,KOMBI!$A$1:$GI$1,0))</f>
        <v>3.9993280000000002</v>
      </c>
      <c r="CD103" s="25">
        <f t="array" ref="CD103">INDEX(KOMBI!$A$1:$GI$145,ROW('KSH järjestus'!CD110),MATCH('KSH järjestus'!CD$3,KOMBI!$A$1:$GI$1,0))</f>
        <v>315.59999999999997</v>
      </c>
      <c r="CE103" s="25">
        <f t="array" ref="CE103">INDEX(KOMBI!$A$1:$GI$145,ROW('KSH järjestus'!CE110),MATCH('KSH järjestus'!CE$3,KOMBI!$A$1:$GI$1,0))</f>
        <v>3.0510000000000002</v>
      </c>
      <c r="CF103" s="25">
        <f t="array" ref="CF103">INDEX(KOMBI!$A$1:$GI$145,ROW('KSH järjestus'!CF110),MATCH('KSH järjestus'!CF$3,KOMBI!$A$1:$GI$1,0))</f>
        <v>41.966388888888886</v>
      </c>
      <c r="CG103" s="25">
        <f t="array" ref="CG103">INDEX(KOMBI!$A$1:$GI$145,ROW('KSH järjestus'!CG110),MATCH('KSH järjestus'!CG$3,KOMBI!$A$1:$GI$1,0))</f>
        <v>2.3132392489112068E-2</v>
      </c>
      <c r="CH103" s="25">
        <f t="array" ref="CH103">INDEX(KOMBI!$A$1:$GI$145,ROW('KSH järjestus'!CH110),MATCH('KSH järjestus'!CH$3,KOMBI!$A$1:$GI$1,0))</f>
        <v>0.538709820713835</v>
      </c>
      <c r="CI103" s="25">
        <f t="array" ref="CI103">INDEX(KOMBI!$A$1:$GI$145,ROW('KSH järjestus'!CI110),MATCH('KSH järjestus'!CI$3,KOMBI!$A$1:$GI$1,0))</f>
        <v>11.370000000000001</v>
      </c>
      <c r="CJ103" s="25">
        <f t="array" ref="CJ103">INDEX(KOMBI!$A$1:$GI$145,ROW('KSH järjestus'!CJ110),MATCH('KSH järjestus'!CJ$3,KOMBI!$A$1:$GI$1,0))</f>
        <v>2.9928849906373198</v>
      </c>
      <c r="CK103" s="25">
        <f t="array" ref="CK103">INDEX(KOMBI!$A$1:$GI$145,ROW('KSH järjestus'!CK110),MATCH('KSH järjestus'!CK$3,KOMBI!$A$1:$GI$1,0))</f>
        <v>0.22900000000000001</v>
      </c>
      <c r="CL103" s="25">
        <f t="array" ref="CL103">INDEX(KOMBI!$A$1:$GI$145,ROW('KSH järjestus'!CL110),MATCH('KSH järjestus'!CL$3,KOMBI!$A$1:$GI$1,0))</f>
        <v>0.82899999999999996</v>
      </c>
    </row>
    <row r="104" spans="3:90" x14ac:dyDescent="0.2">
      <c r="C104" s="184">
        <v>101</v>
      </c>
      <c r="G104" s="25">
        <f>RANK(INDEX(KOMBI!$A$11:$GI$145,MATCH('KSH järjestus'!$C104,KOMBI!$A$11:$A$145,0),MATCH('KSH järjestus'!G$3,KOMBI!$A$1:$GI$1,0)),BD$4:BD$138,G$2)</f>
        <v>91</v>
      </c>
      <c r="H104" s="25">
        <f>RANK(INDEX(KOMBI!$A$11:$GI$145,MATCH('KSH järjestus'!$C104,KOMBI!$A$11:$A$145,0),MATCH('KSH järjestus'!H$3,KOMBI!$A$1:$GI$1,0)),BE$4:BE$138,H$2)</f>
        <v>52</v>
      </c>
      <c r="J104" s="25">
        <f>RANK(INDEX(KOMBI!$A$11:$GI$145,MATCH('KSH järjestus'!$C104,KOMBI!$A$11:$A$145,0),MATCH('KSH järjestus'!J$3,KOMBI!$A$1:$GI$1,0)),BG$4:BG$138,J$2)</f>
        <v>111</v>
      </c>
      <c r="M104" s="25">
        <f>RANK(INDEX(KOMBI!$A$11:$GI$145,MATCH('KSH järjestus'!$C104,KOMBI!$A$11:$A$145,0),MATCH('KSH järjestus'!M$3,KOMBI!$A$1:$GI$1,0)),BJ$4:BJ$138,M$2)</f>
        <v>109</v>
      </c>
      <c r="N104" s="25">
        <f>RANK(INDEX(KOMBI!$A$11:$GI$145,MATCH('KSH järjestus'!$C104,KOMBI!$A$11:$A$145,0),MATCH('KSH järjestus'!N$3,KOMBI!$A$1:$GI$1,0)),BK$4:BK$138,N$2)</f>
        <v>7</v>
      </c>
      <c r="O104" s="25">
        <f>RANK(INDEX(KOMBI!$A$11:$GI$145,MATCH('KSH järjestus'!$C104,KOMBI!$A$11:$A$145,0),MATCH('KSH järjestus'!O$3,KOMBI!$A$1:$GI$1,0)),BL$4:BL$138,O$2)</f>
        <v>64</v>
      </c>
      <c r="P104" s="25">
        <f>RANK(INDEX(KOMBI!$A$11:$GI$145,MATCH('KSH järjestus'!$C104,KOMBI!$A$11:$A$145,0),MATCH('KSH järjestus'!P$3,KOMBI!$A$1:$GI$1,0)),BM$4:BM$138,P$2)</f>
        <v>37</v>
      </c>
      <c r="Q104" s="25">
        <f>RANK(INDEX(KOMBI!$A$11:$GI$145,MATCH('KSH järjestus'!$C104,KOMBI!$A$11:$A$145,0),MATCH('KSH järjestus'!Q$3,KOMBI!$A$1:$GI$1,0)),BN$4:BN$138,Q$2)</f>
        <v>42</v>
      </c>
      <c r="R104" s="25">
        <f>RANK(INDEX(KOMBI!$A$11:$GI$145,MATCH('KSH järjestus'!$C104,KOMBI!$A$11:$A$145,0),MATCH('KSH järjestus'!R$3,KOMBI!$A$1:$GI$1,0)),BO$4:BO$138,R$2)</f>
        <v>86</v>
      </c>
      <c r="T104" s="25">
        <f>RANK(INDEX(KOMBI!$A$11:$GI$145,MATCH('KSH järjestus'!$C104,KOMBI!$A$11:$A$145,0),MATCH('KSH järjestus'!T$3,KOMBI!$A$1:$GI$1,0)),BQ$4:BQ$138,T$2)</f>
        <v>26</v>
      </c>
      <c r="U104" s="25">
        <f>RANK(INDEX(KOMBI!$A$11:$GI$145,MATCH('KSH järjestus'!$C104,KOMBI!$A$11:$A$145,0),MATCH('KSH järjestus'!U$3,KOMBI!$A$1:$GI$1,0)),BR$4:BR$138,U$2)</f>
        <v>18</v>
      </c>
      <c r="AA104" s="25">
        <f>RANK(INDEX(KOMBI!$A$11:$GI$145,MATCH('KSH järjestus'!$C104,KOMBI!$A$11:$A$145,0),MATCH('KSH järjestus'!AA$3,KOMBI!$A$1:$GI$1,0)),BX$4:BX$138,AA$2)</f>
        <v>37</v>
      </c>
      <c r="AB104" s="25">
        <f>RANK(INDEX(KOMBI!$A$11:$GI$145,MATCH('KSH järjestus'!$C104,KOMBI!$A$11:$A$145,0),MATCH('KSH järjestus'!AB$3,KOMBI!$A$1:$GI$1,0)),BY$4:BY$138,AB$2)</f>
        <v>19</v>
      </c>
      <c r="AC104" s="25">
        <f>RANK(INDEX(KOMBI!$A$11:$GI$145,MATCH('KSH järjestus'!$C104,KOMBI!$A$11:$A$145,0),MATCH('KSH järjestus'!AC$3,KOMBI!$A$1:$GI$1,0)),BZ$4:BZ$138,AC$2)</f>
        <v>88</v>
      </c>
      <c r="AD104" s="25">
        <f>RANK(INDEX(KOMBI!$A$11:$GI$145,MATCH('KSH järjestus'!$C104,KOMBI!$A$11:$A$145,0),MATCH('KSH järjestus'!AD$3,KOMBI!$A$1:$GI$1,0)),CA$4:CA$138,AD$2)</f>
        <v>9</v>
      </c>
      <c r="AE104" s="25">
        <f>RANK(INDEX(KOMBI!$A$11:$GI$145,MATCH('KSH järjestus'!$C104,KOMBI!$A$11:$A$145,0),MATCH('KSH järjestus'!AE$3,KOMBI!$A$1:$GI$1,0)),CB$4:CB$138,AE$2)</f>
        <v>10</v>
      </c>
      <c r="AG104" s="25">
        <f>RANK(INDEX(KOMBI!$A$11:$GI$145,MATCH('KSH järjestus'!$C104,KOMBI!$A$11:$A$145,0),MATCH('KSH järjestus'!AG$3,KOMBI!$A$1:$GI$1,0)),CD$4:CD$138,AG$2)</f>
        <v>88</v>
      </c>
      <c r="AH104" s="25">
        <f>RANK(INDEX(KOMBI!$A$11:$GI$145,MATCH('KSH järjestus'!$C104,KOMBI!$A$11:$A$145,0),MATCH('KSH järjestus'!AH$3,KOMBI!$A$1:$GI$1,0)),CE$4:CE$138,AH$2)</f>
        <v>106</v>
      </c>
      <c r="AI104" s="25">
        <f>RANK(INDEX(KOMBI!$A$11:$GI$145,MATCH('KSH järjestus'!$C104,KOMBI!$A$11:$A$145,0),MATCH('KSH järjestus'!AI$3,KOMBI!$A$1:$GI$1,0)),CF$4:CF$138,AI$2)</f>
        <v>7</v>
      </c>
      <c r="AJ104" s="25">
        <f>RANK(INDEX(KOMBI!$A$11:$GI$145,MATCH('KSH järjestus'!$C104,KOMBI!$A$11:$A$145,0),MATCH('KSH järjestus'!AJ$3,KOMBI!$A$1:$GI$1,0)),CG$4:CG$138,AJ$2)</f>
        <v>64</v>
      </c>
      <c r="AK104" s="25">
        <f>RANK(INDEX(KOMBI!$A$11:$GI$145,MATCH('KSH järjestus'!$C104,KOMBI!$A$11:$A$145,0),MATCH('KSH järjestus'!AK$3,KOMBI!$A$1:$GI$1,0)),CH$4:CH$138,AK$2)</f>
        <v>7</v>
      </c>
      <c r="AN104" s="25">
        <f>RANK(INDEX(KOMBI!$A$11:$GI$145,MATCH('KSH järjestus'!$C104,KOMBI!$A$11:$A$145,0),MATCH('KSH järjestus'!AN$3,KOMBI!$A$1:$GI$1,0)),CK$4:CK$138,AN$2)</f>
        <v>91</v>
      </c>
      <c r="AO104" s="25">
        <f>RANK(INDEX(KOMBI!$A$11:$GI$145,MATCH('KSH järjestus'!$C104,KOMBI!$A$11:$A$145,0),MATCH('KSH järjestus'!AO$3,KOMBI!$A$1:$GI$1,0)),CL$4:CL$138,AO$2)</f>
        <v>91</v>
      </c>
      <c r="AS104" s="297">
        <f t="shared" si="7"/>
        <v>1260</v>
      </c>
      <c r="AT104" s="25">
        <f t="shared" si="5"/>
        <v>1832</v>
      </c>
      <c r="AU104" s="25">
        <f t="shared" si="6"/>
        <v>22</v>
      </c>
      <c r="AV104" s="295" t="str">
        <f>VLOOKUP(VLOOKUP($AU104,KOMBI!$A:$H,3,FALSE),data!$I$27:$J$29,2,FALSE)</f>
        <v>Vähe-sekkuv</v>
      </c>
      <c r="AW104" s="295" t="str">
        <f>VLOOKUP(VLOOKUP($AU104,KOMBI!$A:$H,2,FALSE),data!$I$21:$J$23,2,FALSE)</f>
        <v>Mittesekkuv</v>
      </c>
      <c r="AX104" s="295" t="str">
        <f>VLOOKUP(VLOOKUP($AU104,KOMBI!$A:$H,5,FALSE),data!$I$39:$J$41,2,FALSE)</f>
        <v>Mittesekkuv</v>
      </c>
      <c r="AY104" s="295" t="str">
        <f>VLOOKUP(VLOOKUP($AU104,KOMBI!$A:$H,4,FALSE),data!$I$32:$J$36,2,FALSE)</f>
        <v>TE</v>
      </c>
      <c r="BA104" s="25">
        <f t="array" ref="BA104">INDEX(KOMBI!$A$1:$GI$145,ROW('KSH järjestus'!BA111),MATCH('KSH järjestus'!BA$3,KOMBI!$A$1:$GI$1,0))</f>
        <v>9.9319777924130115</v>
      </c>
      <c r="BB104" s="25">
        <f t="array" ref="BB104">INDEX(KOMBI!$A$1:$GI$145,ROW('KSH järjestus'!BB111),MATCH('KSH järjestus'!BB$3,KOMBI!$A$1:$GI$1,0))</f>
        <v>426.1187393509548</v>
      </c>
      <c r="BC104" s="25">
        <f t="array" aca="1" ref="BC104" ca="1">INDEX(KOMBI!$A$1:$GI$145,ROW('KSH järjestus'!BC111),MATCH('KSH järjestus'!BC$3,KOMBI!$A$1:$GI$1,0))</f>
        <v>129.78078767614738</v>
      </c>
      <c r="BD104" s="25">
        <f t="array" ref="BD104">INDEX(KOMBI!$A$1:$GI$145,ROW('KSH järjestus'!BD111),MATCH('KSH järjestus'!BD$3,KOMBI!$A$1:$GI$1,0))</f>
        <v>-55.7707198806321</v>
      </c>
      <c r="BE104" s="25">
        <f t="array" ref="BE104">INDEX(KOMBI!$A$1:$GI$145,ROW('KSH järjestus'!BE111),MATCH('KSH järjestus'!BE$3,KOMBI!$A$1:$GI$1,0))</f>
        <v>185.55150755677948</v>
      </c>
      <c r="BF104" s="25">
        <f t="array" aca="1" ref="BF104" ca="1">INDEX(KOMBI!$A$1:$GI$145,ROW('KSH järjestus'!BF111),MATCH('KSH järjestus'!BF$3,KOMBI!$A$1:$GI$1,0))</f>
        <v>0</v>
      </c>
      <c r="BG104" s="25">
        <f t="array" ref="BG104">INDEX(KOMBI!$A$1:$GI$145,ROW('KSH järjestus'!BG111),MATCH('KSH järjestus'!BG$3,KOMBI!$A$1:$GI$1,0))</f>
        <v>0.6074987705979138</v>
      </c>
      <c r="BH104" s="25">
        <f t="array" ref="BH104">INDEX(KOMBI!$A$1:$GI$145,ROW('KSH järjestus'!BH111),MATCH('KSH järjestus'!BH$3,KOMBI!$A$1:$GI$1,0))</f>
        <v>90</v>
      </c>
      <c r="BI104" s="25">
        <f t="array" ref="BI104">INDEX(KOMBI!$A$1:$GI$145,ROW('KSH järjestus'!BI111),MATCH('KSH järjestus'!BI$3,KOMBI!$A$1:$GI$1,0))</f>
        <v>0.72887234460741657</v>
      </c>
      <c r="BJ104" s="25">
        <f t="array" ref="BJ104">INDEX(KOMBI!$A$1:$GI$145,ROW('KSH järjestus'!BJ111),MATCH('KSH järjestus'!BJ$3,KOMBI!$A$1:$GI$1,0))</f>
        <v>0.36609829488465395</v>
      </c>
      <c r="BK104" s="25">
        <f t="array" ref="BK104">INDEX(KOMBI!$A$1:$GI$145,ROW('KSH järjestus'!BK111),MATCH('KSH järjestus'!BK$3,KOMBI!$A$1:$GI$1,0))</f>
        <v>0.63174328576257388</v>
      </c>
      <c r="BL104" s="25">
        <f t="array" ref="BL104">INDEX(KOMBI!$A$1:$GI$145,ROW('KSH järjestus'!BL111),MATCH('KSH järjestus'!BL$3,KOMBI!$A$1:$GI$1,0))</f>
        <v>1.6546071231617016E-2</v>
      </c>
      <c r="BM104" s="25">
        <f t="array" ref="BM104">INDEX(KOMBI!$A$1:$GI$145,ROW('KSH järjestus'!BM111),MATCH('KSH järjestus'!BM$3,KOMBI!$A$1:$GI$1,0))</f>
        <v>4.8891629311551277E-3</v>
      </c>
      <c r="BN104" s="25">
        <f t="array" ref="BN104">INDEX(KOMBI!$A$1:$GI$145,ROW('KSH järjestus'!BN111),MATCH('KSH järjestus'!BN$3,KOMBI!$A$1:$GI$1,0))</f>
        <v>6.3669704554293605E-3</v>
      </c>
      <c r="BO104" s="25">
        <f t="array" ref="BO104">INDEX(KOMBI!$A$1:$GI$145,ROW('KSH järjestus'!BO111),MATCH('KSH järjestus'!BO$3,KOMBI!$A$1:$GI$1,0))</f>
        <v>1.0279440947426915E-2</v>
      </c>
      <c r="BP104" s="25">
        <f t="array" ref="BP104">INDEX(KOMBI!$A$1:$GI$145,ROW('KSH järjestus'!BP111),MATCH('KSH järjestus'!BP$3,KOMBI!$A$1:$GI$1,0))</f>
        <v>8.548831357090096</v>
      </c>
      <c r="BQ104" s="25">
        <f t="array" ref="BQ104">INDEX(KOMBI!$A$1:$GI$145,ROW('KSH järjestus'!BQ111),MATCH('KSH järjestus'!BQ$3,KOMBI!$A$1:$GI$1,0))</f>
        <v>9.9969999999999999</v>
      </c>
      <c r="BR104" s="25">
        <f t="array" ref="BR104">INDEX(KOMBI!$A$1:$GI$145,ROW('KSH järjestus'!BR111),MATCH('KSH järjestus'!BR$3,KOMBI!$A$1:$GI$1,0))</f>
        <v>-4.7497674257110094E-2</v>
      </c>
      <c r="BS104" s="25">
        <f t="array" ref="BS104">INDEX(KOMBI!$A$1:$GI$145,ROW('KSH järjestus'!BS111),MATCH('KSH järjestus'!BS$3,KOMBI!$A$1:$GI$1,0))</f>
        <v>-0.17965353763964551</v>
      </c>
      <c r="BT104" s="25">
        <f t="array" ref="BT104">INDEX(KOMBI!$A$1:$GI$145,ROW('KSH järjestus'!BT111),MATCH('KSH järjestus'!BT$3,KOMBI!$A$1:$GI$1,0))</f>
        <v>-9.7764157731628026E-2</v>
      </c>
      <c r="BU104" s="25">
        <f t="array" ref="BU104">INDEX(KOMBI!$A$1:$GI$145,ROW('KSH järjestus'!BU111),MATCH('KSH järjestus'!BU$3,KOMBI!$A$1:$GI$1,0))</f>
        <v>4.2353975506064012</v>
      </c>
      <c r="BV104" s="25">
        <f t="array" ref="BV104">INDEX(KOMBI!$A$1:$GI$145,ROW('KSH järjestus'!BV111),MATCH('KSH järjestus'!BV$3,KOMBI!$A$1:$GI$1,0))</f>
        <v>1.6020000000000001</v>
      </c>
      <c r="BW104" s="25">
        <f t="array" ref="BW104">INDEX(KOMBI!$A$1:$GI$145,ROW('KSH järjestus'!BW111),MATCH('KSH järjestus'!BW$3,KOMBI!$A$1:$GI$1,0))</f>
        <v>1.7203849906373201</v>
      </c>
      <c r="BX104" s="25">
        <f t="array" ref="BX104">INDEX(KOMBI!$A$1:$GI$145,ROW('KSH järjestus'!BX111),MATCH('KSH järjestus'!BX$3,KOMBI!$A$1:$GI$1,0))</f>
        <v>17.650721793242816</v>
      </c>
      <c r="BY104" s="25">
        <f t="array" ref="BY104">INDEX(KOMBI!$A$1:$GI$145,ROW('KSH järjestus'!BY111),MATCH('KSH järjestus'!BY$3,KOMBI!$A$1:$GI$1,0))</f>
        <v>7.5876988012134206</v>
      </c>
      <c r="BZ104" s="25">
        <f t="array" ref="BZ104">INDEX(KOMBI!$A$1:$GI$145,ROW('KSH järjestus'!BZ111),MATCH('KSH järjestus'!BZ$3,KOMBI!$A$1:$GI$1,0))</f>
        <v>79.400000000000006</v>
      </c>
      <c r="CA104" s="25">
        <f t="array" ref="CA104">INDEX(KOMBI!$A$1:$GI$145,ROW('KSH järjestus'!CA111),MATCH('KSH järjestus'!CA$3,KOMBI!$A$1:$GI$1,0))</f>
        <v>9.7100000000000009</v>
      </c>
      <c r="CB104" s="25">
        <f t="array" ref="CB104">INDEX(KOMBI!$A$1:$GI$145,ROW('KSH järjestus'!CB111),MATCH('KSH järjestus'!CB$3,KOMBI!$A$1:$GI$1,0))</f>
        <v>39.171388888888885</v>
      </c>
      <c r="CC104" s="25">
        <f t="array" ref="CC104">INDEX(KOMBI!$A$1:$GI$145,ROW('KSH järjestus'!CC111),MATCH('KSH järjestus'!CC$3,KOMBI!$A$1:$GI$1,0))</f>
        <v>4.0326199999999996</v>
      </c>
      <c r="CD104" s="25">
        <f t="array" ref="CD104">INDEX(KOMBI!$A$1:$GI$145,ROW('KSH järjestus'!CD111),MATCH('KSH järjestus'!CD$3,KOMBI!$A$1:$GI$1,0))</f>
        <v>315.59999999999997</v>
      </c>
      <c r="CE104" s="25">
        <f t="array" ref="CE104">INDEX(KOMBI!$A$1:$GI$145,ROW('KSH järjestus'!CE111),MATCH('KSH järjestus'!CE$3,KOMBI!$A$1:$GI$1,0))</f>
        <v>3.0510000000000002</v>
      </c>
      <c r="CF104" s="25">
        <f t="array" ref="CF104">INDEX(KOMBI!$A$1:$GI$145,ROW('KSH järjestus'!CF111),MATCH('KSH järjestus'!CF$3,KOMBI!$A$1:$GI$1,0))</f>
        <v>41.966388888888886</v>
      </c>
      <c r="CG104" s="25">
        <f t="array" ref="CG104">INDEX(KOMBI!$A$1:$GI$145,ROW('KSH järjestus'!CG111),MATCH('KSH järjestus'!CG$3,KOMBI!$A$1:$GI$1,0))</f>
        <v>2.3132392489112068E-2</v>
      </c>
      <c r="CH104" s="25">
        <f t="array" ref="CH104">INDEX(KOMBI!$A$1:$GI$145,ROW('KSH järjestus'!CH111),MATCH('KSH järjestus'!CH$3,KOMBI!$A$1:$GI$1,0))</f>
        <v>0.538709820713835</v>
      </c>
      <c r="CI104" s="25">
        <f t="array" ref="CI104">INDEX(KOMBI!$A$1:$GI$145,ROW('KSH järjestus'!CI111),MATCH('KSH järjestus'!CI$3,KOMBI!$A$1:$GI$1,0))</f>
        <v>11.370000000000001</v>
      </c>
      <c r="CJ104" s="25">
        <f t="array" ref="CJ104">INDEX(KOMBI!$A$1:$GI$145,ROW('KSH järjestus'!CJ111),MATCH('KSH järjestus'!CJ$3,KOMBI!$A$1:$GI$1,0))</f>
        <v>2.9928849906373198</v>
      </c>
      <c r="CK104" s="25">
        <f t="array" ref="CK104">INDEX(KOMBI!$A$1:$GI$145,ROW('KSH järjestus'!CK111),MATCH('KSH järjestus'!CK$3,KOMBI!$A$1:$GI$1,0))</f>
        <v>0.22900000000000001</v>
      </c>
      <c r="CL104" s="25">
        <f t="array" ref="CL104">INDEX(KOMBI!$A$1:$GI$145,ROW('KSH järjestus'!CL111),MATCH('KSH järjestus'!CL$3,KOMBI!$A$1:$GI$1,0))</f>
        <v>0.82899999999999996</v>
      </c>
    </row>
    <row r="105" spans="3:90" x14ac:dyDescent="0.2">
      <c r="C105" s="184">
        <v>102</v>
      </c>
      <c r="G105" s="25">
        <f>RANK(INDEX(KOMBI!$A$11:$GI$145,MATCH('KSH järjestus'!$C105,KOMBI!$A$11:$A$145,0),MATCH('KSH järjestus'!G$3,KOMBI!$A$1:$GI$1,0)),BD$4:BD$138,G$2)</f>
        <v>71</v>
      </c>
      <c r="H105" s="25">
        <f>RANK(INDEX(KOMBI!$A$11:$GI$145,MATCH('KSH järjestus'!$C105,KOMBI!$A$11:$A$145,0),MATCH('KSH järjestus'!H$3,KOMBI!$A$1:$GI$1,0)),BE$4:BE$138,H$2)</f>
        <v>29</v>
      </c>
      <c r="J105" s="25">
        <f>RANK(INDEX(KOMBI!$A$11:$GI$145,MATCH('KSH järjestus'!$C105,KOMBI!$A$11:$A$145,0),MATCH('KSH järjestus'!J$3,KOMBI!$A$1:$GI$1,0)),BG$4:BG$138,J$2)</f>
        <v>111</v>
      </c>
      <c r="M105" s="25">
        <f>RANK(INDEX(KOMBI!$A$11:$GI$145,MATCH('KSH järjestus'!$C105,KOMBI!$A$11:$A$145,0),MATCH('KSH järjestus'!M$3,KOMBI!$A$1:$GI$1,0)),BJ$4:BJ$138,M$2)</f>
        <v>109</v>
      </c>
      <c r="N105" s="25">
        <f>RANK(INDEX(KOMBI!$A$11:$GI$145,MATCH('KSH järjestus'!$C105,KOMBI!$A$11:$A$145,0),MATCH('KSH järjestus'!N$3,KOMBI!$A$1:$GI$1,0)),BK$4:BK$138,N$2)</f>
        <v>7</v>
      </c>
      <c r="O105" s="25">
        <f>RANK(INDEX(KOMBI!$A$11:$GI$145,MATCH('KSH järjestus'!$C105,KOMBI!$A$11:$A$145,0),MATCH('KSH järjestus'!O$3,KOMBI!$A$1:$GI$1,0)),BL$4:BL$138,O$2)</f>
        <v>37</v>
      </c>
      <c r="P105" s="25">
        <f>RANK(INDEX(KOMBI!$A$11:$GI$145,MATCH('KSH järjestus'!$C105,KOMBI!$A$11:$A$145,0),MATCH('KSH järjestus'!P$3,KOMBI!$A$1:$GI$1,0)),BM$4:BM$138,P$2)</f>
        <v>36</v>
      </c>
      <c r="Q105" s="25">
        <f>RANK(INDEX(KOMBI!$A$11:$GI$145,MATCH('KSH järjestus'!$C105,KOMBI!$A$11:$A$145,0),MATCH('KSH järjestus'!Q$3,KOMBI!$A$1:$GI$1,0)),BN$4:BN$138,Q$2)</f>
        <v>32</v>
      </c>
      <c r="R105" s="25">
        <f>RANK(INDEX(KOMBI!$A$11:$GI$145,MATCH('KSH järjestus'!$C105,KOMBI!$A$11:$A$145,0),MATCH('KSH järjestus'!R$3,KOMBI!$A$1:$GI$1,0)),BO$4:BO$138,R$2)</f>
        <v>51</v>
      </c>
      <c r="T105" s="25">
        <f>RANK(INDEX(KOMBI!$A$11:$GI$145,MATCH('KSH järjestus'!$C105,KOMBI!$A$11:$A$145,0),MATCH('KSH järjestus'!T$3,KOMBI!$A$1:$GI$1,0)),BQ$4:BQ$138,T$2)</f>
        <v>35</v>
      </c>
      <c r="U105" s="25">
        <f>RANK(INDEX(KOMBI!$A$11:$GI$145,MATCH('KSH järjestus'!$C105,KOMBI!$A$11:$A$145,0),MATCH('KSH järjestus'!U$3,KOMBI!$A$1:$GI$1,0)),BR$4:BR$138,U$2)</f>
        <v>26</v>
      </c>
      <c r="AA105" s="25">
        <f>RANK(INDEX(KOMBI!$A$11:$GI$145,MATCH('KSH järjestus'!$C105,KOMBI!$A$11:$A$145,0),MATCH('KSH järjestus'!AA$3,KOMBI!$A$1:$GI$1,0)),BX$4:BX$138,AA$2)</f>
        <v>37</v>
      </c>
      <c r="AB105" s="25">
        <f>RANK(INDEX(KOMBI!$A$11:$GI$145,MATCH('KSH järjestus'!$C105,KOMBI!$A$11:$A$145,0),MATCH('KSH järjestus'!AB$3,KOMBI!$A$1:$GI$1,0)),BY$4:BY$138,AB$2)</f>
        <v>19</v>
      </c>
      <c r="AC105" s="25">
        <f>RANK(INDEX(KOMBI!$A$11:$GI$145,MATCH('KSH järjestus'!$C105,KOMBI!$A$11:$A$145,0),MATCH('KSH järjestus'!AC$3,KOMBI!$A$1:$GI$1,0)),BZ$4:BZ$138,AC$2)</f>
        <v>93</v>
      </c>
      <c r="AD105" s="25">
        <f>RANK(INDEX(KOMBI!$A$11:$GI$145,MATCH('KSH järjestus'!$C105,KOMBI!$A$11:$A$145,0),MATCH('KSH järjestus'!AD$3,KOMBI!$A$1:$GI$1,0)),CA$4:CA$138,AD$2)</f>
        <v>12</v>
      </c>
      <c r="AE105" s="25">
        <f>RANK(INDEX(KOMBI!$A$11:$GI$145,MATCH('KSH järjestus'!$C105,KOMBI!$A$11:$A$145,0),MATCH('KSH järjestus'!AE$3,KOMBI!$A$1:$GI$1,0)),CB$4:CB$138,AE$2)</f>
        <v>14</v>
      </c>
      <c r="AG105" s="25">
        <f>RANK(INDEX(KOMBI!$A$11:$GI$145,MATCH('KSH järjestus'!$C105,KOMBI!$A$11:$A$145,0),MATCH('KSH järjestus'!AG$3,KOMBI!$A$1:$GI$1,0)),CD$4:CD$138,AG$2)</f>
        <v>88</v>
      </c>
      <c r="AH105" s="25">
        <f>RANK(INDEX(KOMBI!$A$11:$GI$145,MATCH('KSH järjestus'!$C105,KOMBI!$A$11:$A$145,0),MATCH('KSH järjestus'!AH$3,KOMBI!$A$1:$GI$1,0)),CE$4:CE$138,AH$2)</f>
        <v>106</v>
      </c>
      <c r="AI105" s="25">
        <f>RANK(INDEX(KOMBI!$A$11:$GI$145,MATCH('KSH järjestus'!$C105,KOMBI!$A$11:$A$145,0),MATCH('KSH järjestus'!AI$3,KOMBI!$A$1:$GI$1,0)),CF$4:CF$138,AI$2)</f>
        <v>7</v>
      </c>
      <c r="AJ105" s="25">
        <f>RANK(INDEX(KOMBI!$A$11:$GI$145,MATCH('KSH järjestus'!$C105,KOMBI!$A$11:$A$145,0),MATCH('KSH järjestus'!AJ$3,KOMBI!$A$1:$GI$1,0)),CG$4:CG$138,AJ$2)</f>
        <v>64</v>
      </c>
      <c r="AK105" s="25">
        <f>RANK(INDEX(KOMBI!$A$11:$GI$145,MATCH('KSH järjestus'!$C105,KOMBI!$A$11:$A$145,0),MATCH('KSH järjestus'!AK$3,KOMBI!$A$1:$GI$1,0)),CH$4:CH$138,AK$2)</f>
        <v>7</v>
      </c>
      <c r="AN105" s="25">
        <f>RANK(INDEX(KOMBI!$A$11:$GI$145,MATCH('KSH järjestus'!$C105,KOMBI!$A$11:$A$145,0),MATCH('KSH järjestus'!AN$3,KOMBI!$A$1:$GI$1,0)),CK$4:CK$138,AN$2)</f>
        <v>91</v>
      </c>
      <c r="AO105" s="25">
        <f>RANK(INDEX(KOMBI!$A$11:$GI$145,MATCH('KSH järjestus'!$C105,KOMBI!$A$11:$A$145,0),MATCH('KSH järjestus'!AO$3,KOMBI!$A$1:$GI$1,0)),CL$4:CL$138,AO$2)</f>
        <v>91</v>
      </c>
      <c r="AS105" s="297">
        <f t="shared" si="7"/>
        <v>1173</v>
      </c>
      <c r="AT105" s="25">
        <f t="shared" si="5"/>
        <v>1842</v>
      </c>
      <c r="AU105" s="25">
        <f t="shared" si="6"/>
        <v>30</v>
      </c>
      <c r="AV105" s="295" t="str">
        <f>VLOOKUP(VLOOKUP($AU105,KOMBI!$A:$H,3,FALSE),data!$I$27:$J$29,2,FALSE)</f>
        <v>Vähe-sekkuv</v>
      </c>
      <c r="AW105" s="295" t="str">
        <f>VLOOKUP(VLOOKUP($AU105,KOMBI!$A:$H,2,FALSE),data!$I$21:$J$23,2,FALSE)</f>
        <v>Mittesekkuv</v>
      </c>
      <c r="AX105" s="295" t="str">
        <f>VLOOKUP(VLOOKUP($AU105,KOMBI!$A:$H,5,FALSE),data!$I$39:$J$41,2,FALSE)</f>
        <v>Sekkuv</v>
      </c>
      <c r="AY105" s="295" t="str">
        <f>VLOOKUP(VLOOKUP($AU105,KOMBI!$A:$H,4,FALSE),data!$I$32:$J$36,2,FALSE)</f>
        <v>PK &amp; UG</v>
      </c>
      <c r="BA105" s="25">
        <f t="array" ref="BA105">INDEX(KOMBI!$A$1:$GI$145,ROW('KSH järjestus'!BA112),MATCH('KSH järjestus'!BA$3,KOMBI!$A$1:$GI$1,0))</f>
        <v>10.837077514654538</v>
      </c>
      <c r="BB105" s="25">
        <f t="array" ref="BB105">INDEX(KOMBI!$A$1:$GI$145,ROW('KSH järjestus'!BB112),MATCH('KSH järjestus'!BB$3,KOMBI!$A$1:$GI$1,0))</f>
        <v>542.7295303684341</v>
      </c>
      <c r="BC105" s="25">
        <f t="array" aca="1" ref="BC105" ca="1">INDEX(KOMBI!$A$1:$GI$145,ROW('KSH järjestus'!BC112),MATCH('KSH järjestus'!BC$3,KOMBI!$A$1:$GI$1,0))</f>
        <v>146.33520203523233</v>
      </c>
      <c r="BD105" s="25">
        <f t="array" ref="BD105">INDEX(KOMBI!$A$1:$GI$145,ROW('KSH järjestus'!BD112),MATCH('KSH järjestus'!BD$3,KOMBI!$A$1:$GI$1,0))</f>
        <v>-74.878313699091038</v>
      </c>
      <c r="BE105" s="25">
        <f t="array" ref="BE105">INDEX(KOMBI!$A$1:$GI$145,ROW('KSH järjestus'!BE112),MATCH('KSH järjestus'!BE$3,KOMBI!$A$1:$GI$1,0))</f>
        <v>221.21351573432335</v>
      </c>
      <c r="BF105" s="25">
        <f t="array" aca="1" ref="BF105" ca="1">INDEX(KOMBI!$A$1:$GI$145,ROW('KSH järjestus'!BF112),MATCH('KSH järjestus'!BF$3,KOMBI!$A$1:$GI$1,0))</f>
        <v>0</v>
      </c>
      <c r="BG105" s="25">
        <f t="array" ref="BG105">INDEX(KOMBI!$A$1:$GI$145,ROW('KSH järjestus'!BG112),MATCH('KSH järjestus'!BG$3,KOMBI!$A$1:$GI$1,0))</f>
        <v>0.6074987705979138</v>
      </c>
      <c r="BH105" s="25">
        <f t="array" ref="BH105">INDEX(KOMBI!$A$1:$GI$145,ROW('KSH järjestus'!BH112),MATCH('KSH järjestus'!BH$3,KOMBI!$A$1:$GI$1,0))</f>
        <v>90</v>
      </c>
      <c r="BI105" s="25">
        <f t="array" ref="BI105">INDEX(KOMBI!$A$1:$GI$145,ROW('KSH järjestus'!BI112),MATCH('KSH järjestus'!BI$3,KOMBI!$A$1:$GI$1,0))</f>
        <v>0.72887234460741646</v>
      </c>
      <c r="BJ105" s="25">
        <f t="array" ref="BJ105">INDEX(KOMBI!$A$1:$GI$145,ROW('KSH järjestus'!BJ112),MATCH('KSH järjestus'!BJ$3,KOMBI!$A$1:$GI$1,0))</f>
        <v>0.36609829488465395</v>
      </c>
      <c r="BK105" s="25">
        <f t="array" ref="BK105">INDEX(KOMBI!$A$1:$GI$145,ROW('KSH järjestus'!BK112),MATCH('KSH järjestus'!BK$3,KOMBI!$A$1:$GI$1,0))</f>
        <v>0.63174328576257388</v>
      </c>
      <c r="BL105" s="25">
        <f t="array" ref="BL105">INDEX(KOMBI!$A$1:$GI$145,ROW('KSH järjestus'!BL112),MATCH('KSH järjestus'!BL$3,KOMBI!$A$1:$GI$1,0))</f>
        <v>2.1197126609863542E-2</v>
      </c>
      <c r="BM105" s="25">
        <f t="array" ref="BM105">INDEX(KOMBI!$A$1:$GI$145,ROW('KSH järjestus'!BM112),MATCH('KSH järjestus'!BM$3,KOMBI!$A$1:$GI$1,0))</f>
        <v>4.9019286581965145E-3</v>
      </c>
      <c r="BN105" s="25">
        <f t="array" ref="BN105">INDEX(KOMBI!$A$1:$GI$145,ROW('KSH järjestus'!BN112),MATCH('KSH järjestus'!BN$3,KOMBI!$A$1:$GI$1,0))</f>
        <v>7.6977602914760912E-3</v>
      </c>
      <c r="BO105" s="25">
        <f t="array" ref="BO105">INDEX(KOMBI!$A$1:$GI$145,ROW('KSH järjestus'!BO112),MATCH('KSH järjestus'!BO$3,KOMBI!$A$1:$GI$1,0))</f>
        <v>1.367330439559177E-2</v>
      </c>
      <c r="BP105" s="25">
        <f t="array" ref="BP105">INDEX(KOMBI!$A$1:$GI$145,ROW('KSH järjestus'!BP112),MATCH('KSH järjestus'!BP$3,KOMBI!$A$1:$GI$1,0))</f>
        <v>8.548831357090096</v>
      </c>
      <c r="BQ105" s="25">
        <f t="array" ref="BQ105">INDEX(KOMBI!$A$1:$GI$145,ROW('KSH järjestus'!BQ112),MATCH('KSH järjestus'!BQ$3,KOMBI!$A$1:$GI$1,0))</f>
        <v>10.221</v>
      </c>
      <c r="BR105" s="25">
        <f t="array" ref="BR105">INDEX(KOMBI!$A$1:$GI$145,ROW('KSH järjestus'!BR112),MATCH('KSH järjestus'!BR$3,KOMBI!$A$1:$GI$1,0))</f>
        <v>-4.3518187126664193E-2</v>
      </c>
      <c r="BS105" s="25">
        <f t="array" ref="BS105">INDEX(KOMBI!$A$1:$GI$145,ROW('KSH järjestus'!BS112),MATCH('KSH järjestus'!BS$3,KOMBI!$A$1:$GI$1,0))</f>
        <v>-0.17839437772335706</v>
      </c>
      <c r="BT105" s="25">
        <f t="array" ref="BT105">INDEX(KOMBI!$A$1:$GI$145,ROW('KSH järjestus'!BT112),MATCH('KSH järjestus'!BT$3,KOMBI!$A$1:$GI$1,0))</f>
        <v>-9.6303438758401763E-2</v>
      </c>
      <c r="BU105" s="25">
        <f t="array" ref="BU105">INDEX(KOMBI!$A$1:$GI$145,ROW('KSH järjestus'!BU112),MATCH('KSH järjestus'!BU$3,KOMBI!$A$1:$GI$1,0))</f>
        <v>4.2353975506064012</v>
      </c>
      <c r="BV105" s="25">
        <f t="array" ref="BV105">INDEX(KOMBI!$A$1:$GI$145,ROW('KSH järjestus'!BV112),MATCH('KSH järjestus'!BV$3,KOMBI!$A$1:$GI$1,0))</f>
        <v>1.6020000000000001</v>
      </c>
      <c r="BW105" s="25">
        <f t="array" ref="BW105">INDEX(KOMBI!$A$1:$GI$145,ROW('KSH järjestus'!BW112),MATCH('KSH järjestus'!BW$3,KOMBI!$A$1:$GI$1,0))</f>
        <v>1.92908499063732</v>
      </c>
      <c r="BX105" s="25">
        <f t="array" ref="BX105">INDEX(KOMBI!$A$1:$GI$145,ROW('KSH järjestus'!BX112),MATCH('KSH järjestus'!BX$3,KOMBI!$A$1:$GI$1,0))</f>
        <v>17.650721793242816</v>
      </c>
      <c r="BY105" s="25">
        <f t="array" ref="BY105">INDEX(KOMBI!$A$1:$GI$145,ROW('KSH järjestus'!BY112),MATCH('KSH järjestus'!BY$3,KOMBI!$A$1:$GI$1,0))</f>
        <v>7.5876988012134206</v>
      </c>
      <c r="BZ105" s="25">
        <f t="array" ref="BZ105">INDEX(KOMBI!$A$1:$GI$145,ROW('KSH järjestus'!BZ112),MATCH('KSH järjestus'!BZ$3,KOMBI!$A$1:$GI$1,0))</f>
        <v>81</v>
      </c>
      <c r="CA105" s="25">
        <f t="array" ref="CA105">INDEX(KOMBI!$A$1:$GI$145,ROW('KSH järjestus'!CA112),MATCH('KSH järjestus'!CA$3,KOMBI!$A$1:$GI$1,0))</f>
        <v>9.9619999999999997</v>
      </c>
      <c r="CB105" s="25">
        <f t="array" ref="CB105">INDEX(KOMBI!$A$1:$GI$145,ROW('KSH järjestus'!CB112),MATCH('KSH järjestus'!CB$3,KOMBI!$A$1:$GI$1,0))</f>
        <v>40.079444444444441</v>
      </c>
      <c r="CC105" s="25">
        <f t="array" ref="CC105">INDEX(KOMBI!$A$1:$GI$145,ROW('KSH järjestus'!CC112),MATCH('KSH järjestus'!CC$3,KOMBI!$A$1:$GI$1,0))</f>
        <v>4.1259649999999999</v>
      </c>
      <c r="CD105" s="25">
        <f t="array" ref="CD105">INDEX(KOMBI!$A$1:$GI$145,ROW('KSH järjestus'!CD112),MATCH('KSH järjestus'!CD$3,KOMBI!$A$1:$GI$1,0))</f>
        <v>315.59999999999997</v>
      </c>
      <c r="CE105" s="25">
        <f t="array" ref="CE105">INDEX(KOMBI!$A$1:$GI$145,ROW('KSH järjestus'!CE112),MATCH('KSH järjestus'!CE$3,KOMBI!$A$1:$GI$1,0))</f>
        <v>3.0510000000000002</v>
      </c>
      <c r="CF105" s="25">
        <f t="array" ref="CF105">INDEX(KOMBI!$A$1:$GI$145,ROW('KSH järjestus'!CF112),MATCH('KSH järjestus'!CF$3,KOMBI!$A$1:$GI$1,0))</f>
        <v>41.966388888888886</v>
      </c>
      <c r="CG105" s="25">
        <f t="array" ref="CG105">INDEX(KOMBI!$A$1:$GI$145,ROW('KSH järjestus'!CG112),MATCH('KSH järjestus'!CG$3,KOMBI!$A$1:$GI$1,0))</f>
        <v>2.3132392489112068E-2</v>
      </c>
      <c r="CH105" s="25">
        <f t="array" ref="CH105">INDEX(KOMBI!$A$1:$GI$145,ROW('KSH järjestus'!CH112),MATCH('KSH järjestus'!CH$3,KOMBI!$A$1:$GI$1,0))</f>
        <v>0.538709820713835</v>
      </c>
      <c r="CI105" s="25">
        <f t="array" ref="CI105">INDEX(KOMBI!$A$1:$GI$145,ROW('KSH järjestus'!CI112),MATCH('KSH järjestus'!CI$3,KOMBI!$A$1:$GI$1,0))</f>
        <v>11.370000000000001</v>
      </c>
      <c r="CJ105" s="25">
        <f t="array" ref="CJ105">INDEX(KOMBI!$A$1:$GI$145,ROW('KSH järjestus'!CJ112),MATCH('KSH järjestus'!CJ$3,KOMBI!$A$1:$GI$1,0))</f>
        <v>2.9928849906373198</v>
      </c>
      <c r="CK105" s="25">
        <f t="array" ref="CK105">INDEX(KOMBI!$A$1:$GI$145,ROW('KSH järjestus'!CK112),MATCH('KSH järjestus'!CK$3,KOMBI!$A$1:$GI$1,0))</f>
        <v>0.22900000000000001</v>
      </c>
      <c r="CL105" s="25">
        <f t="array" ref="CL105">INDEX(KOMBI!$A$1:$GI$145,ROW('KSH järjestus'!CL112),MATCH('KSH järjestus'!CL$3,KOMBI!$A$1:$GI$1,0))</f>
        <v>0.82899999999999996</v>
      </c>
    </row>
    <row r="106" spans="3:90" x14ac:dyDescent="0.2">
      <c r="C106" s="184">
        <v>103</v>
      </c>
      <c r="G106" s="25">
        <f>RANK(INDEX(KOMBI!$A$11:$GI$145,MATCH('KSH järjestus'!$C106,KOMBI!$A$11:$A$145,0),MATCH('KSH järjestus'!G$3,KOMBI!$A$1:$GI$1,0)),BD$4:BD$138,G$2)</f>
        <v>101</v>
      </c>
      <c r="H106" s="25">
        <f>RANK(INDEX(KOMBI!$A$11:$GI$145,MATCH('KSH järjestus'!$C106,KOMBI!$A$11:$A$145,0),MATCH('KSH järjestus'!H$3,KOMBI!$A$1:$GI$1,0)),BE$4:BE$138,H$2)</f>
        <v>24</v>
      </c>
      <c r="J106" s="25">
        <f>RANK(INDEX(KOMBI!$A$11:$GI$145,MATCH('KSH järjestus'!$C106,KOMBI!$A$11:$A$145,0),MATCH('KSH järjestus'!J$3,KOMBI!$A$1:$GI$1,0)),BG$4:BG$138,J$2)</f>
        <v>13</v>
      </c>
      <c r="M106" s="25">
        <f>RANK(INDEX(KOMBI!$A$11:$GI$145,MATCH('KSH järjestus'!$C106,KOMBI!$A$11:$A$145,0),MATCH('KSH järjestus'!M$3,KOMBI!$A$1:$GI$1,0)),BJ$4:BJ$138,M$2)</f>
        <v>1</v>
      </c>
      <c r="N106" s="25">
        <f>RANK(INDEX(KOMBI!$A$11:$GI$145,MATCH('KSH järjestus'!$C106,KOMBI!$A$11:$A$145,0),MATCH('KSH järjestus'!N$3,KOMBI!$A$1:$GI$1,0)),BK$4:BK$138,N$2)</f>
        <v>109</v>
      </c>
      <c r="O106" s="25">
        <f>RANK(INDEX(KOMBI!$A$11:$GI$145,MATCH('KSH järjestus'!$C106,KOMBI!$A$11:$A$145,0),MATCH('KSH järjestus'!O$3,KOMBI!$A$1:$GI$1,0)),BL$4:BL$138,O$2)</f>
        <v>22</v>
      </c>
      <c r="P106" s="25">
        <f>RANK(INDEX(KOMBI!$A$11:$GI$145,MATCH('KSH järjestus'!$C106,KOMBI!$A$11:$A$145,0),MATCH('KSH järjestus'!P$3,KOMBI!$A$1:$GI$1,0)),BM$4:BM$138,P$2)</f>
        <v>1</v>
      </c>
      <c r="Q106" s="25">
        <f>RANK(INDEX(KOMBI!$A$11:$GI$145,MATCH('KSH järjestus'!$C106,KOMBI!$A$11:$A$145,0),MATCH('KSH järjestus'!Q$3,KOMBI!$A$1:$GI$1,0)),BN$4:BN$138,Q$2)</f>
        <v>9</v>
      </c>
      <c r="R106" s="25">
        <f>RANK(INDEX(KOMBI!$A$11:$GI$145,MATCH('KSH järjestus'!$C106,KOMBI!$A$11:$A$145,0),MATCH('KSH järjestus'!R$3,KOMBI!$A$1:$GI$1,0)),BO$4:BO$138,R$2)</f>
        <v>71</v>
      </c>
      <c r="T106" s="25">
        <f>RANK(INDEX(KOMBI!$A$11:$GI$145,MATCH('KSH järjestus'!$C106,KOMBI!$A$11:$A$145,0),MATCH('KSH järjestus'!T$3,KOMBI!$A$1:$GI$1,0)),BQ$4:BQ$138,T$2)</f>
        <v>109</v>
      </c>
      <c r="U106" s="25">
        <f>RANK(INDEX(KOMBI!$A$11:$GI$145,MATCH('KSH järjestus'!$C106,KOMBI!$A$11:$A$145,0),MATCH('KSH järjestus'!U$3,KOMBI!$A$1:$GI$1,0)),BR$4:BR$138,U$2)</f>
        <v>78</v>
      </c>
      <c r="AA106" s="25">
        <f>RANK(INDEX(KOMBI!$A$11:$GI$145,MATCH('KSH järjestus'!$C106,KOMBI!$A$11:$A$145,0),MATCH('KSH järjestus'!AA$3,KOMBI!$A$1:$GI$1,0)),BX$4:BX$138,AA$2)</f>
        <v>118</v>
      </c>
      <c r="AB106" s="25">
        <f>RANK(INDEX(KOMBI!$A$11:$GI$145,MATCH('KSH järjestus'!$C106,KOMBI!$A$11:$A$145,0),MATCH('KSH järjestus'!AB$3,KOMBI!$A$1:$GI$1,0)),BY$4:BY$138,AB$2)</f>
        <v>127</v>
      </c>
      <c r="AC106" s="25">
        <f>RANK(INDEX(KOMBI!$A$11:$GI$145,MATCH('KSH järjestus'!$C106,KOMBI!$A$11:$A$145,0),MATCH('KSH järjestus'!AC$3,KOMBI!$A$1:$GI$1,0)),BZ$4:BZ$138,AC$2)</f>
        <v>120</v>
      </c>
      <c r="AD106" s="25">
        <f>RANK(INDEX(KOMBI!$A$11:$GI$145,MATCH('KSH järjestus'!$C106,KOMBI!$A$11:$A$145,0),MATCH('KSH järjestus'!AD$3,KOMBI!$A$1:$GI$1,0)),CA$4:CA$138,AD$2)</f>
        <v>115</v>
      </c>
      <c r="AE106" s="25">
        <f>RANK(INDEX(KOMBI!$A$11:$GI$145,MATCH('KSH järjestus'!$C106,KOMBI!$A$11:$A$145,0),MATCH('KSH järjestus'!AE$3,KOMBI!$A$1:$GI$1,0)),CB$4:CB$138,AE$2)</f>
        <v>117</v>
      </c>
      <c r="AG106" s="25">
        <f>RANK(INDEX(KOMBI!$A$11:$GI$145,MATCH('KSH järjestus'!$C106,KOMBI!$A$11:$A$145,0),MATCH('KSH järjestus'!AG$3,KOMBI!$A$1:$GI$1,0)),CD$4:CD$138,AG$2)</f>
        <v>76</v>
      </c>
      <c r="AH106" s="25">
        <f>RANK(INDEX(KOMBI!$A$11:$GI$145,MATCH('KSH järjestus'!$C106,KOMBI!$A$11:$A$145,0),MATCH('KSH järjestus'!AH$3,KOMBI!$A$1:$GI$1,0)),CE$4:CE$138,AH$2)</f>
        <v>106</v>
      </c>
      <c r="AI106" s="25">
        <f>RANK(INDEX(KOMBI!$A$11:$GI$145,MATCH('KSH järjestus'!$C106,KOMBI!$A$11:$A$145,0),MATCH('KSH järjestus'!AI$3,KOMBI!$A$1:$GI$1,0)),CF$4:CF$138,AI$2)</f>
        <v>118</v>
      </c>
      <c r="AJ106" s="25">
        <f>RANK(INDEX(KOMBI!$A$11:$GI$145,MATCH('KSH järjestus'!$C106,KOMBI!$A$11:$A$145,0),MATCH('KSH järjestus'!AJ$3,KOMBI!$A$1:$GI$1,0)),CG$4:CG$138,AJ$2)</f>
        <v>64</v>
      </c>
      <c r="AK106" s="25">
        <f>RANK(INDEX(KOMBI!$A$11:$GI$145,MATCH('KSH järjestus'!$C106,KOMBI!$A$11:$A$145,0),MATCH('KSH järjestus'!AK$3,KOMBI!$A$1:$GI$1,0)),CH$4:CH$138,AK$2)</f>
        <v>55</v>
      </c>
      <c r="AN106" s="25">
        <f>RANK(INDEX(KOMBI!$A$11:$GI$145,MATCH('KSH järjestus'!$C106,KOMBI!$A$11:$A$145,0),MATCH('KSH järjestus'!AN$3,KOMBI!$A$1:$GI$1,0)),CK$4:CK$138,AN$2)</f>
        <v>91</v>
      </c>
      <c r="AO106" s="25">
        <f>RANK(INDEX(KOMBI!$A$11:$GI$145,MATCH('KSH järjestus'!$C106,KOMBI!$A$11:$A$145,0),MATCH('KSH järjestus'!AO$3,KOMBI!$A$1:$GI$1,0)),CL$4:CL$138,AO$2)</f>
        <v>91</v>
      </c>
      <c r="AS106" s="297">
        <f t="shared" si="7"/>
        <v>1736</v>
      </c>
      <c r="AT106" s="25">
        <f t="shared" si="5"/>
        <v>1894</v>
      </c>
      <c r="AU106" s="25">
        <f t="shared" si="6"/>
        <v>52</v>
      </c>
      <c r="AV106" s="295" t="str">
        <f>VLOOKUP(VLOOKUP($AU106,KOMBI!$A:$H,3,FALSE),data!$I$27:$J$29,2,FALSE)</f>
        <v>Mittesekkuv</v>
      </c>
      <c r="AW106" s="295" t="str">
        <f>VLOOKUP(VLOOKUP($AU106,KOMBI!$A:$H,2,FALSE),data!$I$21:$J$23,2,FALSE)</f>
        <v>Vähe-sekkuv</v>
      </c>
      <c r="AX106" s="295" t="str">
        <f>VLOOKUP(VLOOKUP($AU106,KOMBI!$A:$H,5,FALSE),data!$I$39:$J$41,2,FALSE)</f>
        <v>Mittesekkuv</v>
      </c>
      <c r="AY106" s="295" t="str">
        <f>VLOOKUP(VLOOKUP($AU106,KOMBI!$A:$H,4,FALSE),data!$I$32:$J$36,2,FALSE)</f>
        <v>TE</v>
      </c>
      <c r="BA106" s="25">
        <f t="array" ref="BA106">INDEX(KOMBI!$A$1:$GI$145,ROW('KSH järjestus'!BA113),MATCH('KSH järjestus'!BA$3,KOMBI!$A$1:$GI$1,0))</f>
        <v>6.0247478640556578</v>
      </c>
      <c r="BB106" s="25">
        <f t="array" ref="BB106">INDEX(KOMBI!$A$1:$GI$145,ROW('KSH järjestus'!BB113),MATCH('KSH järjestus'!BB$3,KOMBI!$A$1:$GI$1,0))</f>
        <v>685.8521817754937</v>
      </c>
      <c r="BC106" s="25">
        <f t="array" aca="1" ref="BC106" ca="1">INDEX(KOMBI!$A$1:$GI$145,ROW('KSH järjestus'!BC113),MATCH('KSH järjestus'!BC$3,KOMBI!$A$1:$GI$1,0))</f>
        <v>193.45328644333378</v>
      </c>
      <c r="BD106" s="25">
        <f t="array" ref="BD106">INDEX(KOMBI!$A$1:$GI$145,ROW('KSH järjestus'!BD113),MATCH('KSH järjestus'!BD$3,KOMBI!$A$1:$GI$1,0))</f>
        <v>-40.537500000000001</v>
      </c>
      <c r="BE106" s="25">
        <f t="array" ref="BE106">INDEX(KOMBI!$A$1:$GI$145,ROW('KSH järjestus'!BE113),MATCH('KSH järjestus'!BE$3,KOMBI!$A$1:$GI$1,0))</f>
        <v>233.99078644333377</v>
      </c>
      <c r="BF106" s="25">
        <f t="array" aca="1" ref="BF106" ca="1">INDEX(KOMBI!$A$1:$GI$145,ROW('KSH järjestus'!BF113),MATCH('KSH järjestus'!BF$3,KOMBI!$A$1:$GI$1,0))</f>
        <v>0</v>
      </c>
      <c r="BG106" s="25">
        <f t="array" ref="BG106">INDEX(KOMBI!$A$1:$GI$145,ROW('KSH järjestus'!BG113),MATCH('KSH järjestus'!BG$3,KOMBI!$A$1:$GI$1,0))</f>
        <v>0.31335829778319707</v>
      </c>
      <c r="BH106" s="25">
        <f t="array" ref="BH106">INDEX(KOMBI!$A$1:$GI$145,ROW('KSH järjestus'!BH113),MATCH('KSH järjestus'!BH$3,KOMBI!$A$1:$GI$1,0))</f>
        <v>90</v>
      </c>
      <c r="BI106" s="25">
        <f t="array" ref="BI106">INDEX(KOMBI!$A$1:$GI$145,ROW('KSH järjestus'!BI113),MATCH('KSH järjestus'!BI$3,KOMBI!$A$1:$GI$1,0))</f>
        <v>1</v>
      </c>
      <c r="BJ106" s="25">
        <f t="array" ref="BJ106">INDEX(KOMBI!$A$1:$GI$145,ROW('KSH järjestus'!BJ113),MATCH('KSH järjestus'!BJ$3,KOMBI!$A$1:$GI$1,0))</f>
        <v>0</v>
      </c>
      <c r="BK106" s="25">
        <f t="array" ref="BK106">INDEX(KOMBI!$A$1:$GI$145,ROW('KSH järjestus'!BK113),MATCH('KSH järjestus'!BK$3,KOMBI!$A$1:$GI$1,0))</f>
        <v>0.28029402570781448</v>
      </c>
      <c r="BL106" s="25">
        <f t="array" ref="BL106">INDEX(KOMBI!$A$1:$GI$145,ROW('KSH järjestus'!BL113),MATCH('KSH järjestus'!BL$3,KOMBI!$A$1:$GI$1,0))</f>
        <v>2.5248358403165066E-2</v>
      </c>
      <c r="BM106" s="25">
        <f t="array" ref="BM106">INDEX(KOMBI!$A$1:$GI$145,ROW('KSH järjestus'!BM113),MATCH('KSH järjestus'!BM$3,KOMBI!$A$1:$GI$1,0))</f>
        <v>1.5911569256935688E-2</v>
      </c>
      <c r="BN106" s="25">
        <f t="array" ref="BN106">INDEX(KOMBI!$A$1:$GI$145,ROW('KSH järjestus'!BN113),MATCH('KSH järjestus'!BN$3,KOMBI!$A$1:$GI$1,0))</f>
        <v>1.3612754526471454E-2</v>
      </c>
      <c r="BO106" s="25">
        <f t="array" ref="BO106">INDEX(KOMBI!$A$1:$GI$145,ROW('KSH järjestus'!BO113),MATCH('KSH järjestus'!BO$3,KOMBI!$A$1:$GI$1,0))</f>
        <v>1.1977565775849306E-2</v>
      </c>
      <c r="BP106" s="25">
        <f t="array" ref="BP106">INDEX(KOMBI!$A$1:$GI$145,ROW('KSH järjestus'!BP113),MATCH('KSH järjestus'!BP$3,KOMBI!$A$1:$GI$1,0))</f>
        <v>8.4649896156049156</v>
      </c>
      <c r="BQ106" s="25">
        <f t="array" ref="BQ106">INDEX(KOMBI!$A$1:$GI$145,ROW('KSH järjestus'!BQ113),MATCH('KSH järjestus'!BQ$3,KOMBI!$A$1:$GI$1,0))</f>
        <v>11.404</v>
      </c>
      <c r="BR106" s="25">
        <f t="array" ref="BR106">INDEX(KOMBI!$A$1:$GI$145,ROW('KSH järjestus'!BR113),MATCH('KSH järjestus'!BR$3,KOMBI!$A$1:$GI$1,0))</f>
        <v>-2.1476657847096056E-2</v>
      </c>
      <c r="BS106" s="25">
        <f t="array" ref="BS106">INDEX(KOMBI!$A$1:$GI$145,ROW('KSH järjestus'!BS113),MATCH('KSH järjestus'!BS$3,KOMBI!$A$1:$GI$1,0))</f>
        <v>4.7402666795386322E-2</v>
      </c>
      <c r="BT106" s="25">
        <f t="array" ref="BT106">INDEX(KOMBI!$A$1:$GI$145,ROW('KSH järjestus'!BT113),MATCH('KSH järjestus'!BT$3,KOMBI!$A$1:$GI$1,0))</f>
        <v>4.5032081990497332E-2</v>
      </c>
      <c r="BU106" s="25">
        <f t="array" ref="BU106">INDEX(KOMBI!$A$1:$GI$145,ROW('KSH järjestus'!BU113),MATCH('KSH järjestus'!BU$3,KOMBI!$A$1:$GI$1,0))</f>
        <v>11.244630311598682</v>
      </c>
      <c r="BV106" s="25">
        <f t="array" ref="BV106">INDEX(KOMBI!$A$1:$GI$145,ROW('KSH järjestus'!BV113),MATCH('KSH järjestus'!BV$3,KOMBI!$A$1:$GI$1,0))</f>
        <v>6.3289999999999997</v>
      </c>
      <c r="BW106" s="25">
        <f t="array" ref="BW106">INDEX(KOMBI!$A$1:$GI$145,ROW('KSH järjestus'!BW113),MATCH('KSH järjestus'!BW$3,KOMBI!$A$1:$GI$1,0))</f>
        <v>1.3428849906373199</v>
      </c>
      <c r="BX106" s="25">
        <f t="array" ref="BX106">INDEX(KOMBI!$A$1:$GI$145,ROW('KSH järjestus'!BX113),MATCH('KSH järjestus'!BX$3,KOMBI!$A$1:$GI$1,0))</f>
        <v>22.548999999999999</v>
      </c>
      <c r="BY106" s="25">
        <f t="array" ref="BY106">INDEX(KOMBI!$A$1:$GI$145,ROW('KSH järjestus'!BY113),MATCH('KSH järjestus'!BY$3,KOMBI!$A$1:$GI$1,0))</f>
        <v>39.419669554234019</v>
      </c>
      <c r="BZ106" s="25">
        <f t="array" ref="BZ106">INDEX(KOMBI!$A$1:$GI$145,ROW('KSH järjestus'!BZ113),MATCH('KSH järjestus'!BZ$3,KOMBI!$A$1:$GI$1,0))</f>
        <v>95</v>
      </c>
      <c r="CA106" s="25">
        <f t="array" ref="CA106">INDEX(KOMBI!$A$1:$GI$145,ROW('KSH järjestus'!CA113),MATCH('KSH järjestus'!CA$3,KOMBI!$A$1:$GI$1,0))</f>
        <v>16.282</v>
      </c>
      <c r="CB106" s="25">
        <f t="array" ref="CB106">INDEX(KOMBI!$A$1:$GI$145,ROW('KSH järjestus'!CB113),MATCH('KSH järjestus'!CB$3,KOMBI!$A$1:$GI$1,0))</f>
        <v>135.59083333333334</v>
      </c>
      <c r="CC106" s="25">
        <f t="array" ref="CC106">INDEX(KOMBI!$A$1:$GI$145,ROW('KSH järjestus'!CC113),MATCH('KSH järjestus'!CC$3,KOMBI!$A$1:$GI$1,0))</f>
        <v>7.3121600000000004</v>
      </c>
      <c r="CD106" s="25">
        <f t="array" ref="CD106">INDEX(KOMBI!$A$1:$GI$145,ROW('KSH järjestus'!CD113),MATCH('KSH järjestus'!CD$3,KOMBI!$A$1:$GI$1,0))</f>
        <v>315.39999999999998</v>
      </c>
      <c r="CE106" s="25">
        <f t="array" ref="CE106">INDEX(KOMBI!$A$1:$GI$145,ROW('KSH järjestus'!CE113),MATCH('KSH järjestus'!CE$3,KOMBI!$A$1:$GI$1,0))</f>
        <v>3.0510000000000002</v>
      </c>
      <c r="CF106" s="25">
        <f t="array" ref="CF106">INDEX(KOMBI!$A$1:$GI$145,ROW('KSH järjestus'!CF113),MATCH('KSH järjestus'!CF$3,KOMBI!$A$1:$GI$1,0))</f>
        <v>61.835011875436592</v>
      </c>
      <c r="CG106" s="25">
        <f t="array" ref="CG106">INDEX(KOMBI!$A$1:$GI$145,ROW('KSH järjestus'!CG113),MATCH('KSH järjestus'!CG$3,KOMBI!$A$1:$GI$1,0))</f>
        <v>2.3132392489112068E-2</v>
      </c>
      <c r="CH106" s="25">
        <f t="array" ref="CH106">INDEX(KOMBI!$A$1:$GI$145,ROW('KSH järjestus'!CH113),MATCH('KSH järjestus'!CH$3,KOMBI!$A$1:$GI$1,0))</f>
        <v>0.4427532296478886</v>
      </c>
      <c r="CI106" s="25">
        <f t="array" ref="CI106">INDEX(KOMBI!$A$1:$GI$145,ROW('KSH järjestus'!CI113),MATCH('KSH järjestus'!CI$3,KOMBI!$A$1:$GI$1,0))</f>
        <v>6.78</v>
      </c>
      <c r="CJ106" s="25">
        <f t="array" ref="CJ106">INDEX(KOMBI!$A$1:$GI$145,ROW('KSH järjestus'!CJ113),MATCH('KSH järjestus'!CJ$3,KOMBI!$A$1:$GI$1,0))</f>
        <v>8.4968849906373194</v>
      </c>
      <c r="CK106" s="25">
        <f t="array" ref="CK106">INDEX(KOMBI!$A$1:$GI$145,ROW('KSH järjestus'!CK113),MATCH('KSH järjestus'!CK$3,KOMBI!$A$1:$GI$1,0))</f>
        <v>0.22900000000000001</v>
      </c>
      <c r="CL106" s="25">
        <f t="array" ref="CL106">INDEX(KOMBI!$A$1:$GI$145,ROW('KSH järjestus'!CL113),MATCH('KSH järjestus'!CL$3,KOMBI!$A$1:$GI$1,0))</f>
        <v>0.82899999999999996</v>
      </c>
    </row>
    <row r="107" spans="3:90" x14ac:dyDescent="0.2">
      <c r="C107" s="184">
        <v>104</v>
      </c>
      <c r="G107" s="25">
        <f>RANK(INDEX(KOMBI!$A$11:$GI$145,MATCH('KSH järjestus'!$C107,KOMBI!$A$11:$A$145,0),MATCH('KSH järjestus'!G$3,KOMBI!$A$1:$GI$1,0)),BD$4:BD$138,G$2)</f>
        <v>91</v>
      </c>
      <c r="H107" s="25">
        <f>RANK(INDEX(KOMBI!$A$11:$GI$145,MATCH('KSH järjestus'!$C107,KOMBI!$A$11:$A$145,0),MATCH('KSH järjestus'!H$3,KOMBI!$A$1:$GI$1,0)),BE$4:BE$138,H$2)</f>
        <v>9</v>
      </c>
      <c r="J107" s="25">
        <f>RANK(INDEX(KOMBI!$A$11:$GI$145,MATCH('KSH järjestus'!$C107,KOMBI!$A$11:$A$145,0),MATCH('KSH järjestus'!J$3,KOMBI!$A$1:$GI$1,0)),BG$4:BG$138,J$2)</f>
        <v>5</v>
      </c>
      <c r="M107" s="25">
        <f>RANK(INDEX(KOMBI!$A$11:$GI$145,MATCH('KSH järjestus'!$C107,KOMBI!$A$11:$A$145,0),MATCH('KSH järjestus'!M$3,KOMBI!$A$1:$GI$1,0)),BJ$4:BJ$138,M$2)</f>
        <v>1</v>
      </c>
      <c r="N107" s="25">
        <f>RANK(INDEX(KOMBI!$A$11:$GI$145,MATCH('KSH järjestus'!$C107,KOMBI!$A$11:$A$145,0),MATCH('KSH järjestus'!N$3,KOMBI!$A$1:$GI$1,0)),BK$4:BK$138,N$2)</f>
        <v>111</v>
      </c>
      <c r="O107" s="25">
        <f>RANK(INDEX(KOMBI!$A$11:$GI$145,MATCH('KSH järjestus'!$C107,KOMBI!$A$11:$A$145,0),MATCH('KSH järjestus'!O$3,KOMBI!$A$1:$GI$1,0)),BL$4:BL$138,O$2)</f>
        <v>10</v>
      </c>
      <c r="P107" s="25">
        <f>RANK(INDEX(KOMBI!$A$11:$GI$145,MATCH('KSH järjestus'!$C107,KOMBI!$A$11:$A$145,0),MATCH('KSH järjestus'!P$3,KOMBI!$A$1:$GI$1,0)),BM$4:BM$138,P$2)</f>
        <v>5</v>
      </c>
      <c r="Q107" s="25">
        <f>RANK(INDEX(KOMBI!$A$11:$GI$145,MATCH('KSH järjestus'!$C107,KOMBI!$A$11:$A$145,0),MATCH('KSH järjestus'!Q$3,KOMBI!$A$1:$GI$1,0)),BN$4:BN$138,Q$2)</f>
        <v>3</v>
      </c>
      <c r="R107" s="25">
        <f>RANK(INDEX(KOMBI!$A$11:$GI$145,MATCH('KSH järjestus'!$C107,KOMBI!$A$11:$A$145,0),MATCH('KSH järjestus'!R$3,KOMBI!$A$1:$GI$1,0)),BO$4:BO$138,R$2)</f>
        <v>32</v>
      </c>
      <c r="T107" s="25">
        <f>RANK(INDEX(KOMBI!$A$11:$GI$145,MATCH('KSH järjestus'!$C107,KOMBI!$A$11:$A$145,0),MATCH('KSH järjestus'!T$3,KOMBI!$A$1:$GI$1,0)),BQ$4:BQ$138,T$2)</f>
        <v>114</v>
      </c>
      <c r="U107" s="25">
        <f>RANK(INDEX(KOMBI!$A$11:$GI$145,MATCH('KSH järjestus'!$C107,KOMBI!$A$11:$A$145,0),MATCH('KSH järjestus'!U$3,KOMBI!$A$1:$GI$1,0)),BR$4:BR$138,U$2)</f>
        <v>88</v>
      </c>
      <c r="AA107" s="25">
        <f>RANK(INDEX(KOMBI!$A$11:$GI$145,MATCH('KSH järjestus'!$C107,KOMBI!$A$11:$A$145,0),MATCH('KSH järjestus'!AA$3,KOMBI!$A$1:$GI$1,0)),BX$4:BX$138,AA$2)</f>
        <v>118</v>
      </c>
      <c r="AB107" s="25">
        <f>RANK(INDEX(KOMBI!$A$11:$GI$145,MATCH('KSH järjestus'!$C107,KOMBI!$A$11:$A$145,0),MATCH('KSH järjestus'!AB$3,KOMBI!$A$1:$GI$1,0)),BY$4:BY$138,AB$2)</f>
        <v>127</v>
      </c>
      <c r="AC107" s="25">
        <f>RANK(INDEX(KOMBI!$A$11:$GI$145,MATCH('KSH järjestus'!$C107,KOMBI!$A$11:$A$145,0),MATCH('KSH järjestus'!AC$3,KOMBI!$A$1:$GI$1,0)),BZ$4:BZ$138,AC$2)</f>
        <v>122</v>
      </c>
      <c r="AD107" s="25">
        <f>RANK(INDEX(KOMBI!$A$11:$GI$145,MATCH('KSH järjestus'!$C107,KOMBI!$A$11:$A$145,0),MATCH('KSH järjestus'!AD$3,KOMBI!$A$1:$GI$1,0)),CA$4:CA$138,AD$2)</f>
        <v>117</v>
      </c>
      <c r="AE107" s="25">
        <f>RANK(INDEX(KOMBI!$A$11:$GI$145,MATCH('KSH järjestus'!$C107,KOMBI!$A$11:$A$145,0),MATCH('KSH järjestus'!AE$3,KOMBI!$A$1:$GI$1,0)),CB$4:CB$138,AE$2)</f>
        <v>118</v>
      </c>
      <c r="AG107" s="25">
        <f>RANK(INDEX(KOMBI!$A$11:$GI$145,MATCH('KSH järjestus'!$C107,KOMBI!$A$11:$A$145,0),MATCH('KSH järjestus'!AG$3,KOMBI!$A$1:$GI$1,0)),CD$4:CD$138,AG$2)</f>
        <v>76</v>
      </c>
      <c r="AH107" s="25">
        <f>RANK(INDEX(KOMBI!$A$11:$GI$145,MATCH('KSH järjestus'!$C107,KOMBI!$A$11:$A$145,0),MATCH('KSH järjestus'!AH$3,KOMBI!$A$1:$GI$1,0)),CE$4:CE$138,AH$2)</f>
        <v>106</v>
      </c>
      <c r="AI107" s="25">
        <f>RANK(INDEX(KOMBI!$A$11:$GI$145,MATCH('KSH järjestus'!$C107,KOMBI!$A$11:$A$145,0),MATCH('KSH järjestus'!AI$3,KOMBI!$A$1:$GI$1,0)),CF$4:CF$138,AI$2)</f>
        <v>120</v>
      </c>
      <c r="AJ107" s="25">
        <f>RANK(INDEX(KOMBI!$A$11:$GI$145,MATCH('KSH järjestus'!$C107,KOMBI!$A$11:$A$145,0),MATCH('KSH järjestus'!AJ$3,KOMBI!$A$1:$GI$1,0)),CG$4:CG$138,AJ$2)</f>
        <v>64</v>
      </c>
      <c r="AK107" s="25">
        <f>RANK(INDEX(KOMBI!$A$11:$GI$145,MATCH('KSH järjestus'!$C107,KOMBI!$A$11:$A$145,0),MATCH('KSH järjestus'!AK$3,KOMBI!$A$1:$GI$1,0)),CH$4:CH$138,AK$2)</f>
        <v>55</v>
      </c>
      <c r="AN107" s="25">
        <f>RANK(INDEX(KOMBI!$A$11:$GI$145,MATCH('KSH järjestus'!$C107,KOMBI!$A$11:$A$145,0),MATCH('KSH järjestus'!AN$3,KOMBI!$A$1:$GI$1,0)),CK$4:CK$138,AN$2)</f>
        <v>91</v>
      </c>
      <c r="AO107" s="25">
        <f>RANK(INDEX(KOMBI!$A$11:$GI$145,MATCH('KSH järjestus'!$C107,KOMBI!$A$11:$A$145,0),MATCH('KSH järjestus'!AO$3,KOMBI!$A$1:$GI$1,0)),CL$4:CL$138,AO$2)</f>
        <v>91</v>
      </c>
      <c r="AS107" s="297">
        <f t="shared" si="7"/>
        <v>1674</v>
      </c>
      <c r="AT107" s="25">
        <f t="shared" si="5"/>
        <v>1902</v>
      </c>
      <c r="AU107" s="25">
        <f t="shared" si="6"/>
        <v>29</v>
      </c>
      <c r="AV107" s="295" t="str">
        <f>VLOOKUP(VLOOKUP($AU107,KOMBI!$A:$H,3,FALSE),data!$I$27:$J$29,2,FALSE)</f>
        <v>Vähe-sekkuv</v>
      </c>
      <c r="AW107" s="295" t="str">
        <f>VLOOKUP(VLOOKUP($AU107,KOMBI!$A:$H,2,FALSE),data!$I$21:$J$23,2,FALSE)</f>
        <v>Mittesekkuv</v>
      </c>
      <c r="AX107" s="295" t="str">
        <f>VLOOKUP(VLOOKUP($AU107,KOMBI!$A:$H,5,FALSE),data!$I$39:$J$41,2,FALSE)</f>
        <v>Vähe-sekkuv</v>
      </c>
      <c r="AY107" s="295" t="str">
        <f>VLOOKUP(VLOOKUP($AU107,KOMBI!$A:$H,4,FALSE),data!$I$32:$J$36,2,FALSE)</f>
        <v>PK &amp; UG</v>
      </c>
      <c r="BA107" s="25">
        <f t="array" ref="BA107">INDEX(KOMBI!$A$1:$GI$145,ROW('KSH järjestus'!BA114),MATCH('KSH järjestus'!BA$3,KOMBI!$A$1:$GI$1,0))</f>
        <v>6.9406595127015009</v>
      </c>
      <c r="BB107" s="25">
        <f t="array" ref="BB107">INDEX(KOMBI!$A$1:$GI$145,ROW('KSH järjestus'!BB114),MATCH('KSH järjestus'!BB$3,KOMBI!$A$1:$GI$1,0))</f>
        <v>846.33221404475694</v>
      </c>
      <c r="BC107" s="25">
        <f t="array" aca="1" ref="BC107" ca="1">INDEX(KOMBI!$A$1:$GI$145,ROW('KSH järjestus'!BC114),MATCH('KSH järjestus'!BC$3,KOMBI!$A$1:$GI$1,0))</f>
        <v>222.61860847186887</v>
      </c>
      <c r="BD107" s="25">
        <f t="array" ref="BD107">INDEX(KOMBI!$A$1:$GI$145,ROW('KSH järjestus'!BD114),MATCH('KSH järjestus'!BD$3,KOMBI!$A$1:$GI$1,0))</f>
        <v>-55.7707198806321</v>
      </c>
      <c r="BE107" s="25">
        <f t="array" ref="BE107">INDEX(KOMBI!$A$1:$GI$145,ROW('KSH järjestus'!BE114),MATCH('KSH järjestus'!BE$3,KOMBI!$A$1:$GI$1,0))</f>
        <v>278.38932835250097</v>
      </c>
      <c r="BF107" s="25">
        <f t="array" aca="1" ref="BF107" ca="1">INDEX(KOMBI!$A$1:$GI$145,ROW('KSH järjestus'!BF114),MATCH('KSH järjestus'!BF$3,KOMBI!$A$1:$GI$1,0))</f>
        <v>0</v>
      </c>
      <c r="BG107" s="25">
        <f t="array" ref="BG107">INDEX(KOMBI!$A$1:$GI$145,ROW('KSH järjestus'!BG114),MATCH('KSH järjestus'!BG$3,KOMBI!$A$1:$GI$1,0))</f>
        <v>0.27904142221549655</v>
      </c>
      <c r="BH107" s="25">
        <f t="array" ref="BH107">INDEX(KOMBI!$A$1:$GI$145,ROW('KSH järjestus'!BH114),MATCH('KSH järjestus'!BH$3,KOMBI!$A$1:$GI$1,0))</f>
        <v>90</v>
      </c>
      <c r="BI107" s="25">
        <f t="array" ref="BI107">INDEX(KOMBI!$A$1:$GI$145,ROW('KSH järjestus'!BI114),MATCH('KSH järjestus'!BI$3,KOMBI!$A$1:$GI$1,0))</f>
        <v>0.72887234460741657</v>
      </c>
      <c r="BJ107" s="25">
        <f t="array" ref="BJ107">INDEX(KOMBI!$A$1:$GI$145,ROW('KSH järjestus'!BJ114),MATCH('KSH järjestus'!BJ$3,KOMBI!$A$1:$GI$1,0))</f>
        <v>0</v>
      </c>
      <c r="BK107" s="25">
        <f t="array" ref="BK107">INDEX(KOMBI!$A$1:$GI$145,ROW('KSH järjestus'!BK114),MATCH('KSH järjestus'!BK$3,KOMBI!$A$1:$GI$1,0))</f>
        <v>0.28029402570781442</v>
      </c>
      <c r="BL107" s="25">
        <f t="array" ref="BL107">INDEX(KOMBI!$A$1:$GI$145,ROW('KSH järjestus'!BL114),MATCH('KSH järjestus'!BL$3,KOMBI!$A$1:$GI$1,0))</f>
        <v>3.1530751489587394E-2</v>
      </c>
      <c r="BM107" s="25">
        <f t="array" ref="BM107">INDEX(KOMBI!$A$1:$GI$145,ROW('KSH järjestus'!BM114),MATCH('KSH järjestus'!BM$3,KOMBI!$A$1:$GI$1,0))</f>
        <v>1.3218516407520075E-2</v>
      </c>
      <c r="BN107" s="25">
        <f t="array" ref="BN107">INDEX(KOMBI!$A$1:$GI$145,ROW('KSH järjestus'!BN114),MATCH('KSH järjestus'!BN$3,KOMBI!$A$1:$GI$1,0))</f>
        <v>1.6105624387829282E-2</v>
      </c>
      <c r="BO107" s="25">
        <f t="array" ref="BO107">INDEX(KOMBI!$A$1:$GI$145,ROW('KSH järjestus'!BO114),MATCH('KSH järjestus'!BO$3,KOMBI!$A$1:$GI$1,0))</f>
        <v>1.5802452319726136E-2</v>
      </c>
      <c r="BP107" s="25">
        <f t="array" ref="BP107">INDEX(KOMBI!$A$1:$GI$145,ROW('KSH järjestus'!BP114),MATCH('KSH järjestus'!BP$3,KOMBI!$A$1:$GI$1,0))</f>
        <v>8.4649896156049156</v>
      </c>
      <c r="BQ107" s="25">
        <f t="array" ref="BQ107">INDEX(KOMBI!$A$1:$GI$145,ROW('KSH järjestus'!BQ114),MATCH('KSH järjestus'!BQ$3,KOMBI!$A$1:$GI$1,0))</f>
        <v>11.494999999999999</v>
      </c>
      <c r="BR107" s="25">
        <f t="array" ref="BR107">INDEX(KOMBI!$A$1:$GI$145,ROW('KSH järjestus'!BR114),MATCH('KSH järjestus'!BR$3,KOMBI!$A$1:$GI$1,0))</f>
        <v>-1.7242858835831334E-2</v>
      </c>
      <c r="BS107" s="25">
        <f t="array" ref="BS107">INDEX(KOMBI!$A$1:$GI$145,ROW('KSH järjestus'!BS114),MATCH('KSH järjestus'!BS$3,KOMBI!$A$1:$GI$1,0))</f>
        <v>4.873627901502188E-2</v>
      </c>
      <c r="BT107" s="25">
        <f t="array" ref="BT107">INDEX(KOMBI!$A$1:$GI$145,ROW('KSH järjestus'!BT114),MATCH('KSH järjestus'!BT$3,KOMBI!$A$1:$GI$1,0))</f>
        <v>4.6131044789891287E-2</v>
      </c>
      <c r="BU107" s="25">
        <f t="array" ref="BU107">INDEX(KOMBI!$A$1:$GI$145,ROW('KSH järjestus'!BU114),MATCH('KSH järjestus'!BU$3,KOMBI!$A$1:$GI$1,0))</f>
        <v>11.244630311598682</v>
      </c>
      <c r="BV107" s="25">
        <f t="array" ref="BV107">INDEX(KOMBI!$A$1:$GI$145,ROW('KSH järjestus'!BV114),MATCH('KSH järjestus'!BV$3,KOMBI!$A$1:$GI$1,0))</f>
        <v>6.3289999999999997</v>
      </c>
      <c r="BW107" s="25">
        <f t="array" ref="BW107">INDEX(KOMBI!$A$1:$GI$145,ROW('KSH järjestus'!BW114),MATCH('KSH järjestus'!BW$3,KOMBI!$A$1:$GI$1,0))</f>
        <v>1.7203849906373201</v>
      </c>
      <c r="BX107" s="25">
        <f t="array" ref="BX107">INDEX(KOMBI!$A$1:$GI$145,ROW('KSH järjestus'!BX114),MATCH('KSH järjestus'!BX$3,KOMBI!$A$1:$GI$1,0))</f>
        <v>22.548999999999999</v>
      </c>
      <c r="BY107" s="25">
        <f t="array" ref="BY107">INDEX(KOMBI!$A$1:$GI$145,ROW('KSH järjestus'!BY114),MATCH('KSH järjestus'!BY$3,KOMBI!$A$1:$GI$1,0))</f>
        <v>39.419669554234019</v>
      </c>
      <c r="BZ107" s="25">
        <f t="array" ref="BZ107">INDEX(KOMBI!$A$1:$GI$145,ROW('KSH järjestus'!BZ114),MATCH('KSH järjestus'!BZ$3,KOMBI!$A$1:$GI$1,0))</f>
        <v>95.4</v>
      </c>
      <c r="CA107" s="25">
        <f t="array" ref="CA107">INDEX(KOMBI!$A$1:$GI$145,ROW('KSH järjestus'!CA114),MATCH('KSH järjestus'!CA$3,KOMBI!$A$1:$GI$1,0))</f>
        <v>16.370999999999999</v>
      </c>
      <c r="CB107" s="25">
        <f t="array" ref="CB107">INDEX(KOMBI!$A$1:$GI$145,ROW('KSH järjestus'!CB114),MATCH('KSH järjestus'!CB$3,KOMBI!$A$1:$GI$1,0))</f>
        <v>135.93111111111111</v>
      </c>
      <c r="CC107" s="25">
        <f t="array" ref="CC107">INDEX(KOMBI!$A$1:$GI$145,ROW('KSH järjestus'!CC114),MATCH('KSH järjestus'!CC$3,KOMBI!$A$1:$GI$1,0))</f>
        <v>7.3454519999999999</v>
      </c>
      <c r="CD107" s="25">
        <f t="array" ref="CD107">INDEX(KOMBI!$A$1:$GI$145,ROW('KSH järjestus'!CD114),MATCH('KSH järjestus'!CD$3,KOMBI!$A$1:$GI$1,0))</f>
        <v>315.39999999999998</v>
      </c>
      <c r="CE107" s="25">
        <f t="array" ref="CE107">INDEX(KOMBI!$A$1:$GI$145,ROW('KSH järjestus'!CE114),MATCH('KSH järjestus'!CE$3,KOMBI!$A$1:$GI$1,0))</f>
        <v>3.0510000000000002</v>
      </c>
      <c r="CF107" s="25">
        <f t="array" ref="CF107">INDEX(KOMBI!$A$1:$GI$145,ROW('KSH järjestus'!CF114),MATCH('KSH järjestus'!CF$3,KOMBI!$A$1:$GI$1,0))</f>
        <v>61.835011875436599</v>
      </c>
      <c r="CG107" s="25">
        <f t="array" ref="CG107">INDEX(KOMBI!$A$1:$GI$145,ROW('KSH järjestus'!CG114),MATCH('KSH järjestus'!CG$3,KOMBI!$A$1:$GI$1,0))</f>
        <v>2.3132392489112068E-2</v>
      </c>
      <c r="CH107" s="25">
        <f t="array" ref="CH107">INDEX(KOMBI!$A$1:$GI$145,ROW('KSH järjestus'!CH114),MATCH('KSH järjestus'!CH$3,KOMBI!$A$1:$GI$1,0))</f>
        <v>0.4427532296478886</v>
      </c>
      <c r="CI107" s="25">
        <f t="array" ref="CI107">INDEX(KOMBI!$A$1:$GI$145,ROW('KSH järjestus'!CI114),MATCH('KSH järjestus'!CI$3,KOMBI!$A$1:$GI$1,0))</f>
        <v>6.78</v>
      </c>
      <c r="CJ107" s="25">
        <f t="array" ref="CJ107">INDEX(KOMBI!$A$1:$GI$145,ROW('KSH järjestus'!CJ114),MATCH('KSH järjestus'!CJ$3,KOMBI!$A$1:$GI$1,0))</f>
        <v>8.4968849906373194</v>
      </c>
      <c r="CK107" s="25">
        <f t="array" ref="CK107">INDEX(KOMBI!$A$1:$GI$145,ROW('KSH järjestus'!CK114),MATCH('KSH järjestus'!CK$3,KOMBI!$A$1:$GI$1,0))</f>
        <v>0.22900000000000001</v>
      </c>
      <c r="CL107" s="25">
        <f t="array" ref="CL107">INDEX(KOMBI!$A$1:$GI$145,ROW('KSH järjestus'!CL114),MATCH('KSH järjestus'!CL$3,KOMBI!$A$1:$GI$1,0))</f>
        <v>0.82899999999999996</v>
      </c>
    </row>
    <row r="108" spans="3:90" x14ac:dyDescent="0.2">
      <c r="C108" s="184">
        <v>105</v>
      </c>
      <c r="G108" s="25">
        <f>RANK(INDEX(KOMBI!$A$11:$GI$145,MATCH('KSH järjestus'!$C108,KOMBI!$A$11:$A$145,0),MATCH('KSH järjestus'!G$3,KOMBI!$A$1:$GI$1,0)),BD$4:BD$138,G$2)</f>
        <v>71</v>
      </c>
      <c r="H108" s="25">
        <f>RANK(INDEX(KOMBI!$A$11:$GI$145,MATCH('KSH järjestus'!$C108,KOMBI!$A$11:$A$145,0),MATCH('KSH järjestus'!H$3,KOMBI!$A$1:$GI$1,0)),BE$4:BE$138,H$2)</f>
        <v>4</v>
      </c>
      <c r="J108" s="25">
        <f>RANK(INDEX(KOMBI!$A$11:$GI$145,MATCH('KSH järjestus'!$C108,KOMBI!$A$11:$A$145,0),MATCH('KSH järjestus'!J$3,KOMBI!$A$1:$GI$1,0)),BG$4:BG$138,J$2)</f>
        <v>6</v>
      </c>
      <c r="M108" s="25">
        <f>RANK(INDEX(KOMBI!$A$11:$GI$145,MATCH('KSH järjestus'!$C108,KOMBI!$A$11:$A$145,0),MATCH('KSH järjestus'!M$3,KOMBI!$A$1:$GI$1,0)),BJ$4:BJ$138,M$2)</f>
        <v>1</v>
      </c>
      <c r="N108" s="25">
        <f>RANK(INDEX(KOMBI!$A$11:$GI$145,MATCH('KSH järjestus'!$C108,KOMBI!$A$11:$A$145,0),MATCH('KSH järjestus'!N$3,KOMBI!$A$1:$GI$1,0)),BK$4:BK$138,N$2)</f>
        <v>109</v>
      </c>
      <c r="O108" s="25">
        <f>RANK(INDEX(KOMBI!$A$11:$GI$145,MATCH('KSH järjestus'!$C108,KOMBI!$A$11:$A$145,0),MATCH('KSH järjestus'!O$3,KOMBI!$A$1:$GI$1,0)),BL$4:BL$138,O$2)</f>
        <v>3</v>
      </c>
      <c r="P108" s="25">
        <f>RANK(INDEX(KOMBI!$A$11:$GI$145,MATCH('KSH järjestus'!$C108,KOMBI!$A$11:$A$145,0),MATCH('KSH järjestus'!P$3,KOMBI!$A$1:$GI$1,0)),BM$4:BM$138,P$2)</f>
        <v>4</v>
      </c>
      <c r="Q108" s="25">
        <f>RANK(INDEX(KOMBI!$A$11:$GI$145,MATCH('KSH järjestus'!$C108,KOMBI!$A$11:$A$145,0),MATCH('KSH järjestus'!Q$3,KOMBI!$A$1:$GI$1,0)),BN$4:BN$138,Q$2)</f>
        <v>1</v>
      </c>
      <c r="R108" s="25">
        <f>RANK(INDEX(KOMBI!$A$11:$GI$145,MATCH('KSH järjestus'!$C108,KOMBI!$A$11:$A$145,0),MATCH('KSH järjestus'!R$3,KOMBI!$A$1:$GI$1,0)),BO$4:BO$138,R$2)</f>
        <v>11</v>
      </c>
      <c r="T108" s="25">
        <f>RANK(INDEX(KOMBI!$A$11:$GI$145,MATCH('KSH järjestus'!$C108,KOMBI!$A$11:$A$145,0),MATCH('KSH järjestus'!T$3,KOMBI!$A$1:$GI$1,0)),BQ$4:BQ$138,T$2)</f>
        <v>120</v>
      </c>
      <c r="U108" s="25">
        <f>RANK(INDEX(KOMBI!$A$11:$GI$145,MATCH('KSH järjestus'!$C108,KOMBI!$A$11:$A$145,0),MATCH('KSH järjestus'!U$3,KOMBI!$A$1:$GI$1,0)),BR$4:BR$138,U$2)</f>
        <v>97</v>
      </c>
      <c r="AA108" s="25">
        <f>RANK(INDEX(KOMBI!$A$11:$GI$145,MATCH('KSH järjestus'!$C108,KOMBI!$A$11:$A$145,0),MATCH('KSH järjestus'!AA$3,KOMBI!$A$1:$GI$1,0)),BX$4:BX$138,AA$2)</f>
        <v>118</v>
      </c>
      <c r="AB108" s="25">
        <f>RANK(INDEX(KOMBI!$A$11:$GI$145,MATCH('KSH järjestus'!$C108,KOMBI!$A$11:$A$145,0),MATCH('KSH järjestus'!AB$3,KOMBI!$A$1:$GI$1,0)),BY$4:BY$138,AB$2)</f>
        <v>127</v>
      </c>
      <c r="AC108" s="25">
        <f>RANK(INDEX(KOMBI!$A$11:$GI$145,MATCH('KSH järjestus'!$C108,KOMBI!$A$11:$A$145,0),MATCH('KSH järjestus'!AC$3,KOMBI!$A$1:$GI$1,0)),BZ$4:BZ$138,AC$2)</f>
        <v>123</v>
      </c>
      <c r="AD108" s="25">
        <f>RANK(INDEX(KOMBI!$A$11:$GI$145,MATCH('KSH järjestus'!$C108,KOMBI!$A$11:$A$145,0),MATCH('KSH järjestus'!AD$3,KOMBI!$A$1:$GI$1,0)),CA$4:CA$138,AD$2)</f>
        <v>120</v>
      </c>
      <c r="AE108" s="25">
        <f>RANK(INDEX(KOMBI!$A$11:$GI$145,MATCH('KSH järjestus'!$C108,KOMBI!$A$11:$A$145,0),MATCH('KSH järjestus'!AE$3,KOMBI!$A$1:$GI$1,0)),CB$4:CB$138,AE$2)</f>
        <v>122</v>
      </c>
      <c r="AG108" s="25">
        <f>RANK(INDEX(KOMBI!$A$11:$GI$145,MATCH('KSH järjestus'!$C108,KOMBI!$A$11:$A$145,0),MATCH('KSH järjestus'!AG$3,KOMBI!$A$1:$GI$1,0)),CD$4:CD$138,AG$2)</f>
        <v>76</v>
      </c>
      <c r="AH108" s="25">
        <f>RANK(INDEX(KOMBI!$A$11:$GI$145,MATCH('KSH järjestus'!$C108,KOMBI!$A$11:$A$145,0),MATCH('KSH järjestus'!AH$3,KOMBI!$A$1:$GI$1,0)),CE$4:CE$138,AH$2)</f>
        <v>106</v>
      </c>
      <c r="AI108" s="25">
        <f>RANK(INDEX(KOMBI!$A$11:$GI$145,MATCH('KSH järjestus'!$C108,KOMBI!$A$11:$A$145,0),MATCH('KSH järjestus'!AI$3,KOMBI!$A$1:$GI$1,0)),CF$4:CF$138,AI$2)</f>
        <v>118</v>
      </c>
      <c r="AJ108" s="25">
        <f>RANK(INDEX(KOMBI!$A$11:$GI$145,MATCH('KSH järjestus'!$C108,KOMBI!$A$11:$A$145,0),MATCH('KSH järjestus'!AJ$3,KOMBI!$A$1:$GI$1,0)),CG$4:CG$138,AJ$2)</f>
        <v>64</v>
      </c>
      <c r="AK108" s="25">
        <f>RANK(INDEX(KOMBI!$A$11:$GI$145,MATCH('KSH järjestus'!$C108,KOMBI!$A$11:$A$145,0),MATCH('KSH järjestus'!AK$3,KOMBI!$A$1:$GI$1,0)),CH$4:CH$138,AK$2)</f>
        <v>55</v>
      </c>
      <c r="AN108" s="25">
        <f>RANK(INDEX(KOMBI!$A$11:$GI$145,MATCH('KSH järjestus'!$C108,KOMBI!$A$11:$A$145,0),MATCH('KSH järjestus'!AN$3,KOMBI!$A$1:$GI$1,0)),CK$4:CK$138,AN$2)</f>
        <v>91</v>
      </c>
      <c r="AO108" s="25">
        <f>RANK(INDEX(KOMBI!$A$11:$GI$145,MATCH('KSH järjestus'!$C108,KOMBI!$A$11:$A$145,0),MATCH('KSH järjestus'!AO$3,KOMBI!$A$1:$GI$1,0)),CL$4:CL$138,AO$2)</f>
        <v>91</v>
      </c>
      <c r="AS108" s="297">
        <f t="shared" si="7"/>
        <v>1638</v>
      </c>
      <c r="AT108" s="25">
        <f t="shared" si="5"/>
        <v>1920</v>
      </c>
      <c r="AU108" s="25">
        <f t="shared" si="6"/>
        <v>60</v>
      </c>
      <c r="AV108" s="295" t="str">
        <f>VLOOKUP(VLOOKUP($AU108,KOMBI!$A:$H,3,FALSE),data!$I$27:$J$29,2,FALSE)</f>
        <v>Mittesekkuv</v>
      </c>
      <c r="AW108" s="295" t="str">
        <f>VLOOKUP(VLOOKUP($AU108,KOMBI!$A:$H,2,FALSE),data!$I$21:$J$23,2,FALSE)</f>
        <v>Vähe-sekkuv</v>
      </c>
      <c r="AX108" s="295" t="str">
        <f>VLOOKUP(VLOOKUP($AU108,KOMBI!$A:$H,5,FALSE),data!$I$39:$J$41,2,FALSE)</f>
        <v>Sekkuv</v>
      </c>
      <c r="AY108" s="295" t="str">
        <f>VLOOKUP(VLOOKUP($AU108,KOMBI!$A:$H,4,FALSE),data!$I$32:$J$36,2,FALSE)</f>
        <v>PK &amp; UG</v>
      </c>
      <c r="BA108" s="25">
        <f t="array" ref="BA108">INDEX(KOMBI!$A$1:$GI$145,ROW('KSH järjestus'!BA115),MATCH('KSH järjestus'!BA$3,KOMBI!$A$1:$GI$1,0))</f>
        <v>7.8457592349430261</v>
      </c>
      <c r="BB108" s="25">
        <f t="array" ref="BB108">INDEX(KOMBI!$A$1:$GI$145,ROW('KSH järjestus'!BB115),MATCH('KSH järjestus'!BB$3,KOMBI!$A$1:$GI$1,0))</f>
        <v>962.94300506223624</v>
      </c>
      <c r="BC108" s="25">
        <f t="array" aca="1" ref="BC108" ca="1">INDEX(KOMBI!$A$1:$GI$145,ROW('KSH järjestus'!BC115),MATCH('KSH järjestus'!BC$3,KOMBI!$A$1:$GI$1,0))</f>
        <v>239.17302283095376</v>
      </c>
      <c r="BD108" s="25">
        <f t="array" ref="BD108">INDEX(KOMBI!$A$1:$GI$145,ROW('KSH järjestus'!BD115),MATCH('KSH järjestus'!BD$3,KOMBI!$A$1:$GI$1,0))</f>
        <v>-74.878313699091038</v>
      </c>
      <c r="BE108" s="25">
        <f t="array" ref="BE108">INDEX(KOMBI!$A$1:$GI$145,ROW('KSH järjestus'!BE115),MATCH('KSH järjestus'!BE$3,KOMBI!$A$1:$GI$1,0))</f>
        <v>314.05133653004481</v>
      </c>
      <c r="BF108" s="25">
        <f t="array" aca="1" ref="BF108" ca="1">INDEX(KOMBI!$A$1:$GI$145,ROW('KSH järjestus'!BF115),MATCH('KSH järjestus'!BF$3,KOMBI!$A$1:$GI$1,0))</f>
        <v>0</v>
      </c>
      <c r="BG108" s="25">
        <f t="array" ref="BG108">INDEX(KOMBI!$A$1:$GI$145,ROW('KSH järjestus'!BG115),MATCH('KSH järjestus'!BG$3,KOMBI!$A$1:$GI$1,0))</f>
        <v>0.2790414222154966</v>
      </c>
      <c r="BH108" s="25">
        <f t="array" ref="BH108">INDEX(KOMBI!$A$1:$GI$145,ROW('KSH järjestus'!BH115),MATCH('KSH järjestus'!BH$3,KOMBI!$A$1:$GI$1,0))</f>
        <v>90</v>
      </c>
      <c r="BI108" s="25">
        <f t="array" ref="BI108">INDEX(KOMBI!$A$1:$GI$145,ROW('KSH järjestus'!BI115),MATCH('KSH järjestus'!BI$3,KOMBI!$A$1:$GI$1,0))</f>
        <v>0.72887234460741646</v>
      </c>
      <c r="BJ108" s="25">
        <f t="array" ref="BJ108">INDEX(KOMBI!$A$1:$GI$145,ROW('KSH järjestus'!BJ115),MATCH('KSH järjestus'!BJ$3,KOMBI!$A$1:$GI$1,0))</f>
        <v>0</v>
      </c>
      <c r="BK108" s="25">
        <f t="array" ref="BK108">INDEX(KOMBI!$A$1:$GI$145,ROW('KSH järjestus'!BK115),MATCH('KSH järjestus'!BK$3,KOMBI!$A$1:$GI$1,0))</f>
        <v>0.28029402570781448</v>
      </c>
      <c r="BL108" s="25">
        <f t="array" ref="BL108">INDEX(KOMBI!$A$1:$GI$145,ROW('KSH järjestus'!BL115),MATCH('KSH järjestus'!BL$3,KOMBI!$A$1:$GI$1,0))</f>
        <v>3.6181806867833913E-2</v>
      </c>
      <c r="BM108" s="25">
        <f t="array" ref="BM108">INDEX(KOMBI!$A$1:$GI$145,ROW('KSH järjestus'!BM115),MATCH('KSH järjestus'!BM$3,KOMBI!$A$1:$GI$1,0))</f>
        <v>1.3231282134561465E-2</v>
      </c>
      <c r="BN108" s="25">
        <f t="array" ref="BN108">INDEX(KOMBI!$A$1:$GI$145,ROW('KSH järjestus'!BN115),MATCH('KSH järjestus'!BN$3,KOMBI!$A$1:$GI$1,0))</f>
        <v>1.7436414223876012E-2</v>
      </c>
      <c r="BO108" s="25">
        <f t="array" ref="BO108">INDEX(KOMBI!$A$1:$GI$145,ROW('KSH järjestus'!BO115),MATCH('KSH järjestus'!BO$3,KOMBI!$A$1:$GI$1,0))</f>
        <v>1.9196315767890989E-2</v>
      </c>
      <c r="BP108" s="25">
        <f t="array" ref="BP108">INDEX(KOMBI!$A$1:$GI$145,ROW('KSH järjestus'!BP115),MATCH('KSH järjestus'!BP$3,KOMBI!$A$1:$GI$1,0))</f>
        <v>8.4649896156049156</v>
      </c>
      <c r="BQ108" s="25">
        <f t="array" ref="BQ108">INDEX(KOMBI!$A$1:$GI$145,ROW('KSH järjestus'!BQ115),MATCH('KSH järjestus'!BQ$3,KOMBI!$A$1:$GI$1,0))</f>
        <v>11.718999999999999</v>
      </c>
      <c r="BR108" s="25">
        <f t="array" ref="BR108">INDEX(KOMBI!$A$1:$GI$145,ROW('KSH järjestus'!BR115),MATCH('KSH järjestus'!BR$3,KOMBI!$A$1:$GI$1,0))</f>
        <v>-1.3263371705385435E-2</v>
      </c>
      <c r="BS108" s="25">
        <f t="array" ref="BS108">INDEX(KOMBI!$A$1:$GI$145,ROW('KSH järjestus'!BS115),MATCH('KSH järjestus'!BS$3,KOMBI!$A$1:$GI$1,0))</f>
        <v>4.9995438931310331E-2</v>
      </c>
      <c r="BT108" s="25">
        <f t="array" ref="BT108">INDEX(KOMBI!$A$1:$GI$145,ROW('KSH järjestus'!BT115),MATCH('KSH järjestus'!BT$3,KOMBI!$A$1:$GI$1,0))</f>
        <v>4.7591763763117544E-2</v>
      </c>
      <c r="BU108" s="25">
        <f t="array" ref="BU108">INDEX(KOMBI!$A$1:$GI$145,ROW('KSH järjestus'!BU115),MATCH('KSH järjestus'!BU$3,KOMBI!$A$1:$GI$1,0))</f>
        <v>11.244630311598682</v>
      </c>
      <c r="BV108" s="25">
        <f t="array" ref="BV108">INDEX(KOMBI!$A$1:$GI$145,ROW('KSH järjestus'!BV115),MATCH('KSH järjestus'!BV$3,KOMBI!$A$1:$GI$1,0))</f>
        <v>6.3289999999999997</v>
      </c>
      <c r="BW108" s="25">
        <f t="array" ref="BW108">INDEX(KOMBI!$A$1:$GI$145,ROW('KSH järjestus'!BW115),MATCH('KSH järjestus'!BW$3,KOMBI!$A$1:$GI$1,0))</f>
        <v>1.92908499063732</v>
      </c>
      <c r="BX108" s="25">
        <f t="array" ref="BX108">INDEX(KOMBI!$A$1:$GI$145,ROW('KSH järjestus'!BX115),MATCH('KSH järjestus'!BX$3,KOMBI!$A$1:$GI$1,0))</f>
        <v>22.548999999999999</v>
      </c>
      <c r="BY108" s="25">
        <f t="array" ref="BY108">INDEX(KOMBI!$A$1:$GI$145,ROW('KSH järjestus'!BY115),MATCH('KSH järjestus'!BY$3,KOMBI!$A$1:$GI$1,0))</f>
        <v>39.419669554234019</v>
      </c>
      <c r="BZ108" s="25">
        <f t="array" ref="BZ108">INDEX(KOMBI!$A$1:$GI$145,ROW('KSH järjestus'!BZ115),MATCH('KSH järjestus'!BZ$3,KOMBI!$A$1:$GI$1,0))</f>
        <v>97</v>
      </c>
      <c r="CA108" s="25">
        <f t="array" ref="CA108">INDEX(KOMBI!$A$1:$GI$145,ROW('KSH järjestus'!CA115),MATCH('KSH järjestus'!CA$3,KOMBI!$A$1:$GI$1,0))</f>
        <v>16.623000000000001</v>
      </c>
      <c r="CB108" s="25">
        <f t="array" ref="CB108">INDEX(KOMBI!$A$1:$GI$145,ROW('KSH järjestus'!CB115),MATCH('KSH järjestus'!CB$3,KOMBI!$A$1:$GI$1,0))</f>
        <v>136.83916666666667</v>
      </c>
      <c r="CC108" s="25">
        <f t="array" ref="CC108">INDEX(KOMBI!$A$1:$GI$145,ROW('KSH järjestus'!CC115),MATCH('KSH järjestus'!CC$3,KOMBI!$A$1:$GI$1,0))</f>
        <v>7.4387970000000001</v>
      </c>
      <c r="CD108" s="25">
        <f t="array" ref="CD108">INDEX(KOMBI!$A$1:$GI$145,ROW('KSH järjestus'!CD115),MATCH('KSH järjestus'!CD$3,KOMBI!$A$1:$GI$1,0))</f>
        <v>315.39999999999998</v>
      </c>
      <c r="CE108" s="25">
        <f t="array" ref="CE108">INDEX(KOMBI!$A$1:$GI$145,ROW('KSH järjestus'!CE115),MATCH('KSH järjestus'!CE$3,KOMBI!$A$1:$GI$1,0))</f>
        <v>3.0510000000000002</v>
      </c>
      <c r="CF108" s="25">
        <f t="array" ref="CF108">INDEX(KOMBI!$A$1:$GI$145,ROW('KSH järjestus'!CF115),MATCH('KSH järjestus'!CF$3,KOMBI!$A$1:$GI$1,0))</f>
        <v>61.835011875436592</v>
      </c>
      <c r="CG108" s="25">
        <f t="array" ref="CG108">INDEX(KOMBI!$A$1:$GI$145,ROW('KSH järjestus'!CG115),MATCH('KSH järjestus'!CG$3,KOMBI!$A$1:$GI$1,0))</f>
        <v>2.3132392489112068E-2</v>
      </c>
      <c r="CH108" s="25">
        <f t="array" ref="CH108">INDEX(KOMBI!$A$1:$GI$145,ROW('KSH järjestus'!CH115),MATCH('KSH järjestus'!CH$3,KOMBI!$A$1:$GI$1,0))</f>
        <v>0.4427532296478886</v>
      </c>
      <c r="CI108" s="25">
        <f t="array" ref="CI108">INDEX(KOMBI!$A$1:$GI$145,ROW('KSH järjestus'!CI115),MATCH('KSH järjestus'!CI$3,KOMBI!$A$1:$GI$1,0))</f>
        <v>6.78</v>
      </c>
      <c r="CJ108" s="25">
        <f t="array" ref="CJ108">INDEX(KOMBI!$A$1:$GI$145,ROW('KSH järjestus'!CJ115),MATCH('KSH järjestus'!CJ$3,KOMBI!$A$1:$GI$1,0))</f>
        <v>8.4968849906373194</v>
      </c>
      <c r="CK108" s="25">
        <f t="array" ref="CK108">INDEX(KOMBI!$A$1:$GI$145,ROW('KSH järjestus'!CK115),MATCH('KSH järjestus'!CK$3,KOMBI!$A$1:$GI$1,0))</f>
        <v>0.22900000000000001</v>
      </c>
      <c r="CL108" s="25">
        <f t="array" ref="CL108">INDEX(KOMBI!$A$1:$GI$145,ROW('KSH järjestus'!CL115),MATCH('KSH järjestus'!CL$3,KOMBI!$A$1:$GI$1,0))</f>
        <v>0.82899999999999996</v>
      </c>
    </row>
    <row r="109" spans="3:90" x14ac:dyDescent="0.2">
      <c r="C109" s="184">
        <v>106</v>
      </c>
      <c r="G109" s="25">
        <f>RANK(INDEX(KOMBI!$A$11:$GI$145,MATCH('KSH järjestus'!$C109,KOMBI!$A$11:$A$145,0),MATCH('KSH järjestus'!G$3,KOMBI!$A$1:$GI$1,0)),BD$4:BD$138,G$2)</f>
        <v>61</v>
      </c>
      <c r="H109" s="25">
        <f>RANK(INDEX(KOMBI!$A$11:$GI$145,MATCH('KSH järjestus'!$C109,KOMBI!$A$11:$A$145,0),MATCH('KSH järjestus'!H$3,KOMBI!$A$1:$GI$1,0)),BE$4:BE$138,H$2)</f>
        <v>73</v>
      </c>
      <c r="J109" s="25">
        <f>RANK(INDEX(KOMBI!$A$11:$GI$145,MATCH('KSH järjestus'!$C109,KOMBI!$A$11:$A$145,0),MATCH('KSH järjestus'!J$3,KOMBI!$A$1:$GI$1,0)),BG$4:BG$138,J$2)</f>
        <v>74</v>
      </c>
      <c r="M109" s="25">
        <f>RANK(INDEX(KOMBI!$A$11:$GI$145,MATCH('KSH järjestus'!$C109,KOMBI!$A$11:$A$145,0),MATCH('KSH järjestus'!M$3,KOMBI!$A$1:$GI$1,0)),BJ$4:BJ$138,M$2)</f>
        <v>55</v>
      </c>
      <c r="N109" s="25">
        <f>RANK(INDEX(KOMBI!$A$11:$GI$145,MATCH('KSH järjestus'!$C109,KOMBI!$A$11:$A$145,0),MATCH('KSH järjestus'!N$3,KOMBI!$A$1:$GI$1,0)),BK$4:BK$138,N$2)</f>
        <v>58</v>
      </c>
      <c r="O109" s="25">
        <f>RANK(INDEX(KOMBI!$A$11:$GI$145,MATCH('KSH järjestus'!$C109,KOMBI!$A$11:$A$145,0),MATCH('KSH järjestus'!O$3,KOMBI!$A$1:$GI$1,0)),BL$4:BL$138,O$2)</f>
        <v>98</v>
      </c>
      <c r="P109" s="25">
        <f>RANK(INDEX(KOMBI!$A$11:$GI$145,MATCH('KSH järjestus'!$C109,KOMBI!$A$11:$A$145,0),MATCH('KSH järjestus'!P$3,KOMBI!$A$1:$GI$1,0)),BM$4:BM$138,P$2)</f>
        <v>19</v>
      </c>
      <c r="Q109" s="25">
        <f>RANK(INDEX(KOMBI!$A$11:$GI$145,MATCH('KSH järjestus'!$C109,KOMBI!$A$11:$A$145,0),MATCH('KSH järjestus'!Q$3,KOMBI!$A$1:$GI$1,0)),BN$4:BN$138,Q$2)</f>
        <v>81</v>
      </c>
      <c r="R109" s="25">
        <f>RANK(INDEX(KOMBI!$A$11:$GI$145,MATCH('KSH järjestus'!$C109,KOMBI!$A$11:$A$145,0),MATCH('KSH järjestus'!R$3,KOMBI!$A$1:$GI$1,0)),BO$4:BO$138,R$2)</f>
        <v>107</v>
      </c>
      <c r="T109" s="25">
        <f>RANK(INDEX(KOMBI!$A$11:$GI$145,MATCH('KSH järjestus'!$C109,KOMBI!$A$11:$A$145,0),MATCH('KSH järjestus'!T$3,KOMBI!$A$1:$GI$1,0)),BQ$4:BQ$138,T$2)</f>
        <v>13</v>
      </c>
      <c r="U109" s="25">
        <f>RANK(INDEX(KOMBI!$A$11:$GI$145,MATCH('KSH järjestus'!$C109,KOMBI!$A$11:$A$145,0),MATCH('KSH järjestus'!U$3,KOMBI!$A$1:$GI$1,0)),BR$4:BR$138,U$2)</f>
        <v>23</v>
      </c>
      <c r="AA109" s="25">
        <f>RANK(INDEX(KOMBI!$A$11:$GI$145,MATCH('KSH järjestus'!$C109,KOMBI!$A$11:$A$145,0),MATCH('KSH järjestus'!AA$3,KOMBI!$A$1:$GI$1,0)),BX$4:BX$138,AA$2)</f>
        <v>19</v>
      </c>
      <c r="AB109" s="25">
        <f>RANK(INDEX(KOMBI!$A$11:$GI$145,MATCH('KSH järjestus'!$C109,KOMBI!$A$11:$A$145,0),MATCH('KSH järjestus'!AB$3,KOMBI!$A$1:$GI$1,0)),BY$4:BY$138,AB$2)</f>
        <v>61</v>
      </c>
      <c r="AC109" s="25">
        <f>RANK(INDEX(KOMBI!$A$11:$GI$145,MATCH('KSH järjestus'!$C109,KOMBI!$A$11:$A$145,0),MATCH('KSH järjestus'!AC$3,KOMBI!$A$1:$GI$1,0)),BZ$4:BZ$138,AC$2)</f>
        <v>1</v>
      </c>
      <c r="AD109" s="25">
        <f>RANK(INDEX(KOMBI!$A$11:$GI$145,MATCH('KSH järjestus'!$C109,KOMBI!$A$11:$A$145,0),MATCH('KSH järjestus'!AD$3,KOMBI!$A$1:$GI$1,0)),CA$4:CA$138,AD$2)</f>
        <v>34</v>
      </c>
      <c r="AE109" s="25">
        <f>RANK(INDEX(KOMBI!$A$11:$GI$145,MATCH('KSH järjestus'!$C109,KOMBI!$A$11:$A$145,0),MATCH('KSH järjestus'!AE$3,KOMBI!$A$1:$GI$1,0)),CB$4:CB$138,AE$2)</f>
        <v>34</v>
      </c>
      <c r="AG109" s="25">
        <f>RANK(INDEX(KOMBI!$A$11:$GI$145,MATCH('KSH järjestus'!$C109,KOMBI!$A$11:$A$145,0),MATCH('KSH järjestus'!AG$3,KOMBI!$A$1:$GI$1,0)),CD$4:CD$138,AG$2)</f>
        <v>19</v>
      </c>
      <c r="AH109" s="25">
        <f>RANK(INDEX(KOMBI!$A$11:$GI$145,MATCH('KSH järjestus'!$C109,KOMBI!$A$11:$A$145,0),MATCH('KSH järjestus'!AH$3,KOMBI!$A$1:$GI$1,0)),CE$4:CE$138,AH$2)</f>
        <v>46</v>
      </c>
      <c r="AI109" s="25">
        <f>RANK(INDEX(KOMBI!$A$11:$GI$145,MATCH('KSH järjestus'!$C109,KOMBI!$A$11:$A$145,0),MATCH('KSH järjestus'!AI$3,KOMBI!$A$1:$GI$1,0)),CF$4:CF$138,AI$2)</f>
        <v>31</v>
      </c>
      <c r="AJ109" s="25">
        <f>RANK(INDEX(KOMBI!$A$11:$GI$145,MATCH('KSH järjestus'!$C109,KOMBI!$A$11:$A$145,0),MATCH('KSH järjestus'!AJ$3,KOMBI!$A$1:$GI$1,0)),CG$4:CG$138,AJ$2)</f>
        <v>40</v>
      </c>
      <c r="AK109" s="25">
        <f>RANK(INDEX(KOMBI!$A$11:$GI$145,MATCH('KSH järjestus'!$C109,KOMBI!$A$11:$A$145,0),MATCH('KSH järjestus'!AK$3,KOMBI!$A$1:$GI$1,0)),CH$4:CH$138,AK$2)</f>
        <v>67</v>
      </c>
      <c r="AN109" s="25">
        <f>RANK(INDEX(KOMBI!$A$11:$GI$145,MATCH('KSH järjestus'!$C109,KOMBI!$A$11:$A$145,0),MATCH('KSH järjestus'!AN$3,KOMBI!$A$1:$GI$1,0)),CK$4:CK$138,AN$2)</f>
        <v>46</v>
      </c>
      <c r="AO109" s="25">
        <f>RANK(INDEX(KOMBI!$A$11:$GI$145,MATCH('KSH järjestus'!$C109,KOMBI!$A$11:$A$145,0),MATCH('KSH järjestus'!AO$3,KOMBI!$A$1:$GI$1,0)),CL$4:CL$138,AO$2)</f>
        <v>46</v>
      </c>
      <c r="AS109" s="297">
        <f t="shared" si="7"/>
        <v>1106</v>
      </c>
      <c r="AT109" s="25">
        <f t="shared" si="5"/>
        <v>1936</v>
      </c>
      <c r="AU109" s="25">
        <f t="shared" si="6"/>
        <v>18</v>
      </c>
      <c r="AV109" s="295" t="str">
        <f>VLOOKUP(VLOOKUP($AU109,KOMBI!$A:$H,3,FALSE),data!$I$27:$J$29,2,FALSE)</f>
        <v>Vähe-sekkuv</v>
      </c>
      <c r="AW109" s="295" t="str">
        <f>VLOOKUP(VLOOKUP($AU109,KOMBI!$A:$H,2,FALSE),data!$I$21:$J$23,2,FALSE)</f>
        <v>Mittesekkuv</v>
      </c>
      <c r="AX109" s="295" t="str">
        <f>VLOOKUP(VLOOKUP($AU109,KOMBI!$A:$H,5,FALSE),data!$I$39:$J$41,2,FALSE)</f>
        <v>Sekkuv</v>
      </c>
      <c r="AY109" s="295" t="str">
        <f>VLOOKUP(VLOOKUP($AU109,KOMBI!$A:$H,4,FALSE),data!$I$32:$J$36,2,FALSE)</f>
        <v>LIB</v>
      </c>
      <c r="BA109" s="25">
        <f t="array" ref="BA109">INDEX(KOMBI!$A$1:$GI$145,ROW('KSH järjestus'!BA116),MATCH('KSH järjestus'!BA$3,KOMBI!$A$1:$GI$1,0))</f>
        <v>5.3488602860472536</v>
      </c>
      <c r="BB109" s="25">
        <f t="array" ref="BB109">INDEX(KOMBI!$A$1:$GI$145,ROW('KSH järjestus'!BB116),MATCH('KSH järjestus'!BB$3,KOMBI!$A$1:$GI$1,0))</f>
        <v>301.79908426434832</v>
      </c>
      <c r="BC109" s="25">
        <f t="array" aca="1" ref="BC109" ca="1">INDEX(KOMBI!$A$1:$GI$145,ROW('KSH järjestus'!BC116),MATCH('KSH järjestus'!BC$3,KOMBI!$A$1:$GI$1,0))</f>
        <v>78.88893772421018</v>
      </c>
      <c r="BD109" s="25">
        <f t="array" ref="BD109">INDEX(KOMBI!$A$1:$GI$145,ROW('KSH järjestus'!BD116),MATCH('KSH järjestus'!BD$3,KOMBI!$A$1:$GI$1,0))</f>
        <v>-77.297499999999999</v>
      </c>
      <c r="BE109" s="25">
        <f t="array" ref="BE109">INDEX(KOMBI!$A$1:$GI$145,ROW('KSH järjestus'!BE116),MATCH('KSH järjestus'!BE$3,KOMBI!$A$1:$GI$1,0))</f>
        <v>156.18643772421018</v>
      </c>
      <c r="BF109" s="25">
        <f t="array" aca="1" ref="BF109" ca="1">INDEX(KOMBI!$A$1:$GI$145,ROW('KSH järjestus'!BF116),MATCH('KSH järjestus'!BF$3,KOMBI!$A$1:$GI$1,0))</f>
        <v>0</v>
      </c>
      <c r="BG109" s="25">
        <f t="array" ref="BG109">INDEX(KOMBI!$A$1:$GI$145,ROW('KSH järjestus'!BG116),MATCH('KSH järjestus'!BG$3,KOMBI!$A$1:$GI$1,0))</f>
        <v>0.55443250385589748</v>
      </c>
      <c r="BH109" s="25">
        <f t="array" ref="BH109">INDEX(KOMBI!$A$1:$GI$145,ROW('KSH järjestus'!BH116),MATCH('KSH järjestus'!BH$3,KOMBI!$A$1:$GI$1,0))</f>
        <v>90</v>
      </c>
      <c r="BI109" s="25">
        <f t="array" ref="BI109">INDEX(KOMBI!$A$1:$GI$145,ROW('KSH järjestus'!BI116),MATCH('KSH järjestus'!BI$3,KOMBI!$A$1:$GI$1,0))</f>
        <v>1</v>
      </c>
      <c r="BJ109" s="25">
        <f t="array" ref="BJ109">INDEX(KOMBI!$A$1:$GI$145,ROW('KSH järjestus'!BJ116),MATCH('KSH järjestus'!BJ$3,KOMBI!$A$1:$GI$1,0))</f>
        <v>0.27911646586345373</v>
      </c>
      <c r="BK109" s="25">
        <f t="array" ref="BK109">INDEX(KOMBI!$A$1:$GI$145,ROW('KSH järjestus'!BK116),MATCH('KSH järjestus'!BK$3,KOMBI!$A$1:$GI$1,0))</f>
        <v>0.36210496932840874</v>
      </c>
      <c r="BL109" s="25">
        <f t="array" ref="BL109">INDEX(KOMBI!$A$1:$GI$145,ROW('KSH järjestus'!BL116),MATCH('KSH järjestus'!BL$3,KOMBI!$A$1:$GI$1,0))</f>
        <v>1.1688466272393026E-2</v>
      </c>
      <c r="BM109" s="25">
        <f t="array" ref="BM109">INDEX(KOMBI!$A$1:$GI$145,ROW('KSH järjestus'!BM116),MATCH('KSH järjestus'!BM$3,KOMBI!$A$1:$GI$1,0))</f>
        <v>7.463592809490615E-3</v>
      </c>
      <c r="BN109" s="25">
        <f t="array" ref="BN109">INDEX(KOMBI!$A$1:$GI$145,ROW('KSH järjestus'!BN116),MATCH('KSH järjestus'!BN$3,KOMBI!$A$1:$GI$1,0))</f>
        <v>3.4127136808293212E-3</v>
      </c>
      <c r="BO109" s="25">
        <f t="array" ref="BO109">INDEX(KOMBI!$A$1:$GI$145,ROW('KSH järjestus'!BO116),MATCH('KSH järjestus'!BO$3,KOMBI!$A$1:$GI$1,0))</f>
        <v>8.3480100557141081E-3</v>
      </c>
      <c r="BP109" s="25">
        <f t="array" ref="BP109">INDEX(KOMBI!$A$1:$GI$145,ROW('KSH järjestus'!BP116),MATCH('KSH järjestus'!BP$3,KOMBI!$A$1:$GI$1,0))</f>
        <v>7.7469999999999999</v>
      </c>
      <c r="BQ109" s="25">
        <f t="array" ref="BQ109">INDEX(KOMBI!$A$1:$GI$145,ROW('KSH järjestus'!BQ116),MATCH('KSH järjestus'!BQ$3,KOMBI!$A$1:$GI$1,0))</f>
        <v>9.8089999999999993</v>
      </c>
      <c r="BR109" s="25">
        <f t="array" ref="BR109">INDEX(KOMBI!$A$1:$GI$145,ROW('KSH järjestus'!BR116),MATCH('KSH järjestus'!BR$3,KOMBI!$A$1:$GI$1,0))</f>
        <v>-4.4092604979207625E-2</v>
      </c>
      <c r="BS109" s="25">
        <f t="array" ref="BS109">INDEX(KOMBI!$A$1:$GI$145,ROW('KSH järjestus'!BS116),MATCH('KSH järjestus'!BS$3,KOMBI!$A$1:$GI$1,0))</f>
        <v>-5.1779657802158124E-2</v>
      </c>
      <c r="BT109" s="25">
        <f t="array" ref="BT109">INDEX(KOMBI!$A$1:$GI$145,ROW('KSH järjestus'!BT116),MATCH('KSH järjestus'!BT$3,KOMBI!$A$1:$GI$1,0))</f>
        <v>-6.9396334462157566E-2</v>
      </c>
      <c r="BU109" s="25">
        <f t="array" ref="BU109">INDEX(KOMBI!$A$1:$GI$145,ROW('KSH järjestus'!BU116),MATCH('KSH järjestus'!BU$3,KOMBI!$A$1:$GI$1,0))</f>
        <v>7.4946303115986801</v>
      </c>
      <c r="BV109" s="25">
        <f t="array" ref="BV109">INDEX(KOMBI!$A$1:$GI$145,ROW('KSH järjestus'!BV116),MATCH('KSH järjestus'!BV$3,KOMBI!$A$1:$GI$1,0))</f>
        <v>5.0659999999999998</v>
      </c>
      <c r="BW109" s="25">
        <f t="array" ref="BW109">INDEX(KOMBI!$A$1:$GI$145,ROW('KSH järjestus'!BW116),MATCH('KSH järjestus'!BW$3,KOMBI!$A$1:$GI$1,0))</f>
        <v>1.19688499063732</v>
      </c>
      <c r="BX109" s="25">
        <f t="array" ref="BX109">INDEX(KOMBI!$A$1:$GI$145,ROW('KSH järjestus'!BX116),MATCH('KSH järjestus'!BX$3,KOMBI!$A$1:$GI$1,0))</f>
        <v>17.161999999999999</v>
      </c>
      <c r="BY109" s="25">
        <f t="array" ref="BY109">INDEX(KOMBI!$A$1:$GI$145,ROW('KSH järjestus'!BY116),MATCH('KSH järjestus'!BY$3,KOMBI!$A$1:$GI$1,0))</f>
        <v>11.870496548433506</v>
      </c>
      <c r="BZ109" s="25">
        <f t="array" ref="BZ109">INDEX(KOMBI!$A$1:$GI$145,ROW('KSH järjestus'!BZ116),MATCH('KSH järjestus'!BZ$3,KOMBI!$A$1:$GI$1,0))</f>
        <v>66</v>
      </c>
      <c r="CA109" s="25">
        <f t="array" ref="CA109">INDEX(KOMBI!$A$1:$GI$145,ROW('KSH järjestus'!CA116),MATCH('KSH järjestus'!CA$3,KOMBI!$A$1:$GI$1,0))</f>
        <v>12.872999999999999</v>
      </c>
      <c r="CB109" s="25">
        <f t="array" ref="CB109">INDEX(KOMBI!$A$1:$GI$145,ROW('KSH järjestus'!CB116),MATCH('KSH järjestus'!CB$3,KOMBI!$A$1:$GI$1,0))</f>
        <v>58.217222222222219</v>
      </c>
      <c r="CC109" s="25">
        <f t="array" ref="CC109">INDEX(KOMBI!$A$1:$GI$145,ROW('KSH järjestus'!CC116),MATCH('KSH järjestus'!CC$3,KOMBI!$A$1:$GI$1,0))</f>
        <v>4.6579420000000002</v>
      </c>
      <c r="CD109" s="25">
        <f t="array" ref="CD109">INDEX(KOMBI!$A$1:$GI$145,ROW('KSH järjestus'!CD116),MATCH('KSH järjestus'!CD$3,KOMBI!$A$1:$GI$1,0))</f>
        <v>294.39999999999998</v>
      </c>
      <c r="CE109" s="25">
        <f t="array" ref="CE109">INDEX(KOMBI!$A$1:$GI$145,ROW('KSH järjestus'!CE116),MATCH('KSH järjestus'!CE$3,KOMBI!$A$1:$GI$1,0))</f>
        <v>2.8759999999999999</v>
      </c>
      <c r="CF109" s="25">
        <f t="array" ref="CF109">INDEX(KOMBI!$A$1:$GI$145,ROW('KSH järjestus'!CF116),MATCH('KSH järjestus'!CF$3,KOMBI!$A$1:$GI$1,0))</f>
        <v>45.102900516795863</v>
      </c>
      <c r="CG109" s="25">
        <f t="array" ref="CG109">INDEX(KOMBI!$A$1:$GI$145,ROW('KSH järjestus'!CG116),MATCH('KSH järjestus'!CG$3,KOMBI!$A$1:$GI$1,0))</f>
        <v>2.4608217929567841E-2</v>
      </c>
      <c r="CH109" s="25">
        <f t="array" ref="CH109">INDEX(KOMBI!$A$1:$GI$145,ROW('KSH järjestus'!CH116),MATCH('KSH järjestus'!CH$3,KOMBI!$A$1:$GI$1,0))</f>
        <v>0.43983091445120043</v>
      </c>
      <c r="CI109" s="25">
        <f t="array" ref="CI109">INDEX(KOMBI!$A$1:$GI$145,ROW('KSH järjestus'!CI116),MATCH('KSH järjestus'!CI$3,KOMBI!$A$1:$GI$1,0))</f>
        <v>6.28</v>
      </c>
      <c r="CJ109" s="25">
        <f t="array" ref="CJ109">INDEX(KOMBI!$A$1:$GI$145,ROW('KSH järjestus'!CJ116),MATCH('KSH järjestus'!CJ$3,KOMBI!$A$1:$GI$1,0))</f>
        <v>2.9818849906373197</v>
      </c>
      <c r="CK109" s="25">
        <f t="array" ref="CK109">INDEX(KOMBI!$A$1:$GI$145,ROW('KSH järjestus'!CK116),MATCH('KSH järjestus'!CK$3,KOMBI!$A$1:$GI$1,0))</f>
        <v>0.21099999999999999</v>
      </c>
      <c r="CL109" s="25">
        <f t="array" ref="CL109">INDEX(KOMBI!$A$1:$GI$145,ROW('KSH järjestus'!CL116),MATCH('KSH järjestus'!CL$3,KOMBI!$A$1:$GI$1,0))</f>
        <v>0.76300000000000001</v>
      </c>
    </row>
    <row r="110" spans="3:90" x14ac:dyDescent="0.2">
      <c r="C110" s="184">
        <v>107</v>
      </c>
      <c r="G110" s="25">
        <f>RANK(INDEX(KOMBI!$A$11:$GI$145,MATCH('KSH järjestus'!$C110,KOMBI!$A$11:$A$145,0),MATCH('KSH järjestus'!G$3,KOMBI!$A$1:$GI$1,0)),BD$4:BD$138,G$2)</f>
        <v>56</v>
      </c>
      <c r="H110" s="25">
        <f>RANK(INDEX(KOMBI!$A$11:$GI$145,MATCH('KSH järjestus'!$C110,KOMBI!$A$11:$A$145,0),MATCH('KSH järjestus'!H$3,KOMBI!$A$1:$GI$1,0)),BE$4:BE$138,H$2)</f>
        <v>42</v>
      </c>
      <c r="J110" s="25">
        <f>RANK(INDEX(KOMBI!$A$11:$GI$145,MATCH('KSH järjestus'!$C110,KOMBI!$A$11:$A$145,0),MATCH('KSH järjestus'!J$3,KOMBI!$A$1:$GI$1,0)),BG$4:BG$138,J$2)</f>
        <v>44</v>
      </c>
      <c r="M110" s="25">
        <f>RANK(INDEX(KOMBI!$A$11:$GI$145,MATCH('KSH järjestus'!$C110,KOMBI!$A$11:$A$145,0),MATCH('KSH järjestus'!M$3,KOMBI!$A$1:$GI$1,0)),BJ$4:BJ$138,M$2)</f>
        <v>55</v>
      </c>
      <c r="N110" s="25">
        <f>RANK(INDEX(KOMBI!$A$11:$GI$145,MATCH('KSH järjestus'!$C110,KOMBI!$A$11:$A$145,0),MATCH('KSH järjestus'!N$3,KOMBI!$A$1:$GI$1,0)),BK$4:BK$138,N$2)</f>
        <v>58</v>
      </c>
      <c r="O110" s="25">
        <f>RANK(INDEX(KOMBI!$A$11:$GI$145,MATCH('KSH järjestus'!$C110,KOMBI!$A$11:$A$145,0),MATCH('KSH järjestus'!O$3,KOMBI!$A$1:$GI$1,0)),BL$4:BL$138,O$2)</f>
        <v>58</v>
      </c>
      <c r="P110" s="25">
        <f>RANK(INDEX(KOMBI!$A$11:$GI$145,MATCH('KSH järjestus'!$C110,KOMBI!$A$11:$A$145,0),MATCH('KSH järjestus'!P$3,KOMBI!$A$1:$GI$1,0)),BM$4:BM$138,P$2)</f>
        <v>41</v>
      </c>
      <c r="Q110" s="25">
        <f>RANK(INDEX(KOMBI!$A$11:$GI$145,MATCH('KSH järjestus'!$C110,KOMBI!$A$11:$A$145,0),MATCH('KSH järjestus'!Q$3,KOMBI!$A$1:$GI$1,0)),BN$4:BN$138,Q$2)</f>
        <v>46</v>
      </c>
      <c r="R110" s="25">
        <f>RANK(INDEX(KOMBI!$A$11:$GI$145,MATCH('KSH järjestus'!$C110,KOMBI!$A$11:$A$145,0),MATCH('KSH järjestus'!R$3,KOMBI!$A$1:$GI$1,0)),BO$4:BO$138,R$2)</f>
        <v>69</v>
      </c>
      <c r="T110" s="25">
        <f>RANK(INDEX(KOMBI!$A$11:$GI$145,MATCH('KSH järjestus'!$C110,KOMBI!$A$11:$A$145,0),MATCH('KSH järjestus'!T$3,KOMBI!$A$1:$GI$1,0)),BQ$4:BQ$138,T$2)</f>
        <v>19</v>
      </c>
      <c r="U110" s="25">
        <f>RANK(INDEX(KOMBI!$A$11:$GI$145,MATCH('KSH järjestus'!$C110,KOMBI!$A$11:$A$145,0),MATCH('KSH järjestus'!U$3,KOMBI!$A$1:$GI$1,0)),BR$4:BR$138,U$2)</f>
        <v>30</v>
      </c>
      <c r="AA110" s="25">
        <f>RANK(INDEX(KOMBI!$A$11:$GI$145,MATCH('KSH järjestus'!$C110,KOMBI!$A$11:$A$145,0),MATCH('KSH järjestus'!AA$3,KOMBI!$A$1:$GI$1,0)),BX$4:BX$138,AA$2)</f>
        <v>19</v>
      </c>
      <c r="AB110" s="25">
        <f>RANK(INDEX(KOMBI!$A$11:$GI$145,MATCH('KSH järjestus'!$C110,KOMBI!$A$11:$A$145,0),MATCH('KSH järjestus'!AB$3,KOMBI!$A$1:$GI$1,0)),BY$4:BY$138,AB$2)</f>
        <v>61</v>
      </c>
      <c r="AC110" s="25">
        <f>RANK(INDEX(KOMBI!$A$11:$GI$145,MATCH('KSH järjestus'!$C110,KOMBI!$A$11:$A$145,0),MATCH('KSH järjestus'!AC$3,KOMBI!$A$1:$GI$1,0)),BZ$4:BZ$138,AC$2)</f>
        <v>3</v>
      </c>
      <c r="AD110" s="25">
        <f>RANK(INDEX(KOMBI!$A$11:$GI$145,MATCH('KSH järjestus'!$C110,KOMBI!$A$11:$A$145,0),MATCH('KSH järjestus'!AD$3,KOMBI!$A$1:$GI$1,0)),CA$4:CA$138,AD$2)</f>
        <v>37</v>
      </c>
      <c r="AE110" s="25">
        <f>RANK(INDEX(KOMBI!$A$11:$GI$145,MATCH('KSH järjestus'!$C110,KOMBI!$A$11:$A$145,0),MATCH('KSH järjestus'!AE$3,KOMBI!$A$1:$GI$1,0)),CB$4:CB$138,AE$2)</f>
        <v>40</v>
      </c>
      <c r="AG110" s="25">
        <f>RANK(INDEX(KOMBI!$A$11:$GI$145,MATCH('KSH järjestus'!$C110,KOMBI!$A$11:$A$145,0),MATCH('KSH järjestus'!AG$3,KOMBI!$A$1:$GI$1,0)),CD$4:CD$138,AG$2)</f>
        <v>19</v>
      </c>
      <c r="AH110" s="25">
        <f>RANK(INDEX(KOMBI!$A$11:$GI$145,MATCH('KSH järjestus'!$C110,KOMBI!$A$11:$A$145,0),MATCH('KSH järjestus'!AH$3,KOMBI!$A$1:$GI$1,0)),CE$4:CE$138,AH$2)</f>
        <v>46</v>
      </c>
      <c r="AI110" s="25">
        <f>RANK(INDEX(KOMBI!$A$11:$GI$145,MATCH('KSH järjestus'!$C110,KOMBI!$A$11:$A$145,0),MATCH('KSH järjestus'!AI$3,KOMBI!$A$1:$GI$1,0)),CF$4:CF$138,AI$2)</f>
        <v>31</v>
      </c>
      <c r="AJ110" s="25">
        <f>RANK(INDEX(KOMBI!$A$11:$GI$145,MATCH('KSH järjestus'!$C110,KOMBI!$A$11:$A$145,0),MATCH('KSH järjestus'!AJ$3,KOMBI!$A$1:$GI$1,0)),CG$4:CG$138,AJ$2)</f>
        <v>40</v>
      </c>
      <c r="AK110" s="25">
        <f>RANK(INDEX(KOMBI!$A$11:$GI$145,MATCH('KSH järjestus'!$C110,KOMBI!$A$11:$A$145,0),MATCH('KSH järjestus'!AK$3,KOMBI!$A$1:$GI$1,0)),CH$4:CH$138,AK$2)</f>
        <v>67</v>
      </c>
      <c r="AN110" s="25">
        <f>RANK(INDEX(KOMBI!$A$11:$GI$145,MATCH('KSH järjestus'!$C110,KOMBI!$A$11:$A$145,0),MATCH('KSH järjestus'!AN$3,KOMBI!$A$1:$GI$1,0)),CK$4:CK$138,AN$2)</f>
        <v>46</v>
      </c>
      <c r="AO110" s="25">
        <f>RANK(INDEX(KOMBI!$A$11:$GI$145,MATCH('KSH järjestus'!$C110,KOMBI!$A$11:$A$145,0),MATCH('KSH järjestus'!AO$3,KOMBI!$A$1:$GI$1,0)),CL$4:CL$138,AO$2)</f>
        <v>46</v>
      </c>
      <c r="AS110" s="297">
        <f t="shared" si="7"/>
        <v>973</v>
      </c>
      <c r="AT110" s="25">
        <f t="shared" si="5"/>
        <v>1939</v>
      </c>
      <c r="AU110" s="25">
        <f t="shared" si="6"/>
        <v>21</v>
      </c>
      <c r="AV110" s="295" t="str">
        <f>VLOOKUP(VLOOKUP($AU110,KOMBI!$A:$H,3,FALSE),data!$I$27:$J$29,2,FALSE)</f>
        <v>Vähe-sekkuv</v>
      </c>
      <c r="AW110" s="295" t="str">
        <f>VLOOKUP(VLOOKUP($AU110,KOMBI!$A:$H,2,FALSE),data!$I$21:$J$23,2,FALSE)</f>
        <v>Mittesekkuv</v>
      </c>
      <c r="AX110" s="295" t="str">
        <f>VLOOKUP(VLOOKUP($AU110,KOMBI!$A:$H,5,FALSE),data!$I$39:$J$41,2,FALSE)</f>
        <v>Sekkuv</v>
      </c>
      <c r="AY110" s="295" t="str">
        <f>VLOOKUP(VLOOKUP($AU110,KOMBI!$A:$H,4,FALSE),data!$I$32:$J$36,2,FALSE)</f>
        <v>LIB+</v>
      </c>
      <c r="BA110" s="25">
        <f t="array" ref="BA110">INDEX(KOMBI!$A$1:$GI$145,ROW('KSH järjestus'!BA117),MATCH('KSH järjestus'!BA$3,KOMBI!$A$1:$GI$1,0))</f>
        <v>6.2647719346930941</v>
      </c>
      <c r="BB110" s="25">
        <f t="array" ref="BB110">INDEX(KOMBI!$A$1:$GI$145,ROW('KSH järjestus'!BB117),MATCH('KSH järjestus'!BB$3,KOMBI!$A$1:$GI$1,0))</f>
        <v>462.27911653361156</v>
      </c>
      <c r="BC110" s="25">
        <f t="array" aca="1" ref="BC110" ca="1">INDEX(KOMBI!$A$1:$GI$145,ROW('KSH järjestus'!BC117),MATCH('KSH järjestus'!BC$3,KOMBI!$A$1:$GI$1,0))</f>
        <v>108.05425975274527</v>
      </c>
      <c r="BD110" s="25">
        <f t="array" ref="BD110">INDEX(KOMBI!$A$1:$GI$145,ROW('KSH järjestus'!BD117),MATCH('KSH järjestus'!BD$3,KOMBI!$A$1:$GI$1,0))</f>
        <v>-92.530719880632105</v>
      </c>
      <c r="BE110" s="25">
        <f t="array" ref="BE110">INDEX(KOMBI!$A$1:$GI$145,ROW('KSH järjestus'!BE117),MATCH('KSH järjestus'!BE$3,KOMBI!$A$1:$GI$1,0))</f>
        <v>200.58497963337737</v>
      </c>
      <c r="BF110" s="25">
        <f t="array" aca="1" ref="BF110" ca="1">INDEX(KOMBI!$A$1:$GI$145,ROW('KSH järjestus'!BF117),MATCH('KSH järjestus'!BF$3,KOMBI!$A$1:$GI$1,0))</f>
        <v>0</v>
      </c>
      <c r="BG110" s="25">
        <f t="array" ref="BG110">INDEX(KOMBI!$A$1:$GI$145,ROW('KSH järjestus'!BG117),MATCH('KSH järjestus'!BG$3,KOMBI!$A$1:$GI$1,0))</f>
        <v>0.50738487756262995</v>
      </c>
      <c r="BH110" s="25">
        <f t="array" ref="BH110">INDEX(KOMBI!$A$1:$GI$145,ROW('KSH järjestus'!BH117),MATCH('KSH järjestus'!BH$3,KOMBI!$A$1:$GI$1,0))</f>
        <v>90</v>
      </c>
      <c r="BI110" s="25">
        <f t="array" ref="BI110">INDEX(KOMBI!$A$1:$GI$145,ROW('KSH järjestus'!BI117),MATCH('KSH järjestus'!BI$3,KOMBI!$A$1:$GI$1,0))</f>
        <v>0.72887234460741657</v>
      </c>
      <c r="BJ110" s="25">
        <f t="array" ref="BJ110">INDEX(KOMBI!$A$1:$GI$145,ROW('KSH järjestus'!BJ117),MATCH('KSH järjestus'!BJ$3,KOMBI!$A$1:$GI$1,0))</f>
        <v>0.27911646586345373</v>
      </c>
      <c r="BK110" s="25">
        <f t="array" ref="BK110">INDEX(KOMBI!$A$1:$GI$145,ROW('KSH järjestus'!BK117),MATCH('KSH järjestus'!BK$3,KOMBI!$A$1:$GI$1,0))</f>
        <v>0.36210496932840874</v>
      </c>
      <c r="BL110" s="25">
        <f t="array" ref="BL110">INDEX(KOMBI!$A$1:$GI$145,ROW('KSH järjestus'!BL117),MATCH('KSH järjestus'!BL$3,KOMBI!$A$1:$GI$1,0))</f>
        <v>1.7970859358815355E-2</v>
      </c>
      <c r="BM110" s="25">
        <f t="array" ref="BM110">INDEX(KOMBI!$A$1:$GI$145,ROW('KSH järjestus'!BM117),MATCH('KSH järjestus'!BM$3,KOMBI!$A$1:$GI$1,0))</f>
        <v>4.7705399600750011E-3</v>
      </c>
      <c r="BN110" s="25">
        <f t="array" ref="BN110">INDEX(KOMBI!$A$1:$GI$145,ROW('KSH järjestus'!BN117),MATCH('KSH järjestus'!BN$3,KOMBI!$A$1:$GI$1,0))</f>
        <v>5.9055835421871483E-3</v>
      </c>
      <c r="BO110" s="25">
        <f t="array" ref="BO110">INDEX(KOMBI!$A$1:$GI$145,ROW('KSH järjestus'!BO117),MATCH('KSH järjestus'!BO$3,KOMBI!$A$1:$GI$1,0))</f>
        <v>1.2172896599590935E-2</v>
      </c>
      <c r="BP110" s="25">
        <f t="array" ref="BP110">INDEX(KOMBI!$A$1:$GI$145,ROW('KSH järjestus'!BP117),MATCH('KSH järjestus'!BP$3,KOMBI!$A$1:$GI$1,0))</f>
        <v>7.7469999999999999</v>
      </c>
      <c r="BQ110" s="25">
        <f t="array" ref="BQ110">INDEX(KOMBI!$A$1:$GI$145,ROW('KSH järjestus'!BQ117),MATCH('KSH järjestus'!BQ$3,KOMBI!$A$1:$GI$1,0))</f>
        <v>9.9</v>
      </c>
      <c r="BR110" s="25">
        <f t="array" ref="BR110">INDEX(KOMBI!$A$1:$GI$145,ROW('KSH järjestus'!BR117),MATCH('KSH järjestus'!BR$3,KOMBI!$A$1:$GI$1,0))</f>
        <v>-3.9858805967942904E-2</v>
      </c>
      <c r="BS110" s="25">
        <f t="array" ref="BS110">INDEX(KOMBI!$A$1:$GI$145,ROW('KSH järjestus'!BS117),MATCH('KSH järjestus'!BS$3,KOMBI!$A$1:$GI$1,0))</f>
        <v>-5.0446045582522567E-2</v>
      </c>
      <c r="BT110" s="25">
        <f t="array" ref="BT110">INDEX(KOMBI!$A$1:$GI$145,ROW('KSH järjestus'!BT117),MATCH('KSH järjestus'!BT$3,KOMBI!$A$1:$GI$1,0))</f>
        <v>-6.8297371662763603E-2</v>
      </c>
      <c r="BU110" s="25">
        <f t="array" ref="BU110">INDEX(KOMBI!$A$1:$GI$145,ROW('KSH järjestus'!BU117),MATCH('KSH järjestus'!BU$3,KOMBI!$A$1:$GI$1,0))</f>
        <v>7.4946303115986801</v>
      </c>
      <c r="BV110" s="25">
        <f t="array" ref="BV110">INDEX(KOMBI!$A$1:$GI$145,ROW('KSH järjestus'!BV117),MATCH('KSH järjestus'!BV$3,KOMBI!$A$1:$GI$1,0))</f>
        <v>5.0659999999999998</v>
      </c>
      <c r="BW110" s="25">
        <f t="array" ref="BW110">INDEX(KOMBI!$A$1:$GI$145,ROW('KSH järjestus'!BW117),MATCH('KSH järjestus'!BW$3,KOMBI!$A$1:$GI$1,0))</f>
        <v>1.57438499063732</v>
      </c>
      <c r="BX110" s="25">
        <f t="array" ref="BX110">INDEX(KOMBI!$A$1:$GI$145,ROW('KSH järjestus'!BX117),MATCH('KSH järjestus'!BX$3,KOMBI!$A$1:$GI$1,0))</f>
        <v>17.161999999999999</v>
      </c>
      <c r="BY110" s="25">
        <f t="array" ref="BY110">INDEX(KOMBI!$A$1:$GI$145,ROW('KSH järjestus'!BY117),MATCH('KSH järjestus'!BY$3,KOMBI!$A$1:$GI$1,0))</f>
        <v>11.870496548433506</v>
      </c>
      <c r="BZ110" s="25">
        <f t="array" ref="BZ110">INDEX(KOMBI!$A$1:$GI$145,ROW('KSH järjestus'!BZ117),MATCH('KSH järjestus'!BZ$3,KOMBI!$A$1:$GI$1,0))</f>
        <v>66.400000000000006</v>
      </c>
      <c r="CA110" s="25">
        <f t="array" ref="CA110">INDEX(KOMBI!$A$1:$GI$145,ROW('KSH järjestus'!CA117),MATCH('KSH järjestus'!CA$3,KOMBI!$A$1:$GI$1,0))</f>
        <v>12.962</v>
      </c>
      <c r="CB110" s="25">
        <f t="array" ref="CB110">INDEX(KOMBI!$A$1:$GI$145,ROW('KSH järjestus'!CB117),MATCH('KSH järjestus'!CB$3,KOMBI!$A$1:$GI$1,0))</f>
        <v>58.557499999999997</v>
      </c>
      <c r="CC110" s="25">
        <f t="array" ref="CC110">INDEX(KOMBI!$A$1:$GI$145,ROW('KSH järjestus'!CC117),MATCH('KSH järjestus'!CC$3,KOMBI!$A$1:$GI$1,0))</f>
        <v>4.6912339999999997</v>
      </c>
      <c r="CD110" s="25">
        <f t="array" ref="CD110">INDEX(KOMBI!$A$1:$GI$145,ROW('KSH järjestus'!CD117),MATCH('KSH järjestus'!CD$3,KOMBI!$A$1:$GI$1,0))</f>
        <v>294.39999999999998</v>
      </c>
      <c r="CE110" s="25">
        <f t="array" ref="CE110">INDEX(KOMBI!$A$1:$GI$145,ROW('KSH järjestus'!CE117),MATCH('KSH järjestus'!CE$3,KOMBI!$A$1:$GI$1,0))</f>
        <v>2.8759999999999999</v>
      </c>
      <c r="CF110" s="25">
        <f t="array" ref="CF110">INDEX(KOMBI!$A$1:$GI$145,ROW('KSH järjestus'!CF117),MATCH('KSH järjestus'!CF$3,KOMBI!$A$1:$GI$1,0))</f>
        <v>45.102900516795863</v>
      </c>
      <c r="CG110" s="25">
        <f t="array" ref="CG110">INDEX(KOMBI!$A$1:$GI$145,ROW('KSH järjestus'!CG117),MATCH('KSH järjestus'!CG$3,KOMBI!$A$1:$GI$1,0))</f>
        <v>2.4608217929567841E-2</v>
      </c>
      <c r="CH110" s="25">
        <f t="array" ref="CH110">INDEX(KOMBI!$A$1:$GI$145,ROW('KSH järjestus'!CH117),MATCH('KSH järjestus'!CH$3,KOMBI!$A$1:$GI$1,0))</f>
        <v>0.43983091445120043</v>
      </c>
      <c r="CI110" s="25">
        <f t="array" ref="CI110">INDEX(KOMBI!$A$1:$GI$145,ROW('KSH järjestus'!CI117),MATCH('KSH järjestus'!CI$3,KOMBI!$A$1:$GI$1,0))</f>
        <v>6.28</v>
      </c>
      <c r="CJ110" s="25">
        <f t="array" ref="CJ110">INDEX(KOMBI!$A$1:$GI$145,ROW('KSH järjestus'!CJ117),MATCH('KSH järjestus'!CJ$3,KOMBI!$A$1:$GI$1,0))</f>
        <v>2.9818849906373197</v>
      </c>
      <c r="CK110" s="25">
        <f t="array" ref="CK110">INDEX(KOMBI!$A$1:$GI$145,ROW('KSH järjestus'!CK117),MATCH('KSH järjestus'!CK$3,KOMBI!$A$1:$GI$1,0))</f>
        <v>0.21099999999999999</v>
      </c>
      <c r="CL110" s="25">
        <f t="array" ref="CL110">INDEX(KOMBI!$A$1:$GI$145,ROW('KSH järjestus'!CL117),MATCH('KSH järjestus'!CL$3,KOMBI!$A$1:$GI$1,0))</f>
        <v>0.76300000000000001</v>
      </c>
    </row>
    <row r="111" spans="3:90" x14ac:dyDescent="0.2">
      <c r="C111" s="184">
        <v>108</v>
      </c>
      <c r="G111" s="25">
        <f>RANK(INDEX(KOMBI!$A$11:$GI$145,MATCH('KSH järjestus'!$C111,KOMBI!$A$11:$A$145,0),MATCH('KSH järjestus'!G$3,KOMBI!$A$1:$GI$1,0)),BD$4:BD$138,G$2)</f>
        <v>46</v>
      </c>
      <c r="H111" s="25">
        <f>RANK(INDEX(KOMBI!$A$11:$GI$145,MATCH('KSH järjestus'!$C111,KOMBI!$A$11:$A$145,0),MATCH('KSH järjestus'!H$3,KOMBI!$A$1:$GI$1,0)),BE$4:BE$138,H$2)</f>
        <v>23</v>
      </c>
      <c r="J111" s="25">
        <f>RANK(INDEX(KOMBI!$A$11:$GI$145,MATCH('KSH järjestus'!$C111,KOMBI!$A$11:$A$145,0),MATCH('KSH järjestus'!J$3,KOMBI!$A$1:$GI$1,0)),BG$4:BG$138,J$2)</f>
        <v>44</v>
      </c>
      <c r="M111" s="25">
        <f>RANK(INDEX(KOMBI!$A$11:$GI$145,MATCH('KSH järjestus'!$C111,KOMBI!$A$11:$A$145,0),MATCH('KSH järjestus'!M$3,KOMBI!$A$1:$GI$1,0)),BJ$4:BJ$138,M$2)</f>
        <v>55</v>
      </c>
      <c r="N111" s="25">
        <f>RANK(INDEX(KOMBI!$A$11:$GI$145,MATCH('KSH järjestus'!$C111,KOMBI!$A$11:$A$145,0),MATCH('KSH järjestus'!N$3,KOMBI!$A$1:$GI$1,0)),BK$4:BK$138,N$2)</f>
        <v>58</v>
      </c>
      <c r="O111" s="25">
        <f>RANK(INDEX(KOMBI!$A$11:$GI$145,MATCH('KSH järjestus'!$C111,KOMBI!$A$11:$A$145,0),MATCH('KSH järjestus'!O$3,KOMBI!$A$1:$GI$1,0)),BL$4:BL$138,O$2)</f>
        <v>32</v>
      </c>
      <c r="P111" s="25">
        <f>RANK(INDEX(KOMBI!$A$11:$GI$145,MATCH('KSH järjestus'!$C111,KOMBI!$A$11:$A$145,0),MATCH('KSH järjestus'!P$3,KOMBI!$A$1:$GI$1,0)),BM$4:BM$138,P$2)</f>
        <v>40</v>
      </c>
      <c r="Q111" s="25">
        <f>RANK(INDEX(KOMBI!$A$11:$GI$145,MATCH('KSH järjestus'!$C111,KOMBI!$A$11:$A$145,0),MATCH('KSH järjestus'!Q$3,KOMBI!$A$1:$GI$1,0)),BN$4:BN$138,Q$2)</f>
        <v>36</v>
      </c>
      <c r="R111" s="25">
        <f>RANK(INDEX(KOMBI!$A$11:$GI$145,MATCH('KSH järjestus'!$C111,KOMBI!$A$11:$A$145,0),MATCH('KSH järjestus'!R$3,KOMBI!$A$1:$GI$1,0)),BO$4:BO$138,R$2)</f>
        <v>35</v>
      </c>
      <c r="T111" s="25">
        <f>RANK(INDEX(KOMBI!$A$11:$GI$145,MATCH('KSH järjestus'!$C111,KOMBI!$A$11:$A$145,0),MATCH('KSH järjestus'!T$3,KOMBI!$A$1:$GI$1,0)),BQ$4:BQ$138,T$2)</f>
        <v>29</v>
      </c>
      <c r="U111" s="25">
        <f>RANK(INDEX(KOMBI!$A$11:$GI$145,MATCH('KSH järjestus'!$C111,KOMBI!$A$11:$A$145,0),MATCH('KSH järjestus'!U$3,KOMBI!$A$1:$GI$1,0)),BR$4:BR$138,U$2)</f>
        <v>39</v>
      </c>
      <c r="AA111" s="25">
        <f>RANK(INDEX(KOMBI!$A$11:$GI$145,MATCH('KSH järjestus'!$C111,KOMBI!$A$11:$A$145,0),MATCH('KSH järjestus'!AA$3,KOMBI!$A$1:$GI$1,0)),BX$4:BX$138,AA$2)</f>
        <v>19</v>
      </c>
      <c r="AB111" s="25">
        <f>RANK(INDEX(KOMBI!$A$11:$GI$145,MATCH('KSH järjestus'!$C111,KOMBI!$A$11:$A$145,0),MATCH('KSH järjestus'!AB$3,KOMBI!$A$1:$GI$1,0)),BY$4:BY$138,AB$2)</f>
        <v>61</v>
      </c>
      <c r="AC111" s="25">
        <f>RANK(INDEX(KOMBI!$A$11:$GI$145,MATCH('KSH järjestus'!$C111,KOMBI!$A$11:$A$145,0),MATCH('KSH järjestus'!AC$3,KOMBI!$A$1:$GI$1,0)),BZ$4:BZ$138,AC$2)</f>
        <v>11</v>
      </c>
      <c r="AD111" s="25">
        <f>RANK(INDEX(KOMBI!$A$11:$GI$145,MATCH('KSH järjestus'!$C111,KOMBI!$A$11:$A$145,0),MATCH('KSH järjestus'!AD$3,KOMBI!$A$1:$GI$1,0)),CA$4:CA$138,AD$2)</f>
        <v>43</v>
      </c>
      <c r="AE111" s="25">
        <f>RANK(INDEX(KOMBI!$A$11:$GI$145,MATCH('KSH järjestus'!$C111,KOMBI!$A$11:$A$145,0),MATCH('KSH järjestus'!AE$3,KOMBI!$A$1:$GI$1,0)),CB$4:CB$138,AE$2)</f>
        <v>43</v>
      </c>
      <c r="AG111" s="25">
        <f>RANK(INDEX(KOMBI!$A$11:$GI$145,MATCH('KSH järjestus'!$C111,KOMBI!$A$11:$A$145,0),MATCH('KSH järjestus'!AG$3,KOMBI!$A$1:$GI$1,0)),CD$4:CD$138,AG$2)</f>
        <v>19</v>
      </c>
      <c r="AH111" s="25">
        <f>RANK(INDEX(KOMBI!$A$11:$GI$145,MATCH('KSH järjestus'!$C111,KOMBI!$A$11:$A$145,0),MATCH('KSH järjestus'!AH$3,KOMBI!$A$1:$GI$1,0)),CE$4:CE$138,AH$2)</f>
        <v>46</v>
      </c>
      <c r="AI111" s="25">
        <f>RANK(INDEX(KOMBI!$A$11:$GI$145,MATCH('KSH järjestus'!$C111,KOMBI!$A$11:$A$145,0),MATCH('KSH järjestus'!AI$3,KOMBI!$A$1:$GI$1,0)),CF$4:CF$138,AI$2)</f>
        <v>31</v>
      </c>
      <c r="AJ111" s="25">
        <f>RANK(INDEX(KOMBI!$A$11:$GI$145,MATCH('KSH järjestus'!$C111,KOMBI!$A$11:$A$145,0),MATCH('KSH järjestus'!AJ$3,KOMBI!$A$1:$GI$1,0)),CG$4:CG$138,AJ$2)</f>
        <v>40</v>
      </c>
      <c r="AK111" s="25">
        <f>RANK(INDEX(KOMBI!$A$11:$GI$145,MATCH('KSH järjestus'!$C111,KOMBI!$A$11:$A$145,0),MATCH('KSH järjestus'!AK$3,KOMBI!$A$1:$GI$1,0)),CH$4:CH$138,AK$2)</f>
        <v>67</v>
      </c>
      <c r="AN111" s="25">
        <f>RANK(INDEX(KOMBI!$A$11:$GI$145,MATCH('KSH järjestus'!$C111,KOMBI!$A$11:$A$145,0),MATCH('KSH järjestus'!AN$3,KOMBI!$A$1:$GI$1,0)),CK$4:CK$138,AN$2)</f>
        <v>46</v>
      </c>
      <c r="AO111" s="25">
        <f>RANK(INDEX(KOMBI!$A$11:$GI$145,MATCH('KSH järjestus'!$C111,KOMBI!$A$11:$A$145,0),MATCH('KSH järjestus'!AO$3,KOMBI!$A$1:$GI$1,0)),CL$4:CL$138,AO$2)</f>
        <v>46</v>
      </c>
      <c r="AS111" s="297">
        <f t="shared" si="7"/>
        <v>909</v>
      </c>
      <c r="AT111" s="25">
        <f t="shared" si="5"/>
        <v>1961</v>
      </c>
      <c r="AU111" s="25">
        <f t="shared" si="6"/>
        <v>12</v>
      </c>
      <c r="AV111" s="295" t="str">
        <f>VLOOKUP(VLOOKUP($AU111,KOMBI!$A:$H,3,FALSE),data!$I$27:$J$29,2,FALSE)</f>
        <v>Mittesekkuv</v>
      </c>
      <c r="AW111" s="295" t="str">
        <f>VLOOKUP(VLOOKUP($AU111,KOMBI!$A:$H,2,FALSE),data!$I$21:$J$23,2,FALSE)</f>
        <v>Mittesekkuv</v>
      </c>
      <c r="AX111" s="295" t="str">
        <f>VLOOKUP(VLOOKUP($AU111,KOMBI!$A:$H,5,FALSE),data!$I$39:$J$41,2,FALSE)</f>
        <v>Sekkuv</v>
      </c>
      <c r="AY111" s="295" t="str">
        <f>VLOOKUP(VLOOKUP($AU111,KOMBI!$A:$H,4,FALSE),data!$I$32:$J$36,2,FALSE)</f>
        <v>TE++</v>
      </c>
      <c r="BA111" s="25">
        <f t="array" ref="BA111">INDEX(KOMBI!$A$1:$GI$145,ROW('KSH järjestus'!BA118),MATCH('KSH järjestus'!BA$3,KOMBI!$A$1:$GI$1,0))</f>
        <v>7.169871656934621</v>
      </c>
      <c r="BB111" s="25">
        <f t="array" ref="BB111">INDEX(KOMBI!$A$1:$GI$145,ROW('KSH järjestus'!BB118),MATCH('KSH järjestus'!BB$3,KOMBI!$A$1:$GI$1,0))</f>
        <v>578.8899075510908</v>
      </c>
      <c r="BC111" s="25">
        <f t="array" aca="1" ref="BC111" ca="1">INDEX(KOMBI!$A$1:$GI$145,ROW('KSH järjestus'!BC118),MATCH('KSH järjestus'!BC$3,KOMBI!$A$1:$GI$1,0))</f>
        <v>124.6086741118302</v>
      </c>
      <c r="BD111" s="25">
        <f t="array" ref="BD111">INDEX(KOMBI!$A$1:$GI$145,ROW('KSH järjestus'!BD118),MATCH('KSH järjestus'!BD$3,KOMBI!$A$1:$GI$1,0))</f>
        <v>-111.63831369909104</v>
      </c>
      <c r="BE111" s="25">
        <f t="array" ref="BE111">INDEX(KOMBI!$A$1:$GI$145,ROW('KSH järjestus'!BE118),MATCH('KSH järjestus'!BE$3,KOMBI!$A$1:$GI$1,0))</f>
        <v>236.24698781092124</v>
      </c>
      <c r="BF111" s="25">
        <f t="array" aca="1" ref="BF111" ca="1">INDEX(KOMBI!$A$1:$GI$145,ROW('KSH järjestus'!BF118),MATCH('KSH järjestus'!BF$3,KOMBI!$A$1:$GI$1,0))</f>
        <v>0</v>
      </c>
      <c r="BG111" s="25">
        <f t="array" ref="BG111">INDEX(KOMBI!$A$1:$GI$145,ROW('KSH järjestus'!BG118),MATCH('KSH järjestus'!BG$3,KOMBI!$A$1:$GI$1,0))</f>
        <v>0.50738487756262995</v>
      </c>
      <c r="BH111" s="25">
        <f t="array" ref="BH111">INDEX(KOMBI!$A$1:$GI$145,ROW('KSH järjestus'!BH118),MATCH('KSH järjestus'!BH$3,KOMBI!$A$1:$GI$1,0))</f>
        <v>90</v>
      </c>
      <c r="BI111" s="25">
        <f t="array" ref="BI111">INDEX(KOMBI!$A$1:$GI$145,ROW('KSH järjestus'!BI118),MATCH('KSH järjestus'!BI$3,KOMBI!$A$1:$GI$1,0))</f>
        <v>0.72887234460741646</v>
      </c>
      <c r="BJ111" s="25">
        <f t="array" ref="BJ111">INDEX(KOMBI!$A$1:$GI$145,ROW('KSH järjestus'!BJ118),MATCH('KSH järjestus'!BJ$3,KOMBI!$A$1:$GI$1,0))</f>
        <v>0.27911646586345373</v>
      </c>
      <c r="BK111" s="25">
        <f t="array" ref="BK111">INDEX(KOMBI!$A$1:$GI$145,ROW('KSH järjestus'!BK118),MATCH('KSH järjestus'!BK$3,KOMBI!$A$1:$GI$1,0))</f>
        <v>0.36210496932840874</v>
      </c>
      <c r="BL111" s="25">
        <f t="array" ref="BL111">INDEX(KOMBI!$A$1:$GI$145,ROW('KSH järjestus'!BL118),MATCH('KSH järjestus'!BL$3,KOMBI!$A$1:$GI$1,0))</f>
        <v>2.2621914737061873E-2</v>
      </c>
      <c r="BM111" s="25">
        <f t="array" ref="BM111">INDEX(KOMBI!$A$1:$GI$145,ROW('KSH järjestus'!BM118),MATCH('KSH järjestus'!BM$3,KOMBI!$A$1:$GI$1,0))</f>
        <v>4.7833056871163879E-3</v>
      </c>
      <c r="BN111" s="25">
        <f t="array" ref="BN111">INDEX(KOMBI!$A$1:$GI$145,ROW('KSH järjestus'!BN118),MATCH('KSH järjestus'!BN$3,KOMBI!$A$1:$GI$1,0))</f>
        <v>7.2363733782338791E-3</v>
      </c>
      <c r="BO111" s="25">
        <f t="array" ref="BO111">INDEX(KOMBI!$A$1:$GI$145,ROW('KSH järjestus'!BO118),MATCH('KSH järjestus'!BO$3,KOMBI!$A$1:$GI$1,0))</f>
        <v>1.556676004775579E-2</v>
      </c>
      <c r="BP111" s="25">
        <f t="array" ref="BP111">INDEX(KOMBI!$A$1:$GI$145,ROW('KSH järjestus'!BP118),MATCH('KSH järjestus'!BP$3,KOMBI!$A$1:$GI$1,0))</f>
        <v>7.7469999999999999</v>
      </c>
      <c r="BQ111" s="25">
        <f t="array" ref="BQ111">INDEX(KOMBI!$A$1:$GI$145,ROW('KSH järjestus'!BQ118),MATCH('KSH järjestus'!BQ$3,KOMBI!$A$1:$GI$1,0))</f>
        <v>10.124000000000001</v>
      </c>
      <c r="BR111" s="25">
        <f t="array" ref="BR111">INDEX(KOMBI!$A$1:$GI$145,ROW('KSH järjestus'!BR118),MATCH('KSH järjestus'!BR$3,KOMBI!$A$1:$GI$1,0))</f>
        <v>-3.587931883749701E-2</v>
      </c>
      <c r="BS111" s="25">
        <f t="array" ref="BS111">INDEX(KOMBI!$A$1:$GI$145,ROW('KSH järjestus'!BS118),MATCH('KSH järjestus'!BS$3,KOMBI!$A$1:$GI$1,0))</f>
        <v>-4.9186885666234116E-2</v>
      </c>
      <c r="BT111" s="25">
        <f t="array" ref="BT111">INDEX(KOMBI!$A$1:$GI$145,ROW('KSH järjestus'!BT118),MATCH('KSH järjestus'!BT$3,KOMBI!$A$1:$GI$1,0))</f>
        <v>-6.6836652689537354E-2</v>
      </c>
      <c r="BU111" s="25">
        <f t="array" ref="BU111">INDEX(KOMBI!$A$1:$GI$145,ROW('KSH järjestus'!BU118),MATCH('KSH järjestus'!BU$3,KOMBI!$A$1:$GI$1,0))</f>
        <v>7.4946303115986801</v>
      </c>
      <c r="BV111" s="25">
        <f t="array" ref="BV111">INDEX(KOMBI!$A$1:$GI$145,ROW('KSH järjestus'!BV118),MATCH('KSH järjestus'!BV$3,KOMBI!$A$1:$GI$1,0))</f>
        <v>5.0659999999999998</v>
      </c>
      <c r="BW111" s="25">
        <f t="array" ref="BW111">INDEX(KOMBI!$A$1:$GI$145,ROW('KSH järjestus'!BW118),MATCH('KSH järjestus'!BW$3,KOMBI!$A$1:$GI$1,0))</f>
        <v>1.7830849906373201</v>
      </c>
      <c r="BX111" s="25">
        <f t="array" ref="BX111">INDEX(KOMBI!$A$1:$GI$145,ROW('KSH järjestus'!BX118),MATCH('KSH järjestus'!BX$3,KOMBI!$A$1:$GI$1,0))</f>
        <v>17.161999999999999</v>
      </c>
      <c r="BY111" s="25">
        <f t="array" ref="BY111">INDEX(KOMBI!$A$1:$GI$145,ROW('KSH järjestus'!BY118),MATCH('KSH järjestus'!BY$3,KOMBI!$A$1:$GI$1,0))</f>
        <v>11.870496548433506</v>
      </c>
      <c r="BZ111" s="25">
        <f t="array" ref="BZ111">INDEX(KOMBI!$A$1:$GI$145,ROW('KSH järjestus'!BZ118),MATCH('KSH järjestus'!BZ$3,KOMBI!$A$1:$GI$1,0))</f>
        <v>68</v>
      </c>
      <c r="CA111" s="25">
        <f t="array" ref="CA111">INDEX(KOMBI!$A$1:$GI$145,ROW('KSH järjestus'!CA118),MATCH('KSH järjestus'!CA$3,KOMBI!$A$1:$GI$1,0))</f>
        <v>13.214</v>
      </c>
      <c r="CB111" s="25">
        <f t="array" ref="CB111">INDEX(KOMBI!$A$1:$GI$145,ROW('KSH järjestus'!CB118),MATCH('KSH järjestus'!CB$3,KOMBI!$A$1:$GI$1,0))</f>
        <v>59.465555555555554</v>
      </c>
      <c r="CC111" s="25">
        <f t="array" ref="CC111">INDEX(KOMBI!$A$1:$GI$145,ROW('KSH järjestus'!CC118),MATCH('KSH järjestus'!CC$3,KOMBI!$A$1:$GI$1,0))</f>
        <v>4.7845789999999999</v>
      </c>
      <c r="CD111" s="25">
        <f t="array" ref="CD111">INDEX(KOMBI!$A$1:$GI$145,ROW('KSH järjestus'!CD118),MATCH('KSH järjestus'!CD$3,KOMBI!$A$1:$GI$1,0))</f>
        <v>294.39999999999998</v>
      </c>
      <c r="CE111" s="25">
        <f t="array" ref="CE111">INDEX(KOMBI!$A$1:$GI$145,ROW('KSH järjestus'!CE118),MATCH('KSH järjestus'!CE$3,KOMBI!$A$1:$GI$1,0))</f>
        <v>2.8759999999999999</v>
      </c>
      <c r="CF111" s="25">
        <f t="array" ref="CF111">INDEX(KOMBI!$A$1:$GI$145,ROW('KSH järjestus'!CF118),MATCH('KSH järjestus'!CF$3,KOMBI!$A$1:$GI$1,0))</f>
        <v>45.102900516795863</v>
      </c>
      <c r="CG111" s="25">
        <f t="array" ref="CG111">INDEX(KOMBI!$A$1:$GI$145,ROW('KSH järjestus'!CG118),MATCH('KSH järjestus'!CG$3,KOMBI!$A$1:$GI$1,0))</f>
        <v>2.4608217929567841E-2</v>
      </c>
      <c r="CH111" s="25">
        <f t="array" ref="CH111">INDEX(KOMBI!$A$1:$GI$145,ROW('KSH järjestus'!CH118),MATCH('KSH järjestus'!CH$3,KOMBI!$A$1:$GI$1,0))</f>
        <v>0.43983091445120043</v>
      </c>
      <c r="CI111" s="25">
        <f t="array" ref="CI111">INDEX(KOMBI!$A$1:$GI$145,ROW('KSH järjestus'!CI118),MATCH('KSH järjestus'!CI$3,KOMBI!$A$1:$GI$1,0))</f>
        <v>6.28</v>
      </c>
      <c r="CJ111" s="25">
        <f t="array" ref="CJ111">INDEX(KOMBI!$A$1:$GI$145,ROW('KSH järjestus'!CJ118),MATCH('KSH järjestus'!CJ$3,KOMBI!$A$1:$GI$1,0))</f>
        <v>2.9818849906373197</v>
      </c>
      <c r="CK111" s="25">
        <f t="array" ref="CK111">INDEX(KOMBI!$A$1:$GI$145,ROW('KSH järjestus'!CK118),MATCH('KSH järjestus'!CK$3,KOMBI!$A$1:$GI$1,0))</f>
        <v>0.21099999999999999</v>
      </c>
      <c r="CL111" s="25">
        <f t="array" ref="CL111">INDEX(KOMBI!$A$1:$GI$145,ROW('KSH järjestus'!CL118),MATCH('KSH järjestus'!CL$3,KOMBI!$A$1:$GI$1,0))</f>
        <v>0.76300000000000001</v>
      </c>
    </row>
    <row r="112" spans="3:90" x14ac:dyDescent="0.2">
      <c r="C112" s="184">
        <v>109</v>
      </c>
      <c r="G112" s="25">
        <f>RANK(INDEX(KOMBI!$A$11:$GI$145,MATCH('KSH järjestus'!$C112,KOMBI!$A$11:$A$145,0),MATCH('KSH järjestus'!G$3,KOMBI!$A$1:$GI$1,0)),BD$4:BD$138,G$2)</f>
        <v>61</v>
      </c>
      <c r="H112" s="25">
        <f>RANK(INDEX(KOMBI!$A$11:$GI$145,MATCH('KSH järjestus'!$C112,KOMBI!$A$11:$A$145,0),MATCH('KSH järjestus'!H$3,KOMBI!$A$1:$GI$1,0)),BE$4:BE$138,H$2)</f>
        <v>72</v>
      </c>
      <c r="J112" s="25">
        <f>RANK(INDEX(KOMBI!$A$11:$GI$145,MATCH('KSH järjestus'!$C112,KOMBI!$A$11:$A$145,0),MATCH('KSH järjestus'!J$3,KOMBI!$A$1:$GI$1,0)),BG$4:BG$138,J$2)</f>
        <v>75</v>
      </c>
      <c r="M112" s="25">
        <f>RANK(INDEX(KOMBI!$A$11:$GI$145,MATCH('KSH järjestus'!$C112,KOMBI!$A$11:$A$145,0),MATCH('KSH järjestus'!M$3,KOMBI!$A$1:$GI$1,0)),BJ$4:BJ$138,M$2)</f>
        <v>55</v>
      </c>
      <c r="N112" s="25">
        <f>RANK(INDEX(KOMBI!$A$11:$GI$145,MATCH('KSH järjestus'!$C112,KOMBI!$A$11:$A$145,0),MATCH('KSH järjestus'!N$3,KOMBI!$A$1:$GI$1,0)),BK$4:BK$138,N$2)</f>
        <v>61</v>
      </c>
      <c r="O112" s="25">
        <f>RANK(INDEX(KOMBI!$A$11:$GI$145,MATCH('KSH järjestus'!$C112,KOMBI!$A$11:$A$145,0),MATCH('KSH järjestus'!O$3,KOMBI!$A$1:$GI$1,0)),BL$4:BL$138,O$2)</f>
        <v>97</v>
      </c>
      <c r="P112" s="25">
        <f>RANK(INDEX(KOMBI!$A$11:$GI$145,MATCH('KSH järjestus'!$C112,KOMBI!$A$11:$A$145,0),MATCH('KSH järjestus'!P$3,KOMBI!$A$1:$GI$1,0)),BM$4:BM$138,P$2)</f>
        <v>20</v>
      </c>
      <c r="Q112" s="25">
        <f>RANK(INDEX(KOMBI!$A$11:$GI$145,MATCH('KSH järjestus'!$C112,KOMBI!$A$11:$A$145,0),MATCH('KSH järjestus'!Q$3,KOMBI!$A$1:$GI$1,0)),BN$4:BN$138,Q$2)</f>
        <v>79</v>
      </c>
      <c r="R112" s="25">
        <f>RANK(INDEX(KOMBI!$A$11:$GI$145,MATCH('KSH järjestus'!$C112,KOMBI!$A$11:$A$145,0),MATCH('KSH järjestus'!R$3,KOMBI!$A$1:$GI$1,0)),BO$4:BO$138,R$2)</f>
        <v>105</v>
      </c>
      <c r="T112" s="25">
        <f>RANK(INDEX(KOMBI!$A$11:$GI$145,MATCH('KSH järjestus'!$C112,KOMBI!$A$11:$A$145,0),MATCH('KSH järjestus'!T$3,KOMBI!$A$1:$GI$1,0)),BQ$4:BQ$138,T$2)</f>
        <v>13</v>
      </c>
      <c r="U112" s="25">
        <f>RANK(INDEX(KOMBI!$A$11:$GI$145,MATCH('KSH järjestus'!$C112,KOMBI!$A$11:$A$145,0),MATCH('KSH järjestus'!U$3,KOMBI!$A$1:$GI$1,0)),BR$4:BR$138,U$2)</f>
        <v>24</v>
      </c>
      <c r="AA112" s="25">
        <f>RANK(INDEX(KOMBI!$A$11:$GI$145,MATCH('KSH järjestus'!$C112,KOMBI!$A$11:$A$145,0),MATCH('KSH järjestus'!AA$3,KOMBI!$A$1:$GI$1,0)),BX$4:BX$138,AA$2)</f>
        <v>22</v>
      </c>
      <c r="AB112" s="25">
        <f>RANK(INDEX(KOMBI!$A$11:$GI$145,MATCH('KSH järjestus'!$C112,KOMBI!$A$11:$A$145,0),MATCH('KSH järjestus'!AB$3,KOMBI!$A$1:$GI$1,0)),BY$4:BY$138,AB$2)</f>
        <v>55</v>
      </c>
      <c r="AC112" s="25">
        <f>RANK(INDEX(KOMBI!$A$11:$GI$145,MATCH('KSH järjestus'!$C112,KOMBI!$A$11:$A$145,0),MATCH('KSH järjestus'!AC$3,KOMBI!$A$1:$GI$1,0)),BZ$4:BZ$138,AC$2)</f>
        <v>1</v>
      </c>
      <c r="AD112" s="25">
        <f>RANK(INDEX(KOMBI!$A$11:$GI$145,MATCH('KSH järjestus'!$C112,KOMBI!$A$11:$A$145,0),MATCH('KSH järjestus'!AD$3,KOMBI!$A$1:$GI$1,0)),CA$4:CA$138,AD$2)</f>
        <v>35</v>
      </c>
      <c r="AE112" s="25">
        <f>RANK(INDEX(KOMBI!$A$11:$GI$145,MATCH('KSH järjestus'!$C112,KOMBI!$A$11:$A$145,0),MATCH('KSH järjestus'!AE$3,KOMBI!$A$1:$GI$1,0)),CB$4:CB$138,AE$2)</f>
        <v>35</v>
      </c>
      <c r="AG112" s="25">
        <f>RANK(INDEX(KOMBI!$A$11:$GI$145,MATCH('KSH järjestus'!$C112,KOMBI!$A$11:$A$145,0),MATCH('KSH järjestus'!AG$3,KOMBI!$A$1:$GI$1,0)),CD$4:CD$138,AG$2)</f>
        <v>19</v>
      </c>
      <c r="AH112" s="25">
        <f>RANK(INDEX(KOMBI!$A$11:$GI$145,MATCH('KSH järjestus'!$C112,KOMBI!$A$11:$A$145,0),MATCH('KSH järjestus'!AH$3,KOMBI!$A$1:$GI$1,0)),CE$4:CE$138,AH$2)</f>
        <v>46</v>
      </c>
      <c r="AI112" s="25">
        <f>RANK(INDEX(KOMBI!$A$11:$GI$145,MATCH('KSH järjestus'!$C112,KOMBI!$A$11:$A$145,0),MATCH('KSH järjestus'!AI$3,KOMBI!$A$1:$GI$1,0)),CF$4:CF$138,AI$2)</f>
        <v>34</v>
      </c>
      <c r="AJ112" s="25">
        <f>RANK(INDEX(KOMBI!$A$11:$GI$145,MATCH('KSH järjestus'!$C112,KOMBI!$A$11:$A$145,0),MATCH('KSH järjestus'!AJ$3,KOMBI!$A$1:$GI$1,0)),CG$4:CG$138,AJ$2)</f>
        <v>40</v>
      </c>
      <c r="AK112" s="25">
        <f>RANK(INDEX(KOMBI!$A$11:$GI$145,MATCH('KSH järjestus'!$C112,KOMBI!$A$11:$A$145,0),MATCH('KSH järjestus'!AK$3,KOMBI!$A$1:$GI$1,0)),CH$4:CH$138,AK$2)</f>
        <v>67</v>
      </c>
      <c r="AN112" s="25">
        <f>RANK(INDEX(KOMBI!$A$11:$GI$145,MATCH('KSH järjestus'!$C112,KOMBI!$A$11:$A$145,0),MATCH('KSH järjestus'!AN$3,KOMBI!$A$1:$GI$1,0)),CK$4:CK$138,AN$2)</f>
        <v>46</v>
      </c>
      <c r="AO112" s="25">
        <f>RANK(INDEX(KOMBI!$A$11:$GI$145,MATCH('KSH järjestus'!$C112,KOMBI!$A$11:$A$145,0),MATCH('KSH järjestus'!AO$3,KOMBI!$A$1:$GI$1,0)),CL$4:CL$138,AO$2)</f>
        <v>46</v>
      </c>
      <c r="AS112" s="297">
        <f t="shared" si="7"/>
        <v>1108</v>
      </c>
      <c r="AT112" s="25">
        <f t="shared" si="5"/>
        <v>1984</v>
      </c>
      <c r="AU112" s="25">
        <f t="shared" si="6"/>
        <v>59</v>
      </c>
      <c r="AV112" s="295" t="str">
        <f>VLOOKUP(VLOOKUP($AU112,KOMBI!$A:$H,3,FALSE),data!$I$27:$J$29,2,FALSE)</f>
        <v>Mittesekkuv</v>
      </c>
      <c r="AW112" s="295" t="str">
        <f>VLOOKUP(VLOOKUP($AU112,KOMBI!$A:$H,2,FALSE),data!$I$21:$J$23,2,FALSE)</f>
        <v>Vähe-sekkuv</v>
      </c>
      <c r="AX112" s="295" t="str">
        <f>VLOOKUP(VLOOKUP($AU112,KOMBI!$A:$H,5,FALSE),data!$I$39:$J$41,2,FALSE)</f>
        <v>Vähe-sekkuv</v>
      </c>
      <c r="AY112" s="295" t="str">
        <f>VLOOKUP(VLOOKUP($AU112,KOMBI!$A:$H,4,FALSE),data!$I$32:$J$36,2,FALSE)</f>
        <v>PK &amp; UG</v>
      </c>
      <c r="BA112" s="25">
        <f t="array" ref="BA112">INDEX(KOMBI!$A$1:$GI$145,ROW('KSH järjestus'!BA119),MATCH('KSH järjestus'!BA$3,KOMBI!$A$1:$GI$1,0))</f>
        <v>5.3522801186667115</v>
      </c>
      <c r="BB112" s="25">
        <f t="array" ref="BB112">INDEX(KOMBI!$A$1:$GI$145,ROW('KSH järjestus'!BB119),MATCH('KSH järjestus'!BB$3,KOMBI!$A$1:$GI$1,0))</f>
        <v>302.38270358083224</v>
      </c>
      <c r="BC112" s="25">
        <f t="array" aca="1" ref="BC112" ca="1">INDEX(KOMBI!$A$1:$GI$145,ROW('KSH järjestus'!BC119),MATCH('KSH järjestus'!BC$3,KOMBI!$A$1:$GI$1,0))</f>
        <v>79.086342478883765</v>
      </c>
      <c r="BD112" s="25">
        <f t="array" ref="BD112">INDEX(KOMBI!$A$1:$GI$145,ROW('KSH järjestus'!BD119),MATCH('KSH järjestus'!BD$3,KOMBI!$A$1:$GI$1,0))</f>
        <v>-77.297499999999999</v>
      </c>
      <c r="BE112" s="25">
        <f t="array" ref="BE112">INDEX(KOMBI!$A$1:$GI$145,ROW('KSH järjestus'!BE119),MATCH('KSH järjestus'!BE$3,KOMBI!$A$1:$GI$1,0))</f>
        <v>156.38384247888376</v>
      </c>
      <c r="BF112" s="25">
        <f t="array" aca="1" ref="BF112" ca="1">INDEX(KOMBI!$A$1:$GI$145,ROW('KSH järjestus'!BF119),MATCH('KSH järjestus'!BF$3,KOMBI!$A$1:$GI$1,0))</f>
        <v>0</v>
      </c>
      <c r="BG112" s="25">
        <f t="array" ref="BG112">INDEX(KOMBI!$A$1:$GI$145,ROW('KSH järjestus'!BG119),MATCH('KSH järjestus'!BG$3,KOMBI!$A$1:$GI$1,0))</f>
        <v>0.55453127105797051</v>
      </c>
      <c r="BH112" s="25">
        <f t="array" ref="BH112">INDEX(KOMBI!$A$1:$GI$145,ROW('KSH järjestus'!BH119),MATCH('KSH järjestus'!BH$3,KOMBI!$A$1:$GI$1,0))</f>
        <v>90</v>
      </c>
      <c r="BI112" s="25">
        <f t="array" ref="BI112">INDEX(KOMBI!$A$1:$GI$145,ROW('KSH järjestus'!BI119),MATCH('KSH järjestus'!BI$3,KOMBI!$A$1:$GI$1,0))</f>
        <v>1</v>
      </c>
      <c r="BJ112" s="25">
        <f t="array" ref="BJ112">INDEX(KOMBI!$A$1:$GI$145,ROW('KSH järjestus'!BJ119),MATCH('KSH järjestus'!BJ$3,KOMBI!$A$1:$GI$1,0))</f>
        <v>0.27911646586345373</v>
      </c>
      <c r="BK112" s="25">
        <f t="array" ref="BK112">INDEX(KOMBI!$A$1:$GI$145,ROW('KSH järjestus'!BK119),MATCH('KSH järjestus'!BK$3,KOMBI!$A$1:$GI$1,0))</f>
        <v>0.36202470293782418</v>
      </c>
      <c r="BL112" s="25">
        <f t="array" ref="BL112">INDEX(KOMBI!$A$1:$GI$145,ROW('KSH järjestus'!BL119),MATCH('KSH järjestus'!BL$3,KOMBI!$A$1:$GI$1,0))</f>
        <v>1.1727327048324868E-2</v>
      </c>
      <c r="BM112" s="25">
        <f t="array" ref="BM112">INDEX(KOMBI!$A$1:$GI$145,ROW('KSH järjestus'!BM119),MATCH('KSH järjestus'!BM$3,KOMBI!$A$1:$GI$1,0))</f>
        <v>7.4308402775248045E-3</v>
      </c>
      <c r="BN112" s="25">
        <f t="array" ref="BN112">INDEX(KOMBI!$A$1:$GI$145,ROW('KSH järjestus'!BN119),MATCH('KSH järjestus'!BN$3,KOMBI!$A$1:$GI$1,0))</f>
        <v>3.4297111779667822E-3</v>
      </c>
      <c r="BO112" s="25">
        <f t="array" ref="BO112">INDEX(KOMBI!$A$1:$GI$145,ROW('KSH järjestus'!BO119),MATCH('KSH järjestus'!BO$3,KOMBI!$A$1:$GI$1,0))</f>
        <v>8.3698758440176185E-3</v>
      </c>
      <c r="BP112" s="25">
        <f t="array" ref="BP112">INDEX(KOMBI!$A$1:$GI$145,ROW('KSH järjestus'!BP119),MATCH('KSH järjestus'!BP$3,KOMBI!$A$1:$GI$1,0))</f>
        <v>7.7577605777489067</v>
      </c>
      <c r="BQ112" s="25">
        <f t="array" ref="BQ112">INDEX(KOMBI!$A$1:$GI$145,ROW('KSH järjestus'!BQ119),MATCH('KSH järjestus'!BQ$3,KOMBI!$A$1:$GI$1,0))</f>
        <v>9.8089999999999993</v>
      </c>
      <c r="BR112" s="25">
        <f t="array" ref="BR112">INDEX(KOMBI!$A$1:$GI$145,ROW('KSH järjestus'!BR119),MATCH('KSH järjestus'!BR$3,KOMBI!$A$1:$GI$1,0))</f>
        <v>-4.4074108128470596E-2</v>
      </c>
      <c r="BS112" s="25">
        <f t="array" ref="BS112">INDEX(KOMBI!$A$1:$GI$145,ROW('KSH järjestus'!BS119),MATCH('KSH järjestus'!BS$3,KOMBI!$A$1:$GI$1,0))</f>
        <v>-5.1758797517041162E-2</v>
      </c>
      <c r="BT112" s="25">
        <f t="array" ref="BT112">INDEX(KOMBI!$A$1:$GI$145,ROW('KSH järjestus'!BT119),MATCH('KSH järjestus'!BT$3,KOMBI!$A$1:$GI$1,0))</f>
        <v>-6.9358272267420265E-2</v>
      </c>
      <c r="BU112" s="25">
        <f t="array" ref="BU112">INDEX(KOMBI!$A$1:$GI$145,ROW('KSH järjestus'!BU119),MATCH('KSH järjestus'!BU$3,KOMBI!$A$1:$GI$1,0))</f>
        <v>7.5271111109201012</v>
      </c>
      <c r="BV112" s="25">
        <f t="array" ref="BV112">INDEX(KOMBI!$A$1:$GI$145,ROW('KSH järjestus'!BV119),MATCH('KSH järjestus'!BV$3,KOMBI!$A$1:$GI$1,0))</f>
        <v>5.0979999999999999</v>
      </c>
      <c r="BW112" s="25">
        <f t="array" ref="BW112">INDEX(KOMBI!$A$1:$GI$145,ROW('KSH järjestus'!BW119),MATCH('KSH järjestus'!BW$3,KOMBI!$A$1:$GI$1,0))</f>
        <v>1.19688499063732</v>
      </c>
      <c r="BX112" s="25">
        <f t="array" ref="BX112">INDEX(KOMBI!$A$1:$GI$145,ROW('KSH järjestus'!BX119),MATCH('KSH järjestus'!BX$3,KOMBI!$A$1:$GI$1,0))</f>
        <v>17.164578011574537</v>
      </c>
      <c r="BY112" s="25">
        <f t="array" ref="BY112">INDEX(KOMBI!$A$1:$GI$145,ROW('KSH järjestus'!BY119),MATCH('KSH järjestus'!BY$3,KOMBI!$A$1:$GI$1,0))</f>
        <v>11.869077976340797</v>
      </c>
      <c r="BZ112" s="25">
        <f t="array" ref="BZ112">INDEX(KOMBI!$A$1:$GI$145,ROW('KSH järjestus'!BZ119),MATCH('KSH järjestus'!BZ$3,KOMBI!$A$1:$GI$1,0))</f>
        <v>66</v>
      </c>
      <c r="CA112" s="25">
        <f t="array" ref="CA112">INDEX(KOMBI!$A$1:$GI$145,ROW('KSH järjestus'!CA119),MATCH('KSH järjestus'!CA$3,KOMBI!$A$1:$GI$1,0))</f>
        <v>12.875</v>
      </c>
      <c r="CB112" s="25">
        <f t="array" ref="CB112">INDEX(KOMBI!$A$1:$GI$145,ROW('KSH järjestus'!CB119),MATCH('KSH järjestus'!CB$3,KOMBI!$A$1:$GI$1,0))</f>
        <v>58.224722222222226</v>
      </c>
      <c r="CC112" s="25">
        <f t="array" ref="CC112">INDEX(KOMBI!$A$1:$GI$145,ROW('KSH järjestus'!CC119),MATCH('KSH järjestus'!CC$3,KOMBI!$A$1:$GI$1,0))</f>
        <v>4.6585109999999998</v>
      </c>
      <c r="CD112" s="25">
        <f t="array" ref="CD112">INDEX(KOMBI!$A$1:$GI$145,ROW('KSH järjestus'!CD119),MATCH('KSH järjestus'!CD$3,KOMBI!$A$1:$GI$1,0))</f>
        <v>294.39999999999998</v>
      </c>
      <c r="CE112" s="25">
        <f t="array" ref="CE112">INDEX(KOMBI!$A$1:$GI$145,ROW('KSH järjestus'!CE119),MATCH('KSH järjestus'!CE$3,KOMBI!$A$1:$GI$1,0))</f>
        <v>2.8759999999999999</v>
      </c>
      <c r="CF112" s="25">
        <f t="array" ref="CF112">INDEX(KOMBI!$A$1:$GI$145,ROW('KSH järjestus'!CF119),MATCH('KSH järjestus'!CF$3,KOMBI!$A$1:$GI$1,0))</f>
        <v>45.112900516795861</v>
      </c>
      <c r="CG112" s="25">
        <f t="array" ref="CG112">INDEX(KOMBI!$A$1:$GI$145,ROW('KSH järjestus'!CG119),MATCH('KSH järjestus'!CG$3,KOMBI!$A$1:$GI$1,0))</f>
        <v>2.4608217929567841E-2</v>
      </c>
      <c r="CH112" s="25">
        <f t="array" ref="CH112">INDEX(KOMBI!$A$1:$GI$145,ROW('KSH järjestus'!CH119),MATCH('KSH järjestus'!CH$3,KOMBI!$A$1:$GI$1,0))</f>
        <v>0.43983091445120043</v>
      </c>
      <c r="CI112" s="25">
        <f t="array" ref="CI112">INDEX(KOMBI!$A$1:$GI$145,ROW('KSH järjestus'!CI119),MATCH('KSH järjestus'!CI$3,KOMBI!$A$1:$GI$1,0))</f>
        <v>6.28</v>
      </c>
      <c r="CJ112" s="25">
        <f t="array" ref="CJ112">INDEX(KOMBI!$A$1:$GI$145,ROW('KSH järjestus'!CJ119),MATCH('KSH järjestus'!CJ$3,KOMBI!$A$1:$GI$1,0))</f>
        <v>3.6968849906373196</v>
      </c>
      <c r="CK112" s="25">
        <f t="array" ref="CK112">INDEX(KOMBI!$A$1:$GI$145,ROW('KSH järjestus'!CK119),MATCH('KSH järjestus'!CK$3,KOMBI!$A$1:$GI$1,0))</f>
        <v>0.21099999999999999</v>
      </c>
      <c r="CL112" s="25">
        <f t="array" ref="CL112">INDEX(KOMBI!$A$1:$GI$145,ROW('KSH järjestus'!CL119),MATCH('KSH järjestus'!CL$3,KOMBI!$A$1:$GI$1,0))</f>
        <v>0.76300000000000001</v>
      </c>
    </row>
    <row r="113" spans="3:90" x14ac:dyDescent="0.2">
      <c r="C113" s="184">
        <v>110</v>
      </c>
      <c r="G113" s="25">
        <f>RANK(INDEX(KOMBI!$A$11:$GI$145,MATCH('KSH järjestus'!$C113,KOMBI!$A$11:$A$145,0),MATCH('KSH järjestus'!G$3,KOMBI!$A$1:$GI$1,0)),BD$4:BD$138,G$2)</f>
        <v>56</v>
      </c>
      <c r="H113" s="25">
        <f>RANK(INDEX(KOMBI!$A$11:$GI$145,MATCH('KSH järjestus'!$C113,KOMBI!$A$11:$A$145,0),MATCH('KSH järjestus'!H$3,KOMBI!$A$1:$GI$1,0)),BE$4:BE$138,H$2)</f>
        <v>41</v>
      </c>
      <c r="J113" s="25">
        <f>RANK(INDEX(KOMBI!$A$11:$GI$145,MATCH('KSH järjestus'!$C113,KOMBI!$A$11:$A$145,0),MATCH('KSH järjestus'!J$3,KOMBI!$A$1:$GI$1,0)),BG$4:BG$138,J$2)</f>
        <v>46</v>
      </c>
      <c r="M113" s="25">
        <f>RANK(INDEX(KOMBI!$A$11:$GI$145,MATCH('KSH järjestus'!$C113,KOMBI!$A$11:$A$145,0),MATCH('KSH järjestus'!M$3,KOMBI!$A$1:$GI$1,0)),BJ$4:BJ$138,M$2)</f>
        <v>55</v>
      </c>
      <c r="N113" s="25">
        <f>RANK(INDEX(KOMBI!$A$11:$GI$145,MATCH('KSH järjestus'!$C113,KOMBI!$A$11:$A$145,0),MATCH('KSH järjestus'!N$3,KOMBI!$A$1:$GI$1,0)),BK$4:BK$138,N$2)</f>
        <v>61</v>
      </c>
      <c r="O113" s="25">
        <f>RANK(INDEX(KOMBI!$A$11:$GI$145,MATCH('KSH järjestus'!$C113,KOMBI!$A$11:$A$145,0),MATCH('KSH järjestus'!O$3,KOMBI!$A$1:$GI$1,0)),BL$4:BL$138,O$2)</f>
        <v>57</v>
      </c>
      <c r="P113" s="25">
        <f>RANK(INDEX(KOMBI!$A$11:$GI$145,MATCH('KSH järjestus'!$C113,KOMBI!$A$11:$A$145,0),MATCH('KSH järjestus'!P$3,KOMBI!$A$1:$GI$1,0)),BM$4:BM$138,P$2)</f>
        <v>43</v>
      </c>
      <c r="Q113" s="25">
        <f>RANK(INDEX(KOMBI!$A$11:$GI$145,MATCH('KSH järjestus'!$C113,KOMBI!$A$11:$A$145,0),MATCH('KSH järjestus'!Q$3,KOMBI!$A$1:$GI$1,0)),BN$4:BN$138,Q$2)</f>
        <v>45</v>
      </c>
      <c r="R113" s="25">
        <f>RANK(INDEX(KOMBI!$A$11:$GI$145,MATCH('KSH järjestus'!$C113,KOMBI!$A$11:$A$145,0),MATCH('KSH järjestus'!R$3,KOMBI!$A$1:$GI$1,0)),BO$4:BO$138,R$2)</f>
        <v>67</v>
      </c>
      <c r="T113" s="25">
        <f>RANK(INDEX(KOMBI!$A$11:$GI$145,MATCH('KSH järjestus'!$C113,KOMBI!$A$11:$A$145,0),MATCH('KSH järjestus'!T$3,KOMBI!$A$1:$GI$1,0)),BQ$4:BQ$138,T$2)</f>
        <v>19</v>
      </c>
      <c r="U113" s="25">
        <f>RANK(INDEX(KOMBI!$A$11:$GI$145,MATCH('KSH järjestus'!$C113,KOMBI!$A$11:$A$145,0),MATCH('KSH järjestus'!U$3,KOMBI!$A$1:$GI$1,0)),BR$4:BR$138,U$2)</f>
        <v>31</v>
      </c>
      <c r="AA113" s="25">
        <f>RANK(INDEX(KOMBI!$A$11:$GI$145,MATCH('KSH järjestus'!$C113,KOMBI!$A$11:$A$145,0),MATCH('KSH järjestus'!AA$3,KOMBI!$A$1:$GI$1,0)),BX$4:BX$138,AA$2)</f>
        <v>22</v>
      </c>
      <c r="AB113" s="25">
        <f>RANK(INDEX(KOMBI!$A$11:$GI$145,MATCH('KSH järjestus'!$C113,KOMBI!$A$11:$A$145,0),MATCH('KSH järjestus'!AB$3,KOMBI!$A$1:$GI$1,0)),BY$4:BY$138,AB$2)</f>
        <v>55</v>
      </c>
      <c r="AC113" s="25">
        <f>RANK(INDEX(KOMBI!$A$11:$GI$145,MATCH('KSH järjestus'!$C113,KOMBI!$A$11:$A$145,0),MATCH('KSH järjestus'!AC$3,KOMBI!$A$1:$GI$1,0)),BZ$4:BZ$138,AC$2)</f>
        <v>3</v>
      </c>
      <c r="AD113" s="25">
        <f>RANK(INDEX(KOMBI!$A$11:$GI$145,MATCH('KSH järjestus'!$C113,KOMBI!$A$11:$A$145,0),MATCH('KSH järjestus'!AD$3,KOMBI!$A$1:$GI$1,0)),CA$4:CA$138,AD$2)</f>
        <v>38</v>
      </c>
      <c r="AE113" s="25">
        <f>RANK(INDEX(KOMBI!$A$11:$GI$145,MATCH('KSH järjestus'!$C113,KOMBI!$A$11:$A$145,0),MATCH('KSH järjestus'!AE$3,KOMBI!$A$1:$GI$1,0)),CB$4:CB$138,AE$2)</f>
        <v>41</v>
      </c>
      <c r="AG113" s="25">
        <f>RANK(INDEX(KOMBI!$A$11:$GI$145,MATCH('KSH järjestus'!$C113,KOMBI!$A$11:$A$145,0),MATCH('KSH järjestus'!AG$3,KOMBI!$A$1:$GI$1,0)),CD$4:CD$138,AG$2)</f>
        <v>19</v>
      </c>
      <c r="AH113" s="25">
        <f>RANK(INDEX(KOMBI!$A$11:$GI$145,MATCH('KSH järjestus'!$C113,KOMBI!$A$11:$A$145,0),MATCH('KSH järjestus'!AH$3,KOMBI!$A$1:$GI$1,0)),CE$4:CE$138,AH$2)</f>
        <v>46</v>
      </c>
      <c r="AI113" s="25">
        <f>RANK(INDEX(KOMBI!$A$11:$GI$145,MATCH('KSH järjestus'!$C113,KOMBI!$A$11:$A$145,0),MATCH('KSH järjestus'!AI$3,KOMBI!$A$1:$GI$1,0)),CF$4:CF$138,AI$2)</f>
        <v>34</v>
      </c>
      <c r="AJ113" s="25">
        <f>RANK(INDEX(KOMBI!$A$11:$GI$145,MATCH('KSH järjestus'!$C113,KOMBI!$A$11:$A$145,0),MATCH('KSH järjestus'!AJ$3,KOMBI!$A$1:$GI$1,0)),CG$4:CG$138,AJ$2)</f>
        <v>40</v>
      </c>
      <c r="AK113" s="25">
        <f>RANK(INDEX(KOMBI!$A$11:$GI$145,MATCH('KSH järjestus'!$C113,KOMBI!$A$11:$A$145,0),MATCH('KSH järjestus'!AK$3,KOMBI!$A$1:$GI$1,0)),CH$4:CH$138,AK$2)</f>
        <v>67</v>
      </c>
      <c r="AN113" s="25">
        <f>RANK(INDEX(KOMBI!$A$11:$GI$145,MATCH('KSH järjestus'!$C113,KOMBI!$A$11:$A$145,0),MATCH('KSH järjestus'!AN$3,KOMBI!$A$1:$GI$1,0)),CK$4:CK$138,AN$2)</f>
        <v>46</v>
      </c>
      <c r="AO113" s="25">
        <f>RANK(INDEX(KOMBI!$A$11:$GI$145,MATCH('KSH järjestus'!$C113,KOMBI!$A$11:$A$145,0),MATCH('KSH järjestus'!AO$3,KOMBI!$A$1:$GI$1,0)),CL$4:CL$138,AO$2)</f>
        <v>46</v>
      </c>
      <c r="AS113" s="297">
        <f t="shared" si="7"/>
        <v>978</v>
      </c>
      <c r="AT113" s="25">
        <f t="shared" si="5"/>
        <v>1986</v>
      </c>
      <c r="AU113" s="25">
        <f t="shared" si="6"/>
        <v>28</v>
      </c>
      <c r="AV113" s="295" t="str">
        <f>VLOOKUP(VLOOKUP($AU113,KOMBI!$A:$H,3,FALSE),data!$I$27:$J$29,2,FALSE)</f>
        <v>Vähe-sekkuv</v>
      </c>
      <c r="AW113" s="295" t="str">
        <f>VLOOKUP(VLOOKUP($AU113,KOMBI!$A:$H,2,FALSE),data!$I$21:$J$23,2,FALSE)</f>
        <v>Mittesekkuv</v>
      </c>
      <c r="AX113" s="295" t="str">
        <f>VLOOKUP(VLOOKUP($AU113,KOMBI!$A:$H,5,FALSE),data!$I$39:$J$41,2,FALSE)</f>
        <v>Mittesekkuv</v>
      </c>
      <c r="AY113" s="295" t="str">
        <f>VLOOKUP(VLOOKUP($AU113,KOMBI!$A:$H,4,FALSE),data!$I$32:$J$36,2,FALSE)</f>
        <v>PK &amp; UG</v>
      </c>
      <c r="BA113" s="25">
        <f t="array" ref="BA113">INDEX(KOMBI!$A$1:$GI$145,ROW('KSH järjestus'!BA120),MATCH('KSH järjestus'!BA$3,KOMBI!$A$1:$GI$1,0))</f>
        <v>6.268191767312552</v>
      </c>
      <c r="BB113" s="25">
        <f t="array" ref="BB113">INDEX(KOMBI!$A$1:$GI$145,ROW('KSH järjestus'!BB120),MATCH('KSH järjestus'!BB$3,KOMBI!$A$1:$GI$1,0))</f>
        <v>462.86273585009548</v>
      </c>
      <c r="BC113" s="25">
        <f t="array" aca="1" ref="BC113" ca="1">INDEX(KOMBI!$A$1:$GI$145,ROW('KSH järjestus'!BC120),MATCH('KSH järjestus'!BC$3,KOMBI!$A$1:$GI$1,0))</f>
        <v>108.25166450741885</v>
      </c>
      <c r="BD113" s="25">
        <f t="array" ref="BD113">INDEX(KOMBI!$A$1:$GI$145,ROW('KSH järjestus'!BD120),MATCH('KSH järjestus'!BD$3,KOMBI!$A$1:$GI$1,0))</f>
        <v>-92.530719880632105</v>
      </c>
      <c r="BE113" s="25">
        <f t="array" ref="BE113">INDEX(KOMBI!$A$1:$GI$145,ROW('KSH järjestus'!BE120),MATCH('KSH järjestus'!BE$3,KOMBI!$A$1:$GI$1,0))</f>
        <v>200.78238438805096</v>
      </c>
      <c r="BF113" s="25">
        <f t="array" aca="1" ref="BF113" ca="1">INDEX(KOMBI!$A$1:$GI$145,ROW('KSH järjestus'!BF120),MATCH('KSH järjestus'!BF$3,KOMBI!$A$1:$GI$1,0))</f>
        <v>0</v>
      </c>
      <c r="BG113" s="25">
        <f t="array" ref="BG113">INDEX(KOMBI!$A$1:$GI$145,ROW('KSH järjestus'!BG120),MATCH('KSH järjestus'!BG$3,KOMBI!$A$1:$GI$1,0))</f>
        <v>0.50749407362778964</v>
      </c>
      <c r="BH113" s="25">
        <f t="array" ref="BH113">INDEX(KOMBI!$A$1:$GI$145,ROW('KSH järjestus'!BH120),MATCH('KSH järjestus'!BH$3,KOMBI!$A$1:$GI$1,0))</f>
        <v>90</v>
      </c>
      <c r="BI113" s="25">
        <f t="array" ref="BI113">INDEX(KOMBI!$A$1:$GI$145,ROW('KSH järjestus'!BI120),MATCH('KSH järjestus'!BI$3,KOMBI!$A$1:$GI$1,0))</f>
        <v>0.72887234460741657</v>
      </c>
      <c r="BJ113" s="25">
        <f t="array" ref="BJ113">INDEX(KOMBI!$A$1:$GI$145,ROW('KSH järjestus'!BJ120),MATCH('KSH järjestus'!BJ$3,KOMBI!$A$1:$GI$1,0))</f>
        <v>0.27911646586345373</v>
      </c>
      <c r="BK113" s="25">
        <f t="array" ref="BK113">INDEX(KOMBI!$A$1:$GI$145,ROW('KSH järjestus'!BK120),MATCH('KSH järjestus'!BK$3,KOMBI!$A$1:$GI$1,0))</f>
        <v>0.36202470293782418</v>
      </c>
      <c r="BL113" s="25">
        <f t="array" ref="BL113">INDEX(KOMBI!$A$1:$GI$145,ROW('KSH järjestus'!BL120),MATCH('KSH järjestus'!BL$3,KOMBI!$A$1:$GI$1,0))</f>
        <v>1.8009720134747196E-2</v>
      </c>
      <c r="BM113" s="25">
        <f t="array" ref="BM113">INDEX(KOMBI!$A$1:$GI$145,ROW('KSH järjestus'!BM120),MATCH('KSH järjestus'!BM$3,KOMBI!$A$1:$GI$1,0))</f>
        <v>4.7377874281091898E-3</v>
      </c>
      <c r="BN113" s="25">
        <f t="array" ref="BN113">INDEX(KOMBI!$A$1:$GI$145,ROW('KSH järjestus'!BN120),MATCH('KSH järjestus'!BN$3,KOMBI!$A$1:$GI$1,0))</f>
        <v>5.9225810393246092E-3</v>
      </c>
      <c r="BO113" s="25">
        <f t="array" ref="BO113">INDEX(KOMBI!$A$1:$GI$145,ROW('KSH järjestus'!BO120),MATCH('KSH järjestus'!BO$3,KOMBI!$A$1:$GI$1,0))</f>
        <v>1.2194762387894445E-2</v>
      </c>
      <c r="BP113" s="25">
        <f t="array" ref="BP113">INDEX(KOMBI!$A$1:$GI$145,ROW('KSH järjestus'!BP120),MATCH('KSH järjestus'!BP$3,KOMBI!$A$1:$GI$1,0))</f>
        <v>7.7577605777489067</v>
      </c>
      <c r="BQ113" s="25">
        <f t="array" ref="BQ113">INDEX(KOMBI!$A$1:$GI$145,ROW('KSH järjestus'!BQ120),MATCH('KSH järjestus'!BQ$3,KOMBI!$A$1:$GI$1,0))</f>
        <v>9.9</v>
      </c>
      <c r="BR113" s="25">
        <f t="array" ref="BR113">INDEX(KOMBI!$A$1:$GI$145,ROW('KSH järjestus'!BR120),MATCH('KSH järjestus'!BR$3,KOMBI!$A$1:$GI$1,0))</f>
        <v>-3.9840309117205874E-2</v>
      </c>
      <c r="BS113" s="25">
        <f t="array" ref="BS113">INDEX(KOMBI!$A$1:$GI$145,ROW('KSH järjestus'!BS120),MATCH('KSH järjestus'!BS$3,KOMBI!$A$1:$GI$1,0))</f>
        <v>-5.0425185297405604E-2</v>
      </c>
      <c r="BT113" s="25">
        <f t="array" ref="BT113">INDEX(KOMBI!$A$1:$GI$145,ROW('KSH järjestus'!BT120),MATCH('KSH järjestus'!BT$3,KOMBI!$A$1:$GI$1,0))</f>
        <v>-6.8259309468026302E-2</v>
      </c>
      <c r="BU113" s="25">
        <f t="array" ref="BU113">INDEX(KOMBI!$A$1:$GI$145,ROW('KSH järjestus'!BU120),MATCH('KSH järjestus'!BU$3,KOMBI!$A$1:$GI$1,0))</f>
        <v>7.5271111109201012</v>
      </c>
      <c r="BV113" s="25">
        <f t="array" ref="BV113">INDEX(KOMBI!$A$1:$GI$145,ROW('KSH järjestus'!BV120),MATCH('KSH järjestus'!BV$3,KOMBI!$A$1:$GI$1,0))</f>
        <v>5.0979999999999999</v>
      </c>
      <c r="BW113" s="25">
        <f t="array" ref="BW113">INDEX(KOMBI!$A$1:$GI$145,ROW('KSH järjestus'!BW120),MATCH('KSH järjestus'!BW$3,KOMBI!$A$1:$GI$1,0))</f>
        <v>1.57438499063732</v>
      </c>
      <c r="BX113" s="25">
        <f t="array" ref="BX113">INDEX(KOMBI!$A$1:$GI$145,ROW('KSH järjestus'!BX120),MATCH('KSH järjestus'!BX$3,KOMBI!$A$1:$GI$1,0))</f>
        <v>17.164578011574537</v>
      </c>
      <c r="BY113" s="25">
        <f t="array" ref="BY113">INDEX(KOMBI!$A$1:$GI$145,ROW('KSH järjestus'!BY120),MATCH('KSH järjestus'!BY$3,KOMBI!$A$1:$GI$1,0))</f>
        <v>11.869077976340797</v>
      </c>
      <c r="BZ113" s="25">
        <f t="array" ref="BZ113">INDEX(KOMBI!$A$1:$GI$145,ROW('KSH järjestus'!BZ120),MATCH('KSH järjestus'!BZ$3,KOMBI!$A$1:$GI$1,0))</f>
        <v>66.400000000000006</v>
      </c>
      <c r="CA113" s="25">
        <f t="array" ref="CA113">INDEX(KOMBI!$A$1:$GI$145,ROW('KSH järjestus'!CA120),MATCH('KSH järjestus'!CA$3,KOMBI!$A$1:$GI$1,0))</f>
        <v>12.964</v>
      </c>
      <c r="CB113" s="25">
        <f t="array" ref="CB113">INDEX(KOMBI!$A$1:$GI$145,ROW('KSH järjestus'!CB120),MATCH('KSH järjestus'!CB$3,KOMBI!$A$1:$GI$1,0))</f>
        <v>58.564999999999998</v>
      </c>
      <c r="CC113" s="25">
        <f t="array" ref="CC113">INDEX(KOMBI!$A$1:$GI$145,ROW('KSH järjestus'!CC120),MATCH('KSH järjestus'!CC$3,KOMBI!$A$1:$GI$1,0))</f>
        <v>4.6918030000000002</v>
      </c>
      <c r="CD113" s="25">
        <f t="array" ref="CD113">INDEX(KOMBI!$A$1:$GI$145,ROW('KSH järjestus'!CD120),MATCH('KSH järjestus'!CD$3,KOMBI!$A$1:$GI$1,0))</f>
        <v>294.39999999999998</v>
      </c>
      <c r="CE113" s="25">
        <f t="array" ref="CE113">INDEX(KOMBI!$A$1:$GI$145,ROW('KSH järjestus'!CE120),MATCH('KSH järjestus'!CE$3,KOMBI!$A$1:$GI$1,0))</f>
        <v>2.8759999999999999</v>
      </c>
      <c r="CF113" s="25">
        <f t="array" ref="CF113">INDEX(KOMBI!$A$1:$GI$145,ROW('KSH järjestus'!CF120),MATCH('KSH järjestus'!CF$3,KOMBI!$A$1:$GI$1,0))</f>
        <v>45.112900516795861</v>
      </c>
      <c r="CG113" s="25">
        <f t="array" ref="CG113">INDEX(KOMBI!$A$1:$GI$145,ROW('KSH järjestus'!CG120),MATCH('KSH järjestus'!CG$3,KOMBI!$A$1:$GI$1,0))</f>
        <v>2.4608217929567841E-2</v>
      </c>
      <c r="CH113" s="25">
        <f t="array" ref="CH113">INDEX(KOMBI!$A$1:$GI$145,ROW('KSH järjestus'!CH120),MATCH('KSH järjestus'!CH$3,KOMBI!$A$1:$GI$1,0))</f>
        <v>0.43983091445120043</v>
      </c>
      <c r="CI113" s="25">
        <f t="array" ref="CI113">INDEX(KOMBI!$A$1:$GI$145,ROW('KSH järjestus'!CI120),MATCH('KSH järjestus'!CI$3,KOMBI!$A$1:$GI$1,0))</f>
        <v>6.28</v>
      </c>
      <c r="CJ113" s="25">
        <f t="array" ref="CJ113">INDEX(KOMBI!$A$1:$GI$145,ROW('KSH järjestus'!CJ120),MATCH('KSH järjestus'!CJ$3,KOMBI!$A$1:$GI$1,0))</f>
        <v>3.6968849906373196</v>
      </c>
      <c r="CK113" s="25">
        <f t="array" ref="CK113">INDEX(KOMBI!$A$1:$GI$145,ROW('KSH järjestus'!CK120),MATCH('KSH järjestus'!CK$3,KOMBI!$A$1:$GI$1,0))</f>
        <v>0.21099999999999999</v>
      </c>
      <c r="CL113" s="25">
        <f t="array" ref="CL113">INDEX(KOMBI!$A$1:$GI$145,ROW('KSH järjestus'!CL120),MATCH('KSH järjestus'!CL$3,KOMBI!$A$1:$GI$1,0))</f>
        <v>0.76300000000000001</v>
      </c>
    </row>
    <row r="114" spans="3:90" x14ac:dyDescent="0.2">
      <c r="C114" s="184">
        <v>111</v>
      </c>
      <c r="G114" s="25">
        <f>RANK(INDEX(KOMBI!$A$11:$GI$145,MATCH('KSH järjestus'!$C114,KOMBI!$A$11:$A$145,0),MATCH('KSH järjestus'!G$3,KOMBI!$A$1:$GI$1,0)),BD$4:BD$138,G$2)</f>
        <v>46</v>
      </c>
      <c r="H114" s="25">
        <f>RANK(INDEX(KOMBI!$A$11:$GI$145,MATCH('KSH järjestus'!$C114,KOMBI!$A$11:$A$145,0),MATCH('KSH järjestus'!H$3,KOMBI!$A$1:$GI$1,0)),BE$4:BE$138,H$2)</f>
        <v>22</v>
      </c>
      <c r="J114" s="25">
        <f>RANK(INDEX(KOMBI!$A$11:$GI$145,MATCH('KSH järjestus'!$C114,KOMBI!$A$11:$A$145,0),MATCH('KSH järjestus'!J$3,KOMBI!$A$1:$GI$1,0)),BG$4:BG$138,J$2)</f>
        <v>46</v>
      </c>
      <c r="M114" s="25">
        <f>RANK(INDEX(KOMBI!$A$11:$GI$145,MATCH('KSH järjestus'!$C114,KOMBI!$A$11:$A$145,0),MATCH('KSH järjestus'!M$3,KOMBI!$A$1:$GI$1,0)),BJ$4:BJ$138,M$2)</f>
        <v>55</v>
      </c>
      <c r="N114" s="25">
        <f>RANK(INDEX(KOMBI!$A$11:$GI$145,MATCH('KSH järjestus'!$C114,KOMBI!$A$11:$A$145,0),MATCH('KSH järjestus'!N$3,KOMBI!$A$1:$GI$1,0)),BK$4:BK$138,N$2)</f>
        <v>61</v>
      </c>
      <c r="O114" s="25">
        <f>RANK(INDEX(KOMBI!$A$11:$GI$145,MATCH('KSH järjestus'!$C114,KOMBI!$A$11:$A$145,0),MATCH('KSH järjestus'!O$3,KOMBI!$A$1:$GI$1,0)),BL$4:BL$138,O$2)</f>
        <v>31</v>
      </c>
      <c r="P114" s="25">
        <f>RANK(INDEX(KOMBI!$A$11:$GI$145,MATCH('KSH järjestus'!$C114,KOMBI!$A$11:$A$145,0),MATCH('KSH järjestus'!P$3,KOMBI!$A$1:$GI$1,0)),BM$4:BM$138,P$2)</f>
        <v>42</v>
      </c>
      <c r="Q114" s="25">
        <f>RANK(INDEX(KOMBI!$A$11:$GI$145,MATCH('KSH järjestus'!$C114,KOMBI!$A$11:$A$145,0),MATCH('KSH järjestus'!Q$3,KOMBI!$A$1:$GI$1,0)),BN$4:BN$138,Q$2)</f>
        <v>35</v>
      </c>
      <c r="R114" s="25">
        <f>RANK(INDEX(KOMBI!$A$11:$GI$145,MATCH('KSH järjestus'!$C114,KOMBI!$A$11:$A$145,0),MATCH('KSH järjestus'!R$3,KOMBI!$A$1:$GI$1,0)),BO$4:BO$138,R$2)</f>
        <v>33</v>
      </c>
      <c r="T114" s="25">
        <f>RANK(INDEX(KOMBI!$A$11:$GI$145,MATCH('KSH järjestus'!$C114,KOMBI!$A$11:$A$145,0),MATCH('KSH järjestus'!T$3,KOMBI!$A$1:$GI$1,0)),BQ$4:BQ$138,T$2)</f>
        <v>29</v>
      </c>
      <c r="U114" s="25">
        <f>RANK(INDEX(KOMBI!$A$11:$GI$145,MATCH('KSH järjestus'!$C114,KOMBI!$A$11:$A$145,0),MATCH('KSH järjestus'!U$3,KOMBI!$A$1:$GI$1,0)),BR$4:BR$138,U$2)</f>
        <v>40</v>
      </c>
      <c r="AA114" s="25">
        <f>RANK(INDEX(KOMBI!$A$11:$GI$145,MATCH('KSH järjestus'!$C114,KOMBI!$A$11:$A$145,0),MATCH('KSH järjestus'!AA$3,KOMBI!$A$1:$GI$1,0)),BX$4:BX$138,AA$2)</f>
        <v>22</v>
      </c>
      <c r="AB114" s="25">
        <f>RANK(INDEX(KOMBI!$A$11:$GI$145,MATCH('KSH järjestus'!$C114,KOMBI!$A$11:$A$145,0),MATCH('KSH järjestus'!AB$3,KOMBI!$A$1:$GI$1,0)),BY$4:BY$138,AB$2)</f>
        <v>55</v>
      </c>
      <c r="AC114" s="25">
        <f>RANK(INDEX(KOMBI!$A$11:$GI$145,MATCH('KSH järjestus'!$C114,KOMBI!$A$11:$A$145,0),MATCH('KSH järjestus'!AC$3,KOMBI!$A$1:$GI$1,0)),BZ$4:BZ$138,AC$2)</f>
        <v>11</v>
      </c>
      <c r="AD114" s="25">
        <f>RANK(INDEX(KOMBI!$A$11:$GI$145,MATCH('KSH järjestus'!$C114,KOMBI!$A$11:$A$145,0),MATCH('KSH järjestus'!AD$3,KOMBI!$A$1:$GI$1,0)),CA$4:CA$138,AD$2)</f>
        <v>44</v>
      </c>
      <c r="AE114" s="25">
        <f>RANK(INDEX(KOMBI!$A$11:$GI$145,MATCH('KSH järjestus'!$C114,KOMBI!$A$11:$A$145,0),MATCH('KSH järjestus'!AE$3,KOMBI!$A$1:$GI$1,0)),CB$4:CB$138,AE$2)</f>
        <v>44</v>
      </c>
      <c r="AG114" s="25">
        <f>RANK(INDEX(KOMBI!$A$11:$GI$145,MATCH('KSH järjestus'!$C114,KOMBI!$A$11:$A$145,0),MATCH('KSH järjestus'!AG$3,KOMBI!$A$1:$GI$1,0)),CD$4:CD$138,AG$2)</f>
        <v>19</v>
      </c>
      <c r="AH114" s="25">
        <f>RANK(INDEX(KOMBI!$A$11:$GI$145,MATCH('KSH järjestus'!$C114,KOMBI!$A$11:$A$145,0),MATCH('KSH järjestus'!AH$3,KOMBI!$A$1:$GI$1,0)),CE$4:CE$138,AH$2)</f>
        <v>46</v>
      </c>
      <c r="AI114" s="25">
        <f>RANK(INDEX(KOMBI!$A$11:$GI$145,MATCH('KSH järjestus'!$C114,KOMBI!$A$11:$A$145,0),MATCH('KSH järjestus'!AI$3,KOMBI!$A$1:$GI$1,0)),CF$4:CF$138,AI$2)</f>
        <v>34</v>
      </c>
      <c r="AJ114" s="25">
        <f>RANK(INDEX(KOMBI!$A$11:$GI$145,MATCH('KSH järjestus'!$C114,KOMBI!$A$11:$A$145,0),MATCH('KSH järjestus'!AJ$3,KOMBI!$A$1:$GI$1,0)),CG$4:CG$138,AJ$2)</f>
        <v>40</v>
      </c>
      <c r="AK114" s="25">
        <f>RANK(INDEX(KOMBI!$A$11:$GI$145,MATCH('KSH järjestus'!$C114,KOMBI!$A$11:$A$145,0),MATCH('KSH järjestus'!AK$3,KOMBI!$A$1:$GI$1,0)),CH$4:CH$138,AK$2)</f>
        <v>67</v>
      </c>
      <c r="AN114" s="25">
        <f>RANK(INDEX(KOMBI!$A$11:$GI$145,MATCH('KSH järjestus'!$C114,KOMBI!$A$11:$A$145,0),MATCH('KSH järjestus'!AN$3,KOMBI!$A$1:$GI$1,0)),CK$4:CK$138,AN$2)</f>
        <v>46</v>
      </c>
      <c r="AO114" s="25">
        <f>RANK(INDEX(KOMBI!$A$11:$GI$145,MATCH('KSH järjestus'!$C114,KOMBI!$A$11:$A$145,0),MATCH('KSH järjestus'!AO$3,KOMBI!$A$1:$GI$1,0)),CL$4:CL$138,AO$2)</f>
        <v>46</v>
      </c>
      <c r="AS114" s="297">
        <f t="shared" si="7"/>
        <v>914</v>
      </c>
      <c r="AT114" s="25">
        <f t="shared" si="5"/>
        <v>1991</v>
      </c>
      <c r="AU114" s="25">
        <f t="shared" si="6"/>
        <v>48</v>
      </c>
      <c r="AV114" s="295" t="str">
        <f>VLOOKUP(VLOOKUP($AU114,KOMBI!$A:$H,3,FALSE),data!$I$27:$J$29,2,FALSE)</f>
        <v>Mittesekkuv</v>
      </c>
      <c r="AW114" s="295" t="str">
        <f>VLOOKUP(VLOOKUP($AU114,KOMBI!$A:$H,2,FALSE),data!$I$21:$J$23,2,FALSE)</f>
        <v>Vähe-sekkuv</v>
      </c>
      <c r="AX114" s="295" t="str">
        <f>VLOOKUP(VLOOKUP($AU114,KOMBI!$A:$H,5,FALSE),data!$I$39:$J$41,2,FALSE)</f>
        <v>Sekkuv</v>
      </c>
      <c r="AY114" s="295" t="str">
        <f>VLOOKUP(VLOOKUP($AU114,KOMBI!$A:$H,4,FALSE),data!$I$32:$J$36,2,FALSE)</f>
        <v>LIB</v>
      </c>
      <c r="BA114" s="25">
        <f t="array" ref="BA114">INDEX(KOMBI!$A$1:$GI$145,ROW('KSH järjestus'!BA121),MATCH('KSH järjestus'!BA$3,KOMBI!$A$1:$GI$1,0))</f>
        <v>7.1732914895540798</v>
      </c>
      <c r="BB114" s="25">
        <f t="array" ref="BB114">INDEX(KOMBI!$A$1:$GI$145,ROW('KSH järjestus'!BB121),MATCH('KSH järjestus'!BB$3,KOMBI!$A$1:$GI$1,0))</f>
        <v>579.47352686757472</v>
      </c>
      <c r="BC114" s="25">
        <f t="array" aca="1" ref="BC114" ca="1">INDEX(KOMBI!$A$1:$GI$145,ROW('KSH järjestus'!BC121),MATCH('KSH järjestus'!BC$3,KOMBI!$A$1:$GI$1,0))</f>
        <v>124.80607886650378</v>
      </c>
      <c r="BD114" s="25">
        <f t="array" ref="BD114">INDEX(KOMBI!$A$1:$GI$145,ROW('KSH järjestus'!BD121),MATCH('KSH järjestus'!BD$3,KOMBI!$A$1:$GI$1,0))</f>
        <v>-111.63831369909104</v>
      </c>
      <c r="BE114" s="25">
        <f t="array" ref="BE114">INDEX(KOMBI!$A$1:$GI$145,ROW('KSH järjestus'!BE121),MATCH('KSH järjestus'!BE$3,KOMBI!$A$1:$GI$1,0))</f>
        <v>236.44439256559482</v>
      </c>
      <c r="BF114" s="25">
        <f t="array" aca="1" ref="BF114" ca="1">INDEX(KOMBI!$A$1:$GI$145,ROW('KSH järjestus'!BF121),MATCH('KSH järjestus'!BF$3,KOMBI!$A$1:$GI$1,0))</f>
        <v>0</v>
      </c>
      <c r="BG114" s="25">
        <f t="array" ref="BG114">INDEX(KOMBI!$A$1:$GI$145,ROW('KSH järjestus'!BG121),MATCH('KSH järjestus'!BG$3,KOMBI!$A$1:$GI$1,0))</f>
        <v>0.50749407362778964</v>
      </c>
      <c r="BH114" s="25">
        <f t="array" ref="BH114">INDEX(KOMBI!$A$1:$GI$145,ROW('KSH järjestus'!BH121),MATCH('KSH järjestus'!BH$3,KOMBI!$A$1:$GI$1,0))</f>
        <v>90</v>
      </c>
      <c r="BI114" s="25">
        <f t="array" ref="BI114">INDEX(KOMBI!$A$1:$GI$145,ROW('KSH järjestus'!BI121),MATCH('KSH järjestus'!BI$3,KOMBI!$A$1:$GI$1,0))</f>
        <v>0.72887234460741646</v>
      </c>
      <c r="BJ114" s="25">
        <f t="array" ref="BJ114">INDEX(KOMBI!$A$1:$GI$145,ROW('KSH järjestus'!BJ121),MATCH('KSH järjestus'!BJ$3,KOMBI!$A$1:$GI$1,0))</f>
        <v>0.27911646586345373</v>
      </c>
      <c r="BK114" s="25">
        <f t="array" ref="BK114">INDEX(KOMBI!$A$1:$GI$145,ROW('KSH järjestus'!BK121),MATCH('KSH järjestus'!BK$3,KOMBI!$A$1:$GI$1,0))</f>
        <v>0.36202470293782418</v>
      </c>
      <c r="BL114" s="25">
        <f t="array" ref="BL114">INDEX(KOMBI!$A$1:$GI$145,ROW('KSH järjestus'!BL121),MATCH('KSH järjestus'!BL$3,KOMBI!$A$1:$GI$1,0))</f>
        <v>2.2660775512993715E-2</v>
      </c>
      <c r="BM114" s="25">
        <f t="array" ref="BM114">INDEX(KOMBI!$A$1:$GI$145,ROW('KSH järjestus'!BM121),MATCH('KSH järjestus'!BM$3,KOMBI!$A$1:$GI$1,0))</f>
        <v>4.7505531551505767E-3</v>
      </c>
      <c r="BN114" s="25">
        <f t="array" ref="BN114">INDEX(KOMBI!$A$1:$GI$145,ROW('KSH järjestus'!BN121),MATCH('KSH järjestus'!BN$3,KOMBI!$A$1:$GI$1,0))</f>
        <v>7.25337087537134E-3</v>
      </c>
      <c r="BO114" s="25">
        <f t="array" ref="BO114">INDEX(KOMBI!$A$1:$GI$145,ROW('KSH järjestus'!BO121),MATCH('KSH järjestus'!BO$3,KOMBI!$A$1:$GI$1,0))</f>
        <v>1.55886258360593E-2</v>
      </c>
      <c r="BP114" s="25">
        <f t="array" ref="BP114">INDEX(KOMBI!$A$1:$GI$145,ROW('KSH järjestus'!BP121),MATCH('KSH järjestus'!BP$3,KOMBI!$A$1:$GI$1,0))</f>
        <v>7.7577605777489067</v>
      </c>
      <c r="BQ114" s="25">
        <f t="array" ref="BQ114">INDEX(KOMBI!$A$1:$GI$145,ROW('KSH järjestus'!BQ121),MATCH('KSH järjestus'!BQ$3,KOMBI!$A$1:$GI$1,0))</f>
        <v>10.124000000000001</v>
      </c>
      <c r="BR114" s="25">
        <f t="array" ref="BR114">INDEX(KOMBI!$A$1:$GI$145,ROW('KSH järjestus'!BR121),MATCH('KSH järjestus'!BR$3,KOMBI!$A$1:$GI$1,0))</f>
        <v>-3.586082198675998E-2</v>
      </c>
      <c r="BS114" s="25">
        <f t="array" ref="BS114">INDEX(KOMBI!$A$1:$GI$145,ROW('KSH järjestus'!BS121),MATCH('KSH järjestus'!BS$3,KOMBI!$A$1:$GI$1,0))</f>
        <v>-4.9166025381117154E-2</v>
      </c>
      <c r="BT114" s="25">
        <f t="array" ref="BT114">INDEX(KOMBI!$A$1:$GI$145,ROW('KSH järjestus'!BT121),MATCH('KSH järjestus'!BT$3,KOMBI!$A$1:$GI$1,0))</f>
        <v>-6.6798590494800053E-2</v>
      </c>
      <c r="BU114" s="25">
        <f t="array" ref="BU114">INDEX(KOMBI!$A$1:$GI$145,ROW('KSH järjestus'!BU121),MATCH('KSH järjestus'!BU$3,KOMBI!$A$1:$GI$1,0))</f>
        <v>7.5271111109201012</v>
      </c>
      <c r="BV114" s="25">
        <f t="array" ref="BV114">INDEX(KOMBI!$A$1:$GI$145,ROW('KSH järjestus'!BV121),MATCH('KSH järjestus'!BV$3,KOMBI!$A$1:$GI$1,0))</f>
        <v>5.0979999999999999</v>
      </c>
      <c r="BW114" s="25">
        <f t="array" ref="BW114">INDEX(KOMBI!$A$1:$GI$145,ROW('KSH järjestus'!BW121),MATCH('KSH järjestus'!BW$3,KOMBI!$A$1:$GI$1,0))</f>
        <v>1.7830849906373201</v>
      </c>
      <c r="BX114" s="25">
        <f t="array" ref="BX114">INDEX(KOMBI!$A$1:$GI$145,ROW('KSH järjestus'!BX121),MATCH('KSH järjestus'!BX$3,KOMBI!$A$1:$GI$1,0))</f>
        <v>17.164578011574537</v>
      </c>
      <c r="BY114" s="25">
        <f t="array" ref="BY114">INDEX(KOMBI!$A$1:$GI$145,ROW('KSH järjestus'!BY121),MATCH('KSH järjestus'!BY$3,KOMBI!$A$1:$GI$1,0))</f>
        <v>11.869077976340797</v>
      </c>
      <c r="BZ114" s="25">
        <f t="array" ref="BZ114">INDEX(KOMBI!$A$1:$GI$145,ROW('KSH järjestus'!BZ121),MATCH('KSH järjestus'!BZ$3,KOMBI!$A$1:$GI$1,0))</f>
        <v>68</v>
      </c>
      <c r="CA114" s="25">
        <f t="array" ref="CA114">INDEX(KOMBI!$A$1:$GI$145,ROW('KSH järjestus'!CA121),MATCH('KSH järjestus'!CA$3,KOMBI!$A$1:$GI$1,0))</f>
        <v>13.215999999999999</v>
      </c>
      <c r="CB114" s="25">
        <f t="array" ref="CB114">INDEX(KOMBI!$A$1:$GI$145,ROW('KSH järjestus'!CB121),MATCH('KSH järjestus'!CB$3,KOMBI!$A$1:$GI$1,0))</f>
        <v>59.473055555555554</v>
      </c>
      <c r="CC114" s="25">
        <f t="array" ref="CC114">INDEX(KOMBI!$A$1:$GI$145,ROW('KSH järjestus'!CC121),MATCH('KSH järjestus'!CC$3,KOMBI!$A$1:$GI$1,0))</f>
        <v>4.7851480000000004</v>
      </c>
      <c r="CD114" s="25">
        <f t="array" ref="CD114">INDEX(KOMBI!$A$1:$GI$145,ROW('KSH järjestus'!CD121),MATCH('KSH järjestus'!CD$3,KOMBI!$A$1:$GI$1,0))</f>
        <v>294.39999999999998</v>
      </c>
      <c r="CE114" s="25">
        <f t="array" ref="CE114">INDEX(KOMBI!$A$1:$GI$145,ROW('KSH järjestus'!CE121),MATCH('KSH järjestus'!CE$3,KOMBI!$A$1:$GI$1,0))</f>
        <v>2.8759999999999999</v>
      </c>
      <c r="CF114" s="25">
        <f t="array" ref="CF114">INDEX(KOMBI!$A$1:$GI$145,ROW('KSH järjestus'!CF121),MATCH('KSH järjestus'!CF$3,KOMBI!$A$1:$GI$1,0))</f>
        <v>45.112900516795861</v>
      </c>
      <c r="CG114" s="25">
        <f t="array" ref="CG114">INDEX(KOMBI!$A$1:$GI$145,ROW('KSH järjestus'!CG121),MATCH('KSH järjestus'!CG$3,KOMBI!$A$1:$GI$1,0))</f>
        <v>2.4608217929567841E-2</v>
      </c>
      <c r="CH114" s="25">
        <f t="array" ref="CH114">INDEX(KOMBI!$A$1:$GI$145,ROW('KSH järjestus'!CH121),MATCH('KSH järjestus'!CH$3,KOMBI!$A$1:$GI$1,0))</f>
        <v>0.43983091445120043</v>
      </c>
      <c r="CI114" s="25">
        <f t="array" ref="CI114">INDEX(KOMBI!$A$1:$GI$145,ROW('KSH järjestus'!CI121),MATCH('KSH järjestus'!CI$3,KOMBI!$A$1:$GI$1,0))</f>
        <v>6.28</v>
      </c>
      <c r="CJ114" s="25">
        <f t="array" ref="CJ114">INDEX(KOMBI!$A$1:$GI$145,ROW('KSH järjestus'!CJ121),MATCH('KSH järjestus'!CJ$3,KOMBI!$A$1:$GI$1,0))</f>
        <v>3.6968849906373196</v>
      </c>
      <c r="CK114" s="25">
        <f t="array" ref="CK114">INDEX(KOMBI!$A$1:$GI$145,ROW('KSH järjestus'!CK121),MATCH('KSH järjestus'!CK$3,KOMBI!$A$1:$GI$1,0))</f>
        <v>0.21099999999999999</v>
      </c>
      <c r="CL114" s="25">
        <f t="array" ref="CL114">INDEX(KOMBI!$A$1:$GI$145,ROW('KSH järjestus'!CL121),MATCH('KSH järjestus'!CL$3,KOMBI!$A$1:$GI$1,0))</f>
        <v>0.76300000000000001</v>
      </c>
    </row>
    <row r="115" spans="3:90" x14ac:dyDescent="0.2">
      <c r="C115" s="184">
        <v>112</v>
      </c>
      <c r="G115" s="25">
        <f>RANK(INDEX(KOMBI!$A$11:$GI$145,MATCH('KSH järjestus'!$C115,KOMBI!$A$11:$A$145,0),MATCH('KSH järjestus'!G$3,KOMBI!$A$1:$GI$1,0)),BD$4:BD$138,G$2)</f>
        <v>61</v>
      </c>
      <c r="H115" s="25">
        <f>RANK(INDEX(KOMBI!$A$11:$GI$145,MATCH('KSH järjestus'!$C115,KOMBI!$A$11:$A$145,0),MATCH('KSH järjestus'!H$3,KOMBI!$A$1:$GI$1,0)),BE$4:BE$138,H$2)</f>
        <v>54</v>
      </c>
      <c r="J115" s="25">
        <f>RANK(INDEX(KOMBI!$A$11:$GI$145,MATCH('KSH järjestus'!$C115,KOMBI!$A$11:$A$145,0),MATCH('KSH järjestus'!J$3,KOMBI!$A$1:$GI$1,0)),BG$4:BG$138,J$2)</f>
        <v>43</v>
      </c>
      <c r="M115" s="25">
        <f>RANK(INDEX(KOMBI!$A$11:$GI$145,MATCH('KSH järjestus'!$C115,KOMBI!$A$11:$A$145,0),MATCH('KSH järjestus'!M$3,KOMBI!$A$1:$GI$1,0)),BJ$4:BJ$138,M$2)</f>
        <v>28</v>
      </c>
      <c r="N115" s="25">
        <f>RANK(INDEX(KOMBI!$A$11:$GI$145,MATCH('KSH järjestus'!$C115,KOMBI!$A$11:$A$145,0),MATCH('KSH järjestus'!N$3,KOMBI!$A$1:$GI$1,0)),BK$4:BK$138,N$2)</f>
        <v>34</v>
      </c>
      <c r="O115" s="25">
        <f>RANK(INDEX(KOMBI!$A$11:$GI$145,MATCH('KSH järjestus'!$C115,KOMBI!$A$11:$A$145,0),MATCH('KSH järjestus'!O$3,KOMBI!$A$1:$GI$1,0)),BL$4:BL$138,O$2)</f>
        <v>74</v>
      </c>
      <c r="P115" s="25">
        <f>RANK(INDEX(KOMBI!$A$11:$GI$145,MATCH('KSH järjestus'!$C115,KOMBI!$A$11:$A$145,0),MATCH('KSH järjestus'!P$3,KOMBI!$A$1:$GI$1,0)),BM$4:BM$138,P$2)</f>
        <v>24</v>
      </c>
      <c r="Q115" s="25">
        <f>RANK(INDEX(KOMBI!$A$11:$GI$145,MATCH('KSH järjestus'!$C115,KOMBI!$A$11:$A$145,0),MATCH('KSH järjestus'!Q$3,KOMBI!$A$1:$GI$1,0)),BN$4:BN$138,Q$2)</f>
        <v>55</v>
      </c>
      <c r="R115" s="25">
        <f>RANK(INDEX(KOMBI!$A$11:$GI$145,MATCH('KSH järjestus'!$C115,KOMBI!$A$11:$A$145,0),MATCH('KSH järjestus'!R$3,KOMBI!$A$1:$GI$1,0)),BO$4:BO$138,R$2)</f>
        <v>83</v>
      </c>
      <c r="T115" s="25">
        <f>RANK(INDEX(KOMBI!$A$11:$GI$145,MATCH('KSH järjestus'!$C115,KOMBI!$A$11:$A$145,0),MATCH('KSH järjestus'!T$3,KOMBI!$A$1:$GI$1,0)),BQ$4:BQ$138,T$2)</f>
        <v>18</v>
      </c>
      <c r="U115" s="25">
        <f>RANK(INDEX(KOMBI!$A$11:$GI$145,MATCH('KSH järjestus'!$C115,KOMBI!$A$11:$A$145,0),MATCH('KSH järjestus'!U$3,KOMBI!$A$1:$GI$1,0)),BR$4:BR$138,U$2)</f>
        <v>25</v>
      </c>
      <c r="AA115" s="25">
        <f>RANK(INDEX(KOMBI!$A$11:$GI$145,MATCH('KSH järjestus'!$C115,KOMBI!$A$11:$A$145,0),MATCH('KSH järjestus'!AA$3,KOMBI!$A$1:$GI$1,0)),BX$4:BX$138,AA$2)</f>
        <v>25</v>
      </c>
      <c r="AB115" s="25">
        <f>RANK(INDEX(KOMBI!$A$11:$GI$145,MATCH('KSH järjestus'!$C115,KOMBI!$A$11:$A$145,0),MATCH('KSH järjestus'!AB$3,KOMBI!$A$1:$GI$1,0)),BY$4:BY$138,AB$2)</f>
        <v>55</v>
      </c>
      <c r="AC115" s="25">
        <f>RANK(INDEX(KOMBI!$A$11:$GI$145,MATCH('KSH järjestus'!$C115,KOMBI!$A$11:$A$145,0),MATCH('KSH järjestus'!AC$3,KOMBI!$A$1:$GI$1,0)),BZ$4:BZ$138,AC$2)</f>
        <v>5</v>
      </c>
      <c r="AD115" s="25">
        <f>RANK(INDEX(KOMBI!$A$11:$GI$145,MATCH('KSH järjestus'!$C115,KOMBI!$A$11:$A$145,0),MATCH('KSH järjestus'!AD$3,KOMBI!$A$1:$GI$1,0)),CA$4:CA$138,AD$2)</f>
        <v>36</v>
      </c>
      <c r="AE115" s="25">
        <f>RANK(INDEX(KOMBI!$A$11:$GI$145,MATCH('KSH järjestus'!$C115,KOMBI!$A$11:$A$145,0),MATCH('KSH järjestus'!AE$3,KOMBI!$A$1:$GI$1,0)),CB$4:CB$138,AE$2)</f>
        <v>36</v>
      </c>
      <c r="AG115" s="25">
        <f>RANK(INDEX(KOMBI!$A$11:$GI$145,MATCH('KSH järjestus'!$C115,KOMBI!$A$11:$A$145,0),MATCH('KSH järjestus'!AG$3,KOMBI!$A$1:$GI$1,0)),CD$4:CD$138,AG$2)</f>
        <v>19</v>
      </c>
      <c r="AH115" s="25">
        <f>RANK(INDEX(KOMBI!$A$11:$GI$145,MATCH('KSH järjestus'!$C115,KOMBI!$A$11:$A$145,0),MATCH('KSH järjestus'!AH$3,KOMBI!$A$1:$GI$1,0)),CE$4:CE$138,AH$2)</f>
        <v>46</v>
      </c>
      <c r="AI115" s="25">
        <f>RANK(INDEX(KOMBI!$A$11:$GI$145,MATCH('KSH järjestus'!$C115,KOMBI!$A$11:$A$145,0),MATCH('KSH järjestus'!AI$3,KOMBI!$A$1:$GI$1,0)),CF$4:CF$138,AI$2)</f>
        <v>28</v>
      </c>
      <c r="AJ115" s="25">
        <f>RANK(INDEX(KOMBI!$A$11:$GI$145,MATCH('KSH järjestus'!$C115,KOMBI!$A$11:$A$145,0),MATCH('KSH järjestus'!AJ$3,KOMBI!$A$1:$GI$1,0)),CG$4:CG$138,AJ$2)</f>
        <v>4</v>
      </c>
      <c r="AK115" s="25">
        <f>RANK(INDEX(KOMBI!$A$11:$GI$145,MATCH('KSH järjestus'!$C115,KOMBI!$A$11:$A$145,0),MATCH('KSH järjestus'!AK$3,KOMBI!$A$1:$GI$1,0)),CH$4:CH$138,AK$2)</f>
        <v>13</v>
      </c>
      <c r="AN115" s="25">
        <f>RANK(INDEX(KOMBI!$A$11:$GI$145,MATCH('KSH järjestus'!$C115,KOMBI!$A$11:$A$145,0),MATCH('KSH järjestus'!AN$3,KOMBI!$A$1:$GI$1,0)),CK$4:CK$138,AN$2)</f>
        <v>46</v>
      </c>
      <c r="AO115" s="25">
        <f>RANK(INDEX(KOMBI!$A$11:$GI$145,MATCH('KSH järjestus'!$C115,KOMBI!$A$11:$A$145,0),MATCH('KSH järjestus'!AO$3,KOMBI!$A$1:$GI$1,0)),CL$4:CL$138,AO$2)</f>
        <v>46</v>
      </c>
      <c r="AS115" s="297">
        <f t="shared" si="7"/>
        <v>858</v>
      </c>
      <c r="AT115" s="25">
        <f t="shared" si="5"/>
        <v>1997</v>
      </c>
      <c r="AU115" s="25">
        <f t="shared" si="6"/>
        <v>51</v>
      </c>
      <c r="AV115" s="295" t="str">
        <f>VLOOKUP(VLOOKUP($AU115,KOMBI!$A:$H,3,FALSE),data!$I$27:$J$29,2,FALSE)</f>
        <v>Mittesekkuv</v>
      </c>
      <c r="AW115" s="295" t="str">
        <f>VLOOKUP(VLOOKUP($AU115,KOMBI!$A:$H,2,FALSE),data!$I$21:$J$23,2,FALSE)</f>
        <v>Vähe-sekkuv</v>
      </c>
      <c r="AX115" s="295" t="str">
        <f>VLOOKUP(VLOOKUP($AU115,KOMBI!$A:$H,5,FALSE),data!$I$39:$J$41,2,FALSE)</f>
        <v>Sekkuv</v>
      </c>
      <c r="AY115" s="295" t="str">
        <f>VLOOKUP(VLOOKUP($AU115,KOMBI!$A:$H,4,FALSE),data!$I$32:$J$36,2,FALSE)</f>
        <v>LIB+</v>
      </c>
      <c r="BA115" s="25">
        <f t="array" ref="BA115">INDEX(KOMBI!$A$1:$GI$145,ROW('KSH järjestus'!BA122),MATCH('KSH järjestus'!BA$3,KOMBI!$A$1:$GI$1,0))</f>
        <v>6.0272595152157979</v>
      </c>
      <c r="BB115" s="25">
        <f t="array" ref="BB115">INDEX(KOMBI!$A$1:$GI$145,ROW('KSH järjestus'!BB122),MATCH('KSH järjestus'!BB$3,KOMBI!$A$1:$GI$1,0))</f>
        <v>388.38775916536429</v>
      </c>
      <c r="BC115" s="25">
        <f t="array" aca="1" ref="BC115" ca="1">INDEX(KOMBI!$A$1:$GI$145,ROW('KSH järjestus'!BC122),MATCH('KSH järjestus'!BC$3,KOMBI!$A$1:$GI$1,0))</f>
        <v>101.90819846243683</v>
      </c>
      <c r="BD115" s="25">
        <f t="array" ref="BD115">INDEX(KOMBI!$A$1:$GI$145,ROW('KSH järjestus'!BD122),MATCH('KSH järjestus'!BD$3,KOMBI!$A$1:$GI$1,0))</f>
        <v>-77.297499999999999</v>
      </c>
      <c r="BE115" s="25">
        <f t="array" ref="BE115">INDEX(KOMBI!$A$1:$GI$145,ROW('KSH järjestus'!BE122),MATCH('KSH järjestus'!BE$3,KOMBI!$A$1:$GI$1,0))</f>
        <v>179.20569846243683</v>
      </c>
      <c r="BF115" s="25">
        <f t="array" aca="1" ref="BF115" ca="1">INDEX(KOMBI!$A$1:$GI$145,ROW('KSH järjestus'!BF122),MATCH('KSH järjestus'!BF$3,KOMBI!$A$1:$GI$1,0))</f>
        <v>0</v>
      </c>
      <c r="BG115" s="25">
        <f t="array" ref="BG115">INDEX(KOMBI!$A$1:$GI$145,ROW('KSH järjestus'!BG122),MATCH('KSH järjestus'!BG$3,KOMBI!$A$1:$GI$1,0))</f>
        <v>0.50665729968234108</v>
      </c>
      <c r="BH115" s="25">
        <f t="array" ref="BH115">INDEX(KOMBI!$A$1:$GI$145,ROW('KSH järjestus'!BH122),MATCH('KSH järjestus'!BH$3,KOMBI!$A$1:$GI$1,0))</f>
        <v>90</v>
      </c>
      <c r="BI115" s="25">
        <f t="array" ref="BI115">INDEX(KOMBI!$A$1:$GI$145,ROW('KSH järjestus'!BI122),MATCH('KSH järjestus'!BI$3,KOMBI!$A$1:$GI$1,0))</f>
        <v>1</v>
      </c>
      <c r="BJ115" s="25">
        <f t="array" ref="BJ115">INDEX(KOMBI!$A$1:$GI$145,ROW('KSH järjestus'!BJ122),MATCH('KSH järjestus'!BJ$3,KOMBI!$A$1:$GI$1,0))</f>
        <v>6.6265060240963902E-2</v>
      </c>
      <c r="BK115" s="25">
        <f t="array" ref="BK115">INDEX(KOMBI!$A$1:$GI$145,ROW('KSH järjestus'!BK122),MATCH('KSH järjestus'!BK$3,KOMBI!$A$1:$GI$1,0))</f>
        <v>0.40982462181179752</v>
      </c>
      <c r="BL115" s="25">
        <f t="array" ref="BL115">INDEX(KOMBI!$A$1:$GI$145,ROW('KSH järjestus'!BL122),MATCH('KSH järjestus'!BL$3,KOMBI!$A$1:$GI$1,0))</f>
        <v>1.5337973263321605E-2</v>
      </c>
      <c r="BM115" s="25">
        <f t="array" ref="BM115">INDEX(KOMBI!$A$1:$GI$145,ROW('KSH järjestus'!BM122),MATCH('KSH järjestus'!BM$3,KOMBI!$A$1:$GI$1,0))</f>
        <v>6.6416283219323646E-3</v>
      </c>
      <c r="BN115" s="25">
        <f t="array" ref="BN115">INDEX(KOMBI!$A$1:$GI$145,ROW('KSH järjestus'!BN122),MATCH('KSH järjestus'!BN$3,KOMBI!$A$1:$GI$1,0))</f>
        <v>5.066595607352925E-3</v>
      </c>
      <c r="BO115" s="25">
        <f t="array" ref="BO115">INDEX(KOMBI!$A$1:$GI$145,ROW('KSH järjestus'!BO122),MATCH('KSH järjestus'!BO$3,KOMBI!$A$1:$GI$1,0))</f>
        <v>1.0371010366310893E-2</v>
      </c>
      <c r="BP115" s="25">
        <f t="array" ref="BP115">INDEX(KOMBI!$A$1:$GI$145,ROW('KSH järjestus'!BP122),MATCH('KSH järjestus'!BP$3,KOMBI!$A$1:$GI$1,0))</f>
        <v>7.7603156794471024</v>
      </c>
      <c r="BQ115" s="25">
        <f t="array" ref="BQ115">INDEX(KOMBI!$A$1:$GI$145,ROW('KSH järjestus'!BQ122),MATCH('KSH järjestus'!BQ$3,KOMBI!$A$1:$GI$1,0))</f>
        <v>9.8919999999999995</v>
      </c>
      <c r="BR115" s="25">
        <f t="array" ref="BR115">INDEX(KOMBI!$A$1:$GI$145,ROW('KSH järjestus'!BR122),MATCH('KSH järjestus'!BR$3,KOMBI!$A$1:$GI$1,0))</f>
        <v>-4.4057454251868633E-2</v>
      </c>
      <c r="BS115" s="25">
        <f t="array" ref="BS115">INDEX(KOMBI!$A$1:$GI$145,ROW('KSH järjestus'!BS122),MATCH('KSH järjestus'!BS$3,KOMBI!$A$1:$GI$1,0))</f>
        <v>-5.209124087157193E-2</v>
      </c>
      <c r="BT115" s="25">
        <f t="array" ref="BT115">INDEX(KOMBI!$A$1:$GI$145,ROW('KSH järjestus'!BT122),MATCH('KSH järjestus'!BT$3,KOMBI!$A$1:$GI$1,0))</f>
        <v>-6.908576190202366E-2</v>
      </c>
      <c r="BU115" s="25">
        <f t="array" ref="BU115">INDEX(KOMBI!$A$1:$GI$145,ROW('KSH järjestus'!BU122),MATCH('KSH järjestus'!BU$3,KOMBI!$A$1:$GI$1,0))</f>
        <v>7.494282692299028</v>
      </c>
      <c r="BV115" s="25">
        <f t="array" ref="BV115">INDEX(KOMBI!$A$1:$GI$145,ROW('KSH järjestus'!BV122),MATCH('KSH järjestus'!BV$3,KOMBI!$A$1:$GI$1,0))</f>
        <v>5.0650000000000004</v>
      </c>
      <c r="BW115" s="25">
        <f t="array" ref="BW115">INDEX(KOMBI!$A$1:$GI$145,ROW('KSH järjestus'!BW122),MATCH('KSH järjestus'!BW$3,KOMBI!$A$1:$GI$1,0))</f>
        <v>1.19688499063732</v>
      </c>
      <c r="BX115" s="25">
        <f t="array" ref="BX115">INDEX(KOMBI!$A$1:$GI$145,ROW('KSH järjestus'!BX122),MATCH('KSH järjestus'!BX$3,KOMBI!$A$1:$GI$1,0))</f>
        <v>17.167861099430585</v>
      </c>
      <c r="BY115" s="25">
        <f t="array" ref="BY115">INDEX(KOMBI!$A$1:$GI$145,ROW('KSH järjestus'!BY122),MATCH('KSH järjestus'!BY$3,KOMBI!$A$1:$GI$1,0))</f>
        <v>11.869077976340797</v>
      </c>
      <c r="BZ115" s="25">
        <f t="array" ref="BZ115">INDEX(KOMBI!$A$1:$GI$145,ROW('KSH järjestus'!BZ122),MATCH('KSH järjestus'!BZ$3,KOMBI!$A$1:$GI$1,0))</f>
        <v>67</v>
      </c>
      <c r="CA115" s="25">
        <f t="array" ref="CA115">INDEX(KOMBI!$A$1:$GI$145,ROW('KSH järjestus'!CA122),MATCH('KSH järjestus'!CA$3,KOMBI!$A$1:$GI$1,0))</f>
        <v>12.89</v>
      </c>
      <c r="CB115" s="25">
        <f t="array" ref="CB115">INDEX(KOMBI!$A$1:$GI$145,ROW('KSH järjestus'!CB122),MATCH('KSH järjestus'!CB$3,KOMBI!$A$1:$GI$1,0))</f>
        <v>58.230555555555554</v>
      </c>
      <c r="CC115" s="25">
        <f t="array" ref="CC115">INDEX(KOMBI!$A$1:$GI$145,ROW('KSH järjestus'!CC122),MATCH('KSH järjestus'!CC$3,KOMBI!$A$1:$GI$1,0))</f>
        <v>4.6795299999999997</v>
      </c>
      <c r="CD115" s="25">
        <f t="array" ref="CD115">INDEX(KOMBI!$A$1:$GI$145,ROW('KSH järjestus'!CD122),MATCH('KSH järjestus'!CD$3,KOMBI!$A$1:$GI$1,0))</f>
        <v>294.39999999999998</v>
      </c>
      <c r="CE115" s="25">
        <f t="array" ref="CE115">INDEX(KOMBI!$A$1:$GI$145,ROW('KSH järjestus'!CE122),MATCH('KSH järjestus'!CE$3,KOMBI!$A$1:$GI$1,0))</f>
        <v>2.8759999999999999</v>
      </c>
      <c r="CF115" s="25">
        <f t="array" ref="CF115">INDEX(KOMBI!$A$1:$GI$145,ROW('KSH järjestus'!CF122),MATCH('KSH järjestus'!CF$3,KOMBI!$A$1:$GI$1,0))</f>
        <v>45.072900516795862</v>
      </c>
      <c r="CG115" s="25">
        <f t="array" ref="CG115">INDEX(KOMBI!$A$1:$GI$145,ROW('KSH järjestus'!CG122),MATCH('KSH järjestus'!CG$3,KOMBI!$A$1:$GI$1,0))</f>
        <v>8.9622522089166823E-2</v>
      </c>
      <c r="CH115" s="25">
        <f t="array" ref="CH115">INDEX(KOMBI!$A$1:$GI$145,ROW('KSH järjestus'!CH122),MATCH('KSH järjestus'!CH$3,KOMBI!$A$1:$GI$1,0))</f>
        <v>0.50575663408967231</v>
      </c>
      <c r="CI115" s="25">
        <f t="array" ref="CI115">INDEX(KOMBI!$A$1:$GI$145,ROW('KSH järjestus'!CI122),MATCH('KSH järjestus'!CI$3,KOMBI!$A$1:$GI$1,0))</f>
        <v>6.28</v>
      </c>
      <c r="CJ115" s="25">
        <f t="array" ref="CJ115">INDEX(KOMBI!$A$1:$GI$145,ROW('KSH järjestus'!CJ122),MATCH('KSH järjestus'!CJ$3,KOMBI!$A$1:$GI$1,0))</f>
        <v>3.0048849906373198</v>
      </c>
      <c r="CK115" s="25">
        <f t="array" ref="CK115">INDEX(KOMBI!$A$1:$GI$145,ROW('KSH järjestus'!CK122),MATCH('KSH järjestus'!CK$3,KOMBI!$A$1:$GI$1,0))</f>
        <v>0.21099999999999999</v>
      </c>
      <c r="CL115" s="25">
        <f t="array" ref="CL115">INDEX(KOMBI!$A$1:$GI$145,ROW('KSH järjestus'!CL122),MATCH('KSH järjestus'!CL$3,KOMBI!$A$1:$GI$1,0))</f>
        <v>0.76300000000000001</v>
      </c>
    </row>
    <row r="116" spans="3:90" x14ac:dyDescent="0.2">
      <c r="C116" s="184">
        <v>113</v>
      </c>
      <c r="G116" s="25">
        <f>RANK(INDEX(KOMBI!$A$11:$GI$145,MATCH('KSH järjestus'!$C116,KOMBI!$A$11:$A$145,0),MATCH('KSH järjestus'!G$3,KOMBI!$A$1:$GI$1,0)),BD$4:BD$138,G$2)</f>
        <v>56</v>
      </c>
      <c r="H116" s="25">
        <f>RANK(INDEX(KOMBI!$A$11:$GI$145,MATCH('KSH järjestus'!$C116,KOMBI!$A$11:$A$145,0),MATCH('KSH järjestus'!H$3,KOMBI!$A$1:$GI$1,0)),BE$4:BE$138,H$2)</f>
        <v>28</v>
      </c>
      <c r="J116" s="25">
        <f>RANK(INDEX(KOMBI!$A$11:$GI$145,MATCH('KSH järjestus'!$C116,KOMBI!$A$11:$A$145,0),MATCH('KSH järjestus'!J$3,KOMBI!$A$1:$GI$1,0)),BG$4:BG$138,J$2)</f>
        <v>30</v>
      </c>
      <c r="M116" s="25">
        <f>RANK(INDEX(KOMBI!$A$11:$GI$145,MATCH('KSH järjestus'!$C116,KOMBI!$A$11:$A$145,0),MATCH('KSH järjestus'!M$3,KOMBI!$A$1:$GI$1,0)),BJ$4:BJ$138,M$2)</f>
        <v>28</v>
      </c>
      <c r="N116" s="25">
        <f>RANK(INDEX(KOMBI!$A$11:$GI$145,MATCH('KSH järjestus'!$C116,KOMBI!$A$11:$A$145,0),MATCH('KSH järjestus'!N$3,KOMBI!$A$1:$GI$1,0)),BK$4:BK$138,N$2)</f>
        <v>34</v>
      </c>
      <c r="O116" s="25">
        <f>RANK(INDEX(KOMBI!$A$11:$GI$145,MATCH('KSH järjestus'!$C116,KOMBI!$A$11:$A$145,0),MATCH('KSH järjestus'!O$3,KOMBI!$A$1:$GI$1,0)),BL$4:BL$138,O$2)</f>
        <v>36</v>
      </c>
      <c r="P116" s="25">
        <f>RANK(INDEX(KOMBI!$A$11:$GI$145,MATCH('KSH järjestus'!$C116,KOMBI!$A$11:$A$145,0),MATCH('KSH järjestus'!P$3,KOMBI!$A$1:$GI$1,0)),BM$4:BM$138,P$2)</f>
        <v>48</v>
      </c>
      <c r="Q116" s="25">
        <f>RANK(INDEX(KOMBI!$A$11:$GI$145,MATCH('KSH järjestus'!$C116,KOMBI!$A$11:$A$145,0),MATCH('KSH järjestus'!Q$3,KOMBI!$A$1:$GI$1,0)),BN$4:BN$138,Q$2)</f>
        <v>33</v>
      </c>
      <c r="R116" s="25">
        <f>RANK(INDEX(KOMBI!$A$11:$GI$145,MATCH('KSH järjestus'!$C116,KOMBI!$A$11:$A$145,0),MATCH('KSH järjestus'!R$3,KOMBI!$A$1:$GI$1,0)),BO$4:BO$138,R$2)</f>
        <v>47</v>
      </c>
      <c r="T116" s="25">
        <f>RANK(INDEX(KOMBI!$A$11:$GI$145,MATCH('KSH järjestus'!$C116,KOMBI!$A$11:$A$145,0),MATCH('KSH järjestus'!T$3,KOMBI!$A$1:$GI$1,0)),BQ$4:BQ$138,T$2)</f>
        <v>23</v>
      </c>
      <c r="U116" s="25">
        <f>RANK(INDEX(KOMBI!$A$11:$GI$145,MATCH('KSH järjestus'!$C116,KOMBI!$A$11:$A$145,0),MATCH('KSH järjestus'!U$3,KOMBI!$A$1:$GI$1,0)),BR$4:BR$138,U$2)</f>
        <v>32</v>
      </c>
      <c r="AA116" s="25">
        <f>RANK(INDEX(KOMBI!$A$11:$GI$145,MATCH('KSH järjestus'!$C116,KOMBI!$A$11:$A$145,0),MATCH('KSH järjestus'!AA$3,KOMBI!$A$1:$GI$1,0)),BX$4:BX$138,AA$2)</f>
        <v>25</v>
      </c>
      <c r="AB116" s="25">
        <f>RANK(INDEX(KOMBI!$A$11:$GI$145,MATCH('KSH järjestus'!$C116,KOMBI!$A$11:$A$145,0),MATCH('KSH järjestus'!AB$3,KOMBI!$A$1:$GI$1,0)),BY$4:BY$138,AB$2)</f>
        <v>55</v>
      </c>
      <c r="AC116" s="25">
        <f>RANK(INDEX(KOMBI!$A$11:$GI$145,MATCH('KSH järjestus'!$C116,KOMBI!$A$11:$A$145,0),MATCH('KSH järjestus'!AC$3,KOMBI!$A$1:$GI$1,0)),BZ$4:BZ$138,AC$2)</f>
        <v>8</v>
      </c>
      <c r="AD116" s="25">
        <f>RANK(INDEX(KOMBI!$A$11:$GI$145,MATCH('KSH järjestus'!$C116,KOMBI!$A$11:$A$145,0),MATCH('KSH järjestus'!AD$3,KOMBI!$A$1:$GI$1,0)),CA$4:CA$138,AD$2)</f>
        <v>41</v>
      </c>
      <c r="AE116" s="25">
        <f>RANK(INDEX(KOMBI!$A$11:$GI$145,MATCH('KSH järjestus'!$C116,KOMBI!$A$11:$A$145,0),MATCH('KSH järjestus'!AE$3,KOMBI!$A$1:$GI$1,0)),CB$4:CB$138,AE$2)</f>
        <v>42</v>
      </c>
      <c r="AG116" s="25">
        <f>RANK(INDEX(KOMBI!$A$11:$GI$145,MATCH('KSH järjestus'!$C116,KOMBI!$A$11:$A$145,0),MATCH('KSH järjestus'!AG$3,KOMBI!$A$1:$GI$1,0)),CD$4:CD$138,AG$2)</f>
        <v>19</v>
      </c>
      <c r="AH116" s="25">
        <f>RANK(INDEX(KOMBI!$A$11:$GI$145,MATCH('KSH järjestus'!$C116,KOMBI!$A$11:$A$145,0),MATCH('KSH järjestus'!AH$3,KOMBI!$A$1:$GI$1,0)),CE$4:CE$138,AH$2)</f>
        <v>46</v>
      </c>
      <c r="AI116" s="25">
        <f>RANK(INDEX(KOMBI!$A$11:$GI$145,MATCH('KSH järjestus'!$C116,KOMBI!$A$11:$A$145,0),MATCH('KSH järjestus'!AI$3,KOMBI!$A$1:$GI$1,0)),CF$4:CF$138,AI$2)</f>
        <v>28</v>
      </c>
      <c r="AJ116" s="25">
        <f>RANK(INDEX(KOMBI!$A$11:$GI$145,MATCH('KSH järjestus'!$C116,KOMBI!$A$11:$A$145,0),MATCH('KSH järjestus'!AJ$3,KOMBI!$A$1:$GI$1,0)),CG$4:CG$138,AJ$2)</f>
        <v>4</v>
      </c>
      <c r="AK116" s="25">
        <f>RANK(INDEX(KOMBI!$A$11:$GI$145,MATCH('KSH järjestus'!$C116,KOMBI!$A$11:$A$145,0),MATCH('KSH järjestus'!AK$3,KOMBI!$A$1:$GI$1,0)),CH$4:CH$138,AK$2)</f>
        <v>13</v>
      </c>
      <c r="AN116" s="25">
        <f>RANK(INDEX(KOMBI!$A$11:$GI$145,MATCH('KSH järjestus'!$C116,KOMBI!$A$11:$A$145,0),MATCH('KSH järjestus'!AN$3,KOMBI!$A$1:$GI$1,0)),CK$4:CK$138,AN$2)</f>
        <v>46</v>
      </c>
      <c r="AO116" s="25">
        <f>RANK(INDEX(KOMBI!$A$11:$GI$145,MATCH('KSH järjestus'!$C116,KOMBI!$A$11:$A$145,0),MATCH('KSH järjestus'!AO$3,KOMBI!$A$1:$GI$1,0)),CL$4:CL$138,AO$2)</f>
        <v>46</v>
      </c>
      <c r="AS116" s="297">
        <f t="shared" si="7"/>
        <v>768</v>
      </c>
      <c r="AT116" s="25">
        <f t="shared" si="5"/>
        <v>2014</v>
      </c>
      <c r="AU116" s="25">
        <f t="shared" si="6"/>
        <v>17</v>
      </c>
      <c r="AV116" s="295" t="str">
        <f>VLOOKUP(VLOOKUP($AU116,KOMBI!$A:$H,3,FALSE),data!$I$27:$J$29,2,FALSE)</f>
        <v>Vähe-sekkuv</v>
      </c>
      <c r="AW116" s="295" t="str">
        <f>VLOOKUP(VLOOKUP($AU116,KOMBI!$A:$H,2,FALSE),data!$I$21:$J$23,2,FALSE)</f>
        <v>Mittesekkuv</v>
      </c>
      <c r="AX116" s="295" t="str">
        <f>VLOOKUP(VLOOKUP($AU116,KOMBI!$A:$H,5,FALSE),data!$I$39:$J$41,2,FALSE)</f>
        <v>Vähe-sekkuv</v>
      </c>
      <c r="AY116" s="295" t="str">
        <f>VLOOKUP(VLOOKUP($AU116,KOMBI!$A:$H,4,FALSE),data!$I$32:$J$36,2,FALSE)</f>
        <v>LIB</v>
      </c>
      <c r="BA116" s="25">
        <f t="array" ref="BA116">INDEX(KOMBI!$A$1:$GI$145,ROW('KSH järjestus'!BA123),MATCH('KSH järjestus'!BA$3,KOMBI!$A$1:$GI$1,0))</f>
        <v>6.9431711638616394</v>
      </c>
      <c r="BB116" s="25">
        <f t="array" ref="BB116">INDEX(KOMBI!$A$1:$GI$145,ROW('KSH järjestus'!BB123),MATCH('KSH järjestus'!BB$3,KOMBI!$A$1:$GI$1,0))</f>
        <v>548.86779143462752</v>
      </c>
      <c r="BC116" s="25">
        <f t="array" aca="1" ref="BC116" ca="1">INDEX(KOMBI!$A$1:$GI$145,ROW('KSH järjestus'!BC123),MATCH('KSH järjestus'!BC$3,KOMBI!$A$1:$GI$1,0))</f>
        <v>131.07352049097193</v>
      </c>
      <c r="BD116" s="25">
        <f t="array" ref="BD116">INDEX(KOMBI!$A$1:$GI$145,ROW('KSH järjestus'!BD123),MATCH('KSH järjestus'!BD$3,KOMBI!$A$1:$GI$1,0))</f>
        <v>-92.530719880632105</v>
      </c>
      <c r="BE116" s="25">
        <f t="array" ref="BE116">INDEX(KOMBI!$A$1:$GI$145,ROW('KSH järjestus'!BE123),MATCH('KSH järjestus'!BE$3,KOMBI!$A$1:$GI$1,0))</f>
        <v>223.60424037160402</v>
      </c>
      <c r="BF116" s="25">
        <f t="array" aca="1" ref="BF116" ca="1">INDEX(KOMBI!$A$1:$GI$145,ROW('KSH järjestus'!BF123),MATCH('KSH järjestus'!BF$3,KOMBI!$A$1:$GI$1,0))</f>
        <v>0</v>
      </c>
      <c r="BG116" s="25">
        <f t="array" ref="BG116">INDEX(KOMBI!$A$1:$GI$145,ROW('KSH järjestus'!BG123),MATCH('KSH järjestus'!BG$3,KOMBI!$A$1:$GI$1,0))</f>
        <v>0.45957835903449201</v>
      </c>
      <c r="BH116" s="25">
        <f t="array" ref="BH116">INDEX(KOMBI!$A$1:$GI$145,ROW('KSH järjestus'!BH123),MATCH('KSH järjestus'!BH$3,KOMBI!$A$1:$GI$1,0))</f>
        <v>90</v>
      </c>
      <c r="BI116" s="25">
        <f t="array" ref="BI116">INDEX(KOMBI!$A$1:$GI$145,ROW('KSH järjestus'!BI123),MATCH('KSH järjestus'!BI$3,KOMBI!$A$1:$GI$1,0))</f>
        <v>0.72887234460741657</v>
      </c>
      <c r="BJ116" s="25">
        <f t="array" ref="BJ116">INDEX(KOMBI!$A$1:$GI$145,ROW('KSH järjestus'!BJ123),MATCH('KSH järjestus'!BJ$3,KOMBI!$A$1:$GI$1,0))</f>
        <v>6.6265060240963902E-2</v>
      </c>
      <c r="BK116" s="25">
        <f t="array" ref="BK116">INDEX(KOMBI!$A$1:$GI$145,ROW('KSH järjestus'!BK123),MATCH('KSH järjestus'!BK$3,KOMBI!$A$1:$GI$1,0))</f>
        <v>0.40982462181179752</v>
      </c>
      <c r="BL116" s="25">
        <f t="array" ref="BL116">INDEX(KOMBI!$A$1:$GI$145,ROW('KSH järjestus'!BL123),MATCH('KSH järjestus'!BL$3,KOMBI!$A$1:$GI$1,0))</f>
        <v>2.1620366349743934E-2</v>
      </c>
      <c r="BM116" s="25">
        <f t="array" ref="BM116">INDEX(KOMBI!$A$1:$GI$145,ROW('KSH järjestus'!BM123),MATCH('KSH järjestus'!BM$3,KOMBI!$A$1:$GI$1,0))</f>
        <v>3.9485754725167507E-3</v>
      </c>
      <c r="BN116" s="25">
        <f t="array" ref="BN116">INDEX(KOMBI!$A$1:$GI$145,ROW('KSH järjestus'!BN123),MATCH('KSH järjestus'!BN$3,KOMBI!$A$1:$GI$1,0))</f>
        <v>7.5594654687107521E-3</v>
      </c>
      <c r="BO116" s="25">
        <f t="array" ref="BO116">INDEX(KOMBI!$A$1:$GI$145,ROW('KSH järjestus'!BO123),MATCH('KSH järjestus'!BO$3,KOMBI!$A$1:$GI$1,0))</f>
        <v>1.4195896910187722E-2</v>
      </c>
      <c r="BP116" s="25">
        <f t="array" ref="BP116">INDEX(KOMBI!$A$1:$GI$145,ROW('KSH järjestus'!BP123),MATCH('KSH järjestus'!BP$3,KOMBI!$A$1:$GI$1,0))</f>
        <v>7.7603156794471024</v>
      </c>
      <c r="BQ116" s="25">
        <f t="array" ref="BQ116">INDEX(KOMBI!$A$1:$GI$145,ROW('KSH järjestus'!BQ123),MATCH('KSH järjestus'!BQ$3,KOMBI!$A$1:$GI$1,0))</f>
        <v>9.9830000000000005</v>
      </c>
      <c r="BR116" s="25">
        <f t="array" ref="BR116">INDEX(KOMBI!$A$1:$GI$145,ROW('KSH järjestus'!BR123),MATCH('KSH järjestus'!BR$3,KOMBI!$A$1:$GI$1,0))</f>
        <v>-3.9823655240603911E-2</v>
      </c>
      <c r="BS116" s="25">
        <f t="array" ref="BS116">INDEX(KOMBI!$A$1:$GI$145,ROW('KSH järjestus'!BS123),MATCH('KSH järjestus'!BS$3,KOMBI!$A$1:$GI$1,0))</f>
        <v>-5.0757628651936372E-2</v>
      </c>
      <c r="BT116" s="25">
        <f t="array" ref="BT116">INDEX(KOMBI!$A$1:$GI$145,ROW('KSH järjestus'!BT123),MATCH('KSH järjestus'!BT$3,KOMBI!$A$1:$GI$1,0))</f>
        <v>-6.7986799102629697E-2</v>
      </c>
      <c r="BU116" s="25">
        <f t="array" ref="BU116">INDEX(KOMBI!$A$1:$GI$145,ROW('KSH järjestus'!BU123),MATCH('KSH järjestus'!BU$3,KOMBI!$A$1:$GI$1,0))</f>
        <v>7.494282692299028</v>
      </c>
      <c r="BV116" s="25">
        <f t="array" ref="BV116">INDEX(KOMBI!$A$1:$GI$145,ROW('KSH järjestus'!BV123),MATCH('KSH järjestus'!BV$3,KOMBI!$A$1:$GI$1,0))</f>
        <v>5.0650000000000004</v>
      </c>
      <c r="BW116" s="25">
        <f t="array" ref="BW116">INDEX(KOMBI!$A$1:$GI$145,ROW('KSH järjestus'!BW123),MATCH('KSH järjestus'!BW$3,KOMBI!$A$1:$GI$1,0))</f>
        <v>1.57438499063732</v>
      </c>
      <c r="BX116" s="25">
        <f t="array" ref="BX116">INDEX(KOMBI!$A$1:$GI$145,ROW('KSH järjestus'!BX123),MATCH('KSH järjestus'!BX$3,KOMBI!$A$1:$GI$1,0))</f>
        <v>17.167861099430585</v>
      </c>
      <c r="BY116" s="25">
        <f t="array" ref="BY116">INDEX(KOMBI!$A$1:$GI$145,ROW('KSH järjestus'!BY123),MATCH('KSH järjestus'!BY$3,KOMBI!$A$1:$GI$1,0))</f>
        <v>11.869077976340797</v>
      </c>
      <c r="BZ116" s="25">
        <f t="array" ref="BZ116">INDEX(KOMBI!$A$1:$GI$145,ROW('KSH järjestus'!BZ123),MATCH('KSH järjestus'!BZ$3,KOMBI!$A$1:$GI$1,0))</f>
        <v>67.400000000000006</v>
      </c>
      <c r="CA116" s="25">
        <f t="array" ref="CA116">INDEX(KOMBI!$A$1:$GI$145,ROW('KSH järjestus'!CA123),MATCH('KSH järjestus'!CA$3,KOMBI!$A$1:$GI$1,0))</f>
        <v>12.978999999999999</v>
      </c>
      <c r="CB116" s="25">
        <f t="array" ref="CB116">INDEX(KOMBI!$A$1:$GI$145,ROW('KSH järjestus'!CB123),MATCH('KSH järjestus'!CB$3,KOMBI!$A$1:$GI$1,0))</f>
        <v>58.570833333333326</v>
      </c>
      <c r="CC116" s="25">
        <f t="array" ref="CC116">INDEX(KOMBI!$A$1:$GI$145,ROW('KSH järjestus'!CC123),MATCH('KSH järjestus'!CC$3,KOMBI!$A$1:$GI$1,0))</f>
        <v>4.7128220000000001</v>
      </c>
      <c r="CD116" s="25">
        <f t="array" ref="CD116">INDEX(KOMBI!$A$1:$GI$145,ROW('KSH järjestus'!CD123),MATCH('KSH järjestus'!CD$3,KOMBI!$A$1:$GI$1,0))</f>
        <v>294.39999999999998</v>
      </c>
      <c r="CE116" s="25">
        <f t="array" ref="CE116">INDEX(KOMBI!$A$1:$GI$145,ROW('KSH järjestus'!CE123),MATCH('KSH järjestus'!CE$3,KOMBI!$A$1:$GI$1,0))</f>
        <v>2.8759999999999999</v>
      </c>
      <c r="CF116" s="25">
        <f t="array" ref="CF116">INDEX(KOMBI!$A$1:$GI$145,ROW('KSH järjestus'!CF123),MATCH('KSH järjestus'!CF$3,KOMBI!$A$1:$GI$1,0))</f>
        <v>45.072900516795862</v>
      </c>
      <c r="CG116" s="25">
        <f t="array" ref="CG116">INDEX(KOMBI!$A$1:$GI$145,ROW('KSH järjestus'!CG123),MATCH('KSH järjestus'!CG$3,KOMBI!$A$1:$GI$1,0))</f>
        <v>8.9622522089166823E-2</v>
      </c>
      <c r="CH116" s="25">
        <f t="array" ref="CH116">INDEX(KOMBI!$A$1:$GI$145,ROW('KSH järjestus'!CH123),MATCH('KSH järjestus'!CH$3,KOMBI!$A$1:$GI$1,0))</f>
        <v>0.50575663408967231</v>
      </c>
      <c r="CI116" s="25">
        <f t="array" ref="CI116">INDEX(KOMBI!$A$1:$GI$145,ROW('KSH järjestus'!CI123),MATCH('KSH järjestus'!CI$3,KOMBI!$A$1:$GI$1,0))</f>
        <v>6.28</v>
      </c>
      <c r="CJ116" s="25">
        <f t="array" ref="CJ116">INDEX(KOMBI!$A$1:$GI$145,ROW('KSH järjestus'!CJ123),MATCH('KSH järjestus'!CJ$3,KOMBI!$A$1:$GI$1,0))</f>
        <v>3.0048849906373198</v>
      </c>
      <c r="CK116" s="25">
        <f t="array" ref="CK116">INDEX(KOMBI!$A$1:$GI$145,ROW('KSH järjestus'!CK123),MATCH('KSH järjestus'!CK$3,KOMBI!$A$1:$GI$1,0))</f>
        <v>0.21099999999999999</v>
      </c>
      <c r="CL116" s="25">
        <f t="array" ref="CL116">INDEX(KOMBI!$A$1:$GI$145,ROW('KSH järjestus'!CL123),MATCH('KSH järjestus'!CL$3,KOMBI!$A$1:$GI$1,0))</f>
        <v>0.76300000000000001</v>
      </c>
    </row>
    <row r="117" spans="3:90" x14ac:dyDescent="0.2">
      <c r="C117" s="184">
        <v>114</v>
      </c>
      <c r="G117" s="25">
        <f>RANK(INDEX(KOMBI!$A$11:$GI$145,MATCH('KSH järjestus'!$C117,KOMBI!$A$11:$A$145,0),MATCH('KSH järjestus'!G$3,KOMBI!$A$1:$GI$1,0)),BD$4:BD$138,G$2)</f>
        <v>46</v>
      </c>
      <c r="H117" s="25">
        <f>RANK(INDEX(KOMBI!$A$11:$GI$145,MATCH('KSH järjestus'!$C117,KOMBI!$A$11:$A$145,0),MATCH('KSH järjestus'!H$3,KOMBI!$A$1:$GI$1,0)),BE$4:BE$138,H$2)</f>
        <v>14</v>
      </c>
      <c r="J117" s="25">
        <f>RANK(INDEX(KOMBI!$A$11:$GI$145,MATCH('KSH järjestus'!$C117,KOMBI!$A$11:$A$145,0),MATCH('KSH järjestus'!J$3,KOMBI!$A$1:$GI$1,0)),BG$4:BG$138,J$2)</f>
        <v>30</v>
      </c>
      <c r="M117" s="25">
        <f>RANK(INDEX(KOMBI!$A$11:$GI$145,MATCH('KSH järjestus'!$C117,KOMBI!$A$11:$A$145,0),MATCH('KSH järjestus'!M$3,KOMBI!$A$1:$GI$1,0)),BJ$4:BJ$138,M$2)</f>
        <v>28</v>
      </c>
      <c r="N117" s="25">
        <f>RANK(INDEX(KOMBI!$A$11:$GI$145,MATCH('KSH järjestus'!$C117,KOMBI!$A$11:$A$145,0),MATCH('KSH järjestus'!N$3,KOMBI!$A$1:$GI$1,0)),BK$4:BK$138,N$2)</f>
        <v>34</v>
      </c>
      <c r="O117" s="25">
        <f>RANK(INDEX(KOMBI!$A$11:$GI$145,MATCH('KSH järjestus'!$C117,KOMBI!$A$11:$A$145,0),MATCH('KSH järjestus'!O$3,KOMBI!$A$1:$GI$1,0)),BL$4:BL$138,O$2)</f>
        <v>21</v>
      </c>
      <c r="P117" s="25">
        <f>RANK(INDEX(KOMBI!$A$11:$GI$145,MATCH('KSH järjestus'!$C117,KOMBI!$A$11:$A$145,0),MATCH('KSH järjestus'!P$3,KOMBI!$A$1:$GI$1,0)),BM$4:BM$138,P$2)</f>
        <v>47</v>
      </c>
      <c r="Q117" s="25">
        <f>RANK(INDEX(KOMBI!$A$11:$GI$145,MATCH('KSH järjestus'!$C117,KOMBI!$A$11:$A$145,0),MATCH('KSH järjestus'!Q$3,KOMBI!$A$1:$GI$1,0)),BN$4:BN$138,Q$2)</f>
        <v>25</v>
      </c>
      <c r="R117" s="25">
        <f>RANK(INDEX(KOMBI!$A$11:$GI$145,MATCH('KSH järjestus'!$C117,KOMBI!$A$11:$A$145,0),MATCH('KSH järjestus'!R$3,KOMBI!$A$1:$GI$1,0)),BO$4:BO$138,R$2)</f>
        <v>19</v>
      </c>
      <c r="T117" s="25">
        <f>RANK(INDEX(KOMBI!$A$11:$GI$145,MATCH('KSH järjestus'!$C117,KOMBI!$A$11:$A$145,0),MATCH('KSH järjestus'!T$3,KOMBI!$A$1:$GI$1,0)),BQ$4:BQ$138,T$2)</f>
        <v>32</v>
      </c>
      <c r="U117" s="25">
        <f>RANK(INDEX(KOMBI!$A$11:$GI$145,MATCH('KSH järjestus'!$C117,KOMBI!$A$11:$A$145,0),MATCH('KSH järjestus'!U$3,KOMBI!$A$1:$GI$1,0)),BR$4:BR$138,U$2)</f>
        <v>41</v>
      </c>
      <c r="AA117" s="25">
        <f>RANK(INDEX(KOMBI!$A$11:$GI$145,MATCH('KSH järjestus'!$C117,KOMBI!$A$11:$A$145,0),MATCH('KSH järjestus'!AA$3,KOMBI!$A$1:$GI$1,0)),BX$4:BX$138,AA$2)</f>
        <v>25</v>
      </c>
      <c r="AB117" s="25">
        <f>RANK(INDEX(KOMBI!$A$11:$GI$145,MATCH('KSH järjestus'!$C117,KOMBI!$A$11:$A$145,0),MATCH('KSH järjestus'!AB$3,KOMBI!$A$1:$GI$1,0)),BY$4:BY$138,AB$2)</f>
        <v>55</v>
      </c>
      <c r="AC117" s="25">
        <f>RANK(INDEX(KOMBI!$A$11:$GI$145,MATCH('KSH järjestus'!$C117,KOMBI!$A$11:$A$145,0),MATCH('KSH järjestus'!AC$3,KOMBI!$A$1:$GI$1,0)),BZ$4:BZ$138,AC$2)</f>
        <v>19</v>
      </c>
      <c r="AD117" s="25">
        <f>RANK(INDEX(KOMBI!$A$11:$GI$145,MATCH('KSH järjestus'!$C117,KOMBI!$A$11:$A$145,0),MATCH('KSH järjestus'!AD$3,KOMBI!$A$1:$GI$1,0)),CA$4:CA$138,AD$2)</f>
        <v>45</v>
      </c>
      <c r="AE117" s="25">
        <f>RANK(INDEX(KOMBI!$A$11:$GI$145,MATCH('KSH järjestus'!$C117,KOMBI!$A$11:$A$145,0),MATCH('KSH järjestus'!AE$3,KOMBI!$A$1:$GI$1,0)),CB$4:CB$138,AE$2)</f>
        <v>45</v>
      </c>
      <c r="AG117" s="25">
        <f>RANK(INDEX(KOMBI!$A$11:$GI$145,MATCH('KSH järjestus'!$C117,KOMBI!$A$11:$A$145,0),MATCH('KSH järjestus'!AG$3,KOMBI!$A$1:$GI$1,0)),CD$4:CD$138,AG$2)</f>
        <v>19</v>
      </c>
      <c r="AH117" s="25">
        <f>RANK(INDEX(KOMBI!$A$11:$GI$145,MATCH('KSH järjestus'!$C117,KOMBI!$A$11:$A$145,0),MATCH('KSH järjestus'!AH$3,KOMBI!$A$1:$GI$1,0)),CE$4:CE$138,AH$2)</f>
        <v>46</v>
      </c>
      <c r="AI117" s="25">
        <f>RANK(INDEX(KOMBI!$A$11:$GI$145,MATCH('KSH järjestus'!$C117,KOMBI!$A$11:$A$145,0),MATCH('KSH järjestus'!AI$3,KOMBI!$A$1:$GI$1,0)),CF$4:CF$138,AI$2)</f>
        <v>28</v>
      </c>
      <c r="AJ117" s="25">
        <f>RANK(INDEX(KOMBI!$A$11:$GI$145,MATCH('KSH järjestus'!$C117,KOMBI!$A$11:$A$145,0),MATCH('KSH järjestus'!AJ$3,KOMBI!$A$1:$GI$1,0)),CG$4:CG$138,AJ$2)</f>
        <v>4</v>
      </c>
      <c r="AK117" s="25">
        <f>RANK(INDEX(KOMBI!$A$11:$GI$145,MATCH('KSH järjestus'!$C117,KOMBI!$A$11:$A$145,0),MATCH('KSH järjestus'!AK$3,KOMBI!$A$1:$GI$1,0)),CH$4:CH$138,AK$2)</f>
        <v>13</v>
      </c>
      <c r="AN117" s="25">
        <f>RANK(INDEX(KOMBI!$A$11:$GI$145,MATCH('KSH järjestus'!$C117,KOMBI!$A$11:$A$145,0),MATCH('KSH järjestus'!AN$3,KOMBI!$A$1:$GI$1,0)),CK$4:CK$138,AN$2)</f>
        <v>46</v>
      </c>
      <c r="AO117" s="25">
        <f>RANK(INDEX(KOMBI!$A$11:$GI$145,MATCH('KSH järjestus'!$C117,KOMBI!$A$11:$A$145,0),MATCH('KSH järjestus'!AO$3,KOMBI!$A$1:$GI$1,0)),CL$4:CL$138,AO$2)</f>
        <v>46</v>
      </c>
      <c r="AS117" s="297">
        <f t="shared" si="7"/>
        <v>728</v>
      </c>
      <c r="AT117" s="25">
        <f t="shared" si="5"/>
        <v>2018</v>
      </c>
      <c r="AU117" s="25">
        <f t="shared" si="6"/>
        <v>20</v>
      </c>
      <c r="AV117" s="295" t="str">
        <f>VLOOKUP(VLOOKUP($AU117,KOMBI!$A:$H,3,FALSE),data!$I$27:$J$29,2,FALSE)</f>
        <v>Vähe-sekkuv</v>
      </c>
      <c r="AW117" s="295" t="str">
        <f>VLOOKUP(VLOOKUP($AU117,KOMBI!$A:$H,2,FALSE),data!$I$21:$J$23,2,FALSE)</f>
        <v>Mittesekkuv</v>
      </c>
      <c r="AX117" s="295" t="str">
        <f>VLOOKUP(VLOOKUP($AU117,KOMBI!$A:$H,5,FALSE),data!$I$39:$J$41,2,FALSE)</f>
        <v>Vähe-sekkuv</v>
      </c>
      <c r="AY117" s="295" t="str">
        <f>VLOOKUP(VLOOKUP($AU117,KOMBI!$A:$H,4,FALSE),data!$I$32:$J$36,2,FALSE)</f>
        <v>LIB+</v>
      </c>
      <c r="BA117" s="25">
        <f t="array" ref="BA117">INDEX(KOMBI!$A$1:$GI$145,ROW('KSH järjestus'!BA124),MATCH('KSH järjestus'!BA$3,KOMBI!$A$1:$GI$1,0))</f>
        <v>7.8482708861031654</v>
      </c>
      <c r="BB117" s="25">
        <f t="array" ref="BB117">INDEX(KOMBI!$A$1:$GI$145,ROW('KSH järjestus'!BB124),MATCH('KSH järjestus'!BB$3,KOMBI!$A$1:$GI$1,0))</f>
        <v>665.47858245210682</v>
      </c>
      <c r="BC117" s="25">
        <f t="array" aca="1" ref="BC117" ca="1">INDEX(KOMBI!$A$1:$GI$145,ROW('KSH järjestus'!BC124),MATCH('KSH järjestus'!BC$3,KOMBI!$A$1:$GI$1,0))</f>
        <v>147.62793485005682</v>
      </c>
      <c r="BD117" s="25">
        <f t="array" ref="BD117">INDEX(KOMBI!$A$1:$GI$145,ROW('KSH järjestus'!BD124),MATCH('KSH järjestus'!BD$3,KOMBI!$A$1:$GI$1,0))</f>
        <v>-111.63831369909104</v>
      </c>
      <c r="BE117" s="25">
        <f t="array" ref="BE117">INDEX(KOMBI!$A$1:$GI$145,ROW('KSH järjestus'!BE124),MATCH('KSH järjestus'!BE$3,KOMBI!$A$1:$GI$1,0))</f>
        <v>259.26624854914786</v>
      </c>
      <c r="BF117" s="25">
        <f t="array" aca="1" ref="BF117" ca="1">INDEX(KOMBI!$A$1:$GI$145,ROW('KSH järjestus'!BF124),MATCH('KSH järjestus'!BF$3,KOMBI!$A$1:$GI$1,0))</f>
        <v>0</v>
      </c>
      <c r="BG117" s="25">
        <f t="array" ref="BG117">INDEX(KOMBI!$A$1:$GI$145,ROW('KSH järjestus'!BG124),MATCH('KSH järjestus'!BG$3,KOMBI!$A$1:$GI$1,0))</f>
        <v>0.45957835903449201</v>
      </c>
      <c r="BH117" s="25">
        <f t="array" ref="BH117">INDEX(KOMBI!$A$1:$GI$145,ROW('KSH järjestus'!BH124),MATCH('KSH järjestus'!BH$3,KOMBI!$A$1:$GI$1,0))</f>
        <v>90</v>
      </c>
      <c r="BI117" s="25">
        <f t="array" ref="BI117">INDEX(KOMBI!$A$1:$GI$145,ROW('KSH järjestus'!BI124),MATCH('KSH järjestus'!BI$3,KOMBI!$A$1:$GI$1,0))</f>
        <v>0.72887234460741646</v>
      </c>
      <c r="BJ117" s="25">
        <f t="array" ref="BJ117">INDEX(KOMBI!$A$1:$GI$145,ROW('KSH järjestus'!BJ124),MATCH('KSH järjestus'!BJ$3,KOMBI!$A$1:$GI$1,0))</f>
        <v>6.6265060240963902E-2</v>
      </c>
      <c r="BK117" s="25">
        <f t="array" ref="BK117">INDEX(KOMBI!$A$1:$GI$145,ROW('KSH järjestus'!BK124),MATCH('KSH järjestus'!BK$3,KOMBI!$A$1:$GI$1,0))</f>
        <v>0.40982462181179752</v>
      </c>
      <c r="BL117" s="25">
        <f t="array" ref="BL117">INDEX(KOMBI!$A$1:$GI$145,ROW('KSH järjestus'!BL124),MATCH('KSH järjestus'!BL$3,KOMBI!$A$1:$GI$1,0))</f>
        <v>2.6271421727990452E-2</v>
      </c>
      <c r="BM117" s="25">
        <f t="array" ref="BM117">INDEX(KOMBI!$A$1:$GI$145,ROW('KSH järjestus'!BM124),MATCH('KSH järjestus'!BM$3,KOMBI!$A$1:$GI$1,0))</f>
        <v>3.9613411995581375E-3</v>
      </c>
      <c r="BN117" s="25">
        <f t="array" ref="BN117">INDEX(KOMBI!$A$1:$GI$145,ROW('KSH järjestus'!BN124),MATCH('KSH järjestus'!BN$3,KOMBI!$A$1:$GI$1,0))</f>
        <v>8.8902553047574828E-3</v>
      </c>
      <c r="BO117" s="25">
        <f t="array" ref="BO117">INDEX(KOMBI!$A$1:$GI$145,ROW('KSH järjestus'!BO124),MATCH('KSH järjestus'!BO$3,KOMBI!$A$1:$GI$1,0))</f>
        <v>1.7589760358352576E-2</v>
      </c>
      <c r="BP117" s="25">
        <f t="array" ref="BP117">INDEX(KOMBI!$A$1:$GI$145,ROW('KSH järjestus'!BP124),MATCH('KSH järjestus'!BP$3,KOMBI!$A$1:$GI$1,0))</f>
        <v>7.7603156794471024</v>
      </c>
      <c r="BQ117" s="25">
        <f t="array" ref="BQ117">INDEX(KOMBI!$A$1:$GI$145,ROW('KSH järjestus'!BQ124),MATCH('KSH järjestus'!BQ$3,KOMBI!$A$1:$GI$1,0))</f>
        <v>10.207000000000001</v>
      </c>
      <c r="BR117" s="25">
        <f t="array" ref="BR117">INDEX(KOMBI!$A$1:$GI$145,ROW('KSH järjestus'!BR124),MATCH('KSH järjestus'!BR$3,KOMBI!$A$1:$GI$1,0))</f>
        <v>-3.5844168110158017E-2</v>
      </c>
      <c r="BS117" s="25">
        <f t="array" ref="BS117">INDEX(KOMBI!$A$1:$GI$145,ROW('KSH järjestus'!BS124),MATCH('KSH järjestus'!BS$3,KOMBI!$A$1:$GI$1,0))</f>
        <v>-4.9498468735647921E-2</v>
      </c>
      <c r="BT117" s="25">
        <f t="array" ref="BT117">INDEX(KOMBI!$A$1:$GI$145,ROW('KSH järjestus'!BT124),MATCH('KSH järjestus'!BT$3,KOMBI!$A$1:$GI$1,0))</f>
        <v>-6.6526080129403448E-2</v>
      </c>
      <c r="BU117" s="25">
        <f t="array" ref="BU117">INDEX(KOMBI!$A$1:$GI$145,ROW('KSH järjestus'!BU124),MATCH('KSH järjestus'!BU$3,KOMBI!$A$1:$GI$1,0))</f>
        <v>7.494282692299028</v>
      </c>
      <c r="BV117" s="25">
        <f t="array" ref="BV117">INDEX(KOMBI!$A$1:$GI$145,ROW('KSH järjestus'!BV124),MATCH('KSH järjestus'!BV$3,KOMBI!$A$1:$GI$1,0))</f>
        <v>5.0650000000000004</v>
      </c>
      <c r="BW117" s="25">
        <f t="array" ref="BW117">INDEX(KOMBI!$A$1:$GI$145,ROW('KSH järjestus'!BW124),MATCH('KSH järjestus'!BW$3,KOMBI!$A$1:$GI$1,0))</f>
        <v>1.7830849906373201</v>
      </c>
      <c r="BX117" s="25">
        <f t="array" ref="BX117">INDEX(KOMBI!$A$1:$GI$145,ROW('KSH järjestus'!BX124),MATCH('KSH järjestus'!BX$3,KOMBI!$A$1:$GI$1,0))</f>
        <v>17.167861099430585</v>
      </c>
      <c r="BY117" s="25">
        <f t="array" ref="BY117">INDEX(KOMBI!$A$1:$GI$145,ROW('KSH järjestus'!BY124),MATCH('KSH järjestus'!BY$3,KOMBI!$A$1:$GI$1,0))</f>
        <v>11.869077976340797</v>
      </c>
      <c r="BZ117" s="25">
        <f t="array" ref="BZ117">INDEX(KOMBI!$A$1:$GI$145,ROW('KSH järjestus'!BZ124),MATCH('KSH järjestus'!BZ$3,KOMBI!$A$1:$GI$1,0))</f>
        <v>69</v>
      </c>
      <c r="CA117" s="25">
        <f t="array" ref="CA117">INDEX(KOMBI!$A$1:$GI$145,ROW('KSH järjestus'!CA124),MATCH('KSH järjestus'!CA$3,KOMBI!$A$1:$GI$1,0))</f>
        <v>13.231</v>
      </c>
      <c r="CB117" s="25">
        <f t="array" ref="CB117">INDEX(KOMBI!$A$1:$GI$145,ROW('KSH järjestus'!CB124),MATCH('KSH järjestus'!CB$3,KOMBI!$A$1:$GI$1,0))</f>
        <v>59.478888888888889</v>
      </c>
      <c r="CC117" s="25">
        <f t="array" ref="CC117">INDEX(KOMBI!$A$1:$GI$145,ROW('KSH järjestus'!CC124),MATCH('KSH järjestus'!CC$3,KOMBI!$A$1:$GI$1,0))</f>
        <v>4.8061670000000003</v>
      </c>
      <c r="CD117" s="25">
        <f t="array" ref="CD117">INDEX(KOMBI!$A$1:$GI$145,ROW('KSH järjestus'!CD124),MATCH('KSH järjestus'!CD$3,KOMBI!$A$1:$GI$1,0))</f>
        <v>294.39999999999998</v>
      </c>
      <c r="CE117" s="25">
        <f t="array" ref="CE117">INDEX(KOMBI!$A$1:$GI$145,ROW('KSH järjestus'!CE124),MATCH('KSH järjestus'!CE$3,KOMBI!$A$1:$GI$1,0))</f>
        <v>2.8759999999999999</v>
      </c>
      <c r="CF117" s="25">
        <f t="array" ref="CF117">INDEX(KOMBI!$A$1:$GI$145,ROW('KSH järjestus'!CF124),MATCH('KSH järjestus'!CF$3,KOMBI!$A$1:$GI$1,0))</f>
        <v>45.072900516795862</v>
      </c>
      <c r="CG117" s="25">
        <f t="array" ref="CG117">INDEX(KOMBI!$A$1:$GI$145,ROW('KSH järjestus'!CG124),MATCH('KSH järjestus'!CG$3,KOMBI!$A$1:$GI$1,0))</f>
        <v>8.9622522089166823E-2</v>
      </c>
      <c r="CH117" s="25">
        <f t="array" ref="CH117">INDEX(KOMBI!$A$1:$GI$145,ROW('KSH järjestus'!CH124),MATCH('KSH järjestus'!CH$3,KOMBI!$A$1:$GI$1,0))</f>
        <v>0.50575663408967231</v>
      </c>
      <c r="CI117" s="25">
        <f t="array" ref="CI117">INDEX(KOMBI!$A$1:$GI$145,ROW('KSH järjestus'!CI124),MATCH('KSH järjestus'!CI$3,KOMBI!$A$1:$GI$1,0))</f>
        <v>6.28</v>
      </c>
      <c r="CJ117" s="25">
        <f t="array" ref="CJ117">INDEX(KOMBI!$A$1:$GI$145,ROW('KSH järjestus'!CJ124),MATCH('KSH järjestus'!CJ$3,KOMBI!$A$1:$GI$1,0))</f>
        <v>3.0048849906373198</v>
      </c>
      <c r="CK117" s="25">
        <f t="array" ref="CK117">INDEX(KOMBI!$A$1:$GI$145,ROW('KSH järjestus'!CK124),MATCH('KSH järjestus'!CK$3,KOMBI!$A$1:$GI$1,0))</f>
        <v>0.21099999999999999</v>
      </c>
      <c r="CL117" s="25">
        <f t="array" ref="CL117">INDEX(KOMBI!$A$1:$GI$145,ROW('KSH järjestus'!CL124),MATCH('KSH järjestus'!CL$3,KOMBI!$A$1:$GI$1,0))</f>
        <v>0.76300000000000001</v>
      </c>
    </row>
    <row r="118" spans="3:90" x14ac:dyDescent="0.2">
      <c r="C118" s="184">
        <v>115</v>
      </c>
      <c r="G118" s="25">
        <f>RANK(INDEX(KOMBI!$A$11:$GI$145,MATCH('KSH järjestus'!$C118,KOMBI!$A$11:$A$145,0),MATCH('KSH järjestus'!G$3,KOMBI!$A$1:$GI$1,0)),BD$4:BD$138,G$2)</f>
        <v>61</v>
      </c>
      <c r="H118" s="25">
        <f>RANK(INDEX(KOMBI!$A$11:$GI$145,MATCH('KSH järjestus'!$C118,KOMBI!$A$11:$A$145,0),MATCH('KSH järjestus'!H$3,KOMBI!$A$1:$GI$1,0)),BE$4:BE$138,H$2)</f>
        <v>64</v>
      </c>
      <c r="J118" s="25">
        <f>RANK(INDEX(KOMBI!$A$11:$GI$145,MATCH('KSH järjestus'!$C118,KOMBI!$A$11:$A$145,0),MATCH('KSH järjestus'!J$3,KOMBI!$A$1:$GI$1,0)),BG$4:BG$138,J$2)</f>
        <v>120</v>
      </c>
      <c r="M118" s="25">
        <f>RANK(INDEX(KOMBI!$A$11:$GI$145,MATCH('KSH järjestus'!$C118,KOMBI!$A$11:$A$145,0),MATCH('KSH järjestus'!M$3,KOMBI!$A$1:$GI$1,0)),BJ$4:BJ$138,M$2)</f>
        <v>109</v>
      </c>
      <c r="N118" s="25">
        <f>RANK(INDEX(KOMBI!$A$11:$GI$145,MATCH('KSH järjestus'!$C118,KOMBI!$A$11:$A$145,0),MATCH('KSH järjestus'!N$3,KOMBI!$A$1:$GI$1,0)),BK$4:BK$138,N$2)</f>
        <v>4</v>
      </c>
      <c r="O118" s="25">
        <f>RANK(INDEX(KOMBI!$A$11:$GI$145,MATCH('KSH järjestus'!$C118,KOMBI!$A$11:$A$145,0),MATCH('KSH järjestus'!O$3,KOMBI!$A$1:$GI$1,0)),BL$4:BL$138,O$2)</f>
        <v>88</v>
      </c>
      <c r="P118" s="25">
        <f>RANK(INDEX(KOMBI!$A$11:$GI$145,MATCH('KSH järjestus'!$C118,KOMBI!$A$11:$A$145,0),MATCH('KSH järjestus'!P$3,KOMBI!$A$1:$GI$1,0)),BM$4:BM$138,P$2)</f>
        <v>23</v>
      </c>
      <c r="Q118" s="25">
        <f>RANK(INDEX(KOMBI!$A$11:$GI$145,MATCH('KSH järjestus'!$C118,KOMBI!$A$11:$A$145,0),MATCH('KSH järjestus'!Q$3,KOMBI!$A$1:$GI$1,0)),BN$4:BN$138,Q$2)</f>
        <v>86</v>
      </c>
      <c r="R118" s="25">
        <f>RANK(INDEX(KOMBI!$A$11:$GI$145,MATCH('KSH järjestus'!$C118,KOMBI!$A$11:$A$145,0),MATCH('KSH järjestus'!R$3,KOMBI!$A$1:$GI$1,0)),BO$4:BO$138,R$2)</f>
        <v>93</v>
      </c>
      <c r="T118" s="25">
        <f>RANK(INDEX(KOMBI!$A$11:$GI$145,MATCH('KSH järjestus'!$C118,KOMBI!$A$11:$A$145,0),MATCH('KSH järjestus'!T$3,KOMBI!$A$1:$GI$1,0)),BQ$4:BQ$138,T$2)</f>
        <v>3</v>
      </c>
      <c r="U118" s="25">
        <f>RANK(INDEX(KOMBI!$A$11:$GI$145,MATCH('KSH järjestus'!$C118,KOMBI!$A$11:$A$145,0),MATCH('KSH järjestus'!U$3,KOMBI!$A$1:$GI$1,0)),BR$4:BR$138,U$2)</f>
        <v>4</v>
      </c>
      <c r="AA118" s="25">
        <f>RANK(INDEX(KOMBI!$A$11:$GI$145,MATCH('KSH järjestus'!$C118,KOMBI!$A$11:$A$145,0),MATCH('KSH järjestus'!AA$3,KOMBI!$A$1:$GI$1,0)),BX$4:BX$138,AA$2)</f>
        <v>13</v>
      </c>
      <c r="AB118" s="25">
        <f>RANK(INDEX(KOMBI!$A$11:$GI$145,MATCH('KSH järjestus'!$C118,KOMBI!$A$11:$A$145,0),MATCH('KSH järjestus'!AB$3,KOMBI!$A$1:$GI$1,0)),BY$4:BY$138,AB$2)</f>
        <v>10</v>
      </c>
      <c r="AC118" s="25">
        <f>RANK(INDEX(KOMBI!$A$11:$GI$145,MATCH('KSH järjestus'!$C118,KOMBI!$A$11:$A$145,0),MATCH('KSH järjestus'!AC$3,KOMBI!$A$1:$GI$1,0)),BZ$4:BZ$138,AC$2)</f>
        <v>49</v>
      </c>
      <c r="AD118" s="25">
        <f>RANK(INDEX(KOMBI!$A$11:$GI$145,MATCH('KSH järjestus'!$C118,KOMBI!$A$11:$A$145,0),MATCH('KSH järjestus'!AD$3,KOMBI!$A$1:$GI$1,0)),CA$4:CA$138,AD$2)</f>
        <v>3</v>
      </c>
      <c r="AE118" s="25">
        <f>RANK(INDEX(KOMBI!$A$11:$GI$145,MATCH('KSH järjestus'!$C118,KOMBI!$A$11:$A$145,0),MATCH('KSH järjestus'!AE$3,KOMBI!$A$1:$GI$1,0)),CB$4:CB$138,AE$2)</f>
        <v>3</v>
      </c>
      <c r="AG118" s="25">
        <f>RANK(INDEX(KOMBI!$A$11:$GI$145,MATCH('KSH järjestus'!$C118,KOMBI!$A$11:$A$145,0),MATCH('KSH järjestus'!AG$3,KOMBI!$A$1:$GI$1,0)),CD$4:CD$138,AG$2)</f>
        <v>28</v>
      </c>
      <c r="AH118" s="25">
        <f>RANK(INDEX(KOMBI!$A$11:$GI$145,MATCH('KSH järjestus'!$C118,KOMBI!$A$11:$A$145,0),MATCH('KSH järjestus'!AH$3,KOMBI!$A$1:$GI$1,0)),CE$4:CE$138,AH$2)</f>
        <v>46</v>
      </c>
      <c r="AI118" s="25">
        <f>RANK(INDEX(KOMBI!$A$11:$GI$145,MATCH('KSH järjestus'!$C118,KOMBI!$A$11:$A$145,0),MATCH('KSH järjestus'!AI$3,KOMBI!$A$1:$GI$1,0)),CF$4:CF$138,AI$2)</f>
        <v>4</v>
      </c>
      <c r="AJ118" s="25">
        <f>RANK(INDEX(KOMBI!$A$11:$GI$145,MATCH('KSH järjestus'!$C118,KOMBI!$A$11:$A$145,0),MATCH('KSH järjestus'!AJ$3,KOMBI!$A$1:$GI$1,0)),CG$4:CG$138,AJ$2)</f>
        <v>40</v>
      </c>
      <c r="AK118" s="25">
        <f>RANK(INDEX(KOMBI!$A$11:$GI$145,MATCH('KSH järjestus'!$C118,KOMBI!$A$11:$A$145,0),MATCH('KSH järjestus'!AK$3,KOMBI!$A$1:$GI$1,0)),CH$4:CH$138,AK$2)</f>
        <v>4</v>
      </c>
      <c r="AN118" s="25">
        <f>RANK(INDEX(KOMBI!$A$11:$GI$145,MATCH('KSH järjestus'!$C118,KOMBI!$A$11:$A$145,0),MATCH('KSH järjestus'!AN$3,KOMBI!$A$1:$GI$1,0)),CK$4:CK$138,AN$2)</f>
        <v>46</v>
      </c>
      <c r="AO118" s="25">
        <f>RANK(INDEX(KOMBI!$A$11:$GI$145,MATCH('KSH järjestus'!$C118,KOMBI!$A$11:$A$145,0),MATCH('KSH järjestus'!AO$3,KOMBI!$A$1:$GI$1,0)),CL$4:CL$138,AO$2)</f>
        <v>46</v>
      </c>
      <c r="AS118" s="297">
        <f t="shared" si="7"/>
        <v>947</v>
      </c>
      <c r="AT118" s="25">
        <f t="shared" si="5"/>
        <v>2041</v>
      </c>
      <c r="AU118" s="25">
        <f t="shared" si="6"/>
        <v>11</v>
      </c>
      <c r="AV118" s="295" t="str">
        <f>VLOOKUP(VLOOKUP($AU118,KOMBI!$A:$H,3,FALSE),data!$I$27:$J$29,2,FALSE)</f>
        <v>Mittesekkuv</v>
      </c>
      <c r="AW118" s="295" t="str">
        <f>VLOOKUP(VLOOKUP($AU118,KOMBI!$A:$H,2,FALSE),data!$I$21:$J$23,2,FALSE)</f>
        <v>Mittesekkuv</v>
      </c>
      <c r="AX118" s="295" t="str">
        <f>VLOOKUP(VLOOKUP($AU118,KOMBI!$A:$H,5,FALSE),data!$I$39:$J$41,2,FALSE)</f>
        <v>Vähe-sekkuv</v>
      </c>
      <c r="AY118" s="295" t="str">
        <f>VLOOKUP(VLOOKUP($AU118,KOMBI!$A:$H,4,FALSE),data!$I$32:$J$36,2,FALSE)</f>
        <v>TE++</v>
      </c>
      <c r="BA118" s="25">
        <f t="array" ref="BA118">INDEX(KOMBI!$A$1:$GI$145,ROW('KSH järjestus'!BA125),MATCH('KSH järjestus'!BA$3,KOMBI!$A$1:$GI$1,0))</f>
        <v>9.9219607641522458</v>
      </c>
      <c r="BB118" s="25">
        <f t="array" ref="BB118">INDEX(KOMBI!$A$1:$GI$145,ROW('KSH järjestus'!BB125),MATCH('KSH järjestus'!BB$3,KOMBI!$A$1:$GI$1,0))</f>
        <v>330.97739632402681</v>
      </c>
      <c r="BC118" s="25">
        <f t="array" aca="1" ref="BC118" ca="1">INDEX(KOMBI!$A$1:$GI$145,ROW('KSH järjestus'!BC125),MATCH('KSH järjestus'!BC$3,KOMBI!$A$1:$GI$1,0))</f>
        <v>92.281398625137498</v>
      </c>
      <c r="BD118" s="25">
        <f t="array" ref="BD118">INDEX(KOMBI!$A$1:$GI$145,ROW('KSH järjestus'!BD125),MATCH('KSH järjestus'!BD$3,KOMBI!$A$1:$GI$1,0))</f>
        <v>-77.297499999999999</v>
      </c>
      <c r="BE118" s="25">
        <f t="array" ref="BE118">INDEX(KOMBI!$A$1:$GI$145,ROW('KSH järjestus'!BE125),MATCH('KSH järjestus'!BE$3,KOMBI!$A$1:$GI$1,0))</f>
        <v>169.5788986251375</v>
      </c>
      <c r="BF118" s="25">
        <f t="array" aca="1" ref="BF118" ca="1">INDEX(KOMBI!$A$1:$GI$145,ROW('KSH järjestus'!BF125),MATCH('KSH järjestus'!BF$3,KOMBI!$A$1:$GI$1,0))</f>
        <v>0</v>
      </c>
      <c r="BG118" s="25">
        <f t="array" ref="BG118">INDEX(KOMBI!$A$1:$GI$145,ROW('KSH järjestus'!BG125),MATCH('KSH järjestus'!BG$3,KOMBI!$A$1:$GI$1,0))</f>
        <v>0.64273923493859653</v>
      </c>
      <c r="BH118" s="25">
        <f t="array" ref="BH118">INDEX(KOMBI!$A$1:$GI$145,ROW('KSH järjestus'!BH125),MATCH('KSH järjestus'!BH$3,KOMBI!$A$1:$GI$1,0))</f>
        <v>90</v>
      </c>
      <c r="BI118" s="25">
        <f t="array" ref="BI118">INDEX(KOMBI!$A$1:$GI$145,ROW('KSH järjestus'!BI125),MATCH('KSH järjestus'!BI$3,KOMBI!$A$1:$GI$1,0))</f>
        <v>1</v>
      </c>
      <c r="BJ118" s="25">
        <f t="array" ref="BJ118">INDEX(KOMBI!$A$1:$GI$145,ROW('KSH järjestus'!BJ125),MATCH('KSH järjestus'!BJ$3,KOMBI!$A$1:$GI$1,0))</f>
        <v>0.36609829488465395</v>
      </c>
      <c r="BK118" s="25">
        <f t="array" ref="BK118">INDEX(KOMBI!$A$1:$GI$145,ROW('KSH järjestus'!BK125),MATCH('KSH järjestus'!BK$3,KOMBI!$A$1:$GI$1,0))</f>
        <v>0.6351575313088188</v>
      </c>
      <c r="BL118" s="25">
        <f t="array" ref="BL118">INDEX(KOMBI!$A$1:$GI$145,ROW('KSH järjestus'!BL125),MATCH('KSH järjestus'!BL$3,KOMBI!$A$1:$GI$1,0))</f>
        <v>1.2874436806605129E-2</v>
      </c>
      <c r="BM118" s="25">
        <f t="array" ref="BM118">INDEX(KOMBI!$A$1:$GI$145,ROW('KSH järjestus'!BM125),MATCH('KSH järjestus'!BM$3,KOMBI!$A$1:$GI$1,0))</f>
        <v>6.7453953777951593E-3</v>
      </c>
      <c r="BN118" s="25">
        <f t="array" ref="BN118">INDEX(KOMBI!$A$1:$GI$145,ROW('KSH järjestus'!BN125),MATCH('KSH järjestus'!BN$3,KOMBI!$A$1:$GI$1,0))</f>
        <v>3.1268508575636733E-3</v>
      </c>
      <c r="BO118" s="25">
        <f t="array" ref="BO118">INDEX(KOMBI!$A$1:$GI$145,ROW('KSH järjestus'!BO125),MATCH('KSH järjestus'!BO$3,KOMBI!$A$1:$GI$1,0))</f>
        <v>9.8231452968222301E-3</v>
      </c>
      <c r="BP118" s="25">
        <f t="array" ref="BP118">INDEX(KOMBI!$A$1:$GI$145,ROW('KSH järjestus'!BP125),MATCH('KSH järjestus'!BP$3,KOMBI!$A$1:$GI$1,0))</f>
        <v>7.7898313570900957</v>
      </c>
      <c r="BQ118" s="25">
        <f t="array" ref="BQ118">INDEX(KOMBI!$A$1:$GI$145,ROW('KSH järjestus'!BQ125),MATCH('KSH järjestus'!BQ$3,KOMBI!$A$1:$GI$1,0))</f>
        <v>9.3460000000000001</v>
      </c>
      <c r="BR118" s="25">
        <f t="array" ref="BR118">INDEX(KOMBI!$A$1:$GI$145,ROW('KSH järjestus'!BR125),MATCH('KSH järjestus'!BR$3,KOMBI!$A$1:$GI$1,0))</f>
        <v>-6.4537325222161823E-2</v>
      </c>
      <c r="BS118" s="25">
        <f t="array" ref="BS118">INDEX(KOMBI!$A$1:$GI$145,ROW('KSH järjestus'!BS125),MATCH('KSH järjestus'!BS$3,KOMBI!$A$1:$GI$1,0))</f>
        <v>-0.19196582587804284</v>
      </c>
      <c r="BT118" s="25">
        <f t="array" ref="BT118">INDEX(KOMBI!$A$1:$GI$145,ROW('KSH järjestus'!BT125),MATCH('KSH järjestus'!BT$3,KOMBI!$A$1:$GI$1,0))</f>
        <v>-0.1183805860857611</v>
      </c>
      <c r="BU118" s="25">
        <f t="array" ref="BU118">INDEX(KOMBI!$A$1:$GI$145,ROW('KSH järjestus'!BU125),MATCH('KSH järjestus'!BU$3,KOMBI!$A$1:$GI$1,0))</f>
        <v>3.8233975506064017</v>
      </c>
      <c r="BV118" s="25">
        <f t="array" ref="BV118">INDEX(KOMBI!$A$1:$GI$145,ROW('KSH järjestus'!BV125),MATCH('KSH järjestus'!BV$3,KOMBI!$A$1:$GI$1,0))</f>
        <v>1.337</v>
      </c>
      <c r="BW118" s="25">
        <f t="array" ref="BW118">INDEX(KOMBI!$A$1:$GI$145,ROW('KSH järjestus'!BW125),MATCH('KSH järjestus'!BW$3,KOMBI!$A$1:$GI$1,0))</f>
        <v>1.19688499063732</v>
      </c>
      <c r="BX118" s="25">
        <f t="array" ref="BX118">INDEX(KOMBI!$A$1:$GI$145,ROW('KSH järjestus'!BX125),MATCH('KSH järjestus'!BX$3,KOMBI!$A$1:$GI$1,0))</f>
        <v>16.731721793242819</v>
      </c>
      <c r="BY118" s="25">
        <f t="array" ref="BY118">INDEX(KOMBI!$A$1:$GI$145,ROW('KSH järjestus'!BY125),MATCH('KSH järjestus'!BY$3,KOMBI!$A$1:$GI$1,0))</f>
        <v>6.6556988012134219</v>
      </c>
      <c r="BZ118" s="25">
        <f t="array" ref="BZ118">INDEX(KOMBI!$A$1:$GI$145,ROW('KSH järjestus'!BZ125),MATCH('KSH järjestus'!BZ$3,KOMBI!$A$1:$GI$1,0))</f>
        <v>74</v>
      </c>
      <c r="CA118" s="25">
        <f t="array" ref="CA118">INDEX(KOMBI!$A$1:$GI$145,ROW('KSH järjestus'!CA125),MATCH('KSH järjestus'!CA$3,KOMBI!$A$1:$GI$1,0))</f>
        <v>8.77</v>
      </c>
      <c r="CB118" s="25">
        <f t="array" ref="CB118">INDEX(KOMBI!$A$1:$GI$145,ROW('KSH järjestus'!CB125),MATCH('KSH järjestus'!CB$3,KOMBI!$A$1:$GI$1,0))</f>
        <v>35.191944444444445</v>
      </c>
      <c r="CC118" s="25">
        <f t="array" ref="CC118">INDEX(KOMBI!$A$1:$GI$145,ROW('KSH järjestus'!CC125),MATCH('KSH järjestus'!CC$3,KOMBI!$A$1:$GI$1,0))</f>
        <v>3.7095039999999999</v>
      </c>
      <c r="CD118" s="25">
        <f t="array" ref="CD118">INDEX(KOMBI!$A$1:$GI$145,ROW('KSH järjestus'!CD125),MATCH('KSH järjestus'!CD$3,KOMBI!$A$1:$GI$1,0))</f>
        <v>294.5</v>
      </c>
      <c r="CE118" s="25">
        <f t="array" ref="CE118">INDEX(KOMBI!$A$1:$GI$145,ROW('KSH järjestus'!CE125),MATCH('KSH järjestus'!CE$3,KOMBI!$A$1:$GI$1,0))</f>
        <v>2.8759999999999999</v>
      </c>
      <c r="CF118" s="25">
        <f t="array" ref="CF118">INDEX(KOMBI!$A$1:$GI$145,ROW('KSH järjestus'!CF125),MATCH('KSH järjestus'!CF$3,KOMBI!$A$1:$GI$1,0))</f>
        <v>40.166388888888889</v>
      </c>
      <c r="CG118" s="25">
        <f t="array" ref="CG118">INDEX(KOMBI!$A$1:$GI$145,ROW('KSH järjestus'!CG125),MATCH('KSH järjestus'!CG$3,KOMBI!$A$1:$GI$1,0))</f>
        <v>2.4608217929567841E-2</v>
      </c>
      <c r="CH118" s="25">
        <f t="array" ref="CH118">INDEX(KOMBI!$A$1:$GI$145,ROW('KSH järjestus'!CH125),MATCH('KSH järjestus'!CH$3,KOMBI!$A$1:$GI$1,0))</f>
        <v>0.54282086356383619</v>
      </c>
      <c r="CI118" s="25">
        <f t="array" ref="CI118">INDEX(KOMBI!$A$1:$GI$145,ROW('KSH järjestus'!CI125),MATCH('KSH järjestus'!CI$3,KOMBI!$A$1:$GI$1,0))</f>
        <v>10.870000000000001</v>
      </c>
      <c r="CJ118" s="25">
        <f t="array" ref="CJ118">INDEX(KOMBI!$A$1:$GI$145,ROW('KSH järjestus'!CJ125),MATCH('KSH järjestus'!CJ$3,KOMBI!$A$1:$GI$1,0))</f>
        <v>1.97688499063732</v>
      </c>
      <c r="CK118" s="25">
        <f t="array" ref="CK118">INDEX(KOMBI!$A$1:$GI$145,ROW('KSH järjestus'!CK125),MATCH('KSH järjestus'!CK$3,KOMBI!$A$1:$GI$1,0))</f>
        <v>0.21099999999999999</v>
      </c>
      <c r="CL118" s="25">
        <f t="array" ref="CL118">INDEX(KOMBI!$A$1:$GI$145,ROW('KSH järjestus'!CL125),MATCH('KSH järjestus'!CL$3,KOMBI!$A$1:$GI$1,0))</f>
        <v>0.76300000000000001</v>
      </c>
    </row>
    <row r="119" spans="3:90" x14ac:dyDescent="0.2">
      <c r="C119" s="184">
        <v>116</v>
      </c>
      <c r="G119" s="25">
        <f>RANK(INDEX(KOMBI!$A$11:$GI$145,MATCH('KSH järjestus'!$C119,KOMBI!$A$11:$A$145,0),MATCH('KSH järjestus'!G$3,KOMBI!$A$1:$GI$1,0)),BD$4:BD$138,G$2)</f>
        <v>56</v>
      </c>
      <c r="H119" s="25">
        <f>RANK(INDEX(KOMBI!$A$11:$GI$145,MATCH('KSH järjestus'!$C119,KOMBI!$A$11:$A$145,0),MATCH('KSH järjestus'!H$3,KOMBI!$A$1:$GI$1,0)),BE$4:BE$138,H$2)</f>
        <v>35</v>
      </c>
      <c r="J119" s="25">
        <f>RANK(INDEX(KOMBI!$A$11:$GI$145,MATCH('KSH järjestus'!$C119,KOMBI!$A$11:$A$145,0),MATCH('KSH järjestus'!J$3,KOMBI!$A$1:$GI$1,0)),BG$4:BG$138,J$2)</f>
        <v>103</v>
      </c>
      <c r="M119" s="25">
        <f>RANK(INDEX(KOMBI!$A$11:$GI$145,MATCH('KSH järjestus'!$C119,KOMBI!$A$11:$A$145,0),MATCH('KSH järjestus'!M$3,KOMBI!$A$1:$GI$1,0)),BJ$4:BJ$138,M$2)</f>
        <v>109</v>
      </c>
      <c r="N119" s="25">
        <f>RANK(INDEX(KOMBI!$A$11:$GI$145,MATCH('KSH järjestus'!$C119,KOMBI!$A$11:$A$145,0),MATCH('KSH järjestus'!N$3,KOMBI!$A$1:$GI$1,0)),BK$4:BK$138,N$2)</f>
        <v>4</v>
      </c>
      <c r="O119" s="25">
        <f>RANK(INDEX(KOMBI!$A$11:$GI$145,MATCH('KSH järjestus'!$C119,KOMBI!$A$11:$A$145,0),MATCH('KSH järjestus'!O$3,KOMBI!$A$1:$GI$1,0)),BL$4:BL$138,O$2)</f>
        <v>48</v>
      </c>
      <c r="P119" s="25">
        <f>RANK(INDEX(KOMBI!$A$11:$GI$145,MATCH('KSH järjestus'!$C119,KOMBI!$A$11:$A$145,0),MATCH('KSH järjestus'!P$3,KOMBI!$A$1:$GI$1,0)),BM$4:BM$138,P$2)</f>
        <v>46</v>
      </c>
      <c r="Q119" s="25">
        <f>RANK(INDEX(KOMBI!$A$11:$GI$145,MATCH('KSH järjestus'!$C119,KOMBI!$A$11:$A$145,0),MATCH('KSH järjestus'!Q$3,KOMBI!$A$1:$GI$1,0)),BN$4:BN$138,Q$2)</f>
        <v>50</v>
      </c>
      <c r="R119" s="25">
        <f>RANK(INDEX(KOMBI!$A$11:$GI$145,MATCH('KSH järjestus'!$C119,KOMBI!$A$11:$A$145,0),MATCH('KSH järjestus'!R$3,KOMBI!$A$1:$GI$1,0)),BO$4:BO$138,R$2)</f>
        <v>52</v>
      </c>
      <c r="T119" s="25">
        <f>RANK(INDEX(KOMBI!$A$11:$GI$145,MATCH('KSH järjestus'!$C119,KOMBI!$A$11:$A$145,0),MATCH('KSH järjestus'!T$3,KOMBI!$A$1:$GI$1,0)),BQ$4:BQ$138,T$2)</f>
        <v>4</v>
      </c>
      <c r="U119" s="25">
        <f>RANK(INDEX(KOMBI!$A$11:$GI$145,MATCH('KSH järjestus'!$C119,KOMBI!$A$11:$A$145,0),MATCH('KSH järjestus'!U$3,KOMBI!$A$1:$GI$1,0)),BR$4:BR$138,U$2)</f>
        <v>5</v>
      </c>
      <c r="AA119" s="25">
        <f>RANK(INDEX(KOMBI!$A$11:$GI$145,MATCH('KSH järjestus'!$C119,KOMBI!$A$11:$A$145,0),MATCH('KSH järjestus'!AA$3,KOMBI!$A$1:$GI$1,0)),BX$4:BX$138,AA$2)</f>
        <v>13</v>
      </c>
      <c r="AB119" s="25">
        <f>RANK(INDEX(KOMBI!$A$11:$GI$145,MATCH('KSH järjestus'!$C119,KOMBI!$A$11:$A$145,0),MATCH('KSH järjestus'!AB$3,KOMBI!$A$1:$GI$1,0)),BY$4:BY$138,AB$2)</f>
        <v>10</v>
      </c>
      <c r="AC119" s="25">
        <f>RANK(INDEX(KOMBI!$A$11:$GI$145,MATCH('KSH järjestus'!$C119,KOMBI!$A$11:$A$145,0),MATCH('KSH järjestus'!AC$3,KOMBI!$A$1:$GI$1,0)),BZ$4:BZ$138,AC$2)</f>
        <v>54</v>
      </c>
      <c r="AD119" s="25">
        <f>RANK(INDEX(KOMBI!$A$11:$GI$145,MATCH('KSH järjestus'!$C119,KOMBI!$A$11:$A$145,0),MATCH('KSH järjestus'!AD$3,KOMBI!$A$1:$GI$1,0)),CA$4:CA$138,AD$2)</f>
        <v>4</v>
      </c>
      <c r="AE119" s="25">
        <f>RANK(INDEX(KOMBI!$A$11:$GI$145,MATCH('KSH järjestus'!$C119,KOMBI!$A$11:$A$145,0),MATCH('KSH järjestus'!AE$3,KOMBI!$A$1:$GI$1,0)),CB$4:CB$138,AE$2)</f>
        <v>5</v>
      </c>
      <c r="AG119" s="25">
        <f>RANK(INDEX(KOMBI!$A$11:$GI$145,MATCH('KSH järjestus'!$C119,KOMBI!$A$11:$A$145,0),MATCH('KSH järjestus'!AG$3,KOMBI!$A$1:$GI$1,0)),CD$4:CD$138,AG$2)</f>
        <v>28</v>
      </c>
      <c r="AH119" s="25">
        <f>RANK(INDEX(KOMBI!$A$11:$GI$145,MATCH('KSH järjestus'!$C119,KOMBI!$A$11:$A$145,0),MATCH('KSH järjestus'!AH$3,KOMBI!$A$1:$GI$1,0)),CE$4:CE$138,AH$2)</f>
        <v>46</v>
      </c>
      <c r="AI119" s="25">
        <f>RANK(INDEX(KOMBI!$A$11:$GI$145,MATCH('KSH järjestus'!$C119,KOMBI!$A$11:$A$145,0),MATCH('KSH järjestus'!AI$3,KOMBI!$A$1:$GI$1,0)),CF$4:CF$138,AI$2)</f>
        <v>4</v>
      </c>
      <c r="AJ119" s="25">
        <f>RANK(INDEX(KOMBI!$A$11:$GI$145,MATCH('KSH järjestus'!$C119,KOMBI!$A$11:$A$145,0),MATCH('KSH järjestus'!AJ$3,KOMBI!$A$1:$GI$1,0)),CG$4:CG$138,AJ$2)</f>
        <v>40</v>
      </c>
      <c r="AK119" s="25">
        <f>RANK(INDEX(KOMBI!$A$11:$GI$145,MATCH('KSH järjestus'!$C119,KOMBI!$A$11:$A$145,0),MATCH('KSH järjestus'!AK$3,KOMBI!$A$1:$GI$1,0)),CH$4:CH$138,AK$2)</f>
        <v>4</v>
      </c>
      <c r="AN119" s="25">
        <f>RANK(INDEX(KOMBI!$A$11:$GI$145,MATCH('KSH järjestus'!$C119,KOMBI!$A$11:$A$145,0),MATCH('KSH järjestus'!AN$3,KOMBI!$A$1:$GI$1,0)),CK$4:CK$138,AN$2)</f>
        <v>46</v>
      </c>
      <c r="AO119" s="25">
        <f>RANK(INDEX(KOMBI!$A$11:$GI$145,MATCH('KSH järjestus'!$C119,KOMBI!$A$11:$A$145,0),MATCH('KSH järjestus'!AO$3,KOMBI!$A$1:$GI$1,0)),CL$4:CL$138,AO$2)</f>
        <v>46</v>
      </c>
      <c r="AS119" s="297">
        <f t="shared" si="7"/>
        <v>812</v>
      </c>
      <c r="AT119" s="25">
        <f t="shared" si="5"/>
        <v>2064</v>
      </c>
      <c r="AU119" s="25">
        <f t="shared" si="6"/>
        <v>9</v>
      </c>
      <c r="AV119" s="295" t="str">
        <f>VLOOKUP(VLOOKUP($AU119,KOMBI!$A:$H,3,FALSE),data!$I$27:$J$29,2,FALSE)</f>
        <v>Mittesekkuv</v>
      </c>
      <c r="AW119" s="295" t="str">
        <f>VLOOKUP(VLOOKUP($AU119,KOMBI!$A:$H,2,FALSE),data!$I$21:$J$23,2,FALSE)</f>
        <v>Mittesekkuv</v>
      </c>
      <c r="AX119" s="295" t="str">
        <f>VLOOKUP(VLOOKUP($AU119,KOMBI!$A:$H,5,FALSE),data!$I$39:$J$41,2,FALSE)</f>
        <v>Sekkuv</v>
      </c>
      <c r="AY119" s="295" t="str">
        <f>VLOOKUP(VLOOKUP($AU119,KOMBI!$A:$H,4,FALSE),data!$I$32:$J$36,2,FALSE)</f>
        <v>TE</v>
      </c>
      <c r="BA119" s="25">
        <f t="array" ref="BA119">INDEX(KOMBI!$A$1:$GI$145,ROW('KSH järjestus'!BA126),MATCH('KSH järjestus'!BA$3,KOMBI!$A$1:$GI$1,0))</f>
        <v>10.837872412798088</v>
      </c>
      <c r="BB119" s="25">
        <f t="array" ref="BB119">INDEX(KOMBI!$A$1:$GI$145,ROW('KSH järjestus'!BB126),MATCH('KSH järjestus'!BB$3,KOMBI!$A$1:$GI$1,0))</f>
        <v>491.45742859329005</v>
      </c>
      <c r="BC119" s="25">
        <f t="array" aca="1" ref="BC119" ca="1">INDEX(KOMBI!$A$1:$GI$145,ROW('KSH järjestus'!BC126),MATCH('KSH järjestus'!BC$3,KOMBI!$A$1:$GI$1,0))</f>
        <v>121.44672065367259</v>
      </c>
      <c r="BD119" s="25">
        <f t="array" ref="BD119">INDEX(KOMBI!$A$1:$GI$145,ROW('KSH järjestus'!BD126),MATCH('KSH järjestus'!BD$3,KOMBI!$A$1:$GI$1,0))</f>
        <v>-92.530719880632105</v>
      </c>
      <c r="BE119" s="25">
        <f t="array" ref="BE119">INDEX(KOMBI!$A$1:$GI$145,ROW('KSH järjestus'!BE126),MATCH('KSH järjestus'!BE$3,KOMBI!$A$1:$GI$1,0))</f>
        <v>213.97744053430469</v>
      </c>
      <c r="BF119" s="25">
        <f t="array" aca="1" ref="BF119" ca="1">INDEX(KOMBI!$A$1:$GI$145,ROW('KSH järjestus'!BF126),MATCH('KSH järjestus'!BF$3,KOMBI!$A$1:$GI$1,0))</f>
        <v>0</v>
      </c>
      <c r="BG119" s="25">
        <f t="array" ref="BG119">INDEX(KOMBI!$A$1:$GI$145,ROW('KSH järjestus'!BG126),MATCH('KSH järjestus'!BG$3,KOMBI!$A$1:$GI$1,0))</f>
        <v>0.58990938224442924</v>
      </c>
      <c r="BH119" s="25">
        <f t="array" ref="BH119">INDEX(KOMBI!$A$1:$GI$145,ROW('KSH järjestus'!BH126),MATCH('KSH järjestus'!BH$3,KOMBI!$A$1:$GI$1,0))</f>
        <v>90</v>
      </c>
      <c r="BI119" s="25">
        <f t="array" ref="BI119">INDEX(KOMBI!$A$1:$GI$145,ROW('KSH järjestus'!BI126),MATCH('KSH järjestus'!BI$3,KOMBI!$A$1:$GI$1,0))</f>
        <v>0.72887234460741657</v>
      </c>
      <c r="BJ119" s="25">
        <f t="array" ref="BJ119">INDEX(KOMBI!$A$1:$GI$145,ROW('KSH järjestus'!BJ126),MATCH('KSH järjestus'!BJ$3,KOMBI!$A$1:$GI$1,0))</f>
        <v>0.36609829488465395</v>
      </c>
      <c r="BK119" s="25">
        <f t="array" ref="BK119">INDEX(KOMBI!$A$1:$GI$145,ROW('KSH järjestus'!BK126),MATCH('KSH järjestus'!BK$3,KOMBI!$A$1:$GI$1,0))</f>
        <v>0.6351575313088188</v>
      </c>
      <c r="BL119" s="25">
        <f t="array" ref="BL119">INDEX(KOMBI!$A$1:$GI$145,ROW('KSH järjestus'!BL126),MATCH('KSH järjestus'!BL$3,KOMBI!$A$1:$GI$1,0))</f>
        <v>1.9156829893027461E-2</v>
      </c>
      <c r="BM119" s="25">
        <f t="array" ref="BM119">INDEX(KOMBI!$A$1:$GI$145,ROW('KSH järjestus'!BM126),MATCH('KSH järjestus'!BM$3,KOMBI!$A$1:$GI$1,0))</f>
        <v>4.0523425283795454E-3</v>
      </c>
      <c r="BN119" s="25">
        <f t="array" ref="BN119">INDEX(KOMBI!$A$1:$GI$145,ROW('KSH järjestus'!BN126),MATCH('KSH järjestus'!BN$3,KOMBI!$A$1:$GI$1,0))</f>
        <v>5.6197207189215004E-3</v>
      </c>
      <c r="BO119" s="25">
        <f t="array" ref="BO119">INDEX(KOMBI!$A$1:$GI$145,ROW('KSH järjestus'!BO126),MATCH('KSH järjestus'!BO$3,KOMBI!$A$1:$GI$1,0))</f>
        <v>1.3648031840699057E-2</v>
      </c>
      <c r="BP119" s="25">
        <f t="array" ref="BP119">INDEX(KOMBI!$A$1:$GI$145,ROW('KSH järjestus'!BP126),MATCH('KSH järjestus'!BP$3,KOMBI!$A$1:$GI$1,0))</f>
        <v>7.7898313570900957</v>
      </c>
      <c r="BQ119" s="25">
        <f t="array" ref="BQ119">INDEX(KOMBI!$A$1:$GI$145,ROW('KSH järjestus'!BQ126),MATCH('KSH järjestus'!BQ$3,KOMBI!$A$1:$GI$1,0))</f>
        <v>9.4369999999999994</v>
      </c>
      <c r="BR119" s="25">
        <f t="array" ref="BR119">INDEX(KOMBI!$A$1:$GI$145,ROW('KSH järjestus'!BR126),MATCH('KSH järjestus'!BR$3,KOMBI!$A$1:$GI$1,0))</f>
        <v>-6.0303526210897095E-2</v>
      </c>
      <c r="BS119" s="25">
        <f t="array" ref="BS119">INDEX(KOMBI!$A$1:$GI$145,ROW('KSH järjestus'!BS126),MATCH('KSH järjestus'!BS$3,KOMBI!$A$1:$GI$1,0))</f>
        <v>-0.19063221365840727</v>
      </c>
      <c r="BT119" s="25">
        <f t="array" ref="BT119">INDEX(KOMBI!$A$1:$GI$145,ROW('KSH järjestus'!BT126),MATCH('KSH järjestus'!BT$3,KOMBI!$A$1:$GI$1,0))</f>
        <v>-0.11728162328636715</v>
      </c>
      <c r="BU119" s="25">
        <f t="array" ref="BU119">INDEX(KOMBI!$A$1:$GI$145,ROW('KSH järjestus'!BU126),MATCH('KSH järjestus'!BU$3,KOMBI!$A$1:$GI$1,0))</f>
        <v>3.8233975506064017</v>
      </c>
      <c r="BV119" s="25">
        <f t="array" ref="BV119">INDEX(KOMBI!$A$1:$GI$145,ROW('KSH järjestus'!BV126),MATCH('KSH järjestus'!BV$3,KOMBI!$A$1:$GI$1,0))</f>
        <v>1.337</v>
      </c>
      <c r="BW119" s="25">
        <f t="array" ref="BW119">INDEX(KOMBI!$A$1:$GI$145,ROW('KSH järjestus'!BW126),MATCH('KSH järjestus'!BW$3,KOMBI!$A$1:$GI$1,0))</f>
        <v>1.57438499063732</v>
      </c>
      <c r="BX119" s="25">
        <f t="array" ref="BX119">INDEX(KOMBI!$A$1:$GI$145,ROW('KSH järjestus'!BX126),MATCH('KSH järjestus'!BX$3,KOMBI!$A$1:$GI$1,0))</f>
        <v>16.731721793242819</v>
      </c>
      <c r="BY119" s="25">
        <f t="array" ref="BY119">INDEX(KOMBI!$A$1:$GI$145,ROW('KSH järjestus'!BY126),MATCH('KSH järjestus'!BY$3,KOMBI!$A$1:$GI$1,0))</f>
        <v>6.6556988012134219</v>
      </c>
      <c r="BZ119" s="25">
        <f t="array" ref="BZ119">INDEX(KOMBI!$A$1:$GI$145,ROW('KSH järjestus'!BZ126),MATCH('KSH järjestus'!BZ$3,KOMBI!$A$1:$GI$1,0))</f>
        <v>74.400000000000006</v>
      </c>
      <c r="CA119" s="25">
        <f t="array" ref="CA119">INDEX(KOMBI!$A$1:$GI$145,ROW('KSH järjestus'!CA126),MATCH('KSH järjestus'!CA$3,KOMBI!$A$1:$GI$1,0))</f>
        <v>8.859</v>
      </c>
      <c r="CB119" s="25">
        <f t="array" ref="CB119">INDEX(KOMBI!$A$1:$GI$145,ROW('KSH järjestus'!CB126),MATCH('KSH järjestus'!CB$3,KOMBI!$A$1:$GI$1,0))</f>
        <v>35.532222222222224</v>
      </c>
      <c r="CC119" s="25">
        <f t="array" ref="CC119">INDEX(KOMBI!$A$1:$GI$145,ROW('KSH järjestus'!CC126),MATCH('KSH järjestus'!CC$3,KOMBI!$A$1:$GI$1,0))</f>
        <v>3.7427959999999998</v>
      </c>
      <c r="CD119" s="25">
        <f t="array" ref="CD119">INDEX(KOMBI!$A$1:$GI$145,ROW('KSH järjestus'!CD126),MATCH('KSH järjestus'!CD$3,KOMBI!$A$1:$GI$1,0))</f>
        <v>294.5</v>
      </c>
      <c r="CE119" s="25">
        <f t="array" ref="CE119">INDEX(KOMBI!$A$1:$GI$145,ROW('KSH järjestus'!CE126),MATCH('KSH järjestus'!CE$3,KOMBI!$A$1:$GI$1,0))</f>
        <v>2.8759999999999999</v>
      </c>
      <c r="CF119" s="25">
        <f t="array" ref="CF119">INDEX(KOMBI!$A$1:$GI$145,ROW('KSH järjestus'!CF126),MATCH('KSH järjestus'!CF$3,KOMBI!$A$1:$GI$1,0))</f>
        <v>40.166388888888889</v>
      </c>
      <c r="CG119" s="25">
        <f t="array" ref="CG119">INDEX(KOMBI!$A$1:$GI$145,ROW('KSH järjestus'!CG126),MATCH('KSH järjestus'!CG$3,KOMBI!$A$1:$GI$1,0))</f>
        <v>2.4608217929567841E-2</v>
      </c>
      <c r="CH119" s="25">
        <f t="array" ref="CH119">INDEX(KOMBI!$A$1:$GI$145,ROW('KSH järjestus'!CH126),MATCH('KSH järjestus'!CH$3,KOMBI!$A$1:$GI$1,0))</f>
        <v>0.54282086356383619</v>
      </c>
      <c r="CI119" s="25">
        <f t="array" ref="CI119">INDEX(KOMBI!$A$1:$GI$145,ROW('KSH järjestus'!CI126),MATCH('KSH järjestus'!CI$3,KOMBI!$A$1:$GI$1,0))</f>
        <v>10.870000000000001</v>
      </c>
      <c r="CJ119" s="25">
        <f t="array" ref="CJ119">INDEX(KOMBI!$A$1:$GI$145,ROW('KSH järjestus'!CJ126),MATCH('KSH järjestus'!CJ$3,KOMBI!$A$1:$GI$1,0))</f>
        <v>1.97688499063732</v>
      </c>
      <c r="CK119" s="25">
        <f t="array" ref="CK119">INDEX(KOMBI!$A$1:$GI$145,ROW('KSH järjestus'!CK126),MATCH('KSH järjestus'!CK$3,KOMBI!$A$1:$GI$1,0))</f>
        <v>0.21099999999999999</v>
      </c>
      <c r="CL119" s="25">
        <f t="array" ref="CL119">INDEX(KOMBI!$A$1:$GI$145,ROW('KSH järjestus'!CL126),MATCH('KSH järjestus'!CL$3,KOMBI!$A$1:$GI$1,0))</f>
        <v>0.76300000000000001</v>
      </c>
    </row>
    <row r="120" spans="3:90" x14ac:dyDescent="0.2">
      <c r="C120" s="184">
        <v>117</v>
      </c>
      <c r="G120" s="25">
        <f>RANK(INDEX(KOMBI!$A$11:$GI$145,MATCH('KSH järjestus'!$C120,KOMBI!$A$11:$A$145,0),MATCH('KSH järjestus'!G$3,KOMBI!$A$1:$GI$1,0)),BD$4:BD$138,G$2)</f>
        <v>46</v>
      </c>
      <c r="H120" s="25">
        <f>RANK(INDEX(KOMBI!$A$11:$GI$145,MATCH('KSH järjestus'!$C120,KOMBI!$A$11:$A$145,0),MATCH('KSH järjestus'!H$3,KOMBI!$A$1:$GI$1,0)),BE$4:BE$138,H$2)</f>
        <v>18</v>
      </c>
      <c r="J120" s="25">
        <f>RANK(INDEX(KOMBI!$A$11:$GI$145,MATCH('KSH järjestus'!$C120,KOMBI!$A$11:$A$145,0),MATCH('KSH järjestus'!J$3,KOMBI!$A$1:$GI$1,0)),BG$4:BG$138,J$2)</f>
        <v>103</v>
      </c>
      <c r="M120" s="25">
        <f>RANK(INDEX(KOMBI!$A$11:$GI$145,MATCH('KSH järjestus'!$C120,KOMBI!$A$11:$A$145,0),MATCH('KSH järjestus'!M$3,KOMBI!$A$1:$GI$1,0)),BJ$4:BJ$138,M$2)</f>
        <v>109</v>
      </c>
      <c r="N120" s="25">
        <f>RANK(INDEX(KOMBI!$A$11:$GI$145,MATCH('KSH järjestus'!$C120,KOMBI!$A$11:$A$145,0),MATCH('KSH järjestus'!N$3,KOMBI!$A$1:$GI$1,0)),BK$4:BK$138,N$2)</f>
        <v>4</v>
      </c>
      <c r="O120" s="25">
        <f>RANK(INDEX(KOMBI!$A$11:$GI$145,MATCH('KSH järjestus'!$C120,KOMBI!$A$11:$A$145,0),MATCH('KSH järjestus'!O$3,KOMBI!$A$1:$GI$1,0)),BL$4:BL$138,O$2)</f>
        <v>26</v>
      </c>
      <c r="P120" s="25">
        <f>RANK(INDEX(KOMBI!$A$11:$GI$145,MATCH('KSH järjestus'!$C120,KOMBI!$A$11:$A$145,0),MATCH('KSH järjestus'!P$3,KOMBI!$A$1:$GI$1,0)),BM$4:BM$138,P$2)</f>
        <v>45</v>
      </c>
      <c r="Q120" s="25">
        <f>RANK(INDEX(KOMBI!$A$11:$GI$145,MATCH('KSH järjestus'!$C120,KOMBI!$A$11:$A$145,0),MATCH('KSH järjestus'!Q$3,KOMBI!$A$1:$GI$1,0)),BN$4:BN$138,Q$2)</f>
        <v>37</v>
      </c>
      <c r="R120" s="25">
        <f>RANK(INDEX(KOMBI!$A$11:$GI$145,MATCH('KSH järjestus'!$C120,KOMBI!$A$11:$A$145,0),MATCH('KSH järjestus'!R$3,KOMBI!$A$1:$GI$1,0)),BO$4:BO$138,R$2)</f>
        <v>24</v>
      </c>
      <c r="T120" s="25">
        <f>RANK(INDEX(KOMBI!$A$11:$GI$145,MATCH('KSH järjestus'!$C120,KOMBI!$A$11:$A$145,0),MATCH('KSH järjestus'!T$3,KOMBI!$A$1:$GI$1,0)),BQ$4:BQ$138,T$2)</f>
        <v>6</v>
      </c>
      <c r="U120" s="25">
        <f>RANK(INDEX(KOMBI!$A$11:$GI$145,MATCH('KSH järjestus'!$C120,KOMBI!$A$11:$A$145,0),MATCH('KSH järjestus'!U$3,KOMBI!$A$1:$GI$1,0)),BR$4:BR$138,U$2)</f>
        <v>7</v>
      </c>
      <c r="AA120" s="25">
        <f>RANK(INDEX(KOMBI!$A$11:$GI$145,MATCH('KSH järjestus'!$C120,KOMBI!$A$11:$A$145,0),MATCH('KSH järjestus'!AA$3,KOMBI!$A$1:$GI$1,0)),BX$4:BX$138,AA$2)</f>
        <v>13</v>
      </c>
      <c r="AB120" s="25">
        <f>RANK(INDEX(KOMBI!$A$11:$GI$145,MATCH('KSH järjestus'!$C120,KOMBI!$A$11:$A$145,0),MATCH('KSH järjestus'!AB$3,KOMBI!$A$1:$GI$1,0)),BY$4:BY$138,AB$2)</f>
        <v>10</v>
      </c>
      <c r="AC120" s="25">
        <f>RANK(INDEX(KOMBI!$A$11:$GI$145,MATCH('KSH järjestus'!$C120,KOMBI!$A$11:$A$145,0),MATCH('KSH järjestus'!AC$3,KOMBI!$A$1:$GI$1,0)),BZ$4:BZ$138,AC$2)</f>
        <v>68</v>
      </c>
      <c r="AD120" s="25">
        <f>RANK(INDEX(KOMBI!$A$11:$GI$145,MATCH('KSH järjestus'!$C120,KOMBI!$A$11:$A$145,0),MATCH('KSH järjestus'!AD$3,KOMBI!$A$1:$GI$1,0)),CA$4:CA$138,AD$2)</f>
        <v>6</v>
      </c>
      <c r="AE120" s="25">
        <f>RANK(INDEX(KOMBI!$A$11:$GI$145,MATCH('KSH järjestus'!$C120,KOMBI!$A$11:$A$145,0),MATCH('KSH järjestus'!AE$3,KOMBI!$A$1:$GI$1,0)),CB$4:CB$138,AE$2)</f>
        <v>6</v>
      </c>
      <c r="AG120" s="25">
        <f>RANK(INDEX(KOMBI!$A$11:$GI$145,MATCH('KSH järjestus'!$C120,KOMBI!$A$11:$A$145,0),MATCH('KSH järjestus'!AG$3,KOMBI!$A$1:$GI$1,0)),CD$4:CD$138,AG$2)</f>
        <v>28</v>
      </c>
      <c r="AH120" s="25">
        <f>RANK(INDEX(KOMBI!$A$11:$GI$145,MATCH('KSH järjestus'!$C120,KOMBI!$A$11:$A$145,0),MATCH('KSH järjestus'!AH$3,KOMBI!$A$1:$GI$1,0)),CE$4:CE$138,AH$2)</f>
        <v>46</v>
      </c>
      <c r="AI120" s="25">
        <f>RANK(INDEX(KOMBI!$A$11:$GI$145,MATCH('KSH järjestus'!$C120,KOMBI!$A$11:$A$145,0),MATCH('KSH järjestus'!AI$3,KOMBI!$A$1:$GI$1,0)),CF$4:CF$138,AI$2)</f>
        <v>4</v>
      </c>
      <c r="AJ120" s="25">
        <f>RANK(INDEX(KOMBI!$A$11:$GI$145,MATCH('KSH järjestus'!$C120,KOMBI!$A$11:$A$145,0),MATCH('KSH järjestus'!AJ$3,KOMBI!$A$1:$GI$1,0)),CG$4:CG$138,AJ$2)</f>
        <v>40</v>
      </c>
      <c r="AK120" s="25">
        <f>RANK(INDEX(KOMBI!$A$11:$GI$145,MATCH('KSH järjestus'!$C120,KOMBI!$A$11:$A$145,0),MATCH('KSH järjestus'!AK$3,KOMBI!$A$1:$GI$1,0)),CH$4:CH$138,AK$2)</f>
        <v>4</v>
      </c>
      <c r="AN120" s="25">
        <f>RANK(INDEX(KOMBI!$A$11:$GI$145,MATCH('KSH järjestus'!$C120,KOMBI!$A$11:$A$145,0),MATCH('KSH järjestus'!AN$3,KOMBI!$A$1:$GI$1,0)),CK$4:CK$138,AN$2)</f>
        <v>46</v>
      </c>
      <c r="AO120" s="25">
        <f>RANK(INDEX(KOMBI!$A$11:$GI$145,MATCH('KSH järjestus'!$C120,KOMBI!$A$11:$A$145,0),MATCH('KSH järjestus'!AO$3,KOMBI!$A$1:$GI$1,0)),CL$4:CL$138,AO$2)</f>
        <v>46</v>
      </c>
      <c r="AS120" s="297">
        <f t="shared" si="7"/>
        <v>742</v>
      </c>
      <c r="AT120" s="25">
        <f t="shared" si="5"/>
        <v>2077</v>
      </c>
      <c r="AU120" s="25">
        <f t="shared" si="6"/>
        <v>47</v>
      </c>
      <c r="AV120" s="295" t="str">
        <f>VLOOKUP(VLOOKUP($AU120,KOMBI!$A:$H,3,FALSE),data!$I$27:$J$29,2,FALSE)</f>
        <v>Mittesekkuv</v>
      </c>
      <c r="AW120" s="295" t="str">
        <f>VLOOKUP(VLOOKUP($AU120,KOMBI!$A:$H,2,FALSE),data!$I$21:$J$23,2,FALSE)</f>
        <v>Vähe-sekkuv</v>
      </c>
      <c r="AX120" s="295" t="str">
        <f>VLOOKUP(VLOOKUP($AU120,KOMBI!$A:$H,5,FALSE),data!$I$39:$J$41,2,FALSE)</f>
        <v>Vähe-sekkuv</v>
      </c>
      <c r="AY120" s="295" t="str">
        <f>VLOOKUP(VLOOKUP($AU120,KOMBI!$A:$H,4,FALSE),data!$I$32:$J$36,2,FALSE)</f>
        <v>LIB</v>
      </c>
      <c r="BA120" s="25">
        <f t="array" ref="BA120">INDEX(KOMBI!$A$1:$GI$145,ROW('KSH järjestus'!BA127),MATCH('KSH järjestus'!BA$3,KOMBI!$A$1:$GI$1,0))</f>
        <v>11.742972135039613</v>
      </c>
      <c r="BB120" s="25">
        <f t="array" ref="BB120">INDEX(KOMBI!$A$1:$GI$145,ROW('KSH järjestus'!BB127),MATCH('KSH järjestus'!BB$3,KOMBI!$A$1:$GI$1,0))</f>
        <v>608.06821961076935</v>
      </c>
      <c r="BC120" s="25">
        <f t="array" aca="1" ref="BC120" ca="1">INDEX(KOMBI!$A$1:$GI$145,ROW('KSH järjestus'!BC127),MATCH('KSH järjestus'!BC$3,KOMBI!$A$1:$GI$1,0))</f>
        <v>138.00113501275752</v>
      </c>
      <c r="BD120" s="25">
        <f t="array" ref="BD120">INDEX(KOMBI!$A$1:$GI$145,ROW('KSH järjestus'!BD127),MATCH('KSH järjestus'!BD$3,KOMBI!$A$1:$GI$1,0))</f>
        <v>-111.63831369909104</v>
      </c>
      <c r="BE120" s="25">
        <f t="array" ref="BE120">INDEX(KOMBI!$A$1:$GI$145,ROW('KSH järjestus'!BE127),MATCH('KSH järjestus'!BE$3,KOMBI!$A$1:$GI$1,0))</f>
        <v>249.63944871184856</v>
      </c>
      <c r="BF120" s="25">
        <f t="array" aca="1" ref="BF120" ca="1">INDEX(KOMBI!$A$1:$GI$145,ROW('KSH järjestus'!BF127),MATCH('KSH järjestus'!BF$3,KOMBI!$A$1:$GI$1,0))</f>
        <v>0</v>
      </c>
      <c r="BG120" s="25">
        <f t="array" ref="BG120">INDEX(KOMBI!$A$1:$GI$145,ROW('KSH järjestus'!BG127),MATCH('KSH järjestus'!BG$3,KOMBI!$A$1:$GI$1,0))</f>
        <v>0.58990938224442924</v>
      </c>
      <c r="BH120" s="25">
        <f t="array" ref="BH120">INDEX(KOMBI!$A$1:$GI$145,ROW('KSH järjestus'!BH127),MATCH('KSH järjestus'!BH$3,KOMBI!$A$1:$GI$1,0))</f>
        <v>90</v>
      </c>
      <c r="BI120" s="25">
        <f t="array" ref="BI120">INDEX(KOMBI!$A$1:$GI$145,ROW('KSH järjestus'!BI127),MATCH('KSH järjestus'!BI$3,KOMBI!$A$1:$GI$1,0))</f>
        <v>0.72887234460741646</v>
      </c>
      <c r="BJ120" s="25">
        <f t="array" ref="BJ120">INDEX(KOMBI!$A$1:$GI$145,ROW('KSH järjestus'!BJ127),MATCH('KSH järjestus'!BJ$3,KOMBI!$A$1:$GI$1,0))</f>
        <v>0.36609829488465395</v>
      </c>
      <c r="BK120" s="25">
        <f t="array" ref="BK120">INDEX(KOMBI!$A$1:$GI$145,ROW('KSH järjestus'!BK127),MATCH('KSH järjestus'!BK$3,KOMBI!$A$1:$GI$1,0))</f>
        <v>0.6351575313088188</v>
      </c>
      <c r="BL120" s="25">
        <f t="array" ref="BL120">INDEX(KOMBI!$A$1:$GI$145,ROW('KSH järjestus'!BL127),MATCH('KSH järjestus'!BL$3,KOMBI!$A$1:$GI$1,0))</f>
        <v>2.380788527127398E-2</v>
      </c>
      <c r="BM120" s="25">
        <f t="array" ref="BM120">INDEX(KOMBI!$A$1:$GI$145,ROW('KSH järjestus'!BM127),MATCH('KSH järjestus'!BM$3,KOMBI!$A$1:$GI$1,0))</f>
        <v>4.0651082554209322E-3</v>
      </c>
      <c r="BN120" s="25">
        <f t="array" ref="BN120">INDEX(KOMBI!$A$1:$GI$145,ROW('KSH järjestus'!BN127),MATCH('KSH järjestus'!BN$3,KOMBI!$A$1:$GI$1,0))</f>
        <v>6.9505105549682311E-3</v>
      </c>
      <c r="BO120" s="25">
        <f t="array" ref="BO120">INDEX(KOMBI!$A$1:$GI$145,ROW('KSH järjestus'!BO127),MATCH('KSH järjestus'!BO$3,KOMBI!$A$1:$GI$1,0))</f>
        <v>1.7041895288863913E-2</v>
      </c>
      <c r="BP120" s="25">
        <f t="array" ref="BP120">INDEX(KOMBI!$A$1:$GI$145,ROW('KSH järjestus'!BP127),MATCH('KSH järjestus'!BP$3,KOMBI!$A$1:$GI$1,0))</f>
        <v>7.7898313570900957</v>
      </c>
      <c r="BQ120" s="25">
        <f t="array" ref="BQ120">INDEX(KOMBI!$A$1:$GI$145,ROW('KSH järjestus'!BQ127),MATCH('KSH järjestus'!BQ$3,KOMBI!$A$1:$GI$1,0))</f>
        <v>9.6609999999999996</v>
      </c>
      <c r="BR120" s="25">
        <f t="array" ref="BR120">INDEX(KOMBI!$A$1:$GI$145,ROW('KSH järjestus'!BR127),MATCH('KSH järjestus'!BR$3,KOMBI!$A$1:$GI$1,0))</f>
        <v>-5.6324039080451201E-2</v>
      </c>
      <c r="BS120" s="25">
        <f t="array" ref="BS120">INDEX(KOMBI!$A$1:$GI$145,ROW('KSH järjestus'!BS127),MATCH('KSH järjestus'!BS$3,KOMBI!$A$1:$GI$1,0))</f>
        <v>-0.18937305374211882</v>
      </c>
      <c r="BT120" s="25">
        <f t="array" ref="BT120">INDEX(KOMBI!$A$1:$GI$145,ROW('KSH järjestus'!BT127),MATCH('KSH järjestus'!BT$3,KOMBI!$A$1:$GI$1,0))</f>
        <v>-0.1158209043131409</v>
      </c>
      <c r="BU120" s="25">
        <f t="array" ref="BU120">INDEX(KOMBI!$A$1:$GI$145,ROW('KSH järjestus'!BU127),MATCH('KSH järjestus'!BU$3,KOMBI!$A$1:$GI$1,0))</f>
        <v>3.8233975506064017</v>
      </c>
      <c r="BV120" s="25">
        <f t="array" ref="BV120">INDEX(KOMBI!$A$1:$GI$145,ROW('KSH järjestus'!BV127),MATCH('KSH järjestus'!BV$3,KOMBI!$A$1:$GI$1,0))</f>
        <v>1.337</v>
      </c>
      <c r="BW120" s="25">
        <f t="array" ref="BW120">INDEX(KOMBI!$A$1:$GI$145,ROW('KSH järjestus'!BW127),MATCH('KSH järjestus'!BW$3,KOMBI!$A$1:$GI$1,0))</f>
        <v>1.7830849906373201</v>
      </c>
      <c r="BX120" s="25">
        <f t="array" ref="BX120">INDEX(KOMBI!$A$1:$GI$145,ROW('KSH järjestus'!BX127),MATCH('KSH järjestus'!BX$3,KOMBI!$A$1:$GI$1,0))</f>
        <v>16.731721793242819</v>
      </c>
      <c r="BY120" s="25">
        <f t="array" ref="BY120">INDEX(KOMBI!$A$1:$GI$145,ROW('KSH järjestus'!BY127),MATCH('KSH järjestus'!BY$3,KOMBI!$A$1:$GI$1,0))</f>
        <v>6.6556988012134219</v>
      </c>
      <c r="BZ120" s="25">
        <f t="array" ref="BZ120">INDEX(KOMBI!$A$1:$GI$145,ROW('KSH järjestus'!BZ127),MATCH('KSH järjestus'!BZ$3,KOMBI!$A$1:$GI$1,0))</f>
        <v>76</v>
      </c>
      <c r="CA120" s="25">
        <f t="array" ref="CA120">INDEX(KOMBI!$A$1:$GI$145,ROW('KSH järjestus'!CA127),MATCH('KSH järjestus'!CA$3,KOMBI!$A$1:$GI$1,0))</f>
        <v>9.1110000000000007</v>
      </c>
      <c r="CB120" s="25">
        <f t="array" ref="CB120">INDEX(KOMBI!$A$1:$GI$145,ROW('KSH järjestus'!CB127),MATCH('KSH järjestus'!CB$3,KOMBI!$A$1:$GI$1,0))</f>
        <v>36.44027777777778</v>
      </c>
      <c r="CC120" s="25">
        <f t="array" ref="CC120">INDEX(KOMBI!$A$1:$GI$145,ROW('KSH järjestus'!CC127),MATCH('KSH järjestus'!CC$3,KOMBI!$A$1:$GI$1,0))</f>
        <v>3.836141</v>
      </c>
      <c r="CD120" s="25">
        <f t="array" ref="CD120">INDEX(KOMBI!$A$1:$GI$145,ROW('KSH järjestus'!CD127),MATCH('KSH järjestus'!CD$3,KOMBI!$A$1:$GI$1,0))</f>
        <v>294.5</v>
      </c>
      <c r="CE120" s="25">
        <f t="array" ref="CE120">INDEX(KOMBI!$A$1:$GI$145,ROW('KSH järjestus'!CE127),MATCH('KSH järjestus'!CE$3,KOMBI!$A$1:$GI$1,0))</f>
        <v>2.8759999999999999</v>
      </c>
      <c r="CF120" s="25">
        <f t="array" ref="CF120">INDEX(KOMBI!$A$1:$GI$145,ROW('KSH järjestus'!CF127),MATCH('KSH järjestus'!CF$3,KOMBI!$A$1:$GI$1,0))</f>
        <v>40.166388888888889</v>
      </c>
      <c r="CG120" s="25">
        <f t="array" ref="CG120">INDEX(KOMBI!$A$1:$GI$145,ROW('KSH järjestus'!CG127),MATCH('KSH järjestus'!CG$3,KOMBI!$A$1:$GI$1,0))</f>
        <v>2.4608217929567841E-2</v>
      </c>
      <c r="CH120" s="25">
        <f t="array" ref="CH120">INDEX(KOMBI!$A$1:$GI$145,ROW('KSH järjestus'!CH127),MATCH('KSH järjestus'!CH$3,KOMBI!$A$1:$GI$1,0))</f>
        <v>0.54282086356383619</v>
      </c>
      <c r="CI120" s="25">
        <f t="array" ref="CI120">INDEX(KOMBI!$A$1:$GI$145,ROW('KSH järjestus'!CI127),MATCH('KSH järjestus'!CI$3,KOMBI!$A$1:$GI$1,0))</f>
        <v>10.870000000000001</v>
      </c>
      <c r="CJ120" s="25">
        <f t="array" ref="CJ120">INDEX(KOMBI!$A$1:$GI$145,ROW('KSH järjestus'!CJ127),MATCH('KSH järjestus'!CJ$3,KOMBI!$A$1:$GI$1,0))</f>
        <v>1.97688499063732</v>
      </c>
      <c r="CK120" s="25">
        <f t="array" ref="CK120">INDEX(KOMBI!$A$1:$GI$145,ROW('KSH järjestus'!CK127),MATCH('KSH järjestus'!CK$3,KOMBI!$A$1:$GI$1,0))</f>
        <v>0.21099999999999999</v>
      </c>
      <c r="CL120" s="25">
        <f t="array" ref="CL120">INDEX(KOMBI!$A$1:$GI$145,ROW('KSH järjestus'!CL127),MATCH('KSH järjestus'!CL$3,KOMBI!$A$1:$GI$1,0))</f>
        <v>0.76300000000000001</v>
      </c>
    </row>
    <row r="121" spans="3:90" x14ac:dyDescent="0.2">
      <c r="C121" s="184">
        <v>118</v>
      </c>
      <c r="G121" s="25">
        <f>RANK(INDEX(KOMBI!$A$11:$GI$145,MATCH('KSH järjestus'!$C121,KOMBI!$A$11:$A$145,0),MATCH('KSH järjestus'!G$3,KOMBI!$A$1:$GI$1,0)),BD$4:BD$138,G$2)</f>
        <v>61</v>
      </c>
      <c r="H121" s="25">
        <f>RANK(INDEX(KOMBI!$A$11:$GI$145,MATCH('KSH järjestus'!$C121,KOMBI!$A$11:$A$145,0),MATCH('KSH järjestus'!H$3,KOMBI!$A$1:$GI$1,0)),BE$4:BE$138,H$2)</f>
        <v>13</v>
      </c>
      <c r="J121" s="25">
        <f>RANK(INDEX(KOMBI!$A$11:$GI$145,MATCH('KSH järjestus'!$C121,KOMBI!$A$11:$A$145,0),MATCH('KSH järjestus'!J$3,KOMBI!$A$1:$GI$1,0)),BG$4:BG$138,J$2)</f>
        <v>10</v>
      </c>
      <c r="M121" s="25">
        <f>RANK(INDEX(KOMBI!$A$11:$GI$145,MATCH('KSH järjestus'!$C121,KOMBI!$A$11:$A$145,0),MATCH('KSH järjestus'!M$3,KOMBI!$A$1:$GI$1,0)),BJ$4:BJ$138,M$2)</f>
        <v>1</v>
      </c>
      <c r="N121" s="25">
        <f>RANK(INDEX(KOMBI!$A$11:$GI$145,MATCH('KSH järjestus'!$C121,KOMBI!$A$11:$A$145,0),MATCH('KSH järjestus'!N$3,KOMBI!$A$1:$GI$1,0)),BK$4:BK$138,N$2)</f>
        <v>115</v>
      </c>
      <c r="O121" s="25">
        <f>RANK(INDEX(KOMBI!$A$11:$GI$145,MATCH('KSH järjestus'!$C121,KOMBI!$A$11:$A$145,0),MATCH('KSH järjestus'!O$3,KOMBI!$A$1:$GI$1,0)),BL$4:BL$138,O$2)</f>
        <v>16</v>
      </c>
      <c r="P121" s="25">
        <f>RANK(INDEX(KOMBI!$A$11:$GI$145,MATCH('KSH järjestus'!$C121,KOMBI!$A$11:$A$145,0),MATCH('KSH järjestus'!P$3,KOMBI!$A$1:$GI$1,0)),BM$4:BM$138,P$2)</f>
        <v>2</v>
      </c>
      <c r="Q121" s="25">
        <f>RANK(INDEX(KOMBI!$A$11:$GI$145,MATCH('KSH järjestus'!$C121,KOMBI!$A$11:$A$145,0),MATCH('KSH järjestus'!Q$3,KOMBI!$A$1:$GI$1,0)),BN$4:BN$138,Q$2)</f>
        <v>13</v>
      </c>
      <c r="R121" s="25">
        <f>RANK(INDEX(KOMBI!$A$11:$GI$145,MATCH('KSH järjestus'!$C121,KOMBI!$A$11:$A$145,0),MATCH('KSH järjestus'!R$3,KOMBI!$A$1:$GI$1,0)),BO$4:BO$138,R$2)</f>
        <v>36</v>
      </c>
      <c r="T121" s="25">
        <f>RANK(INDEX(KOMBI!$A$11:$GI$145,MATCH('KSH järjestus'!$C121,KOMBI!$A$11:$A$145,0),MATCH('KSH järjestus'!T$3,KOMBI!$A$1:$GI$1,0)),BQ$4:BQ$138,T$2)</f>
        <v>77</v>
      </c>
      <c r="U121" s="25">
        <f>RANK(INDEX(KOMBI!$A$11:$GI$145,MATCH('KSH järjestus'!$C121,KOMBI!$A$11:$A$145,0),MATCH('KSH järjestus'!U$3,KOMBI!$A$1:$GI$1,0)),BR$4:BR$138,U$2)</f>
        <v>43</v>
      </c>
      <c r="AA121" s="25">
        <f>RANK(INDEX(KOMBI!$A$11:$GI$145,MATCH('KSH järjestus'!$C121,KOMBI!$A$11:$A$145,0),MATCH('KSH järjestus'!AA$3,KOMBI!$A$1:$GI$1,0)),BX$4:BX$138,AA$2)</f>
        <v>112</v>
      </c>
      <c r="AB121" s="25">
        <f>RANK(INDEX(KOMBI!$A$11:$GI$145,MATCH('KSH järjestus'!$C121,KOMBI!$A$11:$A$145,0),MATCH('KSH järjestus'!AB$3,KOMBI!$A$1:$GI$1,0)),BY$4:BY$138,AB$2)</f>
        <v>118</v>
      </c>
      <c r="AC121" s="25">
        <f>RANK(INDEX(KOMBI!$A$11:$GI$145,MATCH('KSH järjestus'!$C121,KOMBI!$A$11:$A$145,0),MATCH('KSH järjestus'!AC$3,KOMBI!$A$1:$GI$1,0)),BZ$4:BZ$138,AC$2)</f>
        <v>109</v>
      </c>
      <c r="AD121" s="25">
        <f>RANK(INDEX(KOMBI!$A$11:$GI$145,MATCH('KSH järjestus'!$C121,KOMBI!$A$11:$A$145,0),MATCH('KSH järjestus'!AD$3,KOMBI!$A$1:$GI$1,0)),CA$4:CA$138,AD$2)</f>
        <v>105</v>
      </c>
      <c r="AE121" s="25">
        <f>RANK(INDEX(KOMBI!$A$11:$GI$145,MATCH('KSH järjestus'!$C121,KOMBI!$A$11:$A$145,0),MATCH('KSH järjestus'!AE$3,KOMBI!$A$1:$GI$1,0)),CB$4:CB$138,AE$2)</f>
        <v>111</v>
      </c>
      <c r="AG121" s="25">
        <f>RANK(INDEX(KOMBI!$A$11:$GI$145,MATCH('KSH järjestus'!$C121,KOMBI!$A$11:$A$145,0),MATCH('KSH järjestus'!AG$3,KOMBI!$A$1:$GI$1,0)),CD$4:CD$138,AG$2)</f>
        <v>16</v>
      </c>
      <c r="AH121" s="25">
        <f>RANK(INDEX(KOMBI!$A$11:$GI$145,MATCH('KSH järjestus'!$C121,KOMBI!$A$11:$A$145,0),MATCH('KSH järjestus'!AH$3,KOMBI!$A$1:$GI$1,0)),CE$4:CE$138,AH$2)</f>
        <v>46</v>
      </c>
      <c r="AI121" s="25">
        <f>RANK(INDEX(KOMBI!$A$11:$GI$145,MATCH('KSH järjestus'!$C121,KOMBI!$A$11:$A$145,0),MATCH('KSH järjestus'!AI$3,KOMBI!$A$1:$GI$1,0)),CF$4:CF$138,AI$2)</f>
        <v>112</v>
      </c>
      <c r="AJ121" s="25">
        <f>RANK(INDEX(KOMBI!$A$11:$GI$145,MATCH('KSH järjestus'!$C121,KOMBI!$A$11:$A$145,0),MATCH('KSH järjestus'!AJ$3,KOMBI!$A$1:$GI$1,0)),CG$4:CG$138,AJ$2)</f>
        <v>40</v>
      </c>
      <c r="AK121" s="25">
        <f>RANK(INDEX(KOMBI!$A$11:$GI$145,MATCH('KSH järjestus'!$C121,KOMBI!$A$11:$A$145,0),MATCH('KSH järjestus'!AK$3,KOMBI!$A$1:$GI$1,0)),CH$4:CH$138,AK$2)</f>
        <v>64</v>
      </c>
      <c r="AN121" s="25">
        <f>RANK(INDEX(KOMBI!$A$11:$GI$145,MATCH('KSH järjestus'!$C121,KOMBI!$A$11:$A$145,0),MATCH('KSH järjestus'!AN$3,KOMBI!$A$1:$GI$1,0)),CK$4:CK$138,AN$2)</f>
        <v>46</v>
      </c>
      <c r="AO121" s="25">
        <f>RANK(INDEX(KOMBI!$A$11:$GI$145,MATCH('KSH järjestus'!$C121,KOMBI!$A$11:$A$145,0),MATCH('KSH järjestus'!AO$3,KOMBI!$A$1:$GI$1,0)),CL$4:CL$138,AO$2)</f>
        <v>46</v>
      </c>
      <c r="AS121" s="297">
        <f t="shared" si="7"/>
        <v>1312</v>
      </c>
      <c r="AT121" s="25">
        <f t="shared" si="5"/>
        <v>2083</v>
      </c>
      <c r="AU121" s="25">
        <f t="shared" si="6"/>
        <v>50</v>
      </c>
      <c r="AV121" s="295" t="str">
        <f>VLOOKUP(VLOOKUP($AU121,KOMBI!$A:$H,3,FALSE),data!$I$27:$J$29,2,FALSE)</f>
        <v>Mittesekkuv</v>
      </c>
      <c r="AW121" s="295" t="str">
        <f>VLOOKUP(VLOOKUP($AU121,KOMBI!$A:$H,2,FALSE),data!$I$21:$J$23,2,FALSE)</f>
        <v>Vähe-sekkuv</v>
      </c>
      <c r="AX121" s="295" t="str">
        <f>VLOOKUP(VLOOKUP($AU121,KOMBI!$A:$H,5,FALSE),data!$I$39:$J$41,2,FALSE)</f>
        <v>Vähe-sekkuv</v>
      </c>
      <c r="AY121" s="295" t="str">
        <f>VLOOKUP(VLOOKUP($AU121,KOMBI!$A:$H,4,FALSE),data!$I$32:$J$36,2,FALSE)</f>
        <v>LIB+</v>
      </c>
      <c r="BA121" s="25">
        <f t="array" ref="BA121">INDEX(KOMBI!$A$1:$GI$145,ROW('KSH järjestus'!BA128),MATCH('KSH järjestus'!BA$3,KOMBI!$A$1:$GI$1,0))</f>
        <v>6.9306424844407353</v>
      </c>
      <c r="BB121" s="25">
        <f t="array" ref="BB121">INDEX(KOMBI!$A$1:$GI$145,ROW('KSH järjestus'!BB128),MATCH('KSH järjestus'!BB$3,KOMBI!$A$1:$GI$1,0))</f>
        <v>751.19087101782895</v>
      </c>
      <c r="BC121" s="25">
        <f t="array" aca="1" ref="BC121" ca="1">INDEX(KOMBI!$A$1:$GI$145,ROW('KSH järjestus'!BC128),MATCH('KSH järjestus'!BC$3,KOMBI!$A$1:$GI$1,0))</f>
        <v>185.11921942085894</v>
      </c>
      <c r="BD121" s="25">
        <f t="array" ref="BD121">INDEX(KOMBI!$A$1:$GI$145,ROW('KSH järjestus'!BD128),MATCH('KSH järjestus'!BD$3,KOMBI!$A$1:$GI$1,0))</f>
        <v>-77.297499999999999</v>
      </c>
      <c r="BE121" s="25">
        <f t="array" ref="BE121">INDEX(KOMBI!$A$1:$GI$145,ROW('KSH järjestus'!BE128),MATCH('KSH järjestus'!BE$3,KOMBI!$A$1:$GI$1,0))</f>
        <v>262.41671942085895</v>
      </c>
      <c r="BF121" s="25">
        <f t="array" aca="1" ref="BF121" ca="1">INDEX(KOMBI!$A$1:$GI$145,ROW('KSH järjestus'!BF128),MATCH('KSH järjestus'!BF$3,KOMBI!$A$1:$GI$1,0))</f>
        <v>0</v>
      </c>
      <c r="BG121" s="25">
        <f t="array" ref="BG121">INDEX(KOMBI!$A$1:$GI$145,ROW('KSH järjestus'!BG128),MATCH('KSH järjestus'!BG$3,KOMBI!$A$1:$GI$1,0))</f>
        <v>0.29522987416993252</v>
      </c>
      <c r="BH121" s="25">
        <f t="array" ref="BH121">INDEX(KOMBI!$A$1:$GI$145,ROW('KSH järjestus'!BH128),MATCH('KSH järjestus'!BH$3,KOMBI!$A$1:$GI$1,0))</f>
        <v>90</v>
      </c>
      <c r="BI121" s="25">
        <f t="array" ref="BI121">INDEX(KOMBI!$A$1:$GI$145,ROW('KSH järjestus'!BI128),MATCH('KSH järjestus'!BI$3,KOMBI!$A$1:$GI$1,0))</f>
        <v>1</v>
      </c>
      <c r="BJ121" s="25">
        <f t="array" ref="BJ121">INDEX(KOMBI!$A$1:$GI$145,ROW('KSH järjestus'!BJ128),MATCH('KSH järjestus'!BJ$3,KOMBI!$A$1:$GI$1,0))</f>
        <v>0</v>
      </c>
      <c r="BK121" s="25">
        <f t="array" ref="BK121">INDEX(KOMBI!$A$1:$GI$145,ROW('KSH järjestus'!BK128),MATCH('KSH järjestus'!BK$3,KOMBI!$A$1:$GI$1,0))</f>
        <v>0.27432571009522233</v>
      </c>
      <c r="BL121" s="25">
        <f t="array" ref="BL121">INDEX(KOMBI!$A$1:$GI$145,ROW('KSH järjestus'!BL128),MATCH('KSH järjestus'!BL$3,KOMBI!$A$1:$GI$1,0))</f>
        <v>2.7859117064575507E-2</v>
      </c>
      <c r="BM121" s="25">
        <f t="array" ref="BM121">INDEX(KOMBI!$A$1:$GI$145,ROW('KSH järjestus'!BM128),MATCH('KSH järjestus'!BM$3,KOMBI!$A$1:$GI$1,0))</f>
        <v>1.5074748854160108E-2</v>
      </c>
      <c r="BN121" s="25">
        <f t="array" ref="BN121">INDEX(KOMBI!$A$1:$GI$145,ROW('KSH järjestus'!BN128),MATCH('KSH järjestus'!BN$3,KOMBI!$A$1:$GI$1,0))</f>
        <v>1.2865504789963594E-2</v>
      </c>
      <c r="BO121" s="25">
        <f t="array" ref="BO121">INDEX(KOMBI!$A$1:$GI$145,ROW('KSH järjestus'!BO128),MATCH('KSH järjestus'!BO$3,KOMBI!$A$1:$GI$1,0))</f>
        <v>1.5346156669121447E-2</v>
      </c>
      <c r="BP121" s="25">
        <f t="array" ref="BP121">INDEX(KOMBI!$A$1:$GI$145,ROW('KSH järjestus'!BP128),MATCH('KSH järjestus'!BP$3,KOMBI!$A$1:$GI$1,0))</f>
        <v>7.7059896156049161</v>
      </c>
      <c r="BQ121" s="25">
        <f t="array" ref="BQ121">INDEX(KOMBI!$A$1:$GI$145,ROW('KSH järjestus'!BQ128),MATCH('KSH järjestus'!BQ$3,KOMBI!$A$1:$GI$1,0))</f>
        <v>10.843999999999999</v>
      </c>
      <c r="BR121" s="25">
        <f t="array" ref="BR121">INDEX(KOMBI!$A$1:$GI$145,ROW('KSH järjestus'!BR128),MATCH('KSH järjestus'!BR$3,KOMBI!$A$1:$GI$1,0))</f>
        <v>-3.4282509800883057E-2</v>
      </c>
      <c r="BS121" s="25">
        <f t="array" ref="BS121">INDEX(KOMBI!$A$1:$GI$145,ROW('KSH järjestus'!BS128),MATCH('KSH järjestus'!BS$3,KOMBI!$A$1:$GI$1,0))</f>
        <v>3.6423990776624546E-2</v>
      </c>
      <c r="BT121" s="25">
        <f t="array" ref="BT121">INDEX(KOMBI!$A$1:$GI$145,ROW('KSH järjestus'!BT128),MATCH('KSH järjestus'!BT$3,KOMBI!$A$1:$GI$1,0))</f>
        <v>2.5514616435758197E-2</v>
      </c>
      <c r="BU121" s="25">
        <f t="array" ref="BU121">INDEX(KOMBI!$A$1:$GI$145,ROW('KSH järjestus'!BU128),MATCH('KSH järjestus'!BU$3,KOMBI!$A$1:$GI$1,0))</f>
        <v>10.832630311598681</v>
      </c>
      <c r="BV121" s="25">
        <f t="array" ref="BV121">INDEX(KOMBI!$A$1:$GI$145,ROW('KSH järjestus'!BV128),MATCH('KSH järjestus'!BV$3,KOMBI!$A$1:$GI$1,0))</f>
        <v>6.0640000000000001</v>
      </c>
      <c r="BW121" s="25">
        <f t="array" ref="BW121">INDEX(KOMBI!$A$1:$GI$145,ROW('KSH järjestus'!BW128),MATCH('KSH järjestus'!BW$3,KOMBI!$A$1:$GI$1,0))</f>
        <v>1.19688499063732</v>
      </c>
      <c r="BX121" s="25">
        <f t="array" ref="BX121">INDEX(KOMBI!$A$1:$GI$145,ROW('KSH järjestus'!BX128),MATCH('KSH järjestus'!BX$3,KOMBI!$A$1:$GI$1,0))</f>
        <v>21.63</v>
      </c>
      <c r="BY121" s="25">
        <f t="array" ref="BY121">INDEX(KOMBI!$A$1:$GI$145,ROW('KSH järjestus'!BY128),MATCH('KSH järjestus'!BY$3,KOMBI!$A$1:$GI$1,0))</f>
        <v>38.487669554234017</v>
      </c>
      <c r="BZ121" s="25">
        <f t="array" ref="BZ121">INDEX(KOMBI!$A$1:$GI$145,ROW('KSH järjestus'!BZ128),MATCH('KSH järjestus'!BZ$3,KOMBI!$A$1:$GI$1,0))</f>
        <v>90</v>
      </c>
      <c r="CA121" s="25">
        <f t="array" ref="CA121">INDEX(KOMBI!$A$1:$GI$145,ROW('KSH järjestus'!CA128),MATCH('KSH järjestus'!CA$3,KOMBI!$A$1:$GI$1,0))</f>
        <v>15.430999999999999</v>
      </c>
      <c r="CB121" s="25">
        <f t="array" ref="CB121">INDEX(KOMBI!$A$1:$GI$145,ROW('KSH järjestus'!CB128),MATCH('KSH järjestus'!CB$3,KOMBI!$A$1:$GI$1,0))</f>
        <v>131.95166666666665</v>
      </c>
      <c r="CC121" s="25">
        <f t="array" ref="CC121">INDEX(KOMBI!$A$1:$GI$145,ROW('KSH järjestus'!CC128),MATCH('KSH järjestus'!CC$3,KOMBI!$A$1:$GI$1,0))</f>
        <v>7.0223360000000001</v>
      </c>
      <c r="CD121" s="25">
        <f t="array" ref="CD121">INDEX(KOMBI!$A$1:$GI$145,ROW('KSH järjestus'!CD128),MATCH('KSH järjestus'!CD$3,KOMBI!$A$1:$GI$1,0))</f>
        <v>294.3</v>
      </c>
      <c r="CE121" s="25">
        <f t="array" ref="CE121">INDEX(KOMBI!$A$1:$GI$145,ROW('KSH järjestus'!CE128),MATCH('KSH järjestus'!CE$3,KOMBI!$A$1:$GI$1,0))</f>
        <v>2.8759999999999999</v>
      </c>
      <c r="CF121" s="25">
        <f t="array" ref="CF121">INDEX(KOMBI!$A$1:$GI$145,ROW('KSH järjestus'!CF128),MATCH('KSH järjestus'!CF$3,KOMBI!$A$1:$GI$1,0))</f>
        <v>59.535011875436595</v>
      </c>
      <c r="CG121" s="25">
        <f t="array" ref="CG121">INDEX(KOMBI!$A$1:$GI$145,ROW('KSH järjestus'!CG128),MATCH('KSH järjestus'!CG$3,KOMBI!$A$1:$GI$1,0))</f>
        <v>2.4608217929567841E-2</v>
      </c>
      <c r="CH121" s="25">
        <f t="array" ref="CH121">INDEX(KOMBI!$A$1:$GI$145,ROW('KSH järjestus'!CH128),MATCH('KSH järjestus'!CH$3,KOMBI!$A$1:$GI$1,0))</f>
        <v>0.44074232993007334</v>
      </c>
      <c r="CI121" s="25">
        <f t="array" ref="CI121">INDEX(KOMBI!$A$1:$GI$145,ROW('KSH järjestus'!CI128),MATCH('KSH järjestus'!CI$3,KOMBI!$A$1:$GI$1,0))</f>
        <v>6.28</v>
      </c>
      <c r="CJ121" s="25">
        <f t="array" ref="CJ121">INDEX(KOMBI!$A$1:$GI$145,ROW('KSH järjestus'!CJ128),MATCH('KSH järjestus'!CJ$3,KOMBI!$A$1:$GI$1,0))</f>
        <v>7.4808849906373194</v>
      </c>
      <c r="CK121" s="25">
        <f t="array" ref="CK121">INDEX(KOMBI!$A$1:$GI$145,ROW('KSH järjestus'!CK128),MATCH('KSH järjestus'!CK$3,KOMBI!$A$1:$GI$1,0))</f>
        <v>0.21099999999999999</v>
      </c>
      <c r="CL121" s="25">
        <f t="array" ref="CL121">INDEX(KOMBI!$A$1:$GI$145,ROW('KSH järjestus'!CL128),MATCH('KSH järjestus'!CL$3,KOMBI!$A$1:$GI$1,0))</f>
        <v>0.76300000000000001</v>
      </c>
    </row>
    <row r="122" spans="3:90" x14ac:dyDescent="0.2">
      <c r="C122" s="184">
        <v>119</v>
      </c>
      <c r="G122" s="25">
        <f>RANK(INDEX(KOMBI!$A$11:$GI$145,MATCH('KSH järjestus'!$C122,KOMBI!$A$11:$A$145,0),MATCH('KSH järjestus'!G$3,KOMBI!$A$1:$GI$1,0)),BD$4:BD$138,G$2)</f>
        <v>56</v>
      </c>
      <c r="H122" s="25">
        <f>RANK(INDEX(KOMBI!$A$11:$GI$145,MATCH('KSH järjestus'!$C122,KOMBI!$A$11:$A$145,0),MATCH('KSH järjestus'!H$3,KOMBI!$A$1:$GI$1,0)),BE$4:BE$138,H$2)</f>
        <v>5</v>
      </c>
      <c r="J122" s="25">
        <f>RANK(INDEX(KOMBI!$A$11:$GI$145,MATCH('KSH järjestus'!$C122,KOMBI!$A$11:$A$145,0),MATCH('KSH järjestus'!J$3,KOMBI!$A$1:$GI$1,0)),BG$4:BG$138,J$2)</f>
        <v>3</v>
      </c>
      <c r="M122" s="25">
        <f>RANK(INDEX(KOMBI!$A$11:$GI$145,MATCH('KSH järjestus'!$C122,KOMBI!$A$11:$A$145,0),MATCH('KSH järjestus'!M$3,KOMBI!$A$1:$GI$1,0)),BJ$4:BJ$138,M$2)</f>
        <v>1</v>
      </c>
      <c r="N122" s="25">
        <f>RANK(INDEX(KOMBI!$A$11:$GI$145,MATCH('KSH järjestus'!$C122,KOMBI!$A$11:$A$145,0),MATCH('KSH järjestus'!N$3,KOMBI!$A$1:$GI$1,0)),BK$4:BK$138,N$2)</f>
        <v>117</v>
      </c>
      <c r="O122" s="25">
        <f>RANK(INDEX(KOMBI!$A$11:$GI$145,MATCH('KSH järjestus'!$C122,KOMBI!$A$11:$A$145,0),MATCH('KSH järjestus'!O$3,KOMBI!$A$1:$GI$1,0)),BL$4:BL$138,O$2)</f>
        <v>7</v>
      </c>
      <c r="P122" s="25">
        <f>RANK(INDEX(KOMBI!$A$11:$GI$145,MATCH('KSH järjestus'!$C122,KOMBI!$A$11:$A$145,0),MATCH('KSH järjestus'!P$3,KOMBI!$A$1:$GI$1,0)),BM$4:BM$138,P$2)</f>
        <v>7</v>
      </c>
      <c r="Q122" s="25">
        <f>RANK(INDEX(KOMBI!$A$11:$GI$145,MATCH('KSH järjestus'!$C122,KOMBI!$A$11:$A$145,0),MATCH('KSH järjestus'!Q$3,KOMBI!$A$1:$GI$1,0)),BN$4:BN$138,Q$2)</f>
        <v>4</v>
      </c>
      <c r="R122" s="25">
        <f>RANK(INDEX(KOMBI!$A$11:$GI$145,MATCH('KSH järjestus'!$C122,KOMBI!$A$11:$A$145,0),MATCH('KSH järjestus'!R$3,KOMBI!$A$1:$GI$1,0)),BO$4:BO$138,R$2)</f>
        <v>12</v>
      </c>
      <c r="T122" s="25">
        <f>RANK(INDEX(KOMBI!$A$11:$GI$145,MATCH('KSH järjestus'!$C122,KOMBI!$A$11:$A$145,0),MATCH('KSH järjestus'!T$3,KOMBI!$A$1:$GI$1,0)),BQ$4:BQ$138,T$2)</f>
        <v>84</v>
      </c>
      <c r="U122" s="25">
        <f>RANK(INDEX(KOMBI!$A$11:$GI$145,MATCH('KSH järjestus'!$C122,KOMBI!$A$11:$A$145,0),MATCH('KSH järjestus'!U$3,KOMBI!$A$1:$GI$1,0)),BR$4:BR$138,U$2)</f>
        <v>53</v>
      </c>
      <c r="AA122" s="25">
        <f>RANK(INDEX(KOMBI!$A$11:$GI$145,MATCH('KSH järjestus'!$C122,KOMBI!$A$11:$A$145,0),MATCH('KSH järjestus'!AA$3,KOMBI!$A$1:$GI$1,0)),BX$4:BX$138,AA$2)</f>
        <v>112</v>
      </c>
      <c r="AB122" s="25">
        <f>RANK(INDEX(KOMBI!$A$11:$GI$145,MATCH('KSH järjestus'!$C122,KOMBI!$A$11:$A$145,0),MATCH('KSH järjestus'!AB$3,KOMBI!$A$1:$GI$1,0)),BY$4:BY$138,AB$2)</f>
        <v>118</v>
      </c>
      <c r="AC122" s="25">
        <f>RANK(INDEX(KOMBI!$A$11:$GI$145,MATCH('KSH järjestus'!$C122,KOMBI!$A$11:$A$145,0),MATCH('KSH järjestus'!AC$3,KOMBI!$A$1:$GI$1,0)),BZ$4:BZ$138,AC$2)</f>
        <v>110</v>
      </c>
      <c r="AD122" s="25">
        <f>RANK(INDEX(KOMBI!$A$11:$GI$145,MATCH('KSH järjestus'!$C122,KOMBI!$A$11:$A$145,0),MATCH('KSH järjestus'!AD$3,KOMBI!$A$1:$GI$1,0)),CA$4:CA$138,AD$2)</f>
        <v>109</v>
      </c>
      <c r="AE122" s="25">
        <f>RANK(INDEX(KOMBI!$A$11:$GI$145,MATCH('KSH järjestus'!$C122,KOMBI!$A$11:$A$145,0),MATCH('KSH järjestus'!AE$3,KOMBI!$A$1:$GI$1,0)),CB$4:CB$138,AE$2)</f>
        <v>113</v>
      </c>
      <c r="AG122" s="25">
        <f>RANK(INDEX(KOMBI!$A$11:$GI$145,MATCH('KSH järjestus'!$C122,KOMBI!$A$11:$A$145,0),MATCH('KSH järjestus'!AG$3,KOMBI!$A$1:$GI$1,0)),CD$4:CD$138,AG$2)</f>
        <v>16</v>
      </c>
      <c r="AH122" s="25">
        <f>RANK(INDEX(KOMBI!$A$11:$GI$145,MATCH('KSH järjestus'!$C122,KOMBI!$A$11:$A$145,0),MATCH('KSH järjestus'!AH$3,KOMBI!$A$1:$GI$1,0)),CE$4:CE$138,AH$2)</f>
        <v>46</v>
      </c>
      <c r="AI122" s="25">
        <f>RANK(INDEX(KOMBI!$A$11:$GI$145,MATCH('KSH järjestus'!$C122,KOMBI!$A$11:$A$145,0),MATCH('KSH järjestus'!AI$3,KOMBI!$A$1:$GI$1,0)),CF$4:CF$138,AI$2)</f>
        <v>114</v>
      </c>
      <c r="AJ122" s="25">
        <f>RANK(INDEX(KOMBI!$A$11:$GI$145,MATCH('KSH järjestus'!$C122,KOMBI!$A$11:$A$145,0),MATCH('KSH järjestus'!AJ$3,KOMBI!$A$1:$GI$1,0)),CG$4:CG$138,AJ$2)</f>
        <v>40</v>
      </c>
      <c r="AK122" s="25">
        <f>RANK(INDEX(KOMBI!$A$11:$GI$145,MATCH('KSH järjestus'!$C122,KOMBI!$A$11:$A$145,0),MATCH('KSH järjestus'!AK$3,KOMBI!$A$1:$GI$1,0)),CH$4:CH$138,AK$2)</f>
        <v>64</v>
      </c>
      <c r="AN122" s="25">
        <f>RANK(INDEX(KOMBI!$A$11:$GI$145,MATCH('KSH järjestus'!$C122,KOMBI!$A$11:$A$145,0),MATCH('KSH järjestus'!AN$3,KOMBI!$A$1:$GI$1,0)),CK$4:CK$138,AN$2)</f>
        <v>46</v>
      </c>
      <c r="AO122" s="25">
        <f>RANK(INDEX(KOMBI!$A$11:$GI$145,MATCH('KSH järjestus'!$C122,KOMBI!$A$11:$A$145,0),MATCH('KSH järjestus'!AO$3,KOMBI!$A$1:$GI$1,0)),CL$4:CL$138,AO$2)</f>
        <v>46</v>
      </c>
      <c r="AS122" s="297">
        <f t="shared" si="7"/>
        <v>1283</v>
      </c>
      <c r="AT122" s="25">
        <f t="shared" si="5"/>
        <v>2088</v>
      </c>
      <c r="AU122" s="25">
        <f t="shared" si="6"/>
        <v>58</v>
      </c>
      <c r="AV122" s="295" t="str">
        <f>VLOOKUP(VLOOKUP($AU122,KOMBI!$A:$H,3,FALSE),data!$I$27:$J$29,2,FALSE)</f>
        <v>Mittesekkuv</v>
      </c>
      <c r="AW122" s="295" t="str">
        <f>VLOOKUP(VLOOKUP($AU122,KOMBI!$A:$H,2,FALSE),data!$I$21:$J$23,2,FALSE)</f>
        <v>Vähe-sekkuv</v>
      </c>
      <c r="AX122" s="295" t="str">
        <f>VLOOKUP(VLOOKUP($AU122,KOMBI!$A:$H,5,FALSE),data!$I$39:$J$41,2,FALSE)</f>
        <v>Mittesekkuv</v>
      </c>
      <c r="AY122" s="295" t="str">
        <f>VLOOKUP(VLOOKUP($AU122,KOMBI!$A:$H,4,FALSE),data!$I$32:$J$36,2,FALSE)</f>
        <v>PK &amp; UG</v>
      </c>
      <c r="BA122" s="25">
        <f t="array" ref="BA122">INDEX(KOMBI!$A$1:$GI$145,ROW('KSH järjestus'!BA129),MATCH('KSH järjestus'!BA$3,KOMBI!$A$1:$GI$1,0))</f>
        <v>7.8465541330865749</v>
      </c>
      <c r="BB122" s="25">
        <f t="array" ref="BB122">INDEX(KOMBI!$A$1:$GI$145,ROW('KSH järjestus'!BB129),MATCH('KSH järjestus'!BB$3,KOMBI!$A$1:$GI$1,0))</f>
        <v>911.67090328709219</v>
      </c>
      <c r="BC122" s="25">
        <f t="array" aca="1" ref="BC122" ca="1">INDEX(KOMBI!$A$1:$GI$145,ROW('KSH järjestus'!BC129),MATCH('KSH järjestus'!BC$3,KOMBI!$A$1:$GI$1,0))</f>
        <v>214.28454144939406</v>
      </c>
      <c r="BD122" s="25">
        <f t="array" ref="BD122">INDEX(KOMBI!$A$1:$GI$145,ROW('KSH järjestus'!BD129),MATCH('KSH järjestus'!BD$3,KOMBI!$A$1:$GI$1,0))</f>
        <v>-92.530719880632105</v>
      </c>
      <c r="BE122" s="25">
        <f t="array" ref="BE122">INDEX(KOMBI!$A$1:$GI$145,ROW('KSH järjestus'!BE129),MATCH('KSH järjestus'!BE$3,KOMBI!$A$1:$GI$1,0))</f>
        <v>306.81526133002615</v>
      </c>
      <c r="BF122" s="25">
        <f t="array" aca="1" ref="BF122" ca="1">INDEX(KOMBI!$A$1:$GI$145,ROW('KSH järjestus'!BF129),MATCH('KSH järjestus'!BF$3,KOMBI!$A$1:$GI$1,0))</f>
        <v>0</v>
      </c>
      <c r="BG122" s="25">
        <f t="array" ref="BG122">INDEX(KOMBI!$A$1:$GI$145,ROW('KSH järjestus'!BG129),MATCH('KSH järjestus'!BG$3,KOMBI!$A$1:$GI$1,0))</f>
        <v>0.25958724403665218</v>
      </c>
      <c r="BH122" s="25">
        <f t="array" ref="BH122">INDEX(KOMBI!$A$1:$GI$145,ROW('KSH järjestus'!BH129),MATCH('KSH järjestus'!BH$3,KOMBI!$A$1:$GI$1,0))</f>
        <v>90</v>
      </c>
      <c r="BI122" s="25">
        <f t="array" ref="BI122">INDEX(KOMBI!$A$1:$GI$145,ROW('KSH järjestus'!BI129),MATCH('KSH järjestus'!BI$3,KOMBI!$A$1:$GI$1,0))</f>
        <v>0.72887234460741657</v>
      </c>
      <c r="BJ122" s="25">
        <f t="array" ref="BJ122">INDEX(KOMBI!$A$1:$GI$145,ROW('KSH järjestus'!BJ129),MATCH('KSH järjestus'!BJ$3,KOMBI!$A$1:$GI$1,0))</f>
        <v>0</v>
      </c>
      <c r="BK122" s="25">
        <f t="array" ref="BK122">INDEX(KOMBI!$A$1:$GI$145,ROW('KSH järjestus'!BK129),MATCH('KSH järjestus'!BK$3,KOMBI!$A$1:$GI$1,0))</f>
        <v>0.27432571009522227</v>
      </c>
      <c r="BL122" s="25">
        <f t="array" ref="BL122">INDEX(KOMBI!$A$1:$GI$145,ROW('KSH järjestus'!BL129),MATCH('KSH järjestus'!BL$3,KOMBI!$A$1:$GI$1,0))</f>
        <v>3.4141510150997832E-2</v>
      </c>
      <c r="BM122" s="25">
        <f t="array" ref="BM122">INDEX(KOMBI!$A$1:$GI$145,ROW('KSH järjestus'!BM129),MATCH('KSH järjestus'!BM$3,KOMBI!$A$1:$GI$1,0))</f>
        <v>1.2381696004744494E-2</v>
      </c>
      <c r="BN122" s="25">
        <f t="array" ref="BN122">INDEX(KOMBI!$A$1:$GI$145,ROW('KSH järjestus'!BN129),MATCH('KSH järjestus'!BN$3,KOMBI!$A$1:$GI$1,0))</f>
        <v>1.5358374651321421E-2</v>
      </c>
      <c r="BO122" s="25">
        <f t="array" ref="BO122">INDEX(KOMBI!$A$1:$GI$145,ROW('KSH järjestus'!BO129),MATCH('KSH järjestus'!BO$3,KOMBI!$A$1:$GI$1,0))</f>
        <v>1.9171043212998277E-2</v>
      </c>
      <c r="BP122" s="25">
        <f t="array" ref="BP122">INDEX(KOMBI!$A$1:$GI$145,ROW('KSH järjestus'!BP129),MATCH('KSH järjestus'!BP$3,KOMBI!$A$1:$GI$1,0))</f>
        <v>7.7059896156049161</v>
      </c>
      <c r="BQ122" s="25">
        <f t="array" ref="BQ122">INDEX(KOMBI!$A$1:$GI$145,ROW('KSH järjestus'!BQ129),MATCH('KSH järjestus'!BQ$3,KOMBI!$A$1:$GI$1,0))</f>
        <v>10.935</v>
      </c>
      <c r="BR122" s="25">
        <f t="array" ref="BR122">INDEX(KOMBI!$A$1:$GI$145,ROW('KSH järjestus'!BR129),MATCH('KSH järjestus'!BR$3,KOMBI!$A$1:$GI$1,0))</f>
        <v>-3.0048710789618335E-2</v>
      </c>
      <c r="BS122" s="25">
        <f t="array" ref="BS122">INDEX(KOMBI!$A$1:$GI$145,ROW('KSH järjestus'!BS129),MATCH('KSH järjestus'!BS$3,KOMBI!$A$1:$GI$1,0))</f>
        <v>3.7757602996260103E-2</v>
      </c>
      <c r="BT122" s="25">
        <f t="array" ref="BT122">INDEX(KOMBI!$A$1:$GI$145,ROW('KSH järjestus'!BT129),MATCH('KSH järjestus'!BT$3,KOMBI!$A$1:$GI$1,0))</f>
        <v>2.661357923515216E-2</v>
      </c>
      <c r="BU122" s="25">
        <f t="array" ref="BU122">INDEX(KOMBI!$A$1:$GI$145,ROW('KSH järjestus'!BU129),MATCH('KSH järjestus'!BU$3,KOMBI!$A$1:$GI$1,0))</f>
        <v>10.832630311598681</v>
      </c>
      <c r="BV122" s="25">
        <f t="array" ref="BV122">INDEX(KOMBI!$A$1:$GI$145,ROW('KSH järjestus'!BV129),MATCH('KSH järjestus'!BV$3,KOMBI!$A$1:$GI$1,0))</f>
        <v>6.0640000000000001</v>
      </c>
      <c r="BW122" s="25">
        <f t="array" ref="BW122">INDEX(KOMBI!$A$1:$GI$145,ROW('KSH järjestus'!BW129),MATCH('KSH järjestus'!BW$3,KOMBI!$A$1:$GI$1,0))</f>
        <v>1.57438499063732</v>
      </c>
      <c r="BX122" s="25">
        <f t="array" ref="BX122">INDEX(KOMBI!$A$1:$GI$145,ROW('KSH järjestus'!BX129),MATCH('KSH järjestus'!BX$3,KOMBI!$A$1:$GI$1,0))</f>
        <v>21.63</v>
      </c>
      <c r="BY122" s="25">
        <f t="array" ref="BY122">INDEX(KOMBI!$A$1:$GI$145,ROW('KSH järjestus'!BY129),MATCH('KSH järjestus'!BY$3,KOMBI!$A$1:$GI$1,0))</f>
        <v>38.487669554234017</v>
      </c>
      <c r="BZ122" s="25">
        <f t="array" ref="BZ122">INDEX(KOMBI!$A$1:$GI$145,ROW('KSH järjestus'!BZ129),MATCH('KSH järjestus'!BZ$3,KOMBI!$A$1:$GI$1,0))</f>
        <v>90.4</v>
      </c>
      <c r="CA122" s="25">
        <f t="array" ref="CA122">INDEX(KOMBI!$A$1:$GI$145,ROW('KSH järjestus'!CA129),MATCH('KSH järjestus'!CA$3,KOMBI!$A$1:$GI$1,0))</f>
        <v>15.52</v>
      </c>
      <c r="CB122" s="25">
        <f t="array" ref="CB122">INDEX(KOMBI!$A$1:$GI$145,ROW('KSH järjestus'!CB129),MATCH('KSH järjestus'!CB$3,KOMBI!$A$1:$GI$1,0))</f>
        <v>132.29194444444443</v>
      </c>
      <c r="CC122" s="25">
        <f t="array" ref="CC122">INDEX(KOMBI!$A$1:$GI$145,ROW('KSH järjestus'!CC129),MATCH('KSH järjestus'!CC$3,KOMBI!$A$1:$GI$1,0))</f>
        <v>7.0556279999999996</v>
      </c>
      <c r="CD122" s="25">
        <f t="array" ref="CD122">INDEX(KOMBI!$A$1:$GI$145,ROW('KSH järjestus'!CD129),MATCH('KSH järjestus'!CD$3,KOMBI!$A$1:$GI$1,0))</f>
        <v>294.3</v>
      </c>
      <c r="CE122" s="25">
        <f t="array" ref="CE122">INDEX(KOMBI!$A$1:$GI$145,ROW('KSH järjestus'!CE129),MATCH('KSH järjestus'!CE$3,KOMBI!$A$1:$GI$1,0))</f>
        <v>2.8759999999999999</v>
      </c>
      <c r="CF122" s="25">
        <f t="array" ref="CF122">INDEX(KOMBI!$A$1:$GI$145,ROW('KSH järjestus'!CF129),MATCH('KSH järjestus'!CF$3,KOMBI!$A$1:$GI$1,0))</f>
        <v>59.535011875436602</v>
      </c>
      <c r="CG122" s="25">
        <f t="array" ref="CG122">INDEX(KOMBI!$A$1:$GI$145,ROW('KSH järjestus'!CG129),MATCH('KSH järjestus'!CG$3,KOMBI!$A$1:$GI$1,0))</f>
        <v>2.4608217929567841E-2</v>
      </c>
      <c r="CH122" s="25">
        <f t="array" ref="CH122">INDEX(KOMBI!$A$1:$GI$145,ROW('KSH järjestus'!CH129),MATCH('KSH järjestus'!CH$3,KOMBI!$A$1:$GI$1,0))</f>
        <v>0.44074232993007334</v>
      </c>
      <c r="CI122" s="25">
        <f t="array" ref="CI122">INDEX(KOMBI!$A$1:$GI$145,ROW('KSH järjestus'!CI129),MATCH('KSH järjestus'!CI$3,KOMBI!$A$1:$GI$1,0))</f>
        <v>6.28</v>
      </c>
      <c r="CJ122" s="25">
        <f t="array" ref="CJ122">INDEX(KOMBI!$A$1:$GI$145,ROW('KSH järjestus'!CJ129),MATCH('KSH järjestus'!CJ$3,KOMBI!$A$1:$GI$1,0))</f>
        <v>7.4808849906373194</v>
      </c>
      <c r="CK122" s="25">
        <f t="array" ref="CK122">INDEX(KOMBI!$A$1:$GI$145,ROW('KSH järjestus'!CK129),MATCH('KSH järjestus'!CK$3,KOMBI!$A$1:$GI$1,0))</f>
        <v>0.21099999999999999</v>
      </c>
      <c r="CL122" s="25">
        <f t="array" ref="CL122">INDEX(KOMBI!$A$1:$GI$145,ROW('KSH järjestus'!CL129),MATCH('KSH järjestus'!CL$3,KOMBI!$A$1:$GI$1,0))</f>
        <v>0.76300000000000001</v>
      </c>
    </row>
    <row r="123" spans="3:90" x14ac:dyDescent="0.2">
      <c r="C123" s="184">
        <v>120</v>
      </c>
      <c r="G123" s="25">
        <f>RANK(INDEX(KOMBI!$A$11:$GI$145,MATCH('KSH järjestus'!$C123,KOMBI!$A$11:$A$145,0),MATCH('KSH järjestus'!G$3,KOMBI!$A$1:$GI$1,0)),BD$4:BD$138,G$2)</f>
        <v>46</v>
      </c>
      <c r="H123" s="25">
        <f>RANK(INDEX(KOMBI!$A$11:$GI$145,MATCH('KSH järjestus'!$C123,KOMBI!$A$11:$A$145,0),MATCH('KSH järjestus'!H$3,KOMBI!$A$1:$GI$1,0)),BE$4:BE$138,H$2)</f>
        <v>2</v>
      </c>
      <c r="J123" s="25">
        <f>RANK(INDEX(KOMBI!$A$11:$GI$145,MATCH('KSH järjestus'!$C123,KOMBI!$A$11:$A$145,0),MATCH('KSH järjestus'!J$3,KOMBI!$A$1:$GI$1,0)),BG$4:BG$138,J$2)</f>
        <v>4</v>
      </c>
      <c r="M123" s="25">
        <f>RANK(INDEX(KOMBI!$A$11:$GI$145,MATCH('KSH järjestus'!$C123,KOMBI!$A$11:$A$145,0),MATCH('KSH järjestus'!M$3,KOMBI!$A$1:$GI$1,0)),BJ$4:BJ$138,M$2)</f>
        <v>1</v>
      </c>
      <c r="N123" s="25">
        <f>RANK(INDEX(KOMBI!$A$11:$GI$145,MATCH('KSH järjestus'!$C123,KOMBI!$A$11:$A$145,0),MATCH('KSH järjestus'!N$3,KOMBI!$A$1:$GI$1,0)),BK$4:BK$138,N$2)</f>
        <v>115</v>
      </c>
      <c r="O123" s="25">
        <f>RANK(INDEX(KOMBI!$A$11:$GI$145,MATCH('KSH järjestus'!$C123,KOMBI!$A$11:$A$145,0),MATCH('KSH järjestus'!O$3,KOMBI!$A$1:$GI$1,0)),BL$4:BL$138,O$2)</f>
        <v>2</v>
      </c>
      <c r="P123" s="25">
        <f>RANK(INDEX(KOMBI!$A$11:$GI$145,MATCH('KSH järjestus'!$C123,KOMBI!$A$11:$A$145,0),MATCH('KSH järjestus'!P$3,KOMBI!$A$1:$GI$1,0)),BM$4:BM$138,P$2)</f>
        <v>6</v>
      </c>
      <c r="Q123" s="25">
        <f>RANK(INDEX(KOMBI!$A$11:$GI$145,MATCH('KSH järjestus'!$C123,KOMBI!$A$11:$A$145,0),MATCH('KSH järjestus'!Q$3,KOMBI!$A$1:$GI$1,0)),BN$4:BN$138,Q$2)</f>
        <v>2</v>
      </c>
      <c r="R123" s="25">
        <f>RANK(INDEX(KOMBI!$A$11:$GI$145,MATCH('KSH järjestus'!$C123,KOMBI!$A$11:$A$145,0),MATCH('KSH järjestus'!R$3,KOMBI!$A$1:$GI$1,0)),BO$4:BO$138,R$2)</f>
        <v>3</v>
      </c>
      <c r="T123" s="25">
        <f>RANK(INDEX(KOMBI!$A$11:$GI$145,MATCH('KSH järjestus'!$C123,KOMBI!$A$11:$A$145,0),MATCH('KSH järjestus'!T$3,KOMBI!$A$1:$GI$1,0)),BQ$4:BQ$138,T$2)</f>
        <v>98</v>
      </c>
      <c r="U123" s="25">
        <f>RANK(INDEX(KOMBI!$A$11:$GI$145,MATCH('KSH järjestus'!$C123,KOMBI!$A$11:$A$145,0),MATCH('KSH järjestus'!U$3,KOMBI!$A$1:$GI$1,0)),BR$4:BR$138,U$2)</f>
        <v>66</v>
      </c>
      <c r="AA123" s="25">
        <f>RANK(INDEX(KOMBI!$A$11:$GI$145,MATCH('KSH järjestus'!$C123,KOMBI!$A$11:$A$145,0),MATCH('KSH järjestus'!AA$3,KOMBI!$A$1:$GI$1,0)),BX$4:BX$138,AA$2)</f>
        <v>112</v>
      </c>
      <c r="AB123" s="25">
        <f>RANK(INDEX(KOMBI!$A$11:$GI$145,MATCH('KSH järjestus'!$C123,KOMBI!$A$11:$A$145,0),MATCH('KSH järjestus'!AB$3,KOMBI!$A$1:$GI$1,0)),BY$4:BY$138,AB$2)</f>
        <v>118</v>
      </c>
      <c r="AC123" s="25">
        <f>RANK(INDEX(KOMBI!$A$11:$GI$145,MATCH('KSH järjestus'!$C123,KOMBI!$A$11:$A$145,0),MATCH('KSH järjestus'!AC$3,KOMBI!$A$1:$GI$1,0)),BZ$4:BZ$138,AC$2)</f>
        <v>113</v>
      </c>
      <c r="AD123" s="25">
        <f>RANK(INDEX(KOMBI!$A$11:$GI$145,MATCH('KSH järjestus'!$C123,KOMBI!$A$11:$A$145,0),MATCH('KSH järjestus'!AD$3,KOMBI!$A$1:$GI$1,0)),CA$4:CA$138,AD$2)</f>
        <v>114</v>
      </c>
      <c r="AE123" s="25">
        <f>RANK(INDEX(KOMBI!$A$11:$GI$145,MATCH('KSH järjestus'!$C123,KOMBI!$A$11:$A$145,0),MATCH('KSH järjestus'!AE$3,KOMBI!$A$1:$GI$1,0)),CB$4:CB$138,AE$2)</f>
        <v>114</v>
      </c>
      <c r="AG123" s="25">
        <f>RANK(INDEX(KOMBI!$A$11:$GI$145,MATCH('KSH järjestus'!$C123,KOMBI!$A$11:$A$145,0),MATCH('KSH järjestus'!AG$3,KOMBI!$A$1:$GI$1,0)),CD$4:CD$138,AG$2)</f>
        <v>16</v>
      </c>
      <c r="AH123" s="25">
        <f>RANK(INDEX(KOMBI!$A$11:$GI$145,MATCH('KSH järjestus'!$C123,KOMBI!$A$11:$A$145,0),MATCH('KSH järjestus'!AH$3,KOMBI!$A$1:$GI$1,0)),CE$4:CE$138,AH$2)</f>
        <v>46</v>
      </c>
      <c r="AI123" s="25">
        <f>RANK(INDEX(KOMBI!$A$11:$GI$145,MATCH('KSH järjestus'!$C123,KOMBI!$A$11:$A$145,0),MATCH('KSH järjestus'!AI$3,KOMBI!$A$1:$GI$1,0)),CF$4:CF$138,AI$2)</f>
        <v>112</v>
      </c>
      <c r="AJ123" s="25">
        <f>RANK(INDEX(KOMBI!$A$11:$GI$145,MATCH('KSH järjestus'!$C123,KOMBI!$A$11:$A$145,0),MATCH('KSH järjestus'!AJ$3,KOMBI!$A$1:$GI$1,0)),CG$4:CG$138,AJ$2)</f>
        <v>40</v>
      </c>
      <c r="AK123" s="25">
        <f>RANK(INDEX(KOMBI!$A$11:$GI$145,MATCH('KSH järjestus'!$C123,KOMBI!$A$11:$A$145,0),MATCH('KSH järjestus'!AK$3,KOMBI!$A$1:$GI$1,0)),CH$4:CH$138,AK$2)</f>
        <v>64</v>
      </c>
      <c r="AN123" s="25">
        <f>RANK(INDEX(KOMBI!$A$11:$GI$145,MATCH('KSH järjestus'!$C123,KOMBI!$A$11:$A$145,0),MATCH('KSH järjestus'!AN$3,KOMBI!$A$1:$GI$1,0)),CK$4:CK$138,AN$2)</f>
        <v>46</v>
      </c>
      <c r="AO123" s="25">
        <f>RANK(INDEX(KOMBI!$A$11:$GI$145,MATCH('KSH järjestus'!$C123,KOMBI!$A$11:$A$145,0),MATCH('KSH järjestus'!AO$3,KOMBI!$A$1:$GI$1,0)),CL$4:CL$138,AO$2)</f>
        <v>46</v>
      </c>
      <c r="AS123" s="297">
        <f t="shared" si="7"/>
        <v>1286</v>
      </c>
      <c r="AT123" s="25">
        <f t="shared" si="5"/>
        <v>2090</v>
      </c>
      <c r="AU123" s="25">
        <f t="shared" si="6"/>
        <v>16</v>
      </c>
      <c r="AV123" s="295" t="str">
        <f>VLOOKUP(VLOOKUP($AU123,KOMBI!$A:$H,3,FALSE),data!$I$27:$J$29,2,FALSE)</f>
        <v>Vähe-sekkuv</v>
      </c>
      <c r="AW123" s="295" t="str">
        <f>VLOOKUP(VLOOKUP($AU123,KOMBI!$A:$H,2,FALSE),data!$I$21:$J$23,2,FALSE)</f>
        <v>Mittesekkuv</v>
      </c>
      <c r="AX123" s="295" t="str">
        <f>VLOOKUP(VLOOKUP($AU123,KOMBI!$A:$H,5,FALSE),data!$I$39:$J$41,2,FALSE)</f>
        <v>Mittesekkuv</v>
      </c>
      <c r="AY123" s="295" t="str">
        <f>VLOOKUP(VLOOKUP($AU123,KOMBI!$A:$H,4,FALSE),data!$I$32:$J$36,2,FALSE)</f>
        <v>LIB</v>
      </c>
      <c r="BA123" s="25">
        <f t="array" ref="BA123">INDEX(KOMBI!$A$1:$GI$145,ROW('KSH järjestus'!BA130),MATCH('KSH järjestus'!BA$3,KOMBI!$A$1:$GI$1,0))</f>
        <v>8.7516538553281009</v>
      </c>
      <c r="BB123" s="25">
        <f t="array" ref="BB123">INDEX(KOMBI!$A$1:$GI$145,ROW('KSH järjestus'!BB130),MATCH('KSH järjestus'!BB$3,KOMBI!$A$1:$GI$1,0))</f>
        <v>1028.2816943045714</v>
      </c>
      <c r="BC123" s="25">
        <f t="array" aca="1" ref="BC123" ca="1">INDEX(KOMBI!$A$1:$GI$145,ROW('KSH järjestus'!BC130),MATCH('KSH järjestus'!BC$3,KOMBI!$A$1:$GI$1,0))</f>
        <v>230.838955808479</v>
      </c>
      <c r="BD123" s="25">
        <f t="array" ref="BD123">INDEX(KOMBI!$A$1:$GI$145,ROW('KSH järjestus'!BD130),MATCH('KSH järjestus'!BD$3,KOMBI!$A$1:$GI$1,0))</f>
        <v>-111.63831369909104</v>
      </c>
      <c r="BE123" s="25">
        <f t="array" ref="BE123">INDEX(KOMBI!$A$1:$GI$145,ROW('KSH järjestus'!BE130),MATCH('KSH järjestus'!BE$3,KOMBI!$A$1:$GI$1,0))</f>
        <v>342.47726950757004</v>
      </c>
      <c r="BF123" s="25">
        <f t="array" aca="1" ref="BF123" ca="1">INDEX(KOMBI!$A$1:$GI$145,ROW('KSH järjestus'!BF130),MATCH('KSH järjestus'!BF$3,KOMBI!$A$1:$GI$1,0))</f>
        <v>0</v>
      </c>
      <c r="BG123" s="25">
        <f t="array" ref="BG123">INDEX(KOMBI!$A$1:$GI$145,ROW('KSH järjestus'!BG130),MATCH('KSH järjestus'!BG$3,KOMBI!$A$1:$GI$1,0))</f>
        <v>0.25958724403665223</v>
      </c>
      <c r="BH123" s="25">
        <f t="array" ref="BH123">INDEX(KOMBI!$A$1:$GI$145,ROW('KSH järjestus'!BH130),MATCH('KSH järjestus'!BH$3,KOMBI!$A$1:$GI$1,0))</f>
        <v>90</v>
      </c>
      <c r="BI123" s="25">
        <f t="array" ref="BI123">INDEX(KOMBI!$A$1:$GI$145,ROW('KSH järjestus'!BI130),MATCH('KSH järjestus'!BI$3,KOMBI!$A$1:$GI$1,0))</f>
        <v>0.72887234460741646</v>
      </c>
      <c r="BJ123" s="25">
        <f t="array" ref="BJ123">INDEX(KOMBI!$A$1:$GI$145,ROW('KSH järjestus'!BJ130),MATCH('KSH järjestus'!BJ$3,KOMBI!$A$1:$GI$1,0))</f>
        <v>0</v>
      </c>
      <c r="BK123" s="25">
        <f t="array" ref="BK123">INDEX(KOMBI!$A$1:$GI$145,ROW('KSH järjestus'!BK130),MATCH('KSH järjestus'!BK$3,KOMBI!$A$1:$GI$1,0))</f>
        <v>0.27432571009522233</v>
      </c>
      <c r="BL123" s="25">
        <f t="array" ref="BL123">INDEX(KOMBI!$A$1:$GI$145,ROW('KSH järjestus'!BL130),MATCH('KSH järjestus'!BL$3,KOMBI!$A$1:$GI$1,0))</f>
        <v>3.8792565529244351E-2</v>
      </c>
      <c r="BM123" s="25">
        <f t="array" ref="BM123">INDEX(KOMBI!$A$1:$GI$145,ROW('KSH järjestus'!BM130),MATCH('KSH järjestus'!BM$3,KOMBI!$A$1:$GI$1,0))</f>
        <v>1.2394461731785881E-2</v>
      </c>
      <c r="BN123" s="25">
        <f t="array" ref="BN123">INDEX(KOMBI!$A$1:$GI$145,ROW('KSH järjestus'!BN130),MATCH('KSH järjestus'!BN$3,KOMBI!$A$1:$GI$1,0))</f>
        <v>1.6689164487368152E-2</v>
      </c>
      <c r="BO123" s="25">
        <f t="array" ref="BO123">INDEX(KOMBI!$A$1:$GI$145,ROW('KSH järjestus'!BO130),MATCH('KSH järjestus'!BO$3,KOMBI!$A$1:$GI$1,0))</f>
        <v>2.256490666116313E-2</v>
      </c>
      <c r="BP123" s="25">
        <f t="array" ref="BP123">INDEX(KOMBI!$A$1:$GI$145,ROW('KSH järjestus'!BP130),MATCH('KSH järjestus'!BP$3,KOMBI!$A$1:$GI$1,0))</f>
        <v>7.7059896156049161</v>
      </c>
      <c r="BQ123" s="25">
        <f t="array" ref="BQ123">INDEX(KOMBI!$A$1:$GI$145,ROW('KSH järjestus'!BQ130),MATCH('KSH järjestus'!BQ$3,KOMBI!$A$1:$GI$1,0))</f>
        <v>11.159000000000001</v>
      </c>
      <c r="BR123" s="25">
        <f t="array" ref="BR123">INDEX(KOMBI!$A$1:$GI$145,ROW('KSH järjestus'!BR130),MATCH('KSH järjestus'!BR$3,KOMBI!$A$1:$GI$1,0))</f>
        <v>-2.6069223659172441E-2</v>
      </c>
      <c r="BS123" s="25">
        <f t="array" ref="BS123">INDEX(KOMBI!$A$1:$GI$145,ROW('KSH järjestus'!BS130),MATCH('KSH järjestus'!BS$3,KOMBI!$A$1:$GI$1,0))</f>
        <v>3.9016762912548554E-2</v>
      </c>
      <c r="BT123" s="25">
        <f t="array" ref="BT123">INDEX(KOMBI!$A$1:$GI$145,ROW('KSH järjestus'!BT130),MATCH('KSH järjestus'!BT$3,KOMBI!$A$1:$GI$1,0))</f>
        <v>2.8074298208378409E-2</v>
      </c>
      <c r="BU123" s="25">
        <f t="array" ref="BU123">INDEX(KOMBI!$A$1:$GI$145,ROW('KSH järjestus'!BU130),MATCH('KSH järjestus'!BU$3,KOMBI!$A$1:$GI$1,0))</f>
        <v>10.832630311598681</v>
      </c>
      <c r="BV123" s="25">
        <f t="array" ref="BV123">INDEX(KOMBI!$A$1:$GI$145,ROW('KSH järjestus'!BV130),MATCH('KSH järjestus'!BV$3,KOMBI!$A$1:$GI$1,0))</f>
        <v>6.0640000000000001</v>
      </c>
      <c r="BW123" s="25">
        <f t="array" ref="BW123">INDEX(KOMBI!$A$1:$GI$145,ROW('KSH järjestus'!BW130),MATCH('KSH järjestus'!BW$3,KOMBI!$A$1:$GI$1,0))</f>
        <v>1.7830849906373201</v>
      </c>
      <c r="BX123" s="25">
        <f t="array" ref="BX123">INDEX(KOMBI!$A$1:$GI$145,ROW('KSH järjestus'!BX130),MATCH('KSH järjestus'!BX$3,KOMBI!$A$1:$GI$1,0))</f>
        <v>21.63</v>
      </c>
      <c r="BY123" s="25">
        <f t="array" ref="BY123">INDEX(KOMBI!$A$1:$GI$145,ROW('KSH järjestus'!BY130),MATCH('KSH järjestus'!BY$3,KOMBI!$A$1:$GI$1,0))</f>
        <v>38.487669554234017</v>
      </c>
      <c r="BZ123" s="25">
        <f t="array" ref="BZ123">INDEX(KOMBI!$A$1:$GI$145,ROW('KSH järjestus'!BZ130),MATCH('KSH järjestus'!BZ$3,KOMBI!$A$1:$GI$1,0))</f>
        <v>92</v>
      </c>
      <c r="CA123" s="25">
        <f t="array" ref="CA123">INDEX(KOMBI!$A$1:$GI$145,ROW('KSH järjestus'!CA130),MATCH('KSH järjestus'!CA$3,KOMBI!$A$1:$GI$1,0))</f>
        <v>15.772</v>
      </c>
      <c r="CB123" s="25">
        <f t="array" ref="CB123">INDEX(KOMBI!$A$1:$GI$145,ROW('KSH järjestus'!CB130),MATCH('KSH järjestus'!CB$3,KOMBI!$A$1:$GI$1,0))</f>
        <v>133.19999999999999</v>
      </c>
      <c r="CC123" s="25">
        <f t="array" ref="CC123">INDEX(KOMBI!$A$1:$GI$145,ROW('KSH järjestus'!CC130),MATCH('KSH järjestus'!CC$3,KOMBI!$A$1:$GI$1,0))</f>
        <v>7.1489729999999998</v>
      </c>
      <c r="CD123" s="25">
        <f t="array" ref="CD123">INDEX(KOMBI!$A$1:$GI$145,ROW('KSH järjestus'!CD130),MATCH('KSH järjestus'!CD$3,KOMBI!$A$1:$GI$1,0))</f>
        <v>294.3</v>
      </c>
      <c r="CE123" s="25">
        <f t="array" ref="CE123">INDEX(KOMBI!$A$1:$GI$145,ROW('KSH järjestus'!CE130),MATCH('KSH järjestus'!CE$3,KOMBI!$A$1:$GI$1,0))</f>
        <v>2.8759999999999999</v>
      </c>
      <c r="CF123" s="25">
        <f t="array" ref="CF123">INDEX(KOMBI!$A$1:$GI$145,ROW('KSH järjestus'!CF130),MATCH('KSH järjestus'!CF$3,KOMBI!$A$1:$GI$1,0))</f>
        <v>59.535011875436595</v>
      </c>
      <c r="CG123" s="25">
        <f t="array" ref="CG123">INDEX(KOMBI!$A$1:$GI$145,ROW('KSH järjestus'!CG130),MATCH('KSH järjestus'!CG$3,KOMBI!$A$1:$GI$1,0))</f>
        <v>2.4608217929567841E-2</v>
      </c>
      <c r="CH123" s="25">
        <f t="array" ref="CH123">INDEX(KOMBI!$A$1:$GI$145,ROW('KSH järjestus'!CH130),MATCH('KSH järjestus'!CH$3,KOMBI!$A$1:$GI$1,0))</f>
        <v>0.44074232993007334</v>
      </c>
      <c r="CI123" s="25">
        <f t="array" ref="CI123">INDEX(KOMBI!$A$1:$GI$145,ROW('KSH järjestus'!CI130),MATCH('KSH järjestus'!CI$3,KOMBI!$A$1:$GI$1,0))</f>
        <v>6.28</v>
      </c>
      <c r="CJ123" s="25">
        <f t="array" ref="CJ123">INDEX(KOMBI!$A$1:$GI$145,ROW('KSH järjestus'!CJ130),MATCH('KSH järjestus'!CJ$3,KOMBI!$A$1:$GI$1,0))</f>
        <v>7.4808849906373194</v>
      </c>
      <c r="CK123" s="25">
        <f t="array" ref="CK123">INDEX(KOMBI!$A$1:$GI$145,ROW('KSH järjestus'!CK130),MATCH('KSH järjestus'!CK$3,KOMBI!$A$1:$GI$1,0))</f>
        <v>0.21099999999999999</v>
      </c>
      <c r="CL123" s="25">
        <f t="array" ref="CL123">INDEX(KOMBI!$A$1:$GI$145,ROW('KSH järjestus'!CL130),MATCH('KSH järjestus'!CL$3,KOMBI!$A$1:$GI$1,0))</f>
        <v>0.76300000000000001</v>
      </c>
    </row>
    <row r="124" spans="3:90" x14ac:dyDescent="0.2">
      <c r="C124" s="184">
        <v>121</v>
      </c>
      <c r="G124" s="25">
        <f>RANK(INDEX(KOMBI!$A$11:$GI$145,MATCH('KSH järjestus'!$C124,KOMBI!$A$11:$A$145,0),MATCH('KSH järjestus'!G$3,KOMBI!$A$1:$GI$1,0)),BD$4:BD$138,G$2)</f>
        <v>16</v>
      </c>
      <c r="H124" s="25">
        <f>RANK(INDEX(KOMBI!$A$11:$GI$145,MATCH('KSH järjestus'!$C124,KOMBI!$A$11:$A$145,0),MATCH('KSH järjestus'!H$3,KOMBI!$A$1:$GI$1,0)),BE$4:BE$138,H$2)</f>
        <v>58</v>
      </c>
      <c r="J124" s="25">
        <f>RANK(INDEX(KOMBI!$A$11:$GI$145,MATCH('KSH järjestus'!$C124,KOMBI!$A$11:$A$145,0),MATCH('KSH järjestus'!J$3,KOMBI!$A$1:$GI$1,0)),BG$4:BG$138,J$2)</f>
        <v>72</v>
      </c>
      <c r="M124" s="25">
        <f>RANK(INDEX(KOMBI!$A$11:$GI$145,MATCH('KSH järjestus'!$C124,KOMBI!$A$11:$A$145,0),MATCH('KSH järjestus'!M$3,KOMBI!$A$1:$GI$1,0)),BJ$4:BJ$138,M$2)</f>
        <v>55</v>
      </c>
      <c r="N124" s="25">
        <f>RANK(INDEX(KOMBI!$A$11:$GI$145,MATCH('KSH järjestus'!$C124,KOMBI!$A$11:$A$145,0),MATCH('KSH järjestus'!N$3,KOMBI!$A$1:$GI$1,0)),BK$4:BK$138,N$2)</f>
        <v>46</v>
      </c>
      <c r="O124" s="25">
        <f>RANK(INDEX(KOMBI!$A$11:$GI$145,MATCH('KSH järjestus'!$C124,KOMBI!$A$11:$A$145,0),MATCH('KSH järjestus'!O$3,KOMBI!$A$1:$GI$1,0)),BL$4:BL$138,O$2)</f>
        <v>95</v>
      </c>
      <c r="P124" s="25">
        <f>RANK(INDEX(KOMBI!$A$11:$GI$145,MATCH('KSH järjestus'!$C124,KOMBI!$A$11:$A$145,0),MATCH('KSH järjestus'!P$3,KOMBI!$A$1:$GI$1,0)),BM$4:BM$138,P$2)</f>
        <v>25</v>
      </c>
      <c r="Q124" s="25">
        <f>RANK(INDEX(KOMBI!$A$11:$GI$145,MATCH('KSH järjestus'!$C124,KOMBI!$A$11:$A$145,0),MATCH('KSH järjestus'!Q$3,KOMBI!$A$1:$GI$1,0)),BN$4:BN$138,Q$2)</f>
        <v>112</v>
      </c>
      <c r="R124" s="25">
        <f>RANK(INDEX(KOMBI!$A$11:$GI$145,MATCH('KSH järjestus'!$C124,KOMBI!$A$11:$A$145,0),MATCH('KSH järjestus'!R$3,KOMBI!$A$1:$GI$1,0)),BO$4:BO$138,R$2)</f>
        <v>78</v>
      </c>
      <c r="T124" s="25">
        <f>RANK(INDEX(KOMBI!$A$11:$GI$145,MATCH('KSH järjestus'!$C124,KOMBI!$A$11:$A$145,0),MATCH('KSH järjestus'!T$3,KOMBI!$A$1:$GI$1,0)),BQ$4:BQ$138,T$2)</f>
        <v>7</v>
      </c>
      <c r="U124" s="25">
        <f>RANK(INDEX(KOMBI!$A$11:$GI$145,MATCH('KSH järjestus'!$C124,KOMBI!$A$11:$A$145,0),MATCH('KSH järjestus'!U$3,KOMBI!$A$1:$GI$1,0)),BR$4:BR$138,U$2)</f>
        <v>9</v>
      </c>
      <c r="AA124" s="25">
        <f>RANK(INDEX(KOMBI!$A$11:$GI$145,MATCH('KSH järjestus'!$C124,KOMBI!$A$11:$A$145,0),MATCH('KSH järjestus'!AA$3,KOMBI!$A$1:$GI$1,0)),BX$4:BX$138,AA$2)</f>
        <v>4</v>
      </c>
      <c r="AB124" s="25">
        <f>RANK(INDEX(KOMBI!$A$11:$GI$145,MATCH('KSH järjestus'!$C124,KOMBI!$A$11:$A$145,0),MATCH('KSH järjestus'!AB$3,KOMBI!$A$1:$GI$1,0)),BY$4:BY$138,AB$2)</f>
        <v>34</v>
      </c>
      <c r="AC124" s="25">
        <f>RANK(INDEX(KOMBI!$A$11:$GI$145,MATCH('KSH järjestus'!$C124,KOMBI!$A$11:$A$145,0),MATCH('KSH järjestus'!AC$3,KOMBI!$A$1:$GI$1,0)),BZ$4:BZ$138,AC$2)</f>
        <v>5</v>
      </c>
      <c r="AD124" s="25">
        <f>RANK(INDEX(KOMBI!$A$11:$GI$145,MATCH('KSH järjestus'!$C124,KOMBI!$A$11:$A$145,0),MATCH('KSH järjestus'!AD$3,KOMBI!$A$1:$GI$1,0)),CA$4:CA$138,AD$2)</f>
        <v>28</v>
      </c>
      <c r="AE124" s="25">
        <f>RANK(INDEX(KOMBI!$A$11:$GI$145,MATCH('KSH järjestus'!$C124,KOMBI!$A$11:$A$145,0),MATCH('KSH järjestus'!AE$3,KOMBI!$A$1:$GI$1,0)),CB$4:CB$138,AE$2)</f>
        <v>28</v>
      </c>
      <c r="AG124" s="25">
        <f>RANK(INDEX(KOMBI!$A$11:$GI$145,MATCH('KSH järjestus'!$C124,KOMBI!$A$11:$A$145,0),MATCH('KSH järjestus'!AG$3,KOMBI!$A$1:$GI$1,0)),CD$4:CD$138,AG$2)</f>
        <v>4</v>
      </c>
      <c r="AH124" s="25">
        <f>RANK(INDEX(KOMBI!$A$11:$GI$145,MATCH('KSH järjestus'!$C124,KOMBI!$A$11:$A$145,0),MATCH('KSH järjestus'!AH$3,KOMBI!$A$1:$GI$1,0)),CE$4:CE$138,AH$2)</f>
        <v>16</v>
      </c>
      <c r="AI124" s="25">
        <f>RANK(INDEX(KOMBI!$A$11:$GI$145,MATCH('KSH järjestus'!$C124,KOMBI!$A$11:$A$145,0),MATCH('KSH järjestus'!AI$3,KOMBI!$A$1:$GI$1,0)),CF$4:CF$138,AI$2)</f>
        <v>16</v>
      </c>
      <c r="AJ124" s="25">
        <f>RANK(INDEX(KOMBI!$A$11:$GI$145,MATCH('KSH järjestus'!$C124,KOMBI!$A$11:$A$145,0),MATCH('KSH järjestus'!AJ$3,KOMBI!$A$1:$GI$1,0)),CG$4:CG$138,AJ$2)</f>
        <v>28</v>
      </c>
      <c r="AK124" s="25">
        <f>RANK(INDEX(KOMBI!$A$11:$GI$145,MATCH('KSH järjestus'!$C124,KOMBI!$A$11:$A$145,0),MATCH('KSH järjestus'!AK$3,KOMBI!$A$1:$GI$1,0)),CH$4:CH$138,AK$2)</f>
        <v>43</v>
      </c>
      <c r="AN124" s="25">
        <f>RANK(INDEX(KOMBI!$A$11:$GI$145,MATCH('KSH järjestus'!$C124,KOMBI!$A$11:$A$145,0),MATCH('KSH järjestus'!AN$3,KOMBI!$A$1:$GI$1,0)),CK$4:CK$138,AN$2)</f>
        <v>1</v>
      </c>
      <c r="AO124" s="25">
        <f>RANK(INDEX(KOMBI!$A$11:$GI$145,MATCH('KSH järjestus'!$C124,KOMBI!$A$11:$A$145,0),MATCH('KSH järjestus'!AO$3,KOMBI!$A$1:$GI$1,0)),CL$4:CL$138,AO$2)</f>
        <v>1</v>
      </c>
      <c r="AS124" s="297">
        <f t="shared" si="7"/>
        <v>781</v>
      </c>
      <c r="AT124" s="25">
        <f t="shared" si="5"/>
        <v>2091</v>
      </c>
      <c r="AU124" s="25">
        <f t="shared" si="6"/>
        <v>19</v>
      </c>
      <c r="AV124" s="295" t="str">
        <f>VLOOKUP(VLOOKUP($AU124,KOMBI!$A:$H,3,FALSE),data!$I$27:$J$29,2,FALSE)</f>
        <v>Vähe-sekkuv</v>
      </c>
      <c r="AW124" s="295" t="str">
        <f>VLOOKUP(VLOOKUP($AU124,KOMBI!$A:$H,2,FALSE),data!$I$21:$J$23,2,FALSE)</f>
        <v>Mittesekkuv</v>
      </c>
      <c r="AX124" s="295" t="str">
        <f>VLOOKUP(VLOOKUP($AU124,KOMBI!$A:$H,5,FALSE),data!$I$39:$J$41,2,FALSE)</f>
        <v>Mittesekkuv</v>
      </c>
      <c r="AY124" s="295" t="str">
        <f>VLOOKUP(VLOOKUP($AU124,KOMBI!$A:$H,4,FALSE),data!$I$32:$J$36,2,FALSE)</f>
        <v>LIB+</v>
      </c>
      <c r="BA124" s="25">
        <f t="array" ref="BA124">INDEX(KOMBI!$A$1:$GI$145,ROW('KSH järjestus'!BA131),MATCH('KSH järjestus'!BA$3,KOMBI!$A$1:$GI$1,0))</f>
        <v>5.6429680009667482</v>
      </c>
      <c r="BB124" s="25">
        <f t="array" ref="BB124">INDEX(KOMBI!$A$1:$GI$145,ROW('KSH järjestus'!BB131),MATCH('KSH järjestus'!BB$3,KOMBI!$A$1:$GI$1,0))</f>
        <v>314.96626792954498</v>
      </c>
      <c r="BC124" s="25">
        <f t="array" aca="1" ref="BC124" ca="1">INDEX(KOMBI!$A$1:$GI$145,ROW('KSH järjestus'!BC131),MATCH('KSH järjestus'!BC$3,KOMBI!$A$1:$GI$1,0))</f>
        <v>11.713532465820407</v>
      </c>
      <c r="BD124" s="25">
        <f t="array" ref="BD124">INDEX(KOMBI!$A$1:$GI$145,ROW('KSH järjestus'!BD131),MATCH('KSH järjestus'!BD$3,KOMBI!$A$1:$GI$1,0))</f>
        <v>-162.95750000000001</v>
      </c>
      <c r="BE124" s="25">
        <f t="array" ref="BE124">INDEX(KOMBI!$A$1:$GI$145,ROW('KSH järjestus'!BE131),MATCH('KSH järjestus'!BE$3,KOMBI!$A$1:$GI$1,0))</f>
        <v>174.67103246582042</v>
      </c>
      <c r="BF124" s="25">
        <f t="array" aca="1" ref="BF124" ca="1">INDEX(KOMBI!$A$1:$GI$145,ROW('KSH järjestus'!BF131),MATCH('KSH järjestus'!BF$3,KOMBI!$A$1:$GI$1,0))</f>
        <v>0</v>
      </c>
      <c r="BG124" s="25">
        <f t="array" ref="BG124">INDEX(KOMBI!$A$1:$GI$145,ROW('KSH järjestus'!BG131),MATCH('KSH järjestus'!BG$3,KOMBI!$A$1:$GI$1,0))</f>
        <v>0.55300023275351873</v>
      </c>
      <c r="BH124" s="25">
        <f t="array" ref="BH124">INDEX(KOMBI!$A$1:$GI$145,ROW('KSH järjestus'!BH131),MATCH('KSH järjestus'!BH$3,KOMBI!$A$1:$GI$1,0))</f>
        <v>90</v>
      </c>
      <c r="BI124" s="25">
        <f t="array" ref="BI124">INDEX(KOMBI!$A$1:$GI$145,ROW('KSH järjestus'!BI131),MATCH('KSH järjestus'!BI$3,KOMBI!$A$1:$GI$1,0))</f>
        <v>1</v>
      </c>
      <c r="BJ124" s="25">
        <f t="array" ref="BJ124">INDEX(KOMBI!$A$1:$GI$145,ROW('KSH järjestus'!BJ131),MATCH('KSH järjestus'!BJ$3,KOMBI!$A$1:$GI$1,0))</f>
        <v>0.27911646586345373</v>
      </c>
      <c r="BK124" s="25">
        <f t="array" ref="BK124">INDEX(KOMBI!$A$1:$GI$145,ROW('KSH järjestus'!BK131),MATCH('KSH järjestus'!BK$3,KOMBI!$A$1:$GI$1,0))</f>
        <v>0.36791956700630501</v>
      </c>
      <c r="BL124" s="25">
        <f t="array" ref="BL124">INDEX(KOMBI!$A$1:$GI$145,ROW('KSH järjestus'!BL131),MATCH('KSH järjestus'!BL$3,KOMBI!$A$1:$GI$1,0))</f>
        <v>1.2055010155737268E-2</v>
      </c>
      <c r="BM124" s="25">
        <f t="array" ref="BM124">INDEX(KOMBI!$A$1:$GI$145,ROW('KSH järjestus'!BM131),MATCH('KSH järjestus'!BM$3,KOMBI!$A$1:$GI$1,0))</f>
        <v>6.6081166904124796E-3</v>
      </c>
      <c r="BN124" s="25">
        <f t="array" ref="BN124">INDEX(KOMBI!$A$1:$GI$145,ROW('KSH järjestus'!BN131),MATCH('KSH järjestus'!BN$3,KOMBI!$A$1:$GI$1,0))</f>
        <v>9.2316975648529254E-4</v>
      </c>
      <c r="BO124" s="25">
        <f t="array" ref="BO124">INDEX(KOMBI!$A$1:$GI$145,ROW('KSH järjestus'!BO131),MATCH('KSH järjestus'!BO$3,KOMBI!$A$1:$GI$1,0))</f>
        <v>1.1225113498030251E-2</v>
      </c>
      <c r="BP124" s="25">
        <f t="array" ref="BP124">INDEX(KOMBI!$A$1:$GI$145,ROW('KSH järjestus'!BP131),MATCH('KSH järjestus'!BP$3,KOMBI!$A$1:$GI$1,0))</f>
        <v>7.5609999999999999</v>
      </c>
      <c r="BQ124" s="25">
        <f t="array" ref="BQ124">INDEX(KOMBI!$A$1:$GI$145,ROW('KSH järjestus'!BQ131),MATCH('KSH järjestus'!BQ$3,KOMBI!$A$1:$GI$1,0))</f>
        <v>9.68</v>
      </c>
      <c r="BR124" s="25">
        <f t="array" ref="BR124">INDEX(KOMBI!$A$1:$GI$145,ROW('KSH järjestus'!BR131),MATCH('KSH järjestus'!BR$3,KOMBI!$A$1:$GI$1,0))</f>
        <v>-5.2846876197328384E-2</v>
      </c>
      <c r="BS124" s="25">
        <f t="array" ref="BS124">INDEX(KOMBI!$A$1:$GI$145,ROW('KSH järjestus'!BS131),MATCH('KSH järjestus'!BS$3,KOMBI!$A$1:$GI$1,0))</f>
        <v>-5.9479223917081457E-2</v>
      </c>
      <c r="BT124" s="25">
        <f t="array" ref="BT124">INDEX(KOMBI!$A$1:$GI$145,ROW('KSH järjestus'!BT131),MATCH('KSH järjestus'!BT$3,KOMBI!$A$1:$GI$1,0))</f>
        <v>-8.3132550627432633E-2</v>
      </c>
      <c r="BU124" s="25">
        <f t="array" ref="BU124">INDEX(KOMBI!$A$1:$GI$145,ROW('KSH järjestus'!BU131),MATCH('KSH järjestus'!BU$3,KOMBI!$A$1:$GI$1,0))</f>
        <v>7.1506303115986807</v>
      </c>
      <c r="BV124" s="25">
        <f t="array" ref="BV124">INDEX(KOMBI!$A$1:$GI$145,ROW('KSH järjestus'!BV131),MATCH('KSH järjestus'!BV$3,KOMBI!$A$1:$GI$1,0))</f>
        <v>4.9059999999999997</v>
      </c>
      <c r="BW124" s="25">
        <f t="array" ref="BW124">INDEX(KOMBI!$A$1:$GI$145,ROW('KSH järjestus'!BW131),MATCH('KSH järjestus'!BW$3,KOMBI!$A$1:$GI$1,0))</f>
        <v>1.03788499063732</v>
      </c>
      <c r="BX124" s="25">
        <f t="array" ref="BX124">INDEX(KOMBI!$A$1:$GI$145,ROW('KSH järjestus'!BX131),MATCH('KSH järjestus'!BX$3,KOMBI!$A$1:$GI$1,0))</f>
        <v>16.46</v>
      </c>
      <c r="BY124" s="25">
        <f t="array" ref="BY124">INDEX(KOMBI!$A$1:$GI$145,ROW('KSH järjestus'!BY131),MATCH('KSH järjestus'!BY$3,KOMBI!$A$1:$GI$1,0))</f>
        <v>11.220496548433506</v>
      </c>
      <c r="BZ124" s="25">
        <f t="array" ref="BZ124">INDEX(KOMBI!$A$1:$GI$145,ROW('KSH järjestus'!BZ131),MATCH('KSH järjestus'!BZ$3,KOMBI!$A$1:$GI$1,0))</f>
        <v>67</v>
      </c>
      <c r="CA124" s="25">
        <f t="array" ref="CA124">INDEX(KOMBI!$A$1:$GI$145,ROW('KSH järjestus'!CA131),MATCH('KSH järjestus'!CA$3,KOMBI!$A$1:$GI$1,0))</f>
        <v>12.632999999999999</v>
      </c>
      <c r="CB124" s="25">
        <f t="array" ref="CB124">INDEX(KOMBI!$A$1:$GI$145,ROW('KSH järjestus'!CB131),MATCH('KSH järjestus'!CB$3,KOMBI!$A$1:$GI$1,0))</f>
        <v>56.999166666666667</v>
      </c>
      <c r="CC124" s="25">
        <f t="array" ref="CC124">INDEX(KOMBI!$A$1:$GI$145,ROW('KSH järjestus'!CC131),MATCH('KSH järjestus'!CC$3,KOMBI!$A$1:$GI$1,0))</f>
        <v>4.5920439999999996</v>
      </c>
      <c r="CD124" s="25">
        <f t="array" ref="CD124">INDEX(KOMBI!$A$1:$GI$145,ROW('KSH järjestus'!CD131),MATCH('KSH järjestus'!CD$3,KOMBI!$A$1:$GI$1,0))</f>
        <v>285</v>
      </c>
      <c r="CE124" s="25">
        <f t="array" ref="CE124">INDEX(KOMBI!$A$1:$GI$145,ROW('KSH järjestus'!CE131),MATCH('KSH järjestus'!CE$3,KOMBI!$A$1:$GI$1,0))</f>
        <v>2.7810000000000001</v>
      </c>
      <c r="CF124" s="25">
        <f t="array" ref="CF124">INDEX(KOMBI!$A$1:$GI$145,ROW('KSH järjestus'!CF131),MATCH('KSH järjestus'!CF$3,KOMBI!$A$1:$GI$1,0))</f>
        <v>43.302900516795866</v>
      </c>
      <c r="CG124" s="25">
        <f t="array" ref="CG124">INDEX(KOMBI!$A$1:$GI$145,ROW('KSH järjestus'!CG131),MATCH('KSH järjestus'!CG$3,KOMBI!$A$1:$GI$1,0))</f>
        <v>2.5620074329845279E-2</v>
      </c>
      <c r="CH124" s="25">
        <f t="array" ref="CH124">INDEX(KOMBI!$A$1:$GI$145,ROW('KSH järjestus'!CH131),MATCH('KSH järjestus'!CH$3,KOMBI!$A$1:$GI$1,0))</f>
        <v>0.447957193299102</v>
      </c>
      <c r="CI124" s="25">
        <f t="array" ref="CI124">INDEX(KOMBI!$A$1:$GI$145,ROW('KSH järjestus'!CI131),MATCH('KSH järjestus'!CI$3,KOMBI!$A$1:$GI$1,0))</f>
        <v>6.08</v>
      </c>
      <c r="CJ124" s="25">
        <f t="array" ref="CJ124">INDEX(KOMBI!$A$1:$GI$145,ROW('KSH järjestus'!CJ131),MATCH('KSH järjestus'!CJ$3,KOMBI!$A$1:$GI$1,0))</f>
        <v>2.7248849906373196</v>
      </c>
      <c r="CK124" s="25">
        <f t="array" ref="CK124">INDEX(KOMBI!$A$1:$GI$145,ROW('KSH järjestus'!CK131),MATCH('KSH järjestus'!CK$3,KOMBI!$A$1:$GI$1,0))</f>
        <v>0.19900000000000001</v>
      </c>
      <c r="CL124" s="25">
        <f t="array" ref="CL124">INDEX(KOMBI!$A$1:$GI$145,ROW('KSH järjestus'!CL131),MATCH('KSH järjestus'!CL$3,KOMBI!$A$1:$GI$1,0))</f>
        <v>0.72299999999999998</v>
      </c>
    </row>
    <row r="125" spans="3:90" x14ac:dyDescent="0.2">
      <c r="C125" s="184">
        <v>122</v>
      </c>
      <c r="G125" s="25">
        <f>RANK(INDEX(KOMBI!$A$11:$GI$145,MATCH('KSH järjestus'!$C125,KOMBI!$A$11:$A$145,0),MATCH('KSH järjestus'!G$3,KOMBI!$A$1:$GI$1,0)),BD$4:BD$138,G$2)</f>
        <v>11</v>
      </c>
      <c r="H125" s="25">
        <f>RANK(INDEX(KOMBI!$A$11:$GI$145,MATCH('KSH järjestus'!$C125,KOMBI!$A$11:$A$145,0),MATCH('KSH järjestus'!H$3,KOMBI!$A$1:$GI$1,0)),BE$4:BE$138,H$2)</f>
        <v>32</v>
      </c>
      <c r="J125" s="25">
        <f>RANK(INDEX(KOMBI!$A$11:$GI$145,MATCH('KSH järjestus'!$C125,KOMBI!$A$11:$A$145,0),MATCH('KSH järjestus'!J$3,KOMBI!$A$1:$GI$1,0)),BG$4:BG$138,J$2)</f>
        <v>39</v>
      </c>
      <c r="M125" s="25">
        <f>RANK(INDEX(KOMBI!$A$11:$GI$145,MATCH('KSH järjestus'!$C125,KOMBI!$A$11:$A$145,0),MATCH('KSH järjestus'!M$3,KOMBI!$A$1:$GI$1,0)),BJ$4:BJ$138,M$2)</f>
        <v>55</v>
      </c>
      <c r="N125" s="25">
        <f>RANK(INDEX(KOMBI!$A$11:$GI$145,MATCH('KSH järjestus'!$C125,KOMBI!$A$11:$A$145,0),MATCH('KSH järjestus'!N$3,KOMBI!$A$1:$GI$1,0)),BK$4:BK$138,N$2)</f>
        <v>46</v>
      </c>
      <c r="O125" s="25">
        <f>RANK(INDEX(KOMBI!$A$11:$GI$145,MATCH('KSH järjestus'!$C125,KOMBI!$A$11:$A$145,0),MATCH('KSH järjestus'!O$3,KOMBI!$A$1:$GI$1,0)),BL$4:BL$138,O$2)</f>
        <v>55</v>
      </c>
      <c r="P125" s="25">
        <f>RANK(INDEX(KOMBI!$A$11:$GI$145,MATCH('KSH järjestus'!$C125,KOMBI!$A$11:$A$145,0),MATCH('KSH järjestus'!P$3,KOMBI!$A$1:$GI$1,0)),BM$4:BM$138,P$2)</f>
        <v>50</v>
      </c>
      <c r="Q125" s="25">
        <f>RANK(INDEX(KOMBI!$A$11:$GI$145,MATCH('KSH järjestus'!$C125,KOMBI!$A$11:$A$145,0),MATCH('KSH järjestus'!Q$3,KOMBI!$A$1:$GI$1,0)),BN$4:BN$138,Q$2)</f>
        <v>80</v>
      </c>
      <c r="R125" s="25">
        <f>RANK(INDEX(KOMBI!$A$11:$GI$145,MATCH('KSH järjestus'!$C125,KOMBI!$A$11:$A$145,0),MATCH('KSH järjestus'!R$3,KOMBI!$A$1:$GI$1,0)),BO$4:BO$138,R$2)</f>
        <v>41</v>
      </c>
      <c r="T125" s="25">
        <f>RANK(INDEX(KOMBI!$A$11:$GI$145,MATCH('KSH järjestus'!$C125,KOMBI!$A$11:$A$145,0),MATCH('KSH järjestus'!T$3,KOMBI!$A$1:$GI$1,0)),BQ$4:BQ$138,T$2)</f>
        <v>11</v>
      </c>
      <c r="U125" s="25">
        <f>RANK(INDEX(KOMBI!$A$11:$GI$145,MATCH('KSH järjestus'!$C125,KOMBI!$A$11:$A$145,0),MATCH('KSH järjestus'!U$3,KOMBI!$A$1:$GI$1,0)),BR$4:BR$138,U$2)</f>
        <v>15</v>
      </c>
      <c r="AA125" s="25">
        <f>RANK(INDEX(KOMBI!$A$11:$GI$145,MATCH('KSH järjestus'!$C125,KOMBI!$A$11:$A$145,0),MATCH('KSH järjestus'!AA$3,KOMBI!$A$1:$GI$1,0)),BX$4:BX$138,AA$2)</f>
        <v>4</v>
      </c>
      <c r="AB125" s="25">
        <f>RANK(INDEX(KOMBI!$A$11:$GI$145,MATCH('KSH järjestus'!$C125,KOMBI!$A$11:$A$145,0),MATCH('KSH järjestus'!AB$3,KOMBI!$A$1:$GI$1,0)),BY$4:BY$138,AB$2)</f>
        <v>34</v>
      </c>
      <c r="AC125" s="25">
        <f>RANK(INDEX(KOMBI!$A$11:$GI$145,MATCH('KSH järjestus'!$C125,KOMBI!$A$11:$A$145,0),MATCH('KSH järjestus'!AC$3,KOMBI!$A$1:$GI$1,0)),BZ$4:BZ$138,AC$2)</f>
        <v>8</v>
      </c>
      <c r="AD125" s="25">
        <f>RANK(INDEX(KOMBI!$A$11:$GI$145,MATCH('KSH järjestus'!$C125,KOMBI!$A$11:$A$145,0),MATCH('KSH järjestus'!AD$3,KOMBI!$A$1:$GI$1,0)),CA$4:CA$138,AD$2)</f>
        <v>31</v>
      </c>
      <c r="AE125" s="25">
        <f>RANK(INDEX(KOMBI!$A$11:$GI$145,MATCH('KSH järjestus'!$C125,KOMBI!$A$11:$A$145,0),MATCH('KSH järjestus'!AE$3,KOMBI!$A$1:$GI$1,0)),CB$4:CB$138,AE$2)</f>
        <v>31</v>
      </c>
      <c r="AG125" s="25">
        <f>RANK(INDEX(KOMBI!$A$11:$GI$145,MATCH('KSH järjestus'!$C125,KOMBI!$A$11:$A$145,0),MATCH('KSH järjestus'!AG$3,KOMBI!$A$1:$GI$1,0)),CD$4:CD$138,AG$2)</f>
        <v>4</v>
      </c>
      <c r="AH125" s="25">
        <f>RANK(INDEX(KOMBI!$A$11:$GI$145,MATCH('KSH järjestus'!$C125,KOMBI!$A$11:$A$145,0),MATCH('KSH järjestus'!AH$3,KOMBI!$A$1:$GI$1,0)),CE$4:CE$138,AH$2)</f>
        <v>16</v>
      </c>
      <c r="AI125" s="25">
        <f>RANK(INDEX(KOMBI!$A$11:$GI$145,MATCH('KSH järjestus'!$C125,KOMBI!$A$11:$A$145,0),MATCH('KSH järjestus'!AI$3,KOMBI!$A$1:$GI$1,0)),CF$4:CF$138,AI$2)</f>
        <v>16</v>
      </c>
      <c r="AJ125" s="25">
        <f>RANK(INDEX(KOMBI!$A$11:$GI$145,MATCH('KSH järjestus'!$C125,KOMBI!$A$11:$A$145,0),MATCH('KSH järjestus'!AJ$3,KOMBI!$A$1:$GI$1,0)),CG$4:CG$138,AJ$2)</f>
        <v>28</v>
      </c>
      <c r="AK125" s="25">
        <f>RANK(INDEX(KOMBI!$A$11:$GI$145,MATCH('KSH järjestus'!$C125,KOMBI!$A$11:$A$145,0),MATCH('KSH järjestus'!AK$3,KOMBI!$A$1:$GI$1,0)),CH$4:CH$138,AK$2)</f>
        <v>43</v>
      </c>
      <c r="AN125" s="25">
        <f>RANK(INDEX(KOMBI!$A$11:$GI$145,MATCH('KSH järjestus'!$C125,KOMBI!$A$11:$A$145,0),MATCH('KSH järjestus'!AN$3,KOMBI!$A$1:$GI$1,0)),CK$4:CK$138,AN$2)</f>
        <v>1</v>
      </c>
      <c r="AO125" s="25">
        <f>RANK(INDEX(KOMBI!$A$11:$GI$145,MATCH('KSH järjestus'!$C125,KOMBI!$A$11:$A$145,0),MATCH('KSH järjestus'!AO$3,KOMBI!$A$1:$GI$1,0)),CL$4:CL$138,AO$2)</f>
        <v>1</v>
      </c>
      <c r="AS125" s="297">
        <f t="shared" si="7"/>
        <v>652</v>
      </c>
      <c r="AT125" s="25">
        <f t="shared" si="5"/>
        <v>2093</v>
      </c>
      <c r="AU125" s="25">
        <f t="shared" si="6"/>
        <v>10</v>
      </c>
      <c r="AV125" s="295" t="str">
        <f>VLOOKUP(VLOOKUP($AU125,KOMBI!$A:$H,3,FALSE),data!$I$27:$J$29,2,FALSE)</f>
        <v>Mittesekkuv</v>
      </c>
      <c r="AW125" s="295" t="str">
        <f>VLOOKUP(VLOOKUP($AU125,KOMBI!$A:$H,2,FALSE),data!$I$21:$J$23,2,FALSE)</f>
        <v>Mittesekkuv</v>
      </c>
      <c r="AX125" s="295" t="str">
        <f>VLOOKUP(VLOOKUP($AU125,KOMBI!$A:$H,5,FALSE),data!$I$39:$J$41,2,FALSE)</f>
        <v>Mittesekkuv</v>
      </c>
      <c r="AY125" s="295" t="str">
        <f>VLOOKUP(VLOOKUP($AU125,KOMBI!$A:$H,4,FALSE),data!$I$32:$J$36,2,FALSE)</f>
        <v>TE++</v>
      </c>
      <c r="BA125" s="25">
        <f t="array" ref="BA125">INDEX(KOMBI!$A$1:$GI$145,ROW('KSH järjestus'!BA132),MATCH('KSH järjestus'!BA$3,KOMBI!$A$1:$GI$1,0))</f>
        <v>6.5588796496125887</v>
      </c>
      <c r="BB125" s="25">
        <f t="array" ref="BB125">INDEX(KOMBI!$A$1:$GI$145,ROW('KSH järjestus'!BB132),MATCH('KSH järjestus'!BB$3,KOMBI!$A$1:$GI$1,0))</f>
        <v>475.44630019880822</v>
      </c>
      <c r="BC125" s="25">
        <f t="array" aca="1" ref="BC125" ca="1">INDEX(KOMBI!$A$1:$GI$145,ROW('KSH järjestus'!BC132),MATCH('KSH järjestus'!BC$3,KOMBI!$A$1:$GI$1,0))</f>
        <v>40.878854494355494</v>
      </c>
      <c r="BD125" s="25">
        <f t="array" ref="BD125">INDEX(KOMBI!$A$1:$GI$145,ROW('KSH järjestus'!BD132),MATCH('KSH järjestus'!BD$3,KOMBI!$A$1:$GI$1,0))</f>
        <v>-178.19071988063212</v>
      </c>
      <c r="BE125" s="25">
        <f t="array" ref="BE125">INDEX(KOMBI!$A$1:$GI$145,ROW('KSH järjestus'!BE132),MATCH('KSH järjestus'!BE$3,KOMBI!$A$1:$GI$1,0))</f>
        <v>219.06957437498761</v>
      </c>
      <c r="BF125" s="25">
        <f t="array" aca="1" ref="BF125" ca="1">INDEX(KOMBI!$A$1:$GI$145,ROW('KSH järjestus'!BF132),MATCH('KSH järjestus'!BF$3,KOMBI!$A$1:$GI$1,0))</f>
        <v>0</v>
      </c>
      <c r="BG125" s="25">
        <f t="array" ref="BG125">INDEX(KOMBI!$A$1:$GI$145,ROW('KSH järjestus'!BG132),MATCH('KSH järjestus'!BG$3,KOMBI!$A$1:$GI$1,0))</f>
        <v>0.50399694699362874</v>
      </c>
      <c r="BH125" s="25">
        <f t="array" ref="BH125">INDEX(KOMBI!$A$1:$GI$145,ROW('KSH järjestus'!BH132),MATCH('KSH järjestus'!BH$3,KOMBI!$A$1:$GI$1,0))</f>
        <v>90</v>
      </c>
      <c r="BI125" s="25">
        <f t="array" ref="BI125">INDEX(KOMBI!$A$1:$GI$145,ROW('KSH järjestus'!BI132),MATCH('KSH järjestus'!BI$3,KOMBI!$A$1:$GI$1,0))</f>
        <v>0.72887234460741657</v>
      </c>
      <c r="BJ125" s="25">
        <f t="array" ref="BJ125">INDEX(KOMBI!$A$1:$GI$145,ROW('KSH järjestus'!BJ132),MATCH('KSH järjestus'!BJ$3,KOMBI!$A$1:$GI$1,0))</f>
        <v>0.27911646586345373</v>
      </c>
      <c r="BK125" s="25">
        <f t="array" ref="BK125">INDEX(KOMBI!$A$1:$GI$145,ROW('KSH järjestus'!BK132),MATCH('KSH järjestus'!BK$3,KOMBI!$A$1:$GI$1,0))</f>
        <v>0.36791956700630501</v>
      </c>
      <c r="BL125" s="25">
        <f t="array" ref="BL125">INDEX(KOMBI!$A$1:$GI$145,ROW('KSH järjestus'!BL132),MATCH('KSH järjestus'!BL$3,KOMBI!$A$1:$GI$1,0))</f>
        <v>1.8337403242159597E-2</v>
      </c>
      <c r="BM125" s="25">
        <f t="array" ref="BM125">INDEX(KOMBI!$A$1:$GI$145,ROW('KSH järjestus'!BM132),MATCH('KSH järjestus'!BM$3,KOMBI!$A$1:$GI$1,0))</f>
        <v>3.9150638409968658E-3</v>
      </c>
      <c r="BN125" s="25">
        <f t="array" ref="BN125">INDEX(KOMBI!$A$1:$GI$145,ROW('KSH järjestus'!BN132),MATCH('KSH järjestus'!BN$3,KOMBI!$A$1:$GI$1,0))</f>
        <v>3.4160396178431196E-3</v>
      </c>
      <c r="BO125" s="25">
        <f t="array" ref="BO125">INDEX(KOMBI!$A$1:$GI$145,ROW('KSH järjestus'!BO132),MATCH('KSH järjestus'!BO$3,KOMBI!$A$1:$GI$1,0))</f>
        <v>1.5050000041907079E-2</v>
      </c>
      <c r="BP125" s="25">
        <f t="array" ref="BP125">INDEX(KOMBI!$A$1:$GI$145,ROW('KSH järjestus'!BP132),MATCH('KSH järjestus'!BP$3,KOMBI!$A$1:$GI$1,0))</f>
        <v>7.5609999999999999</v>
      </c>
      <c r="BQ125" s="25">
        <f t="array" ref="BQ125">INDEX(KOMBI!$A$1:$GI$145,ROW('KSH järjestus'!BQ132),MATCH('KSH järjestus'!BQ$3,KOMBI!$A$1:$GI$1,0))</f>
        <v>9.7710000000000008</v>
      </c>
      <c r="BR125" s="25">
        <f t="array" ref="BR125">INDEX(KOMBI!$A$1:$GI$145,ROW('KSH järjestus'!BR132),MATCH('KSH järjestus'!BR$3,KOMBI!$A$1:$GI$1,0))</f>
        <v>-4.8613077186063662E-2</v>
      </c>
      <c r="BS125" s="25">
        <f t="array" ref="BS125">INDEX(KOMBI!$A$1:$GI$145,ROW('KSH järjestus'!BS132),MATCH('KSH järjestus'!BS$3,KOMBI!$A$1:$GI$1,0))</f>
        <v>-5.8145611697445893E-2</v>
      </c>
      <c r="BT125" s="25">
        <f t="array" ref="BT125">INDEX(KOMBI!$A$1:$GI$145,ROW('KSH järjestus'!BT132),MATCH('KSH järjestus'!BT$3,KOMBI!$A$1:$GI$1,0))</f>
        <v>-8.203358782803867E-2</v>
      </c>
      <c r="BU125" s="25">
        <f t="array" ref="BU125">INDEX(KOMBI!$A$1:$GI$145,ROW('KSH järjestus'!BU132),MATCH('KSH järjestus'!BU$3,KOMBI!$A$1:$GI$1,0))</f>
        <v>7.1506303115986807</v>
      </c>
      <c r="BV125" s="25">
        <f t="array" ref="BV125">INDEX(KOMBI!$A$1:$GI$145,ROW('KSH järjestus'!BV132),MATCH('KSH järjestus'!BV$3,KOMBI!$A$1:$GI$1,0))</f>
        <v>4.9059999999999997</v>
      </c>
      <c r="BW125" s="25">
        <f t="array" ref="BW125">INDEX(KOMBI!$A$1:$GI$145,ROW('KSH järjestus'!BW132),MATCH('KSH järjestus'!BW$3,KOMBI!$A$1:$GI$1,0))</f>
        <v>1.4153849906373199</v>
      </c>
      <c r="BX125" s="25">
        <f t="array" ref="BX125">INDEX(KOMBI!$A$1:$GI$145,ROW('KSH järjestus'!BX132),MATCH('KSH järjestus'!BX$3,KOMBI!$A$1:$GI$1,0))</f>
        <v>16.46</v>
      </c>
      <c r="BY125" s="25">
        <f t="array" ref="BY125">INDEX(KOMBI!$A$1:$GI$145,ROW('KSH järjestus'!BY132),MATCH('KSH järjestus'!BY$3,KOMBI!$A$1:$GI$1,0))</f>
        <v>11.220496548433506</v>
      </c>
      <c r="BZ125" s="25">
        <f t="array" ref="BZ125">INDEX(KOMBI!$A$1:$GI$145,ROW('KSH järjestus'!BZ132),MATCH('KSH järjestus'!BZ$3,KOMBI!$A$1:$GI$1,0))</f>
        <v>67.400000000000006</v>
      </c>
      <c r="CA125" s="25">
        <f t="array" ref="CA125">INDEX(KOMBI!$A$1:$GI$145,ROW('KSH järjestus'!CA132),MATCH('KSH järjestus'!CA$3,KOMBI!$A$1:$GI$1,0))</f>
        <v>12.722</v>
      </c>
      <c r="CB125" s="25">
        <f t="array" ref="CB125">INDEX(KOMBI!$A$1:$GI$145,ROW('KSH järjestus'!CB132),MATCH('KSH järjestus'!CB$3,KOMBI!$A$1:$GI$1,0))</f>
        <v>57.339444444444439</v>
      </c>
      <c r="CC125" s="25">
        <f t="array" ref="CC125">INDEX(KOMBI!$A$1:$GI$145,ROW('KSH järjestus'!CC132),MATCH('KSH järjestus'!CC$3,KOMBI!$A$1:$GI$1,0))</f>
        <v>4.6253359999999999</v>
      </c>
      <c r="CD125" s="25">
        <f t="array" ref="CD125">INDEX(KOMBI!$A$1:$GI$145,ROW('KSH järjestus'!CD132),MATCH('KSH järjestus'!CD$3,KOMBI!$A$1:$GI$1,0))</f>
        <v>285</v>
      </c>
      <c r="CE125" s="25">
        <f t="array" ref="CE125">INDEX(KOMBI!$A$1:$GI$145,ROW('KSH järjestus'!CE132),MATCH('KSH järjestus'!CE$3,KOMBI!$A$1:$GI$1,0))</f>
        <v>2.7810000000000001</v>
      </c>
      <c r="CF125" s="25">
        <f t="array" ref="CF125">INDEX(KOMBI!$A$1:$GI$145,ROW('KSH järjestus'!CF132),MATCH('KSH järjestus'!CF$3,KOMBI!$A$1:$GI$1,0))</f>
        <v>43.302900516795866</v>
      </c>
      <c r="CG125" s="25">
        <f t="array" ref="CG125">INDEX(KOMBI!$A$1:$GI$145,ROW('KSH järjestus'!CG132),MATCH('KSH järjestus'!CG$3,KOMBI!$A$1:$GI$1,0))</f>
        <v>2.5620074329845279E-2</v>
      </c>
      <c r="CH125" s="25">
        <f t="array" ref="CH125">INDEX(KOMBI!$A$1:$GI$145,ROW('KSH järjestus'!CH132),MATCH('KSH järjestus'!CH$3,KOMBI!$A$1:$GI$1,0))</f>
        <v>0.447957193299102</v>
      </c>
      <c r="CI125" s="25">
        <f t="array" ref="CI125">INDEX(KOMBI!$A$1:$GI$145,ROW('KSH järjestus'!CI132),MATCH('KSH järjestus'!CI$3,KOMBI!$A$1:$GI$1,0))</f>
        <v>6.08</v>
      </c>
      <c r="CJ125" s="25">
        <f t="array" ref="CJ125">INDEX(KOMBI!$A$1:$GI$145,ROW('KSH järjestus'!CJ132),MATCH('KSH järjestus'!CJ$3,KOMBI!$A$1:$GI$1,0))</f>
        <v>2.7248849906373196</v>
      </c>
      <c r="CK125" s="25">
        <f t="array" ref="CK125">INDEX(KOMBI!$A$1:$GI$145,ROW('KSH järjestus'!CK132),MATCH('KSH järjestus'!CK$3,KOMBI!$A$1:$GI$1,0))</f>
        <v>0.19900000000000001</v>
      </c>
      <c r="CL125" s="25">
        <f t="array" ref="CL125">INDEX(KOMBI!$A$1:$GI$145,ROW('KSH järjestus'!CL132),MATCH('KSH järjestus'!CL$3,KOMBI!$A$1:$GI$1,0))</f>
        <v>0.72299999999999998</v>
      </c>
    </row>
    <row r="126" spans="3:90" x14ac:dyDescent="0.2">
      <c r="C126" s="184">
        <v>123</v>
      </c>
      <c r="G126" s="25">
        <f>RANK(INDEX(KOMBI!$A$11:$GI$145,MATCH('KSH järjestus'!$C126,KOMBI!$A$11:$A$145,0),MATCH('KSH järjestus'!G$3,KOMBI!$A$1:$GI$1,0)),BD$4:BD$138,G$2)</f>
        <v>1</v>
      </c>
      <c r="H126" s="25">
        <f>RANK(INDEX(KOMBI!$A$11:$GI$145,MATCH('KSH järjestus'!$C126,KOMBI!$A$11:$A$145,0),MATCH('KSH järjestus'!H$3,KOMBI!$A$1:$GI$1,0)),BE$4:BE$138,H$2)</f>
        <v>16</v>
      </c>
      <c r="J126" s="25">
        <f>RANK(INDEX(KOMBI!$A$11:$GI$145,MATCH('KSH järjestus'!$C126,KOMBI!$A$11:$A$145,0),MATCH('KSH järjestus'!J$3,KOMBI!$A$1:$GI$1,0)),BG$4:BG$138,J$2)</f>
        <v>39</v>
      </c>
      <c r="M126" s="25">
        <f>RANK(INDEX(KOMBI!$A$11:$GI$145,MATCH('KSH järjestus'!$C126,KOMBI!$A$11:$A$145,0),MATCH('KSH järjestus'!M$3,KOMBI!$A$1:$GI$1,0)),BJ$4:BJ$138,M$2)</f>
        <v>55</v>
      </c>
      <c r="N126" s="25">
        <f>RANK(INDEX(KOMBI!$A$11:$GI$145,MATCH('KSH järjestus'!$C126,KOMBI!$A$11:$A$145,0),MATCH('KSH järjestus'!N$3,KOMBI!$A$1:$GI$1,0)),BK$4:BK$138,N$2)</f>
        <v>46</v>
      </c>
      <c r="O126" s="25">
        <f>RANK(INDEX(KOMBI!$A$11:$GI$145,MATCH('KSH järjestus'!$C126,KOMBI!$A$11:$A$145,0),MATCH('KSH järjestus'!O$3,KOMBI!$A$1:$GI$1,0)),BL$4:BL$138,O$2)</f>
        <v>30</v>
      </c>
      <c r="P126" s="25">
        <f>RANK(INDEX(KOMBI!$A$11:$GI$145,MATCH('KSH järjestus'!$C126,KOMBI!$A$11:$A$145,0),MATCH('KSH järjestus'!P$3,KOMBI!$A$1:$GI$1,0)),BM$4:BM$138,P$2)</f>
        <v>49</v>
      </c>
      <c r="Q126" s="25">
        <f>RANK(INDEX(KOMBI!$A$11:$GI$145,MATCH('KSH järjestus'!$C126,KOMBI!$A$11:$A$145,0),MATCH('KSH järjestus'!Q$3,KOMBI!$A$1:$GI$1,0)),BN$4:BN$138,Q$2)</f>
        <v>60</v>
      </c>
      <c r="R126" s="25">
        <f>RANK(INDEX(KOMBI!$A$11:$GI$145,MATCH('KSH järjestus'!$C126,KOMBI!$A$11:$A$145,0),MATCH('KSH järjestus'!R$3,KOMBI!$A$1:$GI$1,0)),BO$4:BO$138,R$2)</f>
        <v>16</v>
      </c>
      <c r="T126" s="25">
        <f>RANK(INDEX(KOMBI!$A$11:$GI$145,MATCH('KSH järjestus'!$C126,KOMBI!$A$11:$A$145,0),MATCH('KSH järjestus'!T$3,KOMBI!$A$1:$GI$1,0)),BQ$4:BQ$138,T$2)</f>
        <v>24</v>
      </c>
      <c r="U126" s="25">
        <f>RANK(INDEX(KOMBI!$A$11:$GI$145,MATCH('KSH järjestus'!$C126,KOMBI!$A$11:$A$145,0),MATCH('KSH järjestus'!U$3,KOMBI!$A$1:$GI$1,0)),BR$4:BR$138,U$2)</f>
        <v>20</v>
      </c>
      <c r="AA126" s="25">
        <f>RANK(INDEX(KOMBI!$A$11:$GI$145,MATCH('KSH järjestus'!$C126,KOMBI!$A$11:$A$145,0),MATCH('KSH järjestus'!AA$3,KOMBI!$A$1:$GI$1,0)),BX$4:BX$138,AA$2)</f>
        <v>4</v>
      </c>
      <c r="AB126" s="25">
        <f>RANK(INDEX(KOMBI!$A$11:$GI$145,MATCH('KSH järjestus'!$C126,KOMBI!$A$11:$A$145,0),MATCH('KSH järjestus'!AB$3,KOMBI!$A$1:$GI$1,0)),BY$4:BY$138,AB$2)</f>
        <v>34</v>
      </c>
      <c r="AC126" s="25">
        <f>RANK(INDEX(KOMBI!$A$11:$GI$145,MATCH('KSH järjestus'!$C126,KOMBI!$A$11:$A$145,0),MATCH('KSH järjestus'!AC$3,KOMBI!$A$1:$GI$1,0)),BZ$4:BZ$138,AC$2)</f>
        <v>19</v>
      </c>
      <c r="AD126" s="25">
        <f>RANK(INDEX(KOMBI!$A$11:$GI$145,MATCH('KSH järjestus'!$C126,KOMBI!$A$11:$A$145,0),MATCH('KSH järjestus'!AD$3,KOMBI!$A$1:$GI$1,0)),CA$4:CA$138,AD$2)</f>
        <v>39</v>
      </c>
      <c r="AE126" s="25">
        <f>RANK(INDEX(KOMBI!$A$11:$GI$145,MATCH('KSH järjestus'!$C126,KOMBI!$A$11:$A$145,0),MATCH('KSH järjestus'!AE$3,KOMBI!$A$1:$GI$1,0)),CB$4:CB$138,AE$2)</f>
        <v>37</v>
      </c>
      <c r="AG126" s="25">
        <f>RANK(INDEX(KOMBI!$A$11:$GI$145,MATCH('KSH järjestus'!$C126,KOMBI!$A$11:$A$145,0),MATCH('KSH järjestus'!AG$3,KOMBI!$A$1:$GI$1,0)),CD$4:CD$138,AG$2)</f>
        <v>4</v>
      </c>
      <c r="AH126" s="25">
        <f>RANK(INDEX(KOMBI!$A$11:$GI$145,MATCH('KSH järjestus'!$C126,KOMBI!$A$11:$A$145,0),MATCH('KSH järjestus'!AH$3,KOMBI!$A$1:$GI$1,0)),CE$4:CE$138,AH$2)</f>
        <v>16</v>
      </c>
      <c r="AI126" s="25">
        <f>RANK(INDEX(KOMBI!$A$11:$GI$145,MATCH('KSH järjestus'!$C126,KOMBI!$A$11:$A$145,0),MATCH('KSH järjestus'!AI$3,KOMBI!$A$1:$GI$1,0)),CF$4:CF$138,AI$2)</f>
        <v>16</v>
      </c>
      <c r="AJ126" s="25">
        <f>RANK(INDEX(KOMBI!$A$11:$GI$145,MATCH('KSH järjestus'!$C126,KOMBI!$A$11:$A$145,0),MATCH('KSH järjestus'!AJ$3,KOMBI!$A$1:$GI$1,0)),CG$4:CG$138,AJ$2)</f>
        <v>28</v>
      </c>
      <c r="AK126" s="25">
        <f>RANK(INDEX(KOMBI!$A$11:$GI$145,MATCH('KSH järjestus'!$C126,KOMBI!$A$11:$A$145,0),MATCH('KSH järjestus'!AK$3,KOMBI!$A$1:$GI$1,0)),CH$4:CH$138,AK$2)</f>
        <v>43</v>
      </c>
      <c r="AN126" s="25">
        <f>RANK(INDEX(KOMBI!$A$11:$GI$145,MATCH('KSH järjestus'!$C126,KOMBI!$A$11:$A$145,0),MATCH('KSH järjestus'!AN$3,KOMBI!$A$1:$GI$1,0)),CK$4:CK$138,AN$2)</f>
        <v>1</v>
      </c>
      <c r="AO126" s="25">
        <f>RANK(INDEX(KOMBI!$A$11:$GI$145,MATCH('KSH järjestus'!$C126,KOMBI!$A$11:$A$145,0),MATCH('KSH järjestus'!AO$3,KOMBI!$A$1:$GI$1,0)),CL$4:CL$138,AO$2)</f>
        <v>1</v>
      </c>
      <c r="AS126" s="297">
        <f t="shared" si="7"/>
        <v>598</v>
      </c>
      <c r="AT126" s="25">
        <f t="shared" si="5"/>
        <v>2126</v>
      </c>
      <c r="AU126" s="25">
        <f t="shared" si="6"/>
        <v>15</v>
      </c>
      <c r="AV126" s="295" t="str">
        <f>VLOOKUP(VLOOKUP($AU126,KOMBI!$A:$H,3,FALSE),data!$I$27:$J$29,2,FALSE)</f>
        <v>Mittesekkuv</v>
      </c>
      <c r="AW126" s="295" t="str">
        <f>VLOOKUP(VLOOKUP($AU126,KOMBI!$A:$H,2,FALSE),data!$I$21:$J$23,2,FALSE)</f>
        <v>Mittesekkuv</v>
      </c>
      <c r="AX126" s="295" t="str">
        <f>VLOOKUP(VLOOKUP($AU126,KOMBI!$A:$H,5,FALSE),data!$I$39:$J$41,2,FALSE)</f>
        <v>Sekkuv</v>
      </c>
      <c r="AY126" s="295" t="str">
        <f>VLOOKUP(VLOOKUP($AU126,KOMBI!$A:$H,4,FALSE),data!$I$32:$J$36,2,FALSE)</f>
        <v>PK &amp; UG</v>
      </c>
      <c r="BA126" s="25">
        <f t="array" ref="BA126">INDEX(KOMBI!$A$1:$GI$145,ROW('KSH järjestus'!BA133),MATCH('KSH järjestus'!BA$3,KOMBI!$A$1:$GI$1,0))</f>
        <v>7.4639793718541156</v>
      </c>
      <c r="BB126" s="25">
        <f t="array" ref="BB126">INDEX(KOMBI!$A$1:$GI$145,ROW('KSH järjestus'!BB133),MATCH('KSH järjestus'!BB$3,KOMBI!$A$1:$GI$1,0))</f>
        <v>592.05709121628752</v>
      </c>
      <c r="BC126" s="25">
        <f t="array" aca="1" ref="BC126" ca="1">INDEX(KOMBI!$A$1:$GI$145,ROW('KSH järjestus'!BC133),MATCH('KSH järjestus'!BC$3,KOMBI!$A$1:$GI$1,0))</f>
        <v>57.433268853440438</v>
      </c>
      <c r="BD126" s="25">
        <f t="array" ref="BD126">INDEX(KOMBI!$A$1:$GI$145,ROW('KSH järjestus'!BD133),MATCH('KSH järjestus'!BD$3,KOMBI!$A$1:$GI$1,0))</f>
        <v>-197.29831369909104</v>
      </c>
      <c r="BE126" s="25">
        <f t="array" ref="BE126">INDEX(KOMBI!$A$1:$GI$145,ROW('KSH järjestus'!BE133),MATCH('KSH järjestus'!BE$3,KOMBI!$A$1:$GI$1,0))</f>
        <v>254.73158255253148</v>
      </c>
      <c r="BF126" s="25">
        <f t="array" aca="1" ref="BF126" ca="1">INDEX(KOMBI!$A$1:$GI$145,ROW('KSH järjestus'!BF133),MATCH('KSH järjestus'!BF$3,KOMBI!$A$1:$GI$1,0))</f>
        <v>0</v>
      </c>
      <c r="BG126" s="25">
        <f t="array" ref="BG126">INDEX(KOMBI!$A$1:$GI$145,ROW('KSH järjestus'!BG133),MATCH('KSH järjestus'!BG$3,KOMBI!$A$1:$GI$1,0))</f>
        <v>0.50399694699362874</v>
      </c>
      <c r="BH126" s="25">
        <f t="array" ref="BH126">INDEX(KOMBI!$A$1:$GI$145,ROW('KSH järjestus'!BH133),MATCH('KSH järjestus'!BH$3,KOMBI!$A$1:$GI$1,0))</f>
        <v>90</v>
      </c>
      <c r="BI126" s="25">
        <f t="array" ref="BI126">INDEX(KOMBI!$A$1:$GI$145,ROW('KSH järjestus'!BI133),MATCH('KSH järjestus'!BI$3,KOMBI!$A$1:$GI$1,0))</f>
        <v>0.72887234460741646</v>
      </c>
      <c r="BJ126" s="25">
        <f t="array" ref="BJ126">INDEX(KOMBI!$A$1:$GI$145,ROW('KSH järjestus'!BJ133),MATCH('KSH järjestus'!BJ$3,KOMBI!$A$1:$GI$1,0))</f>
        <v>0.27911646586345373</v>
      </c>
      <c r="BK126" s="25">
        <f t="array" ref="BK126">INDEX(KOMBI!$A$1:$GI$145,ROW('KSH järjestus'!BK133),MATCH('KSH järjestus'!BK$3,KOMBI!$A$1:$GI$1,0))</f>
        <v>0.36791956700630501</v>
      </c>
      <c r="BL126" s="25">
        <f t="array" ref="BL126">INDEX(KOMBI!$A$1:$GI$145,ROW('KSH järjestus'!BL133),MATCH('KSH järjestus'!BL$3,KOMBI!$A$1:$GI$1,0))</f>
        <v>2.2988458620406115E-2</v>
      </c>
      <c r="BM126" s="25">
        <f t="array" ref="BM126">INDEX(KOMBI!$A$1:$GI$145,ROW('KSH järjestus'!BM133),MATCH('KSH järjestus'!BM$3,KOMBI!$A$1:$GI$1,0))</f>
        <v>3.9278295680382526E-3</v>
      </c>
      <c r="BN126" s="25">
        <f t="array" ref="BN126">INDEX(KOMBI!$A$1:$GI$145,ROW('KSH järjestus'!BN133),MATCH('KSH järjestus'!BN$3,KOMBI!$A$1:$GI$1,0))</f>
        <v>4.7468294538898503E-3</v>
      </c>
      <c r="BO126" s="25">
        <f t="array" ref="BO126">INDEX(KOMBI!$A$1:$GI$145,ROW('KSH järjestus'!BO133),MATCH('KSH järjestus'!BO$3,KOMBI!$A$1:$GI$1,0))</f>
        <v>1.8443863490071936E-2</v>
      </c>
      <c r="BP126" s="25">
        <f t="array" ref="BP126">INDEX(KOMBI!$A$1:$GI$145,ROW('KSH järjestus'!BP133),MATCH('KSH järjestus'!BP$3,KOMBI!$A$1:$GI$1,0))</f>
        <v>7.5609999999999999</v>
      </c>
      <c r="BQ126" s="25">
        <f t="array" ref="BQ126">INDEX(KOMBI!$A$1:$GI$145,ROW('KSH järjestus'!BQ133),MATCH('KSH järjestus'!BQ$3,KOMBI!$A$1:$GI$1,0))</f>
        <v>9.9949999999999992</v>
      </c>
      <c r="BR126" s="25">
        <f t="array" ref="BR126">INDEX(KOMBI!$A$1:$GI$145,ROW('KSH järjestus'!BR133),MATCH('KSH järjestus'!BR$3,KOMBI!$A$1:$GI$1,0))</f>
        <v>-4.4633590055617761E-2</v>
      </c>
      <c r="BS126" s="25">
        <f t="array" ref="BS126">INDEX(KOMBI!$A$1:$GI$145,ROW('KSH järjestus'!BS133),MATCH('KSH järjestus'!BS$3,KOMBI!$A$1:$GI$1,0))</f>
        <v>-5.6886451781157449E-2</v>
      </c>
      <c r="BT126" s="25">
        <f t="array" ref="BT126">INDEX(KOMBI!$A$1:$GI$145,ROW('KSH järjestus'!BT133),MATCH('KSH järjestus'!BT$3,KOMBI!$A$1:$GI$1,0))</f>
        <v>-8.0572868854812421E-2</v>
      </c>
      <c r="BU126" s="25">
        <f t="array" ref="BU126">INDEX(KOMBI!$A$1:$GI$145,ROW('KSH järjestus'!BU133),MATCH('KSH järjestus'!BU$3,KOMBI!$A$1:$GI$1,0))</f>
        <v>7.1506303115986807</v>
      </c>
      <c r="BV126" s="25">
        <f t="array" ref="BV126">INDEX(KOMBI!$A$1:$GI$145,ROW('KSH järjestus'!BV133),MATCH('KSH järjestus'!BV$3,KOMBI!$A$1:$GI$1,0))</f>
        <v>4.9059999999999997</v>
      </c>
      <c r="BW126" s="25">
        <f t="array" ref="BW126">INDEX(KOMBI!$A$1:$GI$145,ROW('KSH järjestus'!BW133),MATCH('KSH järjestus'!BW$3,KOMBI!$A$1:$GI$1,0))</f>
        <v>1.62408499063732</v>
      </c>
      <c r="BX126" s="25">
        <f t="array" ref="BX126">INDEX(KOMBI!$A$1:$GI$145,ROW('KSH järjestus'!BX133),MATCH('KSH järjestus'!BX$3,KOMBI!$A$1:$GI$1,0))</f>
        <v>16.46</v>
      </c>
      <c r="BY126" s="25">
        <f t="array" ref="BY126">INDEX(KOMBI!$A$1:$GI$145,ROW('KSH järjestus'!BY133),MATCH('KSH järjestus'!BY$3,KOMBI!$A$1:$GI$1,0))</f>
        <v>11.220496548433506</v>
      </c>
      <c r="BZ126" s="25">
        <f t="array" ref="BZ126">INDEX(KOMBI!$A$1:$GI$145,ROW('KSH järjestus'!BZ133),MATCH('KSH järjestus'!BZ$3,KOMBI!$A$1:$GI$1,0))</f>
        <v>69</v>
      </c>
      <c r="CA126" s="25">
        <f t="array" ref="CA126">INDEX(KOMBI!$A$1:$GI$145,ROW('KSH järjestus'!CA133),MATCH('KSH järjestus'!CA$3,KOMBI!$A$1:$GI$1,0))</f>
        <v>12.974</v>
      </c>
      <c r="CB126" s="25">
        <f t="array" ref="CB126">INDEX(KOMBI!$A$1:$GI$145,ROW('KSH järjestus'!CB133),MATCH('KSH järjestus'!CB$3,KOMBI!$A$1:$GI$1,0))</f>
        <v>58.247500000000002</v>
      </c>
      <c r="CC126" s="25">
        <f t="array" ref="CC126">INDEX(KOMBI!$A$1:$GI$145,ROW('KSH järjestus'!CC133),MATCH('KSH järjestus'!CC$3,KOMBI!$A$1:$GI$1,0))</f>
        <v>4.7186810000000001</v>
      </c>
      <c r="CD126" s="25">
        <f t="array" ref="CD126">INDEX(KOMBI!$A$1:$GI$145,ROW('KSH järjestus'!CD133),MATCH('KSH järjestus'!CD$3,KOMBI!$A$1:$GI$1,0))</f>
        <v>285</v>
      </c>
      <c r="CE126" s="25">
        <f t="array" ref="CE126">INDEX(KOMBI!$A$1:$GI$145,ROW('KSH järjestus'!CE133),MATCH('KSH järjestus'!CE$3,KOMBI!$A$1:$GI$1,0))</f>
        <v>2.7810000000000001</v>
      </c>
      <c r="CF126" s="25">
        <f t="array" ref="CF126">INDEX(KOMBI!$A$1:$GI$145,ROW('KSH järjestus'!CF133),MATCH('KSH järjestus'!CF$3,KOMBI!$A$1:$GI$1,0))</f>
        <v>43.302900516795866</v>
      </c>
      <c r="CG126" s="25">
        <f t="array" ref="CG126">INDEX(KOMBI!$A$1:$GI$145,ROW('KSH järjestus'!CG133),MATCH('KSH järjestus'!CG$3,KOMBI!$A$1:$GI$1,0))</f>
        <v>2.5620074329845279E-2</v>
      </c>
      <c r="CH126" s="25">
        <f t="array" ref="CH126">INDEX(KOMBI!$A$1:$GI$145,ROW('KSH järjestus'!CH133),MATCH('KSH järjestus'!CH$3,KOMBI!$A$1:$GI$1,0))</f>
        <v>0.447957193299102</v>
      </c>
      <c r="CI126" s="25">
        <f t="array" ref="CI126">INDEX(KOMBI!$A$1:$GI$145,ROW('KSH järjestus'!CI133),MATCH('KSH järjestus'!CI$3,KOMBI!$A$1:$GI$1,0))</f>
        <v>6.08</v>
      </c>
      <c r="CJ126" s="25">
        <f t="array" ref="CJ126">INDEX(KOMBI!$A$1:$GI$145,ROW('KSH järjestus'!CJ133),MATCH('KSH järjestus'!CJ$3,KOMBI!$A$1:$GI$1,0))</f>
        <v>2.7248849906373196</v>
      </c>
      <c r="CK126" s="25">
        <f t="array" ref="CK126">INDEX(KOMBI!$A$1:$GI$145,ROW('KSH järjestus'!CK133),MATCH('KSH järjestus'!CK$3,KOMBI!$A$1:$GI$1,0))</f>
        <v>0.19900000000000001</v>
      </c>
      <c r="CL126" s="25">
        <f t="array" ref="CL126">INDEX(KOMBI!$A$1:$GI$145,ROW('KSH järjestus'!CL133),MATCH('KSH järjestus'!CL$3,KOMBI!$A$1:$GI$1,0))</f>
        <v>0.72299999999999998</v>
      </c>
    </row>
    <row r="127" spans="3:90" x14ac:dyDescent="0.2">
      <c r="C127" s="184">
        <v>124</v>
      </c>
      <c r="G127" s="25">
        <f>RANK(INDEX(KOMBI!$A$11:$GI$145,MATCH('KSH järjestus'!$C127,KOMBI!$A$11:$A$145,0),MATCH('KSH järjestus'!G$3,KOMBI!$A$1:$GI$1,0)),BD$4:BD$138,G$2)</f>
        <v>16</v>
      </c>
      <c r="H127" s="25">
        <f>RANK(INDEX(KOMBI!$A$11:$GI$145,MATCH('KSH järjestus'!$C127,KOMBI!$A$11:$A$145,0),MATCH('KSH järjestus'!H$3,KOMBI!$A$1:$GI$1,0)),BE$4:BE$138,H$2)</f>
        <v>57</v>
      </c>
      <c r="J127" s="25">
        <f>RANK(INDEX(KOMBI!$A$11:$GI$145,MATCH('KSH järjestus'!$C127,KOMBI!$A$11:$A$145,0),MATCH('KSH järjestus'!J$3,KOMBI!$A$1:$GI$1,0)),BG$4:BG$138,J$2)</f>
        <v>73</v>
      </c>
      <c r="M127" s="25">
        <f>RANK(INDEX(KOMBI!$A$11:$GI$145,MATCH('KSH järjestus'!$C127,KOMBI!$A$11:$A$145,0),MATCH('KSH järjestus'!M$3,KOMBI!$A$1:$GI$1,0)),BJ$4:BJ$138,M$2)</f>
        <v>55</v>
      </c>
      <c r="N127" s="25">
        <f>RANK(INDEX(KOMBI!$A$11:$GI$145,MATCH('KSH järjestus'!$C127,KOMBI!$A$11:$A$145,0),MATCH('KSH järjestus'!N$3,KOMBI!$A$1:$GI$1,0)),BK$4:BK$138,N$2)</f>
        <v>49</v>
      </c>
      <c r="O127" s="25">
        <f>RANK(INDEX(KOMBI!$A$11:$GI$145,MATCH('KSH järjestus'!$C127,KOMBI!$A$11:$A$145,0),MATCH('KSH järjestus'!O$3,KOMBI!$A$1:$GI$1,0)),BL$4:BL$138,O$2)</f>
        <v>94</v>
      </c>
      <c r="P127" s="25">
        <f>RANK(INDEX(KOMBI!$A$11:$GI$145,MATCH('KSH järjestus'!$C127,KOMBI!$A$11:$A$145,0),MATCH('KSH järjestus'!P$3,KOMBI!$A$1:$GI$1,0)),BM$4:BM$138,P$2)</f>
        <v>26</v>
      </c>
      <c r="Q127" s="25">
        <f>RANK(INDEX(KOMBI!$A$11:$GI$145,MATCH('KSH järjestus'!$C127,KOMBI!$A$11:$A$145,0),MATCH('KSH järjestus'!Q$3,KOMBI!$A$1:$GI$1,0)),BN$4:BN$138,Q$2)</f>
        <v>111</v>
      </c>
      <c r="R127" s="25">
        <f>RANK(INDEX(KOMBI!$A$11:$GI$145,MATCH('KSH järjestus'!$C127,KOMBI!$A$11:$A$145,0),MATCH('KSH järjestus'!R$3,KOMBI!$A$1:$GI$1,0)),BO$4:BO$138,R$2)</f>
        <v>76</v>
      </c>
      <c r="T127" s="25">
        <f>RANK(INDEX(KOMBI!$A$11:$GI$145,MATCH('KSH järjestus'!$C127,KOMBI!$A$11:$A$145,0),MATCH('KSH järjestus'!T$3,KOMBI!$A$1:$GI$1,0)),BQ$4:BQ$138,T$2)</f>
        <v>7</v>
      </c>
      <c r="U127" s="25">
        <f>RANK(INDEX(KOMBI!$A$11:$GI$145,MATCH('KSH järjestus'!$C127,KOMBI!$A$11:$A$145,0),MATCH('KSH järjestus'!U$3,KOMBI!$A$1:$GI$1,0)),BR$4:BR$138,U$2)</f>
        <v>10</v>
      </c>
      <c r="AA127" s="25">
        <f>RANK(INDEX(KOMBI!$A$11:$GI$145,MATCH('KSH järjestus'!$C127,KOMBI!$A$11:$A$145,0),MATCH('KSH järjestus'!AA$3,KOMBI!$A$1:$GI$1,0)),BX$4:BX$138,AA$2)</f>
        <v>7</v>
      </c>
      <c r="AB127" s="25">
        <f>RANK(INDEX(KOMBI!$A$11:$GI$145,MATCH('KSH järjestus'!$C127,KOMBI!$A$11:$A$145,0),MATCH('KSH järjestus'!AB$3,KOMBI!$A$1:$GI$1,0)),BY$4:BY$138,AB$2)</f>
        <v>28</v>
      </c>
      <c r="AC127" s="25">
        <f>RANK(INDEX(KOMBI!$A$11:$GI$145,MATCH('KSH järjestus'!$C127,KOMBI!$A$11:$A$145,0),MATCH('KSH järjestus'!AC$3,KOMBI!$A$1:$GI$1,0)),BZ$4:BZ$138,AC$2)</f>
        <v>5</v>
      </c>
      <c r="AD127" s="25">
        <f>RANK(INDEX(KOMBI!$A$11:$GI$145,MATCH('KSH järjestus'!$C127,KOMBI!$A$11:$A$145,0),MATCH('KSH järjestus'!AD$3,KOMBI!$A$1:$GI$1,0)),CA$4:CA$138,AD$2)</f>
        <v>29</v>
      </c>
      <c r="AE127" s="25">
        <f>RANK(INDEX(KOMBI!$A$11:$GI$145,MATCH('KSH järjestus'!$C127,KOMBI!$A$11:$A$145,0),MATCH('KSH järjestus'!AE$3,KOMBI!$A$1:$GI$1,0)),CB$4:CB$138,AE$2)</f>
        <v>29</v>
      </c>
      <c r="AG127" s="25">
        <f>RANK(INDEX(KOMBI!$A$11:$GI$145,MATCH('KSH järjestus'!$C127,KOMBI!$A$11:$A$145,0),MATCH('KSH järjestus'!AG$3,KOMBI!$A$1:$GI$1,0)),CD$4:CD$138,AG$2)</f>
        <v>4</v>
      </c>
      <c r="AH127" s="25">
        <f>RANK(INDEX(KOMBI!$A$11:$GI$145,MATCH('KSH järjestus'!$C127,KOMBI!$A$11:$A$145,0),MATCH('KSH järjestus'!AH$3,KOMBI!$A$1:$GI$1,0)),CE$4:CE$138,AH$2)</f>
        <v>16</v>
      </c>
      <c r="AI127" s="25">
        <f>RANK(INDEX(KOMBI!$A$11:$GI$145,MATCH('KSH järjestus'!$C127,KOMBI!$A$11:$A$145,0),MATCH('KSH järjestus'!AI$3,KOMBI!$A$1:$GI$1,0)),CF$4:CF$138,AI$2)</f>
        <v>19</v>
      </c>
      <c r="AJ127" s="25">
        <f>RANK(INDEX(KOMBI!$A$11:$GI$145,MATCH('KSH järjestus'!$C127,KOMBI!$A$11:$A$145,0),MATCH('KSH järjestus'!AJ$3,KOMBI!$A$1:$GI$1,0)),CG$4:CG$138,AJ$2)</f>
        <v>28</v>
      </c>
      <c r="AK127" s="25">
        <f>RANK(INDEX(KOMBI!$A$11:$GI$145,MATCH('KSH järjestus'!$C127,KOMBI!$A$11:$A$145,0),MATCH('KSH järjestus'!AK$3,KOMBI!$A$1:$GI$1,0)),CH$4:CH$138,AK$2)</f>
        <v>43</v>
      </c>
      <c r="AN127" s="25">
        <f>RANK(INDEX(KOMBI!$A$11:$GI$145,MATCH('KSH järjestus'!$C127,KOMBI!$A$11:$A$145,0),MATCH('KSH järjestus'!AN$3,KOMBI!$A$1:$GI$1,0)),CK$4:CK$138,AN$2)</f>
        <v>1</v>
      </c>
      <c r="AO127" s="25">
        <f>RANK(INDEX(KOMBI!$A$11:$GI$145,MATCH('KSH järjestus'!$C127,KOMBI!$A$11:$A$145,0),MATCH('KSH järjestus'!AO$3,KOMBI!$A$1:$GI$1,0)),CL$4:CL$138,AO$2)</f>
        <v>1</v>
      </c>
      <c r="AS127" s="297">
        <f t="shared" si="7"/>
        <v>784</v>
      </c>
      <c r="AT127" s="25">
        <f t="shared" si="5"/>
        <v>2150</v>
      </c>
      <c r="AU127" s="25">
        <f t="shared" si="6"/>
        <v>8</v>
      </c>
      <c r="AV127" s="295" t="str">
        <f>VLOOKUP(VLOOKUP($AU127,KOMBI!$A:$H,3,FALSE),data!$I$27:$J$29,2,FALSE)</f>
        <v>Mittesekkuv</v>
      </c>
      <c r="AW127" s="295" t="str">
        <f>VLOOKUP(VLOOKUP($AU127,KOMBI!$A:$H,2,FALSE),data!$I$21:$J$23,2,FALSE)</f>
        <v>Mittesekkuv</v>
      </c>
      <c r="AX127" s="295" t="str">
        <f>VLOOKUP(VLOOKUP($AU127,KOMBI!$A:$H,5,FALSE),data!$I$39:$J$41,2,FALSE)</f>
        <v>Vähe-sekkuv</v>
      </c>
      <c r="AY127" s="295" t="str">
        <f>VLOOKUP(VLOOKUP($AU127,KOMBI!$A:$H,4,FALSE),data!$I$32:$J$36,2,FALSE)</f>
        <v>TE</v>
      </c>
      <c r="BA127" s="25">
        <f t="array" ref="BA127">INDEX(KOMBI!$A$1:$GI$145,ROW('KSH järjestus'!BA134),MATCH('KSH järjestus'!BA$3,KOMBI!$A$1:$GI$1,0))</f>
        <v>5.6463878335862052</v>
      </c>
      <c r="BB127" s="25">
        <f t="array" ref="BB127">INDEX(KOMBI!$A$1:$GI$145,ROW('KSH järjestus'!BB134),MATCH('KSH järjestus'!BB$3,KOMBI!$A$1:$GI$1,0))</f>
        <v>315.5498872460289</v>
      </c>
      <c r="BC127" s="25">
        <f t="array" aca="1" ref="BC127" ca="1">INDEX(KOMBI!$A$1:$GI$145,ROW('KSH järjestus'!BC134),MATCH('KSH järjestus'!BC$3,KOMBI!$A$1:$GI$1,0))</f>
        <v>11.910937220493992</v>
      </c>
      <c r="BD127" s="25">
        <f t="array" ref="BD127">INDEX(KOMBI!$A$1:$GI$145,ROW('KSH järjestus'!BD134),MATCH('KSH järjestus'!BD$3,KOMBI!$A$1:$GI$1,0))</f>
        <v>-162.95750000000001</v>
      </c>
      <c r="BE127" s="25">
        <f t="array" ref="BE127">INDEX(KOMBI!$A$1:$GI$145,ROW('KSH järjestus'!BE134),MATCH('KSH järjestus'!BE$3,KOMBI!$A$1:$GI$1,0))</f>
        <v>174.868437220494</v>
      </c>
      <c r="BF127" s="25">
        <f t="array" aca="1" ref="BF127" ca="1">INDEX(KOMBI!$A$1:$GI$145,ROW('KSH järjestus'!BF134),MATCH('KSH järjestus'!BF$3,KOMBI!$A$1:$GI$1,0))</f>
        <v>0</v>
      </c>
      <c r="BG127" s="25">
        <f t="array" ref="BG127">INDEX(KOMBI!$A$1:$GI$145,ROW('KSH järjestus'!BG134),MATCH('KSH järjestus'!BG$3,KOMBI!$A$1:$GI$1,0))</f>
        <v>0.55310343520865646</v>
      </c>
      <c r="BH127" s="25">
        <f t="array" ref="BH127">INDEX(KOMBI!$A$1:$GI$145,ROW('KSH järjestus'!BH134),MATCH('KSH järjestus'!BH$3,KOMBI!$A$1:$GI$1,0))</f>
        <v>90</v>
      </c>
      <c r="BI127" s="25">
        <f t="array" ref="BI127">INDEX(KOMBI!$A$1:$GI$145,ROW('KSH järjestus'!BI134),MATCH('KSH järjestus'!BI$3,KOMBI!$A$1:$GI$1,0))</f>
        <v>1</v>
      </c>
      <c r="BJ127" s="25">
        <f t="array" ref="BJ127">INDEX(KOMBI!$A$1:$GI$145,ROW('KSH järjestus'!BJ134),MATCH('KSH järjestus'!BJ$3,KOMBI!$A$1:$GI$1,0))</f>
        <v>0.27911646586345373</v>
      </c>
      <c r="BK127" s="25">
        <f t="array" ref="BK127">INDEX(KOMBI!$A$1:$GI$145,ROW('KSH järjestus'!BK134),MATCH('KSH järjestus'!BK$3,KOMBI!$A$1:$GI$1,0))</f>
        <v>0.3678346224372237</v>
      </c>
      <c r="BL127" s="25">
        <f t="array" ref="BL127">INDEX(KOMBI!$A$1:$GI$145,ROW('KSH järjestus'!BL134),MATCH('KSH järjestus'!BL$3,KOMBI!$A$1:$GI$1,0))</f>
        <v>1.209387093166911E-2</v>
      </c>
      <c r="BM127" s="25">
        <f t="array" ref="BM127">INDEX(KOMBI!$A$1:$GI$145,ROW('KSH järjestus'!BM134),MATCH('KSH järjestus'!BM$3,KOMBI!$A$1:$GI$1,0))</f>
        <v>6.5753641584466692E-3</v>
      </c>
      <c r="BN127" s="25">
        <f t="array" ref="BN127">INDEX(KOMBI!$A$1:$GI$145,ROW('KSH järjestus'!BN134),MATCH('KSH järjestus'!BN$3,KOMBI!$A$1:$GI$1,0))</f>
        <v>9.4016725362275344E-4</v>
      </c>
      <c r="BO127" s="25">
        <f t="array" ref="BO127">INDEX(KOMBI!$A$1:$GI$145,ROW('KSH järjestus'!BO134),MATCH('KSH järjestus'!BO$3,KOMBI!$A$1:$GI$1,0))</f>
        <v>1.1246979286333761E-2</v>
      </c>
      <c r="BP127" s="25">
        <f t="array" ref="BP127">INDEX(KOMBI!$A$1:$GI$145,ROW('KSH järjestus'!BP134),MATCH('KSH järjestus'!BP$3,KOMBI!$A$1:$GI$1,0))</f>
        <v>7.5717605777489068</v>
      </c>
      <c r="BQ127" s="25">
        <f t="array" ref="BQ127">INDEX(KOMBI!$A$1:$GI$145,ROW('KSH järjestus'!BQ134),MATCH('KSH järjestus'!BQ$3,KOMBI!$A$1:$GI$1,0))</f>
        <v>9.68</v>
      </c>
      <c r="BR127" s="25">
        <f t="array" ref="BR127">INDEX(KOMBI!$A$1:$GI$145,ROW('KSH järjestus'!BR134),MATCH('KSH järjestus'!BR$3,KOMBI!$A$1:$GI$1,0))</f>
        <v>-5.2828379346591355E-2</v>
      </c>
      <c r="BS127" s="25">
        <f t="array" ref="BS127">INDEX(KOMBI!$A$1:$GI$145,ROW('KSH järjestus'!BS134),MATCH('KSH järjestus'!BS$3,KOMBI!$A$1:$GI$1,0))</f>
        <v>-5.9458363631964495E-2</v>
      </c>
      <c r="BT127" s="25">
        <f t="array" ref="BT127">INDEX(KOMBI!$A$1:$GI$145,ROW('KSH järjestus'!BT134),MATCH('KSH järjestus'!BT$3,KOMBI!$A$1:$GI$1,0))</f>
        <v>-8.3094488432695332E-2</v>
      </c>
      <c r="BU127" s="25">
        <f t="array" ref="BU127">INDEX(KOMBI!$A$1:$GI$145,ROW('KSH järjestus'!BU134),MATCH('KSH järjestus'!BU$3,KOMBI!$A$1:$GI$1,0))</f>
        <v>7.1831111109201009</v>
      </c>
      <c r="BV127" s="25">
        <f t="array" ref="BV127">INDEX(KOMBI!$A$1:$GI$145,ROW('KSH järjestus'!BV134),MATCH('KSH järjestus'!BV$3,KOMBI!$A$1:$GI$1,0))</f>
        <v>4.9379999999999997</v>
      </c>
      <c r="BW127" s="25">
        <f t="array" ref="BW127">INDEX(KOMBI!$A$1:$GI$145,ROW('KSH järjestus'!BW134),MATCH('KSH järjestus'!BW$3,KOMBI!$A$1:$GI$1,0))</f>
        <v>1.03788499063732</v>
      </c>
      <c r="BX127" s="25">
        <f t="array" ref="BX127">INDEX(KOMBI!$A$1:$GI$145,ROW('KSH järjestus'!BX134),MATCH('KSH järjestus'!BX$3,KOMBI!$A$1:$GI$1,0))</f>
        <v>16.462578011574536</v>
      </c>
      <c r="BY127" s="25">
        <f t="array" ref="BY127">INDEX(KOMBI!$A$1:$GI$145,ROW('KSH järjestus'!BY134),MATCH('KSH järjestus'!BY$3,KOMBI!$A$1:$GI$1,0))</f>
        <v>11.219077976340797</v>
      </c>
      <c r="BZ127" s="25">
        <f t="array" ref="BZ127">INDEX(KOMBI!$A$1:$GI$145,ROW('KSH järjestus'!BZ134),MATCH('KSH järjestus'!BZ$3,KOMBI!$A$1:$GI$1,0))</f>
        <v>67</v>
      </c>
      <c r="CA127" s="25">
        <f t="array" ref="CA127">INDEX(KOMBI!$A$1:$GI$145,ROW('KSH järjestus'!CA134),MATCH('KSH järjestus'!CA$3,KOMBI!$A$1:$GI$1,0))</f>
        <v>12.635</v>
      </c>
      <c r="CB127" s="25">
        <f t="array" ref="CB127">INDEX(KOMBI!$A$1:$GI$145,ROW('KSH järjestus'!CB134),MATCH('KSH järjestus'!CB$3,KOMBI!$A$1:$GI$1,0))</f>
        <v>57.006666666666661</v>
      </c>
      <c r="CC127" s="25">
        <f t="array" ref="CC127">INDEX(KOMBI!$A$1:$GI$145,ROW('KSH järjestus'!CC134),MATCH('KSH järjestus'!CC$3,KOMBI!$A$1:$GI$1,0))</f>
        <v>4.5926130000000001</v>
      </c>
      <c r="CD127" s="25">
        <f t="array" ref="CD127">INDEX(KOMBI!$A$1:$GI$145,ROW('KSH järjestus'!CD134),MATCH('KSH järjestus'!CD$3,KOMBI!$A$1:$GI$1,0))</f>
        <v>285</v>
      </c>
      <c r="CE127" s="25">
        <f t="array" ref="CE127">INDEX(KOMBI!$A$1:$GI$145,ROW('KSH järjestus'!CE134),MATCH('KSH järjestus'!CE$3,KOMBI!$A$1:$GI$1,0))</f>
        <v>2.7810000000000001</v>
      </c>
      <c r="CF127" s="25">
        <f t="array" ref="CF127">INDEX(KOMBI!$A$1:$GI$145,ROW('KSH järjestus'!CF134),MATCH('KSH järjestus'!CF$3,KOMBI!$A$1:$GI$1,0))</f>
        <v>43.312900516795864</v>
      </c>
      <c r="CG127" s="25">
        <f t="array" ref="CG127">INDEX(KOMBI!$A$1:$GI$145,ROW('KSH järjestus'!CG134),MATCH('KSH järjestus'!CG$3,KOMBI!$A$1:$GI$1,0))</f>
        <v>2.5620074329845279E-2</v>
      </c>
      <c r="CH127" s="25">
        <f t="array" ref="CH127">INDEX(KOMBI!$A$1:$GI$145,ROW('KSH järjestus'!CH134),MATCH('KSH järjestus'!CH$3,KOMBI!$A$1:$GI$1,0))</f>
        <v>0.447957193299102</v>
      </c>
      <c r="CI127" s="25">
        <f t="array" ref="CI127">INDEX(KOMBI!$A$1:$GI$145,ROW('KSH järjestus'!CI134),MATCH('KSH järjestus'!CI$3,KOMBI!$A$1:$GI$1,0))</f>
        <v>6.08</v>
      </c>
      <c r="CJ127" s="25">
        <f t="array" ref="CJ127">INDEX(KOMBI!$A$1:$GI$145,ROW('KSH järjestus'!CJ134),MATCH('KSH järjestus'!CJ$3,KOMBI!$A$1:$GI$1,0))</f>
        <v>3.4398849906373199</v>
      </c>
      <c r="CK127" s="25">
        <f t="array" ref="CK127">INDEX(KOMBI!$A$1:$GI$145,ROW('KSH järjestus'!CK134),MATCH('KSH järjestus'!CK$3,KOMBI!$A$1:$GI$1,0))</f>
        <v>0.19900000000000001</v>
      </c>
      <c r="CL127" s="25">
        <f t="array" ref="CL127">INDEX(KOMBI!$A$1:$GI$145,ROW('KSH järjestus'!CL134),MATCH('KSH järjestus'!CL$3,KOMBI!$A$1:$GI$1,0))</f>
        <v>0.72299999999999998</v>
      </c>
    </row>
    <row r="128" spans="3:90" x14ac:dyDescent="0.2">
      <c r="C128" s="184">
        <v>125</v>
      </c>
      <c r="G128" s="25">
        <f>RANK(INDEX(KOMBI!$A$11:$GI$145,MATCH('KSH järjestus'!$C128,KOMBI!$A$11:$A$145,0),MATCH('KSH järjestus'!G$3,KOMBI!$A$1:$GI$1,0)),BD$4:BD$138,G$2)</f>
        <v>11</v>
      </c>
      <c r="H128" s="25">
        <f>RANK(INDEX(KOMBI!$A$11:$GI$145,MATCH('KSH järjestus'!$C128,KOMBI!$A$11:$A$145,0),MATCH('KSH järjestus'!H$3,KOMBI!$A$1:$GI$1,0)),BE$4:BE$138,H$2)</f>
        <v>31</v>
      </c>
      <c r="J128" s="25">
        <f>RANK(INDEX(KOMBI!$A$11:$GI$145,MATCH('KSH järjestus'!$C128,KOMBI!$A$11:$A$145,0),MATCH('KSH järjestus'!J$3,KOMBI!$A$1:$GI$1,0)),BG$4:BG$138,J$2)</f>
        <v>41</v>
      </c>
      <c r="M128" s="25">
        <f>RANK(INDEX(KOMBI!$A$11:$GI$145,MATCH('KSH järjestus'!$C128,KOMBI!$A$11:$A$145,0),MATCH('KSH järjestus'!M$3,KOMBI!$A$1:$GI$1,0)),BJ$4:BJ$138,M$2)</f>
        <v>55</v>
      </c>
      <c r="N128" s="25">
        <f>RANK(INDEX(KOMBI!$A$11:$GI$145,MATCH('KSH järjestus'!$C128,KOMBI!$A$11:$A$145,0),MATCH('KSH järjestus'!N$3,KOMBI!$A$1:$GI$1,0)),BK$4:BK$138,N$2)</f>
        <v>49</v>
      </c>
      <c r="O128" s="25">
        <f>RANK(INDEX(KOMBI!$A$11:$GI$145,MATCH('KSH järjestus'!$C128,KOMBI!$A$11:$A$145,0),MATCH('KSH järjestus'!O$3,KOMBI!$A$1:$GI$1,0)),BL$4:BL$138,O$2)</f>
        <v>53</v>
      </c>
      <c r="P128" s="25">
        <f>RANK(INDEX(KOMBI!$A$11:$GI$145,MATCH('KSH järjestus'!$C128,KOMBI!$A$11:$A$145,0),MATCH('KSH järjestus'!P$3,KOMBI!$A$1:$GI$1,0)),BM$4:BM$138,P$2)</f>
        <v>52</v>
      </c>
      <c r="Q128" s="25">
        <f>RANK(INDEX(KOMBI!$A$11:$GI$145,MATCH('KSH järjestus'!$C128,KOMBI!$A$11:$A$145,0),MATCH('KSH järjestus'!Q$3,KOMBI!$A$1:$GI$1,0)),BN$4:BN$138,Q$2)</f>
        <v>78</v>
      </c>
      <c r="R128" s="25">
        <f>RANK(INDEX(KOMBI!$A$11:$GI$145,MATCH('KSH järjestus'!$C128,KOMBI!$A$11:$A$145,0),MATCH('KSH järjestus'!R$3,KOMBI!$A$1:$GI$1,0)),BO$4:BO$138,R$2)</f>
        <v>39</v>
      </c>
      <c r="T128" s="25">
        <f>RANK(INDEX(KOMBI!$A$11:$GI$145,MATCH('KSH järjestus'!$C128,KOMBI!$A$11:$A$145,0),MATCH('KSH järjestus'!T$3,KOMBI!$A$1:$GI$1,0)),BQ$4:BQ$138,T$2)</f>
        <v>11</v>
      </c>
      <c r="U128" s="25">
        <f>RANK(INDEX(KOMBI!$A$11:$GI$145,MATCH('KSH järjestus'!$C128,KOMBI!$A$11:$A$145,0),MATCH('KSH järjestus'!U$3,KOMBI!$A$1:$GI$1,0)),BR$4:BR$138,U$2)</f>
        <v>16</v>
      </c>
      <c r="AA128" s="25">
        <f>RANK(INDEX(KOMBI!$A$11:$GI$145,MATCH('KSH järjestus'!$C128,KOMBI!$A$11:$A$145,0),MATCH('KSH järjestus'!AA$3,KOMBI!$A$1:$GI$1,0)),BX$4:BX$138,AA$2)</f>
        <v>7</v>
      </c>
      <c r="AB128" s="25">
        <f>RANK(INDEX(KOMBI!$A$11:$GI$145,MATCH('KSH järjestus'!$C128,KOMBI!$A$11:$A$145,0),MATCH('KSH järjestus'!AB$3,KOMBI!$A$1:$GI$1,0)),BY$4:BY$138,AB$2)</f>
        <v>28</v>
      </c>
      <c r="AC128" s="25">
        <f>RANK(INDEX(KOMBI!$A$11:$GI$145,MATCH('KSH järjestus'!$C128,KOMBI!$A$11:$A$145,0),MATCH('KSH järjestus'!AC$3,KOMBI!$A$1:$GI$1,0)),BZ$4:BZ$138,AC$2)</f>
        <v>8</v>
      </c>
      <c r="AD128" s="25">
        <f>RANK(INDEX(KOMBI!$A$11:$GI$145,MATCH('KSH järjestus'!$C128,KOMBI!$A$11:$A$145,0),MATCH('KSH järjestus'!AD$3,KOMBI!$A$1:$GI$1,0)),CA$4:CA$138,AD$2)</f>
        <v>32</v>
      </c>
      <c r="AE128" s="25">
        <f>RANK(INDEX(KOMBI!$A$11:$GI$145,MATCH('KSH järjestus'!$C128,KOMBI!$A$11:$A$145,0),MATCH('KSH järjestus'!AE$3,KOMBI!$A$1:$GI$1,0)),CB$4:CB$138,AE$2)</f>
        <v>32</v>
      </c>
      <c r="AG128" s="25">
        <f>RANK(INDEX(KOMBI!$A$11:$GI$145,MATCH('KSH järjestus'!$C128,KOMBI!$A$11:$A$145,0),MATCH('KSH järjestus'!AG$3,KOMBI!$A$1:$GI$1,0)),CD$4:CD$138,AG$2)</f>
        <v>4</v>
      </c>
      <c r="AH128" s="25">
        <f>RANK(INDEX(KOMBI!$A$11:$GI$145,MATCH('KSH järjestus'!$C128,KOMBI!$A$11:$A$145,0),MATCH('KSH järjestus'!AH$3,KOMBI!$A$1:$GI$1,0)),CE$4:CE$138,AH$2)</f>
        <v>16</v>
      </c>
      <c r="AI128" s="25">
        <f>RANK(INDEX(KOMBI!$A$11:$GI$145,MATCH('KSH järjestus'!$C128,KOMBI!$A$11:$A$145,0),MATCH('KSH järjestus'!AI$3,KOMBI!$A$1:$GI$1,0)),CF$4:CF$138,AI$2)</f>
        <v>19</v>
      </c>
      <c r="AJ128" s="25">
        <f>RANK(INDEX(KOMBI!$A$11:$GI$145,MATCH('KSH järjestus'!$C128,KOMBI!$A$11:$A$145,0),MATCH('KSH järjestus'!AJ$3,KOMBI!$A$1:$GI$1,0)),CG$4:CG$138,AJ$2)</f>
        <v>28</v>
      </c>
      <c r="AK128" s="25">
        <f>RANK(INDEX(KOMBI!$A$11:$GI$145,MATCH('KSH järjestus'!$C128,KOMBI!$A$11:$A$145,0),MATCH('KSH järjestus'!AK$3,KOMBI!$A$1:$GI$1,0)),CH$4:CH$138,AK$2)</f>
        <v>43</v>
      </c>
      <c r="AN128" s="25">
        <f>RANK(INDEX(KOMBI!$A$11:$GI$145,MATCH('KSH järjestus'!$C128,KOMBI!$A$11:$A$145,0),MATCH('KSH järjestus'!AN$3,KOMBI!$A$1:$GI$1,0)),CK$4:CK$138,AN$2)</f>
        <v>1</v>
      </c>
      <c r="AO128" s="25">
        <f>RANK(INDEX(KOMBI!$A$11:$GI$145,MATCH('KSH järjestus'!$C128,KOMBI!$A$11:$A$145,0),MATCH('KSH järjestus'!AO$3,KOMBI!$A$1:$GI$1,0)),CL$4:CL$138,AO$2)</f>
        <v>1</v>
      </c>
      <c r="AS128" s="297">
        <f t="shared" si="7"/>
        <v>655</v>
      </c>
      <c r="AT128" s="25">
        <f t="shared" si="5"/>
        <v>2163</v>
      </c>
      <c r="AU128" s="25">
        <f t="shared" si="6"/>
        <v>46</v>
      </c>
      <c r="AV128" s="295" t="str">
        <f>VLOOKUP(VLOOKUP($AU128,KOMBI!$A:$H,3,FALSE),data!$I$27:$J$29,2,FALSE)</f>
        <v>Mittesekkuv</v>
      </c>
      <c r="AW128" s="295" t="str">
        <f>VLOOKUP(VLOOKUP($AU128,KOMBI!$A:$H,2,FALSE),data!$I$21:$J$23,2,FALSE)</f>
        <v>Vähe-sekkuv</v>
      </c>
      <c r="AX128" s="295" t="str">
        <f>VLOOKUP(VLOOKUP($AU128,KOMBI!$A:$H,5,FALSE),data!$I$39:$J$41,2,FALSE)</f>
        <v>Mittesekkuv</v>
      </c>
      <c r="AY128" s="295" t="str">
        <f>VLOOKUP(VLOOKUP($AU128,KOMBI!$A:$H,4,FALSE),data!$I$32:$J$36,2,FALSE)</f>
        <v>LIB</v>
      </c>
      <c r="BA128" s="25">
        <f t="array" ref="BA128">INDEX(KOMBI!$A$1:$GI$145,ROW('KSH järjestus'!BA135),MATCH('KSH järjestus'!BA$3,KOMBI!$A$1:$GI$1,0))</f>
        <v>6.5622994822320475</v>
      </c>
      <c r="BB128" s="25">
        <f t="array" ref="BB128">INDEX(KOMBI!$A$1:$GI$145,ROW('KSH järjestus'!BB135),MATCH('KSH järjestus'!BB$3,KOMBI!$A$1:$GI$1,0))</f>
        <v>476.02991951529214</v>
      </c>
      <c r="BC128" s="25">
        <f t="array" aca="1" ref="BC128" ca="1">INDEX(KOMBI!$A$1:$GI$145,ROW('KSH järjestus'!BC135),MATCH('KSH järjestus'!BC$3,KOMBI!$A$1:$GI$1,0))</f>
        <v>41.076259249029079</v>
      </c>
      <c r="BD128" s="25">
        <f t="array" ref="BD128">INDEX(KOMBI!$A$1:$GI$145,ROW('KSH järjestus'!BD135),MATCH('KSH järjestus'!BD$3,KOMBI!$A$1:$GI$1,0))</f>
        <v>-178.19071988063212</v>
      </c>
      <c r="BE128" s="25">
        <f t="array" ref="BE128">INDEX(KOMBI!$A$1:$GI$145,ROW('KSH järjestus'!BE135),MATCH('KSH järjestus'!BE$3,KOMBI!$A$1:$GI$1,0))</f>
        <v>219.26697912966119</v>
      </c>
      <c r="BF128" s="25">
        <f t="array" aca="1" ref="BF128" ca="1">INDEX(KOMBI!$A$1:$GI$145,ROW('KSH järjestus'!BF135),MATCH('KSH järjestus'!BF$3,KOMBI!$A$1:$GI$1,0))</f>
        <v>0</v>
      </c>
      <c r="BG128" s="25">
        <f t="array" ref="BG128">INDEX(KOMBI!$A$1:$GI$145,ROW('KSH järjestus'!BG135),MATCH('KSH järjestus'!BG$3,KOMBI!$A$1:$GI$1,0))</f>
        <v>0.50411146323407641</v>
      </c>
      <c r="BH128" s="25">
        <f t="array" ref="BH128">INDEX(KOMBI!$A$1:$GI$145,ROW('KSH järjestus'!BH135),MATCH('KSH järjestus'!BH$3,KOMBI!$A$1:$GI$1,0))</f>
        <v>90</v>
      </c>
      <c r="BI128" s="25">
        <f t="array" ref="BI128">INDEX(KOMBI!$A$1:$GI$145,ROW('KSH järjestus'!BI135),MATCH('KSH järjestus'!BI$3,KOMBI!$A$1:$GI$1,0))</f>
        <v>0.72887234460741657</v>
      </c>
      <c r="BJ128" s="25">
        <f t="array" ref="BJ128">INDEX(KOMBI!$A$1:$GI$145,ROW('KSH järjestus'!BJ135),MATCH('KSH järjestus'!BJ$3,KOMBI!$A$1:$GI$1,0))</f>
        <v>0.27911646586345373</v>
      </c>
      <c r="BK128" s="25">
        <f t="array" ref="BK128">INDEX(KOMBI!$A$1:$GI$145,ROW('KSH järjestus'!BK135),MATCH('KSH järjestus'!BK$3,KOMBI!$A$1:$GI$1,0))</f>
        <v>0.3678346224372237</v>
      </c>
      <c r="BL128" s="25">
        <f t="array" ref="BL128">INDEX(KOMBI!$A$1:$GI$145,ROW('KSH järjestus'!BL135),MATCH('KSH järjestus'!BL$3,KOMBI!$A$1:$GI$1,0))</f>
        <v>1.8376264018091438E-2</v>
      </c>
      <c r="BM128" s="25">
        <f t="array" ref="BM128">INDEX(KOMBI!$A$1:$GI$145,ROW('KSH järjestus'!BM135),MATCH('KSH järjestus'!BM$3,KOMBI!$A$1:$GI$1,0))</f>
        <v>3.8823113090310545E-3</v>
      </c>
      <c r="BN128" s="25">
        <f t="array" ref="BN128">INDEX(KOMBI!$A$1:$GI$145,ROW('KSH järjestus'!BN135),MATCH('KSH järjestus'!BN$3,KOMBI!$A$1:$GI$1,0))</f>
        <v>3.4330371149805805E-3</v>
      </c>
      <c r="BO128" s="25">
        <f t="array" ref="BO128">INDEX(KOMBI!$A$1:$GI$145,ROW('KSH järjestus'!BO135),MATCH('KSH järjestus'!BO$3,KOMBI!$A$1:$GI$1,0))</f>
        <v>1.507186583021059E-2</v>
      </c>
      <c r="BP128" s="25">
        <f t="array" ref="BP128">INDEX(KOMBI!$A$1:$GI$145,ROW('KSH järjestus'!BP135),MATCH('KSH järjestus'!BP$3,KOMBI!$A$1:$GI$1,0))</f>
        <v>7.5717605777489068</v>
      </c>
      <c r="BQ128" s="25">
        <f t="array" ref="BQ128">INDEX(KOMBI!$A$1:$GI$145,ROW('KSH järjestus'!BQ135),MATCH('KSH järjestus'!BQ$3,KOMBI!$A$1:$GI$1,0))</f>
        <v>9.7710000000000008</v>
      </c>
      <c r="BR128" s="25">
        <f t="array" ref="BR128">INDEX(KOMBI!$A$1:$GI$145,ROW('KSH järjestus'!BR135),MATCH('KSH järjestus'!BR$3,KOMBI!$A$1:$GI$1,0))</f>
        <v>-4.8594580335326633E-2</v>
      </c>
      <c r="BS128" s="25">
        <f t="array" ref="BS128">INDEX(KOMBI!$A$1:$GI$145,ROW('KSH järjestus'!BS135),MATCH('KSH järjestus'!BS$3,KOMBI!$A$1:$GI$1,0))</f>
        <v>-5.812475141232893E-2</v>
      </c>
      <c r="BT128" s="25">
        <f t="array" ref="BT128">INDEX(KOMBI!$A$1:$GI$145,ROW('KSH järjestus'!BT135),MATCH('KSH järjestus'!BT$3,KOMBI!$A$1:$GI$1,0))</f>
        <v>-8.1995525633301369E-2</v>
      </c>
      <c r="BU128" s="25">
        <f t="array" ref="BU128">INDEX(KOMBI!$A$1:$GI$145,ROW('KSH järjestus'!BU135),MATCH('KSH järjestus'!BU$3,KOMBI!$A$1:$GI$1,0))</f>
        <v>7.1831111109201009</v>
      </c>
      <c r="BV128" s="25">
        <f t="array" ref="BV128">INDEX(KOMBI!$A$1:$GI$145,ROW('KSH järjestus'!BV135),MATCH('KSH järjestus'!BV$3,KOMBI!$A$1:$GI$1,0))</f>
        <v>4.9379999999999997</v>
      </c>
      <c r="BW128" s="25">
        <f t="array" ref="BW128">INDEX(KOMBI!$A$1:$GI$145,ROW('KSH järjestus'!BW135),MATCH('KSH järjestus'!BW$3,KOMBI!$A$1:$GI$1,0))</f>
        <v>1.4153849906373199</v>
      </c>
      <c r="BX128" s="25">
        <f t="array" ref="BX128">INDEX(KOMBI!$A$1:$GI$145,ROW('KSH järjestus'!BX135),MATCH('KSH järjestus'!BX$3,KOMBI!$A$1:$GI$1,0))</f>
        <v>16.462578011574536</v>
      </c>
      <c r="BY128" s="25">
        <f t="array" ref="BY128">INDEX(KOMBI!$A$1:$GI$145,ROW('KSH järjestus'!BY135),MATCH('KSH järjestus'!BY$3,KOMBI!$A$1:$GI$1,0))</f>
        <v>11.219077976340797</v>
      </c>
      <c r="BZ128" s="25">
        <f t="array" ref="BZ128">INDEX(KOMBI!$A$1:$GI$145,ROW('KSH järjestus'!BZ135),MATCH('KSH järjestus'!BZ$3,KOMBI!$A$1:$GI$1,0))</f>
        <v>67.400000000000006</v>
      </c>
      <c r="CA128" s="25">
        <f t="array" ref="CA128">INDEX(KOMBI!$A$1:$GI$145,ROW('KSH järjestus'!CA135),MATCH('KSH järjestus'!CA$3,KOMBI!$A$1:$GI$1,0))</f>
        <v>12.724</v>
      </c>
      <c r="CB128" s="25">
        <f t="array" ref="CB128">INDEX(KOMBI!$A$1:$GI$145,ROW('KSH järjestus'!CB135),MATCH('KSH järjestus'!CB$3,KOMBI!$A$1:$GI$1,0))</f>
        <v>57.346944444444446</v>
      </c>
      <c r="CC128" s="25">
        <f t="array" ref="CC128">INDEX(KOMBI!$A$1:$GI$145,ROW('KSH järjestus'!CC135),MATCH('KSH järjestus'!CC$3,KOMBI!$A$1:$GI$1,0))</f>
        <v>4.6259050000000004</v>
      </c>
      <c r="CD128" s="25">
        <f t="array" ref="CD128">INDEX(KOMBI!$A$1:$GI$145,ROW('KSH järjestus'!CD135),MATCH('KSH järjestus'!CD$3,KOMBI!$A$1:$GI$1,0))</f>
        <v>285</v>
      </c>
      <c r="CE128" s="25">
        <f t="array" ref="CE128">INDEX(KOMBI!$A$1:$GI$145,ROW('KSH järjestus'!CE135),MATCH('KSH järjestus'!CE$3,KOMBI!$A$1:$GI$1,0))</f>
        <v>2.7810000000000001</v>
      </c>
      <c r="CF128" s="25">
        <f t="array" ref="CF128">INDEX(KOMBI!$A$1:$GI$145,ROW('KSH järjestus'!CF135),MATCH('KSH järjestus'!CF$3,KOMBI!$A$1:$GI$1,0))</f>
        <v>43.312900516795864</v>
      </c>
      <c r="CG128" s="25">
        <f t="array" ref="CG128">INDEX(KOMBI!$A$1:$GI$145,ROW('KSH järjestus'!CG135),MATCH('KSH järjestus'!CG$3,KOMBI!$A$1:$GI$1,0))</f>
        <v>2.5620074329845279E-2</v>
      </c>
      <c r="CH128" s="25">
        <f t="array" ref="CH128">INDEX(KOMBI!$A$1:$GI$145,ROW('KSH järjestus'!CH135),MATCH('KSH järjestus'!CH$3,KOMBI!$A$1:$GI$1,0))</f>
        <v>0.447957193299102</v>
      </c>
      <c r="CI128" s="25">
        <f t="array" ref="CI128">INDEX(KOMBI!$A$1:$GI$145,ROW('KSH järjestus'!CI135),MATCH('KSH järjestus'!CI$3,KOMBI!$A$1:$GI$1,0))</f>
        <v>6.08</v>
      </c>
      <c r="CJ128" s="25">
        <f t="array" ref="CJ128">INDEX(KOMBI!$A$1:$GI$145,ROW('KSH järjestus'!CJ135),MATCH('KSH järjestus'!CJ$3,KOMBI!$A$1:$GI$1,0))</f>
        <v>3.4398849906373199</v>
      </c>
      <c r="CK128" s="25">
        <f t="array" ref="CK128">INDEX(KOMBI!$A$1:$GI$145,ROW('KSH järjestus'!CK135),MATCH('KSH järjestus'!CK$3,KOMBI!$A$1:$GI$1,0))</f>
        <v>0.19900000000000001</v>
      </c>
      <c r="CL128" s="25">
        <f t="array" ref="CL128">INDEX(KOMBI!$A$1:$GI$145,ROW('KSH järjestus'!CL135),MATCH('KSH järjestus'!CL$3,KOMBI!$A$1:$GI$1,0))</f>
        <v>0.72299999999999998</v>
      </c>
    </row>
    <row r="129" spans="3:90" x14ac:dyDescent="0.2">
      <c r="C129" s="184">
        <v>126</v>
      </c>
      <c r="G129" s="25">
        <f>RANK(INDEX(KOMBI!$A$11:$GI$145,MATCH('KSH järjestus'!$C129,KOMBI!$A$11:$A$145,0),MATCH('KSH järjestus'!G$3,KOMBI!$A$1:$GI$1,0)),BD$4:BD$138,G$2)</f>
        <v>1</v>
      </c>
      <c r="H129" s="25">
        <f>RANK(INDEX(KOMBI!$A$11:$GI$145,MATCH('KSH järjestus'!$C129,KOMBI!$A$11:$A$145,0),MATCH('KSH järjestus'!H$3,KOMBI!$A$1:$GI$1,0)),BE$4:BE$138,H$2)</f>
        <v>15</v>
      </c>
      <c r="J129" s="25">
        <f>RANK(INDEX(KOMBI!$A$11:$GI$145,MATCH('KSH järjestus'!$C129,KOMBI!$A$11:$A$145,0),MATCH('KSH järjestus'!J$3,KOMBI!$A$1:$GI$1,0)),BG$4:BG$138,J$2)</f>
        <v>41</v>
      </c>
      <c r="M129" s="25">
        <f>RANK(INDEX(KOMBI!$A$11:$GI$145,MATCH('KSH järjestus'!$C129,KOMBI!$A$11:$A$145,0),MATCH('KSH järjestus'!M$3,KOMBI!$A$1:$GI$1,0)),BJ$4:BJ$138,M$2)</f>
        <v>55</v>
      </c>
      <c r="N129" s="25">
        <f>RANK(INDEX(KOMBI!$A$11:$GI$145,MATCH('KSH järjestus'!$C129,KOMBI!$A$11:$A$145,0),MATCH('KSH järjestus'!N$3,KOMBI!$A$1:$GI$1,0)),BK$4:BK$138,N$2)</f>
        <v>49</v>
      </c>
      <c r="O129" s="25">
        <f>RANK(INDEX(KOMBI!$A$11:$GI$145,MATCH('KSH järjestus'!$C129,KOMBI!$A$11:$A$145,0),MATCH('KSH järjestus'!O$3,KOMBI!$A$1:$GI$1,0)),BL$4:BL$138,O$2)</f>
        <v>29</v>
      </c>
      <c r="P129" s="25">
        <f>RANK(INDEX(KOMBI!$A$11:$GI$145,MATCH('KSH järjestus'!$C129,KOMBI!$A$11:$A$145,0),MATCH('KSH järjestus'!P$3,KOMBI!$A$1:$GI$1,0)),BM$4:BM$138,P$2)</f>
        <v>51</v>
      </c>
      <c r="Q129" s="25">
        <f>RANK(INDEX(KOMBI!$A$11:$GI$145,MATCH('KSH järjestus'!$C129,KOMBI!$A$11:$A$145,0),MATCH('KSH järjestus'!Q$3,KOMBI!$A$1:$GI$1,0)),BN$4:BN$138,Q$2)</f>
        <v>59</v>
      </c>
      <c r="R129" s="25">
        <f>RANK(INDEX(KOMBI!$A$11:$GI$145,MATCH('KSH järjestus'!$C129,KOMBI!$A$11:$A$145,0),MATCH('KSH järjestus'!R$3,KOMBI!$A$1:$GI$1,0)),BO$4:BO$138,R$2)</f>
        <v>14</v>
      </c>
      <c r="T129" s="25">
        <f>RANK(INDEX(KOMBI!$A$11:$GI$145,MATCH('KSH järjestus'!$C129,KOMBI!$A$11:$A$145,0),MATCH('KSH järjestus'!T$3,KOMBI!$A$1:$GI$1,0)),BQ$4:BQ$138,T$2)</f>
        <v>24</v>
      </c>
      <c r="U129" s="25">
        <f>RANK(INDEX(KOMBI!$A$11:$GI$145,MATCH('KSH järjestus'!$C129,KOMBI!$A$11:$A$145,0),MATCH('KSH järjestus'!U$3,KOMBI!$A$1:$GI$1,0)),BR$4:BR$138,U$2)</f>
        <v>21</v>
      </c>
      <c r="AA129" s="25">
        <f>RANK(INDEX(KOMBI!$A$11:$GI$145,MATCH('KSH järjestus'!$C129,KOMBI!$A$11:$A$145,0),MATCH('KSH järjestus'!AA$3,KOMBI!$A$1:$GI$1,0)),BX$4:BX$138,AA$2)</f>
        <v>7</v>
      </c>
      <c r="AB129" s="25">
        <f>RANK(INDEX(KOMBI!$A$11:$GI$145,MATCH('KSH järjestus'!$C129,KOMBI!$A$11:$A$145,0),MATCH('KSH järjestus'!AB$3,KOMBI!$A$1:$GI$1,0)),BY$4:BY$138,AB$2)</f>
        <v>28</v>
      </c>
      <c r="AC129" s="25">
        <f>RANK(INDEX(KOMBI!$A$11:$GI$145,MATCH('KSH järjestus'!$C129,KOMBI!$A$11:$A$145,0),MATCH('KSH järjestus'!AC$3,KOMBI!$A$1:$GI$1,0)),BZ$4:BZ$138,AC$2)</f>
        <v>19</v>
      </c>
      <c r="AD129" s="25">
        <f>RANK(INDEX(KOMBI!$A$11:$GI$145,MATCH('KSH järjestus'!$C129,KOMBI!$A$11:$A$145,0),MATCH('KSH järjestus'!AD$3,KOMBI!$A$1:$GI$1,0)),CA$4:CA$138,AD$2)</f>
        <v>40</v>
      </c>
      <c r="AE129" s="25">
        <f>RANK(INDEX(KOMBI!$A$11:$GI$145,MATCH('KSH järjestus'!$C129,KOMBI!$A$11:$A$145,0),MATCH('KSH järjestus'!AE$3,KOMBI!$A$1:$GI$1,0)),CB$4:CB$138,AE$2)</f>
        <v>38</v>
      </c>
      <c r="AG129" s="25">
        <f>RANK(INDEX(KOMBI!$A$11:$GI$145,MATCH('KSH järjestus'!$C129,KOMBI!$A$11:$A$145,0),MATCH('KSH järjestus'!AG$3,KOMBI!$A$1:$GI$1,0)),CD$4:CD$138,AG$2)</f>
        <v>4</v>
      </c>
      <c r="AH129" s="25">
        <f>RANK(INDEX(KOMBI!$A$11:$GI$145,MATCH('KSH järjestus'!$C129,KOMBI!$A$11:$A$145,0),MATCH('KSH järjestus'!AH$3,KOMBI!$A$1:$GI$1,0)),CE$4:CE$138,AH$2)</f>
        <v>16</v>
      </c>
      <c r="AI129" s="25">
        <f>RANK(INDEX(KOMBI!$A$11:$GI$145,MATCH('KSH järjestus'!$C129,KOMBI!$A$11:$A$145,0),MATCH('KSH järjestus'!AI$3,KOMBI!$A$1:$GI$1,0)),CF$4:CF$138,AI$2)</f>
        <v>19</v>
      </c>
      <c r="AJ129" s="25">
        <f>RANK(INDEX(KOMBI!$A$11:$GI$145,MATCH('KSH järjestus'!$C129,KOMBI!$A$11:$A$145,0),MATCH('KSH järjestus'!AJ$3,KOMBI!$A$1:$GI$1,0)),CG$4:CG$138,AJ$2)</f>
        <v>28</v>
      </c>
      <c r="AK129" s="25">
        <f>RANK(INDEX(KOMBI!$A$11:$GI$145,MATCH('KSH järjestus'!$C129,KOMBI!$A$11:$A$145,0),MATCH('KSH järjestus'!AK$3,KOMBI!$A$1:$GI$1,0)),CH$4:CH$138,AK$2)</f>
        <v>43</v>
      </c>
      <c r="AN129" s="25">
        <f>RANK(INDEX(KOMBI!$A$11:$GI$145,MATCH('KSH järjestus'!$C129,KOMBI!$A$11:$A$145,0),MATCH('KSH järjestus'!AN$3,KOMBI!$A$1:$GI$1,0)),CK$4:CK$138,AN$2)</f>
        <v>1</v>
      </c>
      <c r="AO129" s="25">
        <f>RANK(INDEX(KOMBI!$A$11:$GI$145,MATCH('KSH järjestus'!$C129,KOMBI!$A$11:$A$145,0),MATCH('KSH järjestus'!AO$3,KOMBI!$A$1:$GI$1,0)),CL$4:CL$138,AO$2)</f>
        <v>1</v>
      </c>
      <c r="AS129" s="297">
        <f t="shared" si="7"/>
        <v>603</v>
      </c>
      <c r="AT129" s="25">
        <f t="shared" si="5"/>
        <v>2167</v>
      </c>
      <c r="AU129" s="25">
        <f t="shared" si="6"/>
        <v>49</v>
      </c>
      <c r="AV129" s="295" t="str">
        <f>VLOOKUP(VLOOKUP($AU129,KOMBI!$A:$H,3,FALSE),data!$I$27:$J$29,2,FALSE)</f>
        <v>Mittesekkuv</v>
      </c>
      <c r="AW129" s="295" t="str">
        <f>VLOOKUP(VLOOKUP($AU129,KOMBI!$A:$H,2,FALSE),data!$I$21:$J$23,2,FALSE)</f>
        <v>Vähe-sekkuv</v>
      </c>
      <c r="AX129" s="295" t="str">
        <f>VLOOKUP(VLOOKUP($AU129,KOMBI!$A:$H,5,FALSE),data!$I$39:$J$41,2,FALSE)</f>
        <v>Mittesekkuv</v>
      </c>
      <c r="AY129" s="295" t="str">
        <f>VLOOKUP(VLOOKUP($AU129,KOMBI!$A:$H,4,FALSE),data!$I$32:$J$36,2,FALSE)</f>
        <v>LIB+</v>
      </c>
      <c r="BA129" s="25">
        <f t="array" ref="BA129">INDEX(KOMBI!$A$1:$GI$145,ROW('KSH järjestus'!BA136),MATCH('KSH järjestus'!BA$3,KOMBI!$A$1:$GI$1,0))</f>
        <v>7.4673992044735735</v>
      </c>
      <c r="BB129" s="25">
        <f t="array" ref="BB129">INDEX(KOMBI!$A$1:$GI$145,ROW('KSH järjestus'!BB136),MATCH('KSH järjestus'!BB$3,KOMBI!$A$1:$GI$1,0))</f>
        <v>592.64071053277144</v>
      </c>
      <c r="BC129" s="25">
        <f t="array" aca="1" ref="BC129" ca="1">INDEX(KOMBI!$A$1:$GI$145,ROW('KSH järjestus'!BC136),MATCH('KSH järjestus'!BC$3,KOMBI!$A$1:$GI$1,0))</f>
        <v>57.630673608114023</v>
      </c>
      <c r="BD129" s="25">
        <f t="array" ref="BD129">INDEX(KOMBI!$A$1:$GI$145,ROW('KSH järjestus'!BD136),MATCH('KSH järjestus'!BD$3,KOMBI!$A$1:$GI$1,0))</f>
        <v>-197.29831369909104</v>
      </c>
      <c r="BE129" s="25">
        <f t="array" ref="BE129">INDEX(KOMBI!$A$1:$GI$145,ROW('KSH järjestus'!BE136),MATCH('KSH järjestus'!BE$3,KOMBI!$A$1:$GI$1,0))</f>
        <v>254.92898730720506</v>
      </c>
      <c r="BF129" s="25">
        <f t="array" aca="1" ref="BF129" ca="1">INDEX(KOMBI!$A$1:$GI$145,ROW('KSH järjestus'!BF136),MATCH('KSH järjestus'!BF$3,KOMBI!$A$1:$GI$1,0))</f>
        <v>0</v>
      </c>
      <c r="BG129" s="25">
        <f t="array" ref="BG129">INDEX(KOMBI!$A$1:$GI$145,ROW('KSH järjestus'!BG136),MATCH('KSH järjestus'!BG$3,KOMBI!$A$1:$GI$1,0))</f>
        <v>0.50411146323407641</v>
      </c>
      <c r="BH129" s="25">
        <f t="array" ref="BH129">INDEX(KOMBI!$A$1:$GI$145,ROW('KSH järjestus'!BH136),MATCH('KSH järjestus'!BH$3,KOMBI!$A$1:$GI$1,0))</f>
        <v>90</v>
      </c>
      <c r="BI129" s="25">
        <f t="array" ref="BI129">INDEX(KOMBI!$A$1:$GI$145,ROW('KSH järjestus'!BI136),MATCH('KSH järjestus'!BI$3,KOMBI!$A$1:$GI$1,0))</f>
        <v>0.72887234460741646</v>
      </c>
      <c r="BJ129" s="25">
        <f t="array" ref="BJ129">INDEX(KOMBI!$A$1:$GI$145,ROW('KSH järjestus'!BJ136),MATCH('KSH järjestus'!BJ$3,KOMBI!$A$1:$GI$1,0))</f>
        <v>0.27911646586345373</v>
      </c>
      <c r="BK129" s="25">
        <f t="array" ref="BK129">INDEX(KOMBI!$A$1:$GI$145,ROW('KSH järjestus'!BK136),MATCH('KSH järjestus'!BK$3,KOMBI!$A$1:$GI$1,0))</f>
        <v>0.3678346224372237</v>
      </c>
      <c r="BL129" s="25">
        <f t="array" ref="BL129">INDEX(KOMBI!$A$1:$GI$145,ROW('KSH järjestus'!BL136),MATCH('KSH järjestus'!BL$3,KOMBI!$A$1:$GI$1,0))</f>
        <v>2.3027319396337956E-2</v>
      </c>
      <c r="BM129" s="25">
        <f t="array" ref="BM129">INDEX(KOMBI!$A$1:$GI$145,ROW('KSH järjestus'!BM136),MATCH('KSH järjestus'!BM$3,KOMBI!$A$1:$GI$1,0))</f>
        <v>3.8950770360724413E-3</v>
      </c>
      <c r="BN129" s="25">
        <f t="array" ref="BN129">INDEX(KOMBI!$A$1:$GI$145,ROW('KSH järjestus'!BN136),MATCH('KSH järjestus'!BN$3,KOMBI!$A$1:$GI$1,0))</f>
        <v>4.7638269510273112E-3</v>
      </c>
      <c r="BO129" s="25">
        <f t="array" ref="BO129">INDEX(KOMBI!$A$1:$GI$145,ROW('KSH järjestus'!BO136),MATCH('KSH järjestus'!BO$3,KOMBI!$A$1:$GI$1,0))</f>
        <v>1.8465729278375448E-2</v>
      </c>
      <c r="BP129" s="25">
        <f t="array" ref="BP129">INDEX(KOMBI!$A$1:$GI$145,ROW('KSH järjestus'!BP136),MATCH('KSH järjestus'!BP$3,KOMBI!$A$1:$GI$1,0))</f>
        <v>7.5717605777489068</v>
      </c>
      <c r="BQ129" s="25">
        <f t="array" ref="BQ129">INDEX(KOMBI!$A$1:$GI$145,ROW('KSH järjestus'!BQ136),MATCH('KSH järjestus'!BQ$3,KOMBI!$A$1:$GI$1,0))</f>
        <v>9.9949999999999992</v>
      </c>
      <c r="BR129" s="25">
        <f t="array" ref="BR129">INDEX(KOMBI!$A$1:$GI$145,ROW('KSH järjestus'!BR136),MATCH('KSH järjestus'!BR$3,KOMBI!$A$1:$GI$1,0))</f>
        <v>-4.4615093204880732E-2</v>
      </c>
      <c r="BS129" s="25">
        <f t="array" ref="BS129">INDEX(KOMBI!$A$1:$GI$145,ROW('KSH järjestus'!BS136),MATCH('KSH järjestus'!BS$3,KOMBI!$A$1:$GI$1,0))</f>
        <v>-5.6865591496040487E-2</v>
      </c>
      <c r="BT129" s="25">
        <f t="array" ref="BT129">INDEX(KOMBI!$A$1:$GI$145,ROW('KSH järjestus'!BT136),MATCH('KSH järjestus'!BT$3,KOMBI!$A$1:$GI$1,0))</f>
        <v>-8.053480666007512E-2</v>
      </c>
      <c r="BU129" s="25">
        <f t="array" ref="BU129">INDEX(KOMBI!$A$1:$GI$145,ROW('KSH järjestus'!BU136),MATCH('KSH järjestus'!BU$3,KOMBI!$A$1:$GI$1,0))</f>
        <v>7.1831111109201009</v>
      </c>
      <c r="BV129" s="25">
        <f t="array" ref="BV129">INDEX(KOMBI!$A$1:$GI$145,ROW('KSH järjestus'!BV136),MATCH('KSH järjestus'!BV$3,KOMBI!$A$1:$GI$1,0))</f>
        <v>4.9379999999999997</v>
      </c>
      <c r="BW129" s="25">
        <f t="array" ref="BW129">INDEX(KOMBI!$A$1:$GI$145,ROW('KSH järjestus'!BW136),MATCH('KSH järjestus'!BW$3,KOMBI!$A$1:$GI$1,0))</f>
        <v>1.62408499063732</v>
      </c>
      <c r="BX129" s="25">
        <f t="array" ref="BX129">INDEX(KOMBI!$A$1:$GI$145,ROW('KSH järjestus'!BX136),MATCH('KSH järjestus'!BX$3,KOMBI!$A$1:$GI$1,0))</f>
        <v>16.462578011574536</v>
      </c>
      <c r="BY129" s="25">
        <f t="array" ref="BY129">INDEX(KOMBI!$A$1:$GI$145,ROW('KSH järjestus'!BY136),MATCH('KSH järjestus'!BY$3,KOMBI!$A$1:$GI$1,0))</f>
        <v>11.219077976340797</v>
      </c>
      <c r="BZ129" s="25">
        <f t="array" ref="BZ129">INDEX(KOMBI!$A$1:$GI$145,ROW('KSH järjestus'!BZ136),MATCH('KSH järjestus'!BZ$3,KOMBI!$A$1:$GI$1,0))</f>
        <v>69</v>
      </c>
      <c r="CA129" s="25">
        <f t="array" ref="CA129">INDEX(KOMBI!$A$1:$GI$145,ROW('KSH järjestus'!CA136),MATCH('KSH järjestus'!CA$3,KOMBI!$A$1:$GI$1,0))</f>
        <v>12.976000000000001</v>
      </c>
      <c r="CB129" s="25">
        <f t="array" ref="CB129">INDEX(KOMBI!$A$1:$GI$145,ROW('KSH järjestus'!CB136),MATCH('KSH järjestus'!CB$3,KOMBI!$A$1:$GI$1,0))</f>
        <v>58.254999999999995</v>
      </c>
      <c r="CC129" s="25">
        <f t="array" ref="CC129">INDEX(KOMBI!$A$1:$GI$145,ROW('KSH järjestus'!CC136),MATCH('KSH järjestus'!CC$3,KOMBI!$A$1:$GI$1,0))</f>
        <v>4.7192499999999997</v>
      </c>
      <c r="CD129" s="25">
        <f t="array" ref="CD129">INDEX(KOMBI!$A$1:$GI$145,ROW('KSH järjestus'!CD136),MATCH('KSH järjestus'!CD$3,KOMBI!$A$1:$GI$1,0))</f>
        <v>285</v>
      </c>
      <c r="CE129" s="25">
        <f t="array" ref="CE129">INDEX(KOMBI!$A$1:$GI$145,ROW('KSH järjestus'!CE136),MATCH('KSH järjestus'!CE$3,KOMBI!$A$1:$GI$1,0))</f>
        <v>2.7810000000000001</v>
      </c>
      <c r="CF129" s="25">
        <f t="array" ref="CF129">INDEX(KOMBI!$A$1:$GI$145,ROW('KSH järjestus'!CF136),MATCH('KSH järjestus'!CF$3,KOMBI!$A$1:$GI$1,0))</f>
        <v>43.312900516795864</v>
      </c>
      <c r="CG129" s="25">
        <f t="array" ref="CG129">INDEX(KOMBI!$A$1:$GI$145,ROW('KSH järjestus'!CG136),MATCH('KSH järjestus'!CG$3,KOMBI!$A$1:$GI$1,0))</f>
        <v>2.5620074329845279E-2</v>
      </c>
      <c r="CH129" s="25">
        <f t="array" ref="CH129">INDEX(KOMBI!$A$1:$GI$145,ROW('KSH järjestus'!CH136),MATCH('KSH järjestus'!CH$3,KOMBI!$A$1:$GI$1,0))</f>
        <v>0.447957193299102</v>
      </c>
      <c r="CI129" s="25">
        <f t="array" ref="CI129">INDEX(KOMBI!$A$1:$GI$145,ROW('KSH järjestus'!CI136),MATCH('KSH järjestus'!CI$3,KOMBI!$A$1:$GI$1,0))</f>
        <v>6.08</v>
      </c>
      <c r="CJ129" s="25">
        <f t="array" ref="CJ129">INDEX(KOMBI!$A$1:$GI$145,ROW('KSH järjestus'!CJ136),MATCH('KSH järjestus'!CJ$3,KOMBI!$A$1:$GI$1,0))</f>
        <v>3.4398849906373199</v>
      </c>
      <c r="CK129" s="25">
        <f t="array" ref="CK129">INDEX(KOMBI!$A$1:$GI$145,ROW('KSH järjestus'!CK136),MATCH('KSH järjestus'!CK$3,KOMBI!$A$1:$GI$1,0))</f>
        <v>0.19900000000000001</v>
      </c>
      <c r="CL129" s="25">
        <f t="array" ref="CL129">INDEX(KOMBI!$A$1:$GI$145,ROW('KSH järjestus'!CL136),MATCH('KSH järjestus'!CL$3,KOMBI!$A$1:$GI$1,0))</f>
        <v>0.72299999999999998</v>
      </c>
    </row>
    <row r="130" spans="3:90" x14ac:dyDescent="0.2">
      <c r="C130" s="184">
        <v>127</v>
      </c>
      <c r="G130" s="25">
        <f>RANK(INDEX(KOMBI!$A$11:$GI$145,MATCH('KSH järjestus'!$C130,KOMBI!$A$11:$A$145,0),MATCH('KSH järjestus'!G$3,KOMBI!$A$1:$GI$1,0)),BD$4:BD$138,G$2)</f>
        <v>16</v>
      </c>
      <c r="H130" s="25">
        <f>RANK(INDEX(KOMBI!$A$11:$GI$145,MATCH('KSH järjestus'!$C130,KOMBI!$A$11:$A$145,0),MATCH('KSH järjestus'!H$3,KOMBI!$A$1:$GI$1,0)),BE$4:BE$138,H$2)</f>
        <v>45</v>
      </c>
      <c r="J130" s="25">
        <f>RANK(INDEX(KOMBI!$A$11:$GI$145,MATCH('KSH järjestus'!$C130,KOMBI!$A$11:$A$145,0),MATCH('KSH järjestus'!J$3,KOMBI!$A$1:$GI$1,0)),BG$4:BG$138,J$2)</f>
        <v>36</v>
      </c>
      <c r="M130" s="25">
        <f>RANK(INDEX(KOMBI!$A$11:$GI$145,MATCH('KSH järjestus'!$C130,KOMBI!$A$11:$A$145,0),MATCH('KSH järjestus'!M$3,KOMBI!$A$1:$GI$1,0)),BJ$4:BJ$138,M$2)</f>
        <v>28</v>
      </c>
      <c r="N130" s="25">
        <f>RANK(INDEX(KOMBI!$A$11:$GI$145,MATCH('KSH järjestus'!$C130,KOMBI!$A$11:$A$145,0),MATCH('KSH järjestus'!N$3,KOMBI!$A$1:$GI$1,0)),BK$4:BK$138,N$2)</f>
        <v>28</v>
      </c>
      <c r="O130" s="25">
        <f>RANK(INDEX(KOMBI!$A$11:$GI$145,MATCH('KSH järjestus'!$C130,KOMBI!$A$11:$A$145,0),MATCH('KSH järjestus'!O$3,KOMBI!$A$1:$GI$1,0)),BL$4:BL$138,O$2)</f>
        <v>69</v>
      </c>
      <c r="P130" s="25">
        <f>RANK(INDEX(KOMBI!$A$11:$GI$145,MATCH('KSH järjestus'!$C130,KOMBI!$A$11:$A$145,0),MATCH('KSH järjestus'!P$3,KOMBI!$A$1:$GI$1,0)),BM$4:BM$138,P$2)</f>
        <v>30</v>
      </c>
      <c r="Q130" s="25">
        <f>RANK(INDEX(KOMBI!$A$11:$GI$145,MATCH('KSH järjestus'!$C130,KOMBI!$A$11:$A$145,0),MATCH('KSH järjestus'!Q$3,KOMBI!$A$1:$GI$1,0)),BN$4:BN$138,Q$2)</f>
        <v>90</v>
      </c>
      <c r="R130" s="25">
        <f>RANK(INDEX(KOMBI!$A$11:$GI$145,MATCH('KSH järjestus'!$C130,KOMBI!$A$11:$A$145,0),MATCH('KSH järjestus'!R$3,KOMBI!$A$1:$GI$1,0)),BO$4:BO$138,R$2)</f>
        <v>56</v>
      </c>
      <c r="T130" s="25">
        <f>RANK(INDEX(KOMBI!$A$11:$GI$145,MATCH('KSH järjestus'!$C130,KOMBI!$A$11:$A$145,0),MATCH('KSH järjestus'!T$3,KOMBI!$A$1:$GI$1,0)),BQ$4:BQ$138,T$2)</f>
        <v>10</v>
      </c>
      <c r="U130" s="25">
        <f>RANK(INDEX(KOMBI!$A$11:$GI$145,MATCH('KSH järjestus'!$C130,KOMBI!$A$11:$A$145,0),MATCH('KSH järjestus'!U$3,KOMBI!$A$1:$GI$1,0)),BR$4:BR$138,U$2)</f>
        <v>11</v>
      </c>
      <c r="AA130" s="25">
        <f>RANK(INDEX(KOMBI!$A$11:$GI$145,MATCH('KSH järjestus'!$C130,KOMBI!$A$11:$A$145,0),MATCH('KSH järjestus'!AA$3,KOMBI!$A$1:$GI$1,0)),BX$4:BX$138,AA$2)</f>
        <v>10</v>
      </c>
      <c r="AB130" s="25">
        <f>RANK(INDEX(KOMBI!$A$11:$GI$145,MATCH('KSH järjestus'!$C130,KOMBI!$A$11:$A$145,0),MATCH('KSH järjestus'!AB$3,KOMBI!$A$1:$GI$1,0)),BY$4:BY$138,AB$2)</f>
        <v>28</v>
      </c>
      <c r="AC130" s="25">
        <f>RANK(INDEX(KOMBI!$A$11:$GI$145,MATCH('KSH järjestus'!$C130,KOMBI!$A$11:$A$145,0),MATCH('KSH järjestus'!AC$3,KOMBI!$A$1:$GI$1,0)),BZ$4:BZ$138,AC$2)</f>
        <v>11</v>
      </c>
      <c r="AD130" s="25">
        <f>RANK(INDEX(KOMBI!$A$11:$GI$145,MATCH('KSH järjestus'!$C130,KOMBI!$A$11:$A$145,0),MATCH('KSH järjestus'!AD$3,KOMBI!$A$1:$GI$1,0)),CA$4:CA$138,AD$2)</f>
        <v>30</v>
      </c>
      <c r="AE130" s="25">
        <f>RANK(INDEX(KOMBI!$A$11:$GI$145,MATCH('KSH järjestus'!$C130,KOMBI!$A$11:$A$145,0),MATCH('KSH järjestus'!AE$3,KOMBI!$A$1:$GI$1,0)),CB$4:CB$138,AE$2)</f>
        <v>30</v>
      </c>
      <c r="AG130" s="25">
        <f>RANK(INDEX(KOMBI!$A$11:$GI$145,MATCH('KSH järjestus'!$C130,KOMBI!$A$11:$A$145,0),MATCH('KSH järjestus'!AG$3,KOMBI!$A$1:$GI$1,0)),CD$4:CD$138,AG$2)</f>
        <v>4</v>
      </c>
      <c r="AH130" s="25">
        <f>RANK(INDEX(KOMBI!$A$11:$GI$145,MATCH('KSH järjestus'!$C130,KOMBI!$A$11:$A$145,0),MATCH('KSH järjestus'!AH$3,KOMBI!$A$1:$GI$1,0)),CE$4:CE$138,AH$2)</f>
        <v>16</v>
      </c>
      <c r="AI130" s="25">
        <f>RANK(INDEX(KOMBI!$A$11:$GI$145,MATCH('KSH järjestus'!$C130,KOMBI!$A$11:$A$145,0),MATCH('KSH järjestus'!AI$3,KOMBI!$A$1:$GI$1,0)),CF$4:CF$138,AI$2)</f>
        <v>13</v>
      </c>
      <c r="AJ130" s="25">
        <f>RANK(INDEX(KOMBI!$A$11:$GI$145,MATCH('KSH järjestus'!$C130,KOMBI!$A$11:$A$145,0),MATCH('KSH järjestus'!AJ$3,KOMBI!$A$1:$GI$1,0)),CG$4:CG$138,AJ$2)</f>
        <v>1</v>
      </c>
      <c r="AK130" s="25">
        <f>RANK(INDEX(KOMBI!$A$11:$GI$145,MATCH('KSH järjestus'!$C130,KOMBI!$A$11:$A$145,0),MATCH('KSH järjestus'!AK$3,KOMBI!$A$1:$GI$1,0)),CH$4:CH$138,AK$2)</f>
        <v>10</v>
      </c>
      <c r="AN130" s="25">
        <f>RANK(INDEX(KOMBI!$A$11:$GI$145,MATCH('KSH järjestus'!$C130,KOMBI!$A$11:$A$145,0),MATCH('KSH järjestus'!AN$3,KOMBI!$A$1:$GI$1,0)),CK$4:CK$138,AN$2)</f>
        <v>1</v>
      </c>
      <c r="AO130" s="25">
        <f>RANK(INDEX(KOMBI!$A$11:$GI$145,MATCH('KSH järjestus'!$C130,KOMBI!$A$11:$A$145,0),MATCH('KSH järjestus'!AO$3,KOMBI!$A$1:$GI$1,0)),CL$4:CL$138,AO$2)</f>
        <v>1</v>
      </c>
      <c r="AS130" s="297">
        <f t="shared" si="7"/>
        <v>574</v>
      </c>
      <c r="AT130" s="25">
        <f t="shared" si="5"/>
        <v>2201</v>
      </c>
      <c r="AU130" s="25">
        <f t="shared" si="6"/>
        <v>14</v>
      </c>
      <c r="AV130" s="295" t="str">
        <f>VLOOKUP(VLOOKUP($AU130,KOMBI!$A:$H,3,FALSE),data!$I$27:$J$29,2,FALSE)</f>
        <v>Mittesekkuv</v>
      </c>
      <c r="AW130" s="295" t="str">
        <f>VLOOKUP(VLOOKUP($AU130,KOMBI!$A:$H,2,FALSE),data!$I$21:$J$23,2,FALSE)</f>
        <v>Mittesekkuv</v>
      </c>
      <c r="AX130" s="295" t="str">
        <f>VLOOKUP(VLOOKUP($AU130,KOMBI!$A:$H,5,FALSE),data!$I$39:$J$41,2,FALSE)</f>
        <v>Vähe-sekkuv</v>
      </c>
      <c r="AY130" s="295" t="str">
        <f>VLOOKUP(VLOOKUP($AU130,KOMBI!$A:$H,4,FALSE),data!$I$32:$J$36,2,FALSE)</f>
        <v>PK &amp; UG</v>
      </c>
      <c r="BA130" s="25">
        <f t="array" ref="BA130">INDEX(KOMBI!$A$1:$GI$145,ROW('KSH järjestus'!BA137),MATCH('KSH järjestus'!BA$3,KOMBI!$A$1:$GI$1,0))</f>
        <v>6.3213672301352926</v>
      </c>
      <c r="BB130" s="25">
        <f t="array" ref="BB130">INDEX(KOMBI!$A$1:$GI$145,ROW('KSH järjestus'!BB137),MATCH('KSH järjestus'!BB$3,KOMBI!$A$1:$GI$1,0))</f>
        <v>401.554942830561</v>
      </c>
      <c r="BC130" s="25">
        <f t="array" aca="1" ref="BC130" ca="1">INDEX(KOMBI!$A$1:$GI$145,ROW('KSH järjestus'!BC137),MATCH('KSH järjestus'!BC$3,KOMBI!$A$1:$GI$1,0))</f>
        <v>34.732793204047056</v>
      </c>
      <c r="BD130" s="25">
        <f t="array" ref="BD130">INDEX(KOMBI!$A$1:$GI$145,ROW('KSH järjestus'!BD137),MATCH('KSH järjestus'!BD$3,KOMBI!$A$1:$GI$1,0))</f>
        <v>-162.95750000000001</v>
      </c>
      <c r="BE130" s="25">
        <f t="array" ref="BE130">INDEX(KOMBI!$A$1:$GI$145,ROW('KSH järjestus'!BE137),MATCH('KSH järjestus'!BE$3,KOMBI!$A$1:$GI$1,0))</f>
        <v>197.69029320404707</v>
      </c>
      <c r="BF130" s="25">
        <f t="array" aca="1" ref="BF130" ca="1">INDEX(KOMBI!$A$1:$GI$145,ROW('KSH järjestus'!BF137),MATCH('KSH järjestus'!BF$3,KOMBI!$A$1:$GI$1,0))</f>
        <v>0</v>
      </c>
      <c r="BG130" s="25">
        <f t="array" ref="BG130">INDEX(KOMBI!$A$1:$GI$145,ROW('KSH järjestus'!BG137),MATCH('KSH järjestus'!BG$3,KOMBI!$A$1:$GI$1,0))</f>
        <v>0.50323675567433446</v>
      </c>
      <c r="BH130" s="25">
        <f t="array" ref="BH130">INDEX(KOMBI!$A$1:$GI$145,ROW('KSH järjestus'!BH137),MATCH('KSH järjestus'!BH$3,KOMBI!$A$1:$GI$1,0))</f>
        <v>90</v>
      </c>
      <c r="BI130" s="25">
        <f t="array" ref="BI130">INDEX(KOMBI!$A$1:$GI$145,ROW('KSH järjestus'!BI137),MATCH('KSH järjestus'!BI$3,KOMBI!$A$1:$GI$1,0))</f>
        <v>1</v>
      </c>
      <c r="BJ130" s="25">
        <f t="array" ref="BJ130">INDEX(KOMBI!$A$1:$GI$145,ROW('KSH järjestus'!BJ137),MATCH('KSH järjestus'!BJ$3,KOMBI!$A$1:$GI$1,0))</f>
        <v>6.6265060240963902E-2</v>
      </c>
      <c r="BK130" s="25">
        <f t="array" ref="BK130">INDEX(KOMBI!$A$1:$GI$145,ROW('KSH järjestus'!BK137),MATCH('KSH järjestus'!BK$3,KOMBI!$A$1:$GI$1,0))</f>
        <v>0.41762821979641068</v>
      </c>
      <c r="BL130" s="25">
        <f t="array" ref="BL130">INDEX(KOMBI!$A$1:$GI$145,ROW('KSH järjestus'!BL137),MATCH('KSH järjestus'!BL$3,KOMBI!$A$1:$GI$1,0))</f>
        <v>1.5704517146665847E-2</v>
      </c>
      <c r="BM130" s="25">
        <f t="array" ref="BM130">INDEX(KOMBI!$A$1:$GI$145,ROW('KSH järjestus'!BM137),MATCH('KSH järjestus'!BM$3,KOMBI!$A$1:$GI$1,0))</f>
        <v>5.7861522028542292E-3</v>
      </c>
      <c r="BN130" s="25">
        <f t="array" ref="BN130">INDEX(KOMBI!$A$1:$GI$145,ROW('KSH järjestus'!BN137),MATCH('KSH järjestus'!BN$3,KOMBI!$A$1:$GI$1,0))</f>
        <v>2.5770516830088963E-3</v>
      </c>
      <c r="BO130" s="25">
        <f t="array" ref="BO130">INDEX(KOMBI!$A$1:$GI$145,ROW('KSH järjestus'!BO137),MATCH('KSH järjestus'!BO$3,KOMBI!$A$1:$GI$1,0))</f>
        <v>1.3248113808627037E-2</v>
      </c>
      <c r="BP130" s="25">
        <f t="array" ref="BP130">INDEX(KOMBI!$A$1:$GI$145,ROW('KSH järjestus'!BP137),MATCH('KSH järjestus'!BP$3,KOMBI!$A$1:$GI$1,0))</f>
        <v>7.5743156794471025</v>
      </c>
      <c r="BQ130" s="25">
        <f t="array" ref="BQ130">INDEX(KOMBI!$A$1:$GI$145,ROW('KSH järjestus'!BQ137),MATCH('KSH järjestus'!BQ$3,KOMBI!$A$1:$GI$1,0))</f>
        <v>9.7629999999999999</v>
      </c>
      <c r="BR130" s="25">
        <f t="array" ref="BR130">INDEX(KOMBI!$A$1:$GI$145,ROW('KSH järjestus'!BR137),MATCH('KSH järjestus'!BR$3,KOMBI!$A$1:$GI$1,0))</f>
        <v>-5.2811725469989391E-2</v>
      </c>
      <c r="BS130" s="25">
        <f t="array" ref="BS130">INDEX(KOMBI!$A$1:$GI$145,ROW('KSH järjestus'!BS137),MATCH('KSH järjestus'!BS$3,KOMBI!$A$1:$GI$1,0))</f>
        <v>-5.9790806986495262E-2</v>
      </c>
      <c r="BT130" s="25">
        <f t="array" ref="BT130">INDEX(KOMBI!$A$1:$GI$145,ROW('KSH järjestus'!BT137),MATCH('KSH järjestus'!BT$3,KOMBI!$A$1:$GI$1,0))</f>
        <v>-8.2821978067298727E-2</v>
      </c>
      <c r="BU130" s="25">
        <f t="array" ref="BU130">INDEX(KOMBI!$A$1:$GI$145,ROW('KSH järjestus'!BU137),MATCH('KSH järjestus'!BU$3,KOMBI!$A$1:$GI$1,0))</f>
        <v>7.1502826922990277</v>
      </c>
      <c r="BV130" s="25">
        <f t="array" ref="BV130">INDEX(KOMBI!$A$1:$GI$145,ROW('KSH järjestus'!BV137),MATCH('KSH järjestus'!BV$3,KOMBI!$A$1:$GI$1,0))</f>
        <v>4.9050000000000002</v>
      </c>
      <c r="BW130" s="25">
        <f t="array" ref="BW130">INDEX(KOMBI!$A$1:$GI$145,ROW('KSH järjestus'!BW137),MATCH('KSH järjestus'!BW$3,KOMBI!$A$1:$GI$1,0))</f>
        <v>1.03788499063732</v>
      </c>
      <c r="BX130" s="25">
        <f t="array" ref="BX130">INDEX(KOMBI!$A$1:$GI$145,ROW('KSH järjestus'!BX137),MATCH('KSH järjestus'!BX$3,KOMBI!$A$1:$GI$1,0))</f>
        <v>16.465861099430587</v>
      </c>
      <c r="BY130" s="25">
        <f t="array" ref="BY130">INDEX(KOMBI!$A$1:$GI$145,ROW('KSH järjestus'!BY137),MATCH('KSH järjestus'!BY$3,KOMBI!$A$1:$GI$1,0))</f>
        <v>11.219077976340797</v>
      </c>
      <c r="BZ130" s="25">
        <f t="array" ref="BZ130">INDEX(KOMBI!$A$1:$GI$145,ROW('KSH järjestus'!BZ137),MATCH('KSH järjestus'!BZ$3,KOMBI!$A$1:$GI$1,0))</f>
        <v>68</v>
      </c>
      <c r="CA130" s="25">
        <f t="array" ref="CA130">INDEX(KOMBI!$A$1:$GI$145,ROW('KSH järjestus'!CA137),MATCH('KSH järjestus'!CA$3,KOMBI!$A$1:$GI$1,0))</f>
        <v>12.65</v>
      </c>
      <c r="CB130" s="25">
        <f t="array" ref="CB130">INDEX(KOMBI!$A$1:$GI$145,ROW('KSH järjestus'!CB137),MATCH('KSH järjestus'!CB$3,KOMBI!$A$1:$GI$1,0))</f>
        <v>57.012500000000003</v>
      </c>
      <c r="CC130" s="25">
        <f t="array" ref="CC130">INDEX(KOMBI!$A$1:$GI$145,ROW('KSH järjestus'!CC137),MATCH('KSH järjestus'!CC$3,KOMBI!$A$1:$GI$1,0))</f>
        <v>4.613632</v>
      </c>
      <c r="CD130" s="25">
        <f t="array" ref="CD130">INDEX(KOMBI!$A$1:$GI$145,ROW('KSH järjestus'!CD137),MATCH('KSH järjestus'!CD$3,KOMBI!$A$1:$GI$1,0))</f>
        <v>285</v>
      </c>
      <c r="CE130" s="25">
        <f t="array" ref="CE130">INDEX(KOMBI!$A$1:$GI$145,ROW('KSH järjestus'!CE137),MATCH('KSH järjestus'!CE$3,KOMBI!$A$1:$GI$1,0))</f>
        <v>2.7810000000000001</v>
      </c>
      <c r="CF130" s="25">
        <f t="array" ref="CF130">INDEX(KOMBI!$A$1:$GI$145,ROW('KSH järjestus'!CF137),MATCH('KSH järjestus'!CF$3,KOMBI!$A$1:$GI$1,0))</f>
        <v>43.272900516795865</v>
      </c>
      <c r="CG130" s="25">
        <f t="array" ref="CG130">INDEX(KOMBI!$A$1:$GI$145,ROW('KSH järjestus'!CG137),MATCH('KSH järjestus'!CG$3,KOMBI!$A$1:$GI$1,0))</f>
        <v>9.3307678114868606E-2</v>
      </c>
      <c r="CH130" s="25">
        <f t="array" ref="CH130">INDEX(KOMBI!$A$1:$GI$145,ROW('KSH järjestus'!CH137),MATCH('KSH järjestus'!CH$3,KOMBI!$A$1:$GI$1,0))</f>
        <v>0.51659368872597156</v>
      </c>
      <c r="CI130" s="25">
        <f t="array" ref="CI130">INDEX(KOMBI!$A$1:$GI$145,ROW('KSH järjestus'!CI137),MATCH('KSH järjestus'!CI$3,KOMBI!$A$1:$GI$1,0))</f>
        <v>6.08</v>
      </c>
      <c r="CJ130" s="25">
        <f t="array" ref="CJ130">INDEX(KOMBI!$A$1:$GI$145,ROW('KSH järjestus'!CJ137),MATCH('KSH järjestus'!CJ$3,KOMBI!$A$1:$GI$1,0))</f>
        <v>2.7478849906373197</v>
      </c>
      <c r="CK130" s="25">
        <f t="array" ref="CK130">INDEX(KOMBI!$A$1:$GI$145,ROW('KSH järjestus'!CK137),MATCH('KSH järjestus'!CK$3,KOMBI!$A$1:$GI$1,0))</f>
        <v>0.19900000000000001</v>
      </c>
      <c r="CL130" s="25">
        <f t="array" ref="CL130">INDEX(KOMBI!$A$1:$GI$145,ROW('KSH järjestus'!CL137),MATCH('KSH järjestus'!CL$3,KOMBI!$A$1:$GI$1,0))</f>
        <v>0.72299999999999998</v>
      </c>
    </row>
    <row r="131" spans="3:90" x14ac:dyDescent="0.2">
      <c r="C131" s="184">
        <v>128</v>
      </c>
      <c r="G131" s="25">
        <f>RANK(INDEX(KOMBI!$A$11:$GI$145,MATCH('KSH järjestus'!$C131,KOMBI!$A$11:$A$145,0),MATCH('KSH järjestus'!G$3,KOMBI!$A$1:$GI$1,0)),BD$4:BD$138,G$2)</f>
        <v>11</v>
      </c>
      <c r="H131" s="25">
        <f>RANK(INDEX(KOMBI!$A$11:$GI$145,MATCH('KSH järjestus'!$C131,KOMBI!$A$11:$A$145,0),MATCH('KSH järjestus'!H$3,KOMBI!$A$1:$GI$1,0)),BE$4:BE$138,H$2)</f>
        <v>21</v>
      </c>
      <c r="J131" s="25">
        <f>RANK(INDEX(KOMBI!$A$11:$GI$145,MATCH('KSH järjestus'!$C131,KOMBI!$A$11:$A$145,0),MATCH('KSH järjestus'!J$3,KOMBI!$A$1:$GI$1,0)),BG$4:BG$138,J$2)</f>
        <v>28</v>
      </c>
      <c r="M131" s="25">
        <f>RANK(INDEX(KOMBI!$A$11:$GI$145,MATCH('KSH järjestus'!$C131,KOMBI!$A$11:$A$145,0),MATCH('KSH järjestus'!M$3,KOMBI!$A$1:$GI$1,0)),BJ$4:BJ$138,M$2)</f>
        <v>28</v>
      </c>
      <c r="N131" s="25">
        <f>RANK(INDEX(KOMBI!$A$11:$GI$145,MATCH('KSH järjestus'!$C131,KOMBI!$A$11:$A$145,0),MATCH('KSH järjestus'!N$3,KOMBI!$A$1:$GI$1,0)),BK$4:BK$138,N$2)</f>
        <v>28</v>
      </c>
      <c r="O131" s="25">
        <f>RANK(INDEX(KOMBI!$A$11:$GI$145,MATCH('KSH järjestus'!$C131,KOMBI!$A$11:$A$145,0),MATCH('KSH järjestus'!O$3,KOMBI!$A$1:$GI$1,0)),BL$4:BL$138,O$2)</f>
        <v>34</v>
      </c>
      <c r="P131" s="25">
        <f>RANK(INDEX(KOMBI!$A$11:$GI$145,MATCH('KSH järjestus'!$C131,KOMBI!$A$11:$A$145,0),MATCH('KSH järjestus'!P$3,KOMBI!$A$1:$GI$1,0)),BM$4:BM$138,P$2)</f>
        <v>57</v>
      </c>
      <c r="Q131" s="25">
        <f>RANK(INDEX(KOMBI!$A$11:$GI$145,MATCH('KSH järjestus'!$C131,KOMBI!$A$11:$A$145,0),MATCH('KSH järjestus'!Q$3,KOMBI!$A$1:$GI$1,0)),BN$4:BN$138,Q$2)</f>
        <v>54</v>
      </c>
      <c r="R131" s="25">
        <f>RANK(INDEX(KOMBI!$A$11:$GI$145,MATCH('KSH järjestus'!$C131,KOMBI!$A$11:$A$145,0),MATCH('KSH järjestus'!R$3,KOMBI!$A$1:$GI$1,0)),BO$4:BO$138,R$2)</f>
        <v>23</v>
      </c>
      <c r="T131" s="25">
        <f>RANK(INDEX(KOMBI!$A$11:$GI$145,MATCH('KSH järjestus'!$C131,KOMBI!$A$11:$A$145,0),MATCH('KSH järjestus'!T$3,KOMBI!$A$1:$GI$1,0)),BQ$4:BQ$138,T$2)</f>
        <v>16</v>
      </c>
      <c r="U131" s="25">
        <f>RANK(INDEX(KOMBI!$A$11:$GI$145,MATCH('KSH järjestus'!$C131,KOMBI!$A$11:$A$145,0),MATCH('KSH järjestus'!U$3,KOMBI!$A$1:$GI$1,0)),BR$4:BR$138,U$2)</f>
        <v>17</v>
      </c>
      <c r="AA131" s="25">
        <f>RANK(INDEX(KOMBI!$A$11:$GI$145,MATCH('KSH järjestus'!$C131,KOMBI!$A$11:$A$145,0),MATCH('KSH järjestus'!AA$3,KOMBI!$A$1:$GI$1,0)),BX$4:BX$138,AA$2)</f>
        <v>10</v>
      </c>
      <c r="AB131" s="25">
        <f>RANK(INDEX(KOMBI!$A$11:$GI$145,MATCH('KSH järjestus'!$C131,KOMBI!$A$11:$A$145,0),MATCH('KSH järjestus'!AB$3,KOMBI!$A$1:$GI$1,0)),BY$4:BY$138,AB$2)</f>
        <v>28</v>
      </c>
      <c r="AC131" s="25">
        <f>RANK(INDEX(KOMBI!$A$11:$GI$145,MATCH('KSH järjestus'!$C131,KOMBI!$A$11:$A$145,0),MATCH('KSH järjestus'!AC$3,KOMBI!$A$1:$GI$1,0)),BZ$4:BZ$138,AC$2)</f>
        <v>16</v>
      </c>
      <c r="AD131" s="25">
        <f>RANK(INDEX(KOMBI!$A$11:$GI$145,MATCH('KSH järjestus'!$C131,KOMBI!$A$11:$A$145,0),MATCH('KSH järjestus'!AD$3,KOMBI!$A$1:$GI$1,0)),CA$4:CA$138,AD$2)</f>
        <v>33</v>
      </c>
      <c r="AE131" s="25">
        <f>RANK(INDEX(KOMBI!$A$11:$GI$145,MATCH('KSH järjestus'!$C131,KOMBI!$A$11:$A$145,0),MATCH('KSH järjestus'!AE$3,KOMBI!$A$1:$GI$1,0)),CB$4:CB$138,AE$2)</f>
        <v>33</v>
      </c>
      <c r="AG131" s="25">
        <f>RANK(INDEX(KOMBI!$A$11:$GI$145,MATCH('KSH järjestus'!$C131,KOMBI!$A$11:$A$145,0),MATCH('KSH järjestus'!AG$3,KOMBI!$A$1:$GI$1,0)),CD$4:CD$138,AG$2)</f>
        <v>4</v>
      </c>
      <c r="AH131" s="25">
        <f>RANK(INDEX(KOMBI!$A$11:$GI$145,MATCH('KSH järjestus'!$C131,KOMBI!$A$11:$A$145,0),MATCH('KSH järjestus'!AH$3,KOMBI!$A$1:$GI$1,0)),CE$4:CE$138,AH$2)</f>
        <v>16</v>
      </c>
      <c r="AI131" s="25">
        <f>RANK(INDEX(KOMBI!$A$11:$GI$145,MATCH('KSH järjestus'!$C131,KOMBI!$A$11:$A$145,0),MATCH('KSH järjestus'!AI$3,KOMBI!$A$1:$GI$1,0)),CF$4:CF$138,AI$2)</f>
        <v>13</v>
      </c>
      <c r="AJ131" s="25">
        <f>RANK(INDEX(KOMBI!$A$11:$GI$145,MATCH('KSH järjestus'!$C131,KOMBI!$A$11:$A$145,0),MATCH('KSH järjestus'!AJ$3,KOMBI!$A$1:$GI$1,0)),CG$4:CG$138,AJ$2)</f>
        <v>1</v>
      </c>
      <c r="AK131" s="25">
        <f>RANK(INDEX(KOMBI!$A$11:$GI$145,MATCH('KSH järjestus'!$C131,KOMBI!$A$11:$A$145,0),MATCH('KSH järjestus'!AK$3,KOMBI!$A$1:$GI$1,0)),CH$4:CH$138,AK$2)</f>
        <v>10</v>
      </c>
      <c r="AN131" s="25">
        <f>RANK(INDEX(KOMBI!$A$11:$GI$145,MATCH('KSH järjestus'!$C131,KOMBI!$A$11:$A$145,0),MATCH('KSH järjestus'!AN$3,KOMBI!$A$1:$GI$1,0)),CK$4:CK$138,AN$2)</f>
        <v>1</v>
      </c>
      <c r="AO131" s="25">
        <f>RANK(INDEX(KOMBI!$A$11:$GI$145,MATCH('KSH järjestus'!$C131,KOMBI!$A$11:$A$145,0),MATCH('KSH järjestus'!AO$3,KOMBI!$A$1:$GI$1,0)),CL$4:CL$138,AO$2)</f>
        <v>1</v>
      </c>
      <c r="AS131" s="297">
        <f t="shared" si="7"/>
        <v>483</v>
      </c>
      <c r="AT131" s="25">
        <f t="shared" si="5"/>
        <v>2240</v>
      </c>
      <c r="AU131" s="25">
        <f t="shared" si="6"/>
        <v>7</v>
      </c>
      <c r="AV131" s="295" t="str">
        <f>VLOOKUP(VLOOKUP($AU131,KOMBI!$A:$H,3,FALSE),data!$I$27:$J$29,2,FALSE)</f>
        <v>Mittesekkuv</v>
      </c>
      <c r="AW131" s="295" t="str">
        <f>VLOOKUP(VLOOKUP($AU131,KOMBI!$A:$H,2,FALSE),data!$I$21:$J$23,2,FALSE)</f>
        <v>Mittesekkuv</v>
      </c>
      <c r="AX131" s="295" t="str">
        <f>VLOOKUP(VLOOKUP($AU131,KOMBI!$A:$H,5,FALSE),data!$I$39:$J$41,2,FALSE)</f>
        <v>Mittesekkuv</v>
      </c>
      <c r="AY131" s="295" t="str">
        <f>VLOOKUP(VLOOKUP($AU131,KOMBI!$A:$H,4,FALSE),data!$I$32:$J$36,2,FALSE)</f>
        <v>TE</v>
      </c>
      <c r="BA131" s="25">
        <f t="array" ref="BA131">INDEX(KOMBI!$A$1:$GI$145,ROW('KSH järjestus'!BA138),MATCH('KSH järjestus'!BA$3,KOMBI!$A$1:$GI$1,0))</f>
        <v>7.2372788787811331</v>
      </c>
      <c r="BB131" s="25">
        <f t="array" ref="BB131">INDEX(KOMBI!$A$1:$GI$145,ROW('KSH järjestus'!BB138),MATCH('KSH järjestus'!BB$3,KOMBI!$A$1:$GI$1,0))</f>
        <v>562.03497509982424</v>
      </c>
      <c r="BC131" s="25">
        <f t="array" aca="1" ref="BC131" ca="1">INDEX(KOMBI!$A$1:$GI$145,ROW('KSH järjestus'!BC138),MATCH('KSH järjestus'!BC$3,KOMBI!$A$1:$GI$1,0))</f>
        <v>63.898115232582143</v>
      </c>
      <c r="BD131" s="25">
        <f t="array" ref="BD131">INDEX(KOMBI!$A$1:$GI$145,ROW('KSH järjestus'!BD138),MATCH('KSH järjestus'!BD$3,KOMBI!$A$1:$GI$1,0))</f>
        <v>-178.19071988063212</v>
      </c>
      <c r="BE131" s="25">
        <f t="array" ref="BE131">INDEX(KOMBI!$A$1:$GI$145,ROW('KSH järjestus'!BE138),MATCH('KSH järjestus'!BE$3,KOMBI!$A$1:$GI$1,0))</f>
        <v>242.08883511321426</v>
      </c>
      <c r="BF131" s="25">
        <f t="array" aca="1" ref="BF131" ca="1">INDEX(KOMBI!$A$1:$GI$145,ROW('KSH järjestus'!BF138),MATCH('KSH järjestus'!BF$3,KOMBI!$A$1:$GI$1,0))</f>
        <v>0</v>
      </c>
      <c r="BG131" s="25">
        <f t="array" ref="BG131">INDEX(KOMBI!$A$1:$GI$145,ROW('KSH järjestus'!BG138),MATCH('KSH järjestus'!BG$3,KOMBI!$A$1:$GI$1,0))</f>
        <v>0.4541994971842776</v>
      </c>
      <c r="BH131" s="25">
        <f t="array" ref="BH131">INDEX(KOMBI!$A$1:$GI$145,ROW('KSH järjestus'!BH138),MATCH('KSH järjestus'!BH$3,KOMBI!$A$1:$GI$1,0))</f>
        <v>90</v>
      </c>
      <c r="BI131" s="25">
        <f t="array" ref="BI131">INDEX(KOMBI!$A$1:$GI$145,ROW('KSH järjestus'!BI138),MATCH('KSH järjestus'!BI$3,KOMBI!$A$1:$GI$1,0))</f>
        <v>0.72887234460741657</v>
      </c>
      <c r="BJ131" s="25">
        <f t="array" ref="BJ131">INDEX(KOMBI!$A$1:$GI$145,ROW('KSH järjestus'!BJ138),MATCH('KSH järjestus'!BJ$3,KOMBI!$A$1:$GI$1,0))</f>
        <v>6.6265060240963902E-2</v>
      </c>
      <c r="BK131" s="25">
        <f t="array" ref="BK131">INDEX(KOMBI!$A$1:$GI$145,ROW('KSH järjestus'!BK138),MATCH('KSH järjestus'!BK$3,KOMBI!$A$1:$GI$1,0))</f>
        <v>0.41762821979641068</v>
      </c>
      <c r="BL131" s="25">
        <f t="array" ref="BL131">INDEX(KOMBI!$A$1:$GI$145,ROW('KSH järjestus'!BL138),MATCH('KSH järjestus'!BL$3,KOMBI!$A$1:$GI$1,0))</f>
        <v>2.1986910233088176E-2</v>
      </c>
      <c r="BM131" s="25">
        <f t="array" ref="BM131">INDEX(KOMBI!$A$1:$GI$145,ROW('KSH järjestus'!BM138),MATCH('KSH järjestus'!BM$3,KOMBI!$A$1:$GI$1,0))</f>
        <v>3.0930993534386154E-3</v>
      </c>
      <c r="BN131" s="25">
        <f t="array" ref="BN131">INDEX(KOMBI!$A$1:$GI$145,ROW('KSH järjestus'!BN138),MATCH('KSH järjestus'!BN$3,KOMBI!$A$1:$GI$1,0))</f>
        <v>5.0699215443667234E-3</v>
      </c>
      <c r="BO131" s="25">
        <f t="array" ref="BO131">INDEX(KOMBI!$A$1:$GI$145,ROW('KSH järjestus'!BO138),MATCH('KSH järjestus'!BO$3,KOMBI!$A$1:$GI$1,0))</f>
        <v>1.7073000352503868E-2</v>
      </c>
      <c r="BP131" s="25">
        <f t="array" ref="BP131">INDEX(KOMBI!$A$1:$GI$145,ROW('KSH järjestus'!BP138),MATCH('KSH järjestus'!BP$3,KOMBI!$A$1:$GI$1,0))</f>
        <v>7.5743156794471025</v>
      </c>
      <c r="BQ131" s="25">
        <f t="array" ref="BQ131">INDEX(KOMBI!$A$1:$GI$145,ROW('KSH järjestus'!BQ138),MATCH('KSH järjestus'!BQ$3,KOMBI!$A$1:$GI$1,0))</f>
        <v>9.8539999999999992</v>
      </c>
      <c r="BR131" s="25">
        <f t="array" ref="BR131">INDEX(KOMBI!$A$1:$GI$145,ROW('KSH järjestus'!BR138),MATCH('KSH järjestus'!BR$3,KOMBI!$A$1:$GI$1,0))</f>
        <v>-4.857792645872467E-2</v>
      </c>
      <c r="BS131" s="25">
        <f t="array" ref="BS131">INDEX(KOMBI!$A$1:$GI$145,ROW('KSH järjestus'!BS138),MATCH('KSH järjestus'!BS$3,KOMBI!$A$1:$GI$1,0))</f>
        <v>-5.8457194766859698E-2</v>
      </c>
      <c r="BT131" s="25">
        <f t="array" ref="BT131">INDEX(KOMBI!$A$1:$GI$145,ROW('KSH järjestus'!BT138),MATCH('KSH järjestus'!BT$3,KOMBI!$A$1:$GI$1,0))</f>
        <v>-8.1723015267904764E-2</v>
      </c>
      <c r="BU131" s="25">
        <f t="array" ref="BU131">INDEX(KOMBI!$A$1:$GI$145,ROW('KSH järjestus'!BU138),MATCH('KSH järjestus'!BU$3,KOMBI!$A$1:$GI$1,0))</f>
        <v>7.1502826922990277</v>
      </c>
      <c r="BV131" s="25">
        <f t="array" ref="BV131">INDEX(KOMBI!$A$1:$GI$145,ROW('KSH järjestus'!BV138),MATCH('KSH järjestus'!BV$3,KOMBI!$A$1:$GI$1,0))</f>
        <v>4.9050000000000002</v>
      </c>
      <c r="BW131" s="25">
        <f t="array" ref="BW131">INDEX(KOMBI!$A$1:$GI$145,ROW('KSH järjestus'!BW138),MATCH('KSH järjestus'!BW$3,KOMBI!$A$1:$GI$1,0))</f>
        <v>1.4153849906373199</v>
      </c>
      <c r="BX131" s="25">
        <f t="array" ref="BX131">INDEX(KOMBI!$A$1:$GI$145,ROW('KSH järjestus'!BX138),MATCH('KSH järjestus'!BX$3,KOMBI!$A$1:$GI$1,0))</f>
        <v>16.465861099430587</v>
      </c>
      <c r="BY131" s="25">
        <f t="array" ref="BY131">INDEX(KOMBI!$A$1:$GI$145,ROW('KSH järjestus'!BY138),MATCH('KSH järjestus'!BY$3,KOMBI!$A$1:$GI$1,0))</f>
        <v>11.219077976340797</v>
      </c>
      <c r="BZ131" s="25">
        <f t="array" ref="BZ131">INDEX(KOMBI!$A$1:$GI$145,ROW('KSH järjestus'!BZ138),MATCH('KSH järjestus'!BZ$3,KOMBI!$A$1:$GI$1,0))</f>
        <v>68.400000000000006</v>
      </c>
      <c r="CA131" s="25">
        <f t="array" ref="CA131">INDEX(KOMBI!$A$1:$GI$145,ROW('KSH järjestus'!CA138),MATCH('KSH järjestus'!CA$3,KOMBI!$A$1:$GI$1,0))</f>
        <v>12.739000000000001</v>
      </c>
      <c r="CB131" s="25">
        <f t="array" ref="CB131">INDEX(KOMBI!$A$1:$GI$145,ROW('KSH järjestus'!CB138),MATCH('KSH järjestus'!CB$3,KOMBI!$A$1:$GI$1,0))</f>
        <v>57.352777777777774</v>
      </c>
      <c r="CC131" s="25">
        <f t="array" ref="CC131">INDEX(KOMBI!$A$1:$GI$145,ROW('KSH järjestus'!CC138),MATCH('KSH järjestus'!CC$3,KOMBI!$A$1:$GI$1,0))</f>
        <v>4.6469240000000003</v>
      </c>
      <c r="CD131" s="25">
        <f t="array" ref="CD131">INDEX(KOMBI!$A$1:$GI$145,ROW('KSH järjestus'!CD138),MATCH('KSH järjestus'!CD$3,KOMBI!$A$1:$GI$1,0))</f>
        <v>285</v>
      </c>
      <c r="CE131" s="25">
        <f t="array" ref="CE131">INDEX(KOMBI!$A$1:$GI$145,ROW('KSH järjestus'!CE138),MATCH('KSH järjestus'!CE$3,KOMBI!$A$1:$GI$1,0))</f>
        <v>2.7810000000000001</v>
      </c>
      <c r="CF131" s="25">
        <f t="array" ref="CF131">INDEX(KOMBI!$A$1:$GI$145,ROW('KSH järjestus'!CF138),MATCH('KSH järjestus'!CF$3,KOMBI!$A$1:$GI$1,0))</f>
        <v>43.272900516795865</v>
      </c>
      <c r="CG131" s="25">
        <f t="array" ref="CG131">INDEX(KOMBI!$A$1:$GI$145,ROW('KSH järjestus'!CG138),MATCH('KSH järjestus'!CG$3,KOMBI!$A$1:$GI$1,0))</f>
        <v>9.3307678114868606E-2</v>
      </c>
      <c r="CH131" s="25">
        <f t="array" ref="CH131">INDEX(KOMBI!$A$1:$GI$145,ROW('KSH järjestus'!CH138),MATCH('KSH järjestus'!CH$3,KOMBI!$A$1:$GI$1,0))</f>
        <v>0.51659368872597156</v>
      </c>
      <c r="CI131" s="25">
        <f t="array" ref="CI131">INDEX(KOMBI!$A$1:$GI$145,ROW('KSH järjestus'!CI138),MATCH('KSH järjestus'!CI$3,KOMBI!$A$1:$GI$1,0))</f>
        <v>6.08</v>
      </c>
      <c r="CJ131" s="25">
        <f t="array" ref="CJ131">INDEX(KOMBI!$A$1:$GI$145,ROW('KSH järjestus'!CJ138),MATCH('KSH järjestus'!CJ$3,KOMBI!$A$1:$GI$1,0))</f>
        <v>2.7478849906373197</v>
      </c>
      <c r="CK131" s="25">
        <f t="array" ref="CK131">INDEX(KOMBI!$A$1:$GI$145,ROW('KSH järjestus'!CK138),MATCH('KSH järjestus'!CK$3,KOMBI!$A$1:$GI$1,0))</f>
        <v>0.19900000000000001</v>
      </c>
      <c r="CL131" s="25">
        <f t="array" ref="CL131">INDEX(KOMBI!$A$1:$GI$145,ROW('KSH järjestus'!CL138),MATCH('KSH järjestus'!CL$3,KOMBI!$A$1:$GI$1,0))</f>
        <v>0.72299999999999998</v>
      </c>
    </row>
    <row r="132" spans="3:90" x14ac:dyDescent="0.2">
      <c r="C132" s="184">
        <v>129</v>
      </c>
      <c r="G132" s="25">
        <f>RANK(INDEX(KOMBI!$A$11:$GI$145,MATCH('KSH järjestus'!$C132,KOMBI!$A$11:$A$145,0),MATCH('KSH järjestus'!G$3,KOMBI!$A$1:$GI$1,0)),BD$4:BD$138,G$2)</f>
        <v>1</v>
      </c>
      <c r="H132" s="25">
        <f>RANK(INDEX(KOMBI!$A$11:$GI$145,MATCH('KSH järjestus'!$C132,KOMBI!$A$11:$A$145,0),MATCH('KSH järjestus'!H$3,KOMBI!$A$1:$GI$1,0)),BE$4:BE$138,H$2)</f>
        <v>10</v>
      </c>
      <c r="J132" s="25">
        <f>RANK(INDEX(KOMBI!$A$11:$GI$145,MATCH('KSH järjestus'!$C132,KOMBI!$A$11:$A$145,0),MATCH('KSH järjestus'!J$3,KOMBI!$A$1:$GI$1,0)),BG$4:BG$138,J$2)</f>
        <v>28</v>
      </c>
      <c r="M132" s="25">
        <f>RANK(INDEX(KOMBI!$A$11:$GI$145,MATCH('KSH järjestus'!$C132,KOMBI!$A$11:$A$145,0),MATCH('KSH järjestus'!M$3,KOMBI!$A$1:$GI$1,0)),BJ$4:BJ$138,M$2)</f>
        <v>28</v>
      </c>
      <c r="N132" s="25">
        <f>RANK(INDEX(KOMBI!$A$11:$GI$145,MATCH('KSH järjestus'!$C132,KOMBI!$A$11:$A$145,0),MATCH('KSH järjestus'!N$3,KOMBI!$A$1:$GI$1,0)),BK$4:BK$138,N$2)</f>
        <v>28</v>
      </c>
      <c r="O132" s="25">
        <f>RANK(INDEX(KOMBI!$A$11:$GI$145,MATCH('KSH järjestus'!$C132,KOMBI!$A$11:$A$145,0),MATCH('KSH järjestus'!O$3,KOMBI!$A$1:$GI$1,0)),BL$4:BL$138,O$2)</f>
        <v>20</v>
      </c>
      <c r="P132" s="25">
        <f>RANK(INDEX(KOMBI!$A$11:$GI$145,MATCH('KSH järjestus'!$C132,KOMBI!$A$11:$A$145,0),MATCH('KSH järjestus'!P$3,KOMBI!$A$1:$GI$1,0)),BM$4:BM$138,P$2)</f>
        <v>56</v>
      </c>
      <c r="Q132" s="25">
        <f>RANK(INDEX(KOMBI!$A$11:$GI$145,MATCH('KSH järjestus'!$C132,KOMBI!$A$11:$A$145,0),MATCH('KSH järjestus'!Q$3,KOMBI!$A$1:$GI$1,0)),BN$4:BN$138,Q$2)</f>
        <v>41</v>
      </c>
      <c r="R132" s="25">
        <f>RANK(INDEX(KOMBI!$A$11:$GI$145,MATCH('KSH järjestus'!$C132,KOMBI!$A$11:$A$145,0),MATCH('KSH järjestus'!R$3,KOMBI!$A$1:$GI$1,0)),BO$4:BO$138,R$2)</f>
        <v>7</v>
      </c>
      <c r="T132" s="25">
        <f>RANK(INDEX(KOMBI!$A$11:$GI$145,MATCH('KSH järjestus'!$C132,KOMBI!$A$11:$A$145,0),MATCH('KSH järjestus'!T$3,KOMBI!$A$1:$GI$1,0)),BQ$4:BQ$138,T$2)</f>
        <v>28</v>
      </c>
      <c r="U132" s="25">
        <f>RANK(INDEX(KOMBI!$A$11:$GI$145,MATCH('KSH järjestus'!$C132,KOMBI!$A$11:$A$145,0),MATCH('KSH järjestus'!U$3,KOMBI!$A$1:$GI$1,0)),BR$4:BR$138,U$2)</f>
        <v>22</v>
      </c>
      <c r="AA132" s="25">
        <f>RANK(INDEX(KOMBI!$A$11:$GI$145,MATCH('KSH järjestus'!$C132,KOMBI!$A$11:$A$145,0),MATCH('KSH järjestus'!AA$3,KOMBI!$A$1:$GI$1,0)),BX$4:BX$138,AA$2)</f>
        <v>10</v>
      </c>
      <c r="AB132" s="25">
        <f>RANK(INDEX(KOMBI!$A$11:$GI$145,MATCH('KSH järjestus'!$C132,KOMBI!$A$11:$A$145,0),MATCH('KSH järjestus'!AB$3,KOMBI!$A$1:$GI$1,0)),BY$4:BY$138,AB$2)</f>
        <v>28</v>
      </c>
      <c r="AC132" s="25">
        <f>RANK(INDEX(KOMBI!$A$11:$GI$145,MATCH('KSH järjestus'!$C132,KOMBI!$A$11:$A$145,0),MATCH('KSH järjestus'!AC$3,KOMBI!$A$1:$GI$1,0)),BZ$4:BZ$138,AC$2)</f>
        <v>28</v>
      </c>
      <c r="AD132" s="25">
        <f>RANK(INDEX(KOMBI!$A$11:$GI$145,MATCH('KSH järjestus'!$C132,KOMBI!$A$11:$A$145,0),MATCH('KSH järjestus'!AD$3,KOMBI!$A$1:$GI$1,0)),CA$4:CA$138,AD$2)</f>
        <v>42</v>
      </c>
      <c r="AE132" s="25">
        <f>RANK(INDEX(KOMBI!$A$11:$GI$145,MATCH('KSH järjestus'!$C132,KOMBI!$A$11:$A$145,0),MATCH('KSH järjestus'!AE$3,KOMBI!$A$1:$GI$1,0)),CB$4:CB$138,AE$2)</f>
        <v>39</v>
      </c>
      <c r="AG132" s="25">
        <f>RANK(INDEX(KOMBI!$A$11:$GI$145,MATCH('KSH järjestus'!$C132,KOMBI!$A$11:$A$145,0),MATCH('KSH järjestus'!AG$3,KOMBI!$A$1:$GI$1,0)),CD$4:CD$138,AG$2)</f>
        <v>4</v>
      </c>
      <c r="AH132" s="25">
        <f>RANK(INDEX(KOMBI!$A$11:$GI$145,MATCH('KSH järjestus'!$C132,KOMBI!$A$11:$A$145,0),MATCH('KSH järjestus'!AH$3,KOMBI!$A$1:$GI$1,0)),CE$4:CE$138,AH$2)</f>
        <v>16</v>
      </c>
      <c r="AI132" s="25">
        <f>RANK(INDEX(KOMBI!$A$11:$GI$145,MATCH('KSH järjestus'!$C132,KOMBI!$A$11:$A$145,0),MATCH('KSH järjestus'!AI$3,KOMBI!$A$1:$GI$1,0)),CF$4:CF$138,AI$2)</f>
        <v>13</v>
      </c>
      <c r="AJ132" s="25">
        <f>RANK(INDEX(KOMBI!$A$11:$GI$145,MATCH('KSH järjestus'!$C132,KOMBI!$A$11:$A$145,0),MATCH('KSH järjestus'!AJ$3,KOMBI!$A$1:$GI$1,0)),CG$4:CG$138,AJ$2)</f>
        <v>1</v>
      </c>
      <c r="AK132" s="25">
        <f>RANK(INDEX(KOMBI!$A$11:$GI$145,MATCH('KSH järjestus'!$C132,KOMBI!$A$11:$A$145,0),MATCH('KSH järjestus'!AK$3,KOMBI!$A$1:$GI$1,0)),CH$4:CH$138,AK$2)</f>
        <v>10</v>
      </c>
      <c r="AN132" s="25">
        <f>RANK(INDEX(KOMBI!$A$11:$GI$145,MATCH('KSH järjestus'!$C132,KOMBI!$A$11:$A$145,0),MATCH('KSH järjestus'!AN$3,KOMBI!$A$1:$GI$1,0)),CK$4:CK$138,AN$2)</f>
        <v>1</v>
      </c>
      <c r="AO132" s="25">
        <f>RANK(INDEX(KOMBI!$A$11:$GI$145,MATCH('KSH järjestus'!$C132,KOMBI!$A$11:$A$145,0),MATCH('KSH järjestus'!AO$3,KOMBI!$A$1:$GI$1,0)),CL$4:CL$138,AO$2)</f>
        <v>1</v>
      </c>
      <c r="AS132" s="297">
        <f t="shared" si="7"/>
        <v>462</v>
      </c>
      <c r="AT132" s="25">
        <f t="shared" ref="AT132:AT138" si="8">SMALL($AS$4:$AS$138,ROW(129:129))</f>
        <v>2295</v>
      </c>
      <c r="AU132" s="25">
        <f t="shared" ref="AU132:AU138" si="9">INDEX($C$2:$AS$138,MATCH($AT132,$AS$2:$AS$138,0),1)</f>
        <v>13</v>
      </c>
      <c r="AV132" s="295" t="str">
        <f>VLOOKUP(VLOOKUP($AU132,KOMBI!$A:$H,3,FALSE),data!$I$27:$J$29,2,FALSE)</f>
        <v>Mittesekkuv</v>
      </c>
      <c r="AW132" s="295" t="str">
        <f>VLOOKUP(VLOOKUP($AU132,KOMBI!$A:$H,2,FALSE),data!$I$21:$J$23,2,FALSE)</f>
        <v>Mittesekkuv</v>
      </c>
      <c r="AX132" s="295" t="str">
        <f>VLOOKUP(VLOOKUP($AU132,KOMBI!$A:$H,5,FALSE),data!$I$39:$J$41,2,FALSE)</f>
        <v>Mittesekkuv</v>
      </c>
      <c r="AY132" s="295" t="str">
        <f>VLOOKUP(VLOOKUP($AU132,KOMBI!$A:$H,4,FALSE),data!$I$32:$J$36,2,FALSE)</f>
        <v>PK &amp; UG</v>
      </c>
      <c r="BA132" s="25">
        <f t="array" ref="BA132">INDEX(KOMBI!$A$1:$GI$145,ROW('KSH järjestus'!BA139),MATCH('KSH järjestus'!BA$3,KOMBI!$A$1:$GI$1,0))</f>
        <v>8.14237860102266</v>
      </c>
      <c r="BB132" s="25">
        <f t="array" ref="BB132">INDEX(KOMBI!$A$1:$GI$145,ROW('KSH järjestus'!BB139),MATCH('KSH järjestus'!BB$3,KOMBI!$A$1:$GI$1,0))</f>
        <v>678.64576611730354</v>
      </c>
      <c r="BC132" s="25">
        <f t="array" aca="1" ref="BC132" ca="1">INDEX(KOMBI!$A$1:$GI$145,ROW('KSH järjestus'!BC139),MATCH('KSH järjestus'!BC$3,KOMBI!$A$1:$GI$1,0))</f>
        <v>80.452529591667059</v>
      </c>
      <c r="BD132" s="25">
        <f t="array" ref="BD132">INDEX(KOMBI!$A$1:$GI$145,ROW('KSH järjestus'!BD139),MATCH('KSH järjestus'!BD$3,KOMBI!$A$1:$GI$1,0))</f>
        <v>-197.29831369909104</v>
      </c>
      <c r="BE132" s="25">
        <f t="array" ref="BE132">INDEX(KOMBI!$A$1:$GI$145,ROW('KSH järjestus'!BE139),MATCH('KSH järjestus'!BE$3,KOMBI!$A$1:$GI$1,0))</f>
        <v>277.7508432907581</v>
      </c>
      <c r="BF132" s="25">
        <f t="array" aca="1" ref="BF132" ca="1">INDEX(KOMBI!$A$1:$GI$145,ROW('KSH järjestus'!BF139),MATCH('KSH järjestus'!BF$3,KOMBI!$A$1:$GI$1,0))</f>
        <v>0</v>
      </c>
      <c r="BG132" s="25">
        <f t="array" ref="BG132">INDEX(KOMBI!$A$1:$GI$145,ROW('KSH järjestus'!BG139),MATCH('KSH järjestus'!BG$3,KOMBI!$A$1:$GI$1,0))</f>
        <v>0.4541994971842776</v>
      </c>
      <c r="BH132" s="25">
        <f t="array" ref="BH132">INDEX(KOMBI!$A$1:$GI$145,ROW('KSH järjestus'!BH139),MATCH('KSH järjestus'!BH$3,KOMBI!$A$1:$GI$1,0))</f>
        <v>90</v>
      </c>
      <c r="BI132" s="25">
        <f t="array" ref="BI132">INDEX(KOMBI!$A$1:$GI$145,ROW('KSH järjestus'!BI139),MATCH('KSH järjestus'!BI$3,KOMBI!$A$1:$GI$1,0))</f>
        <v>0.72887234460741646</v>
      </c>
      <c r="BJ132" s="25">
        <f t="array" ref="BJ132">INDEX(KOMBI!$A$1:$GI$145,ROW('KSH järjestus'!BJ139),MATCH('KSH järjestus'!BJ$3,KOMBI!$A$1:$GI$1,0))</f>
        <v>6.6265060240963902E-2</v>
      </c>
      <c r="BK132" s="25">
        <f t="array" ref="BK132">INDEX(KOMBI!$A$1:$GI$145,ROW('KSH järjestus'!BK139),MATCH('KSH järjestus'!BK$3,KOMBI!$A$1:$GI$1,0))</f>
        <v>0.41762821979641068</v>
      </c>
      <c r="BL132" s="25">
        <f t="array" ref="BL132">INDEX(KOMBI!$A$1:$GI$145,ROW('KSH järjestus'!BL139),MATCH('KSH järjestus'!BL$3,KOMBI!$A$1:$GI$1,0))</f>
        <v>2.6637965611334694E-2</v>
      </c>
      <c r="BM132" s="25">
        <f t="array" ref="BM132">INDEX(KOMBI!$A$1:$GI$145,ROW('KSH järjestus'!BM139),MATCH('KSH järjestus'!BM$3,KOMBI!$A$1:$GI$1,0))</f>
        <v>3.1058650804800022E-3</v>
      </c>
      <c r="BN132" s="25">
        <f t="array" ref="BN132">INDEX(KOMBI!$A$1:$GI$145,ROW('KSH järjestus'!BN139),MATCH('KSH järjestus'!BN$3,KOMBI!$A$1:$GI$1,0))</f>
        <v>6.4007113804134541E-3</v>
      </c>
      <c r="BO132" s="25">
        <f t="array" ref="BO132">INDEX(KOMBI!$A$1:$GI$145,ROW('KSH järjestus'!BO139),MATCH('KSH järjestus'!BO$3,KOMBI!$A$1:$GI$1,0))</f>
        <v>2.0466863800668721E-2</v>
      </c>
      <c r="BP132" s="25">
        <f t="array" ref="BP132">INDEX(KOMBI!$A$1:$GI$145,ROW('KSH järjestus'!BP139),MATCH('KSH järjestus'!BP$3,KOMBI!$A$1:$GI$1,0))</f>
        <v>7.5743156794471025</v>
      </c>
      <c r="BQ132" s="25">
        <f t="array" ref="BQ132">INDEX(KOMBI!$A$1:$GI$145,ROW('KSH järjestus'!BQ139),MATCH('KSH järjestus'!BQ$3,KOMBI!$A$1:$GI$1,0))</f>
        <v>10.077999999999999</v>
      </c>
      <c r="BR132" s="25">
        <f t="array" ref="BR132">INDEX(KOMBI!$A$1:$GI$145,ROW('KSH järjestus'!BR139),MATCH('KSH järjestus'!BR$3,KOMBI!$A$1:$GI$1,0))</f>
        <v>-4.4598439328278769E-2</v>
      </c>
      <c r="BS132" s="25">
        <f t="array" ref="BS132">INDEX(KOMBI!$A$1:$GI$145,ROW('KSH järjestus'!BS139),MATCH('KSH järjestus'!BS$3,KOMBI!$A$1:$GI$1,0))</f>
        <v>-5.7198034850571254E-2</v>
      </c>
      <c r="BT132" s="25">
        <f t="array" ref="BT132">INDEX(KOMBI!$A$1:$GI$145,ROW('KSH järjestus'!BT139),MATCH('KSH järjestus'!BT$3,KOMBI!$A$1:$GI$1,0))</f>
        <v>-8.0262296294678515E-2</v>
      </c>
      <c r="BU132" s="25">
        <f t="array" ref="BU132">INDEX(KOMBI!$A$1:$GI$145,ROW('KSH järjestus'!BU139),MATCH('KSH järjestus'!BU$3,KOMBI!$A$1:$GI$1,0))</f>
        <v>7.1502826922990277</v>
      </c>
      <c r="BV132" s="25">
        <f t="array" ref="BV132">INDEX(KOMBI!$A$1:$GI$145,ROW('KSH järjestus'!BV139),MATCH('KSH järjestus'!BV$3,KOMBI!$A$1:$GI$1,0))</f>
        <v>4.9050000000000002</v>
      </c>
      <c r="BW132" s="25">
        <f t="array" ref="BW132">INDEX(KOMBI!$A$1:$GI$145,ROW('KSH järjestus'!BW139),MATCH('KSH järjestus'!BW$3,KOMBI!$A$1:$GI$1,0))</f>
        <v>1.62408499063732</v>
      </c>
      <c r="BX132" s="25">
        <f t="array" ref="BX132">INDEX(KOMBI!$A$1:$GI$145,ROW('KSH järjestus'!BX139),MATCH('KSH järjestus'!BX$3,KOMBI!$A$1:$GI$1,0))</f>
        <v>16.465861099430587</v>
      </c>
      <c r="BY132" s="25">
        <f t="array" ref="BY132">INDEX(KOMBI!$A$1:$GI$145,ROW('KSH järjestus'!BY139),MATCH('KSH järjestus'!BY$3,KOMBI!$A$1:$GI$1,0))</f>
        <v>11.219077976340797</v>
      </c>
      <c r="BZ132" s="25">
        <f t="array" ref="BZ132">INDEX(KOMBI!$A$1:$GI$145,ROW('KSH järjestus'!BZ139),MATCH('KSH järjestus'!BZ$3,KOMBI!$A$1:$GI$1,0))</f>
        <v>70</v>
      </c>
      <c r="CA132" s="25">
        <f t="array" ref="CA132">INDEX(KOMBI!$A$1:$GI$145,ROW('KSH järjestus'!CA139),MATCH('KSH järjestus'!CA$3,KOMBI!$A$1:$GI$1,0))</f>
        <v>12.991</v>
      </c>
      <c r="CB132" s="25">
        <f t="array" ref="CB132">INDEX(KOMBI!$A$1:$GI$145,ROW('KSH järjestus'!CB139),MATCH('KSH järjestus'!CB$3,KOMBI!$A$1:$GI$1,0))</f>
        <v>58.260833333333331</v>
      </c>
      <c r="CC132" s="25">
        <f t="array" ref="CC132">INDEX(KOMBI!$A$1:$GI$145,ROW('KSH järjestus'!CC139),MATCH('KSH järjestus'!CC$3,KOMBI!$A$1:$GI$1,0))</f>
        <v>4.7402689999999996</v>
      </c>
      <c r="CD132" s="25">
        <f t="array" ref="CD132">INDEX(KOMBI!$A$1:$GI$145,ROW('KSH järjestus'!CD139),MATCH('KSH järjestus'!CD$3,KOMBI!$A$1:$GI$1,0))</f>
        <v>285</v>
      </c>
      <c r="CE132" s="25">
        <f t="array" ref="CE132">INDEX(KOMBI!$A$1:$GI$145,ROW('KSH järjestus'!CE139),MATCH('KSH järjestus'!CE$3,KOMBI!$A$1:$GI$1,0))</f>
        <v>2.7810000000000001</v>
      </c>
      <c r="CF132" s="25">
        <f t="array" ref="CF132">INDEX(KOMBI!$A$1:$GI$145,ROW('KSH järjestus'!CF139),MATCH('KSH järjestus'!CF$3,KOMBI!$A$1:$GI$1,0))</f>
        <v>43.272900516795865</v>
      </c>
      <c r="CG132" s="25">
        <f t="array" ref="CG132">INDEX(KOMBI!$A$1:$GI$145,ROW('KSH järjestus'!CG139),MATCH('KSH järjestus'!CG$3,KOMBI!$A$1:$GI$1,0))</f>
        <v>9.3307678114868606E-2</v>
      </c>
      <c r="CH132" s="25">
        <f t="array" ref="CH132">INDEX(KOMBI!$A$1:$GI$145,ROW('KSH järjestus'!CH139),MATCH('KSH järjestus'!CH$3,KOMBI!$A$1:$GI$1,0))</f>
        <v>0.51659368872597156</v>
      </c>
      <c r="CI132" s="25">
        <f t="array" ref="CI132">INDEX(KOMBI!$A$1:$GI$145,ROW('KSH järjestus'!CI139),MATCH('KSH järjestus'!CI$3,KOMBI!$A$1:$GI$1,0))</f>
        <v>6.08</v>
      </c>
      <c r="CJ132" s="25">
        <f t="array" ref="CJ132">INDEX(KOMBI!$A$1:$GI$145,ROW('KSH järjestus'!CJ139),MATCH('KSH järjestus'!CJ$3,KOMBI!$A$1:$GI$1,0))</f>
        <v>2.7478849906373197</v>
      </c>
      <c r="CK132" s="25">
        <f t="array" ref="CK132">INDEX(KOMBI!$A$1:$GI$145,ROW('KSH järjestus'!CK139),MATCH('KSH järjestus'!CK$3,KOMBI!$A$1:$GI$1,0))</f>
        <v>0.19900000000000001</v>
      </c>
      <c r="CL132" s="25">
        <f t="array" ref="CL132">INDEX(KOMBI!$A$1:$GI$145,ROW('KSH järjestus'!CL139),MATCH('KSH järjestus'!CL$3,KOMBI!$A$1:$GI$1,0))</f>
        <v>0.72299999999999998</v>
      </c>
    </row>
    <row r="133" spans="3:90" x14ac:dyDescent="0.2">
      <c r="C133" s="184">
        <v>130</v>
      </c>
      <c r="G133" s="25">
        <f>RANK(INDEX(KOMBI!$A$11:$GI$145,MATCH('KSH järjestus'!$C133,KOMBI!$A$11:$A$145,0),MATCH('KSH järjestus'!G$3,KOMBI!$A$1:$GI$1,0)),BD$4:BD$138,G$2)</f>
        <v>16</v>
      </c>
      <c r="H133" s="25">
        <f>RANK(INDEX(KOMBI!$A$11:$GI$145,MATCH('KSH järjestus'!$C133,KOMBI!$A$11:$A$145,0),MATCH('KSH järjestus'!H$3,KOMBI!$A$1:$GI$1,0)),BE$4:BE$138,H$2)</f>
        <v>51</v>
      </c>
      <c r="J133" s="25">
        <f>RANK(INDEX(KOMBI!$A$11:$GI$145,MATCH('KSH järjestus'!$C133,KOMBI!$A$11:$A$145,0),MATCH('KSH järjestus'!J$3,KOMBI!$A$1:$GI$1,0)),BG$4:BG$138,J$2)</f>
        <v>119</v>
      </c>
      <c r="M133" s="25">
        <f>RANK(INDEX(KOMBI!$A$11:$GI$145,MATCH('KSH järjestus'!$C133,KOMBI!$A$11:$A$145,0),MATCH('KSH järjestus'!M$3,KOMBI!$A$1:$GI$1,0)),BJ$4:BJ$138,M$2)</f>
        <v>109</v>
      </c>
      <c r="N133" s="25">
        <f>RANK(INDEX(KOMBI!$A$11:$GI$145,MATCH('KSH järjestus'!$C133,KOMBI!$A$11:$A$145,0),MATCH('KSH järjestus'!N$3,KOMBI!$A$1:$GI$1,0)),BK$4:BK$138,N$2)</f>
        <v>1</v>
      </c>
      <c r="O133" s="25">
        <f>RANK(INDEX(KOMBI!$A$11:$GI$145,MATCH('KSH järjestus'!$C133,KOMBI!$A$11:$A$145,0),MATCH('KSH järjestus'!O$3,KOMBI!$A$1:$GI$1,0)),BL$4:BL$138,O$2)</f>
        <v>87</v>
      </c>
      <c r="P133" s="25">
        <f>RANK(INDEX(KOMBI!$A$11:$GI$145,MATCH('KSH järjestus'!$C133,KOMBI!$A$11:$A$145,0),MATCH('KSH järjestus'!P$3,KOMBI!$A$1:$GI$1,0)),BM$4:BM$138,P$2)</f>
        <v>29</v>
      </c>
      <c r="Q133" s="25">
        <f>RANK(INDEX(KOMBI!$A$11:$GI$145,MATCH('KSH järjestus'!$C133,KOMBI!$A$11:$A$145,0),MATCH('KSH järjestus'!Q$3,KOMBI!$A$1:$GI$1,0)),BN$4:BN$138,Q$2)</f>
        <v>117</v>
      </c>
      <c r="R133" s="25">
        <f>RANK(INDEX(KOMBI!$A$11:$GI$145,MATCH('KSH järjestus'!$C133,KOMBI!$A$11:$A$145,0),MATCH('KSH järjestus'!R$3,KOMBI!$A$1:$GI$1,0)),BO$4:BO$138,R$2)</f>
        <v>60</v>
      </c>
      <c r="T133" s="25">
        <f>RANK(INDEX(KOMBI!$A$11:$GI$145,MATCH('KSH järjestus'!$C133,KOMBI!$A$11:$A$145,0),MATCH('KSH järjestus'!T$3,KOMBI!$A$1:$GI$1,0)),BQ$4:BQ$138,T$2)</f>
        <v>1</v>
      </c>
      <c r="U133" s="25">
        <f>RANK(INDEX(KOMBI!$A$11:$GI$145,MATCH('KSH järjestus'!$C133,KOMBI!$A$11:$A$145,0),MATCH('KSH järjestus'!U$3,KOMBI!$A$1:$GI$1,0)),BR$4:BR$138,U$2)</f>
        <v>1</v>
      </c>
      <c r="AA133" s="25">
        <f>RANK(INDEX(KOMBI!$A$11:$GI$145,MATCH('KSH järjestus'!$C133,KOMBI!$A$11:$A$145,0),MATCH('KSH järjestus'!AA$3,KOMBI!$A$1:$GI$1,0)),BX$4:BX$138,AA$2)</f>
        <v>1</v>
      </c>
      <c r="AB133" s="25">
        <f>RANK(INDEX(KOMBI!$A$11:$GI$145,MATCH('KSH järjestus'!$C133,KOMBI!$A$11:$A$145,0),MATCH('KSH järjestus'!AB$3,KOMBI!$A$1:$GI$1,0)),BY$4:BY$138,AB$2)</f>
        <v>1</v>
      </c>
      <c r="AC133" s="25">
        <f>RANK(INDEX(KOMBI!$A$11:$GI$145,MATCH('KSH järjestus'!$C133,KOMBI!$A$11:$A$145,0),MATCH('KSH järjestus'!AC$3,KOMBI!$A$1:$GI$1,0)),BZ$4:BZ$138,AC$2)</f>
        <v>58</v>
      </c>
      <c r="AD133" s="25">
        <f>RANK(INDEX(KOMBI!$A$11:$GI$145,MATCH('KSH järjestus'!$C133,KOMBI!$A$11:$A$145,0),MATCH('KSH järjestus'!AD$3,KOMBI!$A$1:$GI$1,0)),CA$4:CA$138,AD$2)</f>
        <v>1</v>
      </c>
      <c r="AE133" s="25">
        <f>RANK(INDEX(KOMBI!$A$11:$GI$145,MATCH('KSH järjestus'!$C133,KOMBI!$A$11:$A$145,0),MATCH('KSH järjestus'!AE$3,KOMBI!$A$1:$GI$1,0)),CB$4:CB$138,AE$2)</f>
        <v>1</v>
      </c>
      <c r="AG133" s="25">
        <f>RANK(INDEX(KOMBI!$A$11:$GI$145,MATCH('KSH järjestus'!$C133,KOMBI!$A$11:$A$145,0),MATCH('KSH järjestus'!AG$3,KOMBI!$A$1:$GI$1,0)),CD$4:CD$138,AG$2)</f>
        <v>13</v>
      </c>
      <c r="AH133" s="25">
        <f>RANK(INDEX(KOMBI!$A$11:$GI$145,MATCH('KSH järjestus'!$C133,KOMBI!$A$11:$A$145,0),MATCH('KSH järjestus'!AH$3,KOMBI!$A$1:$GI$1,0)),CE$4:CE$138,AH$2)</f>
        <v>16</v>
      </c>
      <c r="AI133" s="25">
        <f>RANK(INDEX(KOMBI!$A$11:$GI$145,MATCH('KSH järjestus'!$C133,KOMBI!$A$11:$A$145,0),MATCH('KSH järjestus'!AI$3,KOMBI!$A$1:$GI$1,0)),CF$4:CF$138,AI$2)</f>
        <v>1</v>
      </c>
      <c r="AJ133" s="25">
        <f>RANK(INDEX(KOMBI!$A$11:$GI$145,MATCH('KSH järjestus'!$C133,KOMBI!$A$11:$A$145,0),MATCH('KSH järjestus'!AJ$3,KOMBI!$A$1:$GI$1,0)),CG$4:CG$138,AJ$2)</f>
        <v>28</v>
      </c>
      <c r="AK133" s="25">
        <f>RANK(INDEX(KOMBI!$A$11:$GI$145,MATCH('KSH järjestus'!$C133,KOMBI!$A$11:$A$145,0),MATCH('KSH järjestus'!AK$3,KOMBI!$A$1:$GI$1,0)),CH$4:CH$138,AK$2)</f>
        <v>1</v>
      </c>
      <c r="AN133" s="25">
        <f>RANK(INDEX(KOMBI!$A$11:$GI$145,MATCH('KSH järjestus'!$C133,KOMBI!$A$11:$A$145,0),MATCH('KSH järjestus'!AN$3,KOMBI!$A$1:$GI$1,0)),CK$4:CK$138,AN$2)</f>
        <v>1</v>
      </c>
      <c r="AO133" s="25">
        <f>RANK(INDEX(KOMBI!$A$11:$GI$145,MATCH('KSH järjestus'!$C133,KOMBI!$A$11:$A$145,0),MATCH('KSH järjestus'!AO$3,KOMBI!$A$1:$GI$1,0)),CL$4:CL$138,AO$2)</f>
        <v>1</v>
      </c>
      <c r="AS133" s="297">
        <f t="shared" ref="AS133:AS138" si="10">SUM(D133:AO133)</f>
        <v>714</v>
      </c>
      <c r="AT133" s="25">
        <f t="shared" si="8"/>
        <v>2349</v>
      </c>
      <c r="AU133" s="25">
        <f t="shared" si="9"/>
        <v>3</v>
      </c>
      <c r="AV133" s="295" t="str">
        <f>VLOOKUP(VLOOKUP($AU133,KOMBI!$A:$H,3,FALSE),data!$I$27:$J$29,2,FALSE)</f>
        <v>Mittesekkuv</v>
      </c>
      <c r="AW133" s="295" t="str">
        <f>VLOOKUP(VLOOKUP($AU133,KOMBI!$A:$H,2,FALSE),data!$I$21:$J$23,2,FALSE)</f>
        <v>Mittesekkuv</v>
      </c>
      <c r="AX133" s="295" t="str">
        <f>VLOOKUP(VLOOKUP($AU133,KOMBI!$A:$H,5,FALSE),data!$I$39:$J$41,2,FALSE)</f>
        <v>Sekkuv</v>
      </c>
      <c r="AY133" s="295" t="str">
        <f>VLOOKUP(VLOOKUP($AU133,KOMBI!$A:$H,4,FALSE),data!$I$32:$J$36,2,FALSE)</f>
        <v>LIB</v>
      </c>
      <c r="BA133" s="25">
        <f t="array" ref="BA133">INDEX(KOMBI!$A$1:$GI$145,ROW('KSH järjestus'!BA140),MATCH('KSH järjestus'!BA$3,KOMBI!$A$1:$GI$1,0))</f>
        <v>10.21606847907174</v>
      </c>
      <c r="BB133" s="25">
        <f t="array" ref="BB133">INDEX(KOMBI!$A$1:$GI$145,ROW('KSH järjestus'!BB140),MATCH('KSH järjestus'!BB$3,KOMBI!$A$1:$GI$1,0))</f>
        <v>344.14457998922347</v>
      </c>
      <c r="BC133" s="25">
        <f t="array" aca="1" ref="BC133" ca="1">INDEX(KOMBI!$A$1:$GI$145,ROW('KSH järjestus'!BC140),MATCH('KSH järjestus'!BC$3,KOMBI!$A$1:$GI$1,0))</f>
        <v>25.105993366747725</v>
      </c>
      <c r="BD133" s="25">
        <f t="array" ref="BD133">INDEX(KOMBI!$A$1:$GI$145,ROW('KSH järjestus'!BD140),MATCH('KSH järjestus'!BD$3,KOMBI!$A$1:$GI$1,0))</f>
        <v>-162.95750000000001</v>
      </c>
      <c r="BE133" s="25">
        <f t="array" ref="BE133">INDEX(KOMBI!$A$1:$GI$145,ROW('KSH järjestus'!BE140),MATCH('KSH järjestus'!BE$3,KOMBI!$A$1:$GI$1,0))</f>
        <v>188.06349336674774</v>
      </c>
      <c r="BF133" s="25">
        <f t="array" aca="1" ref="BF133" ca="1">INDEX(KOMBI!$A$1:$GI$145,ROW('KSH järjestus'!BF140),MATCH('KSH järjestus'!BF$3,KOMBI!$A$1:$GI$1,0))</f>
        <v>0</v>
      </c>
      <c r="BG133" s="25">
        <f t="array" ref="BG133">INDEX(KOMBI!$A$1:$GI$145,ROW('KSH järjestus'!BG140),MATCH('KSH järjestus'!BG$3,KOMBI!$A$1:$GI$1,0))</f>
        <v>0.63336252140800098</v>
      </c>
      <c r="BH133" s="25">
        <f t="array" ref="BH133">INDEX(KOMBI!$A$1:$GI$145,ROW('KSH järjestus'!BH140),MATCH('KSH järjestus'!BH$3,KOMBI!$A$1:$GI$1,0))</f>
        <v>90</v>
      </c>
      <c r="BI133" s="25">
        <f t="array" ref="BI133">INDEX(KOMBI!$A$1:$GI$145,ROW('KSH järjestus'!BI140),MATCH('KSH järjestus'!BI$3,KOMBI!$A$1:$GI$1,0))</f>
        <v>1</v>
      </c>
      <c r="BJ133" s="25">
        <f t="array" ref="BJ133">INDEX(KOMBI!$A$1:$GI$145,ROW('KSH järjestus'!BJ140),MATCH('KSH järjestus'!BJ$3,KOMBI!$A$1:$GI$1,0))</f>
        <v>0.36609829488465395</v>
      </c>
      <c r="BK133" s="25">
        <f t="array" ref="BK133">INDEX(KOMBI!$A$1:$GI$145,ROW('KSH järjestus'!BK140),MATCH('KSH järjestus'!BK$3,KOMBI!$A$1:$GI$1,0))</f>
        <v>0.64611056303807113</v>
      </c>
      <c r="BL133" s="25">
        <f t="array" ref="BL133">INDEX(KOMBI!$A$1:$GI$145,ROW('KSH järjestus'!BL140),MATCH('KSH järjestus'!BL$3,KOMBI!$A$1:$GI$1,0))</f>
        <v>1.3240980689949371E-2</v>
      </c>
      <c r="BM133" s="25">
        <f t="array" ref="BM133">INDEX(KOMBI!$A$1:$GI$145,ROW('KSH järjestus'!BM140),MATCH('KSH järjestus'!BM$3,KOMBI!$A$1:$GI$1,0))</f>
        <v>5.8899192587170239E-3</v>
      </c>
      <c r="BN133" s="25">
        <f t="array" ref="BN133">INDEX(KOMBI!$A$1:$GI$145,ROW('KSH järjestus'!BN140),MATCH('KSH järjestus'!BN$3,KOMBI!$A$1:$GI$1,0))</f>
        <v>6.373069332196446E-4</v>
      </c>
      <c r="BO133" s="25">
        <f t="array" ref="BO133">INDEX(KOMBI!$A$1:$GI$145,ROW('KSH järjestus'!BO140),MATCH('KSH järjestus'!BO$3,KOMBI!$A$1:$GI$1,0))</f>
        <v>1.2700248739138373E-2</v>
      </c>
      <c r="BP133" s="25">
        <f t="array" ref="BP133">INDEX(KOMBI!$A$1:$GI$145,ROW('KSH järjestus'!BP140),MATCH('KSH järjestus'!BP$3,KOMBI!$A$1:$GI$1,0))</f>
        <v>7.6038313570900957</v>
      </c>
      <c r="BQ133" s="25">
        <f t="array" ref="BQ133">INDEX(KOMBI!$A$1:$GI$145,ROW('KSH järjestus'!BQ140),MATCH('KSH järjestus'!BQ$3,KOMBI!$A$1:$GI$1,0))</f>
        <v>9.2170000000000005</v>
      </c>
      <c r="BR133" s="25">
        <f t="array" ref="BR133">INDEX(KOMBI!$A$1:$GI$145,ROW('KSH järjestus'!BR140),MATCH('KSH järjestus'!BR$3,KOMBI!$A$1:$GI$1,0))</f>
        <v>-7.3291596440282575E-2</v>
      </c>
      <c r="BS133" s="25">
        <f t="array" ref="BS133">INDEX(KOMBI!$A$1:$GI$145,ROW('KSH järjestus'!BS140),MATCH('KSH järjestus'!BS$3,KOMBI!$A$1:$GI$1,0))</f>
        <v>-0.19966539199296618</v>
      </c>
      <c r="BT133" s="25">
        <f t="array" ref="BT133">INDEX(KOMBI!$A$1:$GI$145,ROW('KSH järjestus'!BT140),MATCH('KSH järjestus'!BT$3,KOMBI!$A$1:$GI$1,0))</f>
        <v>-0.13211680225103617</v>
      </c>
      <c r="BU133" s="25">
        <f t="array" ref="BU133">INDEX(KOMBI!$A$1:$GI$145,ROW('KSH järjestus'!BU140),MATCH('KSH järjestus'!BU$3,KOMBI!$A$1:$GI$1,0))</f>
        <v>3.4793975506064014</v>
      </c>
      <c r="BV133" s="25">
        <f t="array" ref="BV133">INDEX(KOMBI!$A$1:$GI$145,ROW('KSH järjestus'!BV140),MATCH('KSH järjestus'!BV$3,KOMBI!$A$1:$GI$1,0))</f>
        <v>1.177</v>
      </c>
      <c r="BW133" s="25">
        <f t="array" ref="BW133">INDEX(KOMBI!$A$1:$GI$145,ROW('KSH järjestus'!BW140),MATCH('KSH järjestus'!BW$3,KOMBI!$A$1:$GI$1,0))</f>
        <v>1.03788499063732</v>
      </c>
      <c r="BX133" s="25">
        <f t="array" ref="BX133">INDEX(KOMBI!$A$1:$GI$145,ROW('KSH järjestus'!BX140),MATCH('KSH järjestus'!BX$3,KOMBI!$A$1:$GI$1,0))</f>
        <v>16.029721793242818</v>
      </c>
      <c r="BY133" s="25">
        <f t="array" ref="BY133">INDEX(KOMBI!$A$1:$GI$145,ROW('KSH järjestus'!BY140),MATCH('KSH järjestus'!BY$3,KOMBI!$A$1:$GI$1,0))</f>
        <v>6.0056988012134216</v>
      </c>
      <c r="BZ133" s="25">
        <f t="array" ref="BZ133">INDEX(KOMBI!$A$1:$GI$145,ROW('KSH järjestus'!BZ140),MATCH('KSH järjestus'!BZ$3,KOMBI!$A$1:$GI$1,0))</f>
        <v>75</v>
      </c>
      <c r="CA133" s="25">
        <f t="array" ref="CA133">INDEX(KOMBI!$A$1:$GI$145,ROW('KSH järjestus'!CA140),MATCH('KSH järjestus'!CA$3,KOMBI!$A$1:$GI$1,0))</f>
        <v>8.5299999999999994</v>
      </c>
      <c r="CB133" s="25">
        <f t="array" ref="CB133">INDEX(KOMBI!$A$1:$GI$145,ROW('KSH järjestus'!CB140),MATCH('KSH järjestus'!CB$3,KOMBI!$A$1:$GI$1,0))</f>
        <v>33.973888888888887</v>
      </c>
      <c r="CC133" s="25">
        <f t="array" ref="CC133">INDEX(KOMBI!$A$1:$GI$145,ROW('KSH järjestus'!CC140),MATCH('KSH järjestus'!CC$3,KOMBI!$A$1:$GI$1,0))</f>
        <v>3.6436060000000001</v>
      </c>
      <c r="CD133" s="25">
        <f t="array" ref="CD133">INDEX(KOMBI!$A$1:$GI$145,ROW('KSH järjestus'!CD140),MATCH('KSH järjestus'!CD$3,KOMBI!$A$1:$GI$1,0))</f>
        <v>285.10000000000002</v>
      </c>
      <c r="CE133" s="25">
        <f t="array" ref="CE133">INDEX(KOMBI!$A$1:$GI$145,ROW('KSH järjestus'!CE140),MATCH('KSH järjestus'!CE$3,KOMBI!$A$1:$GI$1,0))</f>
        <v>2.7810000000000001</v>
      </c>
      <c r="CF133" s="25">
        <f t="array" ref="CF133">INDEX(KOMBI!$A$1:$GI$145,ROW('KSH järjestus'!CF140),MATCH('KSH järjestus'!CF$3,KOMBI!$A$1:$GI$1,0))</f>
        <v>38.866388888888892</v>
      </c>
      <c r="CG133" s="25">
        <f t="array" ref="CG133">INDEX(KOMBI!$A$1:$GI$145,ROW('KSH järjestus'!CG140),MATCH('KSH järjestus'!CG$3,KOMBI!$A$1:$GI$1,0))</f>
        <v>2.5620074329845279E-2</v>
      </c>
      <c r="CH133" s="25">
        <f t="array" ref="CH133">INDEX(KOMBI!$A$1:$GI$145,ROW('KSH järjestus'!CH140),MATCH('KSH järjestus'!CH$3,KOMBI!$A$1:$GI$1,0))</f>
        <v>0.55518194882771377</v>
      </c>
      <c r="CI133" s="25">
        <f t="array" ref="CI133">INDEX(KOMBI!$A$1:$GI$145,ROW('KSH järjestus'!CI140),MATCH('KSH järjestus'!CI$3,KOMBI!$A$1:$GI$1,0))</f>
        <v>10.67</v>
      </c>
      <c r="CJ133" s="25">
        <f t="array" ref="CJ133">INDEX(KOMBI!$A$1:$GI$145,ROW('KSH järjestus'!CJ140),MATCH('KSH järjestus'!CJ$3,KOMBI!$A$1:$GI$1,0))</f>
        <v>1.7198849906373199</v>
      </c>
      <c r="CK133" s="25">
        <f t="array" ref="CK133">INDEX(KOMBI!$A$1:$GI$145,ROW('KSH järjestus'!CK140),MATCH('KSH järjestus'!CK$3,KOMBI!$A$1:$GI$1,0))</f>
        <v>0.19900000000000001</v>
      </c>
      <c r="CL133" s="25">
        <f t="array" ref="CL133">INDEX(KOMBI!$A$1:$GI$145,ROW('KSH järjestus'!CL140),MATCH('KSH järjestus'!CL$3,KOMBI!$A$1:$GI$1,0))</f>
        <v>0.72299999999999998</v>
      </c>
    </row>
    <row r="134" spans="3:90" x14ac:dyDescent="0.2">
      <c r="C134" s="184">
        <v>131</v>
      </c>
      <c r="G134" s="25">
        <f>RANK(INDEX(KOMBI!$A$11:$GI$145,MATCH('KSH järjestus'!$C134,KOMBI!$A$11:$A$145,0),MATCH('KSH järjestus'!G$3,KOMBI!$A$1:$GI$1,0)),BD$4:BD$138,G$2)</f>
        <v>11</v>
      </c>
      <c r="H134" s="25">
        <f>RANK(INDEX(KOMBI!$A$11:$GI$145,MATCH('KSH järjestus'!$C134,KOMBI!$A$11:$A$145,0),MATCH('KSH järjestus'!H$3,KOMBI!$A$1:$GI$1,0)),BE$4:BE$138,H$2)</f>
        <v>25</v>
      </c>
      <c r="J134" s="25">
        <f>RANK(INDEX(KOMBI!$A$11:$GI$145,MATCH('KSH järjestus'!$C134,KOMBI!$A$11:$A$145,0),MATCH('KSH järjestus'!J$3,KOMBI!$A$1:$GI$1,0)),BG$4:BG$138,J$2)</f>
        <v>93</v>
      </c>
      <c r="M134" s="25">
        <f>RANK(INDEX(KOMBI!$A$11:$GI$145,MATCH('KSH järjestus'!$C134,KOMBI!$A$11:$A$145,0),MATCH('KSH järjestus'!M$3,KOMBI!$A$1:$GI$1,0)),BJ$4:BJ$138,M$2)</f>
        <v>109</v>
      </c>
      <c r="N134" s="25">
        <f>RANK(INDEX(KOMBI!$A$11:$GI$145,MATCH('KSH järjestus'!$C134,KOMBI!$A$11:$A$145,0),MATCH('KSH järjestus'!N$3,KOMBI!$A$1:$GI$1,0)),BK$4:BK$138,N$2)</f>
        <v>1</v>
      </c>
      <c r="O134" s="25">
        <f>RANK(INDEX(KOMBI!$A$11:$GI$145,MATCH('KSH järjestus'!$C134,KOMBI!$A$11:$A$145,0),MATCH('KSH järjestus'!O$3,KOMBI!$A$1:$GI$1,0)),BL$4:BL$138,O$2)</f>
        <v>44</v>
      </c>
      <c r="P134" s="25">
        <f>RANK(INDEX(KOMBI!$A$11:$GI$145,MATCH('KSH järjestus'!$C134,KOMBI!$A$11:$A$145,0),MATCH('KSH järjestus'!P$3,KOMBI!$A$1:$GI$1,0)),BM$4:BM$138,P$2)</f>
        <v>55</v>
      </c>
      <c r="Q134" s="25">
        <f>RANK(INDEX(KOMBI!$A$11:$GI$145,MATCH('KSH järjestus'!$C134,KOMBI!$A$11:$A$145,0),MATCH('KSH järjestus'!Q$3,KOMBI!$A$1:$GI$1,0)),BN$4:BN$138,Q$2)</f>
        <v>85</v>
      </c>
      <c r="R134" s="25">
        <f>RANK(INDEX(KOMBI!$A$11:$GI$145,MATCH('KSH järjestus'!$C134,KOMBI!$A$11:$A$145,0),MATCH('KSH järjestus'!R$3,KOMBI!$A$1:$GI$1,0)),BO$4:BO$138,R$2)</f>
        <v>26</v>
      </c>
      <c r="T134" s="25">
        <f>RANK(INDEX(KOMBI!$A$11:$GI$145,MATCH('KSH järjestus'!$C134,KOMBI!$A$11:$A$145,0),MATCH('KSH järjestus'!T$3,KOMBI!$A$1:$GI$1,0)),BQ$4:BQ$138,T$2)</f>
        <v>2</v>
      </c>
      <c r="U134" s="25">
        <f>RANK(INDEX(KOMBI!$A$11:$GI$145,MATCH('KSH järjestus'!$C134,KOMBI!$A$11:$A$145,0),MATCH('KSH järjestus'!U$3,KOMBI!$A$1:$GI$1,0)),BR$4:BR$138,U$2)</f>
        <v>2</v>
      </c>
      <c r="AA134" s="25">
        <f>RANK(INDEX(KOMBI!$A$11:$GI$145,MATCH('KSH järjestus'!$C134,KOMBI!$A$11:$A$145,0),MATCH('KSH järjestus'!AA$3,KOMBI!$A$1:$GI$1,0)),BX$4:BX$138,AA$2)</f>
        <v>1</v>
      </c>
      <c r="AB134" s="25">
        <f>RANK(INDEX(KOMBI!$A$11:$GI$145,MATCH('KSH järjestus'!$C134,KOMBI!$A$11:$A$145,0),MATCH('KSH järjestus'!AB$3,KOMBI!$A$1:$GI$1,0)),BY$4:BY$138,AB$2)</f>
        <v>1</v>
      </c>
      <c r="AC134" s="25">
        <f>RANK(INDEX(KOMBI!$A$11:$GI$145,MATCH('KSH järjestus'!$C134,KOMBI!$A$11:$A$145,0),MATCH('KSH järjestus'!AC$3,KOMBI!$A$1:$GI$1,0)),BZ$4:BZ$138,AC$2)</f>
        <v>64</v>
      </c>
      <c r="AD134" s="25">
        <f>RANK(INDEX(KOMBI!$A$11:$GI$145,MATCH('KSH järjestus'!$C134,KOMBI!$A$11:$A$145,0),MATCH('KSH järjestus'!AD$3,KOMBI!$A$1:$GI$1,0)),CA$4:CA$138,AD$2)</f>
        <v>2</v>
      </c>
      <c r="AE134" s="25">
        <f>RANK(INDEX(KOMBI!$A$11:$GI$145,MATCH('KSH järjestus'!$C134,KOMBI!$A$11:$A$145,0),MATCH('KSH järjestus'!AE$3,KOMBI!$A$1:$GI$1,0)),CB$4:CB$138,AE$2)</f>
        <v>2</v>
      </c>
      <c r="AG134" s="25">
        <f>RANK(INDEX(KOMBI!$A$11:$GI$145,MATCH('KSH järjestus'!$C134,KOMBI!$A$11:$A$145,0),MATCH('KSH järjestus'!AG$3,KOMBI!$A$1:$GI$1,0)),CD$4:CD$138,AG$2)</f>
        <v>13</v>
      </c>
      <c r="AH134" s="25">
        <f>RANK(INDEX(KOMBI!$A$11:$GI$145,MATCH('KSH järjestus'!$C134,KOMBI!$A$11:$A$145,0),MATCH('KSH järjestus'!AH$3,KOMBI!$A$1:$GI$1,0)),CE$4:CE$138,AH$2)</f>
        <v>16</v>
      </c>
      <c r="AI134" s="25">
        <f>RANK(INDEX(KOMBI!$A$11:$GI$145,MATCH('KSH järjestus'!$C134,KOMBI!$A$11:$A$145,0),MATCH('KSH järjestus'!AI$3,KOMBI!$A$1:$GI$1,0)),CF$4:CF$138,AI$2)</f>
        <v>1</v>
      </c>
      <c r="AJ134" s="25">
        <f>RANK(INDEX(KOMBI!$A$11:$GI$145,MATCH('KSH järjestus'!$C134,KOMBI!$A$11:$A$145,0),MATCH('KSH järjestus'!AJ$3,KOMBI!$A$1:$GI$1,0)),CG$4:CG$138,AJ$2)</f>
        <v>28</v>
      </c>
      <c r="AK134" s="25">
        <f>RANK(INDEX(KOMBI!$A$11:$GI$145,MATCH('KSH järjestus'!$C134,KOMBI!$A$11:$A$145,0),MATCH('KSH järjestus'!AK$3,KOMBI!$A$1:$GI$1,0)),CH$4:CH$138,AK$2)</f>
        <v>1</v>
      </c>
      <c r="AN134" s="25">
        <f>RANK(INDEX(KOMBI!$A$11:$GI$145,MATCH('KSH järjestus'!$C134,KOMBI!$A$11:$A$145,0),MATCH('KSH järjestus'!AN$3,KOMBI!$A$1:$GI$1,0)),CK$4:CK$138,AN$2)</f>
        <v>1</v>
      </c>
      <c r="AO134" s="25">
        <f>RANK(INDEX(KOMBI!$A$11:$GI$145,MATCH('KSH järjestus'!$C134,KOMBI!$A$11:$A$145,0),MATCH('KSH järjestus'!AO$3,KOMBI!$A$1:$GI$1,0)),CL$4:CL$138,AO$2)</f>
        <v>1</v>
      </c>
      <c r="AS134" s="297">
        <f t="shared" si="10"/>
        <v>584</v>
      </c>
      <c r="AT134" s="25">
        <f t="shared" si="8"/>
        <v>2355</v>
      </c>
      <c r="AU134" s="25">
        <f t="shared" si="9"/>
        <v>6</v>
      </c>
      <c r="AV134" s="295" t="str">
        <f>VLOOKUP(VLOOKUP($AU134,KOMBI!$A:$H,3,FALSE),data!$I$27:$J$29,2,FALSE)</f>
        <v>Mittesekkuv</v>
      </c>
      <c r="AW134" s="295" t="str">
        <f>VLOOKUP(VLOOKUP($AU134,KOMBI!$A:$H,2,FALSE),data!$I$21:$J$23,2,FALSE)</f>
        <v>Mittesekkuv</v>
      </c>
      <c r="AX134" s="295" t="str">
        <f>VLOOKUP(VLOOKUP($AU134,KOMBI!$A:$H,5,FALSE),data!$I$39:$J$41,2,FALSE)</f>
        <v>Sekkuv</v>
      </c>
      <c r="AY134" s="295" t="str">
        <f>VLOOKUP(VLOOKUP($AU134,KOMBI!$A:$H,4,FALSE),data!$I$32:$J$36,2,FALSE)</f>
        <v>LIB+</v>
      </c>
      <c r="BA134" s="25">
        <f t="array" ref="BA134">INDEX(KOMBI!$A$1:$GI$145,ROW('KSH järjestus'!BA141),MATCH('KSH järjestus'!BA$3,KOMBI!$A$1:$GI$1,0))</f>
        <v>11.131980127717581</v>
      </c>
      <c r="BB134" s="25">
        <f t="array" ref="BB134">INDEX(KOMBI!$A$1:$GI$145,ROW('KSH järjestus'!BB141),MATCH('KSH järjestus'!BB$3,KOMBI!$A$1:$GI$1,0))</f>
        <v>504.62461225848671</v>
      </c>
      <c r="BC134" s="25">
        <f t="array" aca="1" ref="BC134" ca="1">INDEX(KOMBI!$A$1:$GI$145,ROW('KSH järjestus'!BC141),MATCH('KSH järjestus'!BC$3,KOMBI!$A$1:$GI$1,0))</f>
        <v>54.271315395282812</v>
      </c>
      <c r="BD134" s="25">
        <f t="array" ref="BD134">INDEX(KOMBI!$A$1:$GI$145,ROW('KSH järjestus'!BD141),MATCH('KSH järjestus'!BD$3,KOMBI!$A$1:$GI$1,0))</f>
        <v>-178.19071988063212</v>
      </c>
      <c r="BE134" s="25">
        <f t="array" ref="BE134">INDEX(KOMBI!$A$1:$GI$145,ROW('KSH järjestus'!BE141),MATCH('KSH järjestus'!BE$3,KOMBI!$A$1:$GI$1,0))</f>
        <v>232.46203527591493</v>
      </c>
      <c r="BF134" s="25">
        <f t="array" aca="1" ref="BF134" ca="1">INDEX(KOMBI!$A$1:$GI$145,ROW('KSH järjestus'!BF141),MATCH('KSH järjestus'!BF$3,KOMBI!$A$1:$GI$1,0))</f>
        <v>0</v>
      </c>
      <c r="BG134" s="25">
        <f t="array" ref="BG134">INDEX(KOMBI!$A$1:$GI$145,ROW('KSH järjestus'!BG141),MATCH('KSH järjestus'!BG$3,KOMBI!$A$1:$GI$1,0))</f>
        <v>0.57876561984549779</v>
      </c>
      <c r="BH134" s="25">
        <f t="array" ref="BH134">INDEX(KOMBI!$A$1:$GI$145,ROW('KSH järjestus'!BH141),MATCH('KSH järjestus'!BH$3,KOMBI!$A$1:$GI$1,0))</f>
        <v>90</v>
      </c>
      <c r="BI134" s="25">
        <f t="array" ref="BI134">INDEX(KOMBI!$A$1:$GI$145,ROW('KSH järjestus'!BI141),MATCH('KSH järjestus'!BI$3,KOMBI!$A$1:$GI$1,0))</f>
        <v>0.72887234460741657</v>
      </c>
      <c r="BJ134" s="25">
        <f t="array" ref="BJ134">INDEX(KOMBI!$A$1:$GI$145,ROW('KSH järjestus'!BJ141),MATCH('KSH järjestus'!BJ$3,KOMBI!$A$1:$GI$1,0))</f>
        <v>0.36609829488465395</v>
      </c>
      <c r="BK134" s="25">
        <f t="array" ref="BK134">INDEX(KOMBI!$A$1:$GI$145,ROW('KSH järjestus'!BK141),MATCH('KSH järjestus'!BK$3,KOMBI!$A$1:$GI$1,0))</f>
        <v>0.64611056303807113</v>
      </c>
      <c r="BL134" s="25">
        <f t="array" ref="BL134">INDEX(KOMBI!$A$1:$GI$145,ROW('KSH järjestus'!BL141),MATCH('KSH järjestus'!BL$3,KOMBI!$A$1:$GI$1,0))</f>
        <v>1.9523373776371703E-2</v>
      </c>
      <c r="BM134" s="25">
        <f t="array" ref="BM134">INDEX(KOMBI!$A$1:$GI$145,ROW('KSH järjestus'!BM141),MATCH('KSH järjestus'!BM$3,KOMBI!$A$1:$GI$1,0))</f>
        <v>3.1968664093014101E-3</v>
      </c>
      <c r="BN134" s="25">
        <f t="array" ref="BN134">INDEX(KOMBI!$A$1:$GI$145,ROW('KSH järjestus'!BN141),MATCH('KSH järjestus'!BN$3,KOMBI!$A$1:$GI$1,0))</f>
        <v>3.1301767945774717E-3</v>
      </c>
      <c r="BO134" s="25">
        <f t="array" ref="BO134">INDEX(KOMBI!$A$1:$GI$145,ROW('KSH järjestus'!BO141),MATCH('KSH järjestus'!BO$3,KOMBI!$A$1:$GI$1,0))</f>
        <v>1.6525135283015201E-2</v>
      </c>
      <c r="BP134" s="25">
        <f t="array" ref="BP134">INDEX(KOMBI!$A$1:$GI$145,ROW('KSH järjestus'!BP141),MATCH('KSH järjestus'!BP$3,KOMBI!$A$1:$GI$1,0))</f>
        <v>7.6038313570900957</v>
      </c>
      <c r="BQ134" s="25">
        <f t="array" ref="BQ134">INDEX(KOMBI!$A$1:$GI$145,ROW('KSH järjestus'!BQ141),MATCH('KSH järjestus'!BQ$3,KOMBI!$A$1:$GI$1,0))</f>
        <v>9.3079999999999998</v>
      </c>
      <c r="BR134" s="25">
        <f t="array" ref="BR134">INDEX(KOMBI!$A$1:$GI$145,ROW('KSH järjestus'!BR141),MATCH('KSH järjestus'!BR$3,KOMBI!$A$1:$GI$1,0))</f>
        <v>-6.9057797429017853E-2</v>
      </c>
      <c r="BS134" s="25">
        <f t="array" ref="BS134">INDEX(KOMBI!$A$1:$GI$145,ROW('KSH järjestus'!BS141),MATCH('KSH järjestus'!BS$3,KOMBI!$A$1:$GI$1,0))</f>
        <v>-0.19833177977333061</v>
      </c>
      <c r="BT134" s="25">
        <f t="array" ref="BT134">INDEX(KOMBI!$A$1:$GI$145,ROW('KSH järjestus'!BT141),MATCH('KSH järjestus'!BT$3,KOMBI!$A$1:$GI$1,0))</f>
        <v>-0.13101783945164222</v>
      </c>
      <c r="BU134" s="25">
        <f t="array" ref="BU134">INDEX(KOMBI!$A$1:$GI$145,ROW('KSH järjestus'!BU141),MATCH('KSH järjestus'!BU$3,KOMBI!$A$1:$GI$1,0))</f>
        <v>3.4793975506064014</v>
      </c>
      <c r="BV134" s="25">
        <f t="array" ref="BV134">INDEX(KOMBI!$A$1:$GI$145,ROW('KSH järjestus'!BV141),MATCH('KSH järjestus'!BV$3,KOMBI!$A$1:$GI$1,0))</f>
        <v>1.177</v>
      </c>
      <c r="BW134" s="25">
        <f t="array" ref="BW134">INDEX(KOMBI!$A$1:$GI$145,ROW('KSH järjestus'!BW141),MATCH('KSH järjestus'!BW$3,KOMBI!$A$1:$GI$1,0))</f>
        <v>1.4153849906373199</v>
      </c>
      <c r="BX134" s="25">
        <f t="array" ref="BX134">INDEX(KOMBI!$A$1:$GI$145,ROW('KSH järjestus'!BX141),MATCH('KSH järjestus'!BX$3,KOMBI!$A$1:$GI$1,0))</f>
        <v>16.029721793242818</v>
      </c>
      <c r="BY134" s="25">
        <f t="array" ref="BY134">INDEX(KOMBI!$A$1:$GI$145,ROW('KSH järjestus'!BY141),MATCH('KSH järjestus'!BY$3,KOMBI!$A$1:$GI$1,0))</f>
        <v>6.0056988012134216</v>
      </c>
      <c r="BZ134" s="25">
        <f t="array" ref="BZ134">INDEX(KOMBI!$A$1:$GI$145,ROW('KSH järjestus'!BZ141),MATCH('KSH järjestus'!BZ$3,KOMBI!$A$1:$GI$1,0))</f>
        <v>75.400000000000006</v>
      </c>
      <c r="CA134" s="25">
        <f t="array" ref="CA134">INDEX(KOMBI!$A$1:$GI$145,ROW('KSH järjestus'!CA141),MATCH('KSH järjestus'!CA$3,KOMBI!$A$1:$GI$1,0))</f>
        <v>8.6189999999999998</v>
      </c>
      <c r="CB134" s="25">
        <f t="array" ref="CB134">INDEX(KOMBI!$A$1:$GI$145,ROW('KSH järjestus'!CB141),MATCH('KSH järjestus'!CB$3,KOMBI!$A$1:$GI$1,0))</f>
        <v>34.314166666666665</v>
      </c>
      <c r="CC134" s="25">
        <f t="array" ref="CC134">INDEX(KOMBI!$A$1:$GI$145,ROW('KSH järjestus'!CC141),MATCH('KSH järjestus'!CC$3,KOMBI!$A$1:$GI$1,0))</f>
        <v>3.676898</v>
      </c>
      <c r="CD134" s="25">
        <f t="array" ref="CD134">INDEX(KOMBI!$A$1:$GI$145,ROW('KSH järjestus'!CD141),MATCH('KSH järjestus'!CD$3,KOMBI!$A$1:$GI$1,0))</f>
        <v>285.10000000000002</v>
      </c>
      <c r="CE134" s="25">
        <f t="array" ref="CE134">INDEX(KOMBI!$A$1:$GI$145,ROW('KSH järjestus'!CE141),MATCH('KSH järjestus'!CE$3,KOMBI!$A$1:$GI$1,0))</f>
        <v>2.7810000000000001</v>
      </c>
      <c r="CF134" s="25">
        <f t="array" ref="CF134">INDEX(KOMBI!$A$1:$GI$145,ROW('KSH järjestus'!CF141),MATCH('KSH järjestus'!CF$3,KOMBI!$A$1:$GI$1,0))</f>
        <v>38.866388888888892</v>
      </c>
      <c r="CG134" s="25">
        <f t="array" ref="CG134">INDEX(KOMBI!$A$1:$GI$145,ROW('KSH järjestus'!CG141),MATCH('KSH järjestus'!CG$3,KOMBI!$A$1:$GI$1,0))</f>
        <v>2.5620074329845279E-2</v>
      </c>
      <c r="CH134" s="25">
        <f t="array" ref="CH134">INDEX(KOMBI!$A$1:$GI$145,ROW('KSH järjestus'!CH141),MATCH('KSH järjestus'!CH$3,KOMBI!$A$1:$GI$1,0))</f>
        <v>0.55518194882771377</v>
      </c>
      <c r="CI134" s="25">
        <f t="array" ref="CI134">INDEX(KOMBI!$A$1:$GI$145,ROW('KSH järjestus'!CI141),MATCH('KSH järjestus'!CI$3,KOMBI!$A$1:$GI$1,0))</f>
        <v>10.67</v>
      </c>
      <c r="CJ134" s="25">
        <f t="array" ref="CJ134">INDEX(KOMBI!$A$1:$GI$145,ROW('KSH järjestus'!CJ141),MATCH('KSH järjestus'!CJ$3,KOMBI!$A$1:$GI$1,0))</f>
        <v>1.7198849906373199</v>
      </c>
      <c r="CK134" s="25">
        <f t="array" ref="CK134">INDEX(KOMBI!$A$1:$GI$145,ROW('KSH järjestus'!CK141),MATCH('KSH järjestus'!CK$3,KOMBI!$A$1:$GI$1,0))</f>
        <v>0.19900000000000001</v>
      </c>
      <c r="CL134" s="25">
        <f t="array" ref="CL134">INDEX(KOMBI!$A$1:$GI$145,ROW('KSH järjestus'!CL141),MATCH('KSH järjestus'!CL$3,KOMBI!$A$1:$GI$1,0))</f>
        <v>0.72299999999999998</v>
      </c>
    </row>
    <row r="135" spans="3:90" x14ac:dyDescent="0.2">
      <c r="C135" s="184">
        <v>132</v>
      </c>
      <c r="G135" s="25">
        <f>RANK(INDEX(KOMBI!$A$11:$GI$145,MATCH('KSH järjestus'!$C135,KOMBI!$A$11:$A$145,0),MATCH('KSH järjestus'!G$3,KOMBI!$A$1:$GI$1,0)),BD$4:BD$138,G$2)</f>
        <v>1</v>
      </c>
      <c r="H135" s="25">
        <f>RANK(INDEX(KOMBI!$A$11:$GI$145,MATCH('KSH järjestus'!$C135,KOMBI!$A$11:$A$145,0),MATCH('KSH järjestus'!H$3,KOMBI!$A$1:$GI$1,0)),BE$4:BE$138,H$2)</f>
        <v>11</v>
      </c>
      <c r="J135" s="25">
        <f>RANK(INDEX(KOMBI!$A$11:$GI$145,MATCH('KSH järjestus'!$C135,KOMBI!$A$11:$A$145,0),MATCH('KSH järjestus'!J$3,KOMBI!$A$1:$GI$1,0)),BG$4:BG$138,J$2)</f>
        <v>93</v>
      </c>
      <c r="M135" s="25">
        <f>RANK(INDEX(KOMBI!$A$11:$GI$145,MATCH('KSH järjestus'!$C135,KOMBI!$A$11:$A$145,0),MATCH('KSH järjestus'!M$3,KOMBI!$A$1:$GI$1,0)),BJ$4:BJ$138,M$2)</f>
        <v>109</v>
      </c>
      <c r="N135" s="25">
        <f>RANK(INDEX(KOMBI!$A$11:$GI$145,MATCH('KSH järjestus'!$C135,KOMBI!$A$11:$A$145,0),MATCH('KSH järjestus'!N$3,KOMBI!$A$1:$GI$1,0)),BK$4:BK$138,N$2)</f>
        <v>1</v>
      </c>
      <c r="O135" s="25">
        <f>RANK(INDEX(KOMBI!$A$11:$GI$145,MATCH('KSH järjestus'!$C135,KOMBI!$A$11:$A$145,0),MATCH('KSH järjestus'!O$3,KOMBI!$A$1:$GI$1,0)),BL$4:BL$138,O$2)</f>
        <v>23</v>
      </c>
      <c r="P135" s="25">
        <f>RANK(INDEX(KOMBI!$A$11:$GI$145,MATCH('KSH järjestus'!$C135,KOMBI!$A$11:$A$145,0),MATCH('KSH järjestus'!P$3,KOMBI!$A$1:$GI$1,0)),BM$4:BM$138,P$2)</f>
        <v>54</v>
      </c>
      <c r="Q135" s="25">
        <f>RANK(INDEX(KOMBI!$A$11:$GI$145,MATCH('KSH järjestus'!$C135,KOMBI!$A$11:$A$145,0),MATCH('KSH järjestus'!Q$3,KOMBI!$A$1:$GI$1,0)),BN$4:BN$138,Q$2)</f>
        <v>62</v>
      </c>
      <c r="R135" s="25">
        <f>RANK(INDEX(KOMBI!$A$11:$GI$145,MATCH('KSH järjestus'!$C135,KOMBI!$A$11:$A$145,0),MATCH('KSH järjestus'!R$3,KOMBI!$A$1:$GI$1,0)),BO$4:BO$138,R$2)</f>
        <v>9</v>
      </c>
      <c r="T135" s="25">
        <f>RANK(INDEX(KOMBI!$A$11:$GI$145,MATCH('KSH järjestus'!$C135,KOMBI!$A$11:$A$145,0),MATCH('KSH järjestus'!T$3,KOMBI!$A$1:$GI$1,0)),BQ$4:BQ$138,T$2)</f>
        <v>5</v>
      </c>
      <c r="U135" s="25">
        <f>RANK(INDEX(KOMBI!$A$11:$GI$145,MATCH('KSH järjestus'!$C135,KOMBI!$A$11:$A$145,0),MATCH('KSH järjestus'!U$3,KOMBI!$A$1:$GI$1,0)),BR$4:BR$138,U$2)</f>
        <v>3</v>
      </c>
      <c r="AA135" s="25">
        <f>RANK(INDEX(KOMBI!$A$11:$GI$145,MATCH('KSH järjestus'!$C135,KOMBI!$A$11:$A$145,0),MATCH('KSH järjestus'!AA$3,KOMBI!$A$1:$GI$1,0)),BX$4:BX$138,AA$2)</f>
        <v>1</v>
      </c>
      <c r="AB135" s="25">
        <f>RANK(INDEX(KOMBI!$A$11:$GI$145,MATCH('KSH järjestus'!$C135,KOMBI!$A$11:$A$145,0),MATCH('KSH järjestus'!AB$3,KOMBI!$A$1:$GI$1,0)),BY$4:BY$138,AB$2)</f>
        <v>1</v>
      </c>
      <c r="AC135" s="25">
        <f>RANK(INDEX(KOMBI!$A$11:$GI$145,MATCH('KSH järjestus'!$C135,KOMBI!$A$11:$A$145,0),MATCH('KSH järjestus'!AC$3,KOMBI!$A$1:$GI$1,0)),BZ$4:BZ$138,AC$2)</f>
        <v>76</v>
      </c>
      <c r="AD135" s="25">
        <f>RANK(INDEX(KOMBI!$A$11:$GI$145,MATCH('KSH järjestus'!$C135,KOMBI!$A$11:$A$145,0),MATCH('KSH järjestus'!AD$3,KOMBI!$A$1:$GI$1,0)),CA$4:CA$138,AD$2)</f>
        <v>5</v>
      </c>
      <c r="AE135" s="25">
        <f>RANK(INDEX(KOMBI!$A$11:$GI$145,MATCH('KSH järjestus'!$C135,KOMBI!$A$11:$A$145,0),MATCH('KSH järjestus'!AE$3,KOMBI!$A$1:$GI$1,0)),CB$4:CB$138,AE$2)</f>
        <v>4</v>
      </c>
      <c r="AG135" s="25">
        <f>RANK(INDEX(KOMBI!$A$11:$GI$145,MATCH('KSH järjestus'!$C135,KOMBI!$A$11:$A$145,0),MATCH('KSH järjestus'!AG$3,KOMBI!$A$1:$GI$1,0)),CD$4:CD$138,AG$2)</f>
        <v>13</v>
      </c>
      <c r="AH135" s="25">
        <f>RANK(INDEX(KOMBI!$A$11:$GI$145,MATCH('KSH järjestus'!$C135,KOMBI!$A$11:$A$145,0),MATCH('KSH järjestus'!AH$3,KOMBI!$A$1:$GI$1,0)),CE$4:CE$138,AH$2)</f>
        <v>16</v>
      </c>
      <c r="AI135" s="25">
        <f>RANK(INDEX(KOMBI!$A$11:$GI$145,MATCH('KSH järjestus'!$C135,KOMBI!$A$11:$A$145,0),MATCH('KSH järjestus'!AI$3,KOMBI!$A$1:$GI$1,0)),CF$4:CF$138,AI$2)</f>
        <v>1</v>
      </c>
      <c r="AJ135" s="25">
        <f>RANK(INDEX(KOMBI!$A$11:$GI$145,MATCH('KSH järjestus'!$C135,KOMBI!$A$11:$A$145,0),MATCH('KSH järjestus'!AJ$3,KOMBI!$A$1:$GI$1,0)),CG$4:CG$138,AJ$2)</f>
        <v>28</v>
      </c>
      <c r="AK135" s="25">
        <f>RANK(INDEX(KOMBI!$A$11:$GI$145,MATCH('KSH järjestus'!$C135,KOMBI!$A$11:$A$145,0),MATCH('KSH järjestus'!AK$3,KOMBI!$A$1:$GI$1,0)),CH$4:CH$138,AK$2)</f>
        <v>1</v>
      </c>
      <c r="AN135" s="25">
        <f>RANK(INDEX(KOMBI!$A$11:$GI$145,MATCH('KSH järjestus'!$C135,KOMBI!$A$11:$A$145,0),MATCH('KSH järjestus'!AN$3,KOMBI!$A$1:$GI$1,0)),CK$4:CK$138,AN$2)</f>
        <v>1</v>
      </c>
      <c r="AO135" s="25">
        <f>RANK(INDEX(KOMBI!$A$11:$GI$145,MATCH('KSH järjestus'!$C135,KOMBI!$A$11:$A$145,0),MATCH('KSH järjestus'!AO$3,KOMBI!$A$1:$GI$1,0)),CL$4:CL$138,AO$2)</f>
        <v>1</v>
      </c>
      <c r="AS135" s="297">
        <f t="shared" si="10"/>
        <v>519</v>
      </c>
      <c r="AT135" s="25">
        <f t="shared" si="8"/>
        <v>2424</v>
      </c>
      <c r="AU135" s="25">
        <f t="shared" si="9"/>
        <v>2</v>
      </c>
      <c r="AV135" s="295" t="str">
        <f>VLOOKUP(VLOOKUP($AU135,KOMBI!$A:$H,3,FALSE),data!$I$27:$J$29,2,FALSE)</f>
        <v>Mittesekkuv</v>
      </c>
      <c r="AW135" s="295" t="str">
        <f>VLOOKUP(VLOOKUP($AU135,KOMBI!$A:$H,2,FALSE),data!$I$21:$J$23,2,FALSE)</f>
        <v>Mittesekkuv</v>
      </c>
      <c r="AX135" s="295" t="str">
        <f>VLOOKUP(VLOOKUP($AU135,KOMBI!$A:$H,5,FALSE),data!$I$39:$J$41,2,FALSE)</f>
        <v>Vähe-sekkuv</v>
      </c>
      <c r="AY135" s="295" t="str">
        <f>VLOOKUP(VLOOKUP($AU135,KOMBI!$A:$H,4,FALSE),data!$I$32:$J$36,2,FALSE)</f>
        <v>LIB</v>
      </c>
      <c r="BA135" s="25">
        <f t="array" ref="BA135">INDEX(KOMBI!$A$1:$GI$145,ROW('KSH järjestus'!BA142),MATCH('KSH järjestus'!BA$3,KOMBI!$A$1:$GI$1,0))</f>
        <v>12.03707984995911</v>
      </c>
      <c r="BB135" s="25">
        <f t="array" ref="BB135">INDEX(KOMBI!$A$1:$GI$145,ROW('KSH järjestus'!BB142),MATCH('KSH järjestus'!BB$3,KOMBI!$A$1:$GI$1,0))</f>
        <v>621.23540327596606</v>
      </c>
      <c r="BC135" s="25">
        <f t="array" aca="1" ref="BC135" ca="1">INDEX(KOMBI!$A$1:$GI$145,ROW('KSH järjestus'!BC142),MATCH('KSH järjestus'!BC$3,KOMBI!$A$1:$GI$1,0))</f>
        <v>70.825729754367757</v>
      </c>
      <c r="BD135" s="25">
        <f t="array" ref="BD135">INDEX(KOMBI!$A$1:$GI$145,ROW('KSH järjestus'!BD142),MATCH('KSH järjestus'!BD$3,KOMBI!$A$1:$GI$1,0))</f>
        <v>-197.29831369909104</v>
      </c>
      <c r="BE135" s="25">
        <f t="array" ref="BE135">INDEX(KOMBI!$A$1:$GI$145,ROW('KSH järjestus'!BE142),MATCH('KSH järjestus'!BE$3,KOMBI!$A$1:$GI$1,0))</f>
        <v>268.1240434534588</v>
      </c>
      <c r="BF135" s="25">
        <f t="array" aca="1" ref="BF135" ca="1">INDEX(KOMBI!$A$1:$GI$145,ROW('KSH järjestus'!BF142),MATCH('KSH järjestus'!BF$3,KOMBI!$A$1:$GI$1,0))</f>
        <v>0</v>
      </c>
      <c r="BG135" s="25">
        <f t="array" ref="BG135">INDEX(KOMBI!$A$1:$GI$145,ROW('KSH järjestus'!BG142),MATCH('KSH järjestus'!BG$3,KOMBI!$A$1:$GI$1,0))</f>
        <v>0.57876561984549779</v>
      </c>
      <c r="BH135" s="25">
        <f t="array" ref="BH135">INDEX(KOMBI!$A$1:$GI$145,ROW('KSH järjestus'!BH142),MATCH('KSH järjestus'!BH$3,KOMBI!$A$1:$GI$1,0))</f>
        <v>90</v>
      </c>
      <c r="BI135" s="25">
        <f t="array" ref="BI135">INDEX(KOMBI!$A$1:$GI$145,ROW('KSH järjestus'!BI142),MATCH('KSH järjestus'!BI$3,KOMBI!$A$1:$GI$1,0))</f>
        <v>0.72887234460741646</v>
      </c>
      <c r="BJ135" s="25">
        <f t="array" ref="BJ135">INDEX(KOMBI!$A$1:$GI$145,ROW('KSH järjestus'!BJ142),MATCH('KSH järjestus'!BJ$3,KOMBI!$A$1:$GI$1,0))</f>
        <v>0.36609829488465395</v>
      </c>
      <c r="BK135" s="25">
        <f t="array" ref="BK135">INDEX(KOMBI!$A$1:$GI$145,ROW('KSH järjestus'!BK142),MATCH('KSH järjestus'!BK$3,KOMBI!$A$1:$GI$1,0))</f>
        <v>0.64611056303807113</v>
      </c>
      <c r="BL135" s="25">
        <f t="array" ref="BL135">INDEX(KOMBI!$A$1:$GI$145,ROW('KSH järjestus'!BL142),MATCH('KSH järjestus'!BL$3,KOMBI!$A$1:$GI$1,0))</f>
        <v>2.4174429154618222E-2</v>
      </c>
      <c r="BM135" s="25">
        <f t="array" ref="BM135">INDEX(KOMBI!$A$1:$GI$145,ROW('KSH järjestus'!BM142),MATCH('KSH järjestus'!BM$3,KOMBI!$A$1:$GI$1,0))</f>
        <v>3.2096321363427969E-3</v>
      </c>
      <c r="BN135" s="25">
        <f t="array" ref="BN135">INDEX(KOMBI!$A$1:$GI$145,ROW('KSH järjestus'!BN142),MATCH('KSH järjestus'!BN$3,KOMBI!$A$1:$GI$1,0))</f>
        <v>4.4609666306242024E-3</v>
      </c>
      <c r="BO135" s="25">
        <f t="array" ref="BO135">INDEX(KOMBI!$A$1:$GI$145,ROW('KSH järjestus'!BO142),MATCH('KSH järjestus'!BO$3,KOMBI!$A$1:$GI$1,0))</f>
        <v>1.9918998731180058E-2</v>
      </c>
      <c r="BP135" s="25">
        <f t="array" ref="BP135">INDEX(KOMBI!$A$1:$GI$145,ROW('KSH järjestus'!BP142),MATCH('KSH järjestus'!BP$3,KOMBI!$A$1:$GI$1,0))</f>
        <v>7.6038313570900957</v>
      </c>
      <c r="BQ135" s="25">
        <f t="array" ref="BQ135">INDEX(KOMBI!$A$1:$GI$145,ROW('KSH järjestus'!BQ142),MATCH('KSH järjestus'!BQ$3,KOMBI!$A$1:$GI$1,0))</f>
        <v>9.532</v>
      </c>
      <c r="BR135" s="25">
        <f t="array" ref="BR135">INDEX(KOMBI!$A$1:$GI$145,ROW('KSH järjestus'!BR142),MATCH('KSH järjestus'!BR$3,KOMBI!$A$1:$GI$1,0))</f>
        <v>-6.5078310298571945E-2</v>
      </c>
      <c r="BS135" s="25">
        <f t="array" ref="BS135">INDEX(KOMBI!$A$1:$GI$145,ROW('KSH järjestus'!BS142),MATCH('KSH järjestus'!BS$3,KOMBI!$A$1:$GI$1,0))</f>
        <v>-0.19707261985704216</v>
      </c>
      <c r="BT135" s="25">
        <f t="array" ref="BT135">INDEX(KOMBI!$A$1:$GI$145,ROW('KSH järjestus'!BT142),MATCH('KSH järjestus'!BT$3,KOMBI!$A$1:$GI$1,0))</f>
        <v>-0.12955712047841597</v>
      </c>
      <c r="BU135" s="25">
        <f t="array" ref="BU135">INDEX(KOMBI!$A$1:$GI$145,ROW('KSH järjestus'!BU142),MATCH('KSH järjestus'!BU$3,KOMBI!$A$1:$GI$1,0))</f>
        <v>3.4793975506064014</v>
      </c>
      <c r="BV135" s="25">
        <f t="array" ref="BV135">INDEX(KOMBI!$A$1:$GI$145,ROW('KSH järjestus'!BV142),MATCH('KSH järjestus'!BV$3,KOMBI!$A$1:$GI$1,0))</f>
        <v>1.177</v>
      </c>
      <c r="BW135" s="25">
        <f t="array" ref="BW135">INDEX(KOMBI!$A$1:$GI$145,ROW('KSH järjestus'!BW142),MATCH('KSH järjestus'!BW$3,KOMBI!$A$1:$GI$1,0))</f>
        <v>1.62408499063732</v>
      </c>
      <c r="BX135" s="25">
        <f t="array" ref="BX135">INDEX(KOMBI!$A$1:$GI$145,ROW('KSH järjestus'!BX142),MATCH('KSH järjestus'!BX$3,KOMBI!$A$1:$GI$1,0))</f>
        <v>16.029721793242818</v>
      </c>
      <c r="BY135" s="25">
        <f t="array" ref="BY135">INDEX(KOMBI!$A$1:$GI$145,ROW('KSH järjestus'!BY142),MATCH('KSH järjestus'!BY$3,KOMBI!$A$1:$GI$1,0))</f>
        <v>6.0056988012134216</v>
      </c>
      <c r="BZ135" s="25">
        <f t="array" ref="BZ135">INDEX(KOMBI!$A$1:$GI$145,ROW('KSH järjestus'!BZ142),MATCH('KSH järjestus'!BZ$3,KOMBI!$A$1:$GI$1,0))</f>
        <v>77</v>
      </c>
      <c r="CA135" s="25">
        <f t="array" ref="CA135">INDEX(KOMBI!$A$1:$GI$145,ROW('KSH järjestus'!CA142),MATCH('KSH järjestus'!CA$3,KOMBI!$A$1:$GI$1,0))</f>
        <v>8.8710000000000004</v>
      </c>
      <c r="CB135" s="25">
        <f t="array" ref="CB135">INDEX(KOMBI!$A$1:$GI$145,ROW('KSH järjestus'!CB142),MATCH('KSH järjestus'!CB$3,KOMBI!$A$1:$GI$1,0))</f>
        <v>35.222222222222221</v>
      </c>
      <c r="CC135" s="25">
        <f t="array" ref="CC135">INDEX(KOMBI!$A$1:$GI$145,ROW('KSH järjestus'!CC142),MATCH('KSH järjestus'!CC$3,KOMBI!$A$1:$GI$1,0))</f>
        <v>3.7702429999999998</v>
      </c>
      <c r="CD135" s="25">
        <f t="array" ref="CD135">INDEX(KOMBI!$A$1:$GI$145,ROW('KSH järjestus'!CD142),MATCH('KSH järjestus'!CD$3,KOMBI!$A$1:$GI$1,0))</f>
        <v>285.10000000000002</v>
      </c>
      <c r="CE135" s="25">
        <f t="array" ref="CE135">INDEX(KOMBI!$A$1:$GI$145,ROW('KSH järjestus'!CE142),MATCH('KSH järjestus'!CE$3,KOMBI!$A$1:$GI$1,0))</f>
        <v>2.7810000000000001</v>
      </c>
      <c r="CF135" s="25">
        <f t="array" ref="CF135">INDEX(KOMBI!$A$1:$GI$145,ROW('KSH järjestus'!CF142),MATCH('KSH järjestus'!CF$3,KOMBI!$A$1:$GI$1,0))</f>
        <v>38.866388888888892</v>
      </c>
      <c r="CG135" s="25">
        <f t="array" ref="CG135">INDEX(KOMBI!$A$1:$GI$145,ROW('KSH järjestus'!CG142),MATCH('KSH järjestus'!CG$3,KOMBI!$A$1:$GI$1,0))</f>
        <v>2.5620074329845279E-2</v>
      </c>
      <c r="CH135" s="25">
        <f t="array" ref="CH135">INDEX(KOMBI!$A$1:$GI$145,ROW('KSH järjestus'!CH142),MATCH('KSH järjestus'!CH$3,KOMBI!$A$1:$GI$1,0))</f>
        <v>0.55518194882771377</v>
      </c>
      <c r="CI135" s="25">
        <f t="array" ref="CI135">INDEX(KOMBI!$A$1:$GI$145,ROW('KSH järjestus'!CI142),MATCH('KSH järjestus'!CI$3,KOMBI!$A$1:$GI$1,0))</f>
        <v>10.67</v>
      </c>
      <c r="CJ135" s="25">
        <f t="array" ref="CJ135">INDEX(KOMBI!$A$1:$GI$145,ROW('KSH järjestus'!CJ142),MATCH('KSH järjestus'!CJ$3,KOMBI!$A$1:$GI$1,0))</f>
        <v>1.7198849906373199</v>
      </c>
      <c r="CK135" s="25">
        <f t="array" ref="CK135">INDEX(KOMBI!$A$1:$GI$145,ROW('KSH järjestus'!CK142),MATCH('KSH järjestus'!CK$3,KOMBI!$A$1:$GI$1,0))</f>
        <v>0.19900000000000001</v>
      </c>
      <c r="CL135" s="25">
        <f t="array" ref="CL135">INDEX(KOMBI!$A$1:$GI$145,ROW('KSH järjestus'!CL142),MATCH('KSH järjestus'!CL$3,KOMBI!$A$1:$GI$1,0))</f>
        <v>0.72299999999999998</v>
      </c>
    </row>
    <row r="136" spans="3:90" x14ac:dyDescent="0.2">
      <c r="C136" s="184">
        <v>133</v>
      </c>
      <c r="G136" s="25">
        <f>RANK(INDEX(KOMBI!$A$11:$GI$145,MATCH('KSH järjestus'!$C136,KOMBI!$A$11:$A$145,0),MATCH('KSH järjestus'!G$3,KOMBI!$A$1:$GI$1,0)),BD$4:BD$138,G$2)</f>
        <v>16</v>
      </c>
      <c r="H136" s="25">
        <f>RANK(INDEX(KOMBI!$A$11:$GI$145,MATCH('KSH järjestus'!$C136,KOMBI!$A$11:$A$145,0),MATCH('KSH järjestus'!H$3,KOMBI!$A$1:$GI$1,0)),BE$4:BE$138,H$2)</f>
        <v>8</v>
      </c>
      <c r="J136" s="25">
        <f>RANK(INDEX(KOMBI!$A$11:$GI$145,MATCH('KSH järjestus'!$C136,KOMBI!$A$11:$A$145,0),MATCH('KSH järjestus'!J$3,KOMBI!$A$1:$GI$1,0)),BG$4:BG$138,J$2)</f>
        <v>7</v>
      </c>
      <c r="M136" s="25">
        <f>RANK(INDEX(KOMBI!$A$11:$GI$145,MATCH('KSH järjestus'!$C136,KOMBI!$A$11:$A$145,0),MATCH('KSH järjestus'!M$3,KOMBI!$A$1:$GI$1,0)),BJ$4:BJ$138,M$2)</f>
        <v>1</v>
      </c>
      <c r="N136" s="25">
        <f>RANK(INDEX(KOMBI!$A$11:$GI$145,MATCH('KSH järjestus'!$C136,KOMBI!$A$11:$A$145,0),MATCH('KSH järjestus'!N$3,KOMBI!$A$1:$GI$1,0)),BK$4:BK$138,N$2)</f>
        <v>112</v>
      </c>
      <c r="O136" s="25">
        <f>RANK(INDEX(KOMBI!$A$11:$GI$145,MATCH('KSH järjestus'!$C136,KOMBI!$A$11:$A$145,0),MATCH('KSH järjestus'!O$3,KOMBI!$A$1:$GI$1,0)),BL$4:BL$138,O$2)</f>
        <v>15</v>
      </c>
      <c r="P136" s="25">
        <f>RANK(INDEX(KOMBI!$A$11:$GI$145,MATCH('KSH järjestus'!$C136,KOMBI!$A$11:$A$145,0),MATCH('KSH järjestus'!P$3,KOMBI!$A$1:$GI$1,0)),BM$4:BM$138,P$2)</f>
        <v>3</v>
      </c>
      <c r="Q136" s="25">
        <f>RANK(INDEX(KOMBI!$A$11:$GI$145,MATCH('KSH järjestus'!$C136,KOMBI!$A$11:$A$145,0),MATCH('KSH järjestus'!Q$3,KOMBI!$A$1:$GI$1,0)),BN$4:BN$138,Q$2)</f>
        <v>21</v>
      </c>
      <c r="R136" s="25">
        <f>RANK(INDEX(KOMBI!$A$11:$GI$145,MATCH('KSH järjestus'!$C136,KOMBI!$A$11:$A$145,0),MATCH('KSH järjestus'!R$3,KOMBI!$A$1:$GI$1,0)),BO$4:BO$138,R$2)</f>
        <v>17</v>
      </c>
      <c r="T136" s="25">
        <f>RANK(INDEX(KOMBI!$A$11:$GI$145,MATCH('KSH järjestus'!$C136,KOMBI!$A$11:$A$145,0),MATCH('KSH järjestus'!T$3,KOMBI!$A$1:$GI$1,0)),BQ$4:BQ$138,T$2)</f>
        <v>67</v>
      </c>
      <c r="U136" s="25">
        <f>RANK(INDEX(KOMBI!$A$11:$GI$145,MATCH('KSH järjestus'!$C136,KOMBI!$A$11:$A$145,0),MATCH('KSH järjestus'!U$3,KOMBI!$A$1:$GI$1,0)),BR$4:BR$138,U$2)</f>
        <v>27</v>
      </c>
      <c r="AA136" s="25">
        <f>RANK(INDEX(KOMBI!$A$11:$GI$145,MATCH('KSH järjestus'!$C136,KOMBI!$A$11:$A$145,0),MATCH('KSH järjestus'!AA$3,KOMBI!$A$1:$GI$1,0)),BX$4:BX$138,AA$2)</f>
        <v>109</v>
      </c>
      <c r="AB136" s="25">
        <f>RANK(INDEX(KOMBI!$A$11:$GI$145,MATCH('KSH järjestus'!$C136,KOMBI!$A$11:$A$145,0),MATCH('KSH järjestus'!AB$3,KOMBI!$A$1:$GI$1,0)),BY$4:BY$138,AB$2)</f>
        <v>109</v>
      </c>
      <c r="AC136" s="25">
        <f>RANK(INDEX(KOMBI!$A$11:$GI$145,MATCH('KSH järjestus'!$C136,KOMBI!$A$11:$A$145,0),MATCH('KSH järjestus'!AC$3,KOMBI!$A$1:$GI$1,0)),BZ$4:BZ$138,AC$2)</f>
        <v>111</v>
      </c>
      <c r="AD136" s="25">
        <f>RANK(INDEX(KOMBI!$A$11:$GI$145,MATCH('KSH järjestus'!$C136,KOMBI!$A$11:$A$145,0),MATCH('KSH järjestus'!AD$3,KOMBI!$A$1:$GI$1,0)),CA$4:CA$138,AD$2)</f>
        <v>97</v>
      </c>
      <c r="AE136" s="25">
        <f>RANK(INDEX(KOMBI!$A$11:$GI$145,MATCH('KSH järjestus'!$C136,KOMBI!$A$11:$A$145,0),MATCH('KSH järjestus'!AE$3,KOMBI!$A$1:$GI$1,0)),CB$4:CB$138,AE$2)</f>
        <v>109</v>
      </c>
      <c r="AG136" s="25">
        <f>RANK(INDEX(KOMBI!$A$11:$GI$145,MATCH('KSH järjestus'!$C136,KOMBI!$A$11:$A$145,0),MATCH('KSH järjestus'!AG$3,KOMBI!$A$1:$GI$1,0)),CD$4:CD$138,AG$2)</f>
        <v>1</v>
      </c>
      <c r="AH136" s="25">
        <f>RANK(INDEX(KOMBI!$A$11:$GI$145,MATCH('KSH järjestus'!$C136,KOMBI!$A$11:$A$145,0),MATCH('KSH järjestus'!AH$3,KOMBI!$A$1:$GI$1,0)),CE$4:CE$138,AH$2)</f>
        <v>16</v>
      </c>
      <c r="AI136" s="25">
        <f>RANK(INDEX(KOMBI!$A$11:$GI$145,MATCH('KSH järjestus'!$C136,KOMBI!$A$11:$A$145,0),MATCH('KSH järjestus'!AI$3,KOMBI!$A$1:$GI$1,0)),CF$4:CF$138,AI$2)</f>
        <v>109</v>
      </c>
      <c r="AJ136" s="25">
        <f>RANK(INDEX(KOMBI!$A$11:$GI$145,MATCH('KSH järjestus'!$C136,KOMBI!$A$11:$A$145,0),MATCH('KSH järjestus'!AJ$3,KOMBI!$A$1:$GI$1,0)),CG$4:CG$138,AJ$2)</f>
        <v>28</v>
      </c>
      <c r="AK136" s="25">
        <f>RANK(INDEX(KOMBI!$A$11:$GI$145,MATCH('KSH järjestus'!$C136,KOMBI!$A$11:$A$145,0),MATCH('KSH järjestus'!AK$3,KOMBI!$A$1:$GI$1,0)),CH$4:CH$138,AK$2)</f>
        <v>40</v>
      </c>
      <c r="AN136" s="25">
        <f>RANK(INDEX(KOMBI!$A$11:$GI$145,MATCH('KSH järjestus'!$C136,KOMBI!$A$11:$A$145,0),MATCH('KSH järjestus'!AN$3,KOMBI!$A$1:$GI$1,0)),CK$4:CK$138,AN$2)</f>
        <v>1</v>
      </c>
      <c r="AO136" s="25">
        <f>RANK(INDEX(KOMBI!$A$11:$GI$145,MATCH('KSH järjestus'!$C136,KOMBI!$A$11:$A$145,0),MATCH('KSH järjestus'!AO$3,KOMBI!$A$1:$GI$1,0)),CL$4:CL$138,AO$2)</f>
        <v>1</v>
      </c>
      <c r="AS136" s="297">
        <f t="shared" si="10"/>
        <v>1025</v>
      </c>
      <c r="AT136" s="25">
        <f t="shared" si="8"/>
        <v>2430</v>
      </c>
      <c r="AU136" s="25">
        <f t="shared" si="9"/>
        <v>5</v>
      </c>
      <c r="AV136" s="295" t="str">
        <f>VLOOKUP(VLOOKUP($AU136,KOMBI!$A:$H,3,FALSE),data!$I$27:$J$29,2,FALSE)</f>
        <v>Mittesekkuv</v>
      </c>
      <c r="AW136" s="295" t="str">
        <f>VLOOKUP(VLOOKUP($AU136,KOMBI!$A:$H,2,FALSE),data!$I$21:$J$23,2,FALSE)</f>
        <v>Mittesekkuv</v>
      </c>
      <c r="AX136" s="295" t="str">
        <f>VLOOKUP(VLOOKUP($AU136,KOMBI!$A:$H,5,FALSE),data!$I$39:$J$41,2,FALSE)</f>
        <v>Vähe-sekkuv</v>
      </c>
      <c r="AY136" s="295" t="str">
        <f>VLOOKUP(VLOOKUP($AU136,KOMBI!$A:$H,4,FALSE),data!$I$32:$J$36,2,FALSE)</f>
        <v>LIB+</v>
      </c>
      <c r="BA136" s="25">
        <f t="array" ref="BA136">INDEX(KOMBI!$A$1:$GI$145,ROW('KSH järjestus'!BA143),MATCH('KSH järjestus'!BA$3,KOMBI!$A$1:$GI$1,0))</f>
        <v>7.2247501993602317</v>
      </c>
      <c r="BB136" s="25">
        <f t="array" ref="BB136">INDEX(KOMBI!$A$1:$GI$145,ROW('KSH järjestus'!BB143),MATCH('KSH järjestus'!BB$3,KOMBI!$A$1:$GI$1,0))</f>
        <v>764.35805468302556</v>
      </c>
      <c r="BC136" s="25">
        <f t="array" aca="1" ref="BC136" ca="1">INDEX(KOMBI!$A$1:$GI$145,ROW('KSH järjestus'!BC143),MATCH('KSH järjestus'!BC$3,KOMBI!$A$1:$GI$1,0))</f>
        <v>117.94381416246918</v>
      </c>
      <c r="BD136" s="25">
        <f t="array" ref="BD136">INDEX(KOMBI!$A$1:$GI$145,ROW('KSH järjestus'!BD143),MATCH('KSH järjestus'!BD$3,KOMBI!$A$1:$GI$1,0))</f>
        <v>-162.95750000000001</v>
      </c>
      <c r="BE136" s="25">
        <f t="array" ref="BE136">INDEX(KOMBI!$A$1:$GI$145,ROW('KSH järjestus'!BE143),MATCH('KSH järjestus'!BE$3,KOMBI!$A$1:$GI$1,0))</f>
        <v>280.90131416246919</v>
      </c>
      <c r="BF136" s="25">
        <f t="array" aca="1" ref="BF136" ca="1">INDEX(KOMBI!$A$1:$GI$145,ROW('KSH järjestus'!BF143),MATCH('KSH järjestus'!BF$3,KOMBI!$A$1:$GI$1,0))</f>
        <v>0</v>
      </c>
      <c r="BG136" s="25">
        <f t="array" ref="BG136">INDEX(KOMBI!$A$1:$GI$145,ROW('KSH järjestus'!BG143),MATCH('KSH järjestus'!BG$3,KOMBI!$A$1:$GI$1,0))</f>
        <v>0.28607448977970246</v>
      </c>
      <c r="BH136" s="25">
        <f t="array" ref="BH136">INDEX(KOMBI!$A$1:$GI$145,ROW('KSH järjestus'!BH143),MATCH('KSH järjestus'!BH$3,KOMBI!$A$1:$GI$1,0))</f>
        <v>90</v>
      </c>
      <c r="BI136" s="25">
        <f t="array" ref="BI136">INDEX(KOMBI!$A$1:$GI$145,ROW('KSH järjestus'!BI143),MATCH('KSH järjestus'!BI$3,KOMBI!$A$1:$GI$1,0))</f>
        <v>1</v>
      </c>
      <c r="BJ136" s="25">
        <f t="array" ref="BJ136">INDEX(KOMBI!$A$1:$GI$145,ROW('KSH järjestus'!BJ143),MATCH('KSH järjestus'!BJ$3,KOMBI!$A$1:$GI$1,0))</f>
        <v>0</v>
      </c>
      <c r="BK136" s="25">
        <f t="array" ref="BK136">INDEX(KOMBI!$A$1:$GI$145,ROW('KSH järjestus'!BK143),MATCH('KSH järjestus'!BK$3,KOMBI!$A$1:$GI$1,0))</f>
        <v>0.27595013650694183</v>
      </c>
      <c r="BL136" s="25">
        <f t="array" ref="BL136">INDEX(KOMBI!$A$1:$GI$145,ROW('KSH järjestus'!BL143),MATCH('KSH järjestus'!BL$3,KOMBI!$A$1:$GI$1,0))</f>
        <v>2.8225660947919749E-2</v>
      </c>
      <c r="BM136" s="25">
        <f t="array" ref="BM136">INDEX(KOMBI!$A$1:$GI$145,ROW('KSH järjestus'!BM143),MATCH('KSH järjestus'!BM$3,KOMBI!$A$1:$GI$1,0))</f>
        <v>1.4219272735081974E-2</v>
      </c>
      <c r="BN136" s="25">
        <f t="array" ref="BN136">INDEX(KOMBI!$A$1:$GI$145,ROW('KSH järjestus'!BN143),MATCH('KSH järjestus'!BN$3,KOMBI!$A$1:$GI$1,0))</f>
        <v>1.0375960865619566E-2</v>
      </c>
      <c r="BO136" s="25">
        <f t="array" ref="BO136">INDEX(KOMBI!$A$1:$GI$145,ROW('KSH järjestus'!BO143),MATCH('KSH järjestus'!BO$3,KOMBI!$A$1:$GI$1,0))</f>
        <v>1.8223260111437593E-2</v>
      </c>
      <c r="BP136" s="25">
        <f t="array" ref="BP136">INDEX(KOMBI!$A$1:$GI$145,ROW('KSH järjestus'!BP143),MATCH('KSH järjestus'!BP$3,KOMBI!$A$1:$GI$1,0))</f>
        <v>7.5199896156049162</v>
      </c>
      <c r="BQ136" s="25">
        <f t="array" ref="BQ136">INDEX(KOMBI!$A$1:$GI$145,ROW('KSH järjestus'!BQ143),MATCH('KSH järjestus'!BQ$3,KOMBI!$A$1:$GI$1,0))</f>
        <v>10.715</v>
      </c>
      <c r="BR136" s="25">
        <f t="array" ref="BR136">INDEX(KOMBI!$A$1:$GI$145,ROW('KSH järjestus'!BR143),MATCH('KSH järjestus'!BR$3,KOMBI!$A$1:$GI$1,0))</f>
        <v>-4.3036781019003816E-2</v>
      </c>
      <c r="BS136" s="25">
        <f t="array" ref="BS136">INDEX(KOMBI!$A$1:$GI$145,ROW('KSH järjestus'!BS143),MATCH('KSH järjestus'!BS$3,KOMBI!$A$1:$GI$1,0))</f>
        <v>2.8724424661701213E-2</v>
      </c>
      <c r="BT136" s="25">
        <f t="array" ref="BT136">INDEX(KOMBI!$A$1:$GI$145,ROW('KSH järjestus'!BT143),MATCH('KSH järjestus'!BT$3,KOMBI!$A$1:$GI$1,0))</f>
        <v>1.177840027048313E-2</v>
      </c>
      <c r="BU136" s="25">
        <f t="array" ref="BU136">INDEX(KOMBI!$A$1:$GI$145,ROW('KSH järjestus'!BU143),MATCH('KSH järjestus'!BU$3,KOMBI!$A$1:$GI$1,0))</f>
        <v>10.488630311598682</v>
      </c>
      <c r="BV136" s="25">
        <f t="array" ref="BV136">INDEX(KOMBI!$A$1:$GI$145,ROW('KSH järjestus'!BV143),MATCH('KSH järjestus'!BV$3,KOMBI!$A$1:$GI$1,0))</f>
        <v>5.9039999999999999</v>
      </c>
      <c r="BW136" s="25">
        <f t="array" ref="BW136">INDEX(KOMBI!$A$1:$GI$145,ROW('KSH järjestus'!BW143),MATCH('KSH järjestus'!BW$3,KOMBI!$A$1:$GI$1,0))</f>
        <v>1.03788499063732</v>
      </c>
      <c r="BX136" s="25">
        <f t="array" ref="BX136">INDEX(KOMBI!$A$1:$GI$145,ROW('KSH järjestus'!BX143),MATCH('KSH järjestus'!BX$3,KOMBI!$A$1:$GI$1,0))</f>
        <v>20.928000000000001</v>
      </c>
      <c r="BY136" s="25">
        <f t="array" ref="BY136">INDEX(KOMBI!$A$1:$GI$145,ROW('KSH järjestus'!BY143),MATCH('KSH järjestus'!BY$3,KOMBI!$A$1:$GI$1,0))</f>
        <v>37.837669554234019</v>
      </c>
      <c r="BZ136" s="25">
        <f t="array" ref="BZ136">INDEX(KOMBI!$A$1:$GI$145,ROW('KSH järjestus'!BZ143),MATCH('KSH järjestus'!BZ$3,KOMBI!$A$1:$GI$1,0))</f>
        <v>91</v>
      </c>
      <c r="CA136" s="25">
        <f t="array" ref="CA136">INDEX(KOMBI!$A$1:$GI$145,ROW('KSH järjestus'!CA143),MATCH('KSH järjestus'!CA$3,KOMBI!$A$1:$GI$1,0))</f>
        <v>15.191000000000001</v>
      </c>
      <c r="CB136" s="25">
        <f t="array" ref="CB136">INDEX(KOMBI!$A$1:$GI$145,ROW('KSH järjestus'!CB143),MATCH('KSH järjestus'!CB$3,KOMBI!$A$1:$GI$1,0))</f>
        <v>130.73361111111112</v>
      </c>
      <c r="CC136" s="25">
        <f t="array" ref="CC136">INDEX(KOMBI!$A$1:$GI$145,ROW('KSH järjestus'!CC143),MATCH('KSH järjestus'!CC$3,KOMBI!$A$1:$GI$1,0))</f>
        <v>6.9564380000000003</v>
      </c>
      <c r="CD136" s="25">
        <f t="array" ref="CD136">INDEX(KOMBI!$A$1:$GI$145,ROW('KSH järjestus'!CD143),MATCH('KSH järjestus'!CD$3,KOMBI!$A$1:$GI$1,0))</f>
        <v>284.90000000000003</v>
      </c>
      <c r="CE136" s="25">
        <f t="array" ref="CE136">INDEX(KOMBI!$A$1:$GI$145,ROW('KSH järjestus'!CE143),MATCH('KSH järjestus'!CE$3,KOMBI!$A$1:$GI$1,0))</f>
        <v>2.7810000000000001</v>
      </c>
      <c r="CF136" s="25">
        <f t="array" ref="CF136">INDEX(KOMBI!$A$1:$GI$145,ROW('KSH järjestus'!CF143),MATCH('KSH järjestus'!CF$3,KOMBI!$A$1:$GI$1,0))</f>
        <v>57.735011875436598</v>
      </c>
      <c r="CG136" s="25">
        <f t="array" ref="CG136">INDEX(KOMBI!$A$1:$GI$145,ROW('KSH järjestus'!CG143),MATCH('KSH järjestus'!CG$3,KOMBI!$A$1:$GI$1,0))</f>
        <v>2.5620074329845279E-2</v>
      </c>
      <c r="CH136" s="25">
        <f t="array" ref="CH136">INDEX(KOMBI!$A$1:$GI$145,ROW('KSH järjestus'!CH143),MATCH('KSH järjestus'!CH$3,KOMBI!$A$1:$GI$1,0))</f>
        <v>0.44890608494094819</v>
      </c>
      <c r="CI136" s="25">
        <f t="array" ref="CI136">INDEX(KOMBI!$A$1:$GI$145,ROW('KSH järjestus'!CI143),MATCH('KSH järjestus'!CI$3,KOMBI!$A$1:$GI$1,0))</f>
        <v>6.08</v>
      </c>
      <c r="CJ136" s="25">
        <f t="array" ref="CJ136">INDEX(KOMBI!$A$1:$GI$145,ROW('KSH järjestus'!CJ143),MATCH('KSH järjestus'!CJ$3,KOMBI!$A$1:$GI$1,0))</f>
        <v>7.2238849906373197</v>
      </c>
      <c r="CK136" s="25">
        <f t="array" ref="CK136">INDEX(KOMBI!$A$1:$GI$145,ROW('KSH järjestus'!CK143),MATCH('KSH järjestus'!CK$3,KOMBI!$A$1:$GI$1,0))</f>
        <v>0.19900000000000001</v>
      </c>
      <c r="CL136" s="25">
        <f t="array" ref="CL136">INDEX(KOMBI!$A$1:$GI$145,ROW('KSH järjestus'!CL143),MATCH('KSH järjestus'!CL$3,KOMBI!$A$1:$GI$1,0))</f>
        <v>0.72299999999999998</v>
      </c>
    </row>
    <row r="137" spans="3:90" x14ac:dyDescent="0.2">
      <c r="C137" s="184">
        <v>134</v>
      </c>
      <c r="G137" s="25">
        <f>RANK(INDEX(KOMBI!$A$11:$GI$145,MATCH('KSH järjestus'!$C137,KOMBI!$A$11:$A$145,0),MATCH('KSH järjestus'!G$3,KOMBI!$A$1:$GI$1,0)),BD$4:BD$138,G$2)</f>
        <v>11</v>
      </c>
      <c r="H137" s="25">
        <f>RANK(INDEX(KOMBI!$A$11:$GI$145,MATCH('KSH järjestus'!$C137,KOMBI!$A$11:$A$145,0),MATCH('KSH järjestus'!H$3,KOMBI!$A$1:$GI$1,0)),BE$4:BE$138,H$2)</f>
        <v>3</v>
      </c>
      <c r="J137" s="25">
        <f>RANK(INDEX(KOMBI!$A$11:$GI$145,MATCH('KSH järjestus'!$C137,KOMBI!$A$11:$A$145,0),MATCH('KSH järjestus'!J$3,KOMBI!$A$1:$GI$1,0)),BG$4:BG$138,J$2)</f>
        <v>1</v>
      </c>
      <c r="M137" s="25">
        <f>RANK(INDEX(KOMBI!$A$11:$GI$145,MATCH('KSH järjestus'!$C137,KOMBI!$A$11:$A$145,0),MATCH('KSH järjestus'!M$3,KOMBI!$A$1:$GI$1,0)),BJ$4:BJ$138,M$2)</f>
        <v>1</v>
      </c>
      <c r="N137" s="25">
        <f>RANK(INDEX(KOMBI!$A$11:$GI$145,MATCH('KSH järjestus'!$C137,KOMBI!$A$11:$A$145,0),MATCH('KSH järjestus'!N$3,KOMBI!$A$1:$GI$1,0)),BK$4:BK$138,N$2)</f>
        <v>114</v>
      </c>
      <c r="O137" s="25">
        <f>RANK(INDEX(KOMBI!$A$11:$GI$145,MATCH('KSH järjestus'!$C137,KOMBI!$A$11:$A$145,0),MATCH('KSH järjestus'!O$3,KOMBI!$A$1:$GI$1,0)),BL$4:BL$138,O$2)</f>
        <v>5</v>
      </c>
      <c r="P137" s="25">
        <f>RANK(INDEX(KOMBI!$A$11:$GI$145,MATCH('KSH järjestus'!$C137,KOMBI!$A$11:$A$145,0),MATCH('KSH järjestus'!P$3,KOMBI!$A$1:$GI$1,0)),BM$4:BM$138,P$2)</f>
        <v>9</v>
      </c>
      <c r="Q137" s="25">
        <f>RANK(INDEX(KOMBI!$A$11:$GI$145,MATCH('KSH järjestus'!$C137,KOMBI!$A$11:$A$145,0),MATCH('KSH järjestus'!Q$3,KOMBI!$A$1:$GI$1,0)),BN$4:BN$138,Q$2)</f>
        <v>12</v>
      </c>
      <c r="R137" s="25">
        <f>RANK(INDEX(KOMBI!$A$11:$GI$145,MATCH('KSH järjestus'!$C137,KOMBI!$A$11:$A$145,0),MATCH('KSH järjestus'!R$3,KOMBI!$A$1:$GI$1,0)),BO$4:BO$138,R$2)</f>
        <v>5</v>
      </c>
      <c r="T137" s="25">
        <f>RANK(INDEX(KOMBI!$A$11:$GI$145,MATCH('KSH järjestus'!$C137,KOMBI!$A$11:$A$145,0),MATCH('KSH järjestus'!T$3,KOMBI!$A$1:$GI$1,0)),BQ$4:BQ$138,T$2)</f>
        <v>74</v>
      </c>
      <c r="U137" s="25">
        <f>RANK(INDEX(KOMBI!$A$11:$GI$145,MATCH('KSH järjestus'!$C137,KOMBI!$A$11:$A$145,0),MATCH('KSH järjestus'!U$3,KOMBI!$A$1:$GI$1,0)),BR$4:BR$138,U$2)</f>
        <v>33</v>
      </c>
      <c r="AA137" s="25">
        <f>RANK(INDEX(KOMBI!$A$11:$GI$145,MATCH('KSH järjestus'!$C137,KOMBI!$A$11:$A$145,0),MATCH('KSH järjestus'!AA$3,KOMBI!$A$1:$GI$1,0)),BX$4:BX$138,AA$2)</f>
        <v>109</v>
      </c>
      <c r="AB137" s="25">
        <f>RANK(INDEX(KOMBI!$A$11:$GI$145,MATCH('KSH järjestus'!$C137,KOMBI!$A$11:$A$145,0),MATCH('KSH järjestus'!AB$3,KOMBI!$A$1:$GI$1,0)),BY$4:BY$138,AB$2)</f>
        <v>109</v>
      </c>
      <c r="AC137" s="25">
        <f>RANK(INDEX(KOMBI!$A$11:$GI$145,MATCH('KSH järjestus'!$C137,KOMBI!$A$11:$A$145,0),MATCH('KSH järjestus'!AC$3,KOMBI!$A$1:$GI$1,0)),BZ$4:BZ$138,AC$2)</f>
        <v>112</v>
      </c>
      <c r="AD137" s="25">
        <f>RANK(INDEX(KOMBI!$A$11:$GI$145,MATCH('KSH järjestus'!$C137,KOMBI!$A$11:$A$145,0),MATCH('KSH järjestus'!AD$3,KOMBI!$A$1:$GI$1,0)),CA$4:CA$138,AD$2)</f>
        <v>101</v>
      </c>
      <c r="AE137" s="25">
        <f>RANK(INDEX(KOMBI!$A$11:$GI$145,MATCH('KSH järjestus'!$C137,KOMBI!$A$11:$A$145,0),MATCH('KSH järjestus'!AE$3,KOMBI!$A$1:$GI$1,0)),CB$4:CB$138,AE$2)</f>
        <v>110</v>
      </c>
      <c r="AG137" s="25">
        <f>RANK(INDEX(KOMBI!$A$11:$GI$145,MATCH('KSH järjestus'!$C137,KOMBI!$A$11:$A$145,0),MATCH('KSH järjestus'!AG$3,KOMBI!$A$1:$GI$1,0)),CD$4:CD$138,AG$2)</f>
        <v>1</v>
      </c>
      <c r="AH137" s="25">
        <f>RANK(INDEX(KOMBI!$A$11:$GI$145,MATCH('KSH järjestus'!$C137,KOMBI!$A$11:$A$145,0),MATCH('KSH järjestus'!AH$3,KOMBI!$A$1:$GI$1,0)),CE$4:CE$138,AH$2)</f>
        <v>16</v>
      </c>
      <c r="AI137" s="25">
        <f>RANK(INDEX(KOMBI!$A$11:$GI$145,MATCH('KSH järjestus'!$C137,KOMBI!$A$11:$A$145,0),MATCH('KSH järjestus'!AI$3,KOMBI!$A$1:$GI$1,0)),CF$4:CF$138,AI$2)</f>
        <v>111</v>
      </c>
      <c r="AJ137" s="25">
        <f>RANK(INDEX(KOMBI!$A$11:$GI$145,MATCH('KSH järjestus'!$C137,KOMBI!$A$11:$A$145,0),MATCH('KSH järjestus'!AJ$3,KOMBI!$A$1:$GI$1,0)),CG$4:CG$138,AJ$2)</f>
        <v>28</v>
      </c>
      <c r="AK137" s="25">
        <f>RANK(INDEX(KOMBI!$A$11:$GI$145,MATCH('KSH järjestus'!$C137,KOMBI!$A$11:$A$145,0),MATCH('KSH järjestus'!AK$3,KOMBI!$A$1:$GI$1,0)),CH$4:CH$138,AK$2)</f>
        <v>40</v>
      </c>
      <c r="AN137" s="25">
        <f>RANK(INDEX(KOMBI!$A$11:$GI$145,MATCH('KSH järjestus'!$C137,KOMBI!$A$11:$A$145,0),MATCH('KSH järjestus'!AN$3,KOMBI!$A$1:$GI$1,0)),CK$4:CK$138,AN$2)</f>
        <v>1</v>
      </c>
      <c r="AO137" s="25">
        <f>RANK(INDEX(KOMBI!$A$11:$GI$145,MATCH('KSH järjestus'!$C137,KOMBI!$A$11:$A$145,0),MATCH('KSH järjestus'!AO$3,KOMBI!$A$1:$GI$1,0)),CL$4:CL$138,AO$2)</f>
        <v>1</v>
      </c>
      <c r="AS137" s="297">
        <f t="shared" si="10"/>
        <v>1007</v>
      </c>
      <c r="AT137" s="25">
        <f t="shared" si="8"/>
        <v>2455</v>
      </c>
      <c r="AU137" s="25">
        <f t="shared" si="9"/>
        <v>1</v>
      </c>
      <c r="AV137" s="295" t="str">
        <f>VLOOKUP(VLOOKUP($AU137,KOMBI!$A:$H,3,FALSE),data!$I$27:$J$29,2,FALSE)</f>
        <v>Mittesekkuv</v>
      </c>
      <c r="AW137" s="295" t="str">
        <f>VLOOKUP(VLOOKUP($AU137,KOMBI!$A:$H,2,FALSE),data!$I$21:$J$23,2,FALSE)</f>
        <v>Mittesekkuv</v>
      </c>
      <c r="AX137" s="295" t="str">
        <f>VLOOKUP(VLOOKUP($AU137,KOMBI!$A:$H,5,FALSE),data!$I$39:$J$41,2,FALSE)</f>
        <v>Mittesekkuv</v>
      </c>
      <c r="AY137" s="295" t="str">
        <f>VLOOKUP(VLOOKUP($AU137,KOMBI!$A:$H,4,FALSE),data!$I$32:$J$36,2,FALSE)</f>
        <v>LIB</v>
      </c>
      <c r="BA137" s="25">
        <f t="array" ref="BA137">INDEX(KOMBI!$A$1:$GI$145,ROW('KSH järjestus'!BA144),MATCH('KSH järjestus'!BA$3,KOMBI!$A$1:$GI$1,0))</f>
        <v>8.1406618480060722</v>
      </c>
      <c r="BB137" s="25">
        <f t="array" ref="BB137">INDEX(KOMBI!$A$1:$GI$145,ROW('KSH järjestus'!BB144),MATCH('KSH järjestus'!BB$3,KOMBI!$A$1:$GI$1,0))</f>
        <v>924.83808695228879</v>
      </c>
      <c r="BC137" s="25">
        <f t="array" aca="1" ref="BC137" ca="1">INDEX(KOMBI!$A$1:$GI$145,ROW('KSH järjestus'!BC144),MATCH('KSH järjestus'!BC$3,KOMBI!$A$1:$GI$1,0))</f>
        <v>147.10913619100427</v>
      </c>
      <c r="BD137" s="25">
        <f t="array" ref="BD137">INDEX(KOMBI!$A$1:$GI$145,ROW('KSH järjestus'!BD144),MATCH('KSH järjestus'!BD$3,KOMBI!$A$1:$GI$1,0))</f>
        <v>-178.19071988063212</v>
      </c>
      <c r="BE137" s="25">
        <f t="array" ref="BE137">INDEX(KOMBI!$A$1:$GI$145,ROW('KSH järjestus'!BE144),MATCH('KSH järjestus'!BE$3,KOMBI!$A$1:$GI$1,0))</f>
        <v>325.29985607163638</v>
      </c>
      <c r="BF137" s="25">
        <f t="array" aca="1" ref="BF137" ca="1">INDEX(KOMBI!$A$1:$GI$145,ROW('KSH järjestus'!BF144),MATCH('KSH järjestus'!BF$3,KOMBI!$A$1:$GI$1,0))</f>
        <v>0</v>
      </c>
      <c r="BG137" s="25">
        <f t="array" ref="BG137">INDEX(KOMBI!$A$1:$GI$145,ROW('KSH järjestus'!BG144),MATCH('KSH järjestus'!BG$3,KOMBI!$A$1:$GI$1,0))</f>
        <v>0.24932063212336691</v>
      </c>
      <c r="BH137" s="25">
        <f t="array" ref="BH137">INDEX(KOMBI!$A$1:$GI$145,ROW('KSH järjestus'!BH144),MATCH('KSH järjestus'!BH$3,KOMBI!$A$1:$GI$1,0))</f>
        <v>90</v>
      </c>
      <c r="BI137" s="25">
        <f t="array" ref="BI137">INDEX(KOMBI!$A$1:$GI$145,ROW('KSH järjestus'!BI144),MATCH('KSH järjestus'!BI$3,KOMBI!$A$1:$GI$1,0))</f>
        <v>0.72887234460741657</v>
      </c>
      <c r="BJ137" s="25">
        <f t="array" ref="BJ137">INDEX(KOMBI!$A$1:$GI$145,ROW('KSH järjestus'!BJ144),MATCH('KSH järjestus'!BJ$3,KOMBI!$A$1:$GI$1,0))</f>
        <v>0</v>
      </c>
      <c r="BK137" s="25">
        <f t="array" ref="BK137">INDEX(KOMBI!$A$1:$GI$145,ROW('KSH järjestus'!BK144),MATCH('KSH järjestus'!BK$3,KOMBI!$A$1:$GI$1,0))</f>
        <v>0.27595013650694178</v>
      </c>
      <c r="BL137" s="25">
        <f t="array" ref="BL137">INDEX(KOMBI!$A$1:$GI$145,ROW('KSH järjestus'!BL144),MATCH('KSH järjestus'!BL$3,KOMBI!$A$1:$GI$1,0))</f>
        <v>3.4508054034342074E-2</v>
      </c>
      <c r="BM137" s="25">
        <f t="array" ref="BM137">INDEX(KOMBI!$A$1:$GI$145,ROW('KSH järjestus'!BM144),MATCH('KSH järjestus'!BM$3,KOMBI!$A$1:$GI$1,0))</f>
        <v>1.1526219885666359E-2</v>
      </c>
      <c r="BN137" s="25">
        <f t="array" ref="BN137">INDEX(KOMBI!$A$1:$GI$145,ROW('KSH järjestus'!BN144),MATCH('KSH järjestus'!BN$3,KOMBI!$A$1:$GI$1,0))</f>
        <v>1.2868830726977393E-2</v>
      </c>
      <c r="BO137" s="25">
        <f t="array" ref="BO137">INDEX(KOMBI!$A$1:$GI$145,ROW('KSH järjestus'!BO144),MATCH('KSH järjestus'!BO$3,KOMBI!$A$1:$GI$1,0))</f>
        <v>2.2048146655314422E-2</v>
      </c>
      <c r="BP137" s="25">
        <f t="array" ref="BP137">INDEX(KOMBI!$A$1:$GI$145,ROW('KSH järjestus'!BP144),MATCH('KSH järjestus'!BP$3,KOMBI!$A$1:$GI$1,0))</f>
        <v>7.5199896156049162</v>
      </c>
      <c r="BQ137" s="25">
        <f t="array" ref="BQ137">INDEX(KOMBI!$A$1:$GI$145,ROW('KSH järjestus'!BQ144),MATCH('KSH järjestus'!BQ$3,KOMBI!$A$1:$GI$1,0))</f>
        <v>10.805999999999999</v>
      </c>
      <c r="BR137" s="25">
        <f t="array" ref="BR137">INDEX(KOMBI!$A$1:$GI$145,ROW('KSH järjestus'!BR144),MATCH('KSH järjestus'!BR$3,KOMBI!$A$1:$GI$1,0))</f>
        <v>-3.8802982007739094E-2</v>
      </c>
      <c r="BS137" s="25">
        <f t="array" ref="BS137">INDEX(KOMBI!$A$1:$GI$145,ROW('KSH järjestus'!BS144),MATCH('KSH järjestus'!BS$3,KOMBI!$A$1:$GI$1,0))</f>
        <v>3.0058036881336778E-2</v>
      </c>
      <c r="BT137" s="25">
        <f t="array" ref="BT137">INDEX(KOMBI!$A$1:$GI$145,ROW('KSH järjestus'!BT144),MATCH('KSH järjestus'!BT$3,KOMBI!$A$1:$GI$1,0))</f>
        <v>1.2877363069877093E-2</v>
      </c>
      <c r="BU137" s="25">
        <f t="array" ref="BU137">INDEX(KOMBI!$A$1:$GI$145,ROW('KSH järjestus'!BU144),MATCH('KSH järjestus'!BU$3,KOMBI!$A$1:$GI$1,0))</f>
        <v>10.488630311598682</v>
      </c>
      <c r="BV137" s="25">
        <f t="array" ref="BV137">INDEX(KOMBI!$A$1:$GI$145,ROW('KSH järjestus'!BV144),MATCH('KSH järjestus'!BV$3,KOMBI!$A$1:$GI$1,0))</f>
        <v>5.9039999999999999</v>
      </c>
      <c r="BW137" s="25">
        <f t="array" ref="BW137">INDEX(KOMBI!$A$1:$GI$145,ROW('KSH järjestus'!BW144),MATCH('KSH järjestus'!BW$3,KOMBI!$A$1:$GI$1,0))</f>
        <v>1.4153849906373199</v>
      </c>
      <c r="BX137" s="25">
        <f t="array" ref="BX137">INDEX(KOMBI!$A$1:$GI$145,ROW('KSH järjestus'!BX144),MATCH('KSH järjestus'!BX$3,KOMBI!$A$1:$GI$1,0))</f>
        <v>20.928000000000001</v>
      </c>
      <c r="BY137" s="25">
        <f t="array" ref="BY137">INDEX(KOMBI!$A$1:$GI$145,ROW('KSH järjestus'!BY144),MATCH('KSH järjestus'!BY$3,KOMBI!$A$1:$GI$1,0))</f>
        <v>37.837669554234019</v>
      </c>
      <c r="BZ137" s="25">
        <f t="array" ref="BZ137">INDEX(KOMBI!$A$1:$GI$145,ROW('KSH järjestus'!BZ144),MATCH('KSH järjestus'!BZ$3,KOMBI!$A$1:$GI$1,0))</f>
        <v>91.4</v>
      </c>
      <c r="CA137" s="25">
        <f t="array" ref="CA137">INDEX(KOMBI!$A$1:$GI$145,ROW('KSH järjestus'!CA144),MATCH('KSH järjestus'!CA$3,KOMBI!$A$1:$GI$1,0))</f>
        <v>15.28</v>
      </c>
      <c r="CB137" s="25">
        <f t="array" ref="CB137">INDEX(KOMBI!$A$1:$GI$145,ROW('KSH järjestus'!CB144),MATCH('KSH järjestus'!CB$3,KOMBI!$A$1:$GI$1,0))</f>
        <v>131.07388888888889</v>
      </c>
      <c r="CC137" s="25">
        <f t="array" ref="CC137">INDEX(KOMBI!$A$1:$GI$145,ROW('KSH järjestus'!CC144),MATCH('KSH järjestus'!CC$3,KOMBI!$A$1:$GI$1,0))</f>
        <v>6.9897299999999998</v>
      </c>
      <c r="CD137" s="25">
        <f t="array" ref="CD137">INDEX(KOMBI!$A$1:$GI$145,ROW('KSH järjestus'!CD144),MATCH('KSH järjestus'!CD$3,KOMBI!$A$1:$GI$1,0))</f>
        <v>284.90000000000003</v>
      </c>
      <c r="CE137" s="25">
        <f t="array" ref="CE137">INDEX(KOMBI!$A$1:$GI$145,ROW('KSH järjestus'!CE144),MATCH('KSH järjestus'!CE$3,KOMBI!$A$1:$GI$1,0))</f>
        <v>2.7810000000000001</v>
      </c>
      <c r="CF137" s="25">
        <f t="array" ref="CF137">INDEX(KOMBI!$A$1:$GI$145,ROW('KSH järjestus'!CF144),MATCH('KSH järjestus'!CF$3,KOMBI!$A$1:$GI$1,0))</f>
        <v>57.735011875436605</v>
      </c>
      <c r="CG137" s="25">
        <f t="array" ref="CG137">INDEX(KOMBI!$A$1:$GI$145,ROW('KSH järjestus'!CG144),MATCH('KSH järjestus'!CG$3,KOMBI!$A$1:$GI$1,0))</f>
        <v>2.5620074329845279E-2</v>
      </c>
      <c r="CH137" s="25">
        <f t="array" ref="CH137">INDEX(KOMBI!$A$1:$GI$145,ROW('KSH järjestus'!CH144),MATCH('KSH järjestus'!CH$3,KOMBI!$A$1:$GI$1,0))</f>
        <v>0.44890608494094819</v>
      </c>
      <c r="CI137" s="25">
        <f t="array" ref="CI137">INDEX(KOMBI!$A$1:$GI$145,ROW('KSH järjestus'!CI144),MATCH('KSH järjestus'!CI$3,KOMBI!$A$1:$GI$1,0))</f>
        <v>6.08</v>
      </c>
      <c r="CJ137" s="25">
        <f t="array" ref="CJ137">INDEX(KOMBI!$A$1:$GI$145,ROW('KSH järjestus'!CJ144),MATCH('KSH järjestus'!CJ$3,KOMBI!$A$1:$GI$1,0))</f>
        <v>7.2238849906373197</v>
      </c>
      <c r="CK137" s="25">
        <f t="array" ref="CK137">INDEX(KOMBI!$A$1:$GI$145,ROW('KSH järjestus'!CK144),MATCH('KSH järjestus'!CK$3,KOMBI!$A$1:$GI$1,0))</f>
        <v>0.19900000000000001</v>
      </c>
      <c r="CL137" s="25">
        <f t="array" ref="CL137">INDEX(KOMBI!$A$1:$GI$145,ROW('KSH järjestus'!CL144),MATCH('KSH järjestus'!CL$3,KOMBI!$A$1:$GI$1,0))</f>
        <v>0.72299999999999998</v>
      </c>
    </row>
    <row r="138" spans="3:90" x14ac:dyDescent="0.2">
      <c r="C138" s="184">
        <v>135</v>
      </c>
      <c r="G138" s="25">
        <f>RANK(INDEX(KOMBI!$A$11:$GI$145,MATCH('KSH järjestus'!$C138,KOMBI!$A$11:$A$145,0),MATCH('KSH järjestus'!G$3,KOMBI!$A$1:$GI$1,0)),BD$4:BD$138,G$2)</f>
        <v>1</v>
      </c>
      <c r="H138" s="25">
        <f>RANK(INDEX(KOMBI!$A$11:$GI$145,MATCH('KSH järjestus'!$C138,KOMBI!$A$11:$A$145,0),MATCH('KSH järjestus'!H$3,KOMBI!$A$1:$GI$1,0)),BE$4:BE$138,H$2)</f>
        <v>1</v>
      </c>
      <c r="J138" s="25">
        <f>RANK(INDEX(KOMBI!$A$11:$GI$145,MATCH('KSH järjestus'!$C138,KOMBI!$A$11:$A$145,0),MATCH('KSH järjestus'!J$3,KOMBI!$A$1:$GI$1,0)),BG$4:BG$138,J$2)</f>
        <v>2</v>
      </c>
      <c r="M138" s="25">
        <f>RANK(INDEX(KOMBI!$A$11:$GI$145,MATCH('KSH järjestus'!$C138,KOMBI!$A$11:$A$145,0),MATCH('KSH järjestus'!M$3,KOMBI!$A$1:$GI$1,0)),BJ$4:BJ$138,M$2)</f>
        <v>1</v>
      </c>
      <c r="N138" s="25">
        <f>RANK(INDEX(KOMBI!$A$11:$GI$145,MATCH('KSH järjestus'!$C138,KOMBI!$A$11:$A$145,0),MATCH('KSH järjestus'!N$3,KOMBI!$A$1:$GI$1,0)),BK$4:BK$138,N$2)</f>
        <v>112</v>
      </c>
      <c r="O138" s="25">
        <f>RANK(INDEX(KOMBI!$A$11:$GI$145,MATCH('KSH järjestus'!$C138,KOMBI!$A$11:$A$145,0),MATCH('KSH järjestus'!O$3,KOMBI!$A$1:$GI$1,0)),BL$4:BL$138,O$2)</f>
        <v>1</v>
      </c>
      <c r="P138" s="25">
        <f>RANK(INDEX(KOMBI!$A$11:$GI$145,MATCH('KSH järjestus'!$C138,KOMBI!$A$11:$A$145,0),MATCH('KSH järjestus'!P$3,KOMBI!$A$1:$GI$1,0)),BM$4:BM$138,P$2)</f>
        <v>8</v>
      </c>
      <c r="Q138" s="25">
        <f>RANK(INDEX(KOMBI!$A$11:$GI$145,MATCH('KSH järjestus'!$C138,KOMBI!$A$11:$A$145,0),MATCH('KSH järjestus'!Q$3,KOMBI!$A$1:$GI$1,0)),BN$4:BN$138,Q$2)</f>
        <v>7</v>
      </c>
      <c r="R138" s="25">
        <f>RANK(INDEX(KOMBI!$A$11:$GI$145,MATCH('KSH järjestus'!$C138,KOMBI!$A$11:$A$145,0),MATCH('KSH järjestus'!R$3,KOMBI!$A$1:$GI$1,0)),BO$4:BO$138,R$2)</f>
        <v>1</v>
      </c>
      <c r="T138" s="25">
        <f>RANK(INDEX(KOMBI!$A$11:$GI$145,MATCH('KSH järjestus'!$C138,KOMBI!$A$11:$A$145,0),MATCH('KSH järjestus'!T$3,KOMBI!$A$1:$GI$1,0)),BQ$4:BQ$138,T$2)</f>
        <v>92</v>
      </c>
      <c r="U138" s="25">
        <f>RANK(INDEX(KOMBI!$A$11:$GI$145,MATCH('KSH järjestus'!$C138,KOMBI!$A$11:$A$145,0),MATCH('KSH järjestus'!U$3,KOMBI!$A$1:$GI$1,0)),BR$4:BR$138,U$2)</f>
        <v>42</v>
      </c>
      <c r="AA138" s="25">
        <f>RANK(INDEX(KOMBI!$A$11:$GI$145,MATCH('KSH järjestus'!$C138,KOMBI!$A$11:$A$145,0),MATCH('KSH järjestus'!AA$3,KOMBI!$A$1:$GI$1,0)),BX$4:BX$138,AA$2)</f>
        <v>109</v>
      </c>
      <c r="AB138" s="25">
        <f>RANK(INDEX(KOMBI!$A$11:$GI$145,MATCH('KSH järjestus'!$C138,KOMBI!$A$11:$A$145,0),MATCH('KSH järjestus'!AB$3,KOMBI!$A$1:$GI$1,0)),BY$4:BY$138,AB$2)</f>
        <v>109</v>
      </c>
      <c r="AC138" s="25">
        <f>RANK(INDEX(KOMBI!$A$11:$GI$145,MATCH('KSH järjestus'!$C138,KOMBI!$A$11:$A$145,0),MATCH('KSH järjestus'!AC$3,KOMBI!$A$1:$GI$1,0)),BZ$4:BZ$138,AC$2)</f>
        <v>116</v>
      </c>
      <c r="AD138" s="25">
        <f>RANK(INDEX(KOMBI!$A$11:$GI$145,MATCH('KSH järjestus'!$C138,KOMBI!$A$11:$A$145,0),MATCH('KSH järjestus'!AD$3,KOMBI!$A$1:$GI$1,0)),CA$4:CA$138,AD$2)</f>
        <v>110</v>
      </c>
      <c r="AE138" s="25">
        <f>RANK(INDEX(KOMBI!$A$11:$GI$145,MATCH('KSH järjestus'!$C138,KOMBI!$A$11:$A$145,0),MATCH('KSH järjestus'!AE$3,KOMBI!$A$1:$GI$1,0)),CB$4:CB$138,AE$2)</f>
        <v>112</v>
      </c>
      <c r="AG138" s="25">
        <f>RANK(INDEX(KOMBI!$A$11:$GI$145,MATCH('KSH järjestus'!$C138,KOMBI!$A$11:$A$145,0),MATCH('KSH järjestus'!AG$3,KOMBI!$A$1:$GI$1,0)),CD$4:CD$138,AG$2)</f>
        <v>1</v>
      </c>
      <c r="AH138" s="25">
        <f>RANK(INDEX(KOMBI!$A$11:$GI$145,MATCH('KSH järjestus'!$C138,KOMBI!$A$11:$A$145,0),MATCH('KSH järjestus'!AH$3,KOMBI!$A$1:$GI$1,0)),CE$4:CE$138,AH$2)</f>
        <v>16</v>
      </c>
      <c r="AI138" s="25">
        <f>RANK(INDEX(KOMBI!$A$11:$GI$145,MATCH('KSH järjestus'!$C138,KOMBI!$A$11:$A$145,0),MATCH('KSH järjestus'!AI$3,KOMBI!$A$1:$GI$1,0)),CF$4:CF$138,AI$2)</f>
        <v>109</v>
      </c>
      <c r="AJ138" s="25">
        <f>RANK(INDEX(KOMBI!$A$11:$GI$145,MATCH('KSH järjestus'!$C138,KOMBI!$A$11:$A$145,0),MATCH('KSH järjestus'!AJ$3,KOMBI!$A$1:$GI$1,0)),CG$4:CG$138,AJ$2)</f>
        <v>28</v>
      </c>
      <c r="AK138" s="25">
        <f>RANK(INDEX(KOMBI!$A$11:$GI$145,MATCH('KSH järjestus'!$C138,KOMBI!$A$11:$A$145,0),MATCH('KSH järjestus'!AK$3,KOMBI!$A$1:$GI$1,0)),CH$4:CH$138,AK$2)</f>
        <v>40</v>
      </c>
      <c r="AN138" s="25">
        <f>RANK(INDEX(KOMBI!$A$11:$GI$145,MATCH('KSH järjestus'!$C138,KOMBI!$A$11:$A$145,0),MATCH('KSH järjestus'!AN$3,KOMBI!$A$1:$GI$1,0)),CK$4:CK$138,AN$2)</f>
        <v>1</v>
      </c>
      <c r="AO138" s="25">
        <f>RANK(INDEX(KOMBI!$A$11:$GI$145,MATCH('KSH järjestus'!$C138,KOMBI!$A$11:$A$145,0),MATCH('KSH järjestus'!AO$3,KOMBI!$A$1:$GI$1,0)),CL$4:CL$138,AO$2)</f>
        <v>1</v>
      </c>
      <c r="AS138" s="297">
        <f t="shared" si="10"/>
        <v>1020</v>
      </c>
      <c r="AT138" s="25">
        <f t="shared" si="8"/>
        <v>2479</v>
      </c>
      <c r="AU138" s="25">
        <f t="shared" si="9"/>
        <v>4</v>
      </c>
      <c r="AV138" s="295" t="str">
        <f>VLOOKUP(VLOOKUP($AU138,KOMBI!$A:$H,3,FALSE),data!$I$27:$J$29,2,FALSE)</f>
        <v>Mittesekkuv</v>
      </c>
      <c r="AW138" s="295" t="str">
        <f>VLOOKUP(VLOOKUP($AU138,KOMBI!$A:$H,2,FALSE),data!$I$21:$J$23,2,FALSE)</f>
        <v>Mittesekkuv</v>
      </c>
      <c r="AX138" s="295" t="str">
        <f>VLOOKUP(VLOOKUP($AU138,KOMBI!$A:$H,5,FALSE),data!$I$39:$J$41,2,FALSE)</f>
        <v>Mittesekkuv</v>
      </c>
      <c r="AY138" s="295" t="str">
        <f>VLOOKUP(VLOOKUP($AU138,KOMBI!$A:$H,4,FALSE),data!$I$32:$J$36,2,FALSE)</f>
        <v>LIB+</v>
      </c>
      <c r="BA138" s="25">
        <f t="array" ref="BA138">INDEX(KOMBI!$A$1:$GI$145,ROW('KSH järjestus'!BA145),MATCH('KSH järjestus'!BA$3,KOMBI!$A$1:$GI$1,0))</f>
        <v>9.0457615702475991</v>
      </c>
      <c r="BB138" s="25">
        <f t="array" ref="BB138">INDEX(KOMBI!$A$1:$GI$145,ROW('KSH järjestus'!BB145),MATCH('KSH järjestus'!BB$3,KOMBI!$A$1:$GI$1,0))</f>
        <v>1041.4488779697681</v>
      </c>
      <c r="BC138" s="25">
        <f t="array" aca="1" ref="BC138" ca="1">INDEX(KOMBI!$A$1:$GI$145,ROW('KSH järjestus'!BC145),MATCH('KSH järjestus'!BC$3,KOMBI!$A$1:$GI$1,0))</f>
        <v>163.66355055008918</v>
      </c>
      <c r="BD138" s="25">
        <f t="array" ref="BD138">INDEX(KOMBI!$A$1:$GI$145,ROW('KSH järjestus'!BD145),MATCH('KSH järjestus'!BD$3,KOMBI!$A$1:$GI$1,0))</f>
        <v>-197.29831369909104</v>
      </c>
      <c r="BE138" s="25">
        <f t="array" ref="BE138">INDEX(KOMBI!$A$1:$GI$145,ROW('KSH järjestus'!BE145),MATCH('KSH järjestus'!BE$3,KOMBI!$A$1:$GI$1,0))</f>
        <v>360.96186424918022</v>
      </c>
      <c r="BF138" s="25">
        <f t="array" aca="1" ref="BF138" ca="1">INDEX(KOMBI!$A$1:$GI$145,ROW('KSH järjestus'!BF145),MATCH('KSH järjestus'!BF$3,KOMBI!$A$1:$GI$1,0))</f>
        <v>0</v>
      </c>
      <c r="BG138" s="25">
        <f t="array" ref="BG138">INDEX(KOMBI!$A$1:$GI$145,ROW('KSH järjestus'!BG145),MATCH('KSH järjestus'!BG$3,KOMBI!$A$1:$GI$1,0))</f>
        <v>0.24932063212336694</v>
      </c>
      <c r="BH138" s="25">
        <f t="array" ref="BH138">INDEX(KOMBI!$A$1:$GI$145,ROW('KSH järjestus'!BH145),MATCH('KSH järjestus'!BH$3,KOMBI!$A$1:$GI$1,0))</f>
        <v>90</v>
      </c>
      <c r="BI138" s="25">
        <f t="array" ref="BI138">INDEX(KOMBI!$A$1:$GI$145,ROW('KSH järjestus'!BI145),MATCH('KSH järjestus'!BI$3,KOMBI!$A$1:$GI$1,0))</f>
        <v>0.72887234460741646</v>
      </c>
      <c r="BJ138" s="25">
        <f t="array" ref="BJ138">INDEX(KOMBI!$A$1:$GI$145,ROW('KSH järjestus'!BJ145),MATCH('KSH järjestus'!BJ$3,KOMBI!$A$1:$GI$1,0))</f>
        <v>0</v>
      </c>
      <c r="BK138" s="25">
        <f t="array" ref="BK138">INDEX(KOMBI!$A$1:$GI$145,ROW('KSH järjestus'!BK145),MATCH('KSH järjestus'!BK$3,KOMBI!$A$1:$GI$1,0))</f>
        <v>0.27595013650694183</v>
      </c>
      <c r="BL138" s="25">
        <f t="array" ref="BL138">INDEX(KOMBI!$A$1:$GI$145,ROW('KSH järjestus'!BL145),MATCH('KSH järjestus'!BL$3,KOMBI!$A$1:$GI$1,0))</f>
        <v>3.9159109412588593E-2</v>
      </c>
      <c r="BM138" s="25">
        <f t="array" ref="BM138">INDEX(KOMBI!$A$1:$GI$145,ROW('KSH järjestus'!BM145),MATCH('KSH järjestus'!BM$3,KOMBI!$A$1:$GI$1,0))</f>
        <v>1.1538985612707746E-2</v>
      </c>
      <c r="BN138" s="25">
        <f t="array" ref="BN138">INDEX(KOMBI!$A$1:$GI$145,ROW('KSH järjestus'!BN145),MATCH('KSH järjestus'!BN$3,KOMBI!$A$1:$GI$1,0))</f>
        <v>1.4199620563024123E-2</v>
      </c>
      <c r="BO138" s="25">
        <f t="array" ref="BO138">INDEX(KOMBI!$A$1:$GI$145,ROW('KSH järjestus'!BO145),MATCH('KSH järjestus'!BO$3,KOMBI!$A$1:$GI$1,0))</f>
        <v>2.5442010103479275E-2</v>
      </c>
      <c r="BP138" s="25">
        <f t="array" ref="BP138">INDEX(KOMBI!$A$1:$GI$145,ROW('KSH järjestus'!BP145),MATCH('KSH järjestus'!BP$3,KOMBI!$A$1:$GI$1,0))</f>
        <v>7.5199896156049162</v>
      </c>
      <c r="BQ138" s="25">
        <f t="array" ref="BQ138">INDEX(KOMBI!$A$1:$GI$145,ROW('KSH järjestus'!BQ145),MATCH('KSH järjestus'!BQ$3,KOMBI!$A$1:$GI$1,0))</f>
        <v>11.03</v>
      </c>
      <c r="BR138" s="25">
        <f t="array" ref="BR138">INDEX(KOMBI!$A$1:$GI$145,ROW('KSH järjestus'!BR145),MATCH('KSH järjestus'!BR$3,KOMBI!$A$1:$GI$1,0))</f>
        <v>-3.4823494877293193E-2</v>
      </c>
      <c r="BS138" s="25">
        <f t="array" ref="BS138">INDEX(KOMBI!$A$1:$GI$145,ROW('KSH järjestus'!BS145),MATCH('KSH järjestus'!BS$3,KOMBI!$A$1:$GI$1,0))</f>
        <v>3.1317196797625221E-2</v>
      </c>
      <c r="BT138" s="25">
        <f t="array" ref="BT138">INDEX(KOMBI!$A$1:$GI$145,ROW('KSH järjestus'!BT145),MATCH('KSH järjestus'!BT$3,KOMBI!$A$1:$GI$1,0))</f>
        <v>1.4338082043103342E-2</v>
      </c>
      <c r="BU138" s="25">
        <f t="array" ref="BU138">INDEX(KOMBI!$A$1:$GI$145,ROW('KSH järjestus'!BU145),MATCH('KSH järjestus'!BU$3,KOMBI!$A$1:$GI$1,0))</f>
        <v>10.488630311598682</v>
      </c>
      <c r="BV138" s="25">
        <f t="array" ref="BV138">INDEX(KOMBI!$A$1:$GI$145,ROW('KSH järjestus'!BV145),MATCH('KSH järjestus'!BV$3,KOMBI!$A$1:$GI$1,0))</f>
        <v>5.9039999999999999</v>
      </c>
      <c r="BW138" s="25">
        <f t="array" ref="BW138">INDEX(KOMBI!$A$1:$GI$145,ROW('KSH järjestus'!BW145),MATCH('KSH järjestus'!BW$3,KOMBI!$A$1:$GI$1,0))</f>
        <v>1.62408499063732</v>
      </c>
      <c r="BX138" s="25">
        <f t="array" ref="BX138">INDEX(KOMBI!$A$1:$GI$145,ROW('KSH järjestus'!BX145),MATCH('KSH järjestus'!BX$3,KOMBI!$A$1:$GI$1,0))</f>
        <v>20.928000000000001</v>
      </c>
      <c r="BY138" s="25">
        <f t="array" ref="BY138">INDEX(KOMBI!$A$1:$GI$145,ROW('KSH järjestus'!BY145),MATCH('KSH järjestus'!BY$3,KOMBI!$A$1:$GI$1,0))</f>
        <v>37.837669554234019</v>
      </c>
      <c r="BZ138" s="25">
        <f t="array" ref="BZ138">INDEX(KOMBI!$A$1:$GI$145,ROW('KSH järjestus'!BZ145),MATCH('KSH järjestus'!BZ$3,KOMBI!$A$1:$GI$1,0))</f>
        <v>93</v>
      </c>
      <c r="CA138" s="25">
        <f t="array" ref="CA138">INDEX(KOMBI!$A$1:$GI$145,ROW('KSH järjestus'!CA145),MATCH('KSH järjestus'!CA$3,KOMBI!$A$1:$GI$1,0))</f>
        <v>15.532</v>
      </c>
      <c r="CB138" s="25">
        <f t="array" ref="CB138">INDEX(KOMBI!$A$1:$GI$145,ROW('KSH järjestus'!CB145),MATCH('KSH järjestus'!CB$3,KOMBI!$A$1:$GI$1,0))</f>
        <v>131.98194444444445</v>
      </c>
      <c r="CC138" s="25">
        <f t="array" ref="CC138">INDEX(KOMBI!$A$1:$GI$145,ROW('KSH järjestus'!CC145),MATCH('KSH järjestus'!CC$3,KOMBI!$A$1:$GI$1,0))</f>
        <v>7.083075</v>
      </c>
      <c r="CD138" s="25">
        <f t="array" ref="CD138">INDEX(KOMBI!$A$1:$GI$145,ROW('KSH järjestus'!CD145),MATCH('KSH järjestus'!CD$3,KOMBI!$A$1:$GI$1,0))</f>
        <v>284.90000000000003</v>
      </c>
      <c r="CE138" s="25">
        <f t="array" ref="CE138">INDEX(KOMBI!$A$1:$GI$145,ROW('KSH järjestus'!CE145),MATCH('KSH järjestus'!CE$3,KOMBI!$A$1:$GI$1,0))</f>
        <v>2.7810000000000001</v>
      </c>
      <c r="CF138" s="25">
        <f t="array" ref="CF138">INDEX(KOMBI!$A$1:$GI$145,ROW('KSH järjestus'!CF145),MATCH('KSH järjestus'!CF$3,KOMBI!$A$1:$GI$1,0))</f>
        <v>57.735011875436598</v>
      </c>
      <c r="CG138" s="25">
        <f t="array" ref="CG138">INDEX(KOMBI!$A$1:$GI$145,ROW('KSH järjestus'!CG145),MATCH('KSH järjestus'!CG$3,KOMBI!$A$1:$GI$1,0))</f>
        <v>2.5620074329845279E-2</v>
      </c>
      <c r="CH138" s="25">
        <f t="array" ref="CH138">INDEX(KOMBI!$A$1:$GI$145,ROW('KSH järjestus'!CH145),MATCH('KSH järjestus'!CH$3,KOMBI!$A$1:$GI$1,0))</f>
        <v>0.44890608494094819</v>
      </c>
      <c r="CI138" s="25">
        <f t="array" ref="CI138">INDEX(KOMBI!$A$1:$GI$145,ROW('KSH järjestus'!CI145),MATCH('KSH järjestus'!CI$3,KOMBI!$A$1:$GI$1,0))</f>
        <v>6.08</v>
      </c>
      <c r="CJ138" s="25">
        <f t="array" ref="CJ138">INDEX(KOMBI!$A$1:$GI$145,ROW('KSH järjestus'!CJ145),MATCH('KSH järjestus'!CJ$3,KOMBI!$A$1:$GI$1,0))</f>
        <v>7.2238849906373197</v>
      </c>
      <c r="CK138" s="25">
        <f t="array" ref="CK138">INDEX(KOMBI!$A$1:$GI$145,ROW('KSH järjestus'!CK145),MATCH('KSH järjestus'!CK$3,KOMBI!$A$1:$GI$1,0))</f>
        <v>0.19900000000000001</v>
      </c>
      <c r="CL138" s="25">
        <f t="array" ref="CL138">INDEX(KOMBI!$A$1:$GI$145,ROW('KSH järjestus'!CL145),MATCH('KSH järjestus'!CL$3,KOMBI!$A$1:$GI$1,0))</f>
        <v>0.72299999999999998</v>
      </c>
    </row>
  </sheetData>
  <mergeCells count="2">
    <mergeCell ref="AV3:AY3"/>
    <mergeCell ref="BA2:CL2"/>
  </mergeCells>
  <conditionalFormatting sqref="AS4:AS138">
    <cfRule type="colorScale" priority="1">
      <colorScale>
        <cfvo type="min"/>
        <cfvo type="max"/>
        <color rgb="FF92D050"/>
        <color rgb="FFE10014"/>
      </colorScale>
    </cfRule>
  </conditionalFormatting>
  <pageMargins left="0.7" right="0.7" top="0.75" bottom="0.75" header="0.3" footer="0.3"/>
  <pageSetup paperSize="9" orientation="portrait"/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18</vt:i4>
      </vt:variant>
    </vt:vector>
  </HeadingPairs>
  <TitlesOfParts>
    <vt:vector size="18" baseType="lpstr">
      <vt:lpstr>Maj.Mõju</vt:lpstr>
      <vt:lpstr>KuluTulu</vt:lpstr>
      <vt:lpstr>Piirangud</vt:lpstr>
      <vt:lpstr>Muudatused</vt:lpstr>
      <vt:lpstr>PJ</vt:lpstr>
      <vt:lpstr>Tulem</vt:lpstr>
      <vt:lpstr>data</vt:lpstr>
      <vt:lpstr>Tulemused</vt:lpstr>
      <vt:lpstr>KSH järjestus</vt:lpstr>
      <vt:lpstr>KOMBI</vt:lpstr>
      <vt:lpstr>VK-Hooned-Soojus</vt:lpstr>
      <vt:lpstr>VK-Transport</vt:lpstr>
      <vt:lpstr>VK-Elekter</vt:lpstr>
      <vt:lpstr>Kütuste tabel</vt:lpstr>
      <vt:lpstr>VK-Võrgud</vt:lpstr>
      <vt:lpstr>VK-Biokütused</vt:lpstr>
      <vt:lpstr>VK-Põlevkivi</vt:lpstr>
      <vt:lpstr>Vahetabelid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Madis Org;jaanus.uiga@arengufond.ee</dc:creator>
  <cp:lastModifiedBy>Microsoft Office User</cp:lastModifiedBy>
  <cp:lastPrinted>2014-04-28T12:51:02Z</cp:lastPrinted>
  <dcterms:created xsi:type="dcterms:W3CDTF">2014-03-25T08:44:36Z</dcterms:created>
  <dcterms:modified xsi:type="dcterms:W3CDTF">2015-09-14T07:30:57Z</dcterms:modified>
</cp:coreProperties>
</file>